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16.xml" ContentType="application/vnd.openxmlformats-officedocument.drawingml.chart+xml"/>
  <Override PartName="/xl/charts/style1.xml" ContentType="application/vnd.ms-office.chartstyle+xml"/>
  <Override PartName="/xl/charts/colors1.xml" ContentType="application/vnd.ms-office.chartcolorstyle+xml"/>
  <Override PartName="/xl/charts/chart17.xml" ContentType="application/vnd.openxmlformats-officedocument.drawingml.chart+xml"/>
  <Override PartName="/xl/charts/style2.xml" ContentType="application/vnd.ms-office.chartstyle+xml"/>
  <Override PartName="/xl/charts/colors2.xml" ContentType="application/vnd.ms-office.chartcolorstyle+xml"/>
  <Override PartName="/xl/charts/chart18.xml" ContentType="application/vnd.openxmlformats-officedocument.drawingml.chart+xml"/>
  <Override PartName="/xl/charts/style3.xml" ContentType="application/vnd.ms-office.chartstyle+xml"/>
  <Override PartName="/xl/charts/colors3.xml" ContentType="application/vnd.ms-office.chartcolorstyle+xml"/>
  <Override PartName="/xl/charts/chart19.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2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12.xml" ContentType="application/vnd.openxmlformats-officedocument.drawing+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13.xml" ContentType="application/vnd.openxmlformats-officedocument.drawing+xml"/>
  <Override PartName="/xl/ctrlProps/ctrlProp27.xml" ContentType="application/vnd.ms-excel.controlproperties+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14.xml" ContentType="application/vnd.openxmlformats-officedocument.drawing+xml"/>
  <Override PartName="/xl/tables/table1.xml" ContentType="application/vnd.openxmlformats-officedocument.spreadsheetml.table+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15.xml" ContentType="application/vnd.openxmlformats-officedocument.drawing+xml"/>
  <Override PartName="/xl/tables/table2.xml" ContentType="application/vnd.openxmlformats-officedocument.spreadsheetml.tab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showInkAnnotation="0" codeName="ThisWorkbook"/>
  <mc:AlternateContent xmlns:mc="http://schemas.openxmlformats.org/markup-compatibility/2006">
    <mc:Choice Requires="x15">
      <x15ac:absPath xmlns:x15ac="http://schemas.microsoft.com/office/spreadsheetml/2010/11/ac" url="C:\Users\forch\GitHub\Solar-Project-200w\hardware\"/>
    </mc:Choice>
  </mc:AlternateContent>
  <xr:revisionPtr revIDLastSave="0" documentId="13_ncr:1_{13D5F82B-4CAA-4D66-A3DD-567B8B5159CE}" xr6:coauthVersionLast="47" xr6:coauthVersionMax="47" xr10:uidLastSave="{00000000-0000-0000-0000-000000000000}"/>
  <workbookProtection workbookAlgorithmName="SHA-512" workbookHashValue="a2IsT3PbVMqsS8fYix55BBFUjj7hD8S/h5x1+aYwBoqFkTIjGASe0bCQh1syv2dYTh4PP6FwvAbkP9K8seVcxg==" workbookSaltValue="v5v63kDgDJ+TgBu2A/m4Sw==" workbookSpinCount="100000" lockStructure="1"/>
  <bookViews>
    <workbookView xWindow="-120" yWindow="-120" windowWidth="24240" windowHeight="13020" tabRatio="565" xr2:uid="{00000000-000D-0000-FFFF-FFFF00000000}"/>
  </bookViews>
  <sheets>
    <sheet name="Design Converter" sheetId="1" r:id="rId1"/>
    <sheet name="Extended Calculations" sheetId="33" state="hidden" r:id="rId2"/>
    <sheet name="Licenses" sheetId="24" r:id="rId3"/>
    <sheet name="BOM &amp; Schematic" sheetId="16" state="hidden" r:id="rId4"/>
    <sheet name="EVMs" sheetId="14" state="hidden" r:id="rId5"/>
    <sheet name="MOSFET LOSS" sheetId="28" state="hidden" r:id="rId6"/>
    <sheet name="Efficiency Plot Details" sheetId="29" state="hidden" r:id="rId7"/>
    <sheet name="DeviceParameter" sheetId="26" state="hidden" r:id="rId8"/>
    <sheet name="Variable Management" sheetId="2" state="hidden" r:id="rId9"/>
    <sheet name="Inductor Current" sheetId="27" state="hidden" r:id="rId10"/>
    <sheet name="Timings" sheetId="30" state="hidden" r:id="rId11"/>
    <sheet name="CFG Setting" sheetId="23" state="hidden" r:id="rId12"/>
    <sheet name="Schematic Management" sheetId="22" state="hidden" r:id="rId13"/>
    <sheet name="Stability Calculations" sheetId="31" state="hidden" r:id="rId14"/>
    <sheet name="IL Stability Calculations" sheetId="32" state="hidden" r:id="rId15"/>
    <sheet name="Efficiency Plot Management" sheetId="19" state="hidden" r:id="rId16"/>
    <sheet name="Efficiency vs VIN Calculations" sheetId="20" state="hidden" r:id="rId17"/>
    <sheet name="Efficiency vs Load Calculations" sheetId="21" state="hidden" r:id="rId18"/>
    <sheet name="Standard Value Calculator" sheetId="8" state="hidden" r:id="rId19"/>
    <sheet name="Snubber" sheetId="11" state="hidden" r:id="rId20"/>
    <sheet name="Parallel Output Caps" sheetId="6" state="hidden" r:id="rId21"/>
  </sheets>
  <definedNames>
    <definedName name="_2Phase_Mode">'Variable Management'!$B$48</definedName>
    <definedName name="_Don1">'Variable Management'!$B$52</definedName>
    <definedName name="_Don2">'Variable Management'!$B$75</definedName>
    <definedName name="Acs">'Variable Management'!$B$339</definedName>
    <definedName name="Adc" localSheetId="14">'IL Stability Calculations'!$U$3</definedName>
    <definedName name="Adc" localSheetId="13">'Stability Calculations'!$R$3</definedName>
    <definedName name="Adc_IL">'IL Stability Calculations'!$U$3</definedName>
    <definedName name="AEA">'Variable Management'!$B$337</definedName>
    <definedName name="Afb">'Variable Management'!$B$338</definedName>
    <definedName name="AIL" localSheetId="14">'IL Stability Calculations'!$E$6</definedName>
    <definedName name="AIL" localSheetId="13">'Stability Calculations'!$U$3</definedName>
    <definedName name="Am">'Variable Management'!$B$342</definedName>
    <definedName name="Am_boost">'Variable Management'!$B$341</definedName>
    <definedName name="Am_buck">'Variable Management'!$B$340</definedName>
    <definedName name="Am_IL">'IL Stability Calculations'!$H$4</definedName>
    <definedName name="BodePlot">'Efficiency Plot Management'!$B$10</definedName>
    <definedName name="BodePlot_ILim">'Efficiency Plot Management'!$B$12</definedName>
    <definedName name="BODEPLOT_TYPE">'Variable Management'!$L$11</definedName>
    <definedName name="Boost_CS_Threshold">'Variable Management'!$B$120</definedName>
    <definedName name="Boost_CS_Threshold_max">'Variable Management'!$B$121</definedName>
    <definedName name="Boost_CS_Threshold_min">'Variable Management'!$B$119</definedName>
    <definedName name="Buck_CS_threshold">'Variable Management'!$B$116</definedName>
    <definedName name="Buck_CS_threshold_max">'Variable Management'!$B$117</definedName>
    <definedName name="Buck_CS_threshold_min">'Variable Management'!$B$115</definedName>
    <definedName name="C_CS">DeviceParameter!$N$9</definedName>
    <definedName name="C_CS_ideal">DeviceParameter!$N$10</definedName>
    <definedName name="C_ILimit_HF">'Variable Management'!$B$272</definedName>
    <definedName name="C_ILimit_HF_STD">'Variable Management'!$B$273</definedName>
    <definedName name="C_limitcomp">'Variable Management'!$B$270</definedName>
    <definedName name="C_limitcomp_STD">'Variable Management'!$B$271</definedName>
    <definedName name="Cb">'Variable Management'!$B$241</definedName>
    <definedName name="Cbw">'Variable Management'!$B$333</definedName>
    <definedName name="Cbw_IL">'Variable Management'!$B$264</definedName>
    <definedName name="Cby">'Variable Management'!$B$240</definedName>
    <definedName name="Cc1ea">'Variable Management'!$B$367</definedName>
    <definedName name="Cc1ea_u">'Variable Management'!$B$372</definedName>
    <definedName name="Cc1IL">'Variable Management'!$B$276</definedName>
    <definedName name="Cc2ea">'Variable Management'!$B$368</definedName>
    <definedName name="Cc2ea_u">'Variable Management'!$B$373</definedName>
    <definedName name="Cc2IL">'Variable Management'!$B$277</definedName>
    <definedName name="CcIL">'Variable Management'!$B$278</definedName>
    <definedName name="CDC_enabled">'CFG Setting'!$B$159</definedName>
    <definedName name="CDC_Threshold">DeviceParameter!$B$16</definedName>
    <definedName name="Cdither">'Variable Management'!$B$240</definedName>
    <definedName name="CFG">'Variable Management'!$O$10</definedName>
    <definedName name="Cin">'Variable Management'!$B$197</definedName>
    <definedName name="CinEsrMax">'Variable Management'!$B$200</definedName>
    <definedName name="Cinmin">'Variable Management'!$B$195</definedName>
    <definedName name="CISET">'Variable Management'!$B$258</definedName>
    <definedName name="Co2_">'Variable Management'!$B$267</definedName>
    <definedName name="Co2_u">'Variable Management'!$F$267</definedName>
    <definedName name="Const_DT">'Variable Management'!$B$410</definedName>
    <definedName name="Constant_Current_Loop_Setpoint">'Variable Management'!$B$249</definedName>
    <definedName name="Cout">'Variable Management'!$B$177</definedName>
    <definedName name="CoutEsr">'Variable Management'!$B$181</definedName>
    <definedName name="CoutEsrMax">'Variable Management'!$B$178</definedName>
    <definedName name="Coutmin">'Variable Management'!$B$175</definedName>
    <definedName name="CSAmp_gain">'Variable Management'!$B$282</definedName>
    <definedName name="Csb">'Variable Management'!$B$238</definedName>
    <definedName name="Csby">'Variable Management'!$B$239</definedName>
    <definedName name="Cslope">'Variable Management'!$B$285</definedName>
    <definedName name="Css">'Variable Management'!$B$213</definedName>
    <definedName name="Css_u">'Variable Management'!$B$214</definedName>
    <definedName name="D_max_buck_enterBB">'Variable Management'!$B$42</definedName>
    <definedName name="D_max_exitBB_to_buck">'Variable Management'!$B$41</definedName>
    <definedName name="D_min_boost_exitBB_to_buck">'Variable Management'!$B$40</definedName>
    <definedName name="DC_CC">'Design Converter'!$E$91</definedName>
    <definedName name="DC_CHF">'Design Converter'!$E$92</definedName>
    <definedName name="DC_RC">'Design Converter'!$E$90</definedName>
    <definedName name="Deadtime">'Variable Management'!$B$412</definedName>
    <definedName name="Device">'Variable Management'!$B$29</definedName>
    <definedName name="dI1_">Timings!$Y$6</definedName>
    <definedName name="dI2_">Timings!$Y$7</definedName>
    <definedName name="dI3_">Timings!$Y$8</definedName>
    <definedName name="Doff1">'Variable Management'!$B$53</definedName>
    <definedName name="Doff2">'Variable Management'!$B$76</definedName>
    <definedName name="Don_Vinmax">'Variable Management'!$B$57</definedName>
    <definedName name="Don_Vinmax_2">'Variable Management'!$B$80</definedName>
    <definedName name="Don_Vinmin">'Variable Management'!$B$55</definedName>
    <definedName name="Don_Vinmin_2">'Variable Management'!$B$78</definedName>
    <definedName name="Don_Vinnom">'Variable Management'!$B$56</definedName>
    <definedName name="Don_Vinnom_2">'Variable Management'!$B$79</definedName>
    <definedName name="EA_Pole1" localSheetId="13">'Stability Calculations'!$C$5</definedName>
    <definedName name="EA_Pole2" localSheetId="13">'Stability Calculations'!$C$7</definedName>
    <definedName name="EA_Zero1" localSheetId="13">'Stability Calculations'!$C$4</definedName>
    <definedName name="eff">Timings!$B$9</definedName>
    <definedName name="EFF_IOUT">'Efficiency Plot Management'!$B$5</definedName>
    <definedName name="EFF_VIN">'Efficiency Plot Management'!$B$7</definedName>
    <definedName name="Efficiency">'Variable Management'!$B$16</definedName>
    <definedName name="f_bwilim">'Variable Management'!$B$269</definedName>
    <definedName name="f_p">'Variable Management'!$B$268</definedName>
    <definedName name="Fcross">'Variable Management'!$B$365</definedName>
    <definedName name="Fdither">'Variable Management'!$B$238</definedName>
    <definedName name="Fesr">'Variable Management'!$B$357</definedName>
    <definedName name="Fload_boost">'Variable Management'!$B$352</definedName>
    <definedName name="Fload_buck">'Variable Management'!$B$351</definedName>
    <definedName name="Fload_u">'Variable Management'!$B$351</definedName>
    <definedName name="Fp_dominant">'Variable Management'!$B$353</definedName>
    <definedName name="Fp1_u">'Variable Management'!$B$355</definedName>
    <definedName name="Fp2_u">'Variable Management'!$B$356</definedName>
    <definedName name="Frhp">'Variable Management'!$B$358</definedName>
    <definedName name="Frhp_Vinmin">'Variable Management'!$B$359</definedName>
    <definedName name="Fsw">'Variable Management'!$B$22</definedName>
    <definedName name="Fz1_u">'Variable Management'!$B$378</definedName>
    <definedName name="GBW">'Variable Management'!$B$332</definedName>
    <definedName name="GBW_IL">'Variable Management'!$B$263</definedName>
    <definedName name="Gfs_Q1">'Variable Management'!$B$423</definedName>
    <definedName name="Gfs_Q2">'Variable Management'!$D$423</definedName>
    <definedName name="Gfs_Q3">'Variable Management'!$B$440</definedName>
    <definedName name="Gfs_Q4">'Variable Management'!$D$440</definedName>
    <definedName name="gm">'Variable Management'!$B$284</definedName>
    <definedName name="gm_CDC">DeviceParameter!$B$14</definedName>
    <definedName name="gm_IL">DeviceParameter!$B$13</definedName>
    <definedName name="gm_IL_DAC">DeviceParameter!$B$12</definedName>
    <definedName name="gm_monitor">DeviceParameter!$B$11</definedName>
    <definedName name="gm_slopecomp">'Variable Management'!$B$286</definedName>
    <definedName name="I_0">Timings!$Y$11</definedName>
    <definedName name="I_1">Timings!$Y$12</definedName>
    <definedName name="I_2">Timings!$Y$13</definedName>
    <definedName name="I_PP">Timings!$Y$14</definedName>
    <definedName name="i_rms">Timings!$Y$16</definedName>
    <definedName name="iavg">Timings!$Y$5</definedName>
    <definedName name="Icoutrms">'Variable Management'!$B$168</definedName>
    <definedName name="Ifb">'Variable Management'!$B$27</definedName>
    <definedName name="Iin">Timings!$B$8</definedName>
    <definedName name="Iin_Vinmax">'Variable Management'!$B$20</definedName>
    <definedName name="Iin_Vinmin">'Variable Management'!$B$18</definedName>
    <definedName name="Iin_Vinnom">'Variable Management'!$B$19</definedName>
    <definedName name="IL_peak_OCP">'Variable Management'!$B$145</definedName>
    <definedName name="IL_Pole1" localSheetId="14">'IL Stability Calculations'!$E$5</definedName>
    <definedName name="IL_Pole1">'Stability Calculations'!$U$5</definedName>
    <definedName name="IL_Pole2" localSheetId="14">'IL Stability Calculations'!$E$7</definedName>
    <definedName name="IL_Pole2">'Stability Calculations'!$U$6</definedName>
    <definedName name="IL_Zero1" localSheetId="14">'IL Stability Calculations'!$E$4</definedName>
    <definedName name="IL_Zero1">'Stability Calculations'!$U$4</definedName>
    <definedName name="ILIM_Threshold">DeviceParameter!$B$18</definedName>
    <definedName name="Ilimit_Margin">'Variable Management'!$B$106</definedName>
    <definedName name="ILpeak_OCP_Vinmax">'Variable Management'!$B$142</definedName>
    <definedName name="ILpeak_OCP_Vinmin">'Variable Management'!$B$140</definedName>
    <definedName name="ILpeak_OCP_Vinnom">'Variable Management'!$B$141</definedName>
    <definedName name="IMON_Threshold">DeviceParameter!$B$17</definedName>
    <definedName name="IMONLIM_select">'Variable Management'!$B$247</definedName>
    <definedName name="Internal_FB_enabled">'CFG Setting'!$B$162</definedName>
    <definedName name="Iout">'Variable Management'!$B$13</definedName>
    <definedName name="Iout_OCP_Vinmax">'Variable Management'!$B$137</definedName>
    <definedName name="Iout_OCP_Vinmin">'Variable Management'!$B$135</definedName>
    <definedName name="Iout_OCP_Vinnom">'Variable Management'!$B$136</definedName>
    <definedName name="Iout_threshold">'Variable Management'!$B$250</definedName>
    <definedName name="Ipeak_inductor_buckboost">'Variable Management'!$B$114</definedName>
    <definedName name="Ipeak_inductor_max">'Variable Management'!$B$112</definedName>
    <definedName name="Ipeak_inductor_max_margin">'Variable Management'!$B$113</definedName>
    <definedName name="Ipeak_inductor_Vinmax">'Variable Management'!$B$113</definedName>
    <definedName name="Ipeak_inductor_Vinmin">'Variable Management'!$B$111</definedName>
    <definedName name="Ipeak_inductor_Vinnom">'Variable Management'!$B$112</definedName>
    <definedName name="Iq">'Variable Management'!$B$414</definedName>
    <definedName name="Ireverse">'Variable Management'!$B$452</definedName>
    <definedName name="Iripple_Vinmax">'Variable Management'!$B$86</definedName>
    <definedName name="Iripple_Vinmin">'Variable Management'!$B$84</definedName>
    <definedName name="Iripple_Vinnom">'Variable Management'!$B$85</definedName>
    <definedName name="Isc_const">'Variable Management'!$B$287</definedName>
    <definedName name="Islope_fixed">'Variable Management'!$B$151</definedName>
    <definedName name="Iss">'Variable Management'!$B$212</definedName>
    <definedName name="Iuvlo_hys">'Variable Management'!$B$231</definedName>
    <definedName name="Iuvlo1">'Variable Management'!$B$229</definedName>
    <definedName name="Iuvlo2">'Variable Management'!$B$230</definedName>
    <definedName name="k">'Variable Management'!$B$324</definedName>
    <definedName name="K_1">'Variable Management'!$B$328</definedName>
    <definedName name="k_boost">'Variable Management'!$B$321</definedName>
    <definedName name="k_buck">'Variable Management'!$B$319</definedName>
    <definedName name="K_SL">'Variable Management'!$B$296</definedName>
    <definedName name="KD">'Variable Management'!$B$329</definedName>
    <definedName name="KM">'Variable Management'!$B$327</definedName>
    <definedName name="L">Timings!$B$10</definedName>
    <definedName name="Labsmax">'Variable Management'!$O$63</definedName>
    <definedName name="Labsmin">'Variable Management'!$L$63</definedName>
    <definedName name="Lf">'Variable Management'!$B$72</definedName>
    <definedName name="Lmax">'Variable Management'!$B$70</definedName>
    <definedName name="Lmin">'Variable Management'!$B$69</definedName>
    <definedName name="Lopt">'Variable Management'!$B$68</definedName>
    <definedName name="Lopt_Limit">'Variable Management'!$B$71</definedName>
    <definedName name="Ltc">'Variable Management'!$B$398</definedName>
    <definedName name="mc">'Variable Management'!$B$323</definedName>
    <definedName name="mc_boost">'Variable Management'!$B$320</definedName>
    <definedName name="mc_buck">'Variable Management'!$B$318</definedName>
    <definedName name="Mode">'Variable Management'!$B$30</definedName>
    <definedName name="Pi">'Variable Management'!$B$281</definedName>
    <definedName name="PICTURE">INDIRECT('Efficiency Plot Management'!$A$2)</definedName>
    <definedName name="Picture_Bode">INDIRECT('Efficiency Plot Management'!$A$9)</definedName>
    <definedName name="PICTURE2" localSheetId="12">INDIRECT('Schematic Management'!$A$2)</definedName>
    <definedName name="PICTURE2">INDIRECT('Schematic Management'!$A$2)</definedName>
    <definedName name="Pin">'Variable Management'!$B$17</definedName>
    <definedName name="PLOT_TYPE">'Variable Management'!$L$10</definedName>
    <definedName name="Pout">'Variable Management'!$B$15</definedName>
    <definedName name="_xlnm.Print_Area" localSheetId="3">'BOM &amp; Schematic'!$A$1:$J$81</definedName>
    <definedName name="_xlnm.Print_Area" localSheetId="0">'Design Converter'!$A$1:$Q$126</definedName>
    <definedName name="PS_IL_Pole1">'IL Stability Calculations'!$O$4</definedName>
    <definedName name="PS_IL_Pole2">'IL Stability Calculations'!$R$3</definedName>
    <definedName name="PS_IL_RHPZ">'IL Stability Calculations'!$O$5</definedName>
    <definedName name="PS_IL_Zero1">'IL Stability Calculations'!$O$3</definedName>
    <definedName name="PS_Pole1" localSheetId="14">'IL Stability Calculations'!$O$4</definedName>
    <definedName name="PS_Pole1" localSheetId="13">'Stability Calculations'!$L$4</definedName>
    <definedName name="PS_Pole2" localSheetId="14">'IL Stability Calculations'!$R$3</definedName>
    <definedName name="PS_Pole2" localSheetId="13">'Stability Calculations'!$O$3</definedName>
    <definedName name="PS_RHPZ" localSheetId="14">'IL Stability Calculations'!$O$5</definedName>
    <definedName name="PS_RHPZ" localSheetId="13">'Stability Calculations'!$L$5</definedName>
    <definedName name="PS_Zero1" localSheetId="14">'IL Stability Calculations'!$O$3</definedName>
    <definedName name="PS_Zero1" localSheetId="13">'Stability Calculations'!$L$3</definedName>
    <definedName name="pterm1" localSheetId="14">'IL Stability Calculations'!$R$4</definedName>
    <definedName name="pterm1" localSheetId="13">'Stability Calculations'!$O$4</definedName>
    <definedName name="pterm1_IL">'IL Stability Calculations'!$R$4</definedName>
    <definedName name="pterm2" localSheetId="14">'IL Stability Calculations'!$R$5</definedName>
    <definedName name="pterm2" localSheetId="13">'Stability Calculations'!$O$5</definedName>
    <definedName name="pterm2_IL">'IL Stability Calculations'!$R$5</definedName>
    <definedName name="Q">'Variable Management'!$B$325</definedName>
    <definedName name="Qg_Q1">'Variable Management'!$B$419</definedName>
    <definedName name="Qg_Q2">'Variable Management'!$D$419</definedName>
    <definedName name="Qg_Q3">'Variable Management'!$B$436</definedName>
    <definedName name="Qg_Q4">'Variable Management'!$D$436</definedName>
    <definedName name="Qgd_Q1">'Variable Management'!$B$420</definedName>
    <definedName name="Qgd_Q2">'Variable Management'!$D$420</definedName>
    <definedName name="Qgd_Q3">'Variable Management'!$B$437</definedName>
    <definedName name="Qgd_Q4">'Variable Management'!$D$437</definedName>
    <definedName name="Qgs_Q1">'Variable Management'!$B$421</definedName>
    <definedName name="Qgs_Q2">'Variable Management'!$D$421</definedName>
    <definedName name="Qgs_Q3">'Variable Management'!$B$438</definedName>
    <definedName name="Qgs_Q4">'Variable Management'!$D$438</definedName>
    <definedName name="Qrr_Q1">'Variable Management'!$B$428</definedName>
    <definedName name="Qrr_Q2">'Variable Management'!$D$428</definedName>
    <definedName name="Qrr_Q3">'Variable Management'!$B$445</definedName>
    <definedName name="Qrr_Q4">'Variable Management'!$D$445</definedName>
    <definedName name="QrrSky_Q2">'Variable Management'!$B$451</definedName>
    <definedName name="QrrSky_Q3">'Variable Management'!$D$451</definedName>
    <definedName name="R_CS">DeviceParameter!$N$8</definedName>
    <definedName name="radconv" localSheetId="14">'IL Stability Calculations'!$U$6</definedName>
    <definedName name="radconv" localSheetId="13">'Stability Calculations'!$R$6</definedName>
    <definedName name="radconv_IL">'IL Stability Calculations'!$U$6</definedName>
    <definedName name="Rcea1">'Variable Management'!$B$366</definedName>
    <definedName name="Rcea1_u">'Variable Management'!$B$371</definedName>
    <definedName name="RcIL">'Variable Management'!$B$275</definedName>
    <definedName name="RCinEsr">'Variable Management'!$B$202</definedName>
    <definedName name="RCoutEsr">'Variable Management'!$B$181</definedName>
    <definedName name="Rdcr">'Variable Management'!$B$73</definedName>
    <definedName name="Rdson1">'Variable Management'!$B$417</definedName>
    <definedName name="Rdson2">'Variable Management'!$D$417</definedName>
    <definedName name="Rdson3">'Variable Management'!$B$434</definedName>
    <definedName name="Rdson4">'Variable Management'!$D$434</definedName>
    <definedName name="RdsonBotTc">'Variable Management'!$B$435</definedName>
    <definedName name="RdsonDRB">'Variable Management'!$B$407</definedName>
    <definedName name="RdsonDRB2">'Variable Management'!$B$408</definedName>
    <definedName name="RdsonDRT">'Variable Management'!$B$404</definedName>
    <definedName name="RdsonDRT2">'Variable Management'!$B$405</definedName>
    <definedName name="RdsonTopTc">'Variable Management'!$B$418</definedName>
    <definedName name="Rfadj">'Variable Management'!$B$26</definedName>
    <definedName name="Rfb1_">'Variable Management'!$B$381</definedName>
    <definedName name="Rfb2_">'Variable Management'!$B$382</definedName>
    <definedName name="Rfb2_u">'Variable Management'!$B$383</definedName>
    <definedName name="Rfets">'Variable Management'!$B$387</definedName>
    <definedName name="Rgate1">'Variable Management'!$B$422</definedName>
    <definedName name="Rgate2">'Variable Management'!$D$422</definedName>
    <definedName name="Rgate3">'Variable Management'!$B$439</definedName>
    <definedName name="Rgate4">'Variable Management'!$D$439</definedName>
    <definedName name="Ri">'Variable Management'!$B$283</definedName>
    <definedName name="RiLim">'Variable Management'!$B$256</definedName>
    <definedName name="RISET">'Variable Management'!$B$259</definedName>
    <definedName name="Ro">'Variable Management'!$B$348</definedName>
    <definedName name="RoEA">'Variable Management'!$B$334</definedName>
    <definedName name="RoEA_IL">'Variable Management'!$B$265</definedName>
    <definedName name="Rout">'Variable Management'!$B$14</definedName>
    <definedName name="Rpg">'Variable Management'!$B$233</definedName>
    <definedName name="Rs">'Variable Management'!$B$130</definedName>
    <definedName name="Rs_ideal">'Variable Management'!$B$129</definedName>
    <definedName name="Rsb">'Variable Management'!$B$234</definedName>
    <definedName name="Rshunt">'Variable Management'!$B$251</definedName>
    <definedName name="Rshunt_std">'Standard Value Calculator'!$R$21</definedName>
    <definedName name="Rslope">'Variable Management'!$B$152</definedName>
    <definedName name="Rsns_Selected">'Variable Management'!$B$252</definedName>
    <definedName name="RUV1_STD">'Variable Management'!$E$220</definedName>
    <definedName name="RUV2_STD">'Variable Management'!$E$221</definedName>
    <definedName name="Ruvlo1">'Variable Management'!$B$220</definedName>
    <definedName name="Ruvlo2">'Variable Management'!$B$221</definedName>
    <definedName name="Scale_DT">'Variable Management'!$B$409</definedName>
    <definedName name="SCH_NO_RCS">'Schematic Management'!$B$5</definedName>
    <definedName name="SCH_RCS_LIM">'Schematic Management'!$F$5</definedName>
    <definedName name="SCH_RCS_LIM_NEG">'Schematic Management'!$H$5</definedName>
    <definedName name="SCH_RCS_MON">'Schematic Management'!$D$5</definedName>
    <definedName name="SCH772_NO_RCS">'Schematic Management'!$B$22</definedName>
    <definedName name="SCH772_NO_RCS_NO_CDC">'Schematic Management'!$B$11</definedName>
    <definedName name="SCH772_RCS_LIM">'Schematic Management'!$D$22</definedName>
    <definedName name="SCH772_RCS_LIM_DAC">'Schematic Management'!$F$22</definedName>
    <definedName name="SCH772_RCS_LIM_DAC_NO_CDC">'Schematic Management'!$F$11</definedName>
    <definedName name="SCH772_RCS_LIM_DACplus">'Schematic Management'!$H$22</definedName>
    <definedName name="SCH772_RCS_LIM_DACplus_NO_CDC">'Schematic Management'!$H$11</definedName>
    <definedName name="SCH772_RCS_LIM_NO_CDC">'Schematic Management'!$D$11</definedName>
    <definedName name="Se">'Variable Management'!$B$291</definedName>
    <definedName name="Se_ext">'Variable Management'!$B$299</definedName>
    <definedName name="Se_fixed">'Variable Management'!$B$289</definedName>
    <definedName name="Se_proportional">'Variable Management'!$B$290</definedName>
    <definedName name="Sf">'Variable Management'!$B$301</definedName>
    <definedName name="Sn">'Variable Management'!$B$300</definedName>
    <definedName name="t1_Ph_II">Timings!$W$15</definedName>
    <definedName name="t2_Ph_I">Timings!$W$16</definedName>
    <definedName name="t3_Ph_III">Timings!$W$17</definedName>
    <definedName name="Ta">'Variable Management'!$B$396</definedName>
    <definedName name="Tf_boost">'Variable Management'!$D$459</definedName>
    <definedName name="Tf_buck">'Variable Management'!$B$459</definedName>
    <definedName name="ThetaCa">'Variable Management'!$B$399</definedName>
    <definedName name="ThetaJA_Q1">'Variable Management'!$B$430</definedName>
    <definedName name="ThetaJA_Q2">'Variable Management'!$D$430</definedName>
    <definedName name="ThetaJA_Q3">'Variable Management'!$B$447</definedName>
    <definedName name="ThetaJA_Q4">'Variable Management'!$D$447</definedName>
    <definedName name="ThetaJaCtrl">'Variable Management'!$B$455</definedName>
    <definedName name="TL">'Variable Management'!$B$102</definedName>
    <definedName name="Toff_min_buck">'Variable Management'!$B$32</definedName>
    <definedName name="Toff_Vinmax">'Variable Management'!$B$307</definedName>
    <definedName name="Ton_Vinmin">'Variable Management'!$B$309</definedName>
    <definedName name="Tr_boost">'Variable Management'!$D$458</definedName>
    <definedName name="Tr_buck">'Variable Management'!$B$458</definedName>
    <definedName name="Trr_Q1">'Variable Management'!$B$429</definedName>
    <definedName name="Trr_Q2">'Variable Management'!$D$429</definedName>
    <definedName name="Trr_Q3">'Variable Management'!$B$446</definedName>
    <definedName name="Trr_Q4">'Variable Management'!$D$446</definedName>
    <definedName name="Ts">'Variable Management'!$B$23</definedName>
    <definedName name="Tss">'Variable Management'!$B$211</definedName>
    <definedName name="useI2C">'Variable Management'!$L$33</definedName>
    <definedName name="V_ILIM">'Variable Management'!$B$255</definedName>
    <definedName name="V_Ilimit">DeviceParameter!$B$20</definedName>
    <definedName name="V_sc_fixed">'Variable Management'!$B$293</definedName>
    <definedName name="V_sc_proportional">'Variable Management'!$B$294</definedName>
    <definedName name="V_sc_total">'Variable Management'!$B$295</definedName>
    <definedName name="Vdd">'Variable Management'!$B$402</definedName>
    <definedName name="VfdSky_Q2">'Variable Management'!$B$450</definedName>
    <definedName name="VfdSky_Q3">'Variable Management'!$D$450</definedName>
    <definedName name="Vin">'Variable Management'!$B$8</definedName>
    <definedName name="VIN_BB_to_boost">'Variable Management'!$B$44</definedName>
    <definedName name="VIN_BB_to_buck">'Variable Management'!$B$47</definedName>
    <definedName name="VIN_boost_to_BB">'Variable Management'!$B$45</definedName>
    <definedName name="VIN_edgebuckboost">'Variable Management'!$B$10</definedName>
    <definedName name="VIN_max">'Variable Management'!$B$9</definedName>
    <definedName name="VIN_min">'Variable Management'!$B$7</definedName>
    <definedName name="VIN_nom">'Variable Management'!$B$8</definedName>
    <definedName name="Vinripple1">'Variable Management'!$B$191</definedName>
    <definedName name="Vinripple2">'Variable Management'!$B$206</definedName>
    <definedName name="VINuvlo_off">'Variable Management'!$B$219</definedName>
    <definedName name="VINuvlo_on">'Variable Management'!$B$218</definedName>
    <definedName name="Vout">'Variable Management'!$B$12</definedName>
    <definedName name="Vref">'Variable Management'!$B$24</definedName>
    <definedName name="Vripple1">'Variable Management'!$B$82</definedName>
    <definedName name="Vripple2">'Variable Management'!$B$182</definedName>
    <definedName name="Vsd_Q1">'Variable Management'!$B$427</definedName>
    <definedName name="Vsd_Q2">'Variable Management'!$D$427</definedName>
    <definedName name="Vsd_Q3">'Variable Management'!$B$444</definedName>
    <definedName name="Vsd_Q4">'Variable Management'!$D$444</definedName>
    <definedName name="Vsp_Q1">'Variable Management'!$B$425</definedName>
    <definedName name="Vsp_Q2">'Variable Management'!$D$425</definedName>
    <definedName name="Vsp_Q3">'Variable Management'!$B$442</definedName>
    <definedName name="Vsp_Q4">'Variable Management'!$D$442</definedName>
    <definedName name="Vth_Q1">'Variable Management'!$B$424</definedName>
    <definedName name="Vth_Q2">'Variable Management'!$D$424</definedName>
    <definedName name="Vth_Q3">'Variable Management'!$B$441</definedName>
    <definedName name="Vth_Q4">'Variable Management'!$D$441</definedName>
    <definedName name="Vuvlo_hys">'Variable Management'!$B$228</definedName>
    <definedName name="Vuvlo_off">'Variable Management'!$B$227</definedName>
    <definedName name="Vuvlo_on">'Variable Management'!$B$226</definedName>
    <definedName name="With_CDC">'Variable Management'!$B$246</definedName>
    <definedName name="With_RCS">'Variable Management'!$B$245</definedName>
  </definedNames>
  <calcPr calcId="191029"/>
</workbook>
</file>

<file path=xl/calcChain.xml><?xml version="1.0" encoding="utf-8"?>
<calcChain xmlns="http://schemas.openxmlformats.org/spreadsheetml/2006/main">
  <c r="C29" i="2" l="1"/>
  <c r="B29" i="2" s="1"/>
  <c r="H45" i="1" l="1"/>
  <c r="H107" i="23"/>
  <c r="H99" i="23"/>
  <c r="H97" i="23"/>
  <c r="H104" i="23"/>
  <c r="H96" i="23"/>
  <c r="H102" i="23"/>
  <c r="H93" i="23"/>
  <c r="H92" i="23"/>
  <c r="H106" i="23"/>
  <c r="H98" i="23"/>
  <c r="H95" i="23"/>
  <c r="H94" i="23"/>
  <c r="H100" i="23"/>
  <c r="H105" i="23"/>
  <c r="H103" i="23"/>
  <c r="H101" i="23"/>
  <c r="J3" i="1"/>
  <c r="A1" i="1"/>
  <c r="B14" i="26"/>
  <c r="F91" i="23"/>
  <c r="D23" i="33" l="1"/>
  <c r="D22" i="33"/>
  <c r="D21" i="33"/>
  <c r="D20" i="33"/>
  <c r="B13" i="26" l="1"/>
  <c r="B8" i="26"/>
  <c r="B12" i="26"/>
  <c r="B11" i="26"/>
  <c r="B7" i="26"/>
  <c r="B9" i="26"/>
  <c r="F146" i="23" l="1"/>
  <c r="J4" i="1" l="1"/>
  <c r="N89" i="1" l="1"/>
  <c r="BM687" i="32" l="1"/>
  <c r="K3" i="32"/>
  <c r="AW687" i="31"/>
  <c r="AI618" i="31"/>
  <c r="I3" i="31"/>
  <c r="B277" i="2" l="1"/>
  <c r="B276" i="2"/>
  <c r="B275" i="2"/>
  <c r="E37" i="1" l="1"/>
  <c r="B9" i="30" l="1"/>
  <c r="Q59" i="30"/>
  <c r="L59" i="30"/>
  <c r="Q58" i="30"/>
  <c r="L58" i="30"/>
  <c r="Q57" i="30"/>
  <c r="L57" i="30"/>
  <c r="L56" i="30"/>
  <c r="L43" i="30"/>
  <c r="Q42" i="30"/>
  <c r="L42" i="30"/>
  <c r="Q41" i="30"/>
  <c r="L41" i="30"/>
  <c r="Q40" i="30"/>
  <c r="L40" i="30"/>
  <c r="L35" i="30"/>
  <c r="Q34" i="30"/>
  <c r="L34" i="30"/>
  <c r="Q33" i="30"/>
  <c r="L33" i="30"/>
  <c r="Q32" i="30"/>
  <c r="L32" i="30"/>
  <c r="L6" i="30"/>
  <c r="J6" i="30"/>
  <c r="J5" i="30"/>
  <c r="J7" i="30" s="1"/>
  <c r="I5" i="30"/>
  <c r="I4" i="30"/>
  <c r="L5" i="30" s="1"/>
  <c r="I3" i="30"/>
  <c r="L4" i="30" s="1"/>
  <c r="I2" i="30"/>
  <c r="L3" i="30" s="1"/>
  <c r="I1" i="30"/>
  <c r="L1" i="30" s="1"/>
  <c r="N1" i="30" s="1"/>
  <c r="D111" i="23" l="1"/>
  <c r="D110" i="23"/>
  <c r="E26" i="1" l="1"/>
  <c r="E61" i="1" l="1"/>
  <c r="B381" i="2" l="1"/>
  <c r="E89" i="1" l="1"/>
  <c r="B246" i="2" l="1"/>
  <c r="B252" i="2" l="1"/>
  <c r="B15" i="32" s="1"/>
  <c r="B249" i="2"/>
  <c r="B247" i="2"/>
  <c r="N52" i="1" s="1"/>
  <c r="O55" i="1" l="1"/>
  <c r="A9" i="19"/>
  <c r="P58" i="1"/>
  <c r="P57" i="1"/>
  <c r="N57" i="1"/>
  <c r="N54" i="1"/>
  <c r="N58" i="1"/>
  <c r="N53" i="1"/>
  <c r="P54" i="1"/>
  <c r="J146" i="23" l="1"/>
  <c r="W81" i="27" l="1"/>
  <c r="R81" i="27"/>
  <c r="AB81" i="27"/>
  <c r="B3" i="27"/>
  <c r="B2" i="27"/>
  <c r="B1" i="27"/>
  <c r="K55" i="1" l="1"/>
  <c r="K57" i="1"/>
  <c r="M48" i="23" l="1"/>
  <c r="L48" i="23"/>
  <c r="M47" i="23"/>
  <c r="L47" i="23"/>
  <c r="M46" i="23"/>
  <c r="L46" i="23"/>
  <c r="M45" i="23"/>
  <c r="L45" i="23"/>
  <c r="M44" i="23"/>
  <c r="L44" i="23"/>
  <c r="M43" i="23"/>
  <c r="L43" i="23"/>
  <c r="M42" i="23"/>
  <c r="L42" i="23"/>
  <c r="M41" i="23"/>
  <c r="L41" i="23"/>
  <c r="M40" i="23"/>
  <c r="L40" i="23"/>
  <c r="R40" i="23" s="1"/>
  <c r="M39" i="23"/>
  <c r="L39" i="23"/>
  <c r="M38" i="23"/>
  <c r="L38" i="23"/>
  <c r="M37" i="23"/>
  <c r="L37" i="23"/>
  <c r="M36" i="23"/>
  <c r="L36" i="23"/>
  <c r="M35" i="23"/>
  <c r="L35" i="23"/>
  <c r="M34" i="23"/>
  <c r="L34" i="23"/>
  <c r="M33" i="23"/>
  <c r="L33" i="23"/>
  <c r="R48" i="23"/>
  <c r="C51" i="23"/>
  <c r="D51" i="23"/>
  <c r="C52" i="23"/>
  <c r="D52" i="23"/>
  <c r="D56" i="23"/>
  <c r="D57" i="23" s="1"/>
  <c r="H56" i="23"/>
  <c r="C57" i="23"/>
  <c r="G57" i="23" s="1"/>
  <c r="L33" i="2" s="1"/>
  <c r="Q46" i="1" s="1"/>
  <c r="E57" i="23"/>
  <c r="F57" i="23"/>
  <c r="R42" i="23" l="1"/>
  <c r="P49" i="1"/>
  <c r="P48" i="1"/>
  <c r="N48" i="1"/>
  <c r="Q48" i="1"/>
  <c r="N49" i="1"/>
  <c r="Q49" i="1"/>
  <c r="H57" i="23"/>
  <c r="R33" i="23"/>
  <c r="R45" i="23"/>
  <c r="R34" i="23"/>
  <c r="R44" i="23"/>
  <c r="R35" i="23"/>
  <c r="R43" i="23"/>
  <c r="R47" i="23"/>
  <c r="R37" i="23"/>
  <c r="R41" i="23"/>
  <c r="R36" i="23"/>
  <c r="R38" i="23"/>
  <c r="R46" i="23"/>
  <c r="R39" i="23"/>
  <c r="B106" i="2"/>
  <c r="I121" i="23" l="1"/>
  <c r="B245" i="2" l="1"/>
  <c r="A2" i="22" s="1"/>
  <c r="F28" i="23"/>
  <c r="P160" i="2" l="1"/>
  <c r="P168" i="2" s="1"/>
  <c r="P159" i="2"/>
  <c r="P167" i="2" s="1"/>
  <c r="P158" i="2"/>
  <c r="P166" i="2" s="1"/>
  <c r="P157" i="2"/>
  <c r="P165" i="2" s="1"/>
  <c r="P156" i="2"/>
  <c r="P164" i="2" s="1"/>
  <c r="P155" i="2"/>
  <c r="P163" i="2" s="1"/>
  <c r="P154" i="2"/>
  <c r="P162" i="2" s="1"/>
  <c r="P153" i="2"/>
  <c r="P161" i="2" s="1"/>
  <c r="B262" i="2" l="1"/>
  <c r="E6" i="32" l="1"/>
  <c r="O57" i="1"/>
  <c r="N46" i="1"/>
  <c r="O46" i="1"/>
  <c r="F86" i="23"/>
  <c r="F116" i="23"/>
  <c r="B409" i="2" s="1"/>
  <c r="L412" i="2" s="1"/>
  <c r="L413" i="2" s="1"/>
  <c r="N412" i="2" s="1"/>
  <c r="N413" i="2" s="1"/>
  <c r="H145" i="23"/>
  <c r="H27" i="23"/>
  <c r="H85" i="23"/>
  <c r="N47" i="1" s="1"/>
  <c r="H115" i="23"/>
  <c r="O137" i="23"/>
  <c r="N137" i="23"/>
  <c r="M137" i="23"/>
  <c r="L137" i="23"/>
  <c r="O136" i="23"/>
  <c r="N136" i="23"/>
  <c r="M136" i="23"/>
  <c r="L136" i="23"/>
  <c r="O135" i="23"/>
  <c r="N135" i="23"/>
  <c r="M135" i="23"/>
  <c r="L135" i="23"/>
  <c r="O134" i="23"/>
  <c r="N134" i="23"/>
  <c r="M134" i="23"/>
  <c r="L134" i="23"/>
  <c r="O133" i="23"/>
  <c r="N133" i="23"/>
  <c r="M133" i="23"/>
  <c r="L133" i="23"/>
  <c r="O132" i="23"/>
  <c r="N132" i="23"/>
  <c r="M132" i="23"/>
  <c r="L132" i="23"/>
  <c r="O131" i="23"/>
  <c r="N131" i="23"/>
  <c r="M131" i="23"/>
  <c r="L131" i="23"/>
  <c r="O130" i="23"/>
  <c r="N130" i="23"/>
  <c r="M130" i="23"/>
  <c r="L130" i="23"/>
  <c r="O129" i="23"/>
  <c r="N129" i="23"/>
  <c r="M129" i="23"/>
  <c r="L129" i="23"/>
  <c r="O128" i="23"/>
  <c r="N128" i="23"/>
  <c r="M128" i="23"/>
  <c r="L128" i="23"/>
  <c r="O127" i="23"/>
  <c r="N127" i="23"/>
  <c r="M127" i="23"/>
  <c r="L127" i="23"/>
  <c r="O126" i="23"/>
  <c r="N126" i="23"/>
  <c r="M126" i="23"/>
  <c r="L126" i="23"/>
  <c r="O125" i="23"/>
  <c r="N125" i="23"/>
  <c r="M125" i="23"/>
  <c r="L125" i="23"/>
  <c r="O124" i="23"/>
  <c r="N124" i="23"/>
  <c r="M124" i="23"/>
  <c r="L124" i="23"/>
  <c r="O123" i="23"/>
  <c r="N123" i="23"/>
  <c r="M123" i="23"/>
  <c r="L123" i="23"/>
  <c r="O122" i="23"/>
  <c r="N122" i="23"/>
  <c r="M122" i="23"/>
  <c r="L122" i="23"/>
  <c r="O107" i="23"/>
  <c r="N107" i="23"/>
  <c r="M107" i="23"/>
  <c r="L107" i="23"/>
  <c r="O106" i="23"/>
  <c r="N106" i="23"/>
  <c r="M106" i="23"/>
  <c r="L106" i="23"/>
  <c r="O105" i="23"/>
  <c r="N105" i="23"/>
  <c r="M105" i="23"/>
  <c r="L105" i="23"/>
  <c r="O104" i="23"/>
  <c r="N104" i="23"/>
  <c r="M104" i="23"/>
  <c r="L104" i="23"/>
  <c r="O103" i="23"/>
  <c r="N103" i="23"/>
  <c r="M103" i="23"/>
  <c r="L103" i="23"/>
  <c r="O102" i="23"/>
  <c r="N102" i="23"/>
  <c r="M102" i="23"/>
  <c r="L102" i="23"/>
  <c r="O101" i="23"/>
  <c r="N101" i="23"/>
  <c r="M101" i="23"/>
  <c r="L101" i="23"/>
  <c r="O100" i="23"/>
  <c r="N100" i="23"/>
  <c r="M100" i="23"/>
  <c r="L100" i="23"/>
  <c r="O99" i="23"/>
  <c r="N99" i="23"/>
  <c r="M99" i="23"/>
  <c r="L99" i="23"/>
  <c r="O98" i="23"/>
  <c r="N98" i="23"/>
  <c r="M98" i="23"/>
  <c r="L98" i="23"/>
  <c r="O97" i="23"/>
  <c r="N97" i="23"/>
  <c r="M97" i="23"/>
  <c r="L97" i="23"/>
  <c r="O96" i="23"/>
  <c r="N96" i="23"/>
  <c r="M96" i="23"/>
  <c r="L96" i="23"/>
  <c r="O95" i="23"/>
  <c r="N95" i="23"/>
  <c r="M95" i="23"/>
  <c r="L95" i="23"/>
  <c r="O94" i="23"/>
  <c r="N94" i="23"/>
  <c r="M94" i="23"/>
  <c r="L94" i="23"/>
  <c r="O93" i="23"/>
  <c r="N93" i="23"/>
  <c r="M93" i="23"/>
  <c r="L93" i="23"/>
  <c r="O92" i="23"/>
  <c r="N92" i="23"/>
  <c r="M92" i="23"/>
  <c r="L92" i="23"/>
  <c r="E146" i="23"/>
  <c r="D146" i="23"/>
  <c r="C146" i="23"/>
  <c r="E141" i="23"/>
  <c r="D141" i="23"/>
  <c r="C141" i="23"/>
  <c r="E140" i="23"/>
  <c r="D140" i="23"/>
  <c r="C140" i="23"/>
  <c r="J137" i="23"/>
  <c r="I137" i="23"/>
  <c r="H137" i="23"/>
  <c r="G137" i="23"/>
  <c r="P137" i="23" s="1"/>
  <c r="J136" i="23"/>
  <c r="I136" i="23"/>
  <c r="H136" i="23"/>
  <c r="G136" i="23"/>
  <c r="P136" i="23" s="1"/>
  <c r="J135" i="23"/>
  <c r="I135" i="23"/>
  <c r="H135" i="23"/>
  <c r="G135" i="23"/>
  <c r="P135" i="23" s="1"/>
  <c r="J134" i="23"/>
  <c r="I134" i="23"/>
  <c r="H134" i="23"/>
  <c r="G134" i="23"/>
  <c r="P134" i="23" s="1"/>
  <c r="J133" i="23"/>
  <c r="I133" i="23"/>
  <c r="H133" i="23"/>
  <c r="G133" i="23"/>
  <c r="P133" i="23" s="1"/>
  <c r="J132" i="23"/>
  <c r="I132" i="23"/>
  <c r="H132" i="23"/>
  <c r="G132" i="23"/>
  <c r="P132" i="23" s="1"/>
  <c r="J131" i="23"/>
  <c r="I131" i="23"/>
  <c r="H131" i="23"/>
  <c r="G131" i="23"/>
  <c r="P131" i="23" s="1"/>
  <c r="J130" i="23"/>
  <c r="I130" i="23"/>
  <c r="H130" i="23"/>
  <c r="G130" i="23"/>
  <c r="P130" i="23" s="1"/>
  <c r="J129" i="23"/>
  <c r="I129" i="23"/>
  <c r="H129" i="23"/>
  <c r="G129" i="23"/>
  <c r="P129" i="23" s="1"/>
  <c r="J128" i="23"/>
  <c r="I128" i="23"/>
  <c r="H128" i="23"/>
  <c r="G128" i="23"/>
  <c r="P128" i="23" s="1"/>
  <c r="J127" i="23"/>
  <c r="I127" i="23"/>
  <c r="H127" i="23"/>
  <c r="G127" i="23"/>
  <c r="P127" i="23" s="1"/>
  <c r="J126" i="23"/>
  <c r="I126" i="23"/>
  <c r="H126" i="23"/>
  <c r="G126" i="23"/>
  <c r="P126" i="23" s="1"/>
  <c r="J125" i="23"/>
  <c r="I125" i="23"/>
  <c r="H125" i="23"/>
  <c r="G125" i="23"/>
  <c r="P125" i="23" s="1"/>
  <c r="J124" i="23"/>
  <c r="I124" i="23"/>
  <c r="H124" i="23"/>
  <c r="G124" i="23"/>
  <c r="P124" i="23" s="1"/>
  <c r="J123" i="23"/>
  <c r="I123" i="23"/>
  <c r="H123" i="23"/>
  <c r="G123" i="23"/>
  <c r="P123" i="23" s="1"/>
  <c r="J122" i="23"/>
  <c r="I122" i="23"/>
  <c r="H122" i="23"/>
  <c r="G122" i="23"/>
  <c r="P122" i="23" s="1"/>
  <c r="J121" i="23"/>
  <c r="H121" i="23"/>
  <c r="E116" i="23"/>
  <c r="B410" i="2" s="1"/>
  <c r="D116" i="23"/>
  <c r="C116" i="23"/>
  <c r="F111" i="23"/>
  <c r="E111" i="23"/>
  <c r="C111" i="23"/>
  <c r="F110" i="23"/>
  <c r="E110" i="23"/>
  <c r="C110" i="23"/>
  <c r="J107" i="23"/>
  <c r="I107" i="23"/>
  <c r="G107" i="23"/>
  <c r="P107" i="23" s="1"/>
  <c r="J106" i="23"/>
  <c r="I106" i="23"/>
  <c r="G106" i="23"/>
  <c r="P106" i="23" s="1"/>
  <c r="J105" i="23"/>
  <c r="I105" i="23"/>
  <c r="G105" i="23"/>
  <c r="P105" i="23" s="1"/>
  <c r="J104" i="23"/>
  <c r="I104" i="23"/>
  <c r="G104" i="23"/>
  <c r="P104" i="23" s="1"/>
  <c r="J103" i="23"/>
  <c r="I103" i="23"/>
  <c r="G103" i="23"/>
  <c r="P103" i="23" s="1"/>
  <c r="J102" i="23"/>
  <c r="I102" i="23"/>
  <c r="G102" i="23"/>
  <c r="P102" i="23" s="1"/>
  <c r="J101" i="23"/>
  <c r="I101" i="23"/>
  <c r="G101" i="23"/>
  <c r="P101" i="23" s="1"/>
  <c r="J100" i="23"/>
  <c r="I100" i="23"/>
  <c r="G100" i="23"/>
  <c r="P100" i="23" s="1"/>
  <c r="J99" i="23"/>
  <c r="I99" i="23"/>
  <c r="G99" i="23"/>
  <c r="P99" i="23" s="1"/>
  <c r="J98" i="23"/>
  <c r="I98" i="23"/>
  <c r="G98" i="23"/>
  <c r="P98" i="23" s="1"/>
  <c r="J97" i="23"/>
  <c r="I97" i="23"/>
  <c r="G97" i="23"/>
  <c r="P97" i="23" s="1"/>
  <c r="J96" i="23"/>
  <c r="I96" i="23"/>
  <c r="G96" i="23"/>
  <c r="P96" i="23" s="1"/>
  <c r="J95" i="23"/>
  <c r="I95" i="23"/>
  <c r="G95" i="23"/>
  <c r="P95" i="23" s="1"/>
  <c r="J94" i="23"/>
  <c r="I94" i="23"/>
  <c r="G94" i="23"/>
  <c r="P94" i="23" s="1"/>
  <c r="J93" i="23"/>
  <c r="I93" i="23"/>
  <c r="G93" i="23"/>
  <c r="P93" i="23" s="1"/>
  <c r="J92" i="23"/>
  <c r="I92" i="23"/>
  <c r="G92" i="23"/>
  <c r="P92" i="23" s="1"/>
  <c r="J91" i="23"/>
  <c r="I91" i="23"/>
  <c r="H91" i="23"/>
  <c r="G91" i="23"/>
  <c r="F81" i="23"/>
  <c r="F80" i="23"/>
  <c r="E81" i="23"/>
  <c r="E80" i="23"/>
  <c r="D81" i="23"/>
  <c r="D80" i="23"/>
  <c r="C81" i="23"/>
  <c r="C80" i="23"/>
  <c r="O77" i="23"/>
  <c r="N77" i="23"/>
  <c r="M77" i="23"/>
  <c r="L77" i="23"/>
  <c r="O76" i="23"/>
  <c r="N76" i="23"/>
  <c r="M76" i="23"/>
  <c r="L76" i="23"/>
  <c r="O75" i="23"/>
  <c r="N75" i="23"/>
  <c r="M75" i="23"/>
  <c r="L75" i="23"/>
  <c r="O74" i="23"/>
  <c r="N74" i="23"/>
  <c r="M74" i="23"/>
  <c r="L74" i="23"/>
  <c r="O73" i="23"/>
  <c r="N73" i="23"/>
  <c r="M73" i="23"/>
  <c r="L73" i="23"/>
  <c r="O72" i="23"/>
  <c r="N72" i="23"/>
  <c r="M72" i="23"/>
  <c r="L72" i="23"/>
  <c r="O71" i="23"/>
  <c r="N71" i="23"/>
  <c r="M71" i="23"/>
  <c r="L71" i="23"/>
  <c r="O70" i="23"/>
  <c r="N70" i="23"/>
  <c r="M70" i="23"/>
  <c r="L70" i="23"/>
  <c r="O69" i="23"/>
  <c r="N69" i="23"/>
  <c r="M69" i="23"/>
  <c r="L69" i="23"/>
  <c r="O68" i="23"/>
  <c r="N68" i="23"/>
  <c r="M68" i="23"/>
  <c r="L68" i="23"/>
  <c r="O67" i="23"/>
  <c r="N67" i="23"/>
  <c r="M67" i="23"/>
  <c r="L67" i="23"/>
  <c r="O66" i="23"/>
  <c r="N66" i="23"/>
  <c r="M66" i="23"/>
  <c r="L66" i="23"/>
  <c r="O65" i="23"/>
  <c r="N65" i="23"/>
  <c r="M65" i="23"/>
  <c r="L65" i="23"/>
  <c r="O64" i="23"/>
  <c r="N64" i="23"/>
  <c r="M64" i="23"/>
  <c r="L64" i="23"/>
  <c r="O63" i="23"/>
  <c r="N63" i="23"/>
  <c r="M63" i="23"/>
  <c r="L63" i="23"/>
  <c r="O62" i="23"/>
  <c r="N62" i="23"/>
  <c r="M62" i="23"/>
  <c r="L62" i="23"/>
  <c r="E86" i="23"/>
  <c r="D86" i="23"/>
  <c r="C86" i="23"/>
  <c r="I77" i="23"/>
  <c r="J77" i="23"/>
  <c r="H77" i="23"/>
  <c r="G77" i="23"/>
  <c r="P77" i="23" s="1"/>
  <c r="I76" i="23"/>
  <c r="J76" i="23"/>
  <c r="H76" i="23"/>
  <c r="G76" i="23"/>
  <c r="P76" i="23" s="1"/>
  <c r="I75" i="23"/>
  <c r="J75" i="23"/>
  <c r="H75" i="23"/>
  <c r="G75" i="23"/>
  <c r="P75" i="23" s="1"/>
  <c r="I74" i="23"/>
  <c r="J74" i="23"/>
  <c r="H74" i="23"/>
  <c r="G74" i="23"/>
  <c r="P74" i="23" s="1"/>
  <c r="I73" i="23"/>
  <c r="J73" i="23"/>
  <c r="H73" i="23"/>
  <c r="G73" i="23"/>
  <c r="P73" i="23" s="1"/>
  <c r="I72" i="23"/>
  <c r="J72" i="23"/>
  <c r="H72" i="23"/>
  <c r="G72" i="23"/>
  <c r="P72" i="23" s="1"/>
  <c r="I71" i="23"/>
  <c r="J71" i="23"/>
  <c r="H71" i="23"/>
  <c r="G71" i="23"/>
  <c r="P71" i="23" s="1"/>
  <c r="I70" i="23"/>
  <c r="J70" i="23"/>
  <c r="H70" i="23"/>
  <c r="G70" i="23"/>
  <c r="P70" i="23" s="1"/>
  <c r="I69" i="23"/>
  <c r="J69" i="23"/>
  <c r="H69" i="23"/>
  <c r="G69" i="23"/>
  <c r="P69" i="23" s="1"/>
  <c r="I68" i="23"/>
  <c r="J68" i="23"/>
  <c r="H68" i="23"/>
  <c r="G68" i="23"/>
  <c r="P68" i="23" s="1"/>
  <c r="I67" i="23"/>
  <c r="J67" i="23"/>
  <c r="H67" i="23"/>
  <c r="G67" i="23"/>
  <c r="P67" i="23" s="1"/>
  <c r="I66" i="23"/>
  <c r="J66" i="23"/>
  <c r="H66" i="23"/>
  <c r="G66" i="23"/>
  <c r="P66" i="23" s="1"/>
  <c r="I65" i="23"/>
  <c r="J65" i="23"/>
  <c r="H65" i="23"/>
  <c r="G65" i="23"/>
  <c r="P65" i="23" s="1"/>
  <c r="I64" i="23"/>
  <c r="J64" i="23"/>
  <c r="H64" i="23"/>
  <c r="G64" i="23"/>
  <c r="P64" i="23" s="1"/>
  <c r="I63" i="23"/>
  <c r="J63" i="23"/>
  <c r="H63" i="23"/>
  <c r="G63" i="23"/>
  <c r="P63" i="23" s="1"/>
  <c r="I62" i="23"/>
  <c r="J62" i="23"/>
  <c r="H62" i="23"/>
  <c r="G62" i="23"/>
  <c r="P62" i="23" s="1"/>
  <c r="I61" i="23"/>
  <c r="J61" i="23"/>
  <c r="H61" i="23"/>
  <c r="G61" i="23"/>
  <c r="R123" i="23" l="1"/>
  <c r="R127" i="23"/>
  <c r="R133" i="23"/>
  <c r="R135" i="23"/>
  <c r="R137" i="23"/>
  <c r="R93" i="23"/>
  <c r="R95" i="23"/>
  <c r="R97" i="23"/>
  <c r="R99" i="23"/>
  <c r="R101" i="23"/>
  <c r="R103" i="23"/>
  <c r="R105" i="23"/>
  <c r="R107" i="23"/>
  <c r="R94" i="23"/>
  <c r="R96" i="23"/>
  <c r="R98" i="23"/>
  <c r="R100" i="23"/>
  <c r="R102" i="23"/>
  <c r="R104" i="23"/>
  <c r="AI625" i="32"/>
  <c r="AI626" i="32"/>
  <c r="AI622" i="32"/>
  <c r="AI617" i="32"/>
  <c r="AI624" i="32"/>
  <c r="AI629" i="32"/>
  <c r="AI628" i="32"/>
  <c r="AI627" i="32"/>
  <c r="AI623" i="32"/>
  <c r="B253" i="2"/>
  <c r="R129" i="23"/>
  <c r="B251" i="2"/>
  <c r="B254" i="2"/>
  <c r="R131" i="23"/>
  <c r="R125" i="23"/>
  <c r="R130" i="23"/>
  <c r="R132" i="23"/>
  <c r="G116" i="23"/>
  <c r="H116" i="23" s="1"/>
  <c r="O48" i="1" s="1"/>
  <c r="G86" i="23"/>
  <c r="H86" i="23" s="1"/>
  <c r="O47" i="1" s="1"/>
  <c r="G146" i="23"/>
  <c r="H146" i="23" s="1"/>
  <c r="O49" i="1" s="1"/>
  <c r="R106" i="23"/>
  <c r="R124" i="23"/>
  <c r="R126" i="23"/>
  <c r="R128" i="23"/>
  <c r="R134" i="23"/>
  <c r="R136" i="23"/>
  <c r="R122" i="23"/>
  <c r="R92" i="23"/>
  <c r="B256" i="2" l="1"/>
  <c r="B259" i="2"/>
  <c r="B4" i="32"/>
  <c r="AI607" i="32"/>
  <c r="AI580" i="32"/>
  <c r="AI575" i="32"/>
  <c r="AI603" i="32"/>
  <c r="AI555" i="32"/>
  <c r="AI558" i="32"/>
  <c r="AI542" i="32"/>
  <c r="AI545" i="32"/>
  <c r="AI610" i="32"/>
  <c r="AI518" i="32"/>
  <c r="AI501" i="32"/>
  <c r="AI536" i="32"/>
  <c r="AI502" i="32"/>
  <c r="AI504" i="32"/>
  <c r="AI482" i="32"/>
  <c r="AI506" i="32"/>
  <c r="AI483" i="32"/>
  <c r="AI439" i="32"/>
  <c r="AI492" i="32"/>
  <c r="AI489" i="32"/>
  <c r="AI438" i="32"/>
  <c r="AI400" i="32"/>
  <c r="AI405" i="32"/>
  <c r="AI417" i="32"/>
  <c r="AI472" i="32"/>
  <c r="AI398" i="32"/>
  <c r="AI414" i="32"/>
  <c r="AI376" i="32"/>
  <c r="AI349" i="32"/>
  <c r="AI377" i="32"/>
  <c r="AI389" i="32"/>
  <c r="AI362" i="32"/>
  <c r="AI373" i="32"/>
  <c r="AI364" i="32"/>
  <c r="AI295" i="32"/>
  <c r="AI434" i="32"/>
  <c r="AI304" i="32"/>
  <c r="AI299" i="32"/>
  <c r="AI276" i="32"/>
  <c r="AI267" i="32"/>
  <c r="AI260" i="32"/>
  <c r="AI282" i="32"/>
  <c r="AI283" i="32"/>
  <c r="AI223" i="32"/>
  <c r="AI222" i="32"/>
  <c r="AI196" i="32"/>
  <c r="AI231" i="32"/>
  <c r="AI264" i="32"/>
  <c r="AI192" i="32"/>
  <c r="AI208" i="32"/>
  <c r="AI185" i="32"/>
  <c r="AI150" i="32"/>
  <c r="AI188" i="32"/>
  <c r="AI183" i="32"/>
  <c r="AI233" i="32"/>
  <c r="AI167" i="32"/>
  <c r="AI166" i="32"/>
  <c r="AI101" i="32"/>
  <c r="AI14" i="32"/>
  <c r="AI92" i="32"/>
  <c r="AI56" i="32"/>
  <c r="AI22" i="32"/>
  <c r="AI90" i="32"/>
  <c r="AI115" i="32"/>
  <c r="AI152" i="32"/>
  <c r="AI61" i="32"/>
  <c r="AI104" i="32"/>
  <c r="AI20" i="32"/>
  <c r="AI17" i="32"/>
  <c r="AI148" i="32"/>
  <c r="AI21" i="32"/>
  <c r="AI107" i="32"/>
  <c r="AI207" i="32"/>
  <c r="AI32" i="32"/>
  <c r="AI26" i="32"/>
  <c r="AI606" i="32"/>
  <c r="AI609" i="32"/>
  <c r="AI579" i="32"/>
  <c r="AI572" i="32"/>
  <c r="AI596" i="32"/>
  <c r="AI552" i="32"/>
  <c r="AI553" i="32"/>
  <c r="AI540" i="32"/>
  <c r="AI543" i="32"/>
  <c r="AI544" i="32"/>
  <c r="AI514" i="32"/>
  <c r="AI495" i="32"/>
  <c r="AI508" i="32"/>
  <c r="AI497" i="32"/>
  <c r="AI484" i="32"/>
  <c r="AI480" i="32"/>
  <c r="AI498" i="32"/>
  <c r="AI461" i="32"/>
  <c r="AI546" i="32"/>
  <c r="AI471" i="32"/>
  <c r="AI464" i="32"/>
  <c r="AI435" i="32"/>
  <c r="AI395" i="32"/>
  <c r="AI396" i="32"/>
  <c r="AI412" i="32"/>
  <c r="AI433" i="32"/>
  <c r="AI391" i="32"/>
  <c r="AI404" i="32"/>
  <c r="AI425" i="32"/>
  <c r="AI348" i="32"/>
  <c r="AI366" i="32"/>
  <c r="AI381" i="32"/>
  <c r="AI343" i="32"/>
  <c r="AI361" i="32"/>
  <c r="AI332" i="32"/>
  <c r="AI294" i="32"/>
  <c r="AI359" i="32"/>
  <c r="AI302" i="32"/>
  <c r="AI298" i="32"/>
  <c r="AI275" i="32"/>
  <c r="AI261" i="32"/>
  <c r="AI259" i="32"/>
  <c r="AI273" i="32"/>
  <c r="AI272" i="32"/>
  <c r="AI221" i="32"/>
  <c r="AI214" i="32"/>
  <c r="AI597" i="32"/>
  <c r="AI600" i="32"/>
  <c r="AI612" i="32"/>
  <c r="AI570" i="32"/>
  <c r="AI563" i="32"/>
  <c r="AI582" i="32"/>
  <c r="AI549" i="32"/>
  <c r="AI524" i="32"/>
  <c r="AI529" i="32"/>
  <c r="AI541" i="32"/>
  <c r="AI476" i="32"/>
  <c r="AI537" i="32"/>
  <c r="AI566" i="32"/>
  <c r="AI459" i="32"/>
  <c r="AI451" i="32"/>
  <c r="AI468" i="32"/>
  <c r="AI466" i="32"/>
  <c r="AI486" i="32"/>
  <c r="AI444" i="32"/>
  <c r="AI448" i="32"/>
  <c r="AI426" i="32"/>
  <c r="AI423" i="32"/>
  <c r="AI441" i="32"/>
  <c r="AI432" i="32"/>
  <c r="AI408" i="32"/>
  <c r="AI379" i="32"/>
  <c r="AI393" i="32"/>
  <c r="AI369" i="32"/>
  <c r="AI360" i="32"/>
  <c r="AI352" i="32"/>
  <c r="AI418" i="32"/>
  <c r="AI329" i="32"/>
  <c r="AI324" i="32"/>
  <c r="AI323" i="32"/>
  <c r="AI320" i="32"/>
  <c r="AI330" i="32"/>
  <c r="AI358" i="32"/>
  <c r="AI256" i="32"/>
  <c r="AI244" i="32"/>
  <c r="AI292" i="32"/>
  <c r="AI354" i="32"/>
  <c r="AI351" i="32"/>
  <c r="AI306" i="32"/>
  <c r="AI250" i="32"/>
  <c r="AI263" i="32"/>
  <c r="AI262" i="32"/>
  <c r="AI248" i="32"/>
  <c r="AI232" i="32"/>
  <c r="AI235" i="32"/>
  <c r="AI234" i="32"/>
  <c r="AI168" i="32"/>
  <c r="AI243" i="32"/>
  <c r="AI227" i="32"/>
  <c r="AI169" i="32"/>
  <c r="AI187" i="32"/>
  <c r="AI135" i="32"/>
  <c r="AI136" i="32"/>
  <c r="AI46" i="32"/>
  <c r="AI114" i="32"/>
  <c r="AI80" i="32"/>
  <c r="AI36" i="32"/>
  <c r="AI133" i="32"/>
  <c r="AI189" i="32"/>
  <c r="AI73" i="32"/>
  <c r="AI116" i="32"/>
  <c r="AI39" i="32"/>
  <c r="AI109" i="32"/>
  <c r="AI94" i="32"/>
  <c r="AI24" i="32"/>
  <c r="AI100" i="32"/>
  <c r="AI66" i="32"/>
  <c r="AI77" i="32"/>
  <c r="AI75" i="32"/>
  <c r="AI160" i="32"/>
  <c r="AI598" i="32"/>
  <c r="AI584" i="32"/>
  <c r="AI581" i="32"/>
  <c r="AI591" i="32"/>
  <c r="AI548" i="32"/>
  <c r="AI530" i="32"/>
  <c r="AI527" i="32"/>
  <c r="AI588" i="32"/>
  <c r="AI491" i="32"/>
  <c r="AI493" i="32"/>
  <c r="AI470" i="32"/>
  <c r="AI442" i="32"/>
  <c r="AI440" i="32"/>
  <c r="AI430" i="32"/>
  <c r="AI413" i="32"/>
  <c r="AI397" i="32"/>
  <c r="AI402" i="32"/>
  <c r="AI392" i="32"/>
  <c r="AI346" i="32"/>
  <c r="AI344" i="32"/>
  <c r="AI334" i="32"/>
  <c r="AI374" i="32"/>
  <c r="AI303" i="32"/>
  <c r="AI296" i="32"/>
  <c r="AI281" i="32"/>
  <c r="AI297" i="32"/>
  <c r="AI289" i="32"/>
  <c r="AI245" i="32"/>
  <c r="AI318" i="32"/>
  <c r="AI254" i="32"/>
  <c r="AI274" i="32"/>
  <c r="AI180" i="32"/>
  <c r="AI217" i="32"/>
  <c r="AI151" i="32"/>
  <c r="AI156" i="32"/>
  <c r="AI154" i="32"/>
  <c r="AI171" i="32"/>
  <c r="AI139" i="32"/>
  <c r="AI42" i="32"/>
  <c r="AI96" i="32"/>
  <c r="AI38" i="32"/>
  <c r="AI126" i="32"/>
  <c r="AI123" i="32"/>
  <c r="AI142" i="32"/>
  <c r="AI119" i="32"/>
  <c r="AI51" i="32"/>
  <c r="AI65" i="32"/>
  <c r="AI76" i="32"/>
  <c r="AI218" i="32"/>
  <c r="AI130" i="32"/>
  <c r="AI110" i="32"/>
  <c r="AI613" i="32"/>
  <c r="AI577" i="32"/>
  <c r="AI589" i="32"/>
  <c r="AI571" i="32"/>
  <c r="AI551" i="32"/>
  <c r="AI535" i="32"/>
  <c r="AI509" i="32"/>
  <c r="AI513" i="32"/>
  <c r="AI469" i="32"/>
  <c r="AI485" i="32"/>
  <c r="AI562" i="32"/>
  <c r="AI516" i="32"/>
  <c r="AI436" i="32"/>
  <c r="AI428" i="32"/>
  <c r="AI411" i="32"/>
  <c r="AI383" i="32"/>
  <c r="AI387" i="32"/>
  <c r="AI388" i="32"/>
  <c r="AI487" i="32"/>
  <c r="AI342" i="32"/>
  <c r="AI311" i="32"/>
  <c r="AI328" i="32"/>
  <c r="AI301" i="32"/>
  <c r="AI322" i="32"/>
  <c r="AI278" i="32"/>
  <c r="AI290" i="32"/>
  <c r="AI270" i="32"/>
  <c r="AI242" i="32"/>
  <c r="AI287" i="32"/>
  <c r="AI251" i="32"/>
  <c r="AI255" i="32"/>
  <c r="AI164" i="32"/>
  <c r="AI204" i="32"/>
  <c r="AI144" i="32"/>
  <c r="AI309" i="32"/>
  <c r="AI145" i="32"/>
  <c r="AI161" i="32"/>
  <c r="AI137" i="32"/>
  <c r="AI30" i="32"/>
  <c r="AI86" i="32"/>
  <c r="AI37" i="32"/>
  <c r="AI121" i="32"/>
  <c r="AI87" i="32"/>
  <c r="AI124" i="32"/>
  <c r="AI117" i="32"/>
  <c r="AI45" i="32"/>
  <c r="AI27" i="32"/>
  <c r="AI63" i="32"/>
  <c r="AI93" i="32"/>
  <c r="AI102" i="32"/>
  <c r="AI174" i="32"/>
  <c r="AI611" i="32"/>
  <c r="AI573" i="32"/>
  <c r="AI574" i="32"/>
  <c r="AI594" i="32"/>
  <c r="AI538" i="32"/>
  <c r="AI521" i="32"/>
  <c r="AI554" i="32"/>
  <c r="AI499" i="32"/>
  <c r="AI565" i="32"/>
  <c r="AI477" i="32"/>
  <c r="AI520" i="32"/>
  <c r="AI496" i="32"/>
  <c r="AI494" i="32"/>
  <c r="AI421" i="32"/>
  <c r="AI390" i="32"/>
  <c r="AI375" i="32"/>
  <c r="AI384" i="32"/>
  <c r="AI380" i="32"/>
  <c r="AI454" i="32"/>
  <c r="AI378" i="32"/>
  <c r="AI291" i="32"/>
  <c r="AI325" i="32"/>
  <c r="AI288" i="32"/>
  <c r="AI350" i="32"/>
  <c r="AI269" i="32"/>
  <c r="AI280" i="32"/>
  <c r="AI249" i="32"/>
  <c r="AI224" i="32"/>
  <c r="AI240" i="32"/>
  <c r="AI237" i="32"/>
  <c r="AI239" i="32"/>
  <c r="AI228" i="32"/>
  <c r="AI191" i="32"/>
  <c r="AI138" i="32"/>
  <c r="AI211" i="32"/>
  <c r="AI132" i="32"/>
  <c r="AI158" i="32"/>
  <c r="AI128" i="32"/>
  <c r="AI18" i="32"/>
  <c r="AI85" i="32"/>
  <c r="AI33" i="32"/>
  <c r="AI95" i="32"/>
  <c r="AI84" i="32"/>
  <c r="AI106" i="32"/>
  <c r="AI105" i="32"/>
  <c r="AI78" i="32"/>
  <c r="AI99" i="32"/>
  <c r="AI49" i="32"/>
  <c r="AI89" i="32"/>
  <c r="AI72" i="32"/>
  <c r="AI54" i="32"/>
  <c r="AI608" i="32"/>
  <c r="AI578" i="32"/>
  <c r="AI569" i="32"/>
  <c r="AI559" i="32"/>
  <c r="AI539" i="32"/>
  <c r="AI519" i="32"/>
  <c r="AI547" i="32"/>
  <c r="AI510" i="32"/>
  <c r="AI447" i="32"/>
  <c r="AI488" i="32"/>
  <c r="AI475" i="32"/>
  <c r="AI449" i="32"/>
  <c r="AI401" i="32"/>
  <c r="AI437" i="32"/>
  <c r="AI416" i="32"/>
  <c r="AI431" i="32"/>
  <c r="AI385" i="32"/>
  <c r="AI382" i="32"/>
  <c r="AI372" i="32"/>
  <c r="AI337" i="32"/>
  <c r="AI310" i="32"/>
  <c r="AI333" i="32"/>
  <c r="AI340" i="32"/>
  <c r="AI353" i="32"/>
  <c r="AI409" i="32"/>
  <c r="AI326" i="32"/>
  <c r="AI277" i="32"/>
  <c r="AI215" i="32"/>
  <c r="AI225" i="32"/>
  <c r="AI229" i="32"/>
  <c r="AI212" i="32"/>
  <c r="AI176" i="32"/>
  <c r="AI203" i="32"/>
  <c r="AI199" i="32"/>
  <c r="AI206" i="32"/>
  <c r="AI134" i="32"/>
  <c r="AI103" i="32"/>
  <c r="AI210" i="32"/>
  <c r="AI70" i="32"/>
  <c r="AI23" i="32"/>
  <c r="AI35" i="32"/>
  <c r="AI71" i="32"/>
  <c r="AI62" i="32"/>
  <c r="AI149" i="32"/>
  <c r="AI88" i="32"/>
  <c r="AI197" i="32"/>
  <c r="AI91" i="32"/>
  <c r="AI53" i="32"/>
  <c r="AI40" i="32"/>
  <c r="AI605" i="32"/>
  <c r="AI601" i="32"/>
  <c r="AI576" i="32"/>
  <c r="AI561" i="32"/>
  <c r="AI590" i="32"/>
  <c r="AI599" i="32"/>
  <c r="AI534" i="32"/>
  <c r="AI505" i="32"/>
  <c r="AI532" i="32"/>
  <c r="AI467" i="32"/>
  <c r="AI525" i="32"/>
  <c r="AI481" i="32"/>
  <c r="AI474" i="32"/>
  <c r="AI503" i="32"/>
  <c r="AI462" i="32"/>
  <c r="AI429" i="32"/>
  <c r="AI415" i="32"/>
  <c r="AI427" i="32"/>
  <c r="AI368" i="32"/>
  <c r="AI363" i="32"/>
  <c r="AI371" i="32"/>
  <c r="AI336" i="32"/>
  <c r="AI300" i="32"/>
  <c r="AI321" i="32"/>
  <c r="AI285" i="32"/>
  <c r="AI317" i="32"/>
  <c r="AI370" i="32"/>
  <c r="AI284" i="32"/>
  <c r="AI246" i="32"/>
  <c r="AI308" i="32"/>
  <c r="AI327" i="32"/>
  <c r="AI220" i="32"/>
  <c r="AI190" i="32"/>
  <c r="AI172" i="32"/>
  <c r="AI201" i="32"/>
  <c r="AI179" i="32"/>
  <c r="AI198" i="32"/>
  <c r="AI131" i="32"/>
  <c r="AI64" i="32"/>
  <c r="AI182" i="32"/>
  <c r="AI69" i="32"/>
  <c r="AI170" i="32"/>
  <c r="AI34" i="32"/>
  <c r="AI68" i="32"/>
  <c r="AI58" i="32"/>
  <c r="AI143" i="32"/>
  <c r="AI55" i="32"/>
  <c r="AI127" i="32"/>
  <c r="AI79" i="32"/>
  <c r="AI41" i="32"/>
  <c r="AI31" i="32"/>
  <c r="AI592" i="32"/>
  <c r="AI556" i="32"/>
  <c r="AI533" i="32"/>
  <c r="AI526" i="32"/>
  <c r="AI445" i="32"/>
  <c r="AI453" i="32"/>
  <c r="AI455" i="32"/>
  <c r="AI345" i="32"/>
  <c r="AI293" i="32"/>
  <c r="AI258" i="32"/>
  <c r="AI257" i="32"/>
  <c r="AI219" i="32"/>
  <c r="AI181" i="32"/>
  <c r="AI173" i="32"/>
  <c r="AI50" i="32"/>
  <c r="AI25" i="32"/>
  <c r="AI147" i="32"/>
  <c r="AI19" i="32"/>
  <c r="AI81" i="32"/>
  <c r="AI13" i="32"/>
  <c r="AI593" i="32"/>
  <c r="AI567" i="32"/>
  <c r="AI528" i="32"/>
  <c r="AI465" i="32"/>
  <c r="AI479" i="32"/>
  <c r="AI420" i="32"/>
  <c r="AI403" i="32"/>
  <c r="AI347" i="32"/>
  <c r="AI355" i="32"/>
  <c r="AI268" i="32"/>
  <c r="AI316" i="32"/>
  <c r="AI216" i="32"/>
  <c r="AI165" i="32"/>
  <c r="AI209" i="32"/>
  <c r="AI47" i="32"/>
  <c r="AI159" i="32"/>
  <c r="AI98" i="32"/>
  <c r="AI29" i="32"/>
  <c r="AI60" i="32"/>
  <c r="AI595" i="32"/>
  <c r="AI564" i="32"/>
  <c r="AI490" i="32"/>
  <c r="AI460" i="32"/>
  <c r="AI446" i="32"/>
  <c r="AI424" i="32"/>
  <c r="AI386" i="32"/>
  <c r="AI338" i="32"/>
  <c r="AI315" i="32"/>
  <c r="AI279" i="32"/>
  <c r="AI236" i="32"/>
  <c r="AI200" i="32"/>
  <c r="AI125" i="32"/>
  <c r="AI175" i="32"/>
  <c r="AI112" i="32"/>
  <c r="AI57" i="32"/>
  <c r="AI48" i="32"/>
  <c r="AI122" i="32"/>
  <c r="AI44" i="32"/>
  <c r="AI568" i="32"/>
  <c r="AI523" i="32"/>
  <c r="AI478" i="32"/>
  <c r="AI517" i="32"/>
  <c r="AI450" i="32"/>
  <c r="AI410" i="32"/>
  <c r="AI365" i="32"/>
  <c r="AI394" i="32"/>
  <c r="AI307" i="32"/>
  <c r="AI335" i="32"/>
  <c r="AI230" i="32"/>
  <c r="AI184" i="32"/>
  <c r="AI194" i="32"/>
  <c r="AI146" i="32"/>
  <c r="AI111" i="32"/>
  <c r="AI155" i="32"/>
  <c r="AI252" i="32"/>
  <c r="AI113" i="32"/>
  <c r="AI28" i="32"/>
  <c r="AI602" i="32"/>
  <c r="AI586" i="32"/>
  <c r="AI560" i="32"/>
  <c r="AI550" i="32"/>
  <c r="AI473" i="32"/>
  <c r="AI458" i="32"/>
  <c r="AI500" i="32"/>
  <c r="AI357" i="32"/>
  <c r="AI312" i="32"/>
  <c r="AI341" i="32"/>
  <c r="AI314" i="32"/>
  <c r="AI286" i="32"/>
  <c r="AI213" i="32"/>
  <c r="AI163" i="32"/>
  <c r="AI118" i="32"/>
  <c r="AI83" i="32"/>
  <c r="AI129" i="32"/>
  <c r="AI97" i="32"/>
  <c r="AI108" i="32"/>
  <c r="AI195" i="32"/>
  <c r="AI604" i="32"/>
  <c r="AI512" i="32"/>
  <c r="AI463" i="32"/>
  <c r="AI313" i="32"/>
  <c r="AI265" i="32"/>
  <c r="AI186" i="32"/>
  <c r="AI178" i="32"/>
  <c r="AI585" i="32"/>
  <c r="AI507" i="32"/>
  <c r="AI407" i="32"/>
  <c r="AI339" i="32"/>
  <c r="AI226" i="32"/>
  <c r="AI157" i="32"/>
  <c r="AI52" i="32"/>
  <c r="AI583" i="32"/>
  <c r="AI452" i="32"/>
  <c r="AI406" i="32"/>
  <c r="AI266" i="32"/>
  <c r="AI238" i="32"/>
  <c r="AI120" i="32"/>
  <c r="AI82" i="32"/>
  <c r="AI587" i="32"/>
  <c r="AI457" i="32"/>
  <c r="AI422" i="32"/>
  <c r="AI253" i="32"/>
  <c r="AI140" i="32"/>
  <c r="AI67" i="32"/>
  <c r="AI205" i="32"/>
  <c r="AI531" i="32"/>
  <c r="AI456" i="32"/>
  <c r="AI356" i="32"/>
  <c r="AI331" i="32"/>
  <c r="AI153" i="32"/>
  <c r="AI43" i="32"/>
  <c r="AI59" i="32"/>
  <c r="AI367" i="32"/>
  <c r="AI247" i="32"/>
  <c r="AI557" i="32"/>
  <c r="AI305" i="32"/>
  <c r="AI141" i="32"/>
  <c r="AI511" i="32"/>
  <c r="AI319" i="32"/>
  <c r="AI74" i="32"/>
  <c r="AI522" i="32"/>
  <c r="AI271" i="32"/>
  <c r="AI15" i="32"/>
  <c r="AI515" i="32"/>
  <c r="AI241" i="32"/>
  <c r="AI16" i="32"/>
  <c r="AI443" i="32"/>
  <c r="AI162" i="32"/>
  <c r="AI193" i="32"/>
  <c r="AI419" i="32"/>
  <c r="AI399" i="32"/>
  <c r="AI202" i="32"/>
  <c r="AI177" i="32"/>
  <c r="B255" i="2"/>
  <c r="B219" i="2"/>
  <c r="B439" i="2" l="1"/>
  <c r="D439" i="2"/>
  <c r="B211" i="2" l="1"/>
  <c r="E28" i="23" l="1"/>
  <c r="D28" i="23"/>
  <c r="C28" i="23"/>
  <c r="G28" i="23" l="1"/>
  <c r="H28" i="23" s="1"/>
  <c r="O10" i="2" l="1"/>
  <c r="B286" i="2" l="1"/>
  <c r="B151" i="2"/>
  <c r="B289" i="2"/>
  <c r="J19" i="23" l="1"/>
  <c r="I19" i="23"/>
  <c r="H19" i="23"/>
  <c r="G19" i="23"/>
  <c r="P19" i="23" s="1"/>
  <c r="J18" i="23"/>
  <c r="I18" i="23"/>
  <c r="H18" i="23"/>
  <c r="G18" i="23"/>
  <c r="P18" i="23" s="1"/>
  <c r="J17" i="23"/>
  <c r="I17" i="23"/>
  <c r="H17" i="23"/>
  <c r="G17" i="23"/>
  <c r="P17" i="23" s="1"/>
  <c r="J16" i="23"/>
  <c r="I16" i="23"/>
  <c r="H16" i="23"/>
  <c r="G16" i="23"/>
  <c r="P16" i="23" s="1"/>
  <c r="J15" i="23"/>
  <c r="I15" i="23"/>
  <c r="H15" i="23"/>
  <c r="G15" i="23"/>
  <c r="P15" i="23" s="1"/>
  <c r="J14" i="23"/>
  <c r="I14" i="23"/>
  <c r="H14" i="23"/>
  <c r="G14" i="23"/>
  <c r="P14" i="23" s="1"/>
  <c r="J13" i="23"/>
  <c r="I13" i="23"/>
  <c r="H13" i="23"/>
  <c r="G13" i="23"/>
  <c r="P13" i="23" s="1"/>
  <c r="J12" i="23"/>
  <c r="I12" i="23"/>
  <c r="H12" i="23"/>
  <c r="G12" i="23"/>
  <c r="P12" i="23" s="1"/>
  <c r="J11" i="23"/>
  <c r="I11" i="23"/>
  <c r="H11" i="23"/>
  <c r="G11" i="23"/>
  <c r="P11" i="23" s="1"/>
  <c r="J10" i="23"/>
  <c r="I10" i="23"/>
  <c r="H10" i="23"/>
  <c r="G10" i="23"/>
  <c r="P10" i="23" s="1"/>
  <c r="J9" i="23"/>
  <c r="I9" i="23"/>
  <c r="H9" i="23"/>
  <c r="G9" i="23"/>
  <c r="P9" i="23" s="1"/>
  <c r="J8" i="23"/>
  <c r="I8" i="23"/>
  <c r="H8" i="23"/>
  <c r="G8" i="23"/>
  <c r="P8" i="23" s="1"/>
  <c r="J7" i="23"/>
  <c r="I7" i="23"/>
  <c r="H7" i="23"/>
  <c r="G7" i="23"/>
  <c r="P7" i="23" s="1"/>
  <c r="J6" i="23"/>
  <c r="I6" i="23"/>
  <c r="H6" i="23"/>
  <c r="G6" i="23"/>
  <c r="P6" i="23" s="1"/>
  <c r="J5" i="23"/>
  <c r="I5" i="23"/>
  <c r="H5" i="23"/>
  <c r="G5" i="23"/>
  <c r="P5" i="23" s="1"/>
  <c r="J4" i="23"/>
  <c r="I4" i="23"/>
  <c r="H4" i="23"/>
  <c r="J3" i="23"/>
  <c r="I3" i="23"/>
  <c r="H3" i="23"/>
  <c r="G3" i="23"/>
  <c r="G4" i="23"/>
  <c r="P4" i="23" s="1"/>
  <c r="J2" i="8"/>
  <c r="L11" i="23" l="1"/>
  <c r="M18" i="23"/>
  <c r="N18" i="23"/>
  <c r="O14" i="23"/>
  <c r="M4" i="23"/>
  <c r="M6" i="23"/>
  <c r="N11" i="23"/>
  <c r="M13" i="23"/>
  <c r="L8" i="23"/>
  <c r="M15" i="23"/>
  <c r="L17" i="23"/>
  <c r="L4" i="23"/>
  <c r="L6" i="23"/>
  <c r="O9" i="23"/>
  <c r="M11" i="23"/>
  <c r="L13" i="23"/>
  <c r="L15" i="23"/>
  <c r="O16" i="23"/>
  <c r="O18" i="23"/>
  <c r="N4" i="23"/>
  <c r="N6" i="23"/>
  <c r="M8" i="23"/>
  <c r="L10" i="23"/>
  <c r="O11" i="23"/>
  <c r="N13" i="23"/>
  <c r="N15" i="23"/>
  <c r="M17" i="23"/>
  <c r="L19" i="23"/>
  <c r="O4" i="23"/>
  <c r="O6" i="23"/>
  <c r="N8" i="23"/>
  <c r="M10" i="23"/>
  <c r="O13" i="23"/>
  <c r="O15" i="23"/>
  <c r="N17" i="23"/>
  <c r="M19" i="23"/>
  <c r="L5" i="23"/>
  <c r="L7" i="23"/>
  <c r="O8" i="23"/>
  <c r="N10" i="23"/>
  <c r="L12" i="23"/>
  <c r="L14" i="23"/>
  <c r="O17" i="23"/>
  <c r="N19" i="23"/>
  <c r="M5" i="23"/>
  <c r="M7" i="23"/>
  <c r="L9" i="23"/>
  <c r="O10" i="23"/>
  <c r="M12" i="23"/>
  <c r="M14" i="23"/>
  <c r="L16" i="23"/>
  <c r="L18" i="23"/>
  <c r="O19" i="23"/>
  <c r="N5" i="23"/>
  <c r="N7" i="23"/>
  <c r="M9" i="23"/>
  <c r="N12" i="23"/>
  <c r="N14" i="23"/>
  <c r="M16" i="23"/>
  <c r="O5" i="23"/>
  <c r="O7" i="23"/>
  <c r="N9" i="23"/>
  <c r="O12" i="23"/>
  <c r="N16" i="23"/>
  <c r="B281" i="2"/>
  <c r="U6" i="32" l="1"/>
  <c r="R6" i="31"/>
  <c r="E5" i="32"/>
  <c r="E4" i="32"/>
  <c r="R5" i="23"/>
  <c r="B264" i="2"/>
  <c r="E7" i="32" s="1"/>
  <c r="R74" i="23"/>
  <c r="R66" i="23"/>
  <c r="R75" i="23"/>
  <c r="R10" i="23"/>
  <c r="R69" i="23"/>
  <c r="R67" i="23"/>
  <c r="R68" i="23"/>
  <c r="R62" i="23"/>
  <c r="R70" i="23"/>
  <c r="R65" i="23"/>
  <c r="R63" i="23"/>
  <c r="R71" i="23"/>
  <c r="R14" i="23"/>
  <c r="R73" i="23"/>
  <c r="R64" i="23"/>
  <c r="R72" i="23"/>
  <c r="R77" i="23"/>
  <c r="R76" i="23"/>
  <c r="R11" i="23"/>
  <c r="R13" i="23"/>
  <c r="R15" i="23"/>
  <c r="R8" i="23"/>
  <c r="R9" i="23"/>
  <c r="R12" i="23"/>
  <c r="R16" i="23"/>
  <c r="R17" i="23"/>
  <c r="R7" i="23"/>
  <c r="R6" i="23"/>
  <c r="R18" i="23"/>
  <c r="R19" i="23"/>
  <c r="R4" i="23"/>
  <c r="D625" i="32" l="1"/>
  <c r="AM611" i="32"/>
  <c r="AM544" i="32"/>
  <c r="AM561" i="32"/>
  <c r="AM607" i="32"/>
  <c r="AM601" i="32"/>
  <c r="AM534" i="32"/>
  <c r="AM507" i="32"/>
  <c r="AM452" i="32"/>
  <c r="AM363" i="32"/>
  <c r="AM326" i="32"/>
  <c r="AM269" i="32"/>
  <c r="AM199" i="32"/>
  <c r="AM477" i="32"/>
  <c r="AM438" i="32"/>
  <c r="AM390" i="32"/>
  <c r="AM296" i="32"/>
  <c r="AM274" i="32"/>
  <c r="AM156" i="32"/>
  <c r="AM515" i="32"/>
  <c r="AM454" i="32"/>
  <c r="AM403" i="32"/>
  <c r="AM293" i="32"/>
  <c r="AM249" i="32"/>
  <c r="AM554" i="32"/>
  <c r="AM497" i="32"/>
  <c r="AM398" i="32"/>
  <c r="AM355" i="32"/>
  <c r="AM297" i="32"/>
  <c r="AM227" i="32"/>
  <c r="AM149" i="32"/>
  <c r="AM127" i="32"/>
  <c r="AM596" i="32"/>
  <c r="AM528" i="32"/>
  <c r="AM408" i="32"/>
  <c r="AM412" i="32"/>
  <c r="AM366" i="32"/>
  <c r="AM244" i="32"/>
  <c r="AM193" i="32"/>
  <c r="AM152" i="32"/>
  <c r="AM137" i="32"/>
  <c r="AM512" i="32"/>
  <c r="AM552" i="32"/>
  <c r="AM424" i="32"/>
  <c r="AM341" i="32"/>
  <c r="AM278" i="32"/>
  <c r="AM532" i="32"/>
  <c r="AM479" i="32"/>
  <c r="AM431" i="32"/>
  <c r="AM303" i="32"/>
  <c r="AM214" i="32"/>
  <c r="AM155" i="32"/>
  <c r="AM74" i="32"/>
  <c r="AM182" i="32"/>
  <c r="AM288" i="32"/>
  <c r="AM35" i="32"/>
  <c r="AM70" i="32"/>
  <c r="AM223" i="32"/>
  <c r="AM284" i="32"/>
  <c r="AM17" i="32"/>
  <c r="AM46" i="32"/>
  <c r="AM457" i="32"/>
  <c r="AM211" i="32"/>
  <c r="AM142" i="32"/>
  <c r="AM90" i="32"/>
  <c r="AM568" i="32"/>
  <c r="AM191" i="32"/>
  <c r="AM89" i="32"/>
  <c r="AM118" i="32"/>
  <c r="AM24" i="32"/>
  <c r="AM236" i="32"/>
  <c r="AM213" i="32"/>
  <c r="AM166" i="32"/>
  <c r="AM501" i="32"/>
  <c r="AM154" i="32"/>
  <c r="AM104" i="32"/>
  <c r="AM115" i="32"/>
  <c r="AM589" i="32"/>
  <c r="AM613" i="32"/>
  <c r="AM537" i="32"/>
  <c r="AM588" i="32"/>
  <c r="AM593" i="32"/>
  <c r="AM567" i="32"/>
  <c r="AM482" i="32"/>
  <c r="AM381" i="32"/>
  <c r="AM359" i="32"/>
  <c r="AM329" i="32"/>
  <c r="AM209" i="32"/>
  <c r="AM161" i="32"/>
  <c r="AM535" i="32"/>
  <c r="AM417" i="32"/>
  <c r="AM453" i="32"/>
  <c r="AM309" i="32"/>
  <c r="AM216" i="32"/>
  <c r="AM131" i="32"/>
  <c r="AM542" i="32"/>
  <c r="AM435" i="32"/>
  <c r="AM386" i="32"/>
  <c r="AM590" i="32"/>
  <c r="AM603" i="32"/>
  <c r="AM584" i="32"/>
  <c r="AM553" i="32"/>
  <c r="AM585" i="32"/>
  <c r="AM558" i="32"/>
  <c r="AM444" i="32"/>
  <c r="AM429" i="32"/>
  <c r="AM372" i="32"/>
  <c r="AM385" i="32"/>
  <c r="AM243" i="32"/>
  <c r="AM606" i="32"/>
  <c r="AM480" i="32"/>
  <c r="AM377" i="32"/>
  <c r="AM358" i="32"/>
  <c r="AM324" i="32"/>
  <c r="AM207" i="32"/>
  <c r="AM187" i="32"/>
  <c r="AM517" i="32"/>
  <c r="AM436" i="32"/>
  <c r="AM353" i="32"/>
  <c r="AM595" i="32"/>
  <c r="AM582" i="32"/>
  <c r="AM608" i="32"/>
  <c r="AM580" i="32"/>
  <c r="AM575" i="32"/>
  <c r="AM546" i="32"/>
  <c r="AM499" i="32"/>
  <c r="AM415" i="32"/>
  <c r="AM357" i="32"/>
  <c r="AM270" i="32"/>
  <c r="AM328" i="32"/>
  <c r="AM559" i="32"/>
  <c r="AM442" i="32"/>
  <c r="AM414" i="32"/>
  <c r="AM371" i="32"/>
  <c r="AM310" i="32"/>
  <c r="AM238" i="32"/>
  <c r="AM612" i="32"/>
  <c r="AM548" i="32"/>
  <c r="AM416" i="32"/>
  <c r="AM421" i="32"/>
  <c r="AM308" i="32"/>
  <c r="AM251" i="32"/>
  <c r="AM564" i="32"/>
  <c r="AM496" i="32"/>
  <c r="AM382" i="32"/>
  <c r="AM443" i="32"/>
  <c r="AM263" i="32"/>
  <c r="AM141" i="32"/>
  <c r="AM151" i="32"/>
  <c r="AM122" i="32"/>
  <c r="AM556" i="32"/>
  <c r="AM503" i="32"/>
  <c r="AM393" i="32"/>
  <c r="AM315" i="32"/>
  <c r="AM335" i="32"/>
  <c r="AM240" i="32"/>
  <c r="AM133" i="32"/>
  <c r="AM103" i="32"/>
  <c r="AM557" i="32"/>
  <c r="AM466" i="32"/>
  <c r="AM551" i="32"/>
  <c r="AM368" i="32"/>
  <c r="AM280" i="32"/>
  <c r="AM232" i="32"/>
  <c r="AM478" i="32"/>
  <c r="AM460" i="32"/>
  <c r="AM347" i="32"/>
  <c r="AM302" i="32"/>
  <c r="AM266" i="32"/>
  <c r="AM41" i="32"/>
  <c r="G635" i="32"/>
  <c r="AM458" i="32"/>
  <c r="AM134" i="32"/>
  <c r="AM99" i="32"/>
  <c r="AM92" i="32"/>
  <c r="AM455" i="32"/>
  <c r="AM128" i="32"/>
  <c r="AM97" i="32"/>
  <c r="AM19" i="32"/>
  <c r="AM273" i="32"/>
  <c r="AM87" i="32"/>
  <c r="AM285" i="32"/>
  <c r="AM396" i="32"/>
  <c r="AM356" i="32"/>
  <c r="AM126" i="32"/>
  <c r="AM100" i="32"/>
  <c r="AM120" i="32"/>
  <c r="AM320" i="32"/>
  <c r="AM135" i="32"/>
  <c r="AM53" i="32"/>
  <c r="AM15" i="32"/>
  <c r="AM316" i="32"/>
  <c r="AM59" i="32"/>
  <c r="AM47" i="32"/>
  <c r="AM562" i="32"/>
  <c r="AM587" i="32"/>
  <c r="AM602" i="32"/>
  <c r="AM541" i="32"/>
  <c r="AM579" i="32"/>
  <c r="AM539" i="32"/>
  <c r="AM475" i="32"/>
  <c r="AM427" i="32"/>
  <c r="AM301" i="32"/>
  <c r="AM262" i="32"/>
  <c r="AM198" i="32"/>
  <c r="AM576" i="32"/>
  <c r="AM489" i="32"/>
  <c r="AM407" i="32"/>
  <c r="AM361" i="32"/>
  <c r="AM260" i="32"/>
  <c r="AM261" i="32"/>
  <c r="AM592" i="32"/>
  <c r="AM476" i="32"/>
  <c r="AM375" i="32"/>
  <c r="AM423" i="32"/>
  <c r="AM323" i="32"/>
  <c r="AM206" i="32"/>
  <c r="AM510" i="32"/>
  <c r="AM550" i="32"/>
  <c r="AM344" i="32"/>
  <c r="AM298" i="32"/>
  <c r="AM311" i="32"/>
  <c r="AM179" i="32"/>
  <c r="AM28" i="32"/>
  <c r="AM30" i="32"/>
  <c r="AM498" i="32"/>
  <c r="AM449" i="32"/>
  <c r="AM465" i="32"/>
  <c r="AM333" i="32"/>
  <c r="AM332" i="32"/>
  <c r="AM177" i="32"/>
  <c r="AM62" i="32"/>
  <c r="AM45" i="32"/>
  <c r="AM569" i="32"/>
  <c r="AM486" i="32"/>
  <c r="AM440" i="32"/>
  <c r="AM313" i="32"/>
  <c r="AM305" i="32"/>
  <c r="AM570" i="32"/>
  <c r="AM483" i="32"/>
  <c r="AM383" i="32"/>
  <c r="AM362" i="32"/>
  <c r="AM334" i="32"/>
  <c r="AM233" i="32"/>
  <c r="AM83" i="32"/>
  <c r="AM38" i="32"/>
  <c r="AM373" i="32"/>
  <c r="AM167" i="32"/>
  <c r="AM94" i="32"/>
  <c r="AM25" i="32"/>
  <c r="AM384" i="32"/>
  <c r="AM164" i="32"/>
  <c r="AM79" i="32"/>
  <c r="AM597" i="32"/>
  <c r="AM275" i="32"/>
  <c r="AM181" i="32"/>
  <c r="AM241" i="32"/>
  <c r="AM158" i="32"/>
  <c r="AM337" i="32"/>
  <c r="AM84" i="32"/>
  <c r="AM205" i="32"/>
  <c r="AM229" i="32"/>
  <c r="AM346" i="32"/>
  <c r="AM125" i="32"/>
  <c r="AM96" i="32"/>
  <c r="AM20" i="32"/>
  <c r="AM228" i="32"/>
  <c r="AM73" i="32"/>
  <c r="AM37" i="32"/>
  <c r="AM573" i="32"/>
  <c r="AM578" i="32"/>
  <c r="AM581" i="32"/>
  <c r="AM524" i="32"/>
  <c r="AM586" i="32"/>
  <c r="AM523" i="32"/>
  <c r="AM526" i="32"/>
  <c r="AM422" i="32"/>
  <c r="AM349" i="32"/>
  <c r="AM283" i="32"/>
  <c r="AM215" i="32"/>
  <c r="AM529" i="32"/>
  <c r="AM474" i="32"/>
  <c r="AM404" i="32"/>
  <c r="AM295" i="32"/>
  <c r="AM254" i="32"/>
  <c r="AM196" i="32"/>
  <c r="AM566" i="32"/>
  <c r="AM506" i="32"/>
  <c r="AM406" i="32"/>
  <c r="AM367" i="32"/>
  <c r="AM300" i="32"/>
  <c r="AM610" i="32"/>
  <c r="AM533" i="32"/>
  <c r="AM410" i="32"/>
  <c r="AM413" i="32"/>
  <c r="AM299" i="32"/>
  <c r="AM248" i="32"/>
  <c r="AM202" i="32"/>
  <c r="AM153" i="32"/>
  <c r="AM27" i="32"/>
  <c r="AM540" i="32"/>
  <c r="AM462" i="32"/>
  <c r="AM378" i="32"/>
  <c r="AM397" i="32"/>
  <c r="AM255" i="32"/>
  <c r="AM231" i="32"/>
  <c r="AM150" i="32"/>
  <c r="AM138" i="32"/>
  <c r="AM531" i="32"/>
  <c r="AM500" i="32"/>
  <c r="AM456" i="32"/>
  <c r="AM307" i="32"/>
  <c r="AM312" i="32"/>
  <c r="AM565" i="32"/>
  <c r="AM445" i="32"/>
  <c r="AM437" i="32"/>
  <c r="AM411" i="32"/>
  <c r="AM287" i="32"/>
  <c r="AM57" i="32"/>
  <c r="AM18" i="32"/>
  <c r="BA625" i="32"/>
  <c r="AM321" i="32"/>
  <c r="AM218" i="32"/>
  <c r="AM40" i="32"/>
  <c r="AM56" i="32"/>
  <c r="AM306" i="32"/>
  <c r="AM208" i="32"/>
  <c r="AM197" i="32"/>
  <c r="AM519" i="32"/>
  <c r="AM234" i="32"/>
  <c r="AM32" i="32"/>
  <c r="AM136" i="32"/>
  <c r="AM188" i="32"/>
  <c r="AM237" i="32"/>
  <c r="AM106" i="32"/>
  <c r="AM121" i="32"/>
  <c r="AM172" i="32"/>
  <c r="AM265" i="32"/>
  <c r="AM71" i="32"/>
  <c r="AM91" i="32"/>
  <c r="AM13" i="32"/>
  <c r="AM221" i="32"/>
  <c r="AM190" i="32"/>
  <c r="AM69" i="32"/>
  <c r="AM545" i="32"/>
  <c r="AM560" i="32"/>
  <c r="AM609" i="32"/>
  <c r="AM538" i="32"/>
  <c r="AM604" i="32"/>
  <c r="AM481" i="32"/>
  <c r="AM448" i="32"/>
  <c r="AM401" i="32"/>
  <c r="AM304" i="32"/>
  <c r="AM277" i="32"/>
  <c r="AM160" i="32"/>
  <c r="AM521" i="32"/>
  <c r="AM432" i="32"/>
  <c r="AM418" i="32"/>
  <c r="AM342" i="32"/>
  <c r="AM271" i="32"/>
  <c r="AM203" i="32"/>
  <c r="AM555" i="32"/>
  <c r="AM472" i="32"/>
  <c r="AM399" i="32"/>
  <c r="AM348" i="32"/>
  <c r="AM246" i="32"/>
  <c r="AM605" i="32"/>
  <c r="AM473" i="32"/>
  <c r="AM370" i="32"/>
  <c r="AM395" i="32"/>
  <c r="AM292" i="32"/>
  <c r="AM200" i="32"/>
  <c r="AM184" i="32"/>
  <c r="AM75" i="32"/>
  <c r="AM86" i="32"/>
  <c r="AM504" i="32"/>
  <c r="AM471" i="32"/>
  <c r="AM400" i="32"/>
  <c r="AM379" i="32"/>
  <c r="AM294" i="32"/>
  <c r="AM159" i="32"/>
  <c r="AM21" i="32"/>
  <c r="AM14" i="32"/>
  <c r="AM491" i="32"/>
  <c r="AM434" i="32"/>
  <c r="AM426" i="32"/>
  <c r="AM319" i="32"/>
  <c r="AM286" i="32"/>
  <c r="AM549" i="32"/>
  <c r="AM522" i="32"/>
  <c r="AM433" i="32"/>
  <c r="AM365" i="32"/>
  <c r="AM217" i="32"/>
  <c r="AM58" i="32"/>
  <c r="AM31" i="32"/>
  <c r="AM380" i="32"/>
  <c r="AM268" i="32"/>
  <c r="AM129" i="32"/>
  <c r="AM63" i="32"/>
  <c r="AM402" i="32"/>
  <c r="AM250" i="32"/>
  <c r="AM123" i="32"/>
  <c r="AM49" i="32"/>
  <c r="AM571" i="32"/>
  <c r="AM212" i="32"/>
  <c r="AM98" i="32"/>
  <c r="AM43" i="32"/>
  <c r="AM80" i="32"/>
  <c r="AM220" i="32"/>
  <c r="AM264" i="32"/>
  <c r="AM114" i="32"/>
  <c r="AM76" i="32"/>
  <c r="AM226" i="32"/>
  <c r="AM78" i="32"/>
  <c r="AM93" i="32"/>
  <c r="AM547" i="32"/>
  <c r="AM173" i="32"/>
  <c r="AM66" i="32"/>
  <c r="AM282" i="32"/>
  <c r="AM591" i="32"/>
  <c r="AM345" i="32"/>
  <c r="AM258" i="32"/>
  <c r="AM257" i="32"/>
  <c r="AM514" i="32"/>
  <c r="AM247" i="32"/>
  <c r="AM82" i="32"/>
  <c r="AM464" i="32"/>
  <c r="AM290" i="32"/>
  <c r="AM72" i="32"/>
  <c r="AM450" i="32"/>
  <c r="AM336" i="32"/>
  <c r="AM484" i="32"/>
  <c r="AM428" i="32"/>
  <c r="AM95" i="32"/>
  <c r="AM52" i="32"/>
  <c r="AM495" i="32"/>
  <c r="AM54" i="32"/>
  <c r="AM165" i="32"/>
  <c r="AM369" i="32"/>
  <c r="AM26" i="32"/>
  <c r="AM88" i="32"/>
  <c r="AM338" i="32"/>
  <c r="AM50" i="32"/>
  <c r="AM508" i="32"/>
  <c r="AM543" i="32"/>
  <c r="AM594" i="32"/>
  <c r="AM132" i="32"/>
  <c r="AM430" i="32"/>
  <c r="AM530" i="32"/>
  <c r="AM513" i="32"/>
  <c r="AM245" i="32"/>
  <c r="AM600" i="32"/>
  <c r="AM490" i="32"/>
  <c r="AM239" i="32"/>
  <c r="AM81" i="32"/>
  <c r="AM441" i="32"/>
  <c r="AM219" i="32"/>
  <c r="AM425" i="32"/>
  <c r="AM171" i="32"/>
  <c r="AM23" i="32"/>
  <c r="AM22" i="32"/>
  <c r="AM145" i="32"/>
  <c r="AM350" i="32"/>
  <c r="AM34" i="32"/>
  <c r="AM139" i="32"/>
  <c r="AM509" i="32"/>
  <c r="AM112" i="32"/>
  <c r="AM110" i="32"/>
  <c r="AM598" i="32"/>
  <c r="AM577" i="32"/>
  <c r="AM409" i="32"/>
  <c r="AM583" i="32"/>
  <c r="AM330" i="32"/>
  <c r="AM194" i="32"/>
  <c r="AM599" i="32"/>
  <c r="AM351" i="32"/>
  <c r="AM222" i="32"/>
  <c r="AM574" i="32"/>
  <c r="AM376" i="32"/>
  <c r="AM253" i="32"/>
  <c r="AM420" i="32"/>
  <c r="AM61" i="32"/>
  <c r="AM520" i="32"/>
  <c r="AM64" i="32"/>
  <c r="AM29" i="32"/>
  <c r="AM327" i="32"/>
  <c r="AM174" i="32"/>
  <c r="AM116" i="32"/>
  <c r="AM451" i="32"/>
  <c r="AM143" i="32"/>
  <c r="AM113" i="32"/>
  <c r="AM536" i="32"/>
  <c r="AM447" i="32"/>
  <c r="AM340" i="32"/>
  <c r="AM502" i="32"/>
  <c r="AM331" i="32"/>
  <c r="AM192" i="32"/>
  <c r="AM527" i="32"/>
  <c r="AM354" i="32"/>
  <c r="AM180" i="32"/>
  <c r="AM563" i="32"/>
  <c r="AM364" i="32"/>
  <c r="AM525" i="32"/>
  <c r="AM388" i="32"/>
  <c r="AM102" i="32"/>
  <c r="AM276" i="32"/>
  <c r="AM44" i="32"/>
  <c r="AM117" i="32"/>
  <c r="AM178" i="32"/>
  <c r="AM101" i="32"/>
  <c r="AM162" i="32"/>
  <c r="AM201" i="32"/>
  <c r="AM235" i="32"/>
  <c r="AM42" i="32"/>
  <c r="AM461" i="32"/>
  <c r="AM289" i="32"/>
  <c r="AM339" i="32"/>
  <c r="AM468" i="32"/>
  <c r="AM146" i="32"/>
  <c r="AM419" i="32"/>
  <c r="AM494" i="32"/>
  <c r="AM204" i="32"/>
  <c r="AM48" i="32"/>
  <c r="AM487" i="32"/>
  <c r="AM183" i="32"/>
  <c r="AM85" i="32"/>
  <c r="AM459" i="32"/>
  <c r="AM318" i="32"/>
  <c r="AM242" i="32"/>
  <c r="AM470" i="32"/>
  <c r="AM176" i="32"/>
  <c r="AM352" i="32"/>
  <c r="AM439" i="32"/>
  <c r="AM163" i="32"/>
  <c r="AM16" i="32"/>
  <c r="AM387" i="32"/>
  <c r="AM186" i="32"/>
  <c r="AM195" i="32"/>
  <c r="AM317" i="32"/>
  <c r="AM272" i="32"/>
  <c r="AM405" i="32"/>
  <c r="AM492" i="32"/>
  <c r="AM124" i="32"/>
  <c r="AM259" i="32"/>
  <c r="AM169" i="32"/>
  <c r="AM119" i="32"/>
  <c r="AM281" i="32"/>
  <c r="AM210" i="32"/>
  <c r="AM107" i="32"/>
  <c r="AM322" i="32"/>
  <c r="AM108" i="32"/>
  <c r="AM225" i="32"/>
  <c r="AM256" i="32"/>
  <c r="AM224" i="32"/>
  <c r="AM391" i="32"/>
  <c r="AM77" i="32"/>
  <c r="AM230" i="32"/>
  <c r="AM147" i="32"/>
  <c r="AM60" i="32"/>
  <c r="AM446" i="32"/>
  <c r="AM170" i="32"/>
  <c r="AM148" i="32"/>
  <c r="AM518" i="32"/>
  <c r="AM505" i="32"/>
  <c r="AM67" i="32"/>
  <c r="AM168" i="32"/>
  <c r="AM185" i="32"/>
  <c r="AM343" i="32"/>
  <c r="AM493" i="32"/>
  <c r="AM36" i="32"/>
  <c r="AM360" i="32"/>
  <c r="AM469" i="32"/>
  <c r="AM140" i="32"/>
  <c r="AM325" i="32"/>
  <c r="AM488" i="32"/>
  <c r="AM485" i="32"/>
  <c r="AM109" i="32"/>
  <c r="AM105" i="32"/>
  <c r="AM157" i="32"/>
  <c r="AM55" i="32"/>
  <c r="AM374" i="32"/>
  <c r="AM68" i="32"/>
  <c r="AM279" i="32"/>
  <c r="AM511" i="32"/>
  <c r="AM33" i="32"/>
  <c r="AM314" i="32"/>
  <c r="AM392" i="32"/>
  <c r="AM467" i="32"/>
  <c r="AM65" i="32"/>
  <c r="AM394" i="32"/>
  <c r="AM144" i="32"/>
  <c r="AM51" i="32"/>
  <c r="AM111" i="32"/>
  <c r="AM291" i="32"/>
  <c r="AM572" i="32"/>
  <c r="AM389" i="32"/>
  <c r="AM175" i="32"/>
  <c r="AM252" i="32"/>
  <c r="AM516" i="32"/>
  <c r="AM267" i="32"/>
  <c r="AM463" i="32"/>
  <c r="AM130" i="32"/>
  <c r="AM39" i="32"/>
  <c r="AM189" i="32"/>
  <c r="AJ588" i="32"/>
  <c r="AJ525" i="32"/>
  <c r="AJ461" i="32"/>
  <c r="AJ348" i="32"/>
  <c r="AJ327" i="32"/>
  <c r="AJ230" i="32"/>
  <c r="AJ223" i="32"/>
  <c r="AJ126" i="32"/>
  <c r="AJ76" i="32"/>
  <c r="AJ608" i="32"/>
  <c r="AJ579" i="32"/>
  <c r="AJ488" i="32"/>
  <c r="AJ407" i="32"/>
  <c r="AJ292" i="32"/>
  <c r="AJ334" i="32"/>
  <c r="AJ162" i="32"/>
  <c r="AJ117" i="32"/>
  <c r="AJ75" i="32"/>
  <c r="AJ28" i="32"/>
  <c r="AJ576" i="32"/>
  <c r="AJ514" i="32"/>
  <c r="AJ464" i="32"/>
  <c r="AJ471" i="32"/>
  <c r="AJ310" i="32"/>
  <c r="AJ309" i="32"/>
  <c r="AJ191" i="32"/>
  <c r="AJ111" i="32"/>
  <c r="AJ135" i="32"/>
  <c r="AJ27" i="32"/>
  <c r="AJ596" i="32"/>
  <c r="AJ508" i="32"/>
  <c r="AJ491" i="32"/>
  <c r="AJ393" i="32"/>
  <c r="AJ371" i="32"/>
  <c r="AJ293" i="32"/>
  <c r="AJ151" i="32"/>
  <c r="AJ69" i="32"/>
  <c r="AJ139" i="32"/>
  <c r="AJ599" i="32"/>
  <c r="AJ556" i="32"/>
  <c r="AJ496" i="32"/>
  <c r="AJ547" i="32"/>
  <c r="AJ418" i="32"/>
  <c r="AJ302" i="32"/>
  <c r="AJ249" i="32"/>
  <c r="AJ156" i="32"/>
  <c r="AJ25" i="32"/>
  <c r="AJ17" i="32"/>
  <c r="AJ601" i="32"/>
  <c r="AJ420" i="32"/>
  <c r="AJ352" i="32"/>
  <c r="AJ59" i="32"/>
  <c r="AJ565" i="32"/>
  <c r="AJ501" i="32"/>
  <c r="AJ438" i="32"/>
  <c r="AJ346" i="32"/>
  <c r="AJ326" i="32"/>
  <c r="AJ215" i="32"/>
  <c r="AJ211" i="32"/>
  <c r="AJ121" i="32"/>
  <c r="AJ63" i="32"/>
  <c r="AJ572" i="32"/>
  <c r="AJ499" i="32"/>
  <c r="AJ456" i="32"/>
  <c r="AJ431" i="32"/>
  <c r="AJ419" i="32"/>
  <c r="AJ262" i="32"/>
  <c r="AJ181" i="32"/>
  <c r="AJ92" i="32"/>
  <c r="AJ127" i="32"/>
  <c r="AJ16" i="32"/>
  <c r="AJ529" i="32"/>
  <c r="AJ441" i="32"/>
  <c r="AJ442" i="32"/>
  <c r="AJ358" i="32"/>
  <c r="AJ317" i="32"/>
  <c r="AJ298" i="32"/>
  <c r="AJ143" i="32"/>
  <c r="AJ132" i="32"/>
  <c r="AJ604" i="32"/>
  <c r="AJ580" i="32"/>
  <c r="AJ483" i="32"/>
  <c r="AJ433" i="32"/>
  <c r="AJ324" i="32"/>
  <c r="AJ279" i="32"/>
  <c r="AJ213" i="32"/>
  <c r="AJ149" i="32"/>
  <c r="AJ89" i="32"/>
  <c r="AJ120" i="32"/>
  <c r="AJ559" i="32"/>
  <c r="AJ451" i="32"/>
  <c r="AJ459" i="32"/>
  <c r="AJ454" i="32"/>
  <c r="AJ350" i="32"/>
  <c r="AJ226" i="32"/>
  <c r="AJ177" i="32"/>
  <c r="AJ35" i="32"/>
  <c r="AJ18" i="32"/>
  <c r="AJ520" i="32"/>
  <c r="AJ259" i="32"/>
  <c r="AJ93" i="32"/>
  <c r="AJ408" i="32"/>
  <c r="AJ124" i="32"/>
  <c r="AJ560" i="32"/>
  <c r="AJ367" i="32"/>
  <c r="AJ32" i="32"/>
  <c r="AJ400" i="32"/>
  <c r="AJ15" i="32"/>
  <c r="AJ492" i="32"/>
  <c r="AJ165" i="32"/>
  <c r="AJ597" i="32"/>
  <c r="AJ540" i="32"/>
  <c r="AJ377" i="32"/>
  <c r="AJ233" i="32"/>
  <c r="AJ66" i="32"/>
  <c r="AJ546" i="32"/>
  <c r="AJ507" i="32"/>
  <c r="AJ389" i="32"/>
  <c r="AJ354" i="32"/>
  <c r="AJ338" i="32"/>
  <c r="AJ201" i="32"/>
  <c r="AJ166" i="32"/>
  <c r="AJ105" i="32"/>
  <c r="AJ53" i="32"/>
  <c r="AJ550" i="32"/>
  <c r="AJ485" i="32"/>
  <c r="AJ504" i="32"/>
  <c r="AJ401" i="32"/>
  <c r="AJ319" i="32"/>
  <c r="AJ283" i="32"/>
  <c r="AJ199" i="32"/>
  <c r="AJ95" i="32"/>
  <c r="AJ58" i="32"/>
  <c r="AJ568" i="32"/>
  <c r="AJ482" i="32"/>
  <c r="AJ455" i="32"/>
  <c r="AJ427" i="32"/>
  <c r="AJ375" i="32"/>
  <c r="AJ254" i="32"/>
  <c r="AJ176" i="32"/>
  <c r="AJ86" i="32"/>
  <c r="AJ125" i="32"/>
  <c r="AJ582" i="32"/>
  <c r="AJ516" i="32"/>
  <c r="AJ445" i="32"/>
  <c r="AJ376" i="32"/>
  <c r="AJ321" i="32"/>
  <c r="AJ264" i="32"/>
  <c r="AJ203" i="32"/>
  <c r="AJ38" i="32"/>
  <c r="AJ581" i="32"/>
  <c r="AJ373" i="32"/>
  <c r="AJ242" i="32"/>
  <c r="AJ81" i="32"/>
  <c r="AJ545" i="32"/>
  <c r="AJ481" i="32"/>
  <c r="AJ406" i="32"/>
  <c r="AJ290" i="32"/>
  <c r="AJ329" i="32"/>
  <c r="AJ299" i="32"/>
  <c r="AJ115" i="32"/>
  <c r="AJ72" i="32"/>
  <c r="AJ101" i="32"/>
  <c r="AJ564" i="32"/>
  <c r="AJ517" i="32"/>
  <c r="AJ411" i="32"/>
  <c r="AJ363" i="32"/>
  <c r="AJ281" i="32"/>
  <c r="AJ256" i="32"/>
  <c r="AJ207" i="32"/>
  <c r="AJ87" i="32"/>
  <c r="AJ50" i="32"/>
  <c r="AJ587" i="32"/>
  <c r="AJ524" i="32"/>
  <c r="AJ475" i="32"/>
  <c r="AJ380" i="32"/>
  <c r="AJ330" i="32"/>
  <c r="AJ274" i="32"/>
  <c r="AJ219" i="32"/>
  <c r="AJ43" i="32"/>
  <c r="AJ94" i="32"/>
  <c r="AJ584" i="32"/>
  <c r="AJ474" i="32"/>
  <c r="AJ434" i="32"/>
  <c r="AJ368" i="32"/>
  <c r="AJ342" i="32"/>
  <c r="AJ222" i="32"/>
  <c r="AJ123" i="32"/>
  <c r="AJ180" i="32"/>
  <c r="AJ532" i="32"/>
  <c r="AJ355" i="32"/>
  <c r="AJ160" i="32"/>
  <c r="AJ575" i="32"/>
  <c r="AJ513" i="32"/>
  <c r="AJ462" i="32"/>
  <c r="AJ436" i="32"/>
  <c r="AJ300" i="32"/>
  <c r="AJ265" i="32"/>
  <c r="AJ185" i="32"/>
  <c r="AJ96" i="32"/>
  <c r="AJ131" i="32"/>
  <c r="AJ24" i="32"/>
  <c r="AJ534" i="32"/>
  <c r="AJ443" i="32"/>
  <c r="AJ372" i="32"/>
  <c r="AJ359" i="32"/>
  <c r="AJ322" i="32"/>
  <c r="AJ217" i="32"/>
  <c r="AJ147" i="32"/>
  <c r="AJ146" i="32"/>
  <c r="AJ52" i="32"/>
  <c r="AJ591" i="32"/>
  <c r="AJ480" i="32"/>
  <c r="AJ439" i="32"/>
  <c r="AJ435" i="32"/>
  <c r="AJ344" i="32"/>
  <c r="AJ236" i="32"/>
  <c r="AJ141" i="32"/>
  <c r="AJ221" i="32"/>
  <c r="AJ154" i="32"/>
  <c r="AJ567" i="32"/>
  <c r="AJ460" i="32"/>
  <c r="AJ463" i="32"/>
  <c r="AJ353" i="32"/>
  <c r="AJ351" i="32"/>
  <c r="AJ231" i="32"/>
  <c r="AJ179" i="32"/>
  <c r="AJ57" i="32"/>
  <c r="AJ21" i="32"/>
  <c r="AJ583" i="32"/>
  <c r="AJ536" i="32"/>
  <c r="AJ509" i="32"/>
  <c r="AJ404" i="32"/>
  <c r="AJ303" i="32"/>
  <c r="AJ356" i="32"/>
  <c r="AJ168" i="32"/>
  <c r="AJ83" i="32"/>
  <c r="AJ108" i="32"/>
  <c r="AJ51" i="32"/>
  <c r="AJ357" i="32"/>
  <c r="AJ138" i="32"/>
  <c r="AJ544" i="32"/>
  <c r="AJ240" i="32"/>
  <c r="AJ20" i="32"/>
  <c r="AJ428" i="32"/>
  <c r="AJ34" i="32"/>
  <c r="AJ489" i="32"/>
  <c r="AJ192" i="32"/>
  <c r="AJ551" i="32"/>
  <c r="AJ269" i="32"/>
  <c r="AJ91" i="32"/>
  <c r="AJ318" i="32"/>
  <c r="AJ594" i="32"/>
  <c r="AJ490" i="32"/>
  <c r="AJ339" i="32"/>
  <c r="AJ150" i="32"/>
  <c r="AJ136" i="32"/>
  <c r="AJ539" i="32"/>
  <c r="AJ432" i="32"/>
  <c r="AJ291" i="32"/>
  <c r="AJ157" i="32"/>
  <c r="AJ47" i="32"/>
  <c r="AJ477" i="32"/>
  <c r="AJ360" i="32"/>
  <c r="AJ237" i="32"/>
  <c r="AJ90" i="32"/>
  <c r="AJ585" i="32"/>
  <c r="AJ396" i="32"/>
  <c r="AJ276" i="32"/>
  <c r="AJ383" i="32"/>
  <c r="AJ555" i="32"/>
  <c r="AJ450" i="32"/>
  <c r="AJ296" i="32"/>
  <c r="AJ152" i="32"/>
  <c r="AJ42" i="32"/>
  <c r="AJ538" i="32"/>
  <c r="AJ402" i="32"/>
  <c r="AJ295" i="32"/>
  <c r="AJ107" i="32"/>
  <c r="AJ198" i="32"/>
  <c r="AJ502" i="32"/>
  <c r="AJ421" i="32"/>
  <c r="AJ248" i="32"/>
  <c r="AJ84" i="32"/>
  <c r="AJ526" i="32"/>
  <c r="AJ424" i="32"/>
  <c r="AJ268" i="32"/>
  <c r="AJ605" i="32"/>
  <c r="AJ202" i="32"/>
  <c r="AJ566" i="32"/>
  <c r="AJ413" i="32"/>
  <c r="AJ294" i="32"/>
  <c r="AJ210" i="32"/>
  <c r="AJ54" i="32"/>
  <c r="AJ503" i="32"/>
  <c r="AJ388" i="32"/>
  <c r="AJ277" i="32"/>
  <c r="AJ56" i="32"/>
  <c r="AJ606" i="32"/>
  <c r="AJ497" i="32"/>
  <c r="AJ336" i="32"/>
  <c r="AJ224" i="32"/>
  <c r="AJ97" i="32"/>
  <c r="AJ554" i="32"/>
  <c r="AJ391" i="32"/>
  <c r="AJ273" i="32"/>
  <c r="AJ145" i="32"/>
  <c r="AJ184" i="32"/>
  <c r="AJ574" i="32"/>
  <c r="AJ476" i="32"/>
  <c r="AJ448" i="32"/>
  <c r="AJ275" i="32"/>
  <c r="AJ208" i="32"/>
  <c r="AJ37" i="32"/>
  <c r="AJ171" i="32"/>
  <c r="AJ486" i="32"/>
  <c r="AJ78" i="32"/>
  <c r="AJ349" i="32"/>
  <c r="AJ100" i="32"/>
  <c r="AJ323" i="32"/>
  <c r="AJ578" i="32"/>
  <c r="AJ316" i="32"/>
  <c r="AJ523" i="32"/>
  <c r="AJ178" i="32"/>
  <c r="AJ430" i="32"/>
  <c r="AJ188" i="32"/>
  <c r="AJ592" i="32"/>
  <c r="AJ253" i="32"/>
  <c r="AJ271" i="32"/>
  <c r="AJ521" i="32"/>
  <c r="AJ385" i="32"/>
  <c r="AJ68" i="32"/>
  <c r="AJ510" i="32"/>
  <c r="AJ112" i="32"/>
  <c r="AJ458" i="32"/>
  <c r="AJ590" i="32"/>
  <c r="AJ227" i="32"/>
  <c r="AJ549" i="32"/>
  <c r="AJ378" i="32"/>
  <c r="AJ369" i="32"/>
  <c r="AJ159" i="32"/>
  <c r="AJ62" i="32"/>
  <c r="AJ487" i="32"/>
  <c r="AJ394" i="32"/>
  <c r="AJ241" i="32"/>
  <c r="AJ22" i="32"/>
  <c r="AJ612" i="32"/>
  <c r="AJ466" i="32"/>
  <c r="AJ332" i="32"/>
  <c r="AJ245" i="32"/>
  <c r="AJ44" i="32"/>
  <c r="AJ467" i="32"/>
  <c r="AJ414" i="32"/>
  <c r="AJ251" i="32"/>
  <c r="AJ85" i="32"/>
  <c r="AJ82" i="32"/>
  <c r="AJ603" i="32"/>
  <c r="AJ522" i="32"/>
  <c r="AJ365" i="32"/>
  <c r="AJ267" i="32"/>
  <c r="AJ232" i="32"/>
  <c r="AJ140" i="32"/>
  <c r="AJ39" i="32"/>
  <c r="AJ415" i="32"/>
  <c r="AJ113" i="32"/>
  <c r="AJ297" i="32"/>
  <c r="AJ167" i="32"/>
  <c r="AJ345" i="32"/>
  <c r="AJ553" i="32"/>
  <c r="AJ212" i="32"/>
  <c r="AJ468" i="32"/>
  <c r="AJ80" i="32"/>
  <c r="AJ412" i="32"/>
  <c r="AJ197" i="32"/>
  <c r="AJ500" i="32"/>
  <c r="AJ284" i="32"/>
  <c r="AJ99" i="32"/>
  <c r="AJ306" i="32"/>
  <c r="AJ170" i="32"/>
  <c r="AJ512" i="32"/>
  <c r="AJ493" i="32"/>
  <c r="AJ246" i="32"/>
  <c r="AJ600" i="32"/>
  <c r="AJ287" i="32"/>
  <c r="AJ60" i="32"/>
  <c r="AJ405" i="32"/>
  <c r="AJ193" i="32"/>
  <c r="AJ440" i="32"/>
  <c r="AJ266" i="32"/>
  <c r="AJ137" i="32"/>
  <c r="AJ495" i="32"/>
  <c r="AJ270" i="32"/>
  <c r="AJ98" i="32"/>
  <c r="AJ340" i="32"/>
  <c r="AJ250" i="32"/>
  <c r="AJ204" i="32"/>
  <c r="AJ403" i="32"/>
  <c r="AJ370" i="32"/>
  <c r="AJ429" i="32"/>
  <c r="AJ288" i="32"/>
  <c r="AJ446" i="32"/>
  <c r="AJ174" i="32"/>
  <c r="AJ506" i="32"/>
  <c r="AJ392" i="32"/>
  <c r="AJ286" i="32"/>
  <c r="AJ67" i="32"/>
  <c r="AJ607" i="32"/>
  <c r="AJ505" i="32"/>
  <c r="AJ337" i="32"/>
  <c r="AJ229" i="32"/>
  <c r="AJ104" i="32"/>
  <c r="AJ573" i="32"/>
  <c r="AJ469" i="32"/>
  <c r="AJ314" i="32"/>
  <c r="AJ183" i="32"/>
  <c r="AJ49" i="32"/>
  <c r="AJ498" i="32"/>
  <c r="AJ381" i="32"/>
  <c r="AJ252" i="32"/>
  <c r="AJ74" i="32"/>
  <c r="AJ103" i="32"/>
  <c r="AJ569" i="32"/>
  <c r="AJ479" i="32"/>
  <c r="AJ347" i="32"/>
  <c r="AJ260" i="32"/>
  <c r="AJ194" i="32"/>
  <c r="AJ73" i="32"/>
  <c r="AJ40" i="32"/>
  <c r="AJ305" i="32"/>
  <c r="AJ48" i="32"/>
  <c r="AJ331" i="32"/>
  <c r="AJ595" i="32"/>
  <c r="AJ225" i="32"/>
  <c r="AJ531" i="32"/>
  <c r="AJ169" i="32"/>
  <c r="AJ386" i="32"/>
  <c r="AJ71" i="32"/>
  <c r="AJ425" i="32"/>
  <c r="AJ36" i="32"/>
  <c r="AJ515" i="32"/>
  <c r="AJ234" i="32"/>
  <c r="AJ589" i="32"/>
  <c r="AJ64" i="32"/>
  <c r="BA624" i="32"/>
  <c r="AJ255" i="32"/>
  <c r="AJ409" i="32"/>
  <c r="AJ23" i="32"/>
  <c r="AJ478" i="32"/>
  <c r="AJ257" i="32"/>
  <c r="AJ562" i="32"/>
  <c r="AJ278" i="32"/>
  <c r="AJ26" i="32"/>
  <c r="AJ343" i="32"/>
  <c r="AJ106" i="32"/>
  <c r="AJ426" i="32"/>
  <c r="AJ116" i="32"/>
  <c r="AJ65" i="32"/>
  <c r="AJ609" i="32"/>
  <c r="AJ558" i="32"/>
  <c r="AJ533" i="32"/>
  <c r="AJ102" i="32"/>
  <c r="AJ164" i="32"/>
  <c r="AJ163" i="32"/>
  <c r="D624" i="32"/>
  <c r="AJ30" i="32"/>
  <c r="AJ209" i="32"/>
  <c r="AJ142" i="32"/>
  <c r="AJ320" i="32"/>
  <c r="AJ541" i="32"/>
  <c r="AJ528" i="32"/>
  <c r="AJ593" i="32"/>
  <c r="AJ128" i="32"/>
  <c r="AJ155" i="32"/>
  <c r="AJ239" i="32"/>
  <c r="AJ613" i="32"/>
  <c r="AJ444" i="32"/>
  <c r="AJ552" i="32"/>
  <c r="AJ200" i="32"/>
  <c r="AJ220" i="32"/>
  <c r="AJ172" i="32"/>
  <c r="AJ602" i="32"/>
  <c r="AJ417" i="32"/>
  <c r="AJ214" i="32"/>
  <c r="AJ187" i="32"/>
  <c r="AJ196" i="32"/>
  <c r="AJ238" i="32"/>
  <c r="AJ114" i="32"/>
  <c r="AJ41" i="32"/>
  <c r="AJ561" i="32"/>
  <c r="AJ29" i="32"/>
  <c r="AJ33" i="32"/>
  <c r="AJ518" i="32"/>
  <c r="AJ366" i="32"/>
  <c r="AJ484" i="32"/>
  <c r="AJ527" i="32"/>
  <c r="AJ610" i="32"/>
  <c r="AJ189" i="32"/>
  <c r="AJ570" i="32"/>
  <c r="AJ416" i="32"/>
  <c r="AJ244" i="32"/>
  <c r="AJ55" i="32"/>
  <c r="AJ362" i="32"/>
  <c r="AJ133" i="32"/>
  <c r="AJ175" i="32"/>
  <c r="AJ31" i="32"/>
  <c r="AJ511" i="32"/>
  <c r="AJ45" i="32"/>
  <c r="AJ161" i="32"/>
  <c r="AJ153" i="32"/>
  <c r="AJ382" i="32"/>
  <c r="AJ333" i="32"/>
  <c r="AJ457" i="32"/>
  <c r="AJ206" i="32"/>
  <c r="AJ312" i="32"/>
  <c r="AJ611" i="32"/>
  <c r="AJ447" i="32"/>
  <c r="AJ395" i="32"/>
  <c r="AJ410" i="32"/>
  <c r="AJ399" i="32"/>
  <c r="AJ289" i="32"/>
  <c r="AJ437" i="32"/>
  <c r="AJ470" i="32"/>
  <c r="AJ205" i="32"/>
  <c r="AJ519" i="32"/>
  <c r="AJ379" i="32"/>
  <c r="AJ261" i="32"/>
  <c r="AJ70" i="32"/>
  <c r="AJ129" i="32"/>
  <c r="AJ144" i="32"/>
  <c r="AJ280" i="32"/>
  <c r="AJ61" i="32"/>
  <c r="AJ315" i="32"/>
  <c r="AJ465" i="32"/>
  <c r="AJ453" i="32"/>
  <c r="AJ308" i="32"/>
  <c r="AJ361" i="32"/>
  <c r="G634" i="32"/>
  <c r="AJ282" i="32"/>
  <c r="AJ543" i="32"/>
  <c r="AJ118" i="32"/>
  <c r="AJ384" i="32"/>
  <c r="AJ243" i="32"/>
  <c r="AJ304" i="32"/>
  <c r="AJ374" i="32"/>
  <c r="AJ263" i="32"/>
  <c r="AJ88" i="32"/>
  <c r="AJ190" i="32"/>
  <c r="AJ364" i="32"/>
  <c r="AJ449" i="32"/>
  <c r="AJ537" i="32"/>
  <c r="AJ586" i="32"/>
  <c r="AJ216" i="32"/>
  <c r="AJ577" i="32"/>
  <c r="AJ387" i="32"/>
  <c r="AJ247" i="32"/>
  <c r="AJ122" i="32"/>
  <c r="AJ130" i="32"/>
  <c r="AJ77" i="32"/>
  <c r="AJ14" i="32"/>
  <c r="AJ598" i="32"/>
  <c r="AJ535" i="32"/>
  <c r="AJ557" i="32"/>
  <c r="AJ19" i="32"/>
  <c r="AJ13" i="32"/>
  <c r="AJ272" i="32"/>
  <c r="AJ452" i="32"/>
  <c r="AJ548" i="32"/>
  <c r="AJ182" i="32"/>
  <c r="AJ563" i="32"/>
  <c r="AJ423" i="32"/>
  <c r="AJ307" i="32"/>
  <c r="AJ186" i="32"/>
  <c r="AJ397" i="32"/>
  <c r="AJ218" i="32"/>
  <c r="AJ398" i="32"/>
  <c r="AJ109" i="32"/>
  <c r="AJ325" i="32"/>
  <c r="AJ571" i="32"/>
  <c r="AJ494" i="32"/>
  <c r="AJ301" i="32"/>
  <c r="AJ422" i="32"/>
  <c r="AJ542" i="32"/>
  <c r="AJ119" i="32"/>
  <c r="AJ328" i="32"/>
  <c r="AJ473" i="32"/>
  <c r="AJ148" i="32"/>
  <c r="AJ530" i="32"/>
  <c r="AJ313" i="32"/>
  <c r="AJ285" i="32"/>
  <c r="AJ258" i="32"/>
  <c r="AJ134" i="32"/>
  <c r="AJ341" i="32"/>
  <c r="AJ472" i="32"/>
  <c r="AJ335" i="32"/>
  <c r="AJ235" i="32"/>
  <c r="AJ79" i="32"/>
  <c r="AJ390" i="32"/>
  <c r="AJ311" i="32"/>
  <c r="AJ173" i="32"/>
  <c r="AJ158" i="32"/>
  <c r="AJ110" i="32"/>
  <c r="AJ46" i="32"/>
  <c r="AJ195" i="32"/>
  <c r="AJ228" i="32"/>
  <c r="D629" i="32"/>
  <c r="D627" i="32"/>
  <c r="AP624" i="32"/>
  <c r="AP625" i="32"/>
  <c r="AP603" i="32"/>
  <c r="AP607" i="32"/>
  <c r="AP592" i="32"/>
  <c r="AP591" i="32"/>
  <c r="AP560" i="32"/>
  <c r="AP574" i="32"/>
  <c r="AP555" i="32"/>
  <c r="AP548" i="32"/>
  <c r="AP537" i="32"/>
  <c r="AP516" i="32"/>
  <c r="AP472" i="32"/>
  <c r="AP529" i="32"/>
  <c r="AP499" i="32"/>
  <c r="AP530" i="32"/>
  <c r="AP455" i="32"/>
  <c r="AP474" i="32"/>
  <c r="AP460" i="32"/>
  <c r="AP480" i="32"/>
  <c r="AP428" i="32"/>
  <c r="AP477" i="32"/>
  <c r="AP443" i="32"/>
  <c r="AP446" i="32"/>
  <c r="AP384" i="32"/>
  <c r="AP420" i="32"/>
  <c r="AP396" i="32"/>
  <c r="AP421" i="32"/>
  <c r="AP447" i="32"/>
  <c r="AP377" i="32"/>
  <c r="AP374" i="32"/>
  <c r="AP387" i="32"/>
  <c r="AP375" i="32"/>
  <c r="AP363" i="32"/>
  <c r="AP342" i="32"/>
  <c r="AP322" i="32"/>
  <c r="AP317" i="32"/>
  <c r="AP312" i="32"/>
  <c r="AP328" i="32"/>
  <c r="AP251" i="32"/>
  <c r="AP255" i="32"/>
  <c r="AP266" i="32"/>
  <c r="AP284" i="32"/>
  <c r="AP293" i="32"/>
  <c r="AP291" i="32"/>
  <c r="AP218" i="32"/>
  <c r="AP229" i="32"/>
  <c r="AP265" i="32"/>
  <c r="AP247" i="32"/>
  <c r="AP231" i="32"/>
  <c r="AP212" i="32"/>
  <c r="AP183" i="32"/>
  <c r="AP159" i="32"/>
  <c r="AP146" i="32"/>
  <c r="AP180" i="32"/>
  <c r="AP139" i="32"/>
  <c r="AP155" i="32"/>
  <c r="AP192" i="32"/>
  <c r="AP133" i="32"/>
  <c r="AP144" i="32"/>
  <c r="AP141" i="32"/>
  <c r="AP44" i="32"/>
  <c r="AP142" i="32"/>
  <c r="AP94" i="32"/>
  <c r="AP20" i="32"/>
  <c r="AP77" i="32"/>
  <c r="AP188" i="32"/>
  <c r="AP236" i="32"/>
  <c r="AP101" i="32"/>
  <c r="AP47" i="32"/>
  <c r="AP111" i="32"/>
  <c r="AP71" i="32"/>
  <c r="AP43" i="32"/>
  <c r="AP27" i="32"/>
  <c r="AP50" i="32"/>
  <c r="AP48" i="32"/>
  <c r="AP51" i="32"/>
  <c r="AP598" i="32"/>
  <c r="AP605" i="32"/>
  <c r="AP588" i="32"/>
  <c r="AP576" i="32"/>
  <c r="AP559" i="32"/>
  <c r="AP569" i="32"/>
  <c r="AP558" i="32"/>
  <c r="AP533" i="32"/>
  <c r="AP510" i="32"/>
  <c r="AP512" i="32"/>
  <c r="AP470" i="32"/>
  <c r="AP527" i="32"/>
  <c r="AP492" i="32"/>
  <c r="AP526" i="32"/>
  <c r="AP437" i="32"/>
  <c r="AP490" i="32"/>
  <c r="AP459" i="32"/>
  <c r="AP478" i="32"/>
  <c r="AP467" i="32"/>
  <c r="AP453" i="32"/>
  <c r="AP442" i="32"/>
  <c r="AP441" i="32"/>
  <c r="AP415" i="32"/>
  <c r="AP409" i="32"/>
  <c r="AP390" i="32"/>
  <c r="AP419" i="32"/>
  <c r="AP416" i="32"/>
  <c r="AP372" i="32"/>
  <c r="AP362" i="32"/>
  <c r="AP367" i="32"/>
  <c r="AP369" i="32"/>
  <c r="AP360" i="32"/>
  <c r="AP339" i="32"/>
  <c r="AP316" i="32"/>
  <c r="AP311" i="32"/>
  <c r="AP310" i="32"/>
  <c r="AP324" i="32"/>
  <c r="AP353" i="32"/>
  <c r="AP243" i="32"/>
  <c r="AP252" i="32"/>
  <c r="AP281" i="32"/>
  <c r="AP267" i="32"/>
  <c r="AP282" i="32"/>
  <c r="AP217" i="32"/>
  <c r="AP228" i="32"/>
  <c r="AP262" i="32"/>
  <c r="AP242" i="32"/>
  <c r="AP221" i="32"/>
  <c r="AP202" i="32"/>
  <c r="AP182" i="32"/>
  <c r="AP211" i="32"/>
  <c r="AP143" i="32"/>
  <c r="AP175" i="32"/>
  <c r="AP135" i="32"/>
  <c r="AP294" i="32"/>
  <c r="AP190" i="32"/>
  <c r="AP246" i="32"/>
  <c r="AP136" i="32"/>
  <c r="AP132" i="32"/>
  <c r="AP31" i="32"/>
  <c r="AP125" i="32"/>
  <c r="AP76" i="32"/>
  <c r="AP147" i="32"/>
  <c r="AP70" i="32"/>
  <c r="AP163" i="32"/>
  <c r="AP149" i="32"/>
  <c r="AP100" i="32"/>
  <c r="AP38" i="32"/>
  <c r="AP140" i="32"/>
  <c r="AP68" i="32"/>
  <c r="AP35" i="32"/>
  <c r="AP19" i="32"/>
  <c r="AP24" i="32"/>
  <c r="AP17" i="32"/>
  <c r="AP58" i="32"/>
  <c r="AP602" i="32"/>
  <c r="AP594" i="32"/>
  <c r="AP590" i="32"/>
  <c r="AP573" i="32"/>
  <c r="AP561" i="32"/>
  <c r="AP557" i="32"/>
  <c r="AP545" i="32"/>
  <c r="AP571" i="32"/>
  <c r="AP464" i="32"/>
  <c r="AP506" i="32"/>
  <c r="AP531" i="32"/>
  <c r="AP495" i="32"/>
  <c r="AP463" i="32"/>
  <c r="AP514" i="32"/>
  <c r="AP461" i="32"/>
  <c r="AP444" i="32"/>
  <c r="AP406" i="32"/>
  <c r="AP484" i="32"/>
  <c r="AP400" i="32"/>
  <c r="AP397" i="32"/>
  <c r="AP405" i="32"/>
  <c r="AP380" i="32"/>
  <c r="AP357" i="32"/>
  <c r="AP349" i="32"/>
  <c r="AP344" i="32"/>
  <c r="AP346" i="32"/>
  <c r="AP345" i="32"/>
  <c r="AP343" i="32"/>
  <c r="AP330" i="32"/>
  <c r="AP321" i="32"/>
  <c r="AP285" i="32"/>
  <c r="AP261" i="32"/>
  <c r="AP238" i="32"/>
  <c r="AP234" i="32"/>
  <c r="AP235" i="32"/>
  <c r="AP313" i="32"/>
  <c r="AP216" i="32"/>
  <c r="AP178" i="32"/>
  <c r="AP161" i="32"/>
  <c r="AP184" i="32"/>
  <c r="AP124" i="32"/>
  <c r="AP205" i="32"/>
  <c r="AP137" i="32"/>
  <c r="AP122" i="32"/>
  <c r="AP82" i="32"/>
  <c r="AP152" i="32"/>
  <c r="AP61" i="32"/>
  <c r="AP110" i="32"/>
  <c r="AP36" i="32"/>
  <c r="AP128" i="32"/>
  <c r="AP81" i="32"/>
  <c r="AP121" i="32"/>
  <c r="AP66" i="32"/>
  <c r="AP53" i="32"/>
  <c r="AP69" i="32"/>
  <c r="AP62" i="32"/>
  <c r="AP595" i="32"/>
  <c r="AP567" i="32"/>
  <c r="AP578" i="32"/>
  <c r="AP582" i="32"/>
  <c r="AP539" i="32"/>
  <c r="AP546" i="32"/>
  <c r="AP542" i="32"/>
  <c r="AP534" i="32"/>
  <c r="AP482" i="32"/>
  <c r="AP462" i="32"/>
  <c r="AP491" i="32"/>
  <c r="AP498" i="32"/>
  <c r="AP431" i="32"/>
  <c r="AP432" i="32"/>
  <c r="AP399" i="32"/>
  <c r="AP403" i="32"/>
  <c r="AP371" i="32"/>
  <c r="AP413" i="32"/>
  <c r="AP347" i="32"/>
  <c r="AP365" i="32"/>
  <c r="AP410" i="32"/>
  <c r="AP308" i="32"/>
  <c r="AP329" i="32"/>
  <c r="AP292" i="32"/>
  <c r="AP260" i="32"/>
  <c r="AP334" i="32"/>
  <c r="AP288" i="32"/>
  <c r="AP253" i="32"/>
  <c r="AP219" i="32"/>
  <c r="AP320" i="32"/>
  <c r="AP340" i="32"/>
  <c r="AP240" i="32"/>
  <c r="AP201" i="32"/>
  <c r="AP186" i="32"/>
  <c r="AP174" i="32"/>
  <c r="AP268" i="32"/>
  <c r="AP176" i="32"/>
  <c r="AP185" i="32"/>
  <c r="AP104" i="32"/>
  <c r="AP156" i="32"/>
  <c r="AP63" i="32"/>
  <c r="AP86" i="32"/>
  <c r="AP103" i="32"/>
  <c r="AP114" i="32"/>
  <c r="AP553" i="32"/>
  <c r="AP15" i="32"/>
  <c r="AP150" i="32"/>
  <c r="AP84" i="32"/>
  <c r="AP160" i="32"/>
  <c r="AP589" i="32"/>
  <c r="AP596" i="32"/>
  <c r="AP575" i="32"/>
  <c r="AP580" i="32"/>
  <c r="AP536" i="32"/>
  <c r="AP509" i="32"/>
  <c r="AP520" i="32"/>
  <c r="AP507" i="32"/>
  <c r="AP476" i="32"/>
  <c r="AP435" i="32"/>
  <c r="AP485" i="32"/>
  <c r="AP473" i="32"/>
  <c r="AP433" i="32"/>
  <c r="AP429" i="32"/>
  <c r="AP398" i="32"/>
  <c r="AP424" i="32"/>
  <c r="AP426" i="32"/>
  <c r="AP411" i="32"/>
  <c r="AP407" i="32"/>
  <c r="AP355" i="32"/>
  <c r="AP379" i="32"/>
  <c r="AP299" i="32"/>
  <c r="AP323" i="32"/>
  <c r="AP519" i="32"/>
  <c r="AP257" i="32"/>
  <c r="AP333" i="32"/>
  <c r="AP278" i="32"/>
  <c r="AP325" i="32"/>
  <c r="AP331" i="32"/>
  <c r="AP296" i="32"/>
  <c r="AP224" i="32"/>
  <c r="AP226" i="32"/>
  <c r="AP179" i="32"/>
  <c r="AP158" i="32"/>
  <c r="AP171" i="32"/>
  <c r="AP209" i="32"/>
  <c r="AP172" i="32"/>
  <c r="AP181" i="32"/>
  <c r="AP102" i="32"/>
  <c r="AP153" i="32"/>
  <c r="AP42" i="32"/>
  <c r="AP79" i="32"/>
  <c r="AP93" i="32"/>
  <c r="AP112" i="32"/>
  <c r="AP301" i="32"/>
  <c r="AP57" i="32"/>
  <c r="AP98" i="32"/>
  <c r="AP23" i="32"/>
  <c r="AP106" i="32"/>
  <c r="AP610" i="32"/>
  <c r="AP611" i="32"/>
  <c r="AP600" i="32"/>
  <c r="AP547" i="32"/>
  <c r="AP550" i="32"/>
  <c r="AP528" i="32"/>
  <c r="AP543" i="32"/>
  <c r="AP469" i="32"/>
  <c r="AP566" i="32"/>
  <c r="AP538" i="32"/>
  <c r="AP488" i="32"/>
  <c r="AP436" i="32"/>
  <c r="AP439" i="32"/>
  <c r="AP503" i="32"/>
  <c r="AP456" i="32"/>
  <c r="AP392" i="32"/>
  <c r="AP412" i="32"/>
  <c r="AP395" i="32"/>
  <c r="AP381" i="32"/>
  <c r="AP430" i="32"/>
  <c r="AP383" i="32"/>
  <c r="AP306" i="32"/>
  <c r="AP326" i="32"/>
  <c r="AP287" i="32"/>
  <c r="AP307" i="32"/>
  <c r="AP277" i="32"/>
  <c r="AP248" i="32"/>
  <c r="AP269" i="32"/>
  <c r="AP276" i="32"/>
  <c r="AP244" i="32"/>
  <c r="AP256" i="32"/>
  <c r="AP241" i="32"/>
  <c r="AP191" i="32"/>
  <c r="AP170" i="32"/>
  <c r="AP207" i="32"/>
  <c r="AP164" i="32"/>
  <c r="AP230" i="32"/>
  <c r="AP138" i="32"/>
  <c r="AP116" i="32"/>
  <c r="AP73" i="32"/>
  <c r="AP108" i="32"/>
  <c r="AP30" i="32"/>
  <c r="AP54" i="32"/>
  <c r="AP65" i="32"/>
  <c r="AP83" i="32"/>
  <c r="AP88" i="32"/>
  <c r="AP56" i="32"/>
  <c r="AP96" i="32"/>
  <c r="AP45" i="32"/>
  <c r="AP597" i="32"/>
  <c r="AP585" i="32"/>
  <c r="AP568" i="32"/>
  <c r="AP523" i="32"/>
  <c r="AP487" i="32"/>
  <c r="AP486" i="32"/>
  <c r="AP479" i="32"/>
  <c r="AP483" i="32"/>
  <c r="AP451" i="32"/>
  <c r="AP393" i="32"/>
  <c r="AP378" i="32"/>
  <c r="AP402" i="32"/>
  <c r="AP354" i="32"/>
  <c r="AP391" i="32"/>
  <c r="AP300" i="32"/>
  <c r="AP271" i="32"/>
  <c r="AP245" i="32"/>
  <c r="AP315" i="32"/>
  <c r="AP220" i="32"/>
  <c r="AP222" i="32"/>
  <c r="AP203" i="32"/>
  <c r="AP206" i="32"/>
  <c r="AP187" i="32"/>
  <c r="AP204" i="32"/>
  <c r="AP75" i="32"/>
  <c r="AP97" i="32"/>
  <c r="AP49" i="32"/>
  <c r="AP91" i="32"/>
  <c r="AP37" i="32"/>
  <c r="AP28" i="32"/>
  <c r="AP577" i="32"/>
  <c r="AP606" i="32"/>
  <c r="AP584" i="32"/>
  <c r="AP552" i="32"/>
  <c r="AP522" i="32"/>
  <c r="AP468" i="32"/>
  <c r="AP466" i="32"/>
  <c r="AP475" i="32"/>
  <c r="AP457" i="32"/>
  <c r="AP445" i="32"/>
  <c r="AP388" i="32"/>
  <c r="AP423" i="32"/>
  <c r="AP376" i="32"/>
  <c r="AP348" i="32"/>
  <c r="AP318" i="32"/>
  <c r="AP337" i="32"/>
  <c r="AP338" i="32"/>
  <c r="AP314" i="32"/>
  <c r="AP303" i="32"/>
  <c r="AP351" i="32"/>
  <c r="AP233" i="32"/>
  <c r="AP177" i="32"/>
  <c r="AP198" i="32"/>
  <c r="AP237" i="32"/>
  <c r="AP194" i="32"/>
  <c r="AP29" i="32"/>
  <c r="AP40" i="32"/>
  <c r="AP46" i="32"/>
  <c r="AP90" i="32"/>
  <c r="AP18" i="32"/>
  <c r="AP145" i="32"/>
  <c r="AP78" i="32"/>
  <c r="AP604" i="32"/>
  <c r="AP579" i="32"/>
  <c r="AP583" i="32"/>
  <c r="AP532" i="32"/>
  <c r="AP465" i="32"/>
  <c r="AP541" i="32"/>
  <c r="AP496" i="32"/>
  <c r="AP434" i="32"/>
  <c r="AP427" i="32"/>
  <c r="AP440" i="32"/>
  <c r="AP401" i="32"/>
  <c r="AP364" i="32"/>
  <c r="AP368" i="32"/>
  <c r="AP450" i="32"/>
  <c r="AP332" i="32"/>
  <c r="AP305" i="32"/>
  <c r="AP302" i="32"/>
  <c r="AP273" i="32"/>
  <c r="AP290" i="32"/>
  <c r="AP250" i="32"/>
  <c r="AP173" i="32"/>
  <c r="AP193" i="32"/>
  <c r="AP208" i="32"/>
  <c r="AP165" i="32"/>
  <c r="AP21" i="32"/>
  <c r="AP39" i="32"/>
  <c r="AP131" i="32"/>
  <c r="AP74" i="32"/>
  <c r="AP14" i="32"/>
  <c r="AP95" i="32"/>
  <c r="AP60" i="32"/>
  <c r="AP599" i="32"/>
  <c r="AP564" i="32"/>
  <c r="AP572" i="32"/>
  <c r="AP549" i="32"/>
  <c r="AP540" i="32"/>
  <c r="AP497" i="32"/>
  <c r="AP471" i="32"/>
  <c r="AP448" i="32"/>
  <c r="AP517" i="32"/>
  <c r="AP425" i="32"/>
  <c r="AP385" i="32"/>
  <c r="AP359" i="32"/>
  <c r="AP356" i="32"/>
  <c r="AP327" i="32"/>
  <c r="AP297" i="32"/>
  <c r="AP274" i="32"/>
  <c r="AP275" i="32"/>
  <c r="AP270" i="32"/>
  <c r="AP279" i="32"/>
  <c r="AP249" i="32"/>
  <c r="AP169" i="32"/>
  <c r="AP167" i="32"/>
  <c r="AP197" i="32"/>
  <c r="AP123" i="32"/>
  <c r="AP16" i="32"/>
  <c r="AP134" i="32"/>
  <c r="AP92" i="32"/>
  <c r="AP67" i="32"/>
  <c r="AP59" i="32"/>
  <c r="AP87" i="32"/>
  <c r="AP613" i="32"/>
  <c r="AP593" i="32"/>
  <c r="AP586" i="32"/>
  <c r="AP570" i="32"/>
  <c r="AP535" i="32"/>
  <c r="AP504" i="32"/>
  <c r="AP494" i="32"/>
  <c r="AP458" i="32"/>
  <c r="AP438" i="32"/>
  <c r="AP502" i="32"/>
  <c r="AP422" i="32"/>
  <c r="AP505" i="32"/>
  <c r="AP358" i="32"/>
  <c r="AP352" i="32"/>
  <c r="AP298" i="32"/>
  <c r="AP518" i="32"/>
  <c r="AP263" i="32"/>
  <c r="AP272" i="32"/>
  <c r="AP227" i="32"/>
  <c r="AP232" i="32"/>
  <c r="AP225" i="32"/>
  <c r="AP200" i="32"/>
  <c r="AP166" i="32"/>
  <c r="AP196" i="32"/>
  <c r="AP109" i="32"/>
  <c r="AP119" i="32"/>
  <c r="AP127" i="32"/>
  <c r="AP80" i="32"/>
  <c r="AP34" i="32"/>
  <c r="AP32" i="32"/>
  <c r="AP85" i="32"/>
  <c r="AP612" i="32"/>
  <c r="AP551" i="32"/>
  <c r="AP544" i="32"/>
  <c r="AP493" i="32"/>
  <c r="AP382" i="32"/>
  <c r="AP319" i="32"/>
  <c r="AP366" i="32"/>
  <c r="AP239" i="32"/>
  <c r="AP148" i="32"/>
  <c r="AP105" i="32"/>
  <c r="AP55" i="32"/>
  <c r="AP25" i="32"/>
  <c r="AP601" i="32"/>
  <c r="AP563" i="32"/>
  <c r="AP481" i="32"/>
  <c r="AP501" i="32"/>
  <c r="AP408" i="32"/>
  <c r="AP336" i="32"/>
  <c r="AP286" i="32"/>
  <c r="AP350" i="32"/>
  <c r="AP157" i="32"/>
  <c r="AP89" i="32"/>
  <c r="AP120" i="32"/>
  <c r="AP72" i="32"/>
  <c r="AP581" i="32"/>
  <c r="AP525" i="32"/>
  <c r="AP515" i="32"/>
  <c r="AP414" i="32"/>
  <c r="AP389" i="32"/>
  <c r="AP335" i="32"/>
  <c r="AP258" i="32"/>
  <c r="AP223" i="32"/>
  <c r="AP129" i="32"/>
  <c r="AP117" i="32"/>
  <c r="AP118" i="32"/>
  <c r="AP33" i="32"/>
  <c r="AP13" i="32"/>
  <c r="AP587" i="32"/>
  <c r="AP524" i="32"/>
  <c r="AP454" i="32"/>
  <c r="AP404" i="32"/>
  <c r="AP373" i="32"/>
  <c r="AP309" i="32"/>
  <c r="AP304" i="32"/>
  <c r="AP199" i="32"/>
  <c r="AP115" i="32"/>
  <c r="AP107" i="32"/>
  <c r="AP154" i="32"/>
  <c r="AP26" i="32"/>
  <c r="AP565" i="32"/>
  <c r="AP511" i="32"/>
  <c r="AP521" i="32"/>
  <c r="AP394" i="32"/>
  <c r="AP370" i="32"/>
  <c r="AP417" i="32"/>
  <c r="AP264" i="32"/>
  <c r="AP215" i="32"/>
  <c r="AP168" i="32"/>
  <c r="AP99" i="32"/>
  <c r="AP126" i="32"/>
  <c r="AP556" i="32"/>
  <c r="AP361" i="32"/>
  <c r="AP195" i="32"/>
  <c r="AP64" i="32"/>
  <c r="AP449" i="32"/>
  <c r="AP489" i="32"/>
  <c r="AP341" i="32"/>
  <c r="AP210" i="32"/>
  <c r="AP130" i="32"/>
  <c r="AP113" i="32"/>
  <c r="AP513" i="32"/>
  <c r="AP289" i="32"/>
  <c r="AP189" i="32"/>
  <c r="AP52" i="32"/>
  <c r="AP609" i="32"/>
  <c r="AP508" i="32"/>
  <c r="AP283" i="32"/>
  <c r="AP214" i="32"/>
  <c r="AP22" i="32"/>
  <c r="AP562" i="32"/>
  <c r="AP452" i="32"/>
  <c r="AP280" i="32"/>
  <c r="AP162" i="32"/>
  <c r="AP41" i="32"/>
  <c r="AP608" i="32"/>
  <c r="AP259" i="32"/>
  <c r="AP151" i="32"/>
  <c r="AP500" i="32"/>
  <c r="AP554" i="32"/>
  <c r="AP418" i="32"/>
  <c r="AP295" i="32"/>
  <c r="AP213" i="32"/>
  <c r="AP386" i="32"/>
  <c r="AP254" i="32"/>
  <c r="B335" i="2"/>
  <c r="B336" i="2" s="1"/>
  <c r="AL228" i="32" l="1"/>
  <c r="AK228" i="32"/>
  <c r="AL79" i="32"/>
  <c r="AK79" i="32"/>
  <c r="AK313" i="32"/>
  <c r="AL313" i="32"/>
  <c r="AK301" i="32"/>
  <c r="AL301" i="32"/>
  <c r="AL186" i="32"/>
  <c r="AK186" i="32"/>
  <c r="AL13" i="32"/>
  <c r="AK13" i="32"/>
  <c r="AK122" i="32"/>
  <c r="AL122" i="32"/>
  <c r="AL364" i="32"/>
  <c r="AK364" i="32"/>
  <c r="AK118" i="32"/>
  <c r="AL118" i="32"/>
  <c r="AL315" i="32"/>
  <c r="AK315" i="32"/>
  <c r="AK519" i="32"/>
  <c r="AL519" i="32"/>
  <c r="AK447" i="32"/>
  <c r="AL447" i="32"/>
  <c r="AK161" i="32"/>
  <c r="AL161" i="32"/>
  <c r="AK244" i="32"/>
  <c r="AL244" i="32"/>
  <c r="AL518" i="32"/>
  <c r="AK518" i="32"/>
  <c r="AK187" i="32"/>
  <c r="AL187" i="32"/>
  <c r="AK444" i="32"/>
  <c r="AL444" i="32"/>
  <c r="AL320" i="32"/>
  <c r="AK320" i="32"/>
  <c r="AK533" i="32"/>
  <c r="AL533" i="32"/>
  <c r="AL26" i="32"/>
  <c r="AK26" i="32"/>
  <c r="AL386" i="32"/>
  <c r="AK386" i="32"/>
  <c r="AL40" i="32"/>
  <c r="AK40" i="32"/>
  <c r="AL74" i="32"/>
  <c r="AK74" i="32"/>
  <c r="AK573" i="32"/>
  <c r="AL573" i="32"/>
  <c r="AK392" i="32"/>
  <c r="AL392" i="32"/>
  <c r="AL204" i="32"/>
  <c r="AK204" i="32"/>
  <c r="AL440" i="32"/>
  <c r="AK440" i="32"/>
  <c r="AL512" i="32"/>
  <c r="AK512" i="32"/>
  <c r="AL80" i="32"/>
  <c r="AK80" i="32"/>
  <c r="AK415" i="32"/>
  <c r="AL415" i="32"/>
  <c r="AL82" i="32"/>
  <c r="AK82" i="32"/>
  <c r="AK466" i="32"/>
  <c r="AL466" i="32"/>
  <c r="AK369" i="32"/>
  <c r="AL369" i="32"/>
  <c r="AL68" i="32"/>
  <c r="AK68" i="32"/>
  <c r="AL178" i="32"/>
  <c r="AK178" i="32"/>
  <c r="AK486" i="32"/>
  <c r="AL486" i="32"/>
  <c r="AL184" i="32"/>
  <c r="AK184" i="32"/>
  <c r="AL497" i="32"/>
  <c r="AK497" i="32"/>
  <c r="AL294" i="32"/>
  <c r="AK294" i="32"/>
  <c r="AL84" i="32"/>
  <c r="AK84" i="32"/>
  <c r="AL538" i="32"/>
  <c r="AK538" i="32"/>
  <c r="AK396" i="32"/>
  <c r="AL396" i="32"/>
  <c r="AK291" i="32"/>
  <c r="AL291" i="32"/>
  <c r="AL318" i="32"/>
  <c r="AK318" i="32"/>
  <c r="AK20" i="32"/>
  <c r="AL20" i="32"/>
  <c r="AK168" i="32"/>
  <c r="AL168" i="32"/>
  <c r="AK57" i="32"/>
  <c r="AL57" i="32"/>
  <c r="AL154" i="32"/>
  <c r="AK154" i="32"/>
  <c r="AK591" i="32"/>
  <c r="AL591" i="32"/>
  <c r="AK443" i="32"/>
  <c r="AL443" i="32"/>
  <c r="AK436" i="32"/>
  <c r="AL436" i="32"/>
  <c r="AL123" i="32"/>
  <c r="AK123" i="32"/>
  <c r="AK43" i="32"/>
  <c r="AL43" i="32"/>
  <c r="AL50" i="32"/>
  <c r="AK50" i="32"/>
  <c r="AL564" i="32"/>
  <c r="AK564" i="32"/>
  <c r="AL481" i="32"/>
  <c r="AK481" i="32"/>
  <c r="AK264" i="32"/>
  <c r="AL264" i="32"/>
  <c r="AK176" i="32"/>
  <c r="AL176" i="32"/>
  <c r="AL95" i="32"/>
  <c r="AK95" i="32"/>
  <c r="AK53" i="32"/>
  <c r="AL53" i="32"/>
  <c r="AL546" i="32"/>
  <c r="AK546" i="32"/>
  <c r="AK15" i="32"/>
  <c r="AL15" i="32"/>
  <c r="AK259" i="32"/>
  <c r="AL259" i="32"/>
  <c r="AL459" i="32"/>
  <c r="AK459" i="32"/>
  <c r="AL324" i="32"/>
  <c r="AK324" i="32"/>
  <c r="AL317" i="32"/>
  <c r="AK317" i="32"/>
  <c r="AL181" i="32"/>
  <c r="AK181" i="32"/>
  <c r="AL121" i="32"/>
  <c r="AK121" i="32"/>
  <c r="AK59" i="32"/>
  <c r="AL59" i="32"/>
  <c r="AK302" i="32"/>
  <c r="AL302" i="32"/>
  <c r="AL151" i="32"/>
  <c r="AK151" i="32"/>
  <c r="AK135" i="32"/>
  <c r="AL135" i="32"/>
  <c r="AL576" i="32"/>
  <c r="AK576" i="32"/>
  <c r="AK488" i="32"/>
  <c r="AL488" i="32"/>
  <c r="AL348" i="32"/>
  <c r="AK348" i="32"/>
  <c r="AN267" i="32"/>
  <c r="AO267" i="32"/>
  <c r="AN51" i="32"/>
  <c r="AO51" i="32"/>
  <c r="AO511" i="32"/>
  <c r="AN511" i="32"/>
  <c r="AN485" i="32"/>
  <c r="AO485" i="32"/>
  <c r="AN343" i="32"/>
  <c r="AO343" i="32"/>
  <c r="AN446" i="32"/>
  <c r="AO446" i="32"/>
  <c r="AN225" i="32"/>
  <c r="AO225" i="32"/>
  <c r="AN259" i="32"/>
  <c r="AO259" i="32"/>
  <c r="AN387" i="32"/>
  <c r="AO387" i="32"/>
  <c r="AO318" i="32"/>
  <c r="AN318" i="32"/>
  <c r="AO419" i="32"/>
  <c r="AN419" i="32"/>
  <c r="AO201" i="32"/>
  <c r="AN201" i="32"/>
  <c r="AN388" i="32"/>
  <c r="AO388" i="32"/>
  <c r="AO331" i="32"/>
  <c r="AN331" i="32"/>
  <c r="AO116" i="32"/>
  <c r="AN116" i="32"/>
  <c r="AO253" i="32"/>
  <c r="AN253" i="32"/>
  <c r="AN583" i="32"/>
  <c r="AO583" i="32"/>
  <c r="AO34" i="32"/>
  <c r="AN34" i="32"/>
  <c r="AO441" i="32"/>
  <c r="AN441" i="32"/>
  <c r="AO430" i="32"/>
  <c r="AN430" i="32"/>
  <c r="AN26" i="32"/>
  <c r="AO26" i="32"/>
  <c r="AO484" i="32"/>
  <c r="AN484" i="32"/>
  <c r="AN514" i="32"/>
  <c r="AO514" i="32"/>
  <c r="AN547" i="32"/>
  <c r="AO547" i="32"/>
  <c r="AO80" i="32"/>
  <c r="AN80" i="32"/>
  <c r="AO402" i="32"/>
  <c r="AN402" i="32"/>
  <c r="AO365" i="32"/>
  <c r="AN365" i="32"/>
  <c r="AO491" i="32"/>
  <c r="AN491" i="32"/>
  <c r="AO504" i="32"/>
  <c r="AN504" i="32"/>
  <c r="AN473" i="32"/>
  <c r="AO473" i="32"/>
  <c r="AO271" i="32"/>
  <c r="AN271" i="32"/>
  <c r="AN401" i="32"/>
  <c r="AO401" i="32"/>
  <c r="AN69" i="32"/>
  <c r="AO69" i="32"/>
  <c r="AN121" i="32"/>
  <c r="AO121" i="32"/>
  <c r="AO197" i="32"/>
  <c r="AN197" i="32"/>
  <c r="AO18" i="32"/>
  <c r="AN18" i="32"/>
  <c r="AO307" i="32"/>
  <c r="AN307" i="32"/>
  <c r="AO397" i="32"/>
  <c r="AN397" i="32"/>
  <c r="AO299" i="32"/>
  <c r="AN299" i="32"/>
  <c r="AN506" i="32"/>
  <c r="AO506" i="32"/>
  <c r="AN215" i="32"/>
  <c r="AO215" i="32"/>
  <c r="AO581" i="32"/>
  <c r="AN581" i="32"/>
  <c r="AO125" i="32"/>
  <c r="AN125" i="32"/>
  <c r="AO181" i="32"/>
  <c r="AN181" i="32"/>
  <c r="AO167" i="32"/>
  <c r="AN167" i="32"/>
  <c r="AN483" i="32"/>
  <c r="AO483" i="32"/>
  <c r="AO62" i="32"/>
  <c r="AN62" i="32"/>
  <c r="AN28" i="32"/>
  <c r="AO28" i="32"/>
  <c r="AO323" i="32"/>
  <c r="AN323" i="32"/>
  <c r="AN407" i="32"/>
  <c r="AO407" i="32"/>
  <c r="AN539" i="32"/>
  <c r="AO539" i="32"/>
  <c r="AN316" i="32"/>
  <c r="AO316" i="32"/>
  <c r="AN356" i="32"/>
  <c r="AO356" i="32"/>
  <c r="AN455" i="32"/>
  <c r="AO455" i="32"/>
  <c r="AN302" i="32"/>
  <c r="AO302" i="32"/>
  <c r="AO466" i="32"/>
  <c r="AN466" i="32"/>
  <c r="AN503" i="32"/>
  <c r="AO503" i="32"/>
  <c r="AN496" i="32"/>
  <c r="AO496" i="32"/>
  <c r="AN238" i="32"/>
  <c r="AO238" i="32"/>
  <c r="AN357" i="32"/>
  <c r="AO357" i="32"/>
  <c r="AN595" i="32"/>
  <c r="AO595" i="32"/>
  <c r="AO377" i="32"/>
  <c r="AN377" i="32"/>
  <c r="AN558" i="32"/>
  <c r="AO558" i="32"/>
  <c r="AO542" i="32"/>
  <c r="AN542" i="32"/>
  <c r="AN209" i="32"/>
  <c r="AO209" i="32"/>
  <c r="AN537" i="32"/>
  <c r="AO537" i="32"/>
  <c r="AO213" i="32"/>
  <c r="AN213" i="32"/>
  <c r="AO142" i="32"/>
  <c r="AN142" i="32"/>
  <c r="AO35" i="32"/>
  <c r="AN35" i="32"/>
  <c r="AN479" i="32"/>
  <c r="AO479" i="32"/>
  <c r="AO152" i="32"/>
  <c r="AN152" i="32"/>
  <c r="AN127" i="32"/>
  <c r="AO127" i="32"/>
  <c r="AN249" i="32"/>
  <c r="AO249" i="32"/>
  <c r="AN390" i="32"/>
  <c r="AO390" i="32"/>
  <c r="AO507" i="32"/>
  <c r="AN507" i="32"/>
  <c r="AK195" i="32"/>
  <c r="AL195" i="32"/>
  <c r="AK235" i="32"/>
  <c r="AL235" i="32"/>
  <c r="AK530" i="32"/>
  <c r="AL530" i="32"/>
  <c r="AK494" i="32"/>
  <c r="AL494" i="32"/>
  <c r="AK307" i="32"/>
  <c r="AL307" i="32"/>
  <c r="AL19" i="32"/>
  <c r="AK19" i="32"/>
  <c r="AL247" i="32"/>
  <c r="AK247" i="32"/>
  <c r="AK190" i="32"/>
  <c r="AL190" i="32"/>
  <c r="AK543" i="32"/>
  <c r="AL543" i="32"/>
  <c r="AL61" i="32"/>
  <c r="AK61" i="32"/>
  <c r="AL205" i="32"/>
  <c r="AK205" i="32"/>
  <c r="AK611" i="32"/>
  <c r="AL611" i="32"/>
  <c r="AL45" i="32"/>
  <c r="AK45" i="32"/>
  <c r="AL416" i="32"/>
  <c r="AK416" i="32"/>
  <c r="AK33" i="32"/>
  <c r="AL33" i="32"/>
  <c r="AL214" i="32"/>
  <c r="AK214" i="32"/>
  <c r="AL613" i="32"/>
  <c r="AK613" i="32"/>
  <c r="AK142" i="32"/>
  <c r="AL142" i="32"/>
  <c r="AL558" i="32"/>
  <c r="AK558" i="32"/>
  <c r="AL278" i="32"/>
  <c r="AK278" i="32"/>
  <c r="AL64" i="32"/>
  <c r="AK64" i="32"/>
  <c r="AL169" i="32"/>
  <c r="AK169" i="32"/>
  <c r="AK73" i="32"/>
  <c r="AL73" i="32"/>
  <c r="AL252" i="32"/>
  <c r="AK252" i="32"/>
  <c r="AK104" i="32"/>
  <c r="AL104" i="32"/>
  <c r="AL506" i="32"/>
  <c r="AK506" i="32"/>
  <c r="AK250" i="32"/>
  <c r="AL250" i="32"/>
  <c r="AK193" i="32"/>
  <c r="AL193" i="32"/>
  <c r="AL170" i="32"/>
  <c r="AK170" i="32"/>
  <c r="AL468" i="32"/>
  <c r="AK468" i="32"/>
  <c r="AK39" i="32"/>
  <c r="AL39" i="32"/>
  <c r="AL85" i="32"/>
  <c r="AK85" i="32"/>
  <c r="AK612" i="32"/>
  <c r="AL612" i="32"/>
  <c r="AL378" i="32"/>
  <c r="AK378" i="32"/>
  <c r="AK385" i="32"/>
  <c r="AL385" i="32"/>
  <c r="AL523" i="32"/>
  <c r="AK523" i="32"/>
  <c r="AK171" i="32"/>
  <c r="AL171" i="32"/>
  <c r="AK145" i="32"/>
  <c r="AL145" i="32"/>
  <c r="AL606" i="32"/>
  <c r="AK606" i="32"/>
  <c r="AL413" i="32"/>
  <c r="AK413" i="32"/>
  <c r="AL248" i="32"/>
  <c r="AK248" i="32"/>
  <c r="AK42" i="32"/>
  <c r="AL42" i="32"/>
  <c r="AK585" i="32"/>
  <c r="AL585" i="32"/>
  <c r="AK432" i="32"/>
  <c r="AL432" i="32"/>
  <c r="AL91" i="32"/>
  <c r="AK91" i="32"/>
  <c r="AL240" i="32"/>
  <c r="AK240" i="32"/>
  <c r="AK356" i="32"/>
  <c r="AL356" i="32"/>
  <c r="AL179" i="32"/>
  <c r="AK179" i="32"/>
  <c r="AK221" i="32"/>
  <c r="AL221" i="32"/>
  <c r="AK52" i="32"/>
  <c r="AL52" i="32"/>
  <c r="AL534" i="32"/>
  <c r="AK534" i="32"/>
  <c r="AL462" i="32"/>
  <c r="AK462" i="32"/>
  <c r="AL222" i="32"/>
  <c r="AK222" i="32"/>
  <c r="AL219" i="32"/>
  <c r="AK219" i="32"/>
  <c r="AL87" i="32"/>
  <c r="AK87" i="32"/>
  <c r="AK101" i="32"/>
  <c r="AL101" i="32"/>
  <c r="AL545" i="32"/>
  <c r="AK545" i="32"/>
  <c r="AK321" i="32"/>
  <c r="AL321" i="32"/>
  <c r="AL254" i="32"/>
  <c r="AK254" i="32"/>
  <c r="AK199" i="32"/>
  <c r="AL199" i="32"/>
  <c r="AK105" i="32"/>
  <c r="AL105" i="32"/>
  <c r="AK66" i="32"/>
  <c r="AL66" i="32"/>
  <c r="AK400" i="32"/>
  <c r="AL400" i="32"/>
  <c r="AL520" i="32"/>
  <c r="AK520" i="32"/>
  <c r="AK451" i="32"/>
  <c r="AL451" i="32"/>
  <c r="AL433" i="32"/>
  <c r="AK433" i="32"/>
  <c r="AL358" i="32"/>
  <c r="AK358" i="32"/>
  <c r="AL262" i="32"/>
  <c r="AK262" i="32"/>
  <c r="AL211" i="32"/>
  <c r="AK211" i="32"/>
  <c r="AL352" i="32"/>
  <c r="AK352" i="32"/>
  <c r="AL418" i="32"/>
  <c r="AK418" i="32"/>
  <c r="AL293" i="32"/>
  <c r="AK293" i="32"/>
  <c r="AL111" i="32"/>
  <c r="AK111" i="32"/>
  <c r="AL28" i="32"/>
  <c r="AK28" i="32"/>
  <c r="AL579" i="32"/>
  <c r="AK579" i="32"/>
  <c r="AL461" i="32"/>
  <c r="AK461" i="32"/>
  <c r="AO516" i="32"/>
  <c r="AN516" i="32"/>
  <c r="AO144" i="32"/>
  <c r="AN144" i="32"/>
  <c r="AO279" i="32"/>
  <c r="AN279" i="32"/>
  <c r="AO488" i="32"/>
  <c r="AN488" i="32"/>
  <c r="AN185" i="32"/>
  <c r="AO185" i="32"/>
  <c r="AO60" i="32"/>
  <c r="AN60" i="32"/>
  <c r="AO108" i="32"/>
  <c r="AN108" i="32"/>
  <c r="AO124" i="32"/>
  <c r="AN124" i="32"/>
  <c r="AO16" i="32"/>
  <c r="AN16" i="32"/>
  <c r="AN459" i="32"/>
  <c r="AO459" i="32"/>
  <c r="AO146" i="32"/>
  <c r="AN146" i="32"/>
  <c r="AO162" i="32"/>
  <c r="AN162" i="32"/>
  <c r="AN525" i="32"/>
  <c r="AO525" i="32"/>
  <c r="AO502" i="32"/>
  <c r="AN502" i="32"/>
  <c r="AO174" i="32"/>
  <c r="AN174" i="32"/>
  <c r="AO376" i="32"/>
  <c r="AN376" i="32"/>
  <c r="AN409" i="32"/>
  <c r="AO409" i="32"/>
  <c r="AO350" i="32"/>
  <c r="AN350" i="32"/>
  <c r="AO81" i="32"/>
  <c r="AN81" i="32"/>
  <c r="AO132" i="32"/>
  <c r="AN132" i="32"/>
  <c r="AN369" i="32"/>
  <c r="AO369" i="32"/>
  <c r="AO336" i="32"/>
  <c r="AN336" i="32"/>
  <c r="AO257" i="32"/>
  <c r="AN257" i="32"/>
  <c r="AN93" i="32"/>
  <c r="AO93" i="32"/>
  <c r="AO43" i="32"/>
  <c r="AN43" i="32"/>
  <c r="AO63" i="32"/>
  <c r="AN63" i="32"/>
  <c r="AO433" i="32"/>
  <c r="AN433" i="32"/>
  <c r="AN14" i="32"/>
  <c r="AO14" i="32"/>
  <c r="AO86" i="32"/>
  <c r="AN86" i="32"/>
  <c r="AO605" i="32"/>
  <c r="AN605" i="32"/>
  <c r="AO342" i="32"/>
  <c r="AN342" i="32"/>
  <c r="AO448" i="32"/>
  <c r="AN448" i="32"/>
  <c r="AN190" i="32"/>
  <c r="AO190" i="32"/>
  <c r="AO106" i="32"/>
  <c r="AN106" i="32"/>
  <c r="AO208" i="32"/>
  <c r="AN208" i="32"/>
  <c r="AN57" i="32"/>
  <c r="AO57" i="32"/>
  <c r="AO456" i="32"/>
  <c r="AN456" i="32"/>
  <c r="AO378" i="32"/>
  <c r="AN378" i="32"/>
  <c r="AN413" i="32"/>
  <c r="AO413" i="32"/>
  <c r="AO566" i="32"/>
  <c r="AN566" i="32"/>
  <c r="AO283" i="32"/>
  <c r="AN283" i="32"/>
  <c r="AO578" i="32"/>
  <c r="AN578" i="32"/>
  <c r="AO346" i="32"/>
  <c r="AN346" i="32"/>
  <c r="AO275" i="32"/>
  <c r="AN275" i="32"/>
  <c r="AO373" i="32"/>
  <c r="AN373" i="32"/>
  <c r="AN570" i="32"/>
  <c r="AO570" i="32"/>
  <c r="AO177" i="32"/>
  <c r="AN177" i="32"/>
  <c r="AO179" i="32"/>
  <c r="AN179" i="32"/>
  <c r="AO423" i="32"/>
  <c r="AN423" i="32"/>
  <c r="AN489" i="32"/>
  <c r="AO489" i="32"/>
  <c r="AO579" i="32"/>
  <c r="AN579" i="32"/>
  <c r="AN15" i="32"/>
  <c r="AO15" i="32"/>
  <c r="AO396" i="32"/>
  <c r="AN396" i="32"/>
  <c r="AN92" i="32"/>
  <c r="AO92" i="32"/>
  <c r="AO347" i="32"/>
  <c r="AN347" i="32"/>
  <c r="AO557" i="32"/>
  <c r="AN557" i="32"/>
  <c r="AO556" i="32"/>
  <c r="AN556" i="32"/>
  <c r="AO564" i="32"/>
  <c r="AN564" i="32"/>
  <c r="AO310" i="32"/>
  <c r="AN310" i="32"/>
  <c r="AO415" i="32"/>
  <c r="AN415" i="32"/>
  <c r="AO353" i="32"/>
  <c r="AN353" i="32"/>
  <c r="AN480" i="32"/>
  <c r="AO480" i="32"/>
  <c r="AO585" i="32"/>
  <c r="AN585" i="32"/>
  <c r="AO131" i="32"/>
  <c r="AN131" i="32"/>
  <c r="AO329" i="32"/>
  <c r="AN329" i="32"/>
  <c r="AN613" i="32"/>
  <c r="AO613" i="32"/>
  <c r="AN236" i="32"/>
  <c r="AO236" i="32"/>
  <c r="AO211" i="32"/>
  <c r="AN211" i="32"/>
  <c r="AO288" i="32"/>
  <c r="AN288" i="32"/>
  <c r="AN532" i="32"/>
  <c r="AO532" i="32"/>
  <c r="AN193" i="32"/>
  <c r="AO193" i="32"/>
  <c r="AN149" i="32"/>
  <c r="AO149" i="32"/>
  <c r="AN293" i="32"/>
  <c r="AO293" i="32"/>
  <c r="AO438" i="32"/>
  <c r="AN438" i="32"/>
  <c r="AN534" i="32"/>
  <c r="AO534" i="32"/>
  <c r="AK46" i="32"/>
  <c r="AL46" i="32"/>
  <c r="AK335" i="32"/>
  <c r="AL335" i="32"/>
  <c r="AL148" i="32"/>
  <c r="AK148" i="32"/>
  <c r="AK571" i="32"/>
  <c r="AL571" i="32"/>
  <c r="AL423" i="32"/>
  <c r="AK423" i="32"/>
  <c r="AK557" i="32"/>
  <c r="AL557" i="32"/>
  <c r="AK387" i="32"/>
  <c r="AL387" i="32"/>
  <c r="AL88" i="32"/>
  <c r="AK88" i="32"/>
  <c r="AL282" i="32"/>
  <c r="AK282" i="32"/>
  <c r="AL280" i="32"/>
  <c r="AK280" i="32"/>
  <c r="AL470" i="32"/>
  <c r="AK470" i="32"/>
  <c r="AK312" i="32"/>
  <c r="AL312" i="32"/>
  <c r="AK511" i="32"/>
  <c r="AL511" i="32"/>
  <c r="AK570" i="32"/>
  <c r="AL570" i="32"/>
  <c r="AL29" i="32"/>
  <c r="AK29" i="32"/>
  <c r="AL417" i="32"/>
  <c r="AK417" i="32"/>
  <c r="AL239" i="32"/>
  <c r="AK239" i="32"/>
  <c r="AK209" i="32"/>
  <c r="AL209" i="32"/>
  <c r="AL609" i="32"/>
  <c r="AK609" i="32"/>
  <c r="AL562" i="32"/>
  <c r="AK562" i="32"/>
  <c r="AK589" i="32"/>
  <c r="AL589" i="32"/>
  <c r="AK531" i="32"/>
  <c r="AL531" i="32"/>
  <c r="AL194" i="32"/>
  <c r="AK194" i="32"/>
  <c r="AL381" i="32"/>
  <c r="AK381" i="32"/>
  <c r="AK229" i="32"/>
  <c r="AL229" i="32"/>
  <c r="AL174" i="32"/>
  <c r="AK174" i="32"/>
  <c r="AK340" i="32"/>
  <c r="AL340" i="32"/>
  <c r="AL405" i="32"/>
  <c r="AK405" i="32"/>
  <c r="AL306" i="32"/>
  <c r="AK306" i="32"/>
  <c r="AL212" i="32"/>
  <c r="AK212" i="32"/>
  <c r="AL140" i="32"/>
  <c r="AK140" i="32"/>
  <c r="AL251" i="32"/>
  <c r="AK251" i="32"/>
  <c r="AL22" i="32"/>
  <c r="AK22" i="32"/>
  <c r="AK549" i="32"/>
  <c r="AL549" i="32"/>
  <c r="AK521" i="32"/>
  <c r="AL521" i="32"/>
  <c r="AK316" i="32"/>
  <c r="AL316" i="32"/>
  <c r="AK37" i="32"/>
  <c r="AL37" i="32"/>
  <c r="AL273" i="32"/>
  <c r="AK273" i="32"/>
  <c r="AK56" i="32"/>
  <c r="AL56" i="32"/>
  <c r="AK566" i="32"/>
  <c r="AL566" i="32"/>
  <c r="AL421" i="32"/>
  <c r="AK421" i="32"/>
  <c r="AL152" i="32"/>
  <c r="AK152" i="32"/>
  <c r="AL90" i="32"/>
  <c r="AK90" i="32"/>
  <c r="AL539" i="32"/>
  <c r="AK539" i="32"/>
  <c r="AL269" i="32"/>
  <c r="AK269" i="32"/>
  <c r="AK544" i="32"/>
  <c r="AL544" i="32"/>
  <c r="AK303" i="32"/>
  <c r="AL303" i="32"/>
  <c r="AL231" i="32"/>
  <c r="AK231" i="32"/>
  <c r="AL141" i="32"/>
  <c r="AK141" i="32"/>
  <c r="AL146" i="32"/>
  <c r="AK146" i="32"/>
  <c r="AL24" i="32"/>
  <c r="AK24" i="32"/>
  <c r="AK513" i="32"/>
  <c r="AL513" i="32"/>
  <c r="AL342" i="32"/>
  <c r="AK342" i="32"/>
  <c r="AK274" i="32"/>
  <c r="AL274" i="32"/>
  <c r="AL207" i="32"/>
  <c r="AK207" i="32"/>
  <c r="AL72" i="32"/>
  <c r="AK72" i="32"/>
  <c r="AL81" i="32"/>
  <c r="AK81" i="32"/>
  <c r="AK376" i="32"/>
  <c r="AL376" i="32"/>
  <c r="AL375" i="32"/>
  <c r="AK375" i="32"/>
  <c r="AK283" i="32"/>
  <c r="AL283" i="32"/>
  <c r="AK166" i="32"/>
  <c r="AL166" i="32"/>
  <c r="AL233" i="32"/>
  <c r="AK233" i="32"/>
  <c r="AL32" i="32"/>
  <c r="AK32" i="32"/>
  <c r="AK18" i="32"/>
  <c r="AL18" i="32"/>
  <c r="AK559" i="32"/>
  <c r="AL559" i="32"/>
  <c r="AL483" i="32"/>
  <c r="AK483" i="32"/>
  <c r="AL442" i="32"/>
  <c r="AK442" i="32"/>
  <c r="AK419" i="32"/>
  <c r="AL419" i="32"/>
  <c r="AL215" i="32"/>
  <c r="AK215" i="32"/>
  <c r="AL420" i="32"/>
  <c r="AK420" i="32"/>
  <c r="AK547" i="32"/>
  <c r="AL547" i="32"/>
  <c r="AK371" i="32"/>
  <c r="AL371" i="32"/>
  <c r="AK191" i="32"/>
  <c r="AL191" i="32"/>
  <c r="AL75" i="32"/>
  <c r="AK75" i="32"/>
  <c r="AL608" i="32"/>
  <c r="AK608" i="32"/>
  <c r="AL525" i="32"/>
  <c r="AK525" i="32"/>
  <c r="AO252" i="32"/>
  <c r="AN252" i="32"/>
  <c r="AN394" i="32"/>
  <c r="AO394" i="32"/>
  <c r="AN68" i="32"/>
  <c r="AO68" i="32"/>
  <c r="AN325" i="32"/>
  <c r="AO325" i="32"/>
  <c r="AO168" i="32"/>
  <c r="AN168" i="32"/>
  <c r="AO147" i="32"/>
  <c r="AN147" i="32"/>
  <c r="AO322" i="32"/>
  <c r="AN322" i="32"/>
  <c r="AO492" i="32"/>
  <c r="AN492" i="32"/>
  <c r="AN163" i="32"/>
  <c r="AO163" i="32"/>
  <c r="AO85" i="32"/>
  <c r="AN85" i="32"/>
  <c r="AO468" i="32"/>
  <c r="AN468" i="32"/>
  <c r="AO101" i="32"/>
  <c r="AN101" i="32"/>
  <c r="AO364" i="32"/>
  <c r="AN364" i="32"/>
  <c r="AO340" i="32"/>
  <c r="AN340" i="32"/>
  <c r="AN327" i="32"/>
  <c r="AO327" i="32"/>
  <c r="AO574" i="32"/>
  <c r="AN574" i="32"/>
  <c r="AO577" i="32"/>
  <c r="AN577" i="32"/>
  <c r="AO145" i="32"/>
  <c r="AN145" i="32"/>
  <c r="AN239" i="32"/>
  <c r="AO239" i="32"/>
  <c r="AO594" i="32"/>
  <c r="AN594" i="32"/>
  <c r="AO165" i="32"/>
  <c r="AN165" i="32"/>
  <c r="AO450" i="32"/>
  <c r="AN450" i="32"/>
  <c r="AN258" i="32"/>
  <c r="AO258" i="32"/>
  <c r="AO78" i="32"/>
  <c r="AN78" i="32"/>
  <c r="AO98" i="32"/>
  <c r="AN98" i="32"/>
  <c r="AN129" i="32"/>
  <c r="AO129" i="32"/>
  <c r="AN522" i="32"/>
  <c r="AO522" i="32"/>
  <c r="AO21" i="32"/>
  <c r="AN21" i="32"/>
  <c r="AN75" i="32"/>
  <c r="AO75" i="32"/>
  <c r="AO246" i="32"/>
  <c r="AN246" i="32"/>
  <c r="AO418" i="32"/>
  <c r="AN418" i="32"/>
  <c r="AO481" i="32"/>
  <c r="AN481" i="32"/>
  <c r="AN221" i="32"/>
  <c r="AO221" i="32"/>
  <c r="AN237" i="32"/>
  <c r="AO237" i="32"/>
  <c r="AN306" i="32"/>
  <c r="AO306" i="32"/>
  <c r="AO287" i="32"/>
  <c r="AN287" i="32"/>
  <c r="AN500" i="32"/>
  <c r="AO500" i="32"/>
  <c r="AN462" i="32"/>
  <c r="AO462" i="32"/>
  <c r="AO410" i="32"/>
  <c r="AN410" i="32"/>
  <c r="AO196" i="32"/>
  <c r="AN196" i="32"/>
  <c r="AO349" i="32"/>
  <c r="AN349" i="32"/>
  <c r="AO573" i="32"/>
  <c r="AN573" i="32"/>
  <c r="AO229" i="32"/>
  <c r="AN229" i="32"/>
  <c r="AO597" i="32"/>
  <c r="AN597" i="32"/>
  <c r="AO38" i="32"/>
  <c r="AN38" i="32"/>
  <c r="AO305" i="32"/>
  <c r="AN305" i="32"/>
  <c r="AN332" i="32"/>
  <c r="AO332" i="32"/>
  <c r="AO311" i="32"/>
  <c r="AN311" i="32"/>
  <c r="AO375" i="32"/>
  <c r="AN375" i="32"/>
  <c r="AN576" i="32"/>
  <c r="AO576" i="32"/>
  <c r="AO541" i="32"/>
  <c r="AN541" i="32"/>
  <c r="AO53" i="32"/>
  <c r="AN53" i="32"/>
  <c r="AN285" i="32"/>
  <c r="AO285" i="32"/>
  <c r="AO99" i="32"/>
  <c r="AN99" i="32"/>
  <c r="AO460" i="32"/>
  <c r="AN460" i="32"/>
  <c r="AN103" i="32"/>
  <c r="AO103" i="32"/>
  <c r="AN122" i="32"/>
  <c r="AO122" i="32"/>
  <c r="AO251" i="32"/>
  <c r="AN251" i="32"/>
  <c r="AO371" i="32"/>
  <c r="AN371" i="32"/>
  <c r="AO499" i="32"/>
  <c r="AN499" i="32"/>
  <c r="AO436" i="32"/>
  <c r="AN436" i="32"/>
  <c r="AO606" i="32"/>
  <c r="AN606" i="32"/>
  <c r="AO553" i="32"/>
  <c r="AN553" i="32"/>
  <c r="AO216" i="32"/>
  <c r="AN216" i="32"/>
  <c r="AN359" i="32"/>
  <c r="AO359" i="32"/>
  <c r="AN589" i="32"/>
  <c r="AO589" i="32"/>
  <c r="AO24" i="32"/>
  <c r="AN24" i="32"/>
  <c r="AN457" i="32"/>
  <c r="AO457" i="32"/>
  <c r="AO182" i="32"/>
  <c r="AN182" i="32"/>
  <c r="AO278" i="32"/>
  <c r="AN278" i="32"/>
  <c r="AN244" i="32"/>
  <c r="AO244" i="32"/>
  <c r="AN227" i="32"/>
  <c r="AO227" i="32"/>
  <c r="AO403" i="32"/>
  <c r="AN403" i="32"/>
  <c r="AO477" i="32"/>
  <c r="AN477" i="32"/>
  <c r="AO601" i="32"/>
  <c r="AN601" i="32"/>
  <c r="AL110" i="32"/>
  <c r="AK110" i="32"/>
  <c r="AK472" i="32"/>
  <c r="AL472" i="32"/>
  <c r="AK473" i="32"/>
  <c r="AL473" i="32"/>
  <c r="AK325" i="32"/>
  <c r="AL325" i="32"/>
  <c r="AK563" i="32"/>
  <c r="AL563" i="32"/>
  <c r="AL535" i="32"/>
  <c r="AK535" i="32"/>
  <c r="AK577" i="32"/>
  <c r="AL577" i="32"/>
  <c r="AL263" i="32"/>
  <c r="AK263" i="32"/>
  <c r="AK144" i="32"/>
  <c r="AL144" i="32"/>
  <c r="AL437" i="32"/>
  <c r="AK437" i="32"/>
  <c r="AL206" i="32"/>
  <c r="AK206" i="32"/>
  <c r="AK31" i="32"/>
  <c r="AL31" i="32"/>
  <c r="AL189" i="32"/>
  <c r="AK189" i="32"/>
  <c r="AK561" i="32"/>
  <c r="AL561" i="32"/>
  <c r="AK602" i="32"/>
  <c r="AL602" i="32"/>
  <c r="AK155" i="32"/>
  <c r="AL155" i="32"/>
  <c r="AL30" i="32"/>
  <c r="AK30" i="32"/>
  <c r="AK65" i="32"/>
  <c r="AL65" i="32"/>
  <c r="AL257" i="32"/>
  <c r="AK257" i="32"/>
  <c r="AL234" i="32"/>
  <c r="AK234" i="32"/>
  <c r="AK225" i="32"/>
  <c r="AL225" i="32"/>
  <c r="AK260" i="32"/>
  <c r="AL260" i="32"/>
  <c r="AL498" i="32"/>
  <c r="AK498" i="32"/>
  <c r="AK337" i="32"/>
  <c r="AL337" i="32"/>
  <c r="AL446" i="32"/>
  <c r="AK446" i="32"/>
  <c r="AK98" i="32"/>
  <c r="AL98" i="32"/>
  <c r="AL60" i="32"/>
  <c r="AK60" i="32"/>
  <c r="AL99" i="32"/>
  <c r="AK99" i="32"/>
  <c r="AK553" i="32"/>
  <c r="AL553" i="32"/>
  <c r="AK232" i="32"/>
  <c r="AL232" i="32"/>
  <c r="AL414" i="32"/>
  <c r="AK414" i="32"/>
  <c r="AK241" i="32"/>
  <c r="AL241" i="32"/>
  <c r="AK227" i="32"/>
  <c r="AL227" i="32"/>
  <c r="AK271" i="32"/>
  <c r="AL271" i="32"/>
  <c r="AK578" i="32"/>
  <c r="AL578" i="32"/>
  <c r="AK208" i="32"/>
  <c r="AL208" i="32"/>
  <c r="AK391" i="32"/>
  <c r="AL391" i="32"/>
  <c r="AK277" i="32"/>
  <c r="AL277" i="32"/>
  <c r="AL202" i="32"/>
  <c r="AK202" i="32"/>
  <c r="AL502" i="32"/>
  <c r="AK502" i="32"/>
  <c r="AK296" i="32"/>
  <c r="AL296" i="32"/>
  <c r="AK237" i="32"/>
  <c r="AL237" i="32"/>
  <c r="AK136" i="32"/>
  <c r="AL136" i="32"/>
  <c r="AL551" i="32"/>
  <c r="AK551" i="32"/>
  <c r="AK138" i="32"/>
  <c r="AL138" i="32"/>
  <c r="AK404" i="32"/>
  <c r="AL404" i="32"/>
  <c r="AL351" i="32"/>
  <c r="AK351" i="32"/>
  <c r="AL236" i="32"/>
  <c r="AK236" i="32"/>
  <c r="AK147" i="32"/>
  <c r="AL147" i="32"/>
  <c r="AK131" i="32"/>
  <c r="AL131" i="32"/>
  <c r="AL575" i="32"/>
  <c r="AK575" i="32"/>
  <c r="AL368" i="32"/>
  <c r="AK368" i="32"/>
  <c r="AK330" i="32"/>
  <c r="AL330" i="32"/>
  <c r="AL256" i="32"/>
  <c r="AK256" i="32"/>
  <c r="AL115" i="32"/>
  <c r="AK115" i="32"/>
  <c r="AL242" i="32"/>
  <c r="AK242" i="32"/>
  <c r="AK445" i="32"/>
  <c r="AL445" i="32"/>
  <c r="AL427" i="32"/>
  <c r="AK427" i="32"/>
  <c r="AK319" i="32"/>
  <c r="AL319" i="32"/>
  <c r="AK201" i="32"/>
  <c r="AL201" i="32"/>
  <c r="AL377" i="32"/>
  <c r="AK377" i="32"/>
  <c r="AK367" i="32"/>
  <c r="AL367" i="32"/>
  <c r="AL35" i="32"/>
  <c r="AK35" i="32"/>
  <c r="AK120" i="32"/>
  <c r="AL120" i="32"/>
  <c r="AL580" i="32"/>
  <c r="AK580" i="32"/>
  <c r="AL441" i="32"/>
  <c r="AK441" i="32"/>
  <c r="AL431" i="32"/>
  <c r="AK431" i="32"/>
  <c r="AL326" i="32"/>
  <c r="AK326" i="32"/>
  <c r="AK601" i="32"/>
  <c r="AL601" i="32"/>
  <c r="AL496" i="32"/>
  <c r="AK496" i="32"/>
  <c r="AK393" i="32"/>
  <c r="AL393" i="32"/>
  <c r="AK309" i="32"/>
  <c r="AL309" i="32"/>
  <c r="AK117" i="32"/>
  <c r="AL117" i="32"/>
  <c r="AK76" i="32"/>
  <c r="AL76" i="32"/>
  <c r="AK588" i="32"/>
  <c r="AL588" i="32"/>
  <c r="AO175" i="32"/>
  <c r="AN175" i="32"/>
  <c r="AO65" i="32"/>
  <c r="AN65" i="32"/>
  <c r="AO374" i="32"/>
  <c r="AN374" i="32"/>
  <c r="AO140" i="32"/>
  <c r="AN140" i="32"/>
  <c r="AO67" i="32"/>
  <c r="AN67" i="32"/>
  <c r="AO230" i="32"/>
  <c r="AN230" i="32"/>
  <c r="AO107" i="32"/>
  <c r="AN107" i="32"/>
  <c r="AO405" i="32"/>
  <c r="AN405" i="32"/>
  <c r="AO439" i="32"/>
  <c r="AN439" i="32"/>
  <c r="AN183" i="32"/>
  <c r="AO183" i="32"/>
  <c r="AN339" i="32"/>
  <c r="AO339" i="32"/>
  <c r="AO178" i="32"/>
  <c r="AN178" i="32"/>
  <c r="AO563" i="32"/>
  <c r="AN563" i="32"/>
  <c r="AN447" i="32"/>
  <c r="AO447" i="32"/>
  <c r="AO29" i="32"/>
  <c r="AN29" i="32"/>
  <c r="AN222" i="32"/>
  <c r="AO222" i="32"/>
  <c r="AN598" i="32"/>
  <c r="AO598" i="32"/>
  <c r="AO22" i="32"/>
  <c r="AN22" i="32"/>
  <c r="AO490" i="32"/>
  <c r="AN490" i="32"/>
  <c r="AO543" i="32"/>
  <c r="AN543" i="32"/>
  <c r="AO54" i="32"/>
  <c r="AN54" i="32"/>
  <c r="AO72" i="32"/>
  <c r="AN72" i="32"/>
  <c r="AN345" i="32"/>
  <c r="AO345" i="32"/>
  <c r="AO226" i="32"/>
  <c r="AN226" i="32"/>
  <c r="AN212" i="32"/>
  <c r="AO212" i="32"/>
  <c r="AN268" i="32"/>
  <c r="AO268" i="32"/>
  <c r="AO549" i="32"/>
  <c r="AN549" i="32"/>
  <c r="AN159" i="32"/>
  <c r="AO159" i="32"/>
  <c r="AN184" i="32"/>
  <c r="AO184" i="32"/>
  <c r="AN348" i="32"/>
  <c r="AO348" i="32"/>
  <c r="AN432" i="32"/>
  <c r="AO432" i="32"/>
  <c r="AO604" i="32"/>
  <c r="AN604" i="32"/>
  <c r="AN13" i="32"/>
  <c r="AO13" i="32"/>
  <c r="AN188" i="32"/>
  <c r="AO188" i="32"/>
  <c r="AO56" i="32"/>
  <c r="AN56" i="32"/>
  <c r="AN411" i="32"/>
  <c r="AO411" i="32"/>
  <c r="AN531" i="32"/>
  <c r="AO531" i="32"/>
  <c r="AO540" i="32"/>
  <c r="AN540" i="32"/>
  <c r="AO533" i="32"/>
  <c r="AN533" i="32"/>
  <c r="AO254" i="32"/>
  <c r="AN254" i="32"/>
  <c r="AO422" i="32"/>
  <c r="AN422" i="32"/>
  <c r="AO37" i="32"/>
  <c r="AN37" i="32"/>
  <c r="AN205" i="32"/>
  <c r="AO205" i="32"/>
  <c r="AO79" i="32"/>
  <c r="AN79" i="32"/>
  <c r="AO83" i="32"/>
  <c r="AN83" i="32"/>
  <c r="AO313" i="32"/>
  <c r="AN313" i="32"/>
  <c r="AO333" i="32"/>
  <c r="AN333" i="32"/>
  <c r="AN298" i="32"/>
  <c r="AO298" i="32"/>
  <c r="AO476" i="32"/>
  <c r="AN476" i="32"/>
  <c r="AO198" i="32"/>
  <c r="AN198" i="32"/>
  <c r="AO602" i="32"/>
  <c r="AN602" i="32"/>
  <c r="AO135" i="32"/>
  <c r="AN135" i="32"/>
  <c r="AO87" i="32"/>
  <c r="AN87" i="32"/>
  <c r="AN134" i="32"/>
  <c r="AO134" i="32"/>
  <c r="AN478" i="32"/>
  <c r="AO478" i="32"/>
  <c r="AO133" i="32"/>
  <c r="AN133" i="32"/>
  <c r="AN151" i="32"/>
  <c r="AO151" i="32"/>
  <c r="AO308" i="32"/>
  <c r="AN308" i="32"/>
  <c r="AN414" i="32"/>
  <c r="AO414" i="32"/>
  <c r="AO546" i="32"/>
  <c r="AN546" i="32"/>
  <c r="AO517" i="32"/>
  <c r="AN517" i="32"/>
  <c r="AO243" i="32"/>
  <c r="AN243" i="32"/>
  <c r="AO584" i="32"/>
  <c r="AN584" i="32"/>
  <c r="AO309" i="32"/>
  <c r="AN309" i="32"/>
  <c r="AO381" i="32"/>
  <c r="AN381" i="32"/>
  <c r="AO115" i="32"/>
  <c r="AN115" i="32"/>
  <c r="AO118" i="32"/>
  <c r="AN118" i="32"/>
  <c r="AN46" i="32"/>
  <c r="AO46" i="32"/>
  <c r="AO74" i="32"/>
  <c r="AN74" i="32"/>
  <c r="AO341" i="32"/>
  <c r="AN341" i="32"/>
  <c r="AN366" i="32"/>
  <c r="AO366" i="32"/>
  <c r="AN297" i="32"/>
  <c r="AO297" i="32"/>
  <c r="AN454" i="32"/>
  <c r="AO454" i="32"/>
  <c r="AO199" i="32"/>
  <c r="AN199" i="32"/>
  <c r="AN607" i="32"/>
  <c r="AO607" i="32"/>
  <c r="AK158" i="32"/>
  <c r="AL158" i="32"/>
  <c r="AL341" i="32"/>
  <c r="AK341" i="32"/>
  <c r="AL328" i="32"/>
  <c r="AK328" i="32"/>
  <c r="AL109" i="32"/>
  <c r="AK109" i="32"/>
  <c r="AK182" i="32"/>
  <c r="AL182" i="32"/>
  <c r="AK598" i="32"/>
  <c r="AL598" i="32"/>
  <c r="AL216" i="32"/>
  <c r="AK216" i="32"/>
  <c r="AK374" i="32"/>
  <c r="AL374" i="32"/>
  <c r="AL361" i="32"/>
  <c r="AK361" i="32"/>
  <c r="AL129" i="32"/>
  <c r="AK129" i="32"/>
  <c r="AK289" i="32"/>
  <c r="AL289" i="32"/>
  <c r="AL457" i="32"/>
  <c r="AK457" i="32"/>
  <c r="AK175" i="32"/>
  <c r="AL175" i="32"/>
  <c r="AL610" i="32"/>
  <c r="AK610" i="32"/>
  <c r="AL41" i="32"/>
  <c r="AK41" i="32"/>
  <c r="AK172" i="32"/>
  <c r="AL172" i="32"/>
  <c r="AK128" i="32"/>
  <c r="AL128" i="32"/>
  <c r="AJ624" i="32"/>
  <c r="AM624" i="32"/>
  <c r="AK116" i="32"/>
  <c r="AL116" i="32"/>
  <c r="AL478" i="32"/>
  <c r="AK478" i="32"/>
  <c r="AL515" i="32"/>
  <c r="AK515" i="32"/>
  <c r="AK595" i="32"/>
  <c r="AL595" i="32"/>
  <c r="AL347" i="32"/>
  <c r="AK347" i="32"/>
  <c r="AL49" i="32"/>
  <c r="AK49" i="32"/>
  <c r="AL505" i="32"/>
  <c r="AK505" i="32"/>
  <c r="AL288" i="32"/>
  <c r="AK288" i="32"/>
  <c r="AK270" i="32"/>
  <c r="AL270" i="32"/>
  <c r="AL287" i="32"/>
  <c r="AK287" i="32"/>
  <c r="AK284" i="32"/>
  <c r="AL284" i="32"/>
  <c r="AL345" i="32"/>
  <c r="AK345" i="32"/>
  <c r="AL267" i="32"/>
  <c r="AK267" i="32"/>
  <c r="AK467" i="32"/>
  <c r="AL467" i="32"/>
  <c r="AL394" i="32"/>
  <c r="AK394" i="32"/>
  <c r="AL590" i="32"/>
  <c r="AK590" i="32"/>
  <c r="AL253" i="32"/>
  <c r="AK253" i="32"/>
  <c r="AK323" i="32"/>
  <c r="AL323" i="32"/>
  <c r="AK275" i="32"/>
  <c r="AL275" i="32"/>
  <c r="AL554" i="32"/>
  <c r="AK554" i="32"/>
  <c r="AK388" i="32"/>
  <c r="AL388" i="32"/>
  <c r="AK605" i="32"/>
  <c r="AL605" i="32"/>
  <c r="AK198" i="32"/>
  <c r="AL198" i="32"/>
  <c r="AK450" i="32"/>
  <c r="AL450" i="32"/>
  <c r="AK360" i="32"/>
  <c r="AL360" i="32"/>
  <c r="AK150" i="32"/>
  <c r="AL150" i="32"/>
  <c r="AK192" i="32"/>
  <c r="AL192" i="32"/>
  <c r="AL357" i="32"/>
  <c r="AK357" i="32"/>
  <c r="AL509" i="32"/>
  <c r="AK509" i="32"/>
  <c r="AK353" i="32"/>
  <c r="AL353" i="32"/>
  <c r="AK344" i="32"/>
  <c r="AL344" i="32"/>
  <c r="AL217" i="32"/>
  <c r="AK217" i="32"/>
  <c r="AK96" i="32"/>
  <c r="AL96" i="32"/>
  <c r="AK160" i="32"/>
  <c r="AL160" i="32"/>
  <c r="AL434" i="32"/>
  <c r="AK434" i="32"/>
  <c r="AL380" i="32"/>
  <c r="AK380" i="32"/>
  <c r="AL281" i="32"/>
  <c r="AK281" i="32"/>
  <c r="AL299" i="32"/>
  <c r="AK299" i="32"/>
  <c r="AL373" i="32"/>
  <c r="AK373" i="32"/>
  <c r="AK516" i="32"/>
  <c r="AL516" i="32"/>
  <c r="AL455" i="32"/>
  <c r="AK455" i="32"/>
  <c r="AL401" i="32"/>
  <c r="AK401" i="32"/>
  <c r="AK338" i="32"/>
  <c r="AL338" i="32"/>
  <c r="AK540" i="32"/>
  <c r="AL540" i="32"/>
  <c r="AL560" i="32"/>
  <c r="AK560" i="32"/>
  <c r="AK177" i="32"/>
  <c r="AL177" i="32"/>
  <c r="AK89" i="32"/>
  <c r="AL89" i="32"/>
  <c r="AL604" i="32"/>
  <c r="AK604" i="32"/>
  <c r="AL529" i="32"/>
  <c r="AK529" i="32"/>
  <c r="AL456" i="32"/>
  <c r="AK456" i="32"/>
  <c r="AL346" i="32"/>
  <c r="AK346" i="32"/>
  <c r="AL17" i="32"/>
  <c r="AK17" i="32"/>
  <c r="AL556" i="32"/>
  <c r="AK556" i="32"/>
  <c r="AK491" i="32"/>
  <c r="AL491" i="32"/>
  <c r="AK310" i="32"/>
  <c r="AL310" i="32"/>
  <c r="AL162" i="32"/>
  <c r="AK162" i="32"/>
  <c r="AL126" i="32"/>
  <c r="AK126" i="32"/>
  <c r="AO189" i="32"/>
  <c r="AN189" i="32"/>
  <c r="AO389" i="32"/>
  <c r="AN389" i="32"/>
  <c r="AO467" i="32"/>
  <c r="AN467" i="32"/>
  <c r="AO55" i="32"/>
  <c r="AN55" i="32"/>
  <c r="AN469" i="32"/>
  <c r="AO469" i="32"/>
  <c r="AN505" i="32"/>
  <c r="AO505" i="32"/>
  <c r="AN77" i="32"/>
  <c r="AO77" i="32"/>
  <c r="AO210" i="32"/>
  <c r="AN210" i="32"/>
  <c r="AO272" i="32"/>
  <c r="AN272" i="32"/>
  <c r="AO352" i="32"/>
  <c r="AN352" i="32"/>
  <c r="AN487" i="32"/>
  <c r="AO487" i="32"/>
  <c r="AN289" i="32"/>
  <c r="AO289" i="32"/>
  <c r="AN117" i="32"/>
  <c r="AO117" i="32"/>
  <c r="AO180" i="32"/>
  <c r="AN180" i="32"/>
  <c r="AO536" i="32"/>
  <c r="AN536" i="32"/>
  <c r="AN64" i="32"/>
  <c r="AO64" i="32"/>
  <c r="AO351" i="32"/>
  <c r="AN351" i="32"/>
  <c r="AO110" i="32"/>
  <c r="AN110" i="32"/>
  <c r="AN23" i="32"/>
  <c r="AO23" i="32"/>
  <c r="AO600" i="32"/>
  <c r="AN600" i="32"/>
  <c r="AN508" i="32"/>
  <c r="AO508" i="32"/>
  <c r="AN495" i="32"/>
  <c r="AO495" i="32"/>
  <c r="AO290" i="32"/>
  <c r="AN290" i="32"/>
  <c r="AN591" i="32"/>
  <c r="AO591" i="32"/>
  <c r="AO76" i="32"/>
  <c r="AN76" i="32"/>
  <c r="AO571" i="32"/>
  <c r="AN571" i="32"/>
  <c r="AN380" i="32"/>
  <c r="AO380" i="32"/>
  <c r="AN286" i="32"/>
  <c r="AO286" i="32"/>
  <c r="AO294" i="32"/>
  <c r="AN294" i="32"/>
  <c r="AN200" i="32"/>
  <c r="AO200" i="32"/>
  <c r="AN399" i="32"/>
  <c r="AO399" i="32"/>
  <c r="AN521" i="32"/>
  <c r="AO521" i="32"/>
  <c r="AN538" i="32"/>
  <c r="AO538" i="32"/>
  <c r="AO91" i="32"/>
  <c r="AN91" i="32"/>
  <c r="AO136" i="32"/>
  <c r="AN136" i="32"/>
  <c r="AO40" i="32"/>
  <c r="AN40" i="32"/>
  <c r="AO437" i="32"/>
  <c r="AN437" i="32"/>
  <c r="AN138" i="32"/>
  <c r="AO138" i="32"/>
  <c r="AO27" i="32"/>
  <c r="AN27" i="32"/>
  <c r="AO610" i="32"/>
  <c r="AN610" i="32"/>
  <c r="AO295" i="32"/>
  <c r="AN295" i="32"/>
  <c r="AN526" i="32"/>
  <c r="AO526" i="32"/>
  <c r="AO73" i="32"/>
  <c r="AN73" i="32"/>
  <c r="AN84" i="32"/>
  <c r="AO84" i="32"/>
  <c r="AO164" i="32"/>
  <c r="AN164" i="32"/>
  <c r="AN233" i="32"/>
  <c r="AO233" i="32"/>
  <c r="AO440" i="32"/>
  <c r="AN440" i="32"/>
  <c r="AO465" i="32"/>
  <c r="AN465" i="32"/>
  <c r="AO344" i="32"/>
  <c r="AN344" i="32"/>
  <c r="AO592" i="32"/>
  <c r="AN592" i="32"/>
  <c r="AO262" i="32"/>
  <c r="AN262" i="32"/>
  <c r="AO587" i="32"/>
  <c r="AN587" i="32"/>
  <c r="AO320" i="32"/>
  <c r="AN320" i="32"/>
  <c r="AN273" i="32"/>
  <c r="AO273" i="32"/>
  <c r="AO458" i="32"/>
  <c r="AN458" i="32"/>
  <c r="AO232" i="32"/>
  <c r="AN232" i="32"/>
  <c r="AO240" i="32"/>
  <c r="AN240" i="32"/>
  <c r="AN141" i="32"/>
  <c r="AO141" i="32"/>
  <c r="AN421" i="32"/>
  <c r="AO421" i="32"/>
  <c r="AO442" i="32"/>
  <c r="AN442" i="32"/>
  <c r="AO575" i="32"/>
  <c r="AN575" i="32"/>
  <c r="AO187" i="32"/>
  <c r="AN187" i="32"/>
  <c r="AN385" i="32"/>
  <c r="AO385" i="32"/>
  <c r="AO603" i="32"/>
  <c r="AN603" i="32"/>
  <c r="AO453" i="32"/>
  <c r="AN453" i="32"/>
  <c r="AO482" i="32"/>
  <c r="AN482" i="32"/>
  <c r="AN104" i="32"/>
  <c r="AO104" i="32"/>
  <c r="AO89" i="32"/>
  <c r="AN89" i="32"/>
  <c r="AN17" i="32"/>
  <c r="AO17" i="32"/>
  <c r="AO155" i="32"/>
  <c r="AN155" i="32"/>
  <c r="AN424" i="32"/>
  <c r="AO424" i="32"/>
  <c r="AN412" i="32"/>
  <c r="AO412" i="32"/>
  <c r="AN355" i="32"/>
  <c r="AO355" i="32"/>
  <c r="AO515" i="32"/>
  <c r="AN515" i="32"/>
  <c r="AN269" i="32"/>
  <c r="AO269" i="32"/>
  <c r="AO561" i="32"/>
  <c r="AN561" i="32"/>
  <c r="AK173" i="32"/>
  <c r="AL173" i="32"/>
  <c r="AK134" i="32"/>
  <c r="AL134" i="32"/>
  <c r="AL119" i="32"/>
  <c r="AK119" i="32"/>
  <c r="AK398" i="32"/>
  <c r="AL398" i="32"/>
  <c r="AL548" i="32"/>
  <c r="AK548" i="32"/>
  <c r="AK14" i="32"/>
  <c r="AL14" i="32"/>
  <c r="AL586" i="32"/>
  <c r="AK586" i="32"/>
  <c r="AK304" i="32"/>
  <c r="AL304" i="32"/>
  <c r="AL308" i="32"/>
  <c r="AK308" i="32"/>
  <c r="AK70" i="32"/>
  <c r="AL70" i="32"/>
  <c r="AK399" i="32"/>
  <c r="AL399" i="32"/>
  <c r="AL333" i="32"/>
  <c r="AK333" i="32"/>
  <c r="AK133" i="32"/>
  <c r="AL133" i="32"/>
  <c r="AL527" i="32"/>
  <c r="AK527" i="32"/>
  <c r="AK114" i="32"/>
  <c r="AL114" i="32"/>
  <c r="AK220" i="32"/>
  <c r="AL220" i="32"/>
  <c r="AK593" i="32"/>
  <c r="AL593" i="32"/>
  <c r="AL163" i="32"/>
  <c r="AK163" i="32"/>
  <c r="AL426" i="32"/>
  <c r="AK426" i="32"/>
  <c r="AK23" i="32"/>
  <c r="AL23" i="32"/>
  <c r="AK36" i="32"/>
  <c r="AL36" i="32"/>
  <c r="AK331" i="32"/>
  <c r="AL331" i="32"/>
  <c r="AK479" i="32"/>
  <c r="AL479" i="32"/>
  <c r="AL183" i="32"/>
  <c r="AK183" i="32"/>
  <c r="AL607" i="32"/>
  <c r="AK607" i="32"/>
  <c r="AL429" i="32"/>
  <c r="AK429" i="32"/>
  <c r="AL495" i="32"/>
  <c r="AK495" i="32"/>
  <c r="AL600" i="32"/>
  <c r="AK600" i="32"/>
  <c r="AL500" i="32"/>
  <c r="AK500" i="32"/>
  <c r="AK167" i="32"/>
  <c r="AL167" i="32"/>
  <c r="AL365" i="32"/>
  <c r="AK365" i="32"/>
  <c r="AL44" i="32"/>
  <c r="AK44" i="32"/>
  <c r="AL487" i="32"/>
  <c r="AK487" i="32"/>
  <c r="AK458" i="32"/>
  <c r="AL458" i="32"/>
  <c r="AL592" i="32"/>
  <c r="AK592" i="32"/>
  <c r="AL100" i="32"/>
  <c r="AK100" i="32"/>
  <c r="AL448" i="32"/>
  <c r="AK448" i="32"/>
  <c r="AL97" i="32"/>
  <c r="AK97" i="32"/>
  <c r="AL503" i="32"/>
  <c r="AK503" i="32"/>
  <c r="AK268" i="32"/>
  <c r="AL268" i="32"/>
  <c r="AK107" i="32"/>
  <c r="AL107" i="32"/>
  <c r="AK555" i="32"/>
  <c r="AL555" i="32"/>
  <c r="AL477" i="32"/>
  <c r="AK477" i="32"/>
  <c r="AL339" i="32"/>
  <c r="AK339" i="32"/>
  <c r="AK489" i="32"/>
  <c r="AL489" i="32"/>
  <c r="AL51" i="32"/>
  <c r="AK51" i="32"/>
  <c r="AK536" i="32"/>
  <c r="AL536" i="32"/>
  <c r="AL463" i="32"/>
  <c r="AK463" i="32"/>
  <c r="AL435" i="32"/>
  <c r="AK435" i="32"/>
  <c r="AK322" i="32"/>
  <c r="AL322" i="32"/>
  <c r="AL185" i="32"/>
  <c r="AK185" i="32"/>
  <c r="AL355" i="32"/>
  <c r="AK355" i="32"/>
  <c r="AL474" i="32"/>
  <c r="AK474" i="32"/>
  <c r="AL475" i="32"/>
  <c r="AK475" i="32"/>
  <c r="AL363" i="32"/>
  <c r="AK363" i="32"/>
  <c r="AL329" i="32"/>
  <c r="AK329" i="32"/>
  <c r="AL581" i="32"/>
  <c r="AK581" i="32"/>
  <c r="AL582" i="32"/>
  <c r="AK582" i="32"/>
  <c r="AL482" i="32"/>
  <c r="AK482" i="32"/>
  <c r="AL504" i="32"/>
  <c r="AK504" i="32"/>
  <c r="AK354" i="32"/>
  <c r="AL354" i="32"/>
  <c r="AK597" i="32"/>
  <c r="AL597" i="32"/>
  <c r="AK124" i="32"/>
  <c r="AL124" i="32"/>
  <c r="AK226" i="32"/>
  <c r="AL226" i="32"/>
  <c r="AL149" i="32"/>
  <c r="AK149" i="32"/>
  <c r="AK132" i="32"/>
  <c r="AL132" i="32"/>
  <c r="AL16" i="32"/>
  <c r="AK16" i="32"/>
  <c r="AL499" i="32"/>
  <c r="AK499" i="32"/>
  <c r="AL438" i="32"/>
  <c r="AK438" i="32"/>
  <c r="AL25" i="32"/>
  <c r="AK25" i="32"/>
  <c r="AK599" i="32"/>
  <c r="AL599" i="32"/>
  <c r="AL508" i="32"/>
  <c r="AK508" i="32"/>
  <c r="AK471" i="32"/>
  <c r="AL471" i="32"/>
  <c r="AL334" i="32"/>
  <c r="AK334" i="32"/>
  <c r="AL223" i="32"/>
  <c r="AK223" i="32"/>
  <c r="AO39" i="32"/>
  <c r="AN39" i="32"/>
  <c r="AN572" i="32"/>
  <c r="AO572" i="32"/>
  <c r="AN392" i="32"/>
  <c r="AO392" i="32"/>
  <c r="AO157" i="32"/>
  <c r="AN157" i="32"/>
  <c r="AN360" i="32"/>
  <c r="AO360" i="32"/>
  <c r="AN518" i="32"/>
  <c r="AO518" i="32"/>
  <c r="AO391" i="32"/>
  <c r="AN391" i="32"/>
  <c r="AO281" i="32"/>
  <c r="AN281" i="32"/>
  <c r="AO317" i="32"/>
  <c r="AN317" i="32"/>
  <c r="AO176" i="32"/>
  <c r="AN176" i="32"/>
  <c r="AO48" i="32"/>
  <c r="AN48" i="32"/>
  <c r="AO461" i="32"/>
  <c r="AN461" i="32"/>
  <c r="AO44" i="32"/>
  <c r="AN44" i="32"/>
  <c r="AO354" i="32"/>
  <c r="AN354" i="32"/>
  <c r="AO113" i="32"/>
  <c r="AN113" i="32"/>
  <c r="AN520" i="32"/>
  <c r="AO520" i="32"/>
  <c r="AO599" i="32"/>
  <c r="AN599" i="32"/>
  <c r="AN112" i="32"/>
  <c r="AO112" i="32"/>
  <c r="AO171" i="32"/>
  <c r="AN171" i="32"/>
  <c r="AN245" i="32"/>
  <c r="AO245" i="32"/>
  <c r="AO50" i="32"/>
  <c r="AN50" i="32"/>
  <c r="AN52" i="32"/>
  <c r="AO52" i="32"/>
  <c r="AN464" i="32"/>
  <c r="AO464" i="32"/>
  <c r="AO282" i="32"/>
  <c r="AN282" i="32"/>
  <c r="AN114" i="32"/>
  <c r="AO114" i="32"/>
  <c r="AO49" i="32"/>
  <c r="AN49" i="32"/>
  <c r="AN31" i="32"/>
  <c r="AO31" i="32"/>
  <c r="AN319" i="32"/>
  <c r="AO319" i="32"/>
  <c r="AN379" i="32"/>
  <c r="AO379" i="32"/>
  <c r="AN292" i="32"/>
  <c r="AO292" i="32"/>
  <c r="AO472" i="32"/>
  <c r="AN472" i="32"/>
  <c r="AO160" i="32"/>
  <c r="AN160" i="32"/>
  <c r="AN609" i="32"/>
  <c r="AO609" i="32"/>
  <c r="AO71" i="32"/>
  <c r="AN71" i="32"/>
  <c r="AO32" i="32"/>
  <c r="AN32" i="32"/>
  <c r="AN218" i="32"/>
  <c r="AO218" i="32"/>
  <c r="AO445" i="32"/>
  <c r="AN445" i="32"/>
  <c r="AO150" i="32"/>
  <c r="AN150" i="32"/>
  <c r="AO153" i="32"/>
  <c r="AN153" i="32"/>
  <c r="AO300" i="32"/>
  <c r="AN300" i="32"/>
  <c r="AO404" i="32"/>
  <c r="AN404" i="32"/>
  <c r="AO523" i="32"/>
  <c r="AN523" i="32"/>
  <c r="AO228" i="32"/>
  <c r="AN228" i="32"/>
  <c r="AO337" i="32"/>
  <c r="AN337" i="32"/>
  <c r="AN384" i="32"/>
  <c r="AO384" i="32"/>
  <c r="AO334" i="32"/>
  <c r="AN334" i="32"/>
  <c r="AO486" i="32"/>
  <c r="AN486" i="32"/>
  <c r="AO449" i="32"/>
  <c r="AN449" i="32"/>
  <c r="AO550" i="32"/>
  <c r="AN550" i="32"/>
  <c r="AN261" i="32"/>
  <c r="AO261" i="32"/>
  <c r="AO301" i="32"/>
  <c r="AN301" i="32"/>
  <c r="AO562" i="32"/>
  <c r="AN562" i="32"/>
  <c r="AN120" i="32"/>
  <c r="AO120" i="32"/>
  <c r="AO19" i="32"/>
  <c r="AN19" i="32"/>
  <c r="AN280" i="32"/>
  <c r="AO280" i="32"/>
  <c r="AN335" i="32"/>
  <c r="AO335" i="32"/>
  <c r="AO263" i="32"/>
  <c r="AN263" i="32"/>
  <c r="AO416" i="32"/>
  <c r="AN416" i="32"/>
  <c r="AO559" i="32"/>
  <c r="AN559" i="32"/>
  <c r="AO580" i="32"/>
  <c r="AN580" i="32"/>
  <c r="AO207" i="32"/>
  <c r="AN207" i="32"/>
  <c r="AN372" i="32"/>
  <c r="AO372" i="32"/>
  <c r="AN590" i="32"/>
  <c r="AO590" i="32"/>
  <c r="AO417" i="32"/>
  <c r="AN417" i="32"/>
  <c r="AN567" i="32"/>
  <c r="AO567" i="32"/>
  <c r="AO154" i="32"/>
  <c r="AN154" i="32"/>
  <c r="AO191" i="32"/>
  <c r="AN191" i="32"/>
  <c r="AO284" i="32"/>
  <c r="AN284" i="32"/>
  <c r="AN214" i="32"/>
  <c r="AO214" i="32"/>
  <c r="AO552" i="32"/>
  <c r="AN552" i="32"/>
  <c r="AN408" i="32"/>
  <c r="AO408" i="32"/>
  <c r="AN398" i="32"/>
  <c r="AO398" i="32"/>
  <c r="AN156" i="32"/>
  <c r="AO156" i="32"/>
  <c r="AO326" i="32"/>
  <c r="AN326" i="32"/>
  <c r="AO544" i="32"/>
  <c r="AN544" i="32"/>
  <c r="AK311" i="32"/>
  <c r="AL311" i="32"/>
  <c r="AL258" i="32"/>
  <c r="AK258" i="32"/>
  <c r="AL542" i="32"/>
  <c r="AK542" i="32"/>
  <c r="AK218" i="32"/>
  <c r="AL218" i="32"/>
  <c r="AK452" i="32"/>
  <c r="AL452" i="32"/>
  <c r="AK77" i="32"/>
  <c r="AL77" i="32"/>
  <c r="AK537" i="32"/>
  <c r="AL537" i="32"/>
  <c r="AL243" i="32"/>
  <c r="AK243" i="32"/>
  <c r="AL453" i="32"/>
  <c r="AK453" i="32"/>
  <c r="AL261" i="32"/>
  <c r="AK261" i="32"/>
  <c r="AL410" i="32"/>
  <c r="AK410" i="32"/>
  <c r="AK382" i="32"/>
  <c r="AL382" i="32"/>
  <c r="AK362" i="32"/>
  <c r="AL362" i="32"/>
  <c r="AL484" i="32"/>
  <c r="AK484" i="32"/>
  <c r="AL238" i="32"/>
  <c r="AK238" i="32"/>
  <c r="AL200" i="32"/>
  <c r="AK200" i="32"/>
  <c r="AL528" i="32"/>
  <c r="AK528" i="32"/>
  <c r="AK164" i="32"/>
  <c r="AL164" i="32"/>
  <c r="AL106" i="32"/>
  <c r="AK106" i="32"/>
  <c r="AK409" i="32"/>
  <c r="AL409" i="32"/>
  <c r="AL425" i="32"/>
  <c r="AK425" i="32"/>
  <c r="AK48" i="32"/>
  <c r="AL48" i="32"/>
  <c r="AL569" i="32"/>
  <c r="AK569" i="32"/>
  <c r="AK314" i="32"/>
  <c r="AL314" i="32"/>
  <c r="AL67" i="32"/>
  <c r="AK67" i="32"/>
  <c r="AK370" i="32"/>
  <c r="AL370" i="32"/>
  <c r="AL137" i="32"/>
  <c r="AK137" i="32"/>
  <c r="AK246" i="32"/>
  <c r="AL246" i="32"/>
  <c r="AK197" i="32"/>
  <c r="AL197" i="32"/>
  <c r="AL297" i="32"/>
  <c r="AK297" i="32"/>
  <c r="AK522" i="32"/>
  <c r="AL522" i="32"/>
  <c r="AL245" i="32"/>
  <c r="AK245" i="32"/>
  <c r="AL62" i="32"/>
  <c r="AK62" i="32"/>
  <c r="AL112" i="32"/>
  <c r="AK112" i="32"/>
  <c r="AK188" i="32"/>
  <c r="AL188" i="32"/>
  <c r="AK349" i="32"/>
  <c r="AL349" i="32"/>
  <c r="AK476" i="32"/>
  <c r="AL476" i="32"/>
  <c r="AL224" i="32"/>
  <c r="AK224" i="32"/>
  <c r="AL54" i="32"/>
  <c r="AK54" i="32"/>
  <c r="AL424" i="32"/>
  <c r="AK424" i="32"/>
  <c r="AL295" i="32"/>
  <c r="AK295" i="32"/>
  <c r="AK383" i="32"/>
  <c r="AL383" i="32"/>
  <c r="AK47" i="32"/>
  <c r="AL47" i="32"/>
  <c r="AL490" i="32"/>
  <c r="AK490" i="32"/>
  <c r="AK34" i="32"/>
  <c r="AL34" i="32"/>
  <c r="AL108" i="32"/>
  <c r="AK108" i="32"/>
  <c r="AK583" i="32"/>
  <c r="AL583" i="32"/>
  <c r="AL460" i="32"/>
  <c r="AK460" i="32"/>
  <c r="AK439" i="32"/>
  <c r="AL439" i="32"/>
  <c r="AK359" i="32"/>
  <c r="AL359" i="32"/>
  <c r="AL265" i="32"/>
  <c r="AK265" i="32"/>
  <c r="AL532" i="32"/>
  <c r="AK532" i="32"/>
  <c r="AL584" i="32"/>
  <c r="AK584" i="32"/>
  <c r="AK524" i="32"/>
  <c r="AL524" i="32"/>
  <c r="AL411" i="32"/>
  <c r="AK411" i="32"/>
  <c r="AL290" i="32"/>
  <c r="AK290" i="32"/>
  <c r="AL38" i="32"/>
  <c r="AK38" i="32"/>
  <c r="AL125" i="32"/>
  <c r="AK125" i="32"/>
  <c r="AL568" i="32"/>
  <c r="AK568" i="32"/>
  <c r="AL485" i="32"/>
  <c r="AK485" i="32"/>
  <c r="AK389" i="32"/>
  <c r="AL389" i="32"/>
  <c r="AL165" i="32"/>
  <c r="AK165" i="32"/>
  <c r="AK408" i="32"/>
  <c r="AL408" i="32"/>
  <c r="AK350" i="32"/>
  <c r="AL350" i="32"/>
  <c r="AL213" i="32"/>
  <c r="AK213" i="32"/>
  <c r="AL143" i="32"/>
  <c r="AK143" i="32"/>
  <c r="AK127" i="32"/>
  <c r="AL127" i="32"/>
  <c r="AK572" i="32"/>
  <c r="AL572" i="32"/>
  <c r="AK501" i="32"/>
  <c r="AL501" i="32"/>
  <c r="AL156" i="32"/>
  <c r="AK156" i="32"/>
  <c r="AL139" i="32"/>
  <c r="AK139" i="32"/>
  <c r="AL596" i="32"/>
  <c r="AK596" i="32"/>
  <c r="AL464" i="32"/>
  <c r="AK464" i="32"/>
  <c r="AL292" i="32"/>
  <c r="AK292" i="32"/>
  <c r="AK230" i="32"/>
  <c r="AL230" i="32"/>
  <c r="AO130" i="32"/>
  <c r="AN130" i="32"/>
  <c r="AO291" i="32"/>
  <c r="AN291" i="32"/>
  <c r="AN314" i="32"/>
  <c r="AO314" i="32"/>
  <c r="AO105" i="32"/>
  <c r="AN105" i="32"/>
  <c r="AN36" i="32"/>
  <c r="AO36" i="32"/>
  <c r="AO148" i="32"/>
  <c r="AN148" i="32"/>
  <c r="AO224" i="32"/>
  <c r="AN224" i="32"/>
  <c r="AO119" i="32"/>
  <c r="AN119" i="32"/>
  <c r="AO195" i="32"/>
  <c r="AN195" i="32"/>
  <c r="AO470" i="32"/>
  <c r="AN470" i="32"/>
  <c r="AN204" i="32"/>
  <c r="AO204" i="32"/>
  <c r="AO42" i="32"/>
  <c r="AN42" i="32"/>
  <c r="AO276" i="32"/>
  <c r="AN276" i="32"/>
  <c r="AN527" i="32"/>
  <c r="AO527" i="32"/>
  <c r="AO143" i="32"/>
  <c r="AN143" i="32"/>
  <c r="AO61" i="32"/>
  <c r="AN61" i="32"/>
  <c r="AO194" i="32"/>
  <c r="AN194" i="32"/>
  <c r="AO509" i="32"/>
  <c r="AN509" i="32"/>
  <c r="AO425" i="32"/>
  <c r="AN425" i="32"/>
  <c r="AO513" i="32"/>
  <c r="AN513" i="32"/>
  <c r="AN338" i="32"/>
  <c r="AO338" i="32"/>
  <c r="AO95" i="32"/>
  <c r="AN95" i="32"/>
  <c r="AO82" i="32"/>
  <c r="AN82" i="32"/>
  <c r="AN66" i="32"/>
  <c r="AO66" i="32"/>
  <c r="AO264" i="32"/>
  <c r="AN264" i="32"/>
  <c r="AO123" i="32"/>
  <c r="AN123" i="32"/>
  <c r="AN58" i="32"/>
  <c r="AO58" i="32"/>
  <c r="AN426" i="32"/>
  <c r="AO426" i="32"/>
  <c r="AN400" i="32"/>
  <c r="AO400" i="32"/>
  <c r="AO395" i="32"/>
  <c r="AN395" i="32"/>
  <c r="AN555" i="32"/>
  <c r="AO555" i="32"/>
  <c r="AO277" i="32"/>
  <c r="AN277" i="32"/>
  <c r="AN560" i="32"/>
  <c r="AO560" i="32"/>
  <c r="AN265" i="32"/>
  <c r="AO265" i="32"/>
  <c r="AO234" i="32"/>
  <c r="AN234" i="32"/>
  <c r="AO321" i="32"/>
  <c r="AN321" i="32"/>
  <c r="AO565" i="32"/>
  <c r="AN565" i="32"/>
  <c r="AN231" i="32"/>
  <c r="AO231" i="32"/>
  <c r="AO202" i="32"/>
  <c r="AN202" i="32"/>
  <c r="AO367" i="32"/>
  <c r="AN367" i="32"/>
  <c r="AN474" i="32"/>
  <c r="AO474" i="32"/>
  <c r="AN586" i="32"/>
  <c r="AO586" i="32"/>
  <c r="AN20" i="32"/>
  <c r="AO20" i="32"/>
  <c r="AO158" i="32"/>
  <c r="AN158" i="32"/>
  <c r="AO25" i="32"/>
  <c r="AN25" i="32"/>
  <c r="AO362" i="32"/>
  <c r="AN362" i="32"/>
  <c r="AO569" i="32"/>
  <c r="AN569" i="32"/>
  <c r="AN498" i="32"/>
  <c r="AO498" i="32"/>
  <c r="AO510" i="32"/>
  <c r="AN510" i="32"/>
  <c r="AN260" i="32"/>
  <c r="AO260" i="32"/>
  <c r="AO427" i="32"/>
  <c r="AN427" i="32"/>
  <c r="AO47" i="32"/>
  <c r="AN47" i="32"/>
  <c r="AO100" i="32"/>
  <c r="AN100" i="32"/>
  <c r="AN97" i="32"/>
  <c r="AO97" i="32"/>
  <c r="AO41" i="32"/>
  <c r="AN41" i="32"/>
  <c r="AN368" i="32"/>
  <c r="AO368" i="32"/>
  <c r="AN315" i="32"/>
  <c r="AO315" i="32"/>
  <c r="AN443" i="32"/>
  <c r="AO443" i="32"/>
  <c r="AO548" i="32"/>
  <c r="AN548" i="32"/>
  <c r="AO328" i="32"/>
  <c r="AN328" i="32"/>
  <c r="AN608" i="32"/>
  <c r="AO608" i="32"/>
  <c r="AN324" i="32"/>
  <c r="AO324" i="32"/>
  <c r="AN429" i="32"/>
  <c r="AO429" i="32"/>
  <c r="AN386" i="32"/>
  <c r="AO386" i="32"/>
  <c r="AN535" i="32"/>
  <c r="AO535" i="32"/>
  <c r="AO593" i="32"/>
  <c r="AN593" i="32"/>
  <c r="AN501" i="32"/>
  <c r="AO501" i="32"/>
  <c r="AO568" i="32"/>
  <c r="AN568" i="32"/>
  <c r="AO223" i="32"/>
  <c r="AN223" i="32"/>
  <c r="AN303" i="32"/>
  <c r="AO303" i="32"/>
  <c r="AO512" i="32"/>
  <c r="AN512" i="32"/>
  <c r="AO528" i="32"/>
  <c r="AN528" i="32"/>
  <c r="AN497" i="32"/>
  <c r="AO497" i="32"/>
  <c r="AO274" i="32"/>
  <c r="AN274" i="32"/>
  <c r="AN363" i="32"/>
  <c r="AO363" i="32"/>
  <c r="AO611" i="32"/>
  <c r="AN611" i="32"/>
  <c r="AL390" i="32"/>
  <c r="AK390" i="32"/>
  <c r="AK285" i="32"/>
  <c r="AL285" i="32"/>
  <c r="AL422" i="32"/>
  <c r="AK422" i="32"/>
  <c r="AK397" i="32"/>
  <c r="AL397" i="32"/>
  <c r="AL272" i="32"/>
  <c r="AK272" i="32"/>
  <c r="AK130" i="32"/>
  <c r="AL130" i="32"/>
  <c r="AL449" i="32"/>
  <c r="AK449" i="32"/>
  <c r="AK384" i="32"/>
  <c r="AL384" i="32"/>
  <c r="AK465" i="32"/>
  <c r="AL465" i="32"/>
  <c r="AL379" i="32"/>
  <c r="AK379" i="32"/>
  <c r="AL395" i="32"/>
  <c r="AK395" i="32"/>
  <c r="AL153" i="32"/>
  <c r="AK153" i="32"/>
  <c r="AL55" i="32"/>
  <c r="AK55" i="32"/>
  <c r="AK366" i="32"/>
  <c r="AL366" i="32"/>
  <c r="AK196" i="32"/>
  <c r="AL196" i="32"/>
  <c r="AL552" i="32"/>
  <c r="AK552" i="32"/>
  <c r="AK541" i="32"/>
  <c r="AL541" i="32"/>
  <c r="AL102" i="32"/>
  <c r="AK102" i="32"/>
  <c r="AL343" i="32"/>
  <c r="AK343" i="32"/>
  <c r="AL255" i="32"/>
  <c r="AK255" i="32"/>
  <c r="AL71" i="32"/>
  <c r="AK71" i="32"/>
  <c r="AK305" i="32"/>
  <c r="AL305" i="32"/>
  <c r="AL103" i="32"/>
  <c r="AK103" i="32"/>
  <c r="AK469" i="32"/>
  <c r="AL469" i="32"/>
  <c r="AL286" i="32"/>
  <c r="AK286" i="32"/>
  <c r="AK403" i="32"/>
  <c r="AL403" i="32"/>
  <c r="AL266" i="32"/>
  <c r="AK266" i="32"/>
  <c r="AK493" i="32"/>
  <c r="AL493" i="32"/>
  <c r="AL412" i="32"/>
  <c r="AK412" i="32"/>
  <c r="AK113" i="32"/>
  <c r="AL113" i="32"/>
  <c r="AL603" i="32"/>
  <c r="AK603" i="32"/>
  <c r="AL332" i="32"/>
  <c r="AK332" i="32"/>
  <c r="AL159" i="32"/>
  <c r="AK159" i="32"/>
  <c r="AK510" i="32"/>
  <c r="AL510" i="32"/>
  <c r="AK430" i="32"/>
  <c r="AL430" i="32"/>
  <c r="AL78" i="32"/>
  <c r="AK78" i="32"/>
  <c r="AK574" i="32"/>
  <c r="AL574" i="32"/>
  <c r="AL336" i="32"/>
  <c r="AK336" i="32"/>
  <c r="AK210" i="32"/>
  <c r="AL210" i="32"/>
  <c r="AK526" i="32"/>
  <c r="AL526" i="32"/>
  <c r="AL402" i="32"/>
  <c r="AK402" i="32"/>
  <c r="AK276" i="32"/>
  <c r="AL276" i="32"/>
  <c r="AL157" i="32"/>
  <c r="AK157" i="32"/>
  <c r="AL594" i="32"/>
  <c r="AK594" i="32"/>
  <c r="AL428" i="32"/>
  <c r="AK428" i="32"/>
  <c r="AK83" i="32"/>
  <c r="AL83" i="32"/>
  <c r="AK21" i="32"/>
  <c r="AL21" i="32"/>
  <c r="AL567" i="32"/>
  <c r="AK567" i="32"/>
  <c r="AL480" i="32"/>
  <c r="AK480" i="32"/>
  <c r="AL372" i="32"/>
  <c r="AK372" i="32"/>
  <c r="AK300" i="32"/>
  <c r="AL300" i="32"/>
  <c r="AK180" i="32"/>
  <c r="AL180" i="32"/>
  <c r="AK94" i="32"/>
  <c r="AL94" i="32"/>
  <c r="AK587" i="32"/>
  <c r="AL587" i="32"/>
  <c r="AK517" i="32"/>
  <c r="AL517" i="32"/>
  <c r="AK406" i="32"/>
  <c r="AL406" i="32"/>
  <c r="AL203" i="32"/>
  <c r="AK203" i="32"/>
  <c r="AL86" i="32"/>
  <c r="AK86" i="32"/>
  <c r="AL58" i="32"/>
  <c r="AK58" i="32"/>
  <c r="AK550" i="32"/>
  <c r="AL550" i="32"/>
  <c r="AK507" i="32"/>
  <c r="AL507" i="32"/>
  <c r="AL492" i="32"/>
  <c r="AK492" i="32"/>
  <c r="AK93" i="32"/>
  <c r="AL93" i="32"/>
  <c r="AK454" i="32"/>
  <c r="AL454" i="32"/>
  <c r="AL279" i="32"/>
  <c r="AK279" i="32"/>
  <c r="AL298" i="32"/>
  <c r="AK298" i="32"/>
  <c r="AK92" i="32"/>
  <c r="AL92" i="32"/>
  <c r="AL63" i="32"/>
  <c r="AK63" i="32"/>
  <c r="AL565" i="32"/>
  <c r="AK565" i="32"/>
  <c r="AK249" i="32"/>
  <c r="AL249" i="32"/>
  <c r="AK69" i="32"/>
  <c r="AL69" i="32"/>
  <c r="AL27" i="32"/>
  <c r="AK27" i="32"/>
  <c r="AL514" i="32"/>
  <c r="AK514" i="32"/>
  <c r="AK407" i="32"/>
  <c r="AL407" i="32"/>
  <c r="AL327" i="32"/>
  <c r="AK327" i="32"/>
  <c r="AO463" i="32"/>
  <c r="AN463" i="32"/>
  <c r="AN111" i="32"/>
  <c r="AO111" i="32"/>
  <c r="AO33" i="32"/>
  <c r="AN33" i="32"/>
  <c r="AN109" i="32"/>
  <c r="AO109" i="32"/>
  <c r="AO493" i="32"/>
  <c r="AN493" i="32"/>
  <c r="AO170" i="32"/>
  <c r="AN170" i="32"/>
  <c r="AO256" i="32"/>
  <c r="AN256" i="32"/>
  <c r="AO169" i="32"/>
  <c r="AN169" i="32"/>
  <c r="AO186" i="32"/>
  <c r="AN186" i="32"/>
  <c r="AO242" i="32"/>
  <c r="AN242" i="32"/>
  <c r="AN494" i="32"/>
  <c r="AO494" i="32"/>
  <c r="AN235" i="32"/>
  <c r="AO235" i="32"/>
  <c r="AO102" i="32"/>
  <c r="AN102" i="32"/>
  <c r="AO192" i="32"/>
  <c r="AN192" i="32"/>
  <c r="AO451" i="32"/>
  <c r="AN451" i="32"/>
  <c r="AO420" i="32"/>
  <c r="AN420" i="32"/>
  <c r="AO330" i="32"/>
  <c r="AN330" i="32"/>
  <c r="AO139" i="32"/>
  <c r="AN139" i="32"/>
  <c r="AN219" i="32"/>
  <c r="AO219" i="32"/>
  <c r="AN530" i="32"/>
  <c r="AO530" i="32"/>
  <c r="AO88" i="32"/>
  <c r="AN88" i="32"/>
  <c r="AN428" i="32"/>
  <c r="AO428" i="32"/>
  <c r="AN247" i="32"/>
  <c r="AO247" i="32"/>
  <c r="AN173" i="32"/>
  <c r="AO173" i="32"/>
  <c r="AO220" i="32"/>
  <c r="AN220" i="32"/>
  <c r="AO250" i="32"/>
  <c r="AN250" i="32"/>
  <c r="AO217" i="32"/>
  <c r="AN217" i="32"/>
  <c r="AO434" i="32"/>
  <c r="AN434" i="32"/>
  <c r="AO471" i="32"/>
  <c r="AN471" i="32"/>
  <c r="AN370" i="32"/>
  <c r="AO370" i="32"/>
  <c r="AO203" i="32"/>
  <c r="AN203" i="32"/>
  <c r="AO304" i="32"/>
  <c r="AN304" i="32"/>
  <c r="AN545" i="32"/>
  <c r="AO545" i="32"/>
  <c r="AO172" i="32"/>
  <c r="AN172" i="32"/>
  <c r="AN519" i="32"/>
  <c r="AO519" i="32"/>
  <c r="AN312" i="32"/>
  <c r="AO312" i="32"/>
  <c r="AN255" i="32"/>
  <c r="AO255" i="32"/>
  <c r="AN248" i="32"/>
  <c r="AO248" i="32"/>
  <c r="AO406" i="32"/>
  <c r="AN406" i="32"/>
  <c r="AN529" i="32"/>
  <c r="AO529" i="32"/>
  <c r="AO524" i="32"/>
  <c r="AN524" i="32"/>
  <c r="AO96" i="32"/>
  <c r="AN96" i="32"/>
  <c r="AN241" i="32"/>
  <c r="AO241" i="32"/>
  <c r="AO94" i="32"/>
  <c r="AN94" i="32"/>
  <c r="AO383" i="32"/>
  <c r="AN383" i="32"/>
  <c r="AN45" i="32"/>
  <c r="AO45" i="32"/>
  <c r="AO30" i="32"/>
  <c r="AN30" i="32"/>
  <c r="AO206" i="32"/>
  <c r="AN206" i="32"/>
  <c r="AN361" i="32"/>
  <c r="AO361" i="32"/>
  <c r="AO475" i="32"/>
  <c r="AN475" i="32"/>
  <c r="AO59" i="32"/>
  <c r="AN59" i="32"/>
  <c r="AO126" i="32"/>
  <c r="AN126" i="32"/>
  <c r="AO128" i="32"/>
  <c r="AN128" i="32"/>
  <c r="AO266" i="32"/>
  <c r="AN266" i="32"/>
  <c r="AO551" i="32"/>
  <c r="AN551" i="32"/>
  <c r="AN393" i="32"/>
  <c r="AO393" i="32"/>
  <c r="AN382" i="32"/>
  <c r="AO382" i="32"/>
  <c r="AO612" i="32"/>
  <c r="AN612" i="32"/>
  <c r="AN270" i="32"/>
  <c r="AO270" i="32"/>
  <c r="AN582" i="32"/>
  <c r="AO582" i="32"/>
  <c r="AO358" i="32"/>
  <c r="AN358" i="32"/>
  <c r="AN444" i="32"/>
  <c r="AO444" i="32"/>
  <c r="AO435" i="32"/>
  <c r="AN435" i="32"/>
  <c r="AO161" i="32"/>
  <c r="AN161" i="32"/>
  <c r="AN588" i="32"/>
  <c r="AO588" i="32"/>
  <c r="AO166" i="32"/>
  <c r="AN166" i="32"/>
  <c r="AN90" i="32"/>
  <c r="AO90" i="32"/>
  <c r="AO70" i="32"/>
  <c r="AN70" i="32"/>
  <c r="AO431" i="32"/>
  <c r="AN431" i="32"/>
  <c r="AN137" i="32"/>
  <c r="AO137" i="32"/>
  <c r="AN596" i="32"/>
  <c r="AO596" i="32"/>
  <c r="AN554" i="32"/>
  <c r="AO554" i="32"/>
  <c r="AO296" i="32"/>
  <c r="AN296" i="32"/>
  <c r="AN452" i="32"/>
  <c r="AO452" i="32"/>
  <c r="AM625" i="32"/>
  <c r="AJ625" i="32"/>
  <c r="AR625" i="32"/>
  <c r="AQ625" i="32"/>
  <c r="AR624" i="32"/>
  <c r="AQ624" i="32"/>
  <c r="AR556" i="32"/>
  <c r="AQ556" i="32"/>
  <c r="AR601" i="32"/>
  <c r="AQ601" i="32"/>
  <c r="AR570" i="32"/>
  <c r="AQ570" i="32"/>
  <c r="AQ302" i="32"/>
  <c r="AR302" i="32"/>
  <c r="AR577" i="32"/>
  <c r="AQ577" i="32"/>
  <c r="AR287" i="32"/>
  <c r="AQ287" i="32"/>
  <c r="AR179" i="32"/>
  <c r="AQ179" i="32"/>
  <c r="AQ86" i="32"/>
  <c r="AR86" i="32"/>
  <c r="AR567" i="32"/>
  <c r="AQ567" i="32"/>
  <c r="AQ484" i="32"/>
  <c r="AR484" i="32"/>
  <c r="AQ175" i="32"/>
  <c r="AR175" i="32"/>
  <c r="AR442" i="32"/>
  <c r="AQ442" i="32"/>
  <c r="AR231" i="32"/>
  <c r="AQ231" i="32"/>
  <c r="AR474" i="32"/>
  <c r="AQ474" i="32"/>
  <c r="AR210" i="32"/>
  <c r="AQ210" i="32"/>
  <c r="AR33" i="32"/>
  <c r="AQ33" i="32"/>
  <c r="AR493" i="32"/>
  <c r="AQ493" i="32"/>
  <c r="AR16" i="32"/>
  <c r="AQ16" i="32"/>
  <c r="AR305" i="32"/>
  <c r="AQ305" i="32"/>
  <c r="AR337" i="32"/>
  <c r="AQ337" i="32"/>
  <c r="AQ486" i="32"/>
  <c r="AR486" i="32"/>
  <c r="AR456" i="32"/>
  <c r="AQ456" i="32"/>
  <c r="AQ226" i="32"/>
  <c r="AR226" i="32"/>
  <c r="AR63" i="32"/>
  <c r="AQ63" i="32"/>
  <c r="AR595" i="32"/>
  <c r="AQ595" i="32"/>
  <c r="AR344" i="32"/>
  <c r="AQ344" i="32"/>
  <c r="AQ38" i="32"/>
  <c r="AR38" i="32"/>
  <c r="AQ310" i="32"/>
  <c r="AR310" i="32"/>
  <c r="AR43" i="32"/>
  <c r="AQ43" i="32"/>
  <c r="AQ375" i="32"/>
  <c r="AR375" i="32"/>
  <c r="AQ295" i="32"/>
  <c r="AR295" i="32"/>
  <c r="AR511" i="32"/>
  <c r="AQ511" i="32"/>
  <c r="AR55" i="32"/>
  <c r="AQ55" i="32"/>
  <c r="AQ544" i="32"/>
  <c r="AR544" i="32"/>
  <c r="AQ119" i="32"/>
  <c r="AR119" i="32"/>
  <c r="AQ272" i="32"/>
  <c r="AR272" i="32"/>
  <c r="AR502" i="32"/>
  <c r="AQ502" i="32"/>
  <c r="AR593" i="32"/>
  <c r="AQ593" i="32"/>
  <c r="AQ123" i="32"/>
  <c r="AR123" i="32"/>
  <c r="AR274" i="32"/>
  <c r="AQ274" i="32"/>
  <c r="AQ448" i="32"/>
  <c r="AR448" i="32"/>
  <c r="AR60" i="32"/>
  <c r="AQ60" i="32"/>
  <c r="AR208" i="32"/>
  <c r="AQ208" i="32"/>
  <c r="AR332" i="32"/>
  <c r="AQ332" i="32"/>
  <c r="AQ496" i="32"/>
  <c r="AR496" i="32"/>
  <c r="AQ145" i="32"/>
  <c r="AR145" i="32"/>
  <c r="AR198" i="32"/>
  <c r="AQ198" i="32"/>
  <c r="AQ318" i="32"/>
  <c r="AR318" i="32"/>
  <c r="AR466" i="32"/>
  <c r="AQ466" i="32"/>
  <c r="AQ37" i="32"/>
  <c r="AR37" i="32"/>
  <c r="AR203" i="32"/>
  <c r="AQ203" i="32"/>
  <c r="AR354" i="32"/>
  <c r="AQ354" i="32"/>
  <c r="AQ487" i="32"/>
  <c r="AR487" i="32"/>
  <c r="AQ88" i="32"/>
  <c r="AR88" i="32"/>
  <c r="AR138" i="32"/>
  <c r="AQ138" i="32"/>
  <c r="AR244" i="32"/>
  <c r="AQ244" i="32"/>
  <c r="AR306" i="32"/>
  <c r="AQ306" i="32"/>
  <c r="AR503" i="32"/>
  <c r="AQ503" i="32"/>
  <c r="AR528" i="32"/>
  <c r="AQ528" i="32"/>
  <c r="AQ98" i="32"/>
  <c r="AR98" i="32"/>
  <c r="AQ102" i="32"/>
  <c r="AR102" i="32"/>
  <c r="AQ224" i="32"/>
  <c r="AR224" i="32"/>
  <c r="AQ323" i="32"/>
  <c r="AR323" i="32"/>
  <c r="AQ398" i="32"/>
  <c r="AR398" i="32"/>
  <c r="AR520" i="32"/>
  <c r="AQ520" i="32"/>
  <c r="AR84" i="32"/>
  <c r="AQ84" i="32"/>
  <c r="AQ156" i="32"/>
  <c r="AR156" i="32"/>
  <c r="AR240" i="32"/>
  <c r="AQ240" i="32"/>
  <c r="AR292" i="32"/>
  <c r="AQ292" i="32"/>
  <c r="AQ403" i="32"/>
  <c r="AR403" i="32"/>
  <c r="AQ534" i="32"/>
  <c r="AR534" i="32"/>
  <c r="AQ62" i="32"/>
  <c r="AR62" i="32"/>
  <c r="AR110" i="32"/>
  <c r="AQ110" i="32"/>
  <c r="AQ184" i="32"/>
  <c r="AR184" i="32"/>
  <c r="AR261" i="32"/>
  <c r="AQ261" i="32"/>
  <c r="AR349" i="32"/>
  <c r="AQ349" i="32"/>
  <c r="AQ444" i="32"/>
  <c r="AR444" i="32"/>
  <c r="AQ571" i="32"/>
  <c r="AR571" i="32"/>
  <c r="AQ58" i="32"/>
  <c r="AR58" i="32"/>
  <c r="AQ100" i="32"/>
  <c r="AR100" i="32"/>
  <c r="AQ132" i="32"/>
  <c r="AR132" i="32"/>
  <c r="AQ211" i="32"/>
  <c r="AR211" i="32"/>
  <c r="AR282" i="32"/>
  <c r="AQ282" i="32"/>
  <c r="AR311" i="32"/>
  <c r="AQ311" i="32"/>
  <c r="AR416" i="32"/>
  <c r="AQ416" i="32"/>
  <c r="AR467" i="32"/>
  <c r="AQ467" i="32"/>
  <c r="AR470" i="32"/>
  <c r="AQ470" i="32"/>
  <c r="AR588" i="32"/>
  <c r="AQ588" i="32"/>
  <c r="AR71" i="32"/>
  <c r="AQ71" i="32"/>
  <c r="AQ94" i="32"/>
  <c r="AR94" i="32"/>
  <c r="AR139" i="32"/>
  <c r="AQ139" i="32"/>
  <c r="AR265" i="32"/>
  <c r="AQ265" i="32"/>
  <c r="AQ251" i="32"/>
  <c r="AR251" i="32"/>
  <c r="AQ387" i="32"/>
  <c r="AR387" i="32"/>
  <c r="AR446" i="32"/>
  <c r="AQ446" i="32"/>
  <c r="AQ530" i="32"/>
  <c r="AR530" i="32"/>
  <c r="AR574" i="32"/>
  <c r="AQ574" i="32"/>
  <c r="AQ386" i="32"/>
  <c r="AR386" i="32"/>
  <c r="AR157" i="32"/>
  <c r="AQ157" i="32"/>
  <c r="AR80" i="32"/>
  <c r="AQ80" i="32"/>
  <c r="AQ270" i="32"/>
  <c r="AR270" i="32"/>
  <c r="AQ427" i="32"/>
  <c r="AR427" i="32"/>
  <c r="AR187" i="32"/>
  <c r="AQ187" i="32"/>
  <c r="AQ73" i="32"/>
  <c r="AR73" i="32"/>
  <c r="AQ42" i="32"/>
  <c r="AR42" i="32"/>
  <c r="AQ426" i="32"/>
  <c r="AR426" i="32"/>
  <c r="AR334" i="32"/>
  <c r="AQ334" i="32"/>
  <c r="AQ205" i="32"/>
  <c r="AR205" i="32"/>
  <c r="AQ506" i="32"/>
  <c r="AR506" i="32"/>
  <c r="AR228" i="32"/>
  <c r="AQ228" i="32"/>
  <c r="AR492" i="32"/>
  <c r="AQ492" i="32"/>
  <c r="AQ192" i="32"/>
  <c r="AR192" i="32"/>
  <c r="AQ420" i="32"/>
  <c r="AR420" i="32"/>
  <c r="AR508" i="32"/>
  <c r="AQ508" i="32"/>
  <c r="AQ414" i="32"/>
  <c r="AR414" i="32"/>
  <c r="AQ227" i="32"/>
  <c r="AR227" i="32"/>
  <c r="AR275" i="32"/>
  <c r="AQ275" i="32"/>
  <c r="AR434" i="32"/>
  <c r="AQ434" i="32"/>
  <c r="AQ28" i="32"/>
  <c r="AR28" i="32"/>
  <c r="AQ56" i="32"/>
  <c r="AR56" i="32"/>
  <c r="AR543" i="32"/>
  <c r="AQ543" i="32"/>
  <c r="AR507" i="32"/>
  <c r="AQ507" i="32"/>
  <c r="AQ371" i="32"/>
  <c r="AR371" i="32"/>
  <c r="AR238" i="32"/>
  <c r="AQ238" i="32"/>
  <c r="AR31" i="32"/>
  <c r="AQ31" i="32"/>
  <c r="AR453" i="32"/>
  <c r="AQ453" i="32"/>
  <c r="AQ20" i="32"/>
  <c r="AR20" i="32"/>
  <c r="AQ384" i="32"/>
  <c r="AR384" i="32"/>
  <c r="AQ609" i="32"/>
  <c r="AR609" i="32"/>
  <c r="AR118" i="32"/>
  <c r="AQ118" i="32"/>
  <c r="AR418" i="32"/>
  <c r="AQ418" i="32"/>
  <c r="AQ280" i="32"/>
  <c r="AR280" i="32"/>
  <c r="AQ52" i="32"/>
  <c r="AR52" i="32"/>
  <c r="AR489" i="32"/>
  <c r="AQ489" i="32"/>
  <c r="AR168" i="32"/>
  <c r="AQ168" i="32"/>
  <c r="AQ565" i="32"/>
  <c r="AR565" i="32"/>
  <c r="AQ373" i="32"/>
  <c r="AR373" i="32"/>
  <c r="AQ117" i="32"/>
  <c r="AR117" i="32"/>
  <c r="AQ525" i="32"/>
  <c r="AR525" i="32"/>
  <c r="AR336" i="32"/>
  <c r="AQ336" i="32"/>
  <c r="AQ105" i="32"/>
  <c r="AR105" i="32"/>
  <c r="AR551" i="32"/>
  <c r="AQ551" i="32"/>
  <c r="AR109" i="32"/>
  <c r="AQ109" i="32"/>
  <c r="AR263" i="32"/>
  <c r="AQ263" i="32"/>
  <c r="AR438" i="32"/>
  <c r="AQ438" i="32"/>
  <c r="AQ613" i="32"/>
  <c r="AR613" i="32"/>
  <c r="AR197" i="32"/>
  <c r="AQ197" i="32"/>
  <c r="AQ297" i="32"/>
  <c r="AR297" i="32"/>
  <c r="AR471" i="32"/>
  <c r="AQ471" i="32"/>
  <c r="AR95" i="32"/>
  <c r="AQ95" i="32"/>
  <c r="AR193" i="32"/>
  <c r="AQ193" i="32"/>
  <c r="AQ450" i="32"/>
  <c r="AR450" i="32"/>
  <c r="AR541" i="32"/>
  <c r="AQ541" i="32"/>
  <c r="AR18" i="32"/>
  <c r="AQ18" i="32"/>
  <c r="AR177" i="32"/>
  <c r="AQ177" i="32"/>
  <c r="AR348" i="32"/>
  <c r="AQ348" i="32"/>
  <c r="AQ468" i="32"/>
  <c r="AR468" i="32"/>
  <c r="AR91" i="32"/>
  <c r="AQ91" i="32"/>
  <c r="AR222" i="32"/>
  <c r="AQ222" i="32"/>
  <c r="AQ402" i="32"/>
  <c r="AR402" i="32"/>
  <c r="AR523" i="32"/>
  <c r="AQ523" i="32"/>
  <c r="AQ83" i="32"/>
  <c r="AR83" i="32"/>
  <c r="AQ230" i="32"/>
  <c r="AR230" i="32"/>
  <c r="AQ276" i="32"/>
  <c r="AR276" i="32"/>
  <c r="AQ383" i="32"/>
  <c r="AR383" i="32"/>
  <c r="AR439" i="32"/>
  <c r="AQ439" i="32"/>
  <c r="AQ550" i="32"/>
  <c r="AR550" i="32"/>
  <c r="AR57" i="32"/>
  <c r="AQ57" i="32"/>
  <c r="AR181" i="32"/>
  <c r="AQ181" i="32"/>
  <c r="AQ296" i="32"/>
  <c r="AR296" i="32"/>
  <c r="AQ299" i="32"/>
  <c r="AR299" i="32"/>
  <c r="AR429" i="32"/>
  <c r="AQ429" i="32"/>
  <c r="AQ509" i="32"/>
  <c r="AR509" i="32"/>
  <c r="AQ150" i="32"/>
  <c r="AR150" i="32"/>
  <c r="AR104" i="32"/>
  <c r="AQ104" i="32"/>
  <c r="AR340" i="32"/>
  <c r="AQ340" i="32"/>
  <c r="AR329" i="32"/>
  <c r="AQ329" i="32"/>
  <c r="AR399" i="32"/>
  <c r="AQ399" i="32"/>
  <c r="AR542" i="32"/>
  <c r="AQ542" i="32"/>
  <c r="AR69" i="32"/>
  <c r="AQ69" i="32"/>
  <c r="AQ61" i="32"/>
  <c r="AR61" i="32"/>
  <c r="AR161" i="32"/>
  <c r="AQ161" i="32"/>
  <c r="AQ285" i="32"/>
  <c r="AR285" i="32"/>
  <c r="AQ357" i="32"/>
  <c r="AR357" i="32"/>
  <c r="AQ461" i="32"/>
  <c r="AR461" i="32"/>
  <c r="AR545" i="32"/>
  <c r="AQ545" i="32"/>
  <c r="AR17" i="32"/>
  <c r="AQ17" i="32"/>
  <c r="AQ149" i="32"/>
  <c r="AR149" i="32"/>
  <c r="AQ136" i="32"/>
  <c r="AR136" i="32"/>
  <c r="AR182" i="32"/>
  <c r="AQ182" i="32"/>
  <c r="AR267" i="32"/>
  <c r="AQ267" i="32"/>
  <c r="AQ316" i="32"/>
  <c r="AR316" i="32"/>
  <c r="AR419" i="32"/>
  <c r="AQ419" i="32"/>
  <c r="AQ478" i="32"/>
  <c r="AR478" i="32"/>
  <c r="AR512" i="32"/>
  <c r="AQ512" i="32"/>
  <c r="AQ605" i="32"/>
  <c r="AR605" i="32"/>
  <c r="AQ111" i="32"/>
  <c r="AR111" i="32"/>
  <c r="AR142" i="32"/>
  <c r="AQ142" i="32"/>
  <c r="AQ180" i="32"/>
  <c r="AR180" i="32"/>
  <c r="AQ229" i="32"/>
  <c r="AR229" i="32"/>
  <c r="AR328" i="32"/>
  <c r="AQ328" i="32"/>
  <c r="AR374" i="32"/>
  <c r="AQ374" i="32"/>
  <c r="AR443" i="32"/>
  <c r="AQ443" i="32"/>
  <c r="AR499" i="32"/>
  <c r="AQ499" i="32"/>
  <c r="AQ560" i="32"/>
  <c r="AR560" i="32"/>
  <c r="AQ394" i="32"/>
  <c r="AR394" i="32"/>
  <c r="AR134" i="32"/>
  <c r="AQ134" i="32"/>
  <c r="AR604" i="32"/>
  <c r="AQ604" i="32"/>
  <c r="AQ241" i="32"/>
  <c r="AR241" i="32"/>
  <c r="AR257" i="32"/>
  <c r="AQ257" i="32"/>
  <c r="AQ128" i="32"/>
  <c r="AR128" i="32"/>
  <c r="AQ594" i="32"/>
  <c r="AR594" i="32"/>
  <c r="AR559" i="32"/>
  <c r="AQ559" i="32"/>
  <c r="AQ548" i="32"/>
  <c r="AR548" i="32"/>
  <c r="AQ126" i="32"/>
  <c r="AR126" i="32"/>
  <c r="AQ127" i="32"/>
  <c r="AR127" i="32"/>
  <c r="AR517" i="32"/>
  <c r="AQ517" i="32"/>
  <c r="AR475" i="32"/>
  <c r="AQ475" i="32"/>
  <c r="AQ116" i="32"/>
  <c r="AR116" i="32"/>
  <c r="AR519" i="32"/>
  <c r="AQ519" i="32"/>
  <c r="AQ482" i="32"/>
  <c r="AR482" i="32"/>
  <c r="AQ406" i="32"/>
  <c r="AR406" i="32"/>
  <c r="AR372" i="32"/>
  <c r="AQ372" i="32"/>
  <c r="AR255" i="32"/>
  <c r="AQ255" i="32"/>
  <c r="AQ162" i="32"/>
  <c r="AR162" i="32"/>
  <c r="AR309" i="32"/>
  <c r="AQ309" i="32"/>
  <c r="AR452" i="32"/>
  <c r="AQ452" i="32"/>
  <c r="AQ215" i="32"/>
  <c r="AR215" i="32"/>
  <c r="AQ408" i="32"/>
  <c r="AR408" i="32"/>
  <c r="AQ196" i="32"/>
  <c r="AR196" i="32"/>
  <c r="AQ327" i="32"/>
  <c r="AR327" i="32"/>
  <c r="AQ173" i="32"/>
  <c r="AR173" i="32"/>
  <c r="AQ368" i="32"/>
  <c r="AR368" i="32"/>
  <c r="AQ465" i="32"/>
  <c r="AR465" i="32"/>
  <c r="AR90" i="32"/>
  <c r="AQ90" i="32"/>
  <c r="AQ233" i="32"/>
  <c r="AR233" i="32"/>
  <c r="AQ376" i="32"/>
  <c r="AR376" i="32"/>
  <c r="AR522" i="32"/>
  <c r="AQ522" i="32"/>
  <c r="AQ49" i="32"/>
  <c r="AR49" i="32"/>
  <c r="AQ220" i="32"/>
  <c r="AR220" i="32"/>
  <c r="AQ378" i="32"/>
  <c r="AR378" i="32"/>
  <c r="AR568" i="32"/>
  <c r="AQ568" i="32"/>
  <c r="AQ65" i="32"/>
  <c r="AR65" i="32"/>
  <c r="AR164" i="32"/>
  <c r="AQ164" i="32"/>
  <c r="AQ269" i="32"/>
  <c r="AR269" i="32"/>
  <c r="AQ430" i="32"/>
  <c r="AR430" i="32"/>
  <c r="AR436" i="32"/>
  <c r="AQ436" i="32"/>
  <c r="AQ547" i="32"/>
  <c r="AR547" i="32"/>
  <c r="AR301" i="32"/>
  <c r="AQ301" i="32"/>
  <c r="AR172" i="32"/>
  <c r="AQ172" i="32"/>
  <c r="AQ331" i="32"/>
  <c r="AR331" i="32"/>
  <c r="AQ379" i="32"/>
  <c r="AR379" i="32"/>
  <c r="AQ433" i="32"/>
  <c r="AR433" i="32"/>
  <c r="AR536" i="32"/>
  <c r="AQ536" i="32"/>
  <c r="AQ15" i="32"/>
  <c r="AR15" i="32"/>
  <c r="AQ185" i="32"/>
  <c r="AR185" i="32"/>
  <c r="AQ320" i="32"/>
  <c r="AR320" i="32"/>
  <c r="AQ308" i="32"/>
  <c r="AR308" i="32"/>
  <c r="AQ432" i="32"/>
  <c r="AR432" i="32"/>
  <c r="AQ546" i="32"/>
  <c r="AR546" i="32"/>
  <c r="AQ53" i="32"/>
  <c r="AR53" i="32"/>
  <c r="AQ152" i="32"/>
  <c r="AR152" i="32"/>
  <c r="AQ178" i="32"/>
  <c r="AR178" i="32"/>
  <c r="AR321" i="32"/>
  <c r="AQ321" i="32"/>
  <c r="AQ380" i="32"/>
  <c r="AR380" i="32"/>
  <c r="AQ514" i="32"/>
  <c r="AR514" i="32"/>
  <c r="AR557" i="32"/>
  <c r="AQ557" i="32"/>
  <c r="AR24" i="32"/>
  <c r="AQ24" i="32"/>
  <c r="AR163" i="32"/>
  <c r="AQ163" i="32"/>
  <c r="AQ246" i="32"/>
  <c r="AR246" i="32"/>
  <c r="AQ202" i="32"/>
  <c r="AR202" i="32"/>
  <c r="AR281" i="32"/>
  <c r="AQ281" i="32"/>
  <c r="AR339" i="32"/>
  <c r="AQ339" i="32"/>
  <c r="AQ390" i="32"/>
  <c r="AR390" i="32"/>
  <c r="AR459" i="32"/>
  <c r="AQ459" i="32"/>
  <c r="AR510" i="32"/>
  <c r="AQ510" i="32"/>
  <c r="AR598" i="32"/>
  <c r="AQ598" i="32"/>
  <c r="AR47" i="32"/>
  <c r="AQ47" i="32"/>
  <c r="AQ44" i="32"/>
  <c r="AR44" i="32"/>
  <c r="AQ146" i="32"/>
  <c r="AR146" i="32"/>
  <c r="AR218" i="32"/>
  <c r="AQ218" i="32"/>
  <c r="AQ312" i="32"/>
  <c r="AR312" i="32"/>
  <c r="AR377" i="32"/>
  <c r="AQ377" i="32"/>
  <c r="AQ477" i="32"/>
  <c r="AR477" i="32"/>
  <c r="AQ529" i="32"/>
  <c r="AR529" i="32"/>
  <c r="AR591" i="32"/>
  <c r="AQ591" i="32"/>
  <c r="AR283" i="32"/>
  <c r="AQ283" i="32"/>
  <c r="AR13" i="32"/>
  <c r="AQ13" i="32"/>
  <c r="AQ232" i="32"/>
  <c r="AR232" i="32"/>
  <c r="AR564" i="32"/>
  <c r="AQ564" i="32"/>
  <c r="AR194" i="32"/>
  <c r="AQ194" i="32"/>
  <c r="AR300" i="32"/>
  <c r="AQ300" i="32"/>
  <c r="AR469" i="32"/>
  <c r="AQ469" i="32"/>
  <c r="AQ476" i="32"/>
  <c r="AR476" i="32"/>
  <c r="AR413" i="32"/>
  <c r="AQ413" i="32"/>
  <c r="AQ234" i="32"/>
  <c r="AR234" i="32"/>
  <c r="AR125" i="32"/>
  <c r="AQ125" i="32"/>
  <c r="AQ362" i="32"/>
  <c r="AR362" i="32"/>
  <c r="AR77" i="32"/>
  <c r="AQ77" i="32"/>
  <c r="AR266" i="32"/>
  <c r="AQ266" i="32"/>
  <c r="AQ41" i="32"/>
  <c r="AR41" i="32"/>
  <c r="AQ304" i="32"/>
  <c r="AR304" i="32"/>
  <c r="AQ350" i="32"/>
  <c r="AR350" i="32"/>
  <c r="AQ422" i="32"/>
  <c r="AR422" i="32"/>
  <c r="AQ599" i="32"/>
  <c r="AR599" i="32"/>
  <c r="AQ78" i="32"/>
  <c r="AR78" i="32"/>
  <c r="AQ391" i="32"/>
  <c r="AR391" i="32"/>
  <c r="AQ326" i="32"/>
  <c r="AR326" i="32"/>
  <c r="AR153" i="32"/>
  <c r="AQ153" i="32"/>
  <c r="AQ160" i="32"/>
  <c r="AR160" i="32"/>
  <c r="AQ260" i="32"/>
  <c r="AR260" i="32"/>
  <c r="AQ36" i="32"/>
  <c r="AR36" i="32"/>
  <c r="AR464" i="32"/>
  <c r="AQ464" i="32"/>
  <c r="AQ217" i="32"/>
  <c r="AR217" i="32"/>
  <c r="AQ527" i="32"/>
  <c r="AR527" i="32"/>
  <c r="AQ247" i="32"/>
  <c r="AR247" i="32"/>
  <c r="AR455" i="32"/>
  <c r="AQ455" i="32"/>
  <c r="AR341" i="32"/>
  <c r="AQ341" i="32"/>
  <c r="AR286" i="32"/>
  <c r="AQ286" i="32"/>
  <c r="AQ554" i="32"/>
  <c r="AR554" i="32"/>
  <c r="AR449" i="32"/>
  <c r="AQ449" i="32"/>
  <c r="AQ404" i="32"/>
  <c r="AR404" i="32"/>
  <c r="AR581" i="32"/>
  <c r="AQ581" i="32"/>
  <c r="AQ148" i="32"/>
  <c r="AR148" i="32"/>
  <c r="AQ518" i="32"/>
  <c r="AR518" i="32"/>
  <c r="AR87" i="32"/>
  <c r="AQ87" i="32"/>
  <c r="AR14" i="32"/>
  <c r="AQ14" i="32"/>
  <c r="AQ500" i="32"/>
  <c r="AR500" i="32"/>
  <c r="AQ562" i="32"/>
  <c r="AR562" i="32"/>
  <c r="AQ289" i="32"/>
  <c r="AR289" i="32"/>
  <c r="AR64" i="32"/>
  <c r="AQ64" i="32"/>
  <c r="AQ264" i="32"/>
  <c r="AR264" i="32"/>
  <c r="AR154" i="32"/>
  <c r="AQ154" i="32"/>
  <c r="AQ454" i="32"/>
  <c r="AR454" i="32"/>
  <c r="AQ223" i="32"/>
  <c r="AR223" i="32"/>
  <c r="AR72" i="32"/>
  <c r="AQ72" i="32"/>
  <c r="AR501" i="32"/>
  <c r="AQ501" i="32"/>
  <c r="AR239" i="32"/>
  <c r="AQ239" i="32"/>
  <c r="AR85" i="32"/>
  <c r="AQ85" i="32"/>
  <c r="AQ166" i="32"/>
  <c r="AR166" i="32"/>
  <c r="AQ298" i="32"/>
  <c r="AR298" i="32"/>
  <c r="AQ494" i="32"/>
  <c r="AR494" i="32"/>
  <c r="AR59" i="32"/>
  <c r="AQ59" i="32"/>
  <c r="AQ169" i="32"/>
  <c r="AR169" i="32"/>
  <c r="AR356" i="32"/>
  <c r="AQ356" i="32"/>
  <c r="AQ540" i="32"/>
  <c r="AR540" i="32"/>
  <c r="AQ74" i="32"/>
  <c r="AR74" i="32"/>
  <c r="AR250" i="32"/>
  <c r="AQ250" i="32"/>
  <c r="AQ364" i="32"/>
  <c r="AR364" i="32"/>
  <c r="AQ532" i="32"/>
  <c r="AR532" i="32"/>
  <c r="AQ46" i="32"/>
  <c r="AR46" i="32"/>
  <c r="AR351" i="32"/>
  <c r="AQ351" i="32"/>
  <c r="AQ423" i="32"/>
  <c r="AR423" i="32"/>
  <c r="AR552" i="32"/>
  <c r="AQ552" i="32"/>
  <c r="AR97" i="32"/>
  <c r="AQ97" i="32"/>
  <c r="AQ315" i="32"/>
  <c r="AR315" i="32"/>
  <c r="AQ393" i="32"/>
  <c r="AR393" i="32"/>
  <c r="AR585" i="32"/>
  <c r="AQ585" i="32"/>
  <c r="AR54" i="32"/>
  <c r="AQ54" i="32"/>
  <c r="AQ207" i="32"/>
  <c r="AR207" i="32"/>
  <c r="AQ248" i="32"/>
  <c r="AR248" i="32"/>
  <c r="AR381" i="32"/>
  <c r="AQ381" i="32"/>
  <c r="AQ488" i="32"/>
  <c r="AR488" i="32"/>
  <c r="AQ600" i="32"/>
  <c r="AR600" i="32"/>
  <c r="AR112" i="32"/>
  <c r="AQ112" i="32"/>
  <c r="AR209" i="32"/>
  <c r="AQ209" i="32"/>
  <c r="AQ325" i="32"/>
  <c r="AR325" i="32"/>
  <c r="AR355" i="32"/>
  <c r="AQ355" i="32"/>
  <c r="AQ473" i="32"/>
  <c r="AR473" i="32"/>
  <c r="AQ580" i="32"/>
  <c r="AR580" i="32"/>
  <c r="AR553" i="32"/>
  <c r="AQ553" i="32"/>
  <c r="AQ176" i="32"/>
  <c r="AR176" i="32"/>
  <c r="AQ219" i="32"/>
  <c r="AR219" i="32"/>
  <c r="AQ410" i="32"/>
  <c r="AR410" i="32"/>
  <c r="AQ431" i="32"/>
  <c r="AR431" i="32"/>
  <c r="AR539" i="32"/>
  <c r="AQ539" i="32"/>
  <c r="AQ66" i="32"/>
  <c r="AR66" i="32"/>
  <c r="AQ82" i="32"/>
  <c r="AR82" i="32"/>
  <c r="AQ216" i="32"/>
  <c r="AR216" i="32"/>
  <c r="AQ330" i="32"/>
  <c r="AR330" i="32"/>
  <c r="AQ405" i="32"/>
  <c r="AR405" i="32"/>
  <c r="AR463" i="32"/>
  <c r="AQ463" i="32"/>
  <c r="AR561" i="32"/>
  <c r="AQ561" i="32"/>
  <c r="AR19" i="32"/>
  <c r="AQ19" i="32"/>
  <c r="AQ70" i="32"/>
  <c r="AR70" i="32"/>
  <c r="AR190" i="32"/>
  <c r="AQ190" i="32"/>
  <c r="AQ221" i="32"/>
  <c r="AR221" i="32"/>
  <c r="AQ252" i="32"/>
  <c r="AR252" i="32"/>
  <c r="AR360" i="32"/>
  <c r="AQ360" i="32"/>
  <c r="AR409" i="32"/>
  <c r="AQ409" i="32"/>
  <c r="AR490" i="32"/>
  <c r="AQ490" i="32"/>
  <c r="AR533" i="32"/>
  <c r="AQ533" i="32"/>
  <c r="AR51" i="32"/>
  <c r="AQ51" i="32"/>
  <c r="AR101" i="32"/>
  <c r="AQ101" i="32"/>
  <c r="AQ141" i="32"/>
  <c r="AR141" i="32"/>
  <c r="AR159" i="32"/>
  <c r="AQ159" i="32"/>
  <c r="AQ291" i="32"/>
  <c r="AR291" i="32"/>
  <c r="AR317" i="32"/>
  <c r="AQ317" i="32"/>
  <c r="AQ447" i="32"/>
  <c r="AR447" i="32"/>
  <c r="AQ428" i="32"/>
  <c r="AR428" i="32"/>
  <c r="AQ472" i="32"/>
  <c r="AR472" i="32"/>
  <c r="AR592" i="32"/>
  <c r="AQ592" i="32"/>
  <c r="AR608" i="32"/>
  <c r="AQ608" i="32"/>
  <c r="AR199" i="32"/>
  <c r="AQ199" i="32"/>
  <c r="AQ382" i="32"/>
  <c r="AR382" i="32"/>
  <c r="AQ425" i="32"/>
  <c r="AR425" i="32"/>
  <c r="AQ338" i="32"/>
  <c r="AR338" i="32"/>
  <c r="AQ96" i="32"/>
  <c r="AR96" i="32"/>
  <c r="AR106" i="32"/>
  <c r="AQ106" i="32"/>
  <c r="AR589" i="32"/>
  <c r="AQ589" i="32"/>
  <c r="AQ462" i="32"/>
  <c r="AR462" i="32"/>
  <c r="AQ346" i="32"/>
  <c r="AR346" i="32"/>
  <c r="AQ140" i="32"/>
  <c r="AR140" i="32"/>
  <c r="AQ324" i="32"/>
  <c r="AR324" i="32"/>
  <c r="AR27" i="32"/>
  <c r="AQ27" i="32"/>
  <c r="AQ363" i="32"/>
  <c r="AR363" i="32"/>
  <c r="AQ213" i="32"/>
  <c r="AR213" i="32"/>
  <c r="AQ521" i="32"/>
  <c r="AR521" i="32"/>
  <c r="AR25" i="32"/>
  <c r="AQ25" i="32"/>
  <c r="AQ586" i="32"/>
  <c r="AR586" i="32"/>
  <c r="AQ165" i="32"/>
  <c r="AR165" i="32"/>
  <c r="AR237" i="32"/>
  <c r="AQ237" i="32"/>
  <c r="AR206" i="32"/>
  <c r="AQ206" i="32"/>
  <c r="AQ256" i="32"/>
  <c r="AR256" i="32"/>
  <c r="AR23" i="32"/>
  <c r="AQ23" i="32"/>
  <c r="AR424" i="32"/>
  <c r="AQ424" i="32"/>
  <c r="AQ201" i="32"/>
  <c r="AR201" i="32"/>
  <c r="AR124" i="32"/>
  <c r="AQ124" i="32"/>
  <c r="AQ602" i="32"/>
  <c r="AR602" i="32"/>
  <c r="AR143" i="32"/>
  <c r="AQ143" i="32"/>
  <c r="AR576" i="32"/>
  <c r="AQ576" i="32"/>
  <c r="AR155" i="32"/>
  <c r="AQ155" i="32"/>
  <c r="AQ555" i="32"/>
  <c r="AR555" i="32"/>
  <c r="AQ99" i="32"/>
  <c r="AR99" i="32"/>
  <c r="AR515" i="32"/>
  <c r="AQ515" i="32"/>
  <c r="AQ189" i="32"/>
  <c r="AR189" i="32"/>
  <c r="AR26" i="32"/>
  <c r="AQ26" i="32"/>
  <c r="AQ129" i="32"/>
  <c r="AR129" i="32"/>
  <c r="AR612" i="32"/>
  <c r="AQ612" i="32"/>
  <c r="AQ458" i="32"/>
  <c r="AR458" i="32"/>
  <c r="AQ167" i="32"/>
  <c r="AR167" i="32"/>
  <c r="AR497" i="32"/>
  <c r="AQ497" i="32"/>
  <c r="AQ151" i="32"/>
  <c r="AR151" i="32"/>
  <c r="AR22" i="32"/>
  <c r="AQ22" i="32"/>
  <c r="AQ513" i="32"/>
  <c r="AR513" i="32"/>
  <c r="AR195" i="32"/>
  <c r="AQ195" i="32"/>
  <c r="AQ417" i="32"/>
  <c r="AR417" i="32"/>
  <c r="AR107" i="32"/>
  <c r="AQ107" i="32"/>
  <c r="AQ524" i="32"/>
  <c r="AR524" i="32"/>
  <c r="AR258" i="32"/>
  <c r="AQ258" i="32"/>
  <c r="AR120" i="32"/>
  <c r="AQ120" i="32"/>
  <c r="AR481" i="32"/>
  <c r="AQ481" i="32"/>
  <c r="AR366" i="32"/>
  <c r="AQ366" i="32"/>
  <c r="AQ32" i="32"/>
  <c r="AR32" i="32"/>
  <c r="AR200" i="32"/>
  <c r="AQ200" i="32"/>
  <c r="AQ352" i="32"/>
  <c r="AR352" i="32"/>
  <c r="AR504" i="32"/>
  <c r="AQ504" i="32"/>
  <c r="AR67" i="32"/>
  <c r="AQ67" i="32"/>
  <c r="AR249" i="32"/>
  <c r="AQ249" i="32"/>
  <c r="AQ359" i="32"/>
  <c r="AR359" i="32"/>
  <c r="AR549" i="32"/>
  <c r="AQ549" i="32"/>
  <c r="AQ131" i="32"/>
  <c r="AR131" i="32"/>
  <c r="AQ290" i="32"/>
  <c r="AR290" i="32"/>
  <c r="AR401" i="32"/>
  <c r="AQ401" i="32"/>
  <c r="AR583" i="32"/>
  <c r="AQ583" i="32"/>
  <c r="AR40" i="32"/>
  <c r="AQ40" i="32"/>
  <c r="AQ303" i="32"/>
  <c r="AR303" i="32"/>
  <c r="AR388" i="32"/>
  <c r="AQ388" i="32"/>
  <c r="AR584" i="32"/>
  <c r="AQ584" i="32"/>
  <c r="AR75" i="32"/>
  <c r="AQ75" i="32"/>
  <c r="AR245" i="32"/>
  <c r="AQ245" i="32"/>
  <c r="AR451" i="32"/>
  <c r="AQ451" i="32"/>
  <c r="AQ597" i="32"/>
  <c r="AR597" i="32"/>
  <c r="AQ30" i="32"/>
  <c r="AR30" i="32"/>
  <c r="AR170" i="32"/>
  <c r="AQ170" i="32"/>
  <c r="AQ277" i="32"/>
  <c r="AR277" i="32"/>
  <c r="AR395" i="32"/>
  <c r="AQ395" i="32"/>
  <c r="AR538" i="32"/>
  <c r="AQ538" i="32"/>
  <c r="AQ611" i="32"/>
  <c r="AR611" i="32"/>
  <c r="AR93" i="32"/>
  <c r="AQ93" i="32"/>
  <c r="AR171" i="32"/>
  <c r="AQ171" i="32"/>
  <c r="AR278" i="32"/>
  <c r="AQ278" i="32"/>
  <c r="AQ407" i="32"/>
  <c r="AR407" i="32"/>
  <c r="AQ485" i="32"/>
  <c r="AR485" i="32"/>
  <c r="AR575" i="32"/>
  <c r="AQ575" i="32"/>
  <c r="AR114" i="32"/>
  <c r="AQ114" i="32"/>
  <c r="AQ268" i="32"/>
  <c r="AR268" i="32"/>
  <c r="AQ253" i="32"/>
  <c r="AR253" i="32"/>
  <c r="AR365" i="32"/>
  <c r="AQ365" i="32"/>
  <c r="AR498" i="32"/>
  <c r="AQ498" i="32"/>
  <c r="AR582" i="32"/>
  <c r="AQ582" i="32"/>
  <c r="AQ121" i="32"/>
  <c r="AR121" i="32"/>
  <c r="AQ122" i="32"/>
  <c r="AR122" i="32"/>
  <c r="AQ313" i="32"/>
  <c r="AR313" i="32"/>
  <c r="AQ343" i="32"/>
  <c r="AR343" i="32"/>
  <c r="AR397" i="32"/>
  <c r="AQ397" i="32"/>
  <c r="AR495" i="32"/>
  <c r="AQ495" i="32"/>
  <c r="AR573" i="32"/>
  <c r="AQ573" i="32"/>
  <c r="AR35" i="32"/>
  <c r="AQ35" i="32"/>
  <c r="AR147" i="32"/>
  <c r="AQ147" i="32"/>
  <c r="AQ294" i="32"/>
  <c r="AR294" i="32"/>
  <c r="AR242" i="32"/>
  <c r="AQ242" i="32"/>
  <c r="AQ243" i="32"/>
  <c r="AR243" i="32"/>
  <c r="AR369" i="32"/>
  <c r="AQ369" i="32"/>
  <c r="AQ415" i="32"/>
  <c r="AR415" i="32"/>
  <c r="AR437" i="32"/>
  <c r="AQ437" i="32"/>
  <c r="AQ558" i="32"/>
  <c r="AR558" i="32"/>
  <c r="AQ48" i="32"/>
  <c r="AR48" i="32"/>
  <c r="AQ236" i="32"/>
  <c r="AR236" i="32"/>
  <c r="AQ144" i="32"/>
  <c r="AR144" i="32"/>
  <c r="AR183" i="32"/>
  <c r="AQ183" i="32"/>
  <c r="AQ293" i="32"/>
  <c r="AR293" i="32"/>
  <c r="AR322" i="32"/>
  <c r="AQ322" i="32"/>
  <c r="AQ421" i="32"/>
  <c r="AR421" i="32"/>
  <c r="AQ480" i="32"/>
  <c r="AR480" i="32"/>
  <c r="AR516" i="32"/>
  <c r="AQ516" i="32"/>
  <c r="AQ607" i="32"/>
  <c r="AR607" i="32"/>
  <c r="AR130" i="32"/>
  <c r="AQ130" i="32"/>
  <c r="AR389" i="32"/>
  <c r="AQ389" i="32"/>
  <c r="AR505" i="32"/>
  <c r="AQ505" i="32"/>
  <c r="AQ21" i="32"/>
  <c r="AR21" i="32"/>
  <c r="AQ457" i="32"/>
  <c r="AR457" i="32"/>
  <c r="AR479" i="32"/>
  <c r="AQ479" i="32"/>
  <c r="AQ392" i="32"/>
  <c r="AR392" i="32"/>
  <c r="AQ186" i="32"/>
  <c r="AR186" i="32"/>
  <c r="AQ254" i="32"/>
  <c r="AR254" i="32"/>
  <c r="AQ259" i="32"/>
  <c r="AR259" i="32"/>
  <c r="AQ214" i="32"/>
  <c r="AR214" i="32"/>
  <c r="AR113" i="32"/>
  <c r="AQ113" i="32"/>
  <c r="AQ361" i="32"/>
  <c r="AR361" i="32"/>
  <c r="AR370" i="32"/>
  <c r="AQ370" i="32"/>
  <c r="AQ115" i="32"/>
  <c r="AR115" i="32"/>
  <c r="AQ587" i="32"/>
  <c r="AR587" i="32"/>
  <c r="AQ335" i="32"/>
  <c r="AR335" i="32"/>
  <c r="AQ89" i="32"/>
  <c r="AR89" i="32"/>
  <c r="AQ563" i="32"/>
  <c r="AR563" i="32"/>
  <c r="AR319" i="32"/>
  <c r="AQ319" i="32"/>
  <c r="AQ34" i="32"/>
  <c r="AR34" i="32"/>
  <c r="AQ225" i="32"/>
  <c r="AR225" i="32"/>
  <c r="AQ358" i="32"/>
  <c r="AR358" i="32"/>
  <c r="AQ535" i="32"/>
  <c r="AR535" i="32"/>
  <c r="AQ92" i="32"/>
  <c r="AR92" i="32"/>
  <c r="AQ279" i="32"/>
  <c r="AR279" i="32"/>
  <c r="AQ385" i="32"/>
  <c r="AR385" i="32"/>
  <c r="AQ572" i="32"/>
  <c r="AR572" i="32"/>
  <c r="AR39" i="32"/>
  <c r="AQ39" i="32"/>
  <c r="AR273" i="32"/>
  <c r="AQ273" i="32"/>
  <c r="AQ440" i="32"/>
  <c r="AR440" i="32"/>
  <c r="AQ579" i="32"/>
  <c r="AR579" i="32"/>
  <c r="AQ29" i="32"/>
  <c r="AR29" i="32"/>
  <c r="AR314" i="32"/>
  <c r="AQ314" i="32"/>
  <c r="AR445" i="32"/>
  <c r="AQ445" i="32"/>
  <c r="AQ606" i="32"/>
  <c r="AR606" i="32"/>
  <c r="AQ204" i="32"/>
  <c r="AR204" i="32"/>
  <c r="AQ271" i="32"/>
  <c r="AR271" i="32"/>
  <c r="AR483" i="32"/>
  <c r="AQ483" i="32"/>
  <c r="AR45" i="32"/>
  <c r="AQ45" i="32"/>
  <c r="AQ108" i="32"/>
  <c r="AR108" i="32"/>
  <c r="AR191" i="32"/>
  <c r="AQ191" i="32"/>
  <c r="AR307" i="32"/>
  <c r="AQ307" i="32"/>
  <c r="AR412" i="32"/>
  <c r="AQ412" i="32"/>
  <c r="AR566" i="32"/>
  <c r="AQ566" i="32"/>
  <c r="AQ610" i="32"/>
  <c r="AR610" i="32"/>
  <c r="AR79" i="32"/>
  <c r="AQ79" i="32"/>
  <c r="AQ158" i="32"/>
  <c r="AR158" i="32"/>
  <c r="AQ333" i="32"/>
  <c r="AR333" i="32"/>
  <c r="AR411" i="32"/>
  <c r="AQ411" i="32"/>
  <c r="AR435" i="32"/>
  <c r="AQ435" i="32"/>
  <c r="AR596" i="32"/>
  <c r="AQ596" i="32"/>
  <c r="AQ103" i="32"/>
  <c r="AR103" i="32"/>
  <c r="AR174" i="32"/>
  <c r="AQ174" i="32"/>
  <c r="AR288" i="32"/>
  <c r="AQ288" i="32"/>
  <c r="AQ347" i="32"/>
  <c r="AR347" i="32"/>
  <c r="AQ491" i="32"/>
  <c r="AR491" i="32"/>
  <c r="AQ578" i="32"/>
  <c r="AR578" i="32"/>
  <c r="AR81" i="32"/>
  <c r="AQ81" i="32"/>
  <c r="AQ137" i="32"/>
  <c r="AR137" i="32"/>
  <c r="AR235" i="32"/>
  <c r="AQ235" i="32"/>
  <c r="AQ345" i="32"/>
  <c r="AR345" i="32"/>
  <c r="AR400" i="32"/>
  <c r="AQ400" i="32"/>
  <c r="AQ531" i="32"/>
  <c r="AR531" i="32"/>
  <c r="AQ590" i="32"/>
  <c r="AR590" i="32"/>
  <c r="AR68" i="32"/>
  <c r="AQ68" i="32"/>
  <c r="AR76" i="32"/>
  <c r="AQ76" i="32"/>
  <c r="AQ135" i="32"/>
  <c r="AR135" i="32"/>
  <c r="AR262" i="32"/>
  <c r="AQ262" i="32"/>
  <c r="AQ353" i="32"/>
  <c r="AR353" i="32"/>
  <c r="AR367" i="32"/>
  <c r="AQ367" i="32"/>
  <c r="AQ441" i="32"/>
  <c r="AR441" i="32"/>
  <c r="AQ526" i="32"/>
  <c r="AR526" i="32"/>
  <c r="AQ569" i="32"/>
  <c r="AR569" i="32"/>
  <c r="AQ50" i="32"/>
  <c r="AR50" i="32"/>
  <c r="AR188" i="32"/>
  <c r="AQ188" i="32"/>
  <c r="AQ133" i="32"/>
  <c r="AR133" i="32"/>
  <c r="AQ212" i="32"/>
  <c r="AR212" i="32"/>
  <c r="AQ284" i="32"/>
  <c r="AR284" i="32"/>
  <c r="AQ342" i="32"/>
  <c r="AR342" i="32"/>
  <c r="AQ396" i="32"/>
  <c r="AR396" i="32"/>
  <c r="AQ460" i="32"/>
  <c r="AR460" i="32"/>
  <c r="AR537" i="32"/>
  <c r="AQ537" i="32"/>
  <c r="AQ603" i="32"/>
  <c r="AR603" i="32"/>
  <c r="B402" i="2"/>
  <c r="AL625" i="32" l="1"/>
  <c r="AK625" i="32"/>
  <c r="AO624" i="32"/>
  <c r="AN624" i="32"/>
  <c r="AN625" i="32"/>
  <c r="AO625" i="32"/>
  <c r="AL624" i="32"/>
  <c r="AK624" i="32"/>
  <c r="B68" i="21"/>
  <c r="B69" i="21" s="1"/>
  <c r="B60" i="21"/>
  <c r="B55" i="21"/>
  <c r="B35" i="21"/>
  <c r="B30" i="21"/>
  <c r="B28" i="21"/>
  <c r="B27" i="21"/>
  <c r="B21" i="21"/>
  <c r="B15" i="21"/>
  <c r="B60" i="20"/>
  <c r="B55" i="20"/>
  <c r="B35" i="20"/>
  <c r="B30" i="20"/>
  <c r="B28" i="20"/>
  <c r="B27" i="20"/>
  <c r="B21" i="20"/>
  <c r="B15" i="20"/>
  <c r="A2" i="19"/>
  <c r="D451" i="2" l="1"/>
  <c r="D450" i="2"/>
  <c r="D447" i="2"/>
  <c r="D445" i="2"/>
  <c r="D444" i="2"/>
  <c r="D441" i="2"/>
  <c r="D440" i="2"/>
  <c r="D438" i="2"/>
  <c r="D437" i="2"/>
  <c r="D436" i="2"/>
  <c r="D434" i="2"/>
  <c r="D430" i="2"/>
  <c r="D428" i="2"/>
  <c r="B54" i="21" s="1"/>
  <c r="D427" i="2"/>
  <c r="B53" i="21" s="1"/>
  <c r="D424" i="2"/>
  <c r="D423" i="2"/>
  <c r="D422" i="2"/>
  <c r="B52" i="21" s="1"/>
  <c r="D421" i="2"/>
  <c r="D420" i="2"/>
  <c r="D419" i="2"/>
  <c r="B51" i="21" s="1"/>
  <c r="D417" i="2"/>
  <c r="B49" i="21" l="1"/>
  <c r="B56" i="20"/>
  <c r="B56" i="21"/>
  <c r="B52" i="20"/>
  <c r="B54" i="20"/>
  <c r="B51" i="20"/>
  <c r="B53" i="20"/>
  <c r="B49" i="20"/>
  <c r="K183" i="2"/>
  <c r="B440" i="2"/>
  <c r="B441" i="2"/>
  <c r="B437" i="2"/>
  <c r="B438" i="2"/>
  <c r="B428" i="2"/>
  <c r="B489" i="2"/>
  <c r="A55" i="16"/>
  <c r="A477" i="2" l="1"/>
  <c r="B485" i="2"/>
  <c r="A56" i="16"/>
  <c r="A484" i="2"/>
  <c r="B498" i="2" l="1"/>
  <c r="A498" i="2"/>
  <c r="B333" i="2"/>
  <c r="B130" i="2"/>
  <c r="B29" i="32" s="1"/>
  <c r="B133" i="2" l="1"/>
  <c r="B132" i="2"/>
  <c r="C65" i="16"/>
  <c r="B283" i="2"/>
  <c r="B497" i="2"/>
  <c r="A497" i="2"/>
  <c r="B496" i="2"/>
  <c r="A496" i="2"/>
  <c r="L339" i="2" l="1"/>
  <c r="B345" i="2"/>
  <c r="B337" i="2" l="1"/>
  <c r="V627" i="32" l="1"/>
  <c r="V623" i="32"/>
  <c r="V622" i="32"/>
  <c r="V617" i="32"/>
  <c r="V624" i="32"/>
  <c r="V626" i="32"/>
  <c r="V629" i="32"/>
  <c r="V628" i="32"/>
  <c r="V625" i="32"/>
  <c r="V606" i="32"/>
  <c r="V598" i="32"/>
  <c r="V590" i="32"/>
  <c r="V582" i="32"/>
  <c r="V574" i="32"/>
  <c r="V566" i="32"/>
  <c r="V558" i="32"/>
  <c r="V550" i="32"/>
  <c r="V542" i="32"/>
  <c r="V534" i="32"/>
  <c r="V526" i="32"/>
  <c r="V518" i="32"/>
  <c r="V510" i="32"/>
  <c r="V502" i="32"/>
  <c r="V494" i="32"/>
  <c r="V486" i="32"/>
  <c r="V478" i="32"/>
  <c r="V470" i="32"/>
  <c r="V462" i="32"/>
  <c r="V454" i="32"/>
  <c r="V446" i="32"/>
  <c r="V438" i="32"/>
  <c r="V430" i="32"/>
  <c r="V422" i="32"/>
  <c r="V414" i="32"/>
  <c r="V406" i="32"/>
  <c r="V398" i="32"/>
  <c r="V390" i="32"/>
  <c r="V382" i="32"/>
  <c r="V374" i="32"/>
  <c r="V366" i="32"/>
  <c r="V358" i="32"/>
  <c r="V350" i="32"/>
  <c r="V342" i="32"/>
  <c r="V334" i="32"/>
  <c r="V326" i="32"/>
  <c r="V318" i="32"/>
  <c r="V310" i="32"/>
  <c r="V302" i="32"/>
  <c r="V294" i="32"/>
  <c r="V286" i="32"/>
  <c r="V278" i="32"/>
  <c r="V270" i="32"/>
  <c r="V262" i="32"/>
  <c r="V254" i="32"/>
  <c r="V246" i="32"/>
  <c r="V238" i="32"/>
  <c r="V230" i="32"/>
  <c r="V222" i="32"/>
  <c r="V214" i="32"/>
  <c r="V206" i="32"/>
  <c r="V198" i="32"/>
  <c r="V190" i="32"/>
  <c r="V182" i="32"/>
  <c r="V174" i="32"/>
  <c r="V166" i="32"/>
  <c r="V158" i="32"/>
  <c r="V150" i="32"/>
  <c r="V142" i="32"/>
  <c r="V134" i="32"/>
  <c r="V126" i="32"/>
  <c r="V118" i="32"/>
  <c r="V110" i="32"/>
  <c r="V102" i="32"/>
  <c r="V94" i="32"/>
  <c r="V86" i="32"/>
  <c r="V78" i="32"/>
  <c r="V70" i="32"/>
  <c r="V62" i="32"/>
  <c r="V54" i="32"/>
  <c r="V46" i="32"/>
  <c r="V38" i="32"/>
  <c r="V30" i="32"/>
  <c r="V22" i="32"/>
  <c r="V14" i="32"/>
  <c r="V27" i="32"/>
  <c r="V520" i="32"/>
  <c r="V408" i="32"/>
  <c r="V344" i="32"/>
  <c r="V288" i="32"/>
  <c r="V232" i="32"/>
  <c r="V184" i="32"/>
  <c r="V136" i="32"/>
  <c r="V88" i="32"/>
  <c r="V32" i="32"/>
  <c r="V599" i="32"/>
  <c r="V543" i="32"/>
  <c r="V503" i="32"/>
  <c r="V455" i="32"/>
  <c r="V399" i="32"/>
  <c r="V359" i="32"/>
  <c r="V303" i="32"/>
  <c r="V255" i="32"/>
  <c r="V215" i="32"/>
  <c r="V151" i="32"/>
  <c r="V103" i="32"/>
  <c r="V39" i="32"/>
  <c r="V613" i="32"/>
  <c r="V605" i="32"/>
  <c r="V597" i="32"/>
  <c r="V589" i="32"/>
  <c r="V581" i="32"/>
  <c r="V573" i="32"/>
  <c r="V565" i="32"/>
  <c r="V557" i="32"/>
  <c r="V549" i="32"/>
  <c r="V541" i="32"/>
  <c r="V533" i="32"/>
  <c r="V525" i="32"/>
  <c r="V517" i="32"/>
  <c r="V509" i="32"/>
  <c r="V501" i="32"/>
  <c r="V493" i="32"/>
  <c r="V485" i="32"/>
  <c r="V477" i="32"/>
  <c r="V469" i="32"/>
  <c r="V461" i="32"/>
  <c r="V453" i="32"/>
  <c r="V445" i="32"/>
  <c r="V437" i="32"/>
  <c r="V429" i="32"/>
  <c r="V421" i="32"/>
  <c r="V413" i="32"/>
  <c r="V405" i="32"/>
  <c r="V397" i="32"/>
  <c r="V389" i="32"/>
  <c r="V381" i="32"/>
  <c r="V373" i="32"/>
  <c r="V365" i="32"/>
  <c r="V357" i="32"/>
  <c r="V349" i="32"/>
  <c r="V341" i="32"/>
  <c r="V333" i="32"/>
  <c r="V325" i="32"/>
  <c r="V317" i="32"/>
  <c r="V309" i="32"/>
  <c r="V301" i="32"/>
  <c r="V293" i="32"/>
  <c r="V285" i="32"/>
  <c r="V277" i="32"/>
  <c r="V269" i="32"/>
  <c r="V261" i="32"/>
  <c r="V253" i="32"/>
  <c r="V245" i="32"/>
  <c r="V237" i="32"/>
  <c r="V229" i="32"/>
  <c r="V221" i="32"/>
  <c r="V213" i="32"/>
  <c r="V205" i="32"/>
  <c r="V197" i="32"/>
  <c r="V189" i="32"/>
  <c r="V181" i="32"/>
  <c r="V173" i="32"/>
  <c r="V165" i="32"/>
  <c r="V157" i="32"/>
  <c r="V149" i="32"/>
  <c r="V141" i="32"/>
  <c r="V133" i="32"/>
  <c r="V125" i="32"/>
  <c r="V117" i="32"/>
  <c r="V109" i="32"/>
  <c r="V101" i="32"/>
  <c r="V93" i="32"/>
  <c r="V85" i="32"/>
  <c r="V77" i="32"/>
  <c r="V69" i="32"/>
  <c r="V61" i="32"/>
  <c r="V53" i="32"/>
  <c r="V45" i="32"/>
  <c r="V37" i="32"/>
  <c r="V29" i="32"/>
  <c r="V21" i="32"/>
  <c r="V13" i="32"/>
  <c r="V188" i="32"/>
  <c r="V164" i="32"/>
  <c r="V156" i="32"/>
  <c r="V140" i="32"/>
  <c r="V132" i="32"/>
  <c r="V116" i="32"/>
  <c r="V108" i="32"/>
  <c r="V100" i="32"/>
  <c r="V84" i="32"/>
  <c r="V76" i="32"/>
  <c r="V60" i="32"/>
  <c r="V52" i="32"/>
  <c r="V36" i="32"/>
  <c r="V28" i="32"/>
  <c r="V43" i="32"/>
  <c r="V19" i="32"/>
  <c r="V528" i="32"/>
  <c r="V456" i="32"/>
  <c r="V432" i="32"/>
  <c r="V416" i="32"/>
  <c r="V384" i="32"/>
  <c r="V360" i="32"/>
  <c r="V328" i="32"/>
  <c r="V296" i="32"/>
  <c r="V264" i="32"/>
  <c r="V224" i="32"/>
  <c r="V200" i="32"/>
  <c r="V160" i="32"/>
  <c r="V120" i="32"/>
  <c r="V96" i="32"/>
  <c r="V48" i="32"/>
  <c r="V16" i="32"/>
  <c r="V575" i="32"/>
  <c r="V551" i="32"/>
  <c r="V535" i="32"/>
  <c r="V495" i="32"/>
  <c r="V463" i="32"/>
  <c r="V431" i="32"/>
  <c r="V391" i="32"/>
  <c r="V351" i="32"/>
  <c r="V311" i="32"/>
  <c r="V287" i="32"/>
  <c r="V239" i="32"/>
  <c r="V199" i="32"/>
  <c r="V175" i="32"/>
  <c r="V143" i="32"/>
  <c r="V95" i="32"/>
  <c r="V71" i="32"/>
  <c r="V31" i="32"/>
  <c r="V612" i="32"/>
  <c r="V604" i="32"/>
  <c r="V596" i="32"/>
  <c r="V588" i="32"/>
  <c r="V580" i="32"/>
  <c r="V572" i="32"/>
  <c r="V564" i="32"/>
  <c r="V556" i="32"/>
  <c r="V548" i="32"/>
  <c r="V540" i="32"/>
  <c r="V532" i="32"/>
  <c r="V524" i="32"/>
  <c r="V516" i="32"/>
  <c r="V508" i="32"/>
  <c r="V500" i="32"/>
  <c r="V492" i="32"/>
  <c r="V484" i="32"/>
  <c r="V476" i="32"/>
  <c r="V468" i="32"/>
  <c r="V460" i="32"/>
  <c r="V452" i="32"/>
  <c r="V444" i="32"/>
  <c r="V436" i="32"/>
  <c r="V428" i="32"/>
  <c r="V420" i="32"/>
  <c r="V412" i="32"/>
  <c r="V404" i="32"/>
  <c r="V396" i="32"/>
  <c r="V388" i="32"/>
  <c r="V380" i="32"/>
  <c r="V372" i="32"/>
  <c r="V364" i="32"/>
  <c r="V356" i="32"/>
  <c r="V348" i="32"/>
  <c r="V340" i="32"/>
  <c r="V332" i="32"/>
  <c r="V324" i="32"/>
  <c r="V316" i="32"/>
  <c r="V308" i="32"/>
  <c r="V300" i="32"/>
  <c r="V292" i="32"/>
  <c r="V284" i="32"/>
  <c r="V276" i="32"/>
  <c r="V268" i="32"/>
  <c r="V260" i="32"/>
  <c r="V252" i="32"/>
  <c r="V244" i="32"/>
  <c r="V236" i="32"/>
  <c r="V228" i="32"/>
  <c r="V220" i="32"/>
  <c r="V212" i="32"/>
  <c r="V204" i="32"/>
  <c r="V196" i="32"/>
  <c r="V180" i="32"/>
  <c r="V172" i="32"/>
  <c r="V148" i="32"/>
  <c r="V124" i="32"/>
  <c r="V92" i="32"/>
  <c r="V68" i="32"/>
  <c r="V44" i="32"/>
  <c r="V20" i="32"/>
  <c r="V536" i="32"/>
  <c r="V352" i="32"/>
  <c r="V256" i="32"/>
  <c r="V152" i="32"/>
  <c r="V56" i="32"/>
  <c r="V583" i="32"/>
  <c r="V487" i="32"/>
  <c r="V415" i="32"/>
  <c r="V343" i="32"/>
  <c r="V279" i="32"/>
  <c r="V207" i="32"/>
  <c r="V127" i="32"/>
  <c r="V47" i="32"/>
  <c r="V611" i="32"/>
  <c r="V603" i="32"/>
  <c r="V595" i="32"/>
  <c r="V587" i="32"/>
  <c r="V579" i="32"/>
  <c r="V571" i="32"/>
  <c r="V563" i="32"/>
  <c r="V555" i="32"/>
  <c r="V547" i="32"/>
  <c r="V539" i="32"/>
  <c r="V531" i="32"/>
  <c r="V523" i="32"/>
  <c r="V515" i="32"/>
  <c r="V507" i="32"/>
  <c r="V499" i="32"/>
  <c r="V491" i="32"/>
  <c r="V483" i="32"/>
  <c r="V475" i="32"/>
  <c r="V467" i="32"/>
  <c r="V459" i="32"/>
  <c r="V451" i="32"/>
  <c r="V443" i="32"/>
  <c r="V435" i="32"/>
  <c r="V427" i="32"/>
  <c r="V419" i="32"/>
  <c r="V411" i="32"/>
  <c r="V403" i="32"/>
  <c r="V395" i="32"/>
  <c r="V387" i="32"/>
  <c r="V379" i="32"/>
  <c r="V371" i="32"/>
  <c r="V363" i="32"/>
  <c r="V355" i="32"/>
  <c r="V347" i="32"/>
  <c r="V339" i="32"/>
  <c r="V331" i="32"/>
  <c r="V323" i="32"/>
  <c r="V315" i="32"/>
  <c r="V307" i="32"/>
  <c r="V299" i="32"/>
  <c r="V291" i="32"/>
  <c r="V283" i="32"/>
  <c r="V275" i="32"/>
  <c r="V267" i="32"/>
  <c r="V259" i="32"/>
  <c r="V251" i="32"/>
  <c r="V243" i="32"/>
  <c r="V235" i="32"/>
  <c r="V227" i="32"/>
  <c r="V219" i="32"/>
  <c r="V211" i="32"/>
  <c r="V203" i="32"/>
  <c r="V195" i="32"/>
  <c r="V187" i="32"/>
  <c r="V179" i="32"/>
  <c r="V171" i="32"/>
  <c r="V163" i="32"/>
  <c r="V155" i="32"/>
  <c r="V147" i="32"/>
  <c r="V139" i="32"/>
  <c r="V131" i="32"/>
  <c r="V123" i="32"/>
  <c r="V115" i="32"/>
  <c r="V107" i="32"/>
  <c r="V99" i="32"/>
  <c r="V91" i="32"/>
  <c r="V83" i="32"/>
  <c r="V75" i="32"/>
  <c r="V67" i="32"/>
  <c r="V59" i="32"/>
  <c r="V51" i="32"/>
  <c r="V35" i="32"/>
  <c r="V504" i="32"/>
  <c r="V376" i="32"/>
  <c r="V304" i="32"/>
  <c r="V240" i="32"/>
  <c r="V192" i="32"/>
  <c r="V128" i="32"/>
  <c r="V72" i="32"/>
  <c r="V607" i="32"/>
  <c r="V511" i="32"/>
  <c r="V439" i="32"/>
  <c r="V375" i="32"/>
  <c r="V319" i="32"/>
  <c r="V247" i="32"/>
  <c r="V183" i="32"/>
  <c r="V119" i="32"/>
  <c r="V79" i="32"/>
  <c r="V15" i="32"/>
  <c r="V610" i="32"/>
  <c r="V602" i="32"/>
  <c r="V594" i="32"/>
  <c r="V586" i="32"/>
  <c r="V578" i="32"/>
  <c r="V570" i="32"/>
  <c r="V562" i="32"/>
  <c r="V554" i="32"/>
  <c r="V546" i="32"/>
  <c r="V538" i="32"/>
  <c r="V530" i="32"/>
  <c r="V522" i="32"/>
  <c r="V514" i="32"/>
  <c r="V506" i="32"/>
  <c r="V498" i="32"/>
  <c r="V490" i="32"/>
  <c r="V482" i="32"/>
  <c r="V474" i="32"/>
  <c r="V466" i="32"/>
  <c r="V458" i="32"/>
  <c r="V450" i="32"/>
  <c r="V442" i="32"/>
  <c r="V434" i="32"/>
  <c r="V426" i="32"/>
  <c r="V418" i="32"/>
  <c r="V410" i="32"/>
  <c r="V402" i="32"/>
  <c r="V394" i="32"/>
  <c r="V386" i="32"/>
  <c r="V378" i="32"/>
  <c r="V370" i="32"/>
  <c r="V362" i="32"/>
  <c r="V354" i="32"/>
  <c r="V346" i="32"/>
  <c r="V338" i="32"/>
  <c r="V330" i="32"/>
  <c r="V322" i="32"/>
  <c r="V314" i="32"/>
  <c r="V306" i="32"/>
  <c r="V298" i="32"/>
  <c r="V290" i="32"/>
  <c r="V282" i="32"/>
  <c r="V274" i="32"/>
  <c r="V266" i="32"/>
  <c r="V258" i="32"/>
  <c r="V250" i="32"/>
  <c r="V242" i="32"/>
  <c r="V234" i="32"/>
  <c r="V226" i="32"/>
  <c r="V218" i="32"/>
  <c r="V210" i="32"/>
  <c r="V202" i="32"/>
  <c r="V194" i="32"/>
  <c r="V186" i="32"/>
  <c r="V178" i="32"/>
  <c r="V170" i="32"/>
  <c r="V162" i="32"/>
  <c r="V154" i="32"/>
  <c r="V146" i="32"/>
  <c r="V138" i="32"/>
  <c r="V130" i="32"/>
  <c r="V122" i="32"/>
  <c r="V114" i="32"/>
  <c r="V106" i="32"/>
  <c r="V98" i="32"/>
  <c r="V90" i="32"/>
  <c r="V82" i="32"/>
  <c r="V74" i="32"/>
  <c r="V66" i="32"/>
  <c r="V58" i="32"/>
  <c r="V50" i="32"/>
  <c r="V42" i="32"/>
  <c r="V34" i="32"/>
  <c r="V26" i="32"/>
  <c r="V18" i="32"/>
  <c r="V552" i="32"/>
  <c r="V392" i="32"/>
  <c r="V320" i="32"/>
  <c r="V272" i="32"/>
  <c r="V216" i="32"/>
  <c r="V168" i="32"/>
  <c r="V112" i="32"/>
  <c r="V64" i="32"/>
  <c r="V24" i="32"/>
  <c r="V591" i="32"/>
  <c r="V559" i="32"/>
  <c r="V519" i="32"/>
  <c r="V471" i="32"/>
  <c r="V423" i="32"/>
  <c r="V367" i="32"/>
  <c r="V327" i="32"/>
  <c r="V263" i="32"/>
  <c r="V223" i="32"/>
  <c r="V159" i="32"/>
  <c r="V111" i="32"/>
  <c r="V55" i="32"/>
  <c r="V609" i="32"/>
  <c r="V601" i="32"/>
  <c r="V593" i="32"/>
  <c r="V585" i="32"/>
  <c r="V577" i="32"/>
  <c r="V569" i="32"/>
  <c r="V561" i="32"/>
  <c r="V553" i="32"/>
  <c r="V545" i="32"/>
  <c r="V537" i="32"/>
  <c r="V529" i="32"/>
  <c r="V521" i="32"/>
  <c r="V513" i="32"/>
  <c r="V505" i="32"/>
  <c r="V497" i="32"/>
  <c r="V489" i="32"/>
  <c r="V481" i="32"/>
  <c r="V473" i="32"/>
  <c r="V465" i="32"/>
  <c r="V457" i="32"/>
  <c r="V449" i="32"/>
  <c r="V441" i="32"/>
  <c r="V433" i="32"/>
  <c r="V425" i="32"/>
  <c r="V417" i="32"/>
  <c r="V409" i="32"/>
  <c r="V401" i="32"/>
  <c r="V393" i="32"/>
  <c r="V385" i="32"/>
  <c r="V377" i="32"/>
  <c r="V369" i="32"/>
  <c r="V361" i="32"/>
  <c r="V353" i="32"/>
  <c r="V345" i="32"/>
  <c r="V337" i="32"/>
  <c r="V329" i="32"/>
  <c r="V321" i="32"/>
  <c r="V313" i="32"/>
  <c r="V305" i="32"/>
  <c r="V297" i="32"/>
  <c r="V289" i="32"/>
  <c r="V281" i="32"/>
  <c r="V273" i="32"/>
  <c r="V265" i="32"/>
  <c r="V257" i="32"/>
  <c r="V249" i="32"/>
  <c r="V241" i="32"/>
  <c r="V233" i="32"/>
  <c r="V225" i="32"/>
  <c r="V217" i="32"/>
  <c r="V209" i="32"/>
  <c r="V201" i="32"/>
  <c r="V193" i="32"/>
  <c r="V185" i="32"/>
  <c r="V177" i="32"/>
  <c r="V169" i="32"/>
  <c r="V161" i="32"/>
  <c r="V153" i="32"/>
  <c r="V145" i="32"/>
  <c r="V137" i="32"/>
  <c r="V129" i="32"/>
  <c r="V121" i="32"/>
  <c r="V113" i="32"/>
  <c r="V105" i="32"/>
  <c r="V97" i="32"/>
  <c r="V89" i="32"/>
  <c r="V81" i="32"/>
  <c r="V73" i="32"/>
  <c r="V65" i="32"/>
  <c r="V57" i="32"/>
  <c r="V49" i="32"/>
  <c r="V41" i="32"/>
  <c r="V33" i="32"/>
  <c r="V25" i="32"/>
  <c r="V17" i="32"/>
  <c r="V608" i="32"/>
  <c r="V600" i="32"/>
  <c r="V592" i="32"/>
  <c r="V584" i="32"/>
  <c r="V576" i="32"/>
  <c r="V568" i="32"/>
  <c r="V560" i="32"/>
  <c r="V544" i="32"/>
  <c r="V512" i="32"/>
  <c r="V496" i="32"/>
  <c r="V488" i="32"/>
  <c r="V480" i="32"/>
  <c r="V472" i="32"/>
  <c r="V464" i="32"/>
  <c r="V448" i="32"/>
  <c r="V440" i="32"/>
  <c r="V424" i="32"/>
  <c r="V400" i="32"/>
  <c r="V368" i="32"/>
  <c r="V336" i="32"/>
  <c r="V312" i="32"/>
  <c r="V280" i="32"/>
  <c r="V248" i="32"/>
  <c r="V208" i="32"/>
  <c r="V176" i="32"/>
  <c r="V144" i="32"/>
  <c r="V104" i="32"/>
  <c r="V80" i="32"/>
  <c r="V40" i="32"/>
  <c r="V567" i="32"/>
  <c r="V527" i="32"/>
  <c r="V479" i="32"/>
  <c r="V447" i="32"/>
  <c r="V407" i="32"/>
  <c r="V383" i="32"/>
  <c r="V335" i="32"/>
  <c r="V295" i="32"/>
  <c r="V271" i="32"/>
  <c r="V231" i="32"/>
  <c r="V191" i="32"/>
  <c r="V167" i="32"/>
  <c r="V135" i="32"/>
  <c r="V87" i="32"/>
  <c r="V63" i="32"/>
  <c r="V23" i="32"/>
  <c r="S629" i="31"/>
  <c r="S626" i="31"/>
  <c r="S622" i="31"/>
  <c r="S611" i="31"/>
  <c r="S607" i="31"/>
  <c r="S603" i="31"/>
  <c r="S599" i="31"/>
  <c r="S595" i="31"/>
  <c r="S591" i="31"/>
  <c r="S587" i="31"/>
  <c r="S583" i="31"/>
  <c r="S579" i="31"/>
  <c r="S575" i="31"/>
  <c r="S571" i="31"/>
  <c r="S567" i="31"/>
  <c r="S563" i="31"/>
  <c r="S559" i="31"/>
  <c r="S555" i="31"/>
  <c r="S551" i="31"/>
  <c r="S547" i="31"/>
  <c r="S543" i="31"/>
  <c r="S539" i="31"/>
  <c r="S535" i="31"/>
  <c r="S531" i="31"/>
  <c r="S527" i="31"/>
  <c r="S523" i="31"/>
  <c r="S519" i="31"/>
  <c r="S515" i="31"/>
  <c r="S511" i="31"/>
  <c r="S507" i="31"/>
  <c r="S503" i="31"/>
  <c r="S499" i="31"/>
  <c r="S495" i="31"/>
  <c r="S491" i="31"/>
  <c r="S487" i="31"/>
  <c r="S483" i="31"/>
  <c r="S479" i="31"/>
  <c r="S475" i="31"/>
  <c r="S471" i="31"/>
  <c r="S467" i="31"/>
  <c r="S463" i="31"/>
  <c r="S459" i="31"/>
  <c r="S455" i="31"/>
  <c r="S451" i="31"/>
  <c r="S447" i="31"/>
  <c r="S443" i="31"/>
  <c r="S439" i="31"/>
  <c r="S435" i="31"/>
  <c r="S431" i="31"/>
  <c r="S427" i="31"/>
  <c r="S423" i="31"/>
  <c r="S419" i="31"/>
  <c r="S415" i="31"/>
  <c r="S411" i="31"/>
  <c r="S407" i="31"/>
  <c r="S403" i="31"/>
  <c r="S399" i="31"/>
  <c r="S395" i="31"/>
  <c r="S391" i="31"/>
  <c r="S387" i="31"/>
  <c r="S383" i="31"/>
  <c r="S379" i="31"/>
  <c r="S375" i="31"/>
  <c r="S371" i="31"/>
  <c r="S367" i="31"/>
  <c r="S363" i="31"/>
  <c r="S359" i="31"/>
  <c r="S355" i="31"/>
  <c r="S351" i="31"/>
  <c r="S347" i="31"/>
  <c r="S343" i="31"/>
  <c r="S339" i="31"/>
  <c r="S335" i="31"/>
  <c r="S331" i="31"/>
  <c r="S327" i="31"/>
  <c r="S323" i="31"/>
  <c r="S319" i="31"/>
  <c r="S315" i="31"/>
  <c r="S311" i="31"/>
  <c r="S307" i="31"/>
  <c r="S303" i="31"/>
  <c r="S299" i="31"/>
  <c r="S295" i="31"/>
  <c r="S291" i="31"/>
  <c r="S287" i="31"/>
  <c r="S283" i="31"/>
  <c r="S279" i="31"/>
  <c r="S275" i="31"/>
  <c r="S271" i="31"/>
  <c r="S267" i="31"/>
  <c r="S263" i="31"/>
  <c r="S259" i="31"/>
  <c r="S255" i="31"/>
  <c r="S251" i="31"/>
  <c r="S247" i="31"/>
  <c r="S243" i="31"/>
  <c r="S239" i="31"/>
  <c r="S235" i="31"/>
  <c r="S231" i="31"/>
  <c r="S227" i="31"/>
  <c r="S223" i="31"/>
  <c r="S219" i="31"/>
  <c r="S215" i="31"/>
  <c r="S211" i="31"/>
  <c r="S207" i="31"/>
  <c r="S203" i="31"/>
  <c r="S199" i="31"/>
  <c r="S195" i="31"/>
  <c r="S191" i="31"/>
  <c r="S187" i="31"/>
  <c r="S183" i="31"/>
  <c r="S179" i="31"/>
  <c r="S175" i="31"/>
  <c r="S171" i="31"/>
  <c r="S167" i="31"/>
  <c r="S163" i="31"/>
  <c r="S159" i="31"/>
  <c r="S155" i="31"/>
  <c r="S151" i="31"/>
  <c r="S147" i="31"/>
  <c r="S143" i="31"/>
  <c r="S139" i="31"/>
  <c r="S135" i="31"/>
  <c r="S131" i="31"/>
  <c r="S127" i="31"/>
  <c r="S123" i="31"/>
  <c r="S119" i="31"/>
  <c r="S115" i="31"/>
  <c r="S111" i="31"/>
  <c r="S107" i="31"/>
  <c r="S103" i="31"/>
  <c r="S99" i="31"/>
  <c r="S71" i="31"/>
  <c r="S67" i="31"/>
  <c r="S63" i="31"/>
  <c r="S59" i="31"/>
  <c r="S55" i="31"/>
  <c r="S51" i="31"/>
  <c r="S47" i="31"/>
  <c r="S43" i="31"/>
  <c r="S39" i="31"/>
  <c r="S35" i="31"/>
  <c r="S31" i="31"/>
  <c r="S27" i="31"/>
  <c r="S23" i="31"/>
  <c r="S19" i="31"/>
  <c r="S16" i="31"/>
  <c r="S278" i="31"/>
  <c r="S246" i="31"/>
  <c r="S242" i="31"/>
  <c r="S234" i="31"/>
  <c r="S230" i="31"/>
  <c r="S222" i="31"/>
  <c r="S218" i="31"/>
  <c r="S210" i="31"/>
  <c r="S206" i="31"/>
  <c r="S202" i="31"/>
  <c r="S194" i="31"/>
  <c r="S190" i="31"/>
  <c r="S182" i="31"/>
  <c r="S178" i="31"/>
  <c r="S170" i="31"/>
  <c r="S166" i="31"/>
  <c r="S625" i="31"/>
  <c r="S617" i="31"/>
  <c r="S610" i="31"/>
  <c r="S606" i="31"/>
  <c r="S602" i="31"/>
  <c r="S598" i="31"/>
  <c r="S594" i="31"/>
  <c r="S590" i="31"/>
  <c r="S586" i="31"/>
  <c r="S582" i="31"/>
  <c r="S578" i="31"/>
  <c r="S574" i="31"/>
  <c r="S570" i="31"/>
  <c r="S566" i="31"/>
  <c r="S562" i="31"/>
  <c r="S558" i="31"/>
  <c r="S554" i="31"/>
  <c r="S550" i="31"/>
  <c r="S546" i="31"/>
  <c r="S542" i="31"/>
  <c r="S538" i="31"/>
  <c r="S534" i="31"/>
  <c r="S530" i="31"/>
  <c r="S526" i="31"/>
  <c r="S522" i="31"/>
  <c r="S518" i="31"/>
  <c r="S514" i="31"/>
  <c r="S510" i="31"/>
  <c r="S506" i="31"/>
  <c r="S502" i="31"/>
  <c r="S498" i="31"/>
  <c r="S494" i="31"/>
  <c r="S490" i="31"/>
  <c r="S486" i="31"/>
  <c r="S482" i="31"/>
  <c r="S478" i="31"/>
  <c r="S474" i="31"/>
  <c r="S470" i="31"/>
  <c r="S466" i="31"/>
  <c r="S462" i="31"/>
  <c r="S458" i="31"/>
  <c r="S454" i="31"/>
  <c r="S450" i="31"/>
  <c r="S446" i="31"/>
  <c r="S442" i="31"/>
  <c r="S438" i="31"/>
  <c r="S434" i="31"/>
  <c r="S430" i="31"/>
  <c r="S426" i="31"/>
  <c r="S422" i="31"/>
  <c r="S418" i="31"/>
  <c r="S414" i="31"/>
  <c r="S410" i="31"/>
  <c r="S406" i="31"/>
  <c r="S402" i="31"/>
  <c r="S398" i="31"/>
  <c r="S394" i="31"/>
  <c r="S390" i="31"/>
  <c r="S386" i="31"/>
  <c r="S382" i="31"/>
  <c r="S378" i="31"/>
  <c r="S374" i="31"/>
  <c r="S370" i="31"/>
  <c r="S366" i="31"/>
  <c r="S362" i="31"/>
  <c r="S358" i="31"/>
  <c r="S354" i="31"/>
  <c r="S350" i="31"/>
  <c r="S346" i="31"/>
  <c r="S342" i="31"/>
  <c r="S338" i="31"/>
  <c r="S334" i="31"/>
  <c r="S330" i="31"/>
  <c r="S326" i="31"/>
  <c r="S322" i="31"/>
  <c r="S318" i="31"/>
  <c r="S314" i="31"/>
  <c r="S310" i="31"/>
  <c r="S306" i="31"/>
  <c r="S302" i="31"/>
  <c r="S298" i="31"/>
  <c r="S294" i="31"/>
  <c r="S290" i="31"/>
  <c r="S286" i="31"/>
  <c r="S282" i="31"/>
  <c r="S274" i="31"/>
  <c r="S270" i="31"/>
  <c r="S266" i="31"/>
  <c r="S262" i="31"/>
  <c r="S258" i="31"/>
  <c r="S254" i="31"/>
  <c r="S250" i="31"/>
  <c r="S238" i="31"/>
  <c r="S226" i="31"/>
  <c r="S214" i="31"/>
  <c r="S198" i="31"/>
  <c r="S186" i="31"/>
  <c r="S174" i="31"/>
  <c r="S628" i="31"/>
  <c r="S70" i="31"/>
  <c r="S66" i="31"/>
  <c r="S62" i="31"/>
  <c r="S58" i="31"/>
  <c r="S54" i="31"/>
  <c r="S50" i="31"/>
  <c r="S46" i="31"/>
  <c r="S42" i="31"/>
  <c r="S38" i="31"/>
  <c r="S34" i="31"/>
  <c r="S30" i="31"/>
  <c r="S26" i="31"/>
  <c r="S22" i="31"/>
  <c r="S18" i="31"/>
  <c r="S15" i="31"/>
  <c r="S169" i="31"/>
  <c r="S145" i="31"/>
  <c r="S137" i="31"/>
  <c r="S129" i="31"/>
  <c r="S121" i="31"/>
  <c r="S117" i="31"/>
  <c r="S109" i="31"/>
  <c r="S101" i="31"/>
  <c r="S93" i="31"/>
  <c r="S89" i="31"/>
  <c r="S81" i="31"/>
  <c r="S73" i="31"/>
  <c r="S624" i="31"/>
  <c r="S613" i="31"/>
  <c r="S609" i="31"/>
  <c r="S605" i="31"/>
  <c r="S601" i="31"/>
  <c r="S597" i="31"/>
  <c r="S593" i="31"/>
  <c r="S589" i="31"/>
  <c r="S585" i="31"/>
  <c r="S581" i="31"/>
  <c r="S577" i="31"/>
  <c r="S573" i="31"/>
  <c r="S569" i="31"/>
  <c r="S565" i="31"/>
  <c r="S561" i="31"/>
  <c r="S557" i="31"/>
  <c r="S553" i="31"/>
  <c r="S549" i="31"/>
  <c r="S545" i="31"/>
  <c r="S541" i="31"/>
  <c r="S537" i="31"/>
  <c r="S533" i="31"/>
  <c r="S529" i="31"/>
  <c r="S525" i="31"/>
  <c r="S521" i="31"/>
  <c r="S517" i="31"/>
  <c r="S513" i="31"/>
  <c r="S509" i="31"/>
  <c r="S505" i="31"/>
  <c r="S501" i="31"/>
  <c r="S497" i="31"/>
  <c r="S493" i="31"/>
  <c r="S489" i="31"/>
  <c r="S485" i="31"/>
  <c r="S481" i="31"/>
  <c r="S477" i="31"/>
  <c r="S473" i="31"/>
  <c r="S469" i="31"/>
  <c r="S465" i="31"/>
  <c r="S461" i="31"/>
  <c r="S457" i="31"/>
  <c r="S453" i="31"/>
  <c r="S449" i="31"/>
  <c r="S445" i="31"/>
  <c r="S441" i="31"/>
  <c r="S437" i="31"/>
  <c r="S433" i="31"/>
  <c r="S429" i="31"/>
  <c r="S425" i="31"/>
  <c r="S421" i="31"/>
  <c r="S417" i="31"/>
  <c r="S413" i="31"/>
  <c r="S409" i="31"/>
  <c r="S405" i="31"/>
  <c r="S401" i="31"/>
  <c r="S397" i="31"/>
  <c r="S393" i="31"/>
  <c r="S389" i="31"/>
  <c r="S385" i="31"/>
  <c r="S381" i="31"/>
  <c r="S377" i="31"/>
  <c r="S373" i="31"/>
  <c r="S369" i="31"/>
  <c r="S365" i="31"/>
  <c r="S361" i="31"/>
  <c r="S357" i="31"/>
  <c r="S353" i="31"/>
  <c r="S349" i="31"/>
  <c r="S345" i="31"/>
  <c r="S341" i="31"/>
  <c r="S337" i="31"/>
  <c r="S333" i="31"/>
  <c r="S329" i="31"/>
  <c r="S325" i="31"/>
  <c r="S321" i="31"/>
  <c r="S317" i="31"/>
  <c r="S313" i="31"/>
  <c r="S309" i="31"/>
  <c r="S305" i="31"/>
  <c r="S301" i="31"/>
  <c r="S297" i="31"/>
  <c r="S293" i="31"/>
  <c r="S289" i="31"/>
  <c r="S285" i="31"/>
  <c r="S281" i="31"/>
  <c r="S277" i="31"/>
  <c r="S273" i="31"/>
  <c r="S269" i="31"/>
  <c r="S265" i="31"/>
  <c r="S261" i="31"/>
  <c r="S257" i="31"/>
  <c r="S253" i="31"/>
  <c r="S249" i="31"/>
  <c r="S245" i="31"/>
  <c r="S241" i="31"/>
  <c r="S237" i="31"/>
  <c r="S233" i="31"/>
  <c r="S229" i="31"/>
  <c r="S225" i="31"/>
  <c r="S221" i="31"/>
  <c r="S217" i="31"/>
  <c r="S213" i="31"/>
  <c r="S209" i="31"/>
  <c r="S205" i="31"/>
  <c r="S201" i="31"/>
  <c r="S197" i="31"/>
  <c r="S193" i="31"/>
  <c r="S189" i="31"/>
  <c r="S185" i="31"/>
  <c r="S181" i="31"/>
  <c r="S177" i="31"/>
  <c r="S173" i="31"/>
  <c r="S165" i="31"/>
  <c r="S161" i="31"/>
  <c r="S157" i="31"/>
  <c r="S153" i="31"/>
  <c r="S149" i="31"/>
  <c r="S141" i="31"/>
  <c r="S133" i="31"/>
  <c r="S125" i="31"/>
  <c r="S113" i="31"/>
  <c r="S105" i="31"/>
  <c r="S97" i="31"/>
  <c r="S85" i="31"/>
  <c r="S77" i="31"/>
  <c r="S627" i="31"/>
  <c r="S69" i="31"/>
  <c r="S65" i="31"/>
  <c r="S61" i="31"/>
  <c r="S57" i="31"/>
  <c r="S53" i="31"/>
  <c r="S49" i="31"/>
  <c r="S45" i="31"/>
  <c r="S41" i="31"/>
  <c r="S37" i="31"/>
  <c r="S33" i="31"/>
  <c r="S29" i="31"/>
  <c r="S25" i="31"/>
  <c r="S21" i="31"/>
  <c r="S14" i="31"/>
  <c r="C6" i="31"/>
  <c r="S152" i="31"/>
  <c r="S142" i="31"/>
  <c r="S120" i="31"/>
  <c r="S110" i="31"/>
  <c r="S91" i="31"/>
  <c r="S83" i="31"/>
  <c r="S75" i="31"/>
  <c r="S48" i="31"/>
  <c r="S28" i="31"/>
  <c r="S88" i="31"/>
  <c r="S40" i="31"/>
  <c r="S188" i="31"/>
  <c r="S148" i="31"/>
  <c r="S106" i="31"/>
  <c r="S20" i="31"/>
  <c r="S440" i="31"/>
  <c r="S344" i="31"/>
  <c r="S264" i="31"/>
  <c r="S232" i="31"/>
  <c r="S168" i="31"/>
  <c r="S114" i="31"/>
  <c r="S86" i="31"/>
  <c r="S612" i="31"/>
  <c r="S516" i="31"/>
  <c r="S436" i="31"/>
  <c r="S356" i="31"/>
  <c r="S276" i="31"/>
  <c r="S212" i="31"/>
  <c r="S154" i="31"/>
  <c r="S36" i="31"/>
  <c r="S623" i="31"/>
  <c r="S608" i="31"/>
  <c r="S592" i="31"/>
  <c r="S576" i="31"/>
  <c r="S560" i="31"/>
  <c r="S544" i="31"/>
  <c r="S528" i="31"/>
  <c r="S512" i="31"/>
  <c r="S496" i="31"/>
  <c r="S480" i="31"/>
  <c r="S464" i="31"/>
  <c r="S448" i="31"/>
  <c r="S432" i="31"/>
  <c r="S416" i="31"/>
  <c r="S400" i="31"/>
  <c r="S384" i="31"/>
  <c r="S368" i="31"/>
  <c r="S352" i="31"/>
  <c r="S336" i="31"/>
  <c r="S320" i="31"/>
  <c r="S304" i="31"/>
  <c r="S288" i="31"/>
  <c r="S272" i="31"/>
  <c r="S256" i="31"/>
  <c r="S240" i="31"/>
  <c r="S224" i="31"/>
  <c r="S208" i="31"/>
  <c r="S192" i="31"/>
  <c r="S176" i="31"/>
  <c r="S162" i="31"/>
  <c r="S140" i="31"/>
  <c r="S130" i="31"/>
  <c r="S108" i="31"/>
  <c r="S98" i="31"/>
  <c r="S90" i="31"/>
  <c r="S82" i="31"/>
  <c r="S74" i="31"/>
  <c r="S60" i="31"/>
  <c r="S80" i="31"/>
  <c r="S116" i="31"/>
  <c r="S52" i="31"/>
  <c r="S600" i="31"/>
  <c r="S392" i="31"/>
  <c r="S328" i="31"/>
  <c r="S248" i="31"/>
  <c r="S184" i="31"/>
  <c r="S94" i="31"/>
  <c r="S564" i="31"/>
  <c r="S532" i="31"/>
  <c r="S452" i="31"/>
  <c r="S420" i="31"/>
  <c r="S324" i="31"/>
  <c r="S260" i="31"/>
  <c r="S196" i="31"/>
  <c r="S132" i="31"/>
  <c r="S17" i="31"/>
  <c r="S160" i="31"/>
  <c r="S150" i="31"/>
  <c r="S128" i="31"/>
  <c r="S118" i="31"/>
  <c r="S96" i="31"/>
  <c r="S72" i="31"/>
  <c r="S568" i="31"/>
  <c r="S280" i="31"/>
  <c r="S156" i="31"/>
  <c r="S78" i="31"/>
  <c r="S13" i="31"/>
  <c r="S548" i="31"/>
  <c r="S340" i="31"/>
  <c r="S228" i="31"/>
  <c r="S122" i="31"/>
  <c r="S604" i="31"/>
  <c r="S588" i="31"/>
  <c r="S572" i="31"/>
  <c r="S556" i="31"/>
  <c r="S540" i="31"/>
  <c r="S524" i="31"/>
  <c r="S508" i="31"/>
  <c r="S492" i="31"/>
  <c r="S476" i="31"/>
  <c r="S460" i="31"/>
  <c r="S444" i="31"/>
  <c r="S428" i="31"/>
  <c r="S412" i="31"/>
  <c r="S396" i="31"/>
  <c r="S380" i="31"/>
  <c r="S364" i="31"/>
  <c r="S348" i="31"/>
  <c r="S332" i="31"/>
  <c r="S316" i="31"/>
  <c r="S300" i="31"/>
  <c r="S284" i="31"/>
  <c r="S268" i="31"/>
  <c r="S252" i="31"/>
  <c r="S236" i="31"/>
  <c r="S220" i="31"/>
  <c r="S204" i="31"/>
  <c r="S172" i="31"/>
  <c r="S138" i="31"/>
  <c r="S584" i="31"/>
  <c r="S520" i="31"/>
  <c r="S488" i="31"/>
  <c r="S456" i="31"/>
  <c r="S408" i="31"/>
  <c r="S360" i="31"/>
  <c r="S296" i="31"/>
  <c r="S200" i="31"/>
  <c r="S146" i="31"/>
  <c r="S44" i="31"/>
  <c r="S580" i="31"/>
  <c r="S484" i="31"/>
  <c r="S404" i="31"/>
  <c r="S308" i="31"/>
  <c r="S180" i="31"/>
  <c r="S68" i="31"/>
  <c r="S158" i="31"/>
  <c r="S136" i="31"/>
  <c r="S126" i="31"/>
  <c r="S104" i="31"/>
  <c r="S95" i="31"/>
  <c r="S87" i="31"/>
  <c r="S79" i="31"/>
  <c r="S64" i="31"/>
  <c r="S32" i="31"/>
  <c r="S552" i="31"/>
  <c r="S536" i="31"/>
  <c r="S504" i="31"/>
  <c r="S472" i="31"/>
  <c r="S424" i="31"/>
  <c r="S376" i="31"/>
  <c r="S312" i="31"/>
  <c r="S216" i="31"/>
  <c r="S124" i="31"/>
  <c r="S596" i="31"/>
  <c r="S468" i="31"/>
  <c r="S388" i="31"/>
  <c r="S292" i="31"/>
  <c r="S164" i="31"/>
  <c r="S100" i="31"/>
  <c r="S144" i="31"/>
  <c r="S134" i="31"/>
  <c r="S112" i="31"/>
  <c r="S102" i="31"/>
  <c r="S92" i="31"/>
  <c r="S84" i="31"/>
  <c r="S76" i="31"/>
  <c r="S56" i="31"/>
  <c r="S24" i="31"/>
  <c r="S500" i="31"/>
  <c r="S372" i="31"/>
  <c r="S244" i="31"/>
  <c r="B479" i="2"/>
  <c r="A479" i="2"/>
  <c r="B177" i="2"/>
  <c r="B8" i="2"/>
  <c r="B9" i="2"/>
  <c r="AA30" i="30" l="1"/>
  <c r="AG25" i="30"/>
  <c r="B3" i="32"/>
  <c r="B5" i="30"/>
  <c r="I80" i="27"/>
  <c r="I4" i="27"/>
  <c r="I54" i="27"/>
  <c r="Y81" i="27" s="1"/>
  <c r="N96" i="1"/>
  <c r="N61" i="1"/>
  <c r="H11" i="21"/>
  <c r="H13" i="21"/>
  <c r="H15" i="21"/>
  <c r="H17" i="21"/>
  <c r="H19" i="21"/>
  <c r="H21" i="21"/>
  <c r="H23" i="21"/>
  <c r="H25" i="21"/>
  <c r="H27" i="21"/>
  <c r="H29" i="21"/>
  <c r="H31" i="21"/>
  <c r="H33" i="21"/>
  <c r="H35" i="21"/>
  <c r="H37" i="21"/>
  <c r="H39" i="21"/>
  <c r="H41" i="21"/>
  <c r="H43" i="21"/>
  <c r="H45" i="21"/>
  <c r="H47" i="21"/>
  <c r="H49" i="21"/>
  <c r="H51" i="21"/>
  <c r="H53" i="21"/>
  <c r="H55" i="21"/>
  <c r="H57" i="21"/>
  <c r="H59" i="21"/>
  <c r="H61" i="21"/>
  <c r="H63" i="21"/>
  <c r="H65" i="21"/>
  <c r="H67" i="21"/>
  <c r="H69" i="21"/>
  <c r="H71" i="21"/>
  <c r="H73" i="21"/>
  <c r="H75" i="21"/>
  <c r="H77" i="21"/>
  <c r="H79" i="21"/>
  <c r="H81" i="21"/>
  <c r="H83" i="21"/>
  <c r="H85" i="21"/>
  <c r="H87" i="21"/>
  <c r="H89" i="21"/>
  <c r="H91" i="21"/>
  <c r="H93" i="21"/>
  <c r="H95" i="21"/>
  <c r="H97" i="21"/>
  <c r="H99" i="21"/>
  <c r="H101" i="21"/>
  <c r="H103" i="21"/>
  <c r="H105" i="21"/>
  <c r="H107" i="21"/>
  <c r="H109" i="21"/>
  <c r="H10" i="21"/>
  <c r="H12" i="21"/>
  <c r="H14" i="21"/>
  <c r="H16" i="21"/>
  <c r="H18" i="21"/>
  <c r="H20" i="21"/>
  <c r="H22" i="21"/>
  <c r="H24" i="21"/>
  <c r="H26" i="21"/>
  <c r="H28" i="21"/>
  <c r="H30" i="21"/>
  <c r="H32" i="21"/>
  <c r="H34" i="21"/>
  <c r="H36" i="21"/>
  <c r="H38" i="21"/>
  <c r="H40" i="21"/>
  <c r="H42" i="21"/>
  <c r="H44" i="21"/>
  <c r="H46" i="21"/>
  <c r="H48" i="21"/>
  <c r="H50" i="21"/>
  <c r="H52" i="21"/>
  <c r="H54" i="21"/>
  <c r="H56" i="21"/>
  <c r="H58" i="21"/>
  <c r="H60" i="21"/>
  <c r="H62" i="21"/>
  <c r="H64" i="21"/>
  <c r="H66" i="21"/>
  <c r="H68" i="21"/>
  <c r="H70" i="21"/>
  <c r="H72" i="21"/>
  <c r="H74" i="21"/>
  <c r="H76" i="21"/>
  <c r="H78" i="21"/>
  <c r="H80" i="21"/>
  <c r="H82" i="21"/>
  <c r="H84" i="21"/>
  <c r="H86" i="21"/>
  <c r="H88" i="21"/>
  <c r="H90" i="21"/>
  <c r="H92" i="21"/>
  <c r="H94" i="21"/>
  <c r="H96" i="21"/>
  <c r="H98" i="21"/>
  <c r="H100" i="21"/>
  <c r="H102" i="21"/>
  <c r="H104" i="21"/>
  <c r="H106" i="21"/>
  <c r="H108" i="21"/>
  <c r="H9" i="21"/>
  <c r="B11" i="21"/>
  <c r="B24" i="20"/>
  <c r="B24" i="21"/>
  <c r="B11" i="20"/>
  <c r="B486" i="2"/>
  <c r="A500" i="2"/>
  <c r="B344" i="2"/>
  <c r="B339" i="2"/>
  <c r="B525" i="2"/>
  <c r="B500" i="2"/>
  <c r="B522" i="2"/>
  <c r="H3" i="32" l="1"/>
  <c r="F3" i="31"/>
  <c r="Z81" i="27"/>
  <c r="AE81" i="27"/>
  <c r="U81" i="27"/>
  <c r="AD81" i="27"/>
  <c r="T81" i="27"/>
  <c r="B515" i="2"/>
  <c r="CD17" i="21"/>
  <c r="B16" i="21"/>
  <c r="CD16" i="21"/>
  <c r="CD15" i="21"/>
  <c r="CD14" i="21"/>
  <c r="CD13" i="21"/>
  <c r="CD12" i="21"/>
  <c r="CD11" i="21"/>
  <c r="CD9" i="21"/>
  <c r="CD17" i="20"/>
  <c r="CD16" i="20"/>
  <c r="B16" i="20"/>
  <c r="CD14" i="20"/>
  <c r="CD12" i="20"/>
  <c r="CD9" i="20"/>
  <c r="CD15" i="20"/>
  <c r="CD13" i="20"/>
  <c r="CD11" i="20"/>
  <c r="Q21" i="8"/>
  <c r="A515" i="2"/>
  <c r="Q6" i="8"/>
  <c r="CN17" i="21" l="1"/>
  <c r="CL17" i="21"/>
  <c r="CJ17" i="21"/>
  <c r="CH17" i="21"/>
  <c r="CF17" i="21"/>
  <c r="CM17" i="21"/>
  <c r="CK17" i="21"/>
  <c r="CI17" i="21"/>
  <c r="CG17" i="21"/>
  <c r="CE17" i="21"/>
  <c r="CM9" i="21"/>
  <c r="CK9" i="21"/>
  <c r="CI9" i="21"/>
  <c r="CG9" i="21"/>
  <c r="CE9" i="21"/>
  <c r="CN9" i="21"/>
  <c r="CL9" i="21"/>
  <c r="CJ9" i="21"/>
  <c r="CH9" i="21"/>
  <c r="CF9" i="21"/>
  <c r="CM11" i="21"/>
  <c r="CK11" i="21"/>
  <c r="CI11" i="21"/>
  <c r="CG11" i="21"/>
  <c r="CE11" i="21"/>
  <c r="CN11" i="21"/>
  <c r="CL11" i="21"/>
  <c r="CJ11" i="21"/>
  <c r="CH11" i="21"/>
  <c r="CF11" i="21"/>
  <c r="CM12" i="21"/>
  <c r="CK12" i="21"/>
  <c r="CI12" i="21"/>
  <c r="CG12" i="21"/>
  <c r="CE12" i="21"/>
  <c r="CN12" i="21"/>
  <c r="CL12" i="21"/>
  <c r="CJ12" i="21"/>
  <c r="CH12" i="21"/>
  <c r="CF12" i="21"/>
  <c r="CM13" i="21"/>
  <c r="CK13" i="21"/>
  <c r="CI13" i="21"/>
  <c r="CG13" i="21"/>
  <c r="CE13" i="21"/>
  <c r="CN13" i="21"/>
  <c r="CL13" i="21"/>
  <c r="CJ13" i="21"/>
  <c r="CH13" i="21"/>
  <c r="CF13" i="21"/>
  <c r="CM14" i="21"/>
  <c r="CK14" i="21"/>
  <c r="CI14" i="21"/>
  <c r="CG14" i="21"/>
  <c r="CE14" i="21"/>
  <c r="CN14" i="21"/>
  <c r="CL14" i="21"/>
  <c r="CJ14" i="21"/>
  <c r="CH14" i="21"/>
  <c r="CF14" i="21"/>
  <c r="CM15" i="21"/>
  <c r="CK15" i="21"/>
  <c r="CI15" i="21"/>
  <c r="CG15" i="21"/>
  <c r="CE15" i="21"/>
  <c r="CN15" i="21"/>
  <c r="CL15" i="21"/>
  <c r="CJ15" i="21"/>
  <c r="CH15" i="21"/>
  <c r="CF15" i="21"/>
  <c r="CM16" i="21"/>
  <c r="CK16" i="21"/>
  <c r="CI16" i="21"/>
  <c r="CG16" i="21"/>
  <c r="CE16" i="21"/>
  <c r="CN16" i="21"/>
  <c r="CL16" i="21"/>
  <c r="CJ16" i="21"/>
  <c r="CH16" i="21"/>
  <c r="CF16" i="21"/>
  <c r="CM9" i="20"/>
  <c r="CK9" i="20"/>
  <c r="CI9" i="20"/>
  <c r="CG9" i="20"/>
  <c r="CE9" i="20"/>
  <c r="CN9" i="20"/>
  <c r="CL9" i="20"/>
  <c r="CJ9" i="20"/>
  <c r="CH9" i="20"/>
  <c r="CF9" i="20"/>
  <c r="CN12" i="20"/>
  <c r="CL12" i="20"/>
  <c r="CJ12" i="20"/>
  <c r="CH12" i="20"/>
  <c r="CF12" i="20"/>
  <c r="CM12" i="20"/>
  <c r="CK12" i="20"/>
  <c r="CI12" i="20"/>
  <c r="CG12" i="20"/>
  <c r="CE12" i="20"/>
  <c r="CN14" i="20"/>
  <c r="CL14" i="20"/>
  <c r="CJ14" i="20"/>
  <c r="CH14" i="20"/>
  <c r="CF14" i="20"/>
  <c r="CM14" i="20"/>
  <c r="CK14" i="20"/>
  <c r="CI14" i="20"/>
  <c r="CG14" i="20"/>
  <c r="CE14" i="20"/>
  <c r="CM11" i="20"/>
  <c r="CK11" i="20"/>
  <c r="CI11" i="20"/>
  <c r="CG11" i="20"/>
  <c r="CE11" i="20"/>
  <c r="CN11" i="20"/>
  <c r="CL11" i="20"/>
  <c r="CJ11" i="20"/>
  <c r="CH11" i="20"/>
  <c r="CF11" i="20"/>
  <c r="CM13" i="20"/>
  <c r="CK13" i="20"/>
  <c r="CI13" i="20"/>
  <c r="CG13" i="20"/>
  <c r="CE13" i="20"/>
  <c r="CN13" i="20"/>
  <c r="CL13" i="20"/>
  <c r="CJ13" i="20"/>
  <c r="CH13" i="20"/>
  <c r="CF13" i="20"/>
  <c r="CM15" i="20"/>
  <c r="CK15" i="20"/>
  <c r="CI15" i="20"/>
  <c r="CG15" i="20"/>
  <c r="CE15" i="20"/>
  <c r="CN15" i="20"/>
  <c r="CL15" i="20"/>
  <c r="CJ15" i="20"/>
  <c r="CH15" i="20"/>
  <c r="CF15" i="20"/>
  <c r="CN16" i="20"/>
  <c r="CL16" i="20"/>
  <c r="CJ16" i="20"/>
  <c r="CH16" i="20"/>
  <c r="CF16" i="20"/>
  <c r="CM16" i="20"/>
  <c r="CK16" i="20"/>
  <c r="CI16" i="20"/>
  <c r="CG16" i="20"/>
  <c r="CE16" i="20"/>
  <c r="CN17" i="20"/>
  <c r="CL17" i="20"/>
  <c r="CJ17" i="20"/>
  <c r="CH17" i="20"/>
  <c r="CF17" i="20"/>
  <c r="CM17" i="20"/>
  <c r="CI17" i="20"/>
  <c r="CE17" i="20"/>
  <c r="CK17" i="20"/>
  <c r="CG17" i="20"/>
  <c r="B22" i="2"/>
  <c r="N414" i="2" s="1"/>
  <c r="B412" i="2" l="1"/>
  <c r="K613" i="32"/>
  <c r="K605" i="32"/>
  <c r="K597" i="32"/>
  <c r="K589" i="32"/>
  <c r="K581" i="32"/>
  <c r="K573" i="32"/>
  <c r="K565" i="32"/>
  <c r="K557" i="32"/>
  <c r="K549" i="32"/>
  <c r="K541" i="32"/>
  <c r="K533" i="32"/>
  <c r="K525" i="32"/>
  <c r="K517" i="32"/>
  <c r="K509" i="32"/>
  <c r="K501" i="32"/>
  <c r="K493" i="32"/>
  <c r="K485" i="32"/>
  <c r="K477" i="32"/>
  <c r="K469" i="32"/>
  <c r="K461" i="32"/>
  <c r="K453" i="32"/>
  <c r="K445" i="32"/>
  <c r="K437" i="32"/>
  <c r="K429" i="32"/>
  <c r="K421" i="32"/>
  <c r="K413" i="32"/>
  <c r="K405" i="32"/>
  <c r="K397" i="32"/>
  <c r="K389" i="32"/>
  <c r="K381" i="32"/>
  <c r="K373" i="32"/>
  <c r="K365" i="32"/>
  <c r="K357" i="32"/>
  <c r="K349" i="32"/>
  <c r="K341" i="32"/>
  <c r="K333" i="32"/>
  <c r="K325" i="32"/>
  <c r="K317" i="32"/>
  <c r="K309" i="32"/>
  <c r="K301" i="32"/>
  <c r="K293" i="32"/>
  <c r="K285" i="32"/>
  <c r="K277" i="32"/>
  <c r="K269" i="32"/>
  <c r="K261" i="32"/>
  <c r="K253" i="32"/>
  <c r="K245" i="32"/>
  <c r="K237" i="32"/>
  <c r="K229" i="32"/>
  <c r="K221" i="32"/>
  <c r="K213" i="32"/>
  <c r="K205" i="32"/>
  <c r="K197" i="32"/>
  <c r="K189" i="32"/>
  <c r="K181" i="32"/>
  <c r="K173" i="32"/>
  <c r="K165" i="32"/>
  <c r="K157" i="32"/>
  <c r="K149" i="32"/>
  <c r="K141" i="32"/>
  <c r="K133" i="32"/>
  <c r="K125" i="32"/>
  <c r="K117" i="32"/>
  <c r="K109" i="32"/>
  <c r="K101" i="32"/>
  <c r="K93" i="32"/>
  <c r="K85" i="32"/>
  <c r="K77" i="32"/>
  <c r="K612" i="32"/>
  <c r="K604" i="32"/>
  <c r="K596" i="32"/>
  <c r="K588" i="32"/>
  <c r="K580" i="32"/>
  <c r="K572" i="32"/>
  <c r="K564" i="32"/>
  <c r="K556" i="32"/>
  <c r="K548" i="32"/>
  <c r="K540" i="32"/>
  <c r="K532" i="32"/>
  <c r="K524" i="32"/>
  <c r="K516" i="32"/>
  <c r="K508" i="32"/>
  <c r="K500" i="32"/>
  <c r="K492" i="32"/>
  <c r="K484" i="32"/>
  <c r="K476" i="32"/>
  <c r="K468" i="32"/>
  <c r="K460" i="32"/>
  <c r="K452" i="32"/>
  <c r="K444" i="32"/>
  <c r="K436" i="32"/>
  <c r="K428" i="32"/>
  <c r="K420" i="32"/>
  <c r="K412" i="32"/>
  <c r="K404" i="32"/>
  <c r="K396" i="32"/>
  <c r="K388" i="32"/>
  <c r="K380" i="32"/>
  <c r="K372" i="32"/>
  <c r="K364" i="32"/>
  <c r="K356" i="32"/>
  <c r="K348" i="32"/>
  <c r="K340" i="32"/>
  <c r="K332" i="32"/>
  <c r="K324" i="32"/>
  <c r="K316" i="32"/>
  <c r="K308" i="32"/>
  <c r="K300" i="32"/>
  <c r="K292" i="32"/>
  <c r="K284" i="32"/>
  <c r="K276" i="32"/>
  <c r="K268" i="32"/>
  <c r="K260" i="32"/>
  <c r="K252" i="32"/>
  <c r="K244" i="32"/>
  <c r="K236" i="32"/>
  <c r="K228" i="32"/>
  <c r="K220" i="32"/>
  <c r="K212" i="32"/>
  <c r="K204" i="32"/>
  <c r="K196" i="32"/>
  <c r="K188" i="32"/>
  <c r="K180" i="32"/>
  <c r="K172" i="32"/>
  <c r="K164" i="32"/>
  <c r="K156" i="32"/>
  <c r="K148" i="32"/>
  <c r="K140" i="32"/>
  <c r="K132" i="32"/>
  <c r="K124" i="32"/>
  <c r="K116" i="32"/>
  <c r="K108" i="32"/>
  <c r="K100" i="32"/>
  <c r="K92" i="32"/>
  <c r="K84" i="32"/>
  <c r="K611" i="32"/>
  <c r="K603" i="32"/>
  <c r="K595" i="32"/>
  <c r="K587" i="32"/>
  <c r="K579" i="32"/>
  <c r="K571" i="32"/>
  <c r="K563" i="32"/>
  <c r="K555" i="32"/>
  <c r="K547" i="32"/>
  <c r="K539" i="32"/>
  <c r="K531" i="32"/>
  <c r="K523" i="32"/>
  <c r="K515" i="32"/>
  <c r="K507" i="32"/>
  <c r="K499" i="32"/>
  <c r="K491" i="32"/>
  <c r="K483" i="32"/>
  <c r="K475" i="32"/>
  <c r="K467" i="32"/>
  <c r="K459" i="32"/>
  <c r="K451" i="32"/>
  <c r="K443" i="32"/>
  <c r="K435" i="32"/>
  <c r="K427" i="32"/>
  <c r="K419" i="32"/>
  <c r="K411" i="32"/>
  <c r="K403" i="32"/>
  <c r="K395" i="32"/>
  <c r="K387" i="32"/>
  <c r="K379" i="32"/>
  <c r="K371" i="32"/>
  <c r="K363" i="32"/>
  <c r="K355" i="32"/>
  <c r="K347" i="32"/>
  <c r="K339" i="32"/>
  <c r="K331" i="32"/>
  <c r="K323" i="32"/>
  <c r="K315" i="32"/>
  <c r="K307" i="32"/>
  <c r="K299" i="32"/>
  <c r="K291" i="32"/>
  <c r="K283" i="32"/>
  <c r="K275" i="32"/>
  <c r="K267" i="32"/>
  <c r="K259" i="32"/>
  <c r="K251" i="32"/>
  <c r="K243" i="32"/>
  <c r="K235" i="32"/>
  <c r="K227" i="32"/>
  <c r="K219" i="32"/>
  <c r="K211" i="32"/>
  <c r="K203" i="32"/>
  <c r="K195" i="32"/>
  <c r="K187" i="32"/>
  <c r="K179" i="32"/>
  <c r="K171" i="32"/>
  <c r="K163" i="32"/>
  <c r="K155" i="32"/>
  <c r="K147" i="32"/>
  <c r="K139" i="32"/>
  <c r="K131" i="32"/>
  <c r="K123" i="32"/>
  <c r="K115" i="32"/>
  <c r="K107" i="32"/>
  <c r="K99" i="32"/>
  <c r="K91" i="32"/>
  <c r="K83" i="32"/>
  <c r="K75" i="32"/>
  <c r="K67" i="32"/>
  <c r="K59" i="32"/>
  <c r="K51" i="32"/>
  <c r="K43" i="32"/>
  <c r="K35" i="32"/>
  <c r="K27" i="32"/>
  <c r="K19" i="32"/>
  <c r="K130" i="32"/>
  <c r="K114" i="32"/>
  <c r="K98" i="32"/>
  <c r="K90" i="32"/>
  <c r="K74" i="32"/>
  <c r="K66" i="32"/>
  <c r="K50" i="32"/>
  <c r="K42" i="32"/>
  <c r="K26" i="32"/>
  <c r="K610" i="32"/>
  <c r="K602" i="32"/>
  <c r="K594" i="32"/>
  <c r="K586" i="32"/>
  <c r="K578" i="32"/>
  <c r="K570" i="32"/>
  <c r="K562" i="32"/>
  <c r="K554" i="32"/>
  <c r="K546" i="32"/>
  <c r="K538" i="32"/>
  <c r="K530" i="32"/>
  <c r="K522" i="32"/>
  <c r="K514" i="32"/>
  <c r="K506" i="32"/>
  <c r="K498" i="32"/>
  <c r="K490" i="32"/>
  <c r="K482" i="32"/>
  <c r="K474" i="32"/>
  <c r="K466" i="32"/>
  <c r="K458" i="32"/>
  <c r="K450" i="32"/>
  <c r="K442" i="32"/>
  <c r="K434" i="32"/>
  <c r="K426" i="32"/>
  <c r="K418" i="32"/>
  <c r="K410" i="32"/>
  <c r="K402" i="32"/>
  <c r="K394" i="32"/>
  <c r="K386" i="32"/>
  <c r="K378" i="32"/>
  <c r="K370" i="32"/>
  <c r="K362" i="32"/>
  <c r="K354" i="32"/>
  <c r="K346" i="32"/>
  <c r="K338" i="32"/>
  <c r="K330" i="32"/>
  <c r="K322" i="32"/>
  <c r="K314" i="32"/>
  <c r="K306" i="32"/>
  <c r="K298" i="32"/>
  <c r="K290" i="32"/>
  <c r="K282" i="32"/>
  <c r="K274" i="32"/>
  <c r="K266" i="32"/>
  <c r="K258" i="32"/>
  <c r="K250" i="32"/>
  <c r="K242" i="32"/>
  <c r="K234" i="32"/>
  <c r="K226" i="32"/>
  <c r="K218" i="32"/>
  <c r="K210" i="32"/>
  <c r="K202" i="32"/>
  <c r="K194" i="32"/>
  <c r="K186" i="32"/>
  <c r="K178" i="32"/>
  <c r="K170" i="32"/>
  <c r="K162" i="32"/>
  <c r="K154" i="32"/>
  <c r="K146" i="32"/>
  <c r="K138" i="32"/>
  <c r="K122" i="32"/>
  <c r="K106" i="32"/>
  <c r="K82" i="32"/>
  <c r="K58" i="32"/>
  <c r="K34" i="32"/>
  <c r="K609" i="32"/>
  <c r="K601" i="32"/>
  <c r="K593" i="32"/>
  <c r="K585" i="32"/>
  <c r="K577" i="32"/>
  <c r="K569" i="32"/>
  <c r="K561" i="32"/>
  <c r="K553" i="32"/>
  <c r="K545" i="32"/>
  <c r="K537" i="32"/>
  <c r="K529" i="32"/>
  <c r="K521" i="32"/>
  <c r="K513" i="32"/>
  <c r="K505" i="32"/>
  <c r="K497" i="32"/>
  <c r="K489" i="32"/>
  <c r="K481" i="32"/>
  <c r="K473" i="32"/>
  <c r="K465" i="32"/>
  <c r="K457" i="32"/>
  <c r="K449" i="32"/>
  <c r="K441" i="32"/>
  <c r="K433" i="32"/>
  <c r="K425" i="32"/>
  <c r="K417" i="32"/>
  <c r="K409" i="32"/>
  <c r="K401" i="32"/>
  <c r="K393" i="32"/>
  <c r="K385" i="32"/>
  <c r="K377" i="32"/>
  <c r="K369" i="32"/>
  <c r="K361" i="32"/>
  <c r="K353" i="32"/>
  <c r="K345" i="32"/>
  <c r="K337" i="32"/>
  <c r="K329" i="32"/>
  <c r="K321" i="32"/>
  <c r="K313" i="32"/>
  <c r="K305" i="32"/>
  <c r="K297" i="32"/>
  <c r="K289" i="32"/>
  <c r="K281" i="32"/>
  <c r="K273" i="32"/>
  <c r="K265" i="32"/>
  <c r="K257" i="32"/>
  <c r="K249" i="32"/>
  <c r="K241" i="32"/>
  <c r="K233" i="32"/>
  <c r="K225" i="32"/>
  <c r="K217" i="32"/>
  <c r="K209" i="32"/>
  <c r="K201" i="32"/>
  <c r="K193" i="32"/>
  <c r="K185" i="32"/>
  <c r="K177" i="32"/>
  <c r="K169" i="32"/>
  <c r="K161" i="32"/>
  <c r="K153" i="32"/>
  <c r="K145" i="32"/>
  <c r="K137" i="32"/>
  <c r="K129" i="32"/>
  <c r="K121" i="32"/>
  <c r="K113" i="32"/>
  <c r="K105" i="32"/>
  <c r="K97" i="32"/>
  <c r="K89" i="32"/>
  <c r="K81" i="32"/>
  <c r="K607" i="32"/>
  <c r="K599" i="32"/>
  <c r="K591" i="32"/>
  <c r="K583" i="32"/>
  <c r="K575" i="32"/>
  <c r="K567" i="32"/>
  <c r="K559" i="32"/>
  <c r="K551" i="32"/>
  <c r="K543" i="32"/>
  <c r="K535" i="32"/>
  <c r="K527" i="32"/>
  <c r="K519" i="32"/>
  <c r="K511" i="32"/>
  <c r="K503" i="32"/>
  <c r="K495" i="32"/>
  <c r="K487" i="32"/>
  <c r="K479" i="32"/>
  <c r="K471" i="32"/>
  <c r="K463" i="32"/>
  <c r="K455" i="32"/>
  <c r="K447" i="32"/>
  <c r="K439" i="32"/>
  <c r="K431" i="32"/>
  <c r="K423" i="32"/>
  <c r="K415" i="32"/>
  <c r="K407" i="32"/>
  <c r="K399" i="32"/>
  <c r="K391" i="32"/>
  <c r="K383" i="32"/>
  <c r="K375" i="32"/>
  <c r="K367" i="32"/>
  <c r="K359" i="32"/>
  <c r="K351" i="32"/>
  <c r="K343" i="32"/>
  <c r="K335" i="32"/>
  <c r="K327" i="32"/>
  <c r="K319" i="32"/>
  <c r="K311" i="32"/>
  <c r="K303" i="32"/>
  <c r="K295" i="32"/>
  <c r="K287" i="32"/>
  <c r="K279" i="32"/>
  <c r="K271" i="32"/>
  <c r="K263" i="32"/>
  <c r="K255" i="32"/>
  <c r="K247" i="32"/>
  <c r="K239" i="32"/>
  <c r="K231" i="32"/>
  <c r="K223" i="32"/>
  <c r="K215" i="32"/>
  <c r="K207" i="32"/>
  <c r="K199" i="32"/>
  <c r="K191" i="32"/>
  <c r="K183" i="32"/>
  <c r="K175" i="32"/>
  <c r="K167" i="32"/>
  <c r="K159" i="32"/>
  <c r="K151" i="32"/>
  <c r="K143" i="32"/>
  <c r="K135" i="32"/>
  <c r="K127" i="32"/>
  <c r="K119" i="32"/>
  <c r="K111" i="32"/>
  <c r="K103" i="32"/>
  <c r="K95" i="32"/>
  <c r="K87" i="32"/>
  <c r="K79" i="32"/>
  <c r="K71" i="32"/>
  <c r="K63" i="32"/>
  <c r="K55" i="32"/>
  <c r="K47" i="32"/>
  <c r="K39" i="32"/>
  <c r="K31" i="32"/>
  <c r="K23" i="32"/>
  <c r="K15" i="32"/>
  <c r="K606" i="32"/>
  <c r="K598" i="32"/>
  <c r="K590" i="32"/>
  <c r="K582" i="32"/>
  <c r="K566" i="32"/>
  <c r="K534" i="32"/>
  <c r="K502" i="32"/>
  <c r="K470" i="32"/>
  <c r="K438" i="32"/>
  <c r="K406" i="32"/>
  <c r="K374" i="32"/>
  <c r="K342" i="32"/>
  <c r="K310" i="32"/>
  <c r="K278" i="32"/>
  <c r="K246" i="32"/>
  <c r="K214" i="32"/>
  <c r="K182" i="32"/>
  <c r="K150" i="32"/>
  <c r="K118" i="32"/>
  <c r="K86" i="32"/>
  <c r="K68" i="32"/>
  <c r="K54" i="32"/>
  <c r="K41" i="32"/>
  <c r="K29" i="32"/>
  <c r="K17" i="32"/>
  <c r="K416" i="32"/>
  <c r="K288" i="32"/>
  <c r="K96" i="32"/>
  <c r="K21" i="32"/>
  <c r="K152" i="32"/>
  <c r="K608" i="32"/>
  <c r="K560" i="32"/>
  <c r="K528" i="32"/>
  <c r="K496" i="32"/>
  <c r="K464" i="32"/>
  <c r="K432" i="32"/>
  <c r="K400" i="32"/>
  <c r="K368" i="32"/>
  <c r="K336" i="32"/>
  <c r="K304" i="32"/>
  <c r="K272" i="32"/>
  <c r="K240" i="32"/>
  <c r="K208" i="32"/>
  <c r="K176" i="32"/>
  <c r="K144" i="32"/>
  <c r="K112" i="32"/>
  <c r="K80" i="32"/>
  <c r="K65" i="32"/>
  <c r="K53" i="32"/>
  <c r="K40" i="32"/>
  <c r="K28" i="32"/>
  <c r="K16" i="32"/>
  <c r="K448" i="32"/>
  <c r="K256" i="32"/>
  <c r="K72" i="32"/>
  <c r="K280" i="32"/>
  <c r="K69" i="32"/>
  <c r="K600" i="32"/>
  <c r="K558" i="32"/>
  <c r="K526" i="32"/>
  <c r="K494" i="32"/>
  <c r="K462" i="32"/>
  <c r="K430" i="32"/>
  <c r="K398" i="32"/>
  <c r="K366" i="32"/>
  <c r="K334" i="32"/>
  <c r="K302" i="32"/>
  <c r="K270" i="32"/>
  <c r="K238" i="32"/>
  <c r="K206" i="32"/>
  <c r="K174" i="32"/>
  <c r="K142" i="32"/>
  <c r="K110" i="32"/>
  <c r="K78" i="32"/>
  <c r="K64" i="32"/>
  <c r="K52" i="32"/>
  <c r="K38" i="32"/>
  <c r="K25" i="32"/>
  <c r="K14" i="32"/>
  <c r="K37" i="32"/>
  <c r="K24" i="32"/>
  <c r="K36" i="32"/>
  <c r="K544" i="32"/>
  <c r="K480" i="32"/>
  <c r="K384" i="32"/>
  <c r="K224" i="32"/>
  <c r="K128" i="32"/>
  <c r="K60" i="32"/>
  <c r="K248" i="32"/>
  <c r="K88" i="32"/>
  <c r="K18" i="32"/>
  <c r="K592" i="32"/>
  <c r="K552" i="32"/>
  <c r="K520" i="32"/>
  <c r="K488" i="32"/>
  <c r="K456" i="32"/>
  <c r="K424" i="32"/>
  <c r="K392" i="32"/>
  <c r="K360" i="32"/>
  <c r="K328" i="32"/>
  <c r="K296" i="32"/>
  <c r="K264" i="32"/>
  <c r="K232" i="32"/>
  <c r="K200" i="32"/>
  <c r="K168" i="32"/>
  <c r="K136" i="32"/>
  <c r="K104" i="32"/>
  <c r="K76" i="32"/>
  <c r="K62" i="32"/>
  <c r="K49" i="32"/>
  <c r="K13" i="32"/>
  <c r="K576" i="32"/>
  <c r="K352" i="32"/>
  <c r="K192" i="32"/>
  <c r="K46" i="32"/>
  <c r="K216" i="32"/>
  <c r="K56" i="32"/>
  <c r="K584" i="32"/>
  <c r="K550" i="32"/>
  <c r="K518" i="32"/>
  <c r="K486" i="32"/>
  <c r="K454" i="32"/>
  <c r="K422" i="32"/>
  <c r="K390" i="32"/>
  <c r="K358" i="32"/>
  <c r="K326" i="32"/>
  <c r="K294" i="32"/>
  <c r="K262" i="32"/>
  <c r="K230" i="32"/>
  <c r="K198" i="32"/>
  <c r="K166" i="32"/>
  <c r="K134" i="32"/>
  <c r="K102" i="32"/>
  <c r="K73" i="32"/>
  <c r="K61" i="32"/>
  <c r="K48" i="32"/>
  <c r="K22" i="32"/>
  <c r="K512" i="32"/>
  <c r="K320" i="32"/>
  <c r="K160" i="32"/>
  <c r="K33" i="32"/>
  <c r="K184" i="32"/>
  <c r="K30" i="32"/>
  <c r="K574" i="32"/>
  <c r="K542" i="32"/>
  <c r="K510" i="32"/>
  <c r="K478" i="32"/>
  <c r="K446" i="32"/>
  <c r="K414" i="32"/>
  <c r="K382" i="32"/>
  <c r="K350" i="32"/>
  <c r="K318" i="32"/>
  <c r="K286" i="32"/>
  <c r="K254" i="32"/>
  <c r="K222" i="32"/>
  <c r="K190" i="32"/>
  <c r="K158" i="32"/>
  <c r="K126" i="32"/>
  <c r="K94" i="32"/>
  <c r="K70" i="32"/>
  <c r="K57" i="32"/>
  <c r="K45" i="32"/>
  <c r="K32" i="32"/>
  <c r="K20" i="32"/>
  <c r="K568" i="32"/>
  <c r="K536" i="32"/>
  <c r="K504" i="32"/>
  <c r="K472" i="32"/>
  <c r="K440" i="32"/>
  <c r="K408" i="32"/>
  <c r="K376" i="32"/>
  <c r="K344" i="32"/>
  <c r="K312" i="32"/>
  <c r="K120" i="32"/>
  <c r="K44" i="32"/>
  <c r="R3" i="32"/>
  <c r="O3" i="31"/>
  <c r="K624" i="32"/>
  <c r="K625" i="32"/>
  <c r="B26" i="2"/>
  <c r="N6" i="26"/>
  <c r="N9" i="26" s="1"/>
  <c r="K3" i="8" s="1"/>
  <c r="Q23" i="8" s="1"/>
  <c r="O68" i="2"/>
  <c r="B272" i="2"/>
  <c r="O66" i="2"/>
  <c r="O65" i="2"/>
  <c r="B70" i="2" s="1"/>
  <c r="B296" i="2"/>
  <c r="B13" i="21"/>
  <c r="B78" i="21"/>
  <c r="B23" i="2"/>
  <c r="B13" i="20"/>
  <c r="B78" i="20"/>
  <c r="B465" i="2"/>
  <c r="B360" i="2"/>
  <c r="B293" i="2"/>
  <c r="D62" i="16"/>
  <c r="B33" i="21" l="1"/>
  <c r="B33" i="20"/>
  <c r="B626" i="31"/>
  <c r="O5" i="31"/>
  <c r="E636" i="31"/>
  <c r="R5" i="32"/>
  <c r="G636" i="32"/>
  <c r="D626" i="32"/>
  <c r="I3" i="8"/>
  <c r="Q36" i="8"/>
  <c r="I63" i="16"/>
  <c r="I62" i="16"/>
  <c r="AM626" i="32" l="1"/>
  <c r="AJ626" i="32"/>
  <c r="K626" i="32"/>
  <c r="AP626" i="32"/>
  <c r="D63" i="16"/>
  <c r="C68" i="16"/>
  <c r="D68" i="16" s="1"/>
  <c r="D70" i="16"/>
  <c r="D74" i="16"/>
  <c r="C61" i="16"/>
  <c r="D59" i="16"/>
  <c r="D56" i="16"/>
  <c r="D55" i="16"/>
  <c r="D58" i="16"/>
  <c r="D53" i="16"/>
  <c r="D49" i="16"/>
  <c r="B502" i="2"/>
  <c r="B218" i="2"/>
  <c r="B220" i="2" s="1"/>
  <c r="B221" i="2" s="1"/>
  <c r="B228" i="2"/>
  <c r="AR626" i="32" l="1"/>
  <c r="AQ626" i="32"/>
  <c r="AL626" i="32"/>
  <c r="AK626" i="32"/>
  <c r="AO626" i="32"/>
  <c r="AN626" i="32"/>
  <c r="F76" i="1"/>
  <c r="B181" i="2" l="1"/>
  <c r="B365" i="2"/>
  <c r="B369" i="2" s="1"/>
  <c r="B12" i="2"/>
  <c r="B13" i="2"/>
  <c r="B7" i="30" s="1"/>
  <c r="B72" i="2"/>
  <c r="B10" i="30" s="1"/>
  <c r="B191" i="2"/>
  <c r="B451" i="2"/>
  <c r="B422" i="2"/>
  <c r="B42" i="21" s="1"/>
  <c r="B477" i="2"/>
  <c r="B484" i="2"/>
  <c r="B73" i="2"/>
  <c r="B10" i="32" s="1"/>
  <c r="B7" i="2"/>
  <c r="B197" i="2"/>
  <c r="B417" i="2"/>
  <c r="B37" i="21" s="1"/>
  <c r="B434" i="2"/>
  <c r="Q9" i="8"/>
  <c r="B447" i="2"/>
  <c r="B450" i="2"/>
  <c r="B58" i="21" s="1"/>
  <c r="B444" i="2"/>
  <c r="B419" i="2"/>
  <c r="B436" i="2"/>
  <c r="B445" i="2"/>
  <c r="B427" i="2"/>
  <c r="B420" i="2"/>
  <c r="B421" i="2"/>
  <c r="B41" i="21" s="1"/>
  <c r="B424" i="2"/>
  <c r="B423" i="2"/>
  <c r="B43" i="21" s="1"/>
  <c r="B524" i="2"/>
  <c r="B430" i="2"/>
  <c r="B398" i="2"/>
  <c r="B202" i="2"/>
  <c r="B418" i="2"/>
  <c r="B435" i="2"/>
  <c r="D6" i="6"/>
  <c r="D7" i="6"/>
  <c r="D9" i="6"/>
  <c r="D10" i="6"/>
  <c r="D2" i="11"/>
  <c r="D3" i="11"/>
  <c r="B5" i="11"/>
  <c r="D5" i="11" s="1"/>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39" i="8"/>
  <c r="A40" i="8"/>
  <c r="A41" i="8"/>
  <c r="A42" i="8"/>
  <c r="A54" i="8" s="1"/>
  <c r="A66" i="8" s="1"/>
  <c r="A78" i="8" s="1"/>
  <c r="A90" i="8" s="1"/>
  <c r="A102" i="8" s="1"/>
  <c r="A114" i="8" s="1"/>
  <c r="A126" i="8" s="1"/>
  <c r="A138" i="8" s="1"/>
  <c r="A150" i="8" s="1"/>
  <c r="A43" i="8"/>
  <c r="A55" i="8" s="1"/>
  <c r="A67" i="8" s="1"/>
  <c r="A79" i="8" s="1"/>
  <c r="A91" i="8" s="1"/>
  <c r="A103" i="8" s="1"/>
  <c r="A115" i="8" s="1"/>
  <c r="A127" i="8" s="1"/>
  <c r="A139" i="8" s="1"/>
  <c r="A151" i="8" s="1"/>
  <c r="A44" i="8"/>
  <c r="A56" i="8" s="1"/>
  <c r="A68" i="8" s="1"/>
  <c r="A80" i="8" s="1"/>
  <c r="A92" i="8" s="1"/>
  <c r="A104" i="8" s="1"/>
  <c r="A116" i="8" s="1"/>
  <c r="A128" i="8" s="1"/>
  <c r="A140" i="8" s="1"/>
  <c r="A152" i="8" s="1"/>
  <c r="A45" i="8"/>
  <c r="A57" i="8" s="1"/>
  <c r="A69" i="8" s="1"/>
  <c r="A81" i="8" s="1"/>
  <c r="A93" i="8" s="1"/>
  <c r="A105" i="8" s="1"/>
  <c r="A117" i="8" s="1"/>
  <c r="A129" i="8" s="1"/>
  <c r="A141" i="8" s="1"/>
  <c r="A153" i="8" s="1"/>
  <c r="A50" i="8"/>
  <c r="A62" i="8" s="1"/>
  <c r="A74" i="8" s="1"/>
  <c r="A86" i="8" s="1"/>
  <c r="A98" i="8" s="1"/>
  <c r="A110" i="8" s="1"/>
  <c r="A122" i="8" s="1"/>
  <c r="A134" i="8" s="1"/>
  <c r="A146" i="8" s="1"/>
  <c r="A158" i="8" s="1"/>
  <c r="A51" i="8"/>
  <c r="A63" i="8" s="1"/>
  <c r="A75" i="8" s="1"/>
  <c r="A87" i="8" s="1"/>
  <c r="A99" i="8" s="1"/>
  <c r="A111" i="8" s="1"/>
  <c r="A123" i="8" s="1"/>
  <c r="A135" i="8" s="1"/>
  <c r="A147" i="8" s="1"/>
  <c r="A159" i="8" s="1"/>
  <c r="A52" i="8"/>
  <c r="A64" i="8" s="1"/>
  <c r="A76" i="8" s="1"/>
  <c r="A88" i="8" s="1"/>
  <c r="A100" i="8" s="1"/>
  <c r="A112" i="8" s="1"/>
  <c r="A124" i="8" s="1"/>
  <c r="A136" i="8" s="1"/>
  <c r="A148" i="8" s="1"/>
  <c r="A53" i="8"/>
  <c r="A65" i="8" s="1"/>
  <c r="A77" i="8" s="1"/>
  <c r="A89" i="8" s="1"/>
  <c r="A101" i="8" s="1"/>
  <c r="A113" i="8" s="1"/>
  <c r="A125" i="8" s="1"/>
  <c r="A137" i="8" s="1"/>
  <c r="A149" i="8" s="1"/>
  <c r="L3" i="8"/>
  <c r="B82" i="2"/>
  <c r="B173" i="2" s="1"/>
  <c r="A482" i="2"/>
  <c r="B482" i="2"/>
  <c r="A502" i="2"/>
  <c r="B523" i="2"/>
  <c r="AA25" i="30" l="1"/>
  <c r="AB25" i="30"/>
  <c r="AB26" i="30" s="1"/>
  <c r="E625" i="32"/>
  <c r="E624" i="32"/>
  <c r="E626" i="32"/>
  <c r="B2" i="32"/>
  <c r="B12" i="32"/>
  <c r="B30" i="32"/>
  <c r="B32" i="32" s="1"/>
  <c r="B11" i="32"/>
  <c r="B9" i="32"/>
  <c r="B8" i="32"/>
  <c r="B31" i="32"/>
  <c r="E611" i="32"/>
  <c r="E603" i="32"/>
  <c r="E595" i="32"/>
  <c r="E587" i="32"/>
  <c r="E579" i="32"/>
  <c r="E571" i="32"/>
  <c r="E563" i="32"/>
  <c r="E555" i="32"/>
  <c r="E547" i="32"/>
  <c r="E539" i="32"/>
  <c r="E531" i="32"/>
  <c r="E523" i="32"/>
  <c r="E515" i="32"/>
  <c r="E507" i="32"/>
  <c r="E499" i="32"/>
  <c r="E491" i="32"/>
  <c r="E483" i="32"/>
  <c r="E475" i="32"/>
  <c r="E467" i="32"/>
  <c r="E459" i="32"/>
  <c r="E451" i="32"/>
  <c r="E443" i="32"/>
  <c r="E435" i="32"/>
  <c r="E427" i="32"/>
  <c r="E419" i="32"/>
  <c r="E411" i="32"/>
  <c r="E403" i="32"/>
  <c r="E395" i="32"/>
  <c r="E387" i="32"/>
  <c r="E379" i="32"/>
  <c r="E371" i="32"/>
  <c r="E363" i="32"/>
  <c r="E355" i="32"/>
  <c r="E347" i="32"/>
  <c r="E339" i="32"/>
  <c r="E331" i="32"/>
  <c r="E323" i="32"/>
  <c r="E315" i="32"/>
  <c r="E307" i="32"/>
  <c r="E299" i="32"/>
  <c r="E291" i="32"/>
  <c r="E283" i="32"/>
  <c r="E275" i="32"/>
  <c r="E267" i="32"/>
  <c r="E259" i="32"/>
  <c r="E251" i="32"/>
  <c r="E243" i="32"/>
  <c r="E235" i="32"/>
  <c r="E227" i="32"/>
  <c r="E219" i="32"/>
  <c r="E211" i="32"/>
  <c r="E203" i="32"/>
  <c r="E195" i="32"/>
  <c r="E187" i="32"/>
  <c r="E179" i="32"/>
  <c r="E171" i="32"/>
  <c r="E610" i="32"/>
  <c r="E602" i="32"/>
  <c r="E594" i="32"/>
  <c r="E586" i="32"/>
  <c r="E578" i="32"/>
  <c r="E570" i="32"/>
  <c r="E562" i="32"/>
  <c r="E554" i="32"/>
  <c r="E546" i="32"/>
  <c r="E538" i="32"/>
  <c r="E530" i="32"/>
  <c r="E522" i="32"/>
  <c r="E514" i="32"/>
  <c r="E506" i="32"/>
  <c r="E498" i="32"/>
  <c r="E490" i="32"/>
  <c r="E482" i="32"/>
  <c r="E474" i="32"/>
  <c r="E466" i="32"/>
  <c r="E458" i="32"/>
  <c r="E450" i="32"/>
  <c r="E442" i="32"/>
  <c r="E434" i="32"/>
  <c r="E426" i="32"/>
  <c r="E418" i="32"/>
  <c r="E410" i="32"/>
  <c r="E402" i="32"/>
  <c r="E394" i="32"/>
  <c r="E386" i="32"/>
  <c r="E378" i="32"/>
  <c r="E370" i="32"/>
  <c r="E362" i="32"/>
  <c r="E354" i="32"/>
  <c r="E346" i="32"/>
  <c r="E338" i="32"/>
  <c r="E330" i="32"/>
  <c r="E322" i="32"/>
  <c r="E314" i="32"/>
  <c r="E306" i="32"/>
  <c r="E298" i="32"/>
  <c r="E290" i="32"/>
  <c r="E282" i="32"/>
  <c r="E274" i="32"/>
  <c r="E266" i="32"/>
  <c r="E258" i="32"/>
  <c r="E250" i="32"/>
  <c r="E242" i="32"/>
  <c r="E234" i="32"/>
  <c r="E226" i="32"/>
  <c r="E218" i="32"/>
  <c r="E210" i="32"/>
  <c r="E202" i="32"/>
  <c r="E194" i="32"/>
  <c r="E186" i="32"/>
  <c r="E178" i="32"/>
  <c r="E170" i="32"/>
  <c r="E609" i="32"/>
  <c r="E601" i="32"/>
  <c r="E593" i="32"/>
  <c r="E585" i="32"/>
  <c r="E577" i="32"/>
  <c r="E569" i="32"/>
  <c r="E561" i="32"/>
  <c r="E553" i="32"/>
  <c r="E545" i="32"/>
  <c r="E537" i="32"/>
  <c r="E529" i="32"/>
  <c r="E521" i="32"/>
  <c r="E513" i="32"/>
  <c r="E505" i="32"/>
  <c r="E497" i="32"/>
  <c r="E489" i="32"/>
  <c r="E481" i="32"/>
  <c r="E473" i="32"/>
  <c r="E465" i="32"/>
  <c r="E457" i="32"/>
  <c r="E449" i="32"/>
  <c r="E441" i="32"/>
  <c r="E433" i="32"/>
  <c r="E425" i="32"/>
  <c r="E417" i="32"/>
  <c r="E409" i="32"/>
  <c r="E401" i="32"/>
  <c r="E393" i="32"/>
  <c r="E385" i="32"/>
  <c r="E377" i="32"/>
  <c r="E369" i="32"/>
  <c r="E361" i="32"/>
  <c r="E353" i="32"/>
  <c r="E345" i="32"/>
  <c r="E337" i="32"/>
  <c r="E329" i="32"/>
  <c r="E321" i="32"/>
  <c r="E313" i="32"/>
  <c r="E305" i="32"/>
  <c r="E297" i="32"/>
  <c r="E289" i="32"/>
  <c r="E281" i="32"/>
  <c r="E273" i="32"/>
  <c r="E265" i="32"/>
  <c r="E257" i="32"/>
  <c r="E249" i="32"/>
  <c r="E241" i="32"/>
  <c r="E233" i="32"/>
  <c r="E225" i="32"/>
  <c r="E217" i="32"/>
  <c r="E209" i="32"/>
  <c r="E201" i="32"/>
  <c r="E193" i="32"/>
  <c r="E185" i="32"/>
  <c r="E177" i="32"/>
  <c r="E169" i="32"/>
  <c r="E608" i="32"/>
  <c r="E600" i="32"/>
  <c r="E592" i="32"/>
  <c r="E584" i="32"/>
  <c r="E576" i="32"/>
  <c r="E568" i="32"/>
  <c r="E560" i="32"/>
  <c r="E552" i="32"/>
  <c r="E544" i="32"/>
  <c r="E536" i="32"/>
  <c r="E528" i="32"/>
  <c r="E520" i="32"/>
  <c r="E512" i="32"/>
  <c r="E504" i="32"/>
  <c r="E496" i="32"/>
  <c r="E488" i="32"/>
  <c r="E480" i="32"/>
  <c r="E472" i="32"/>
  <c r="E464" i="32"/>
  <c r="E456" i="32"/>
  <c r="E448" i="32"/>
  <c r="E440" i="32"/>
  <c r="E432" i="32"/>
  <c r="E424" i="32"/>
  <c r="E416" i="32"/>
  <c r="E408" i="32"/>
  <c r="E400" i="32"/>
  <c r="E392" i="32"/>
  <c r="E384" i="32"/>
  <c r="E376" i="32"/>
  <c r="E368" i="32"/>
  <c r="E360" i="32"/>
  <c r="E352" i="32"/>
  <c r="E344" i="32"/>
  <c r="E336" i="32"/>
  <c r="E328" i="32"/>
  <c r="E320" i="32"/>
  <c r="E312" i="32"/>
  <c r="E304" i="32"/>
  <c r="E296" i="32"/>
  <c r="E288" i="32"/>
  <c r="E280" i="32"/>
  <c r="E272" i="32"/>
  <c r="E264" i="32"/>
  <c r="E256" i="32"/>
  <c r="E248" i="32"/>
  <c r="E240" i="32"/>
  <c r="E232" i="32"/>
  <c r="E224" i="32"/>
  <c r="E216" i="32"/>
  <c r="E208" i="32"/>
  <c r="E200" i="32"/>
  <c r="E192" i="32"/>
  <c r="E184" i="32"/>
  <c r="E176" i="32"/>
  <c r="E607" i="32"/>
  <c r="E599" i="32"/>
  <c r="E591" i="32"/>
  <c r="E583" i="32"/>
  <c r="E575" i="32"/>
  <c r="E567" i="32"/>
  <c r="E559" i="32"/>
  <c r="E551" i="32"/>
  <c r="E543" i="32"/>
  <c r="E535" i="32"/>
  <c r="E527" i="32"/>
  <c r="E519" i="32"/>
  <c r="E511" i="32"/>
  <c r="E503" i="32"/>
  <c r="E495" i="32"/>
  <c r="E487" i="32"/>
  <c r="E479" i="32"/>
  <c r="E471" i="32"/>
  <c r="E463" i="32"/>
  <c r="E455" i="32"/>
  <c r="E447" i="32"/>
  <c r="E439" i="32"/>
  <c r="E431" i="32"/>
  <c r="E423" i="32"/>
  <c r="E415" i="32"/>
  <c r="E407" i="32"/>
  <c r="E399" i="32"/>
  <c r="E391" i="32"/>
  <c r="E383" i="32"/>
  <c r="E375" i="32"/>
  <c r="E367" i="32"/>
  <c r="E359" i="32"/>
  <c r="E351" i="32"/>
  <c r="E343" i="32"/>
  <c r="E335" i="32"/>
  <c r="E327" i="32"/>
  <c r="E319" i="32"/>
  <c r="E311" i="32"/>
  <c r="E303" i="32"/>
  <c r="E295" i="32"/>
  <c r="E287" i="32"/>
  <c r="E279" i="32"/>
  <c r="E271" i="32"/>
  <c r="E263" i="32"/>
  <c r="E255" i="32"/>
  <c r="E247" i="32"/>
  <c r="E239" i="32"/>
  <c r="E231" i="32"/>
  <c r="E223" i="32"/>
  <c r="E215" i="32"/>
  <c r="E207" i="32"/>
  <c r="E199" i="32"/>
  <c r="E191" i="32"/>
  <c r="E183" i="32"/>
  <c r="E175" i="32"/>
  <c r="E167" i="32"/>
  <c r="E606" i="32"/>
  <c r="E598" i="32"/>
  <c r="E590" i="32"/>
  <c r="E582" i="32"/>
  <c r="E574" i="32"/>
  <c r="E566" i="32"/>
  <c r="E558" i="32"/>
  <c r="E550" i="32"/>
  <c r="E542" i="32"/>
  <c r="E534" i="32"/>
  <c r="E526" i="32"/>
  <c r="E518" i="32"/>
  <c r="E510" i="32"/>
  <c r="E502" i="32"/>
  <c r="E494" i="32"/>
  <c r="E486" i="32"/>
  <c r="E478" i="32"/>
  <c r="E470" i="32"/>
  <c r="E462" i="32"/>
  <c r="E454" i="32"/>
  <c r="E446" i="32"/>
  <c r="E438" i="32"/>
  <c r="E430" i="32"/>
  <c r="E422" i="32"/>
  <c r="E414" i="32"/>
  <c r="E406" i="32"/>
  <c r="E398" i="32"/>
  <c r="E390" i="32"/>
  <c r="E382" i="32"/>
  <c r="E374" i="32"/>
  <c r="E366" i="32"/>
  <c r="E358" i="32"/>
  <c r="E350" i="32"/>
  <c r="E342" i="32"/>
  <c r="E334" i="32"/>
  <c r="E326" i="32"/>
  <c r="E318" i="32"/>
  <c r="E310" i="32"/>
  <c r="E302" i="32"/>
  <c r="E294" i="32"/>
  <c r="E286" i="32"/>
  <c r="E278" i="32"/>
  <c r="E270" i="32"/>
  <c r="E262" i="32"/>
  <c r="E254" i="32"/>
  <c r="E246" i="32"/>
  <c r="E238" i="32"/>
  <c r="E230" i="32"/>
  <c r="E222" i="32"/>
  <c r="E214" i="32"/>
  <c r="E206" i="32"/>
  <c r="E198" i="32"/>
  <c r="E190" i="32"/>
  <c r="E182" i="32"/>
  <c r="E174" i="32"/>
  <c r="E166" i="32"/>
  <c r="E596" i="32"/>
  <c r="E564" i="32"/>
  <c r="E532" i="32"/>
  <c r="E500" i="32"/>
  <c r="E468" i="32"/>
  <c r="E436" i="32"/>
  <c r="E404" i="32"/>
  <c r="E372" i="32"/>
  <c r="E340" i="32"/>
  <c r="E308" i="32"/>
  <c r="E276" i="32"/>
  <c r="E244" i="32"/>
  <c r="E212" i="32"/>
  <c r="E180" i="32"/>
  <c r="E161" i="32"/>
  <c r="E153" i="32"/>
  <c r="E145" i="32"/>
  <c r="E137" i="32"/>
  <c r="E129" i="32"/>
  <c r="E121" i="32"/>
  <c r="E113" i="32"/>
  <c r="E105" i="32"/>
  <c r="E97" i="32"/>
  <c r="E89" i="32"/>
  <c r="E81" i="32"/>
  <c r="E73" i="32"/>
  <c r="E65" i="32"/>
  <c r="E57" i="32"/>
  <c r="E49" i="32"/>
  <c r="E41" i="32"/>
  <c r="E33" i="32"/>
  <c r="E25" i="32"/>
  <c r="E17" i="32"/>
  <c r="E501" i="32"/>
  <c r="E341" i="32"/>
  <c r="E213" i="32"/>
  <c r="E146" i="32"/>
  <c r="E130" i="32"/>
  <c r="E90" i="32"/>
  <c r="E50" i="32"/>
  <c r="E34" i="32"/>
  <c r="E589" i="32"/>
  <c r="E557" i="32"/>
  <c r="E525" i="32"/>
  <c r="E493" i="32"/>
  <c r="E461" i="32"/>
  <c r="E429" i="32"/>
  <c r="E397" i="32"/>
  <c r="E365" i="32"/>
  <c r="E333" i="32"/>
  <c r="E301" i="32"/>
  <c r="E269" i="32"/>
  <c r="E237" i="32"/>
  <c r="E205" i="32"/>
  <c r="E173" i="32"/>
  <c r="E160" i="32"/>
  <c r="E152" i="32"/>
  <c r="E144" i="32"/>
  <c r="E136" i="32"/>
  <c r="E128" i="32"/>
  <c r="E120" i="32"/>
  <c r="E112" i="32"/>
  <c r="E104" i="32"/>
  <c r="E96" i="32"/>
  <c r="E88" i="32"/>
  <c r="E80" i="32"/>
  <c r="E72" i="32"/>
  <c r="E64" i="32"/>
  <c r="E56" i="32"/>
  <c r="E48" i="32"/>
  <c r="E40" i="32"/>
  <c r="E32" i="32"/>
  <c r="E24" i="32"/>
  <c r="E16" i="32"/>
  <c r="E39" i="32"/>
  <c r="E23" i="32"/>
  <c r="E581" i="32"/>
  <c r="E549" i="32"/>
  <c r="E485" i="32"/>
  <c r="E421" i="32"/>
  <c r="E357" i="32"/>
  <c r="E261" i="32"/>
  <c r="E168" i="32"/>
  <c r="E142" i="32"/>
  <c r="E110" i="32"/>
  <c r="E86" i="32"/>
  <c r="E62" i="32"/>
  <c r="E46" i="32"/>
  <c r="E22" i="32"/>
  <c r="E284" i="32"/>
  <c r="E147" i="32"/>
  <c r="E107" i="32"/>
  <c r="E67" i="32"/>
  <c r="E35" i="32"/>
  <c r="E533" i="32"/>
  <c r="E373" i="32"/>
  <c r="E245" i="32"/>
  <c r="E154" i="32"/>
  <c r="E106" i="32"/>
  <c r="E66" i="32"/>
  <c r="E18" i="32"/>
  <c r="E588" i="32"/>
  <c r="E556" i="32"/>
  <c r="E524" i="32"/>
  <c r="E492" i="32"/>
  <c r="E460" i="32"/>
  <c r="E428" i="32"/>
  <c r="E396" i="32"/>
  <c r="E364" i="32"/>
  <c r="E332" i="32"/>
  <c r="E300" i="32"/>
  <c r="E268" i="32"/>
  <c r="E236" i="32"/>
  <c r="E204" i="32"/>
  <c r="E172" i="32"/>
  <c r="E159" i="32"/>
  <c r="E151" i="32"/>
  <c r="E143" i="32"/>
  <c r="E135" i="32"/>
  <c r="E127" i="32"/>
  <c r="E119" i="32"/>
  <c r="E111" i="32"/>
  <c r="E103" i="32"/>
  <c r="E95" i="32"/>
  <c r="E87" i="32"/>
  <c r="E79" i="32"/>
  <c r="E71" i="32"/>
  <c r="E63" i="32"/>
  <c r="E55" i="32"/>
  <c r="E47" i="32"/>
  <c r="E31" i="32"/>
  <c r="E15" i="32"/>
  <c r="E517" i="32"/>
  <c r="E325" i="32"/>
  <c r="E197" i="32"/>
  <c r="E150" i="32"/>
  <c r="E126" i="32"/>
  <c r="E102" i="32"/>
  <c r="E70" i="32"/>
  <c r="E38" i="32"/>
  <c r="E348" i="32"/>
  <c r="E139" i="32"/>
  <c r="E99" i="32"/>
  <c r="E59" i="32"/>
  <c r="E19" i="32"/>
  <c r="E469" i="32"/>
  <c r="E82" i="32"/>
  <c r="E613" i="32"/>
  <c r="E453" i="32"/>
  <c r="E389" i="32"/>
  <c r="E293" i="32"/>
  <c r="E229" i="32"/>
  <c r="E158" i="32"/>
  <c r="E134" i="32"/>
  <c r="E118" i="32"/>
  <c r="E94" i="32"/>
  <c r="E78" i="32"/>
  <c r="E54" i="32"/>
  <c r="E30" i="32"/>
  <c r="E14" i="32"/>
  <c r="E252" i="32"/>
  <c r="E155" i="32"/>
  <c r="E115" i="32"/>
  <c r="E75" i="32"/>
  <c r="E43" i="32"/>
  <c r="B13" i="32"/>
  <c r="E437" i="32"/>
  <c r="E309" i="32"/>
  <c r="E181" i="32"/>
  <c r="E138" i="32"/>
  <c r="E122" i="32"/>
  <c r="E74" i="32"/>
  <c r="E42" i="32"/>
  <c r="E26" i="32"/>
  <c r="E612" i="32"/>
  <c r="E580" i="32"/>
  <c r="E548" i="32"/>
  <c r="E516" i="32"/>
  <c r="E484" i="32"/>
  <c r="E452" i="32"/>
  <c r="E420" i="32"/>
  <c r="E388" i="32"/>
  <c r="E356" i="32"/>
  <c r="E324" i="32"/>
  <c r="E292" i="32"/>
  <c r="E260" i="32"/>
  <c r="E228" i="32"/>
  <c r="E196" i="32"/>
  <c r="E165" i="32"/>
  <c r="E157" i="32"/>
  <c r="E149" i="32"/>
  <c r="E141" i="32"/>
  <c r="E133" i="32"/>
  <c r="E125" i="32"/>
  <c r="E117" i="32"/>
  <c r="E109" i="32"/>
  <c r="E101" i="32"/>
  <c r="E93" i="32"/>
  <c r="E85" i="32"/>
  <c r="E77" i="32"/>
  <c r="E69" i="32"/>
  <c r="E61" i="32"/>
  <c r="E53" i="32"/>
  <c r="E45" i="32"/>
  <c r="E37" i="32"/>
  <c r="E29" i="32"/>
  <c r="E21" i="32"/>
  <c r="E13" i="32"/>
  <c r="E572" i="32"/>
  <c r="E380" i="32"/>
  <c r="E188" i="32"/>
  <c r="E131" i="32"/>
  <c r="E91" i="32"/>
  <c r="E51" i="32"/>
  <c r="E597" i="32"/>
  <c r="E98" i="32"/>
  <c r="E605" i="32"/>
  <c r="E573" i="32"/>
  <c r="E541" i="32"/>
  <c r="E509" i="32"/>
  <c r="E477" i="32"/>
  <c r="E445" i="32"/>
  <c r="E413" i="32"/>
  <c r="E381" i="32"/>
  <c r="E349" i="32"/>
  <c r="E317" i="32"/>
  <c r="E285" i="32"/>
  <c r="E253" i="32"/>
  <c r="E221" i="32"/>
  <c r="E189" i="32"/>
  <c r="E164" i="32"/>
  <c r="E156" i="32"/>
  <c r="E148" i="32"/>
  <c r="E140" i="32"/>
  <c r="E132" i="32"/>
  <c r="E124" i="32"/>
  <c r="E116" i="32"/>
  <c r="E108" i="32"/>
  <c r="E100" i="32"/>
  <c r="E92" i="32"/>
  <c r="E84" i="32"/>
  <c r="E76" i="32"/>
  <c r="E68" i="32"/>
  <c r="E60" i="32"/>
  <c r="E52" i="32"/>
  <c r="E44" i="32"/>
  <c r="E36" i="32"/>
  <c r="E28" i="32"/>
  <c r="E20" i="32"/>
  <c r="E604" i="32"/>
  <c r="E540" i="32"/>
  <c r="E508" i="32"/>
  <c r="E476" i="32"/>
  <c r="E444" i="32"/>
  <c r="E412" i="32"/>
  <c r="E316" i="32"/>
  <c r="E220" i="32"/>
  <c r="E163" i="32"/>
  <c r="E123" i="32"/>
  <c r="E83" i="32"/>
  <c r="E27" i="32"/>
  <c r="E565" i="32"/>
  <c r="E405" i="32"/>
  <c r="E277" i="32"/>
  <c r="E162" i="32"/>
  <c r="E114" i="32"/>
  <c r="E58" i="32"/>
  <c r="B6" i="30"/>
  <c r="B24" i="2"/>
  <c r="E8" i="33" s="1"/>
  <c r="BM6" i="21"/>
  <c r="BL6" i="21"/>
  <c r="I28" i="27"/>
  <c r="I11" i="27"/>
  <c r="K11" i="27" s="1"/>
  <c r="L11" i="27" s="1"/>
  <c r="N11" i="27" s="1"/>
  <c r="I24" i="27"/>
  <c r="K24" i="27" s="1"/>
  <c r="M24" i="27" s="1"/>
  <c r="I12" i="27"/>
  <c r="K12" i="27" s="1"/>
  <c r="M12" i="27" s="1"/>
  <c r="I10" i="27"/>
  <c r="I16" i="27"/>
  <c r="Q16" i="27" s="1"/>
  <c r="I13" i="27"/>
  <c r="Q13" i="27" s="1"/>
  <c r="I17" i="27"/>
  <c r="Q17" i="27" s="1"/>
  <c r="I8" i="27"/>
  <c r="Q8" i="27" s="1"/>
  <c r="I9" i="27"/>
  <c r="Q9" i="27" s="1"/>
  <c r="I23" i="27"/>
  <c r="Q23" i="27" s="1"/>
  <c r="I14" i="27"/>
  <c r="Q14" i="27" s="1"/>
  <c r="I18" i="27"/>
  <c r="Q18" i="27" s="1"/>
  <c r="I15" i="27"/>
  <c r="Q15" i="27" s="1"/>
  <c r="I21" i="27"/>
  <c r="K21" i="27" s="1"/>
  <c r="L21" i="27" s="1"/>
  <c r="N21" i="27" s="1"/>
  <c r="I7" i="27"/>
  <c r="Q7" i="27" s="1"/>
  <c r="I6" i="27"/>
  <c r="Q6" i="27" s="1"/>
  <c r="I5" i="27"/>
  <c r="Q5" i="27" s="1"/>
  <c r="I19" i="27"/>
  <c r="Q19" i="27" s="1"/>
  <c r="I20" i="27"/>
  <c r="Q20" i="27" s="1"/>
  <c r="I22" i="27"/>
  <c r="K22" i="27" s="1"/>
  <c r="M22" i="27" s="1"/>
  <c r="BD10" i="21"/>
  <c r="BD76" i="21"/>
  <c r="BD39" i="20"/>
  <c r="BD103" i="20"/>
  <c r="BD167" i="20"/>
  <c r="BD67" i="20"/>
  <c r="BD52" i="20"/>
  <c r="BD166" i="20"/>
  <c r="BD69" i="21"/>
  <c r="BD32" i="20"/>
  <c r="BD96" i="20"/>
  <c r="BD160" i="20"/>
  <c r="BD17" i="21"/>
  <c r="BD134" i="20"/>
  <c r="BD62" i="21"/>
  <c r="BD25" i="20"/>
  <c r="BD89" i="20"/>
  <c r="BD153" i="20"/>
  <c r="BD186" i="20"/>
  <c r="BD97" i="21"/>
  <c r="BD118" i="20"/>
  <c r="BD55" i="21"/>
  <c r="BD147" i="20"/>
  <c r="BD74" i="21"/>
  <c r="BD20" i="21"/>
  <c r="BD84" i="21"/>
  <c r="BD47" i="20"/>
  <c r="BD111" i="20"/>
  <c r="BD175" i="20"/>
  <c r="BD131" i="20"/>
  <c r="BD76" i="20"/>
  <c r="BD9" i="21"/>
  <c r="BD77" i="21"/>
  <c r="BD40" i="20"/>
  <c r="BD104" i="20"/>
  <c r="BD168" i="20"/>
  <c r="BD57" i="21"/>
  <c r="BD206" i="20"/>
  <c r="BD70" i="21"/>
  <c r="BD33" i="20"/>
  <c r="BD97" i="20"/>
  <c r="BD161" i="20"/>
  <c r="BD202" i="20"/>
  <c r="BD36" i="20"/>
  <c r="BD158" i="20"/>
  <c r="BD63" i="21"/>
  <c r="BD26" i="20"/>
  <c r="BD90" i="20"/>
  <c r="BD154" i="20"/>
  <c r="BD187" i="20"/>
  <c r="BD86" i="20"/>
  <c r="BD56" i="21"/>
  <c r="BD19" i="20"/>
  <c r="BD163" i="20"/>
  <c r="BD18" i="21"/>
  <c r="BD82" i="21"/>
  <c r="BD45" i="20"/>
  <c r="BD109" i="20"/>
  <c r="BD173" i="20"/>
  <c r="BD43" i="21"/>
  <c r="BD107" i="21"/>
  <c r="BD142" i="20"/>
  <c r="BD162" i="20"/>
  <c r="BD150" i="20"/>
  <c r="BD64" i="21"/>
  <c r="BD25" i="21"/>
  <c r="BD26" i="21"/>
  <c r="BD53" i="20"/>
  <c r="BD181" i="20"/>
  <c r="BD14" i="20"/>
  <c r="BD46" i="21"/>
  <c r="BD103" i="21"/>
  <c r="BD96" i="21"/>
  <c r="BD85" i="20"/>
  <c r="BD126" i="20"/>
  <c r="BD17" i="20"/>
  <c r="BD70" i="20"/>
  <c r="BD107" i="20"/>
  <c r="BD99" i="20"/>
  <c r="BD157" i="20"/>
  <c r="BD11" i="20"/>
  <c r="BD28" i="21"/>
  <c r="BD92" i="21"/>
  <c r="BD55" i="20"/>
  <c r="BD119" i="20"/>
  <c r="BD183" i="20"/>
  <c r="BD171" i="20"/>
  <c r="BD116" i="20"/>
  <c r="BD21" i="21"/>
  <c r="BD85" i="21"/>
  <c r="BD48" i="20"/>
  <c r="BD112" i="20"/>
  <c r="BD176" i="20"/>
  <c r="BD89" i="21"/>
  <c r="BD13" i="21"/>
  <c r="BD78" i="21"/>
  <c r="BD41" i="20"/>
  <c r="BD105" i="20"/>
  <c r="BD169" i="20"/>
  <c r="BD75" i="20"/>
  <c r="BD68" i="20"/>
  <c r="BD198" i="20"/>
  <c r="BD71" i="21"/>
  <c r="BD34" i="20"/>
  <c r="BD98" i="20"/>
  <c r="BD49" i="21"/>
  <c r="BD27" i="20"/>
  <c r="BD90" i="21"/>
  <c r="BD117" i="20"/>
  <c r="BD51" i="21"/>
  <c r="BD174" i="20"/>
  <c r="BD201" i="20"/>
  <c r="BD100" i="20"/>
  <c r="BD58" i="21"/>
  <c r="BD83" i="21"/>
  <c r="BD95" i="20"/>
  <c r="BD179" i="20"/>
  <c r="BD65" i="21"/>
  <c r="BD138" i="20"/>
  <c r="BD29" i="20"/>
  <c r="BD146" i="20"/>
  <c r="BD182" i="20"/>
  <c r="BD101" i="20"/>
  <c r="BD99" i="21"/>
  <c r="BD36" i="21"/>
  <c r="BD100" i="21"/>
  <c r="BD63" i="20"/>
  <c r="BD127" i="20"/>
  <c r="BD191" i="20"/>
  <c r="BD203" i="20"/>
  <c r="BD140" i="20"/>
  <c r="BD29" i="21"/>
  <c r="BD93" i="21"/>
  <c r="BD56" i="20"/>
  <c r="BD120" i="20"/>
  <c r="BD184" i="20"/>
  <c r="BD44" i="20"/>
  <c r="BD22" i="21"/>
  <c r="BD86" i="21"/>
  <c r="BD49" i="20"/>
  <c r="BD113" i="20"/>
  <c r="BD177" i="20"/>
  <c r="BD123" i="20"/>
  <c r="BD108" i="20"/>
  <c r="BD15" i="21"/>
  <c r="BD79" i="21"/>
  <c r="BD42" i="20"/>
  <c r="BD106" i="20"/>
  <c r="BD170" i="20"/>
  <c r="BD81" i="21"/>
  <c r="BD190" i="20"/>
  <c r="BD72" i="21"/>
  <c r="BD35" i="20"/>
  <c r="BD12" i="20"/>
  <c r="BD34" i="21"/>
  <c r="BD98" i="21"/>
  <c r="BD61" i="20"/>
  <c r="BD125" i="20"/>
  <c r="BD189" i="20"/>
  <c r="BD59" i="21"/>
  <c r="BD22" i="20"/>
  <c r="BD12" i="21"/>
  <c r="BD205" i="20"/>
  <c r="BD38" i="20"/>
  <c r="BD87" i="20"/>
  <c r="BD53" i="21"/>
  <c r="BD144" i="20"/>
  <c r="BD9" i="20"/>
  <c r="BD41" i="21"/>
  <c r="BD66" i="20"/>
  <c r="BD32" i="21"/>
  <c r="BD21" i="20"/>
  <c r="BD78" i="20"/>
  <c r="BD159" i="20"/>
  <c r="BD24" i="20"/>
  <c r="BD54" i="21"/>
  <c r="BD209" i="20"/>
  <c r="BD74" i="20"/>
  <c r="BD104" i="21"/>
  <c r="BD93" i="20"/>
  <c r="BD94" i="20"/>
  <c r="BD196" i="20"/>
  <c r="BD37" i="20"/>
  <c r="BD102" i="20"/>
  <c r="BD44" i="21"/>
  <c r="BD108" i="21"/>
  <c r="BD71" i="20"/>
  <c r="BD135" i="20"/>
  <c r="BD199" i="20"/>
  <c r="BD33" i="21"/>
  <c r="BD164" i="20"/>
  <c r="BD37" i="21"/>
  <c r="BD101" i="21"/>
  <c r="BD64" i="20"/>
  <c r="BD128" i="20"/>
  <c r="BD200" i="20"/>
  <c r="BD84" i="20"/>
  <c r="BD30" i="21"/>
  <c r="BD94" i="21"/>
  <c r="BD57" i="20"/>
  <c r="BD121" i="20"/>
  <c r="BD185" i="20"/>
  <c r="BD155" i="20"/>
  <c r="BD124" i="20"/>
  <c r="BD23" i="21"/>
  <c r="BD87" i="21"/>
  <c r="BD50" i="20"/>
  <c r="BD114" i="20"/>
  <c r="BD178" i="20"/>
  <c r="BD20" i="20"/>
  <c r="BD16" i="21"/>
  <c r="BD80" i="21"/>
  <c r="BD43" i="20"/>
  <c r="BD92" i="20"/>
  <c r="BD42" i="21"/>
  <c r="BD106" i="21"/>
  <c r="BD69" i="20"/>
  <c r="BD133" i="20"/>
  <c r="BD197" i="20"/>
  <c r="BD67" i="21"/>
  <c r="BD30" i="20"/>
  <c r="BD11" i="21"/>
  <c r="BD141" i="20"/>
  <c r="BD14" i="21"/>
  <c r="BD23" i="20"/>
  <c r="BD151" i="20"/>
  <c r="BD105" i="21"/>
  <c r="BD16" i="20"/>
  <c r="BD139" i="20"/>
  <c r="BD73" i="20"/>
  <c r="BD204" i="20"/>
  <c r="BD130" i="20"/>
  <c r="BD83" i="20"/>
  <c r="BD149" i="20"/>
  <c r="BD68" i="21"/>
  <c r="BD28" i="20"/>
  <c r="BD88" i="20"/>
  <c r="BD54" i="20"/>
  <c r="BD145" i="20"/>
  <c r="BD10" i="20"/>
  <c r="BD40" i="21"/>
  <c r="BD66" i="21"/>
  <c r="BD91" i="21"/>
  <c r="BD82" i="20"/>
  <c r="BD48" i="21"/>
  <c r="BD165" i="20"/>
  <c r="BD52" i="21"/>
  <c r="BD15" i="20"/>
  <c r="BD79" i="20"/>
  <c r="BD143" i="20"/>
  <c r="BD207" i="20"/>
  <c r="BD73" i="21"/>
  <c r="BD188" i="20"/>
  <c r="BD45" i="21"/>
  <c r="BD109" i="21"/>
  <c r="BD72" i="20"/>
  <c r="BD136" i="20"/>
  <c r="BD91" i="20"/>
  <c r="BD132" i="20"/>
  <c r="BD38" i="21"/>
  <c r="BD102" i="21"/>
  <c r="BD65" i="20"/>
  <c r="BD129" i="20"/>
  <c r="BD193" i="20"/>
  <c r="BD195" i="20"/>
  <c r="BD172" i="20"/>
  <c r="BD31" i="21"/>
  <c r="BD95" i="21"/>
  <c r="BD58" i="20"/>
  <c r="BD122" i="20"/>
  <c r="BD194" i="20"/>
  <c r="BD60" i="20"/>
  <c r="BD24" i="21"/>
  <c r="BD88" i="21"/>
  <c r="BD51" i="20"/>
  <c r="BD156" i="20"/>
  <c r="BD50" i="21"/>
  <c r="BD13" i="20"/>
  <c r="BD77" i="20"/>
  <c r="BD75" i="21"/>
  <c r="BD60" i="21"/>
  <c r="BD192" i="20"/>
  <c r="BD62" i="20"/>
  <c r="BD80" i="20"/>
  <c r="BD180" i="20"/>
  <c r="BD137" i="20"/>
  <c r="BD39" i="21"/>
  <c r="BD59" i="20"/>
  <c r="BD46" i="20"/>
  <c r="BD19" i="21"/>
  <c r="BD31" i="20"/>
  <c r="BD208" i="20"/>
  <c r="BD61" i="21"/>
  <c r="BD152" i="20"/>
  <c r="BD81" i="20"/>
  <c r="BD47" i="21"/>
  <c r="BD148" i="20"/>
  <c r="BD110" i="20"/>
  <c r="BD27" i="21"/>
  <c r="BD18" i="20"/>
  <c r="BD115" i="20"/>
  <c r="BD35" i="21"/>
  <c r="K101" i="27"/>
  <c r="K95" i="27"/>
  <c r="K84" i="27"/>
  <c r="Q21" i="27"/>
  <c r="K97" i="27"/>
  <c r="K92" i="27"/>
  <c r="K89" i="27"/>
  <c r="K100" i="27"/>
  <c r="K86" i="27"/>
  <c r="K98" i="27"/>
  <c r="K85" i="27"/>
  <c r="K102" i="27"/>
  <c r="K93" i="27"/>
  <c r="K88" i="27"/>
  <c r="K83" i="27"/>
  <c r="K91" i="27"/>
  <c r="K94" i="27"/>
  <c r="K96" i="27"/>
  <c r="K87" i="27"/>
  <c r="K82" i="27"/>
  <c r="K99" i="27"/>
  <c r="K90" i="27"/>
  <c r="Q4" i="27"/>
  <c r="B131" i="2"/>
  <c r="L67" i="2"/>
  <c r="L68" i="2" s="1"/>
  <c r="O73" i="2" s="1"/>
  <c r="O67" i="2"/>
  <c r="O64" i="2"/>
  <c r="B69" i="2" s="1"/>
  <c r="L66" i="2"/>
  <c r="L64" i="2"/>
  <c r="L65" i="2"/>
  <c r="B140" i="2"/>
  <c r="B142" i="2"/>
  <c r="Q15" i="8"/>
  <c r="R15" i="8" s="1"/>
  <c r="B147" i="2"/>
  <c r="BG9" i="21"/>
  <c r="H11" i="20"/>
  <c r="H19" i="20"/>
  <c r="H27" i="20"/>
  <c r="H35" i="20"/>
  <c r="H43" i="20"/>
  <c r="H51" i="20"/>
  <c r="H59" i="20"/>
  <c r="H67" i="20"/>
  <c r="H75" i="20"/>
  <c r="H83" i="20"/>
  <c r="H91" i="20"/>
  <c r="H99" i="20"/>
  <c r="H107" i="20"/>
  <c r="H115" i="20"/>
  <c r="H123" i="20"/>
  <c r="H131" i="20"/>
  <c r="H139" i="20"/>
  <c r="H147" i="20"/>
  <c r="H155" i="20"/>
  <c r="H163" i="20"/>
  <c r="H171" i="20"/>
  <c r="H179" i="20"/>
  <c r="H187" i="20"/>
  <c r="H195" i="20"/>
  <c r="H203" i="20"/>
  <c r="H148" i="20"/>
  <c r="H164" i="20"/>
  <c r="H172" i="20"/>
  <c r="H188" i="20"/>
  <c r="H196" i="20"/>
  <c r="H204" i="20"/>
  <c r="H18" i="20"/>
  <c r="H82" i="20"/>
  <c r="H122" i="20"/>
  <c r="H170" i="20"/>
  <c r="H12" i="20"/>
  <c r="H20" i="20"/>
  <c r="H28" i="20"/>
  <c r="H36" i="20"/>
  <c r="H44" i="20"/>
  <c r="H52" i="20"/>
  <c r="H60" i="20"/>
  <c r="H68" i="20"/>
  <c r="H76" i="20"/>
  <c r="H84" i="20"/>
  <c r="H92" i="20"/>
  <c r="H100" i="20"/>
  <c r="H108" i="20"/>
  <c r="H116" i="20"/>
  <c r="H124" i="20"/>
  <c r="H132" i="20"/>
  <c r="H140" i="20"/>
  <c r="H156" i="20"/>
  <c r="H180" i="20"/>
  <c r="H58" i="20"/>
  <c r="H138" i="20"/>
  <c r="H202" i="20"/>
  <c r="H13" i="20"/>
  <c r="H21" i="20"/>
  <c r="H29" i="20"/>
  <c r="H37" i="20"/>
  <c r="H45" i="20"/>
  <c r="H53" i="20"/>
  <c r="H61" i="20"/>
  <c r="H69" i="20"/>
  <c r="H77" i="20"/>
  <c r="H85" i="20"/>
  <c r="H93" i="20"/>
  <c r="H101" i="20"/>
  <c r="H109" i="20"/>
  <c r="H117" i="20"/>
  <c r="H125" i="20"/>
  <c r="H133" i="20"/>
  <c r="H141" i="20"/>
  <c r="H149" i="20"/>
  <c r="H157" i="20"/>
  <c r="H165" i="20"/>
  <c r="H173" i="20"/>
  <c r="H181" i="20"/>
  <c r="H189" i="20"/>
  <c r="H197" i="20"/>
  <c r="H205" i="20"/>
  <c r="H166" i="20"/>
  <c r="H182" i="20"/>
  <c r="H190" i="20"/>
  <c r="H198" i="20"/>
  <c r="H167" i="20"/>
  <c r="H183" i="20"/>
  <c r="H191" i="20"/>
  <c r="H208" i="20"/>
  <c r="H10" i="20"/>
  <c r="H74" i="20"/>
  <c r="H114" i="20"/>
  <c r="H162" i="20"/>
  <c r="H194" i="20"/>
  <c r="H14" i="20"/>
  <c r="H22" i="20"/>
  <c r="H30" i="20"/>
  <c r="H38" i="20"/>
  <c r="H46" i="20"/>
  <c r="H54" i="20"/>
  <c r="H62" i="20"/>
  <c r="H70" i="20"/>
  <c r="H78" i="20"/>
  <c r="H86" i="20"/>
  <c r="H94" i="20"/>
  <c r="H102" i="20"/>
  <c r="H110" i="20"/>
  <c r="H118" i="20"/>
  <c r="H126" i="20"/>
  <c r="H134" i="20"/>
  <c r="H142" i="20"/>
  <c r="H150" i="20"/>
  <c r="H158" i="20"/>
  <c r="H174" i="20"/>
  <c r="H206" i="20"/>
  <c r="H207" i="20"/>
  <c r="H200" i="20"/>
  <c r="H50" i="20"/>
  <c r="H15" i="20"/>
  <c r="H23" i="20"/>
  <c r="H31" i="20"/>
  <c r="H39" i="20"/>
  <c r="H47" i="20"/>
  <c r="H55" i="20"/>
  <c r="H63" i="20"/>
  <c r="H71" i="20"/>
  <c r="H79" i="20"/>
  <c r="H87" i="20"/>
  <c r="H95" i="20"/>
  <c r="H103" i="20"/>
  <c r="H111" i="20"/>
  <c r="H119" i="20"/>
  <c r="H127" i="20"/>
  <c r="H135" i="20"/>
  <c r="H143" i="20"/>
  <c r="H151" i="20"/>
  <c r="H159" i="20"/>
  <c r="H175" i="20"/>
  <c r="H199" i="20"/>
  <c r="H34" i="20"/>
  <c r="H90" i="20"/>
  <c r="H130" i="20"/>
  <c r="H178" i="20"/>
  <c r="H16" i="20"/>
  <c r="H24" i="20"/>
  <c r="H32" i="20"/>
  <c r="H40" i="20"/>
  <c r="H48" i="20"/>
  <c r="H56" i="20"/>
  <c r="H64" i="20"/>
  <c r="H72" i="20"/>
  <c r="H80" i="20"/>
  <c r="H88" i="20"/>
  <c r="H96" i="20"/>
  <c r="H104" i="20"/>
  <c r="H112" i="20"/>
  <c r="H120" i="20"/>
  <c r="H128" i="20"/>
  <c r="H136" i="20"/>
  <c r="H144" i="20"/>
  <c r="H152" i="20"/>
  <c r="H160" i="20"/>
  <c r="H168" i="20"/>
  <c r="H176" i="20"/>
  <c r="H184" i="20"/>
  <c r="H192" i="20"/>
  <c r="H42" i="20"/>
  <c r="H98" i="20"/>
  <c r="H146" i="20"/>
  <c r="H186" i="20"/>
  <c r="H9" i="20"/>
  <c r="H17" i="20"/>
  <c r="H25" i="20"/>
  <c r="H33" i="20"/>
  <c r="H41" i="20"/>
  <c r="H49" i="20"/>
  <c r="H57" i="20"/>
  <c r="H65" i="20"/>
  <c r="H73" i="20"/>
  <c r="H81" i="20"/>
  <c r="H89" i="20"/>
  <c r="H97" i="20"/>
  <c r="H105" i="20"/>
  <c r="H113" i="20"/>
  <c r="H121" i="20"/>
  <c r="H129" i="20"/>
  <c r="H137" i="20"/>
  <c r="H145" i="20"/>
  <c r="H153" i="20"/>
  <c r="H161" i="20"/>
  <c r="H169" i="20"/>
  <c r="H177" i="20"/>
  <c r="H185" i="20"/>
  <c r="H193" i="20"/>
  <c r="H201" i="20"/>
  <c r="H209" i="20"/>
  <c r="H26" i="20"/>
  <c r="H66" i="20"/>
  <c r="H106" i="20"/>
  <c r="H154" i="20"/>
  <c r="K15" i="21"/>
  <c r="L15" i="21" s="1"/>
  <c r="K23" i="21"/>
  <c r="BJ23" i="21" s="1"/>
  <c r="K31" i="21"/>
  <c r="BJ31" i="21" s="1"/>
  <c r="K39" i="21"/>
  <c r="L39" i="21" s="1"/>
  <c r="K47" i="21"/>
  <c r="L47" i="21" s="1"/>
  <c r="K55" i="21"/>
  <c r="BJ55" i="21" s="1"/>
  <c r="K63" i="21"/>
  <c r="BJ63" i="21" s="1"/>
  <c r="K71" i="21"/>
  <c r="BJ71" i="21" s="1"/>
  <c r="K79" i="21"/>
  <c r="L79" i="21" s="1"/>
  <c r="K87" i="21"/>
  <c r="BJ87" i="21" s="1"/>
  <c r="K95" i="21"/>
  <c r="L95" i="21" s="1"/>
  <c r="K103" i="21"/>
  <c r="L103" i="21" s="1"/>
  <c r="K16" i="21"/>
  <c r="BJ16" i="21" s="1"/>
  <c r="K24" i="21"/>
  <c r="L24" i="21" s="1"/>
  <c r="K32" i="21"/>
  <c r="BJ32" i="21" s="1"/>
  <c r="K48" i="21"/>
  <c r="BJ48" i="21" s="1"/>
  <c r="K64" i="21"/>
  <c r="BJ64" i="21" s="1"/>
  <c r="K96" i="21"/>
  <c r="BJ96" i="21" s="1"/>
  <c r="K17" i="21"/>
  <c r="BJ17" i="21" s="1"/>
  <c r="K25" i="21"/>
  <c r="L25" i="21" s="1"/>
  <c r="K33" i="21"/>
  <c r="BJ33" i="21" s="1"/>
  <c r="K41" i="21"/>
  <c r="BJ41" i="21" s="1"/>
  <c r="K49" i="21"/>
  <c r="BJ49" i="21" s="1"/>
  <c r="K57" i="21"/>
  <c r="BJ57" i="21" s="1"/>
  <c r="K65" i="21"/>
  <c r="L65" i="21" s="1"/>
  <c r="K73" i="21"/>
  <c r="BJ73" i="21" s="1"/>
  <c r="K81" i="21"/>
  <c r="L81" i="21" s="1"/>
  <c r="K89" i="21"/>
  <c r="L89" i="21" s="1"/>
  <c r="K97" i="21"/>
  <c r="BJ97" i="21" s="1"/>
  <c r="K105" i="21"/>
  <c r="BJ105" i="21" s="1"/>
  <c r="K10" i="21"/>
  <c r="BJ10" i="21" s="1"/>
  <c r="K26" i="21"/>
  <c r="BJ26" i="21" s="1"/>
  <c r="K34" i="21"/>
  <c r="BJ34" i="21" s="1"/>
  <c r="K42" i="21"/>
  <c r="BJ42" i="21" s="1"/>
  <c r="K58" i="21"/>
  <c r="BJ58" i="21" s="1"/>
  <c r="K66" i="21"/>
  <c r="L66" i="21" s="1"/>
  <c r="K74" i="21"/>
  <c r="BJ74" i="21" s="1"/>
  <c r="K90" i="21"/>
  <c r="BJ90" i="21" s="1"/>
  <c r="K98" i="21"/>
  <c r="BJ98" i="21" s="1"/>
  <c r="K29" i="21"/>
  <c r="BJ29" i="21" s="1"/>
  <c r="K38" i="21"/>
  <c r="BJ38" i="21" s="1"/>
  <c r="K94" i="21"/>
  <c r="BJ94" i="21" s="1"/>
  <c r="K88" i="21"/>
  <c r="BJ88" i="21" s="1"/>
  <c r="K18" i="21"/>
  <c r="L18" i="21" s="1"/>
  <c r="K50" i="21"/>
  <c r="BJ50" i="21" s="1"/>
  <c r="K82" i="21"/>
  <c r="BJ82" i="21" s="1"/>
  <c r="K106" i="21"/>
  <c r="BJ106" i="21" s="1"/>
  <c r="K53" i="21"/>
  <c r="BJ53" i="21" s="1"/>
  <c r="K69" i="21"/>
  <c r="BJ69" i="21" s="1"/>
  <c r="K93" i="21"/>
  <c r="BJ93" i="21" s="1"/>
  <c r="K101" i="21"/>
  <c r="BJ101" i="21" s="1"/>
  <c r="K14" i="21"/>
  <c r="L14" i="21" s="1"/>
  <c r="K30" i="21"/>
  <c r="BJ30" i="21" s="1"/>
  <c r="K46" i="21"/>
  <c r="L46" i="21" s="1"/>
  <c r="K62" i="21"/>
  <c r="L62" i="21" s="1"/>
  <c r="K70" i="21"/>
  <c r="BJ70" i="21" s="1"/>
  <c r="K102" i="21"/>
  <c r="BJ102" i="21" s="1"/>
  <c r="K40" i="21"/>
  <c r="BJ40" i="21" s="1"/>
  <c r="K72" i="21"/>
  <c r="BJ72" i="21" s="1"/>
  <c r="K11" i="21"/>
  <c r="L11" i="21" s="1"/>
  <c r="K19" i="21"/>
  <c r="BJ19" i="21" s="1"/>
  <c r="K27" i="21"/>
  <c r="BJ27" i="21" s="1"/>
  <c r="K35" i="21"/>
  <c r="BJ35" i="21" s="1"/>
  <c r="K43" i="21"/>
  <c r="L43" i="21" s="1"/>
  <c r="K51" i="21"/>
  <c r="L51" i="21" s="1"/>
  <c r="K59" i="21"/>
  <c r="BJ59" i="21" s="1"/>
  <c r="K67" i="21"/>
  <c r="BJ67" i="21" s="1"/>
  <c r="K75" i="21"/>
  <c r="L75" i="21" s="1"/>
  <c r="K83" i="21"/>
  <c r="BJ83" i="21" s="1"/>
  <c r="K91" i="21"/>
  <c r="L91" i="21" s="1"/>
  <c r="K99" i="21"/>
  <c r="BJ99" i="21" s="1"/>
  <c r="K107" i="21"/>
  <c r="BJ107" i="21" s="1"/>
  <c r="K37" i="21"/>
  <c r="BJ37" i="21" s="1"/>
  <c r="K61" i="21"/>
  <c r="BJ61" i="21" s="1"/>
  <c r="K85" i="21"/>
  <c r="BJ85" i="21" s="1"/>
  <c r="K86" i="21"/>
  <c r="L86" i="21" s="1"/>
  <c r="K104" i="21"/>
  <c r="BJ104" i="21" s="1"/>
  <c r="K12" i="21"/>
  <c r="L12" i="21" s="1"/>
  <c r="K20" i="21"/>
  <c r="BJ20" i="21" s="1"/>
  <c r="K28" i="21"/>
  <c r="BJ28" i="21" s="1"/>
  <c r="K36" i="21"/>
  <c r="L36" i="21" s="1"/>
  <c r="K44" i="21"/>
  <c r="BJ44" i="21" s="1"/>
  <c r="K52" i="21"/>
  <c r="BJ52" i="21" s="1"/>
  <c r="K60" i="21"/>
  <c r="L60" i="21" s="1"/>
  <c r="K68" i="21"/>
  <c r="L68" i="21" s="1"/>
  <c r="K76" i="21"/>
  <c r="BJ76" i="21" s="1"/>
  <c r="K84" i="21"/>
  <c r="BJ84" i="21" s="1"/>
  <c r="K92" i="21"/>
  <c r="BJ92" i="21" s="1"/>
  <c r="K100" i="21"/>
  <c r="BJ100" i="21" s="1"/>
  <c r="K108" i="21"/>
  <c r="BJ108" i="21" s="1"/>
  <c r="K13" i="21"/>
  <c r="BJ13" i="21" s="1"/>
  <c r="K21" i="21"/>
  <c r="L21" i="21" s="1"/>
  <c r="K45" i="21"/>
  <c r="BJ45" i="21" s="1"/>
  <c r="K77" i="21"/>
  <c r="L77" i="21" s="1"/>
  <c r="K109" i="21"/>
  <c r="L109" i="21" s="1"/>
  <c r="K22" i="21"/>
  <c r="L22" i="21" s="1"/>
  <c r="K54" i="21"/>
  <c r="L54" i="21" s="1"/>
  <c r="K78" i="21"/>
  <c r="BJ78" i="21" s="1"/>
  <c r="K56" i="21"/>
  <c r="BJ56" i="21" s="1"/>
  <c r="K80" i="21"/>
  <c r="L80" i="21" s="1"/>
  <c r="B19" i="21"/>
  <c r="BJ9" i="21"/>
  <c r="BE105" i="21"/>
  <c r="BE101" i="21"/>
  <c r="BE97" i="21"/>
  <c r="BE93" i="21"/>
  <c r="BE89" i="21"/>
  <c r="BE85" i="21"/>
  <c r="BE81" i="21"/>
  <c r="BE77" i="21"/>
  <c r="BE73" i="21"/>
  <c r="BE69" i="21"/>
  <c r="BE65" i="21"/>
  <c r="BE61" i="21"/>
  <c r="BE57" i="21"/>
  <c r="BE53" i="21"/>
  <c r="BE49" i="21"/>
  <c r="BE45" i="21"/>
  <c r="BE41" i="21"/>
  <c r="BE37" i="21"/>
  <c r="BE33" i="21"/>
  <c r="BE29" i="21"/>
  <c r="BE25" i="21"/>
  <c r="BE21" i="21"/>
  <c r="BE17" i="21"/>
  <c r="BE13" i="21"/>
  <c r="BE109" i="21"/>
  <c r="BE9" i="21"/>
  <c r="BE92" i="21"/>
  <c r="BE52" i="21"/>
  <c r="BE40" i="21"/>
  <c r="BE32" i="21"/>
  <c r="BE24" i="21"/>
  <c r="BE20" i="21"/>
  <c r="BE12" i="21"/>
  <c r="BE90" i="21"/>
  <c r="BE26" i="21"/>
  <c r="BE108" i="21"/>
  <c r="BE104" i="21"/>
  <c r="BE100" i="21"/>
  <c r="BE96" i="21"/>
  <c r="BE88" i="21"/>
  <c r="BE84" i="21"/>
  <c r="BE80" i="21"/>
  <c r="BE76" i="21"/>
  <c r="BE72" i="21"/>
  <c r="BE68" i="21"/>
  <c r="BE64" i="21"/>
  <c r="BE60" i="21"/>
  <c r="BE56" i="21"/>
  <c r="BE48" i="21"/>
  <c r="BE44" i="21"/>
  <c r="BE36" i="21"/>
  <c r="BE28" i="21"/>
  <c r="BE16" i="21"/>
  <c r="BE106" i="21"/>
  <c r="BE94" i="21"/>
  <c r="BE86" i="21"/>
  <c r="BE82" i="21"/>
  <c r="BE74" i="21"/>
  <c r="BE66" i="21"/>
  <c r="BE58" i="21"/>
  <c r="BE54" i="21"/>
  <c r="BE46" i="21"/>
  <c r="BE38" i="21"/>
  <c r="BE34" i="21"/>
  <c r="BE22" i="21"/>
  <c r="BE18" i="21"/>
  <c r="BE102" i="21"/>
  <c r="BE70" i="21"/>
  <c r="BE10" i="21"/>
  <c r="BE107" i="21"/>
  <c r="BE103" i="21"/>
  <c r="BE99" i="21"/>
  <c r="BE95" i="21"/>
  <c r="BE91" i="21"/>
  <c r="BE87" i="21"/>
  <c r="BE83" i="21"/>
  <c r="BE79" i="21"/>
  <c r="BE75" i="21"/>
  <c r="BE71" i="21"/>
  <c r="BE67" i="21"/>
  <c r="BE63" i="21"/>
  <c r="BE59" i="21"/>
  <c r="BE55" i="21"/>
  <c r="BE51" i="21"/>
  <c r="BE47" i="21"/>
  <c r="BE43" i="21"/>
  <c r="BE39" i="21"/>
  <c r="BE35" i="21"/>
  <c r="BE31" i="21"/>
  <c r="BE27" i="21"/>
  <c r="BE23" i="21"/>
  <c r="BE19" i="21"/>
  <c r="BE15" i="21"/>
  <c r="BE11" i="21"/>
  <c r="BE98" i="21"/>
  <c r="BE78" i="21"/>
  <c r="BE62" i="21"/>
  <c r="BE50" i="21"/>
  <c r="BE42" i="21"/>
  <c r="BE30" i="21"/>
  <c r="BE14" i="21"/>
  <c r="BE9" i="20"/>
  <c r="BE17" i="20"/>
  <c r="BE25" i="20"/>
  <c r="BE33" i="20"/>
  <c r="BE41" i="20"/>
  <c r="BE49" i="20"/>
  <c r="BE57" i="20"/>
  <c r="BE65" i="20"/>
  <c r="BE73" i="20"/>
  <c r="BE81" i="20"/>
  <c r="BE89" i="20"/>
  <c r="BE97" i="20"/>
  <c r="BE105" i="20"/>
  <c r="BE113" i="20"/>
  <c r="BE121" i="20"/>
  <c r="BE129" i="20"/>
  <c r="BE137" i="20"/>
  <c r="BE145" i="20"/>
  <c r="BE153" i="20"/>
  <c r="BE161" i="20"/>
  <c r="BE169" i="20"/>
  <c r="BE177" i="20"/>
  <c r="BE185" i="20"/>
  <c r="BE193" i="20"/>
  <c r="BE201" i="20"/>
  <c r="BE209" i="20"/>
  <c r="BE10" i="20"/>
  <c r="BE18" i="20"/>
  <c r="BE26" i="20"/>
  <c r="BE34" i="20"/>
  <c r="BE42" i="20"/>
  <c r="BE50" i="20"/>
  <c r="BE58" i="20"/>
  <c r="BE66" i="20"/>
  <c r="BE74" i="20"/>
  <c r="BE82" i="20"/>
  <c r="BE90" i="20"/>
  <c r="BE98" i="20"/>
  <c r="BE106" i="20"/>
  <c r="BE114" i="20"/>
  <c r="BE122" i="20"/>
  <c r="BE130" i="20"/>
  <c r="BE138" i="20"/>
  <c r="BE146" i="20"/>
  <c r="BE154" i="20"/>
  <c r="BE162" i="20"/>
  <c r="BE170" i="20"/>
  <c r="BE178" i="20"/>
  <c r="BE186" i="20"/>
  <c r="BE194" i="20"/>
  <c r="BE202" i="20"/>
  <c r="BE11" i="20"/>
  <c r="BE19" i="20"/>
  <c r="BE27" i="20"/>
  <c r="BE35" i="20"/>
  <c r="BE43" i="20"/>
  <c r="BE51" i="20"/>
  <c r="BE59" i="20"/>
  <c r="BE67" i="20"/>
  <c r="BE12" i="20"/>
  <c r="BE20" i="20"/>
  <c r="BE28" i="20"/>
  <c r="BE36" i="20"/>
  <c r="BE44" i="20"/>
  <c r="BE52" i="20"/>
  <c r="BE60" i="20"/>
  <c r="BE68" i="20"/>
  <c r="BE76" i="20"/>
  <c r="BE84" i="20"/>
  <c r="BE92" i="20"/>
  <c r="BE100" i="20"/>
  <c r="BE108" i="20"/>
  <c r="BE116" i="20"/>
  <c r="BE124" i="20"/>
  <c r="BE132" i="20"/>
  <c r="BE140" i="20"/>
  <c r="BE148" i="20"/>
  <c r="BE156" i="20"/>
  <c r="BE164" i="20"/>
  <c r="BE172" i="20"/>
  <c r="BE180" i="20"/>
  <c r="BE188" i="20"/>
  <c r="BE196" i="20"/>
  <c r="BE204" i="20"/>
  <c r="BE13" i="20"/>
  <c r="BE21" i="20"/>
  <c r="BE29" i="20"/>
  <c r="BE37" i="20"/>
  <c r="BE45" i="20"/>
  <c r="BE53" i="20"/>
  <c r="BE61" i="20"/>
  <c r="BE69" i="20"/>
  <c r="BE77" i="20"/>
  <c r="BE85" i="20"/>
  <c r="BE93" i="20"/>
  <c r="BE101" i="20"/>
  <c r="BE109" i="20"/>
  <c r="BE117" i="20"/>
  <c r="BE125" i="20"/>
  <c r="BE133" i="20"/>
  <c r="BE141" i="20"/>
  <c r="BE149" i="20"/>
  <c r="BE157" i="20"/>
  <c r="BE165" i="20"/>
  <c r="BE173" i="20"/>
  <c r="BE181" i="20"/>
  <c r="BE189" i="20"/>
  <c r="BE197" i="20"/>
  <c r="BE205" i="20"/>
  <c r="BE15" i="20"/>
  <c r="BE23" i="20"/>
  <c r="BE31" i="20"/>
  <c r="BE39" i="20"/>
  <c r="BE47" i="20"/>
  <c r="BE55" i="20"/>
  <c r="BE63" i="20"/>
  <c r="BE71" i="20"/>
  <c r="BE79" i="20"/>
  <c r="BE87" i="20"/>
  <c r="BE95" i="20"/>
  <c r="BE103" i="20"/>
  <c r="BE111" i="20"/>
  <c r="BE119" i="20"/>
  <c r="BE127" i="20"/>
  <c r="BE135" i="20"/>
  <c r="BE143" i="20"/>
  <c r="BE151" i="20"/>
  <c r="BE159" i="20"/>
  <c r="BE167" i="20"/>
  <c r="BE175" i="20"/>
  <c r="BE183" i="20"/>
  <c r="BE191" i="20"/>
  <c r="BE199" i="20"/>
  <c r="BE207" i="20"/>
  <c r="BE30" i="20"/>
  <c r="BE62" i="20"/>
  <c r="BE86" i="20"/>
  <c r="BE107" i="20"/>
  <c r="BE128" i="20"/>
  <c r="BE150" i="20"/>
  <c r="BE171" i="20"/>
  <c r="BE192" i="20"/>
  <c r="BE32" i="20"/>
  <c r="BE64" i="20"/>
  <c r="BE88" i="20"/>
  <c r="BE110" i="20"/>
  <c r="BE131" i="20"/>
  <c r="BE152" i="20"/>
  <c r="BE174" i="20"/>
  <c r="BE195" i="20"/>
  <c r="BE38" i="20"/>
  <c r="BE70" i="20"/>
  <c r="BE91" i="20"/>
  <c r="BE112" i="20"/>
  <c r="BE134" i="20"/>
  <c r="BE155" i="20"/>
  <c r="BE176" i="20"/>
  <c r="BE198" i="20"/>
  <c r="BE40" i="20"/>
  <c r="BE72" i="20"/>
  <c r="BE94" i="20"/>
  <c r="BE115" i="20"/>
  <c r="BE136" i="20"/>
  <c r="BE158" i="20"/>
  <c r="BE179" i="20"/>
  <c r="BE200" i="20"/>
  <c r="BE14" i="20"/>
  <c r="BE46" i="20"/>
  <c r="BE75" i="20"/>
  <c r="BE96" i="20"/>
  <c r="BE118" i="20"/>
  <c r="BE139" i="20"/>
  <c r="BE160" i="20"/>
  <c r="BE182" i="20"/>
  <c r="BE203" i="20"/>
  <c r="BE16" i="20"/>
  <c r="BE83" i="20"/>
  <c r="BE144" i="20"/>
  <c r="BE206" i="20"/>
  <c r="BE22" i="20"/>
  <c r="BE99" i="20"/>
  <c r="BE147" i="20"/>
  <c r="BE208" i="20"/>
  <c r="BE24" i="20"/>
  <c r="BE102" i="20"/>
  <c r="BE163" i="20"/>
  <c r="BE48" i="20"/>
  <c r="BE104" i="20"/>
  <c r="BE166" i="20"/>
  <c r="BE54" i="20"/>
  <c r="BE120" i="20"/>
  <c r="BE168" i="20"/>
  <c r="BE56" i="20"/>
  <c r="BE123" i="20"/>
  <c r="BE184" i="20"/>
  <c r="BE187" i="20"/>
  <c r="BE190" i="20"/>
  <c r="BE78" i="20"/>
  <c r="BE80" i="20"/>
  <c r="BE126" i="20"/>
  <c r="BE142" i="20"/>
  <c r="L9" i="21"/>
  <c r="B526" i="2"/>
  <c r="A46" i="16"/>
  <c r="B4" i="11"/>
  <c r="D4" i="11" s="1"/>
  <c r="B6" i="11" s="1"/>
  <c r="D6" i="11" s="1"/>
  <c r="B38" i="21"/>
  <c r="B38" i="20"/>
  <c r="B20" i="21"/>
  <c r="B20" i="20"/>
  <c r="B44" i="20"/>
  <c r="B44" i="21"/>
  <c r="B40" i="20"/>
  <c r="B40" i="21"/>
  <c r="B39" i="21"/>
  <c r="B77" i="21"/>
  <c r="BG108" i="21"/>
  <c r="BG104" i="21"/>
  <c r="BG100" i="21"/>
  <c r="BG96" i="21"/>
  <c r="BG92" i="21"/>
  <c r="BG88" i="21"/>
  <c r="BG84" i="21"/>
  <c r="BG80" i="21"/>
  <c r="BG79" i="21"/>
  <c r="BG73" i="21"/>
  <c r="BG59" i="21"/>
  <c r="BG52" i="21"/>
  <c r="BG45" i="21"/>
  <c r="BG37" i="21"/>
  <c r="BG28" i="21"/>
  <c r="BG69" i="21"/>
  <c r="BG64" i="21"/>
  <c r="BG60" i="21"/>
  <c r="BG51" i="21"/>
  <c r="BG42" i="21"/>
  <c r="BG35" i="21"/>
  <c r="BG27" i="21"/>
  <c r="BG20" i="21"/>
  <c r="BG16" i="21"/>
  <c r="BG14" i="21"/>
  <c r="BG12" i="21"/>
  <c r="BG173" i="20"/>
  <c r="BG156" i="20"/>
  <c r="BG141" i="20"/>
  <c r="BG124" i="20"/>
  <c r="BG207" i="20"/>
  <c r="BG197" i="20"/>
  <c r="BG179" i="20"/>
  <c r="BG163" i="20"/>
  <c r="BG147" i="20"/>
  <c r="BG131" i="20"/>
  <c r="BG116" i="20"/>
  <c r="BG194" i="20"/>
  <c r="BG180" i="20"/>
  <c r="BG161" i="20"/>
  <c r="BG144" i="20"/>
  <c r="BG128" i="20"/>
  <c r="BG114" i="20"/>
  <c r="BG202" i="20"/>
  <c r="BG109" i="21"/>
  <c r="BG105" i="21"/>
  <c r="BG101" i="21"/>
  <c r="BG97" i="21"/>
  <c r="BG93" i="21"/>
  <c r="BG89" i="21"/>
  <c r="BG85" i="21"/>
  <c r="BG81" i="21"/>
  <c r="BG72" i="21"/>
  <c r="BG74" i="21"/>
  <c r="BG68" i="21"/>
  <c r="BG54" i="21"/>
  <c r="BG47" i="21"/>
  <c r="BG39" i="21"/>
  <c r="BG29" i="21"/>
  <c r="BG23" i="21"/>
  <c r="BG65" i="21"/>
  <c r="BG61" i="21"/>
  <c r="BG53" i="21"/>
  <c r="BG44" i="21"/>
  <c r="BG36" i="21"/>
  <c r="BG30" i="21"/>
  <c r="BG21" i="21"/>
  <c r="BG17" i="21"/>
  <c r="BG181" i="20"/>
  <c r="BG168" i="20"/>
  <c r="BG152" i="20"/>
  <c r="BG135" i="20"/>
  <c r="BG120" i="20"/>
  <c r="BG205" i="20"/>
  <c r="BG193" i="20"/>
  <c r="BG175" i="20"/>
  <c r="BG159" i="20"/>
  <c r="BG145" i="20"/>
  <c r="BG129" i="20"/>
  <c r="BG112" i="20"/>
  <c r="BG189" i="20"/>
  <c r="BG176" i="20"/>
  <c r="BG157" i="20"/>
  <c r="BG142" i="20"/>
  <c r="BG125" i="20"/>
  <c r="BG209" i="20"/>
  <c r="BG185" i="20"/>
  <c r="BG106" i="21"/>
  <c r="BG102" i="21"/>
  <c r="BG98" i="21"/>
  <c r="BG94" i="21"/>
  <c r="BG90" i="21"/>
  <c r="BG86" i="21"/>
  <c r="BG82" i="21"/>
  <c r="BG75" i="21"/>
  <c r="BG76" i="21"/>
  <c r="BG70" i="21"/>
  <c r="BG56" i="21"/>
  <c r="BG48" i="21"/>
  <c r="BG41" i="21"/>
  <c r="BG33" i="21"/>
  <c r="BG25" i="21"/>
  <c r="BG66" i="21"/>
  <c r="BG62" i="21"/>
  <c r="BG55" i="21"/>
  <c r="BG46" i="21"/>
  <c r="BG38" i="21"/>
  <c r="BG31" i="21"/>
  <c r="BG22" i="21"/>
  <c r="BG19" i="21"/>
  <c r="BG15" i="21"/>
  <c r="BG13" i="21"/>
  <c r="BG11" i="21"/>
  <c r="BG184" i="20"/>
  <c r="BG164" i="20"/>
  <c r="BG148" i="20"/>
  <c r="BG133" i="20"/>
  <c r="BG115" i="20"/>
  <c r="BG203" i="20"/>
  <c r="BG190" i="20"/>
  <c r="BG171" i="20"/>
  <c r="BG155" i="20"/>
  <c r="BG139" i="20"/>
  <c r="BG123" i="20"/>
  <c r="BG208" i="20"/>
  <c r="BG187" i="20"/>
  <c r="BG172" i="20"/>
  <c r="BG153" i="20"/>
  <c r="BG136" i="20"/>
  <c r="BG122" i="20"/>
  <c r="BG206" i="20"/>
  <c r="BG196" i="20"/>
  <c r="BG107" i="21"/>
  <c r="BG103" i="21"/>
  <c r="BG99" i="21"/>
  <c r="BG95" i="21"/>
  <c r="BG91" i="21"/>
  <c r="BG87" i="21"/>
  <c r="BG83" i="21"/>
  <c r="BG77" i="21"/>
  <c r="BG78" i="21"/>
  <c r="BG71" i="21"/>
  <c r="BG57" i="21"/>
  <c r="BG50" i="21"/>
  <c r="BG43" i="21"/>
  <c r="BG34" i="21"/>
  <c r="BG26" i="21"/>
  <c r="BG67" i="21"/>
  <c r="BG63" i="21"/>
  <c r="BG58" i="21"/>
  <c r="BG49" i="21"/>
  <c r="BG40" i="21"/>
  <c r="BG32" i="21"/>
  <c r="BG24" i="21"/>
  <c r="BG18" i="21"/>
  <c r="BG10" i="21"/>
  <c r="BG177" i="20"/>
  <c r="BG160" i="20"/>
  <c r="BG143" i="20"/>
  <c r="BG127" i="20"/>
  <c r="BG111" i="20"/>
  <c r="BG201" i="20"/>
  <c r="BG183" i="20"/>
  <c r="BG167" i="20"/>
  <c r="BG151" i="20"/>
  <c r="BG137" i="20"/>
  <c r="BG119" i="20"/>
  <c r="BG198" i="20"/>
  <c r="BG169" i="20"/>
  <c r="BG165" i="20"/>
  <c r="BG149" i="20"/>
  <c r="BG134" i="20"/>
  <c r="BG204" i="20"/>
  <c r="BG186" i="20"/>
  <c r="BG170" i="20"/>
  <c r="BG154" i="20"/>
  <c r="BG138" i="20"/>
  <c r="BG121" i="20"/>
  <c r="BG199" i="20"/>
  <c r="BG191" i="20"/>
  <c r="BG174" i="20"/>
  <c r="BG158" i="20"/>
  <c r="BG140" i="20"/>
  <c r="BG126" i="20"/>
  <c r="BG110" i="20"/>
  <c r="BG188" i="20"/>
  <c r="BG118" i="20"/>
  <c r="BG200" i="20"/>
  <c r="BG178" i="20"/>
  <c r="BG162" i="20"/>
  <c r="BG146" i="20"/>
  <c r="BG130" i="20"/>
  <c r="BG113" i="20"/>
  <c r="BG192" i="20"/>
  <c r="BG182" i="20"/>
  <c r="BG166" i="20"/>
  <c r="BG150" i="20"/>
  <c r="BG132" i="20"/>
  <c r="BG117" i="20"/>
  <c r="BG195" i="20"/>
  <c r="B59" i="20"/>
  <c r="B59" i="21"/>
  <c r="B18" i="20"/>
  <c r="B18" i="21"/>
  <c r="B12" i="21"/>
  <c r="B25" i="20"/>
  <c r="B25" i="21"/>
  <c r="B50" i="21"/>
  <c r="B50" i="20"/>
  <c r="B23" i="20"/>
  <c r="B23" i="21"/>
  <c r="B47" i="20"/>
  <c r="B47" i="21"/>
  <c r="B46" i="20"/>
  <c r="B46" i="21"/>
  <c r="K21" i="20"/>
  <c r="K23" i="20"/>
  <c r="K22" i="20"/>
  <c r="B14" i="21"/>
  <c r="K189" i="20"/>
  <c r="K190" i="20"/>
  <c r="K191" i="20"/>
  <c r="K192" i="20"/>
  <c r="K194" i="20"/>
  <c r="K117" i="20"/>
  <c r="BJ117" i="20" s="1"/>
  <c r="K118" i="20"/>
  <c r="K119" i="20"/>
  <c r="K120" i="20"/>
  <c r="K121" i="20"/>
  <c r="K122" i="20"/>
  <c r="K123" i="20"/>
  <c r="BJ123" i="20" s="1"/>
  <c r="K124" i="20"/>
  <c r="K125" i="20"/>
  <c r="K126" i="20"/>
  <c r="K127" i="20"/>
  <c r="K128" i="20"/>
  <c r="K129" i="20"/>
  <c r="K130" i="20"/>
  <c r="K131" i="20"/>
  <c r="BJ131" i="20" s="1"/>
  <c r="K132" i="20"/>
  <c r="K133" i="20"/>
  <c r="K140" i="20"/>
  <c r="K141" i="20"/>
  <c r="K151" i="20"/>
  <c r="K152" i="20"/>
  <c r="K153" i="20"/>
  <c r="K154" i="20"/>
  <c r="K159" i="20"/>
  <c r="K160" i="20"/>
  <c r="K161" i="20"/>
  <c r="K162" i="20"/>
  <c r="K167" i="20"/>
  <c r="K168" i="20"/>
  <c r="K169" i="20"/>
  <c r="K170" i="20"/>
  <c r="K175" i="20"/>
  <c r="K176" i="20"/>
  <c r="K177" i="20"/>
  <c r="K178" i="20"/>
  <c r="K183" i="20"/>
  <c r="K184" i="20"/>
  <c r="K185" i="20"/>
  <c r="K186" i="20"/>
  <c r="K187" i="20"/>
  <c r="K188" i="20"/>
  <c r="K193" i="20"/>
  <c r="K195" i="20"/>
  <c r="K196" i="20"/>
  <c r="K197" i="20"/>
  <c r="K198" i="20"/>
  <c r="K199" i="20"/>
  <c r="K200" i="20"/>
  <c r="K201" i="20"/>
  <c r="BJ201" i="20" s="1"/>
  <c r="K202" i="20"/>
  <c r="K203" i="20"/>
  <c r="K204" i="20"/>
  <c r="K205" i="20"/>
  <c r="K206" i="20"/>
  <c r="K207" i="20"/>
  <c r="K208" i="20"/>
  <c r="K209" i="20"/>
  <c r="K110" i="20"/>
  <c r="K111" i="20"/>
  <c r="K112" i="20"/>
  <c r="K113" i="20"/>
  <c r="K114" i="20"/>
  <c r="K115" i="20"/>
  <c r="K116" i="20"/>
  <c r="K134" i="20"/>
  <c r="K135" i="20"/>
  <c r="BJ135" i="20" s="1"/>
  <c r="K136" i="20"/>
  <c r="K137" i="20"/>
  <c r="K138" i="20"/>
  <c r="BJ138" i="20" s="1"/>
  <c r="K139" i="20"/>
  <c r="K142" i="20"/>
  <c r="K143" i="20"/>
  <c r="K144" i="20"/>
  <c r="BJ144" i="20" s="1"/>
  <c r="K145" i="20"/>
  <c r="BJ145" i="20" s="1"/>
  <c r="K146" i="20"/>
  <c r="BJ146" i="20" s="1"/>
  <c r="K147" i="20"/>
  <c r="K148" i="20"/>
  <c r="K149" i="20"/>
  <c r="K150" i="20"/>
  <c r="K155" i="20"/>
  <c r="K156" i="20"/>
  <c r="K157" i="20"/>
  <c r="K158" i="20"/>
  <c r="K163" i="20"/>
  <c r="K164" i="20"/>
  <c r="K165" i="20"/>
  <c r="K166" i="20"/>
  <c r="K171" i="20"/>
  <c r="K172" i="20"/>
  <c r="K173" i="20"/>
  <c r="K174" i="20"/>
  <c r="K179" i="20"/>
  <c r="BJ179" i="20" s="1"/>
  <c r="K180" i="20"/>
  <c r="K181" i="20"/>
  <c r="K182" i="20"/>
  <c r="B22" i="20"/>
  <c r="B22" i="21"/>
  <c r="B43" i="20"/>
  <c r="B41" i="20"/>
  <c r="B77" i="20"/>
  <c r="B39" i="20"/>
  <c r="BG106" i="20"/>
  <c r="BG104" i="20"/>
  <c r="BG101" i="20"/>
  <c r="BG92" i="20"/>
  <c r="BG93" i="20"/>
  <c r="BG85" i="20"/>
  <c r="BG86" i="20"/>
  <c r="BG77" i="20"/>
  <c r="BG70" i="20"/>
  <c r="BG65" i="20"/>
  <c r="BG73" i="20"/>
  <c r="BG62" i="20"/>
  <c r="BG57" i="20"/>
  <c r="BG56" i="20"/>
  <c r="BG52" i="20"/>
  <c r="BG48" i="20"/>
  <c r="BG28" i="20"/>
  <c r="BG17" i="20"/>
  <c r="BG44" i="20"/>
  <c r="BG40" i="20"/>
  <c r="BG36" i="20"/>
  <c r="BG29" i="20"/>
  <c r="BG22" i="20"/>
  <c r="BG16" i="20"/>
  <c r="BG15" i="20"/>
  <c r="BG11" i="20"/>
  <c r="BG108" i="20"/>
  <c r="BG105" i="20"/>
  <c r="BG103" i="20"/>
  <c r="BG99" i="20"/>
  <c r="BG87" i="20"/>
  <c r="BG84" i="20"/>
  <c r="BG69" i="20"/>
  <c r="BG72" i="20"/>
  <c r="BG58" i="20"/>
  <c r="BG53" i="20"/>
  <c r="BG31" i="20"/>
  <c r="BG41" i="20"/>
  <c r="BG30" i="20"/>
  <c r="BG12" i="20"/>
  <c r="BG91" i="20"/>
  <c r="BG78" i="20"/>
  <c r="BG67" i="20"/>
  <c r="BG60" i="20"/>
  <c r="BG55" i="20"/>
  <c r="BG35" i="20"/>
  <c r="BG47" i="20"/>
  <c r="BG39" i="20"/>
  <c r="BG25" i="20"/>
  <c r="BG14" i="20"/>
  <c r="BG10" i="20"/>
  <c r="BG107" i="20"/>
  <c r="BG100" i="20"/>
  <c r="BG96" i="20"/>
  <c r="BG97" i="20"/>
  <c r="BG89" i="20"/>
  <c r="BG90" i="20"/>
  <c r="BG81" i="20"/>
  <c r="BG75" i="20"/>
  <c r="BG68" i="20"/>
  <c r="BG80" i="20"/>
  <c r="BG71" i="20"/>
  <c r="BG59" i="20"/>
  <c r="BG63" i="20"/>
  <c r="BG54" i="20"/>
  <c r="BG50" i="20"/>
  <c r="BG34" i="20"/>
  <c r="BG26" i="20"/>
  <c r="BG46" i="20"/>
  <c r="BG42" i="20"/>
  <c r="BG38" i="20"/>
  <c r="BG32" i="20"/>
  <c r="BG24" i="20"/>
  <c r="BG18" i="20"/>
  <c r="BG19" i="20"/>
  <c r="BG13" i="20"/>
  <c r="BG9" i="20"/>
  <c r="BG109" i="20"/>
  <c r="BG102" i="20"/>
  <c r="BG94" i="20"/>
  <c r="BG95" i="20"/>
  <c r="BG83" i="20"/>
  <c r="BG76" i="20"/>
  <c r="BG82" i="20"/>
  <c r="BG64" i="20"/>
  <c r="BG61" i="20"/>
  <c r="BG49" i="20"/>
  <c r="BG43" i="20"/>
  <c r="BG37" i="20"/>
  <c r="BG23" i="20"/>
  <c r="BG98" i="20"/>
  <c r="BG88" i="20"/>
  <c r="BG74" i="20"/>
  <c r="BG79" i="20"/>
  <c r="BG66" i="20"/>
  <c r="BG51" i="20"/>
  <c r="BG27" i="20"/>
  <c r="BG45" i="20"/>
  <c r="BG33" i="20"/>
  <c r="BG20" i="20"/>
  <c r="BG21" i="20"/>
  <c r="B19" i="20"/>
  <c r="B12" i="20"/>
  <c r="B37" i="20"/>
  <c r="B42" i="20"/>
  <c r="K26" i="20"/>
  <c r="K10" i="20"/>
  <c r="K12" i="20"/>
  <c r="K14" i="20"/>
  <c r="K16" i="20"/>
  <c r="BJ16" i="20" s="1"/>
  <c r="K18" i="20"/>
  <c r="K20" i="20"/>
  <c r="K25" i="20"/>
  <c r="K28" i="20"/>
  <c r="K30" i="20"/>
  <c r="K32" i="20"/>
  <c r="BJ32" i="20" s="1"/>
  <c r="K34" i="20"/>
  <c r="K36" i="20"/>
  <c r="K38" i="20"/>
  <c r="K40" i="20"/>
  <c r="K42" i="20"/>
  <c r="K44" i="20"/>
  <c r="BJ44" i="20" s="1"/>
  <c r="K46" i="20"/>
  <c r="BJ46" i="20" s="1"/>
  <c r="K48" i="20"/>
  <c r="K50" i="20"/>
  <c r="BJ50" i="20" s="1"/>
  <c r="K52" i="20"/>
  <c r="K54" i="20"/>
  <c r="K56" i="20"/>
  <c r="BJ56" i="20" s="1"/>
  <c r="K58" i="20"/>
  <c r="K60" i="20"/>
  <c r="K62" i="20"/>
  <c r="K64" i="20"/>
  <c r="K66" i="20"/>
  <c r="K68" i="20"/>
  <c r="BJ68" i="20" s="1"/>
  <c r="K70" i="20"/>
  <c r="K72" i="20"/>
  <c r="K74" i="20"/>
  <c r="K76" i="20"/>
  <c r="K78" i="20"/>
  <c r="K80" i="20"/>
  <c r="K82" i="20"/>
  <c r="BJ82" i="20" s="1"/>
  <c r="K84" i="20"/>
  <c r="K86" i="20"/>
  <c r="K88" i="20"/>
  <c r="K90" i="20"/>
  <c r="K92" i="20"/>
  <c r="K94" i="20"/>
  <c r="K96" i="20"/>
  <c r="K98" i="20"/>
  <c r="K100" i="20"/>
  <c r="K102" i="20"/>
  <c r="K104" i="20"/>
  <c r="K106" i="20"/>
  <c r="K108" i="20"/>
  <c r="K9" i="20"/>
  <c r="B14" i="20"/>
  <c r="K11" i="20"/>
  <c r="K13" i="20"/>
  <c r="K15" i="20"/>
  <c r="K17" i="20"/>
  <c r="K19" i="20"/>
  <c r="K24" i="20"/>
  <c r="K27" i="20"/>
  <c r="K29" i="20"/>
  <c r="K31" i="20"/>
  <c r="K33" i="20"/>
  <c r="K35" i="20"/>
  <c r="K37" i="20"/>
  <c r="K39" i="20"/>
  <c r="K41" i="20"/>
  <c r="K43" i="20"/>
  <c r="K45" i="20"/>
  <c r="K47" i="20"/>
  <c r="K49" i="20"/>
  <c r="K51" i="20"/>
  <c r="K53" i="20"/>
  <c r="K55" i="20"/>
  <c r="K57" i="20"/>
  <c r="K59" i="20"/>
  <c r="K61" i="20"/>
  <c r="K63" i="20"/>
  <c r="K65" i="20"/>
  <c r="K67" i="20"/>
  <c r="K69" i="20"/>
  <c r="K71" i="20"/>
  <c r="K73" i="20"/>
  <c r="K75" i="20"/>
  <c r="K77" i="20"/>
  <c r="K79" i="20"/>
  <c r="K81" i="20"/>
  <c r="BJ81" i="20" s="1"/>
  <c r="K83" i="20"/>
  <c r="K85" i="20"/>
  <c r="K87" i="20"/>
  <c r="K89" i="20"/>
  <c r="K91" i="20"/>
  <c r="K93" i="20"/>
  <c r="K95" i="20"/>
  <c r="K97" i="20"/>
  <c r="K99" i="20"/>
  <c r="K101" i="20"/>
  <c r="K103" i="20"/>
  <c r="K105" i="20"/>
  <c r="K107" i="20"/>
  <c r="BJ107" i="20" s="1"/>
  <c r="K109" i="20"/>
  <c r="B58" i="20"/>
  <c r="D188" i="2"/>
  <c r="D186" i="2"/>
  <c r="H186" i="2"/>
  <c r="D126" i="2"/>
  <c r="D125" i="2"/>
  <c r="D124" i="2"/>
  <c r="D425" i="2"/>
  <c r="B464" i="2"/>
  <c r="B425" i="2"/>
  <c r="C466" i="2"/>
  <c r="B490" i="2"/>
  <c r="K356" i="2"/>
  <c r="A478" i="2"/>
  <c r="B478" i="2"/>
  <c r="D135" i="2"/>
  <c r="B301" i="2"/>
  <c r="B300" i="2"/>
  <c r="B304" i="2" s="1"/>
  <c r="E377" i="2"/>
  <c r="D137" i="2"/>
  <c r="D140" i="2"/>
  <c r="D142" i="2"/>
  <c r="B75" i="2"/>
  <c r="H3" i="8"/>
  <c r="H159" i="8" s="1"/>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B15" i="2"/>
  <c r="B17" i="2" s="1"/>
  <c r="B14" i="2"/>
  <c r="B5" i="32" s="1"/>
  <c r="D168" i="2"/>
  <c r="E84" i="2"/>
  <c r="E85" i="2"/>
  <c r="D170" i="2"/>
  <c r="E86" i="2"/>
  <c r="M152" i="2"/>
  <c r="D108" i="2"/>
  <c r="D157" i="2"/>
  <c r="C55" i="2"/>
  <c r="C78" i="2"/>
  <c r="C96" i="2"/>
  <c r="D64" i="2"/>
  <c r="C98" i="2"/>
  <c r="D66" i="2"/>
  <c r="C56" i="2"/>
  <c r="D109" i="2"/>
  <c r="C80" i="2"/>
  <c r="C57" i="2"/>
  <c r="D159" i="2"/>
  <c r="M154" i="2"/>
  <c r="C79" i="2"/>
  <c r="M153" i="2"/>
  <c r="D65" i="2"/>
  <c r="C97" i="2"/>
  <c r="D110" i="2"/>
  <c r="B57" i="2"/>
  <c r="B55" i="2"/>
  <c r="B60" i="2" s="1"/>
  <c r="B56" i="2"/>
  <c r="B61" i="2" s="1"/>
  <c r="C52" i="2"/>
  <c r="B52" i="2"/>
  <c r="B53" i="2" s="1"/>
  <c r="B488" i="2"/>
  <c r="R21" i="8"/>
  <c r="Q4" i="8"/>
  <c r="R4" i="8" s="1"/>
  <c r="E13" i="1" s="1"/>
  <c r="R9" i="8"/>
  <c r="B400" i="2"/>
  <c r="D377" i="2"/>
  <c r="K159" i="8"/>
  <c r="K158" i="8" s="1"/>
  <c r="K157" i="8" s="1"/>
  <c r="K156" i="8" s="1"/>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R23" i="8" s="1"/>
  <c r="N10" i="26" s="1"/>
  <c r="E27" i="1" s="1"/>
  <c r="L159" i="8"/>
  <c r="L158" i="8" s="1"/>
  <c r="L157" i="8" s="1"/>
  <c r="L156" i="8" s="1"/>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B4" i="6"/>
  <c r="B12" i="6" s="1"/>
  <c r="B13" i="6" s="1"/>
  <c r="B101" i="2"/>
  <c r="B357" i="2"/>
  <c r="G3" i="8"/>
  <c r="G159" i="8" s="1"/>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G4" i="8" s="1"/>
  <c r="K19" i="27" l="1"/>
  <c r="M19" i="27" s="1"/>
  <c r="B382" i="2"/>
  <c r="Q10" i="8" s="1"/>
  <c r="R10" i="8" s="1"/>
  <c r="B33" i="32"/>
  <c r="K16" i="27"/>
  <c r="M16" i="27" s="1"/>
  <c r="Q22" i="27"/>
  <c r="Q10" i="27"/>
  <c r="L66" i="20"/>
  <c r="K18" i="27"/>
  <c r="L18" i="27" s="1"/>
  <c r="N18" i="27" s="1"/>
  <c r="K15" i="27"/>
  <c r="L15" i="27" s="1"/>
  <c r="N15" i="27" s="1"/>
  <c r="B34" i="32"/>
  <c r="L3" i="31"/>
  <c r="O3" i="32"/>
  <c r="B338" i="2"/>
  <c r="C3" i="31" s="1"/>
  <c r="B25" i="2"/>
  <c r="B384" i="2"/>
  <c r="B213"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B9" i="8" s="1"/>
  <c r="B8" i="8" s="1"/>
  <c r="B7" i="8" s="1"/>
  <c r="B6" i="8" s="1"/>
  <c r="B4" i="8" s="1"/>
  <c r="B214" i="2" s="1"/>
  <c r="K13" i="27"/>
  <c r="L13" i="27" s="1"/>
  <c r="N13" i="27" s="1"/>
  <c r="K17" i="27"/>
  <c r="L17" i="27" s="1"/>
  <c r="N17" i="27" s="1"/>
  <c r="Q11" i="27"/>
  <c r="K14" i="27"/>
  <c r="L14" i="27" s="1"/>
  <c r="N14" i="27" s="1"/>
  <c r="Q24" i="27"/>
  <c r="K23" i="27"/>
  <c r="L23" i="27" s="1"/>
  <c r="N23" i="27" s="1"/>
  <c r="X81" i="27"/>
  <c r="S81" i="27"/>
  <c r="AC81" i="27"/>
  <c r="K20" i="27"/>
  <c r="M20" i="27" s="1"/>
  <c r="L12" i="27"/>
  <c r="N12" i="27" s="1"/>
  <c r="Q12" i="27"/>
  <c r="L24" i="27"/>
  <c r="N24" i="27" s="1"/>
  <c r="M21" i="27"/>
  <c r="L22" i="27"/>
  <c r="N22" i="27" s="1"/>
  <c r="M11" i="27"/>
  <c r="J87" i="27"/>
  <c r="J37" i="27"/>
  <c r="K37" i="27" s="1"/>
  <c r="J101" i="27"/>
  <c r="J95" i="27"/>
  <c r="J84" i="27"/>
  <c r="J49" i="27"/>
  <c r="K49" i="27" s="1"/>
  <c r="J34" i="27"/>
  <c r="K34" i="27" s="1"/>
  <c r="J17" i="27"/>
  <c r="J97" i="27"/>
  <c r="J92" i="27"/>
  <c r="J89" i="27"/>
  <c r="J48" i="27"/>
  <c r="K48" i="27" s="1"/>
  <c r="J33" i="27"/>
  <c r="K33" i="27" s="1"/>
  <c r="J19" i="27"/>
  <c r="J10" i="27"/>
  <c r="K10" i="27" s="1"/>
  <c r="J94" i="27"/>
  <c r="J21" i="27"/>
  <c r="J15" i="27"/>
  <c r="J5" i="27"/>
  <c r="K5" i="27" s="1"/>
  <c r="J85" i="27"/>
  <c r="J24" i="27"/>
  <c r="J14" i="27"/>
  <c r="J8" i="27"/>
  <c r="K8" i="27" s="1"/>
  <c r="J23" i="27"/>
  <c r="J98" i="27"/>
  <c r="J47" i="27"/>
  <c r="K47" i="27" s="1"/>
  <c r="J43" i="27"/>
  <c r="K43" i="27" s="1"/>
  <c r="J12" i="27"/>
  <c r="J102" i="27"/>
  <c r="J93" i="27"/>
  <c r="J42" i="27"/>
  <c r="K42" i="27" s="1"/>
  <c r="J20" i="27"/>
  <c r="J11" i="27"/>
  <c r="J7" i="27"/>
  <c r="K7" i="27" s="1"/>
  <c r="L7" i="27" s="1"/>
  <c r="N7" i="27" s="1"/>
  <c r="J16" i="27"/>
  <c r="J18" i="27"/>
  <c r="J88" i="27"/>
  <c r="J83" i="27"/>
  <c r="J39" i="27"/>
  <c r="K39" i="27" s="1"/>
  <c r="J100" i="27"/>
  <c r="J91" i="27"/>
  <c r="J38" i="27"/>
  <c r="K38" i="27" s="1"/>
  <c r="J90" i="27"/>
  <c r="J96" i="27"/>
  <c r="J86" i="27"/>
  <c r="J82" i="27"/>
  <c r="J22" i="27"/>
  <c r="J13" i="27"/>
  <c r="J9" i="27"/>
  <c r="K9" i="27" s="1"/>
  <c r="J6" i="27"/>
  <c r="K6" i="27" s="1"/>
  <c r="J99" i="27"/>
  <c r="J46" i="27"/>
  <c r="K46" i="27" s="1"/>
  <c r="J31" i="27"/>
  <c r="K31" i="27" s="1"/>
  <c r="J32" i="27"/>
  <c r="K32" i="27" s="1"/>
  <c r="J35" i="27"/>
  <c r="K35" i="27" s="1"/>
  <c r="J44" i="27"/>
  <c r="K44" i="27" s="1"/>
  <c r="J45" i="27"/>
  <c r="K45" i="27" s="1"/>
  <c r="J30" i="27"/>
  <c r="K30" i="27" s="1"/>
  <c r="J50" i="27"/>
  <c r="K50" i="27" s="1"/>
  <c r="J36" i="27"/>
  <c r="K36" i="27" s="1"/>
  <c r="J40" i="27"/>
  <c r="K40" i="27" s="1"/>
  <c r="J41" i="27"/>
  <c r="K41" i="27" s="1"/>
  <c r="J59" i="27"/>
  <c r="K59" i="27" s="1"/>
  <c r="J60" i="27"/>
  <c r="K60" i="27" s="1"/>
  <c r="J69" i="27"/>
  <c r="K69" i="27" s="1"/>
  <c r="J67" i="27"/>
  <c r="K67" i="27" s="1"/>
  <c r="J76" i="27"/>
  <c r="K76" i="27" s="1"/>
  <c r="J63" i="27"/>
  <c r="K63" i="27" s="1"/>
  <c r="J64" i="27"/>
  <c r="K64" i="27" s="1"/>
  <c r="J66" i="27"/>
  <c r="K66" i="27" s="1"/>
  <c r="J62" i="27"/>
  <c r="K62" i="27" s="1"/>
  <c r="J74" i="27"/>
  <c r="K74" i="27" s="1"/>
  <c r="J70" i="27"/>
  <c r="K70" i="27" s="1"/>
  <c r="J4" i="27"/>
  <c r="K4" i="27" s="1"/>
  <c r="M4" i="27" s="1"/>
  <c r="J57" i="27"/>
  <c r="K57" i="27" s="1"/>
  <c r="J58" i="27"/>
  <c r="K58" i="27" s="1"/>
  <c r="J72" i="27"/>
  <c r="K72" i="27" s="1"/>
  <c r="J73" i="27"/>
  <c r="K73" i="27" s="1"/>
  <c r="J71" i="27"/>
  <c r="K71" i="27" s="1"/>
  <c r="J61" i="27"/>
  <c r="K61" i="27" s="1"/>
  <c r="J68" i="27"/>
  <c r="K68" i="27" s="1"/>
  <c r="J65" i="27"/>
  <c r="K65" i="27" s="1"/>
  <c r="J56" i="27"/>
  <c r="K56" i="27" s="1"/>
  <c r="J75" i="27"/>
  <c r="K75" i="27" s="1"/>
  <c r="I96" i="27"/>
  <c r="I90" i="27"/>
  <c r="L90" i="27" s="1"/>
  <c r="I85" i="27"/>
  <c r="I60" i="27"/>
  <c r="Q60" i="27" s="1"/>
  <c r="I56" i="27"/>
  <c r="Q56" i="27" s="1"/>
  <c r="I45" i="27"/>
  <c r="Q45" i="27" s="1"/>
  <c r="I37" i="27"/>
  <c r="Q37" i="27" s="1"/>
  <c r="I102" i="27"/>
  <c r="M102" i="27" s="1"/>
  <c r="I95" i="27"/>
  <c r="M95" i="27" s="1"/>
  <c r="I89" i="27"/>
  <c r="I84" i="27"/>
  <c r="L84" i="27" s="1"/>
  <c r="I74" i="27"/>
  <c r="Q74" i="27" s="1"/>
  <c r="I70" i="27"/>
  <c r="Q70" i="27" s="1"/>
  <c r="I65" i="27"/>
  <c r="Q65" i="27" s="1"/>
  <c r="I44" i="27"/>
  <c r="Q44" i="27" s="1"/>
  <c r="I36" i="27"/>
  <c r="Q36" i="27" s="1"/>
  <c r="I101" i="27"/>
  <c r="L101" i="27" s="1"/>
  <c r="I94" i="27"/>
  <c r="I69" i="27"/>
  <c r="Q69" i="27" s="1"/>
  <c r="I59" i="27"/>
  <c r="Q59" i="27" s="1"/>
  <c r="I43" i="27"/>
  <c r="Q43" i="27" s="1"/>
  <c r="I35" i="27"/>
  <c r="Q35" i="27" s="1"/>
  <c r="I92" i="27"/>
  <c r="L92" i="27" s="1"/>
  <c r="I83" i="27"/>
  <c r="I48" i="27"/>
  <c r="Q48" i="27" s="1"/>
  <c r="I34" i="27"/>
  <c r="Q34" i="27" s="1"/>
  <c r="I71" i="27"/>
  <c r="Q71" i="27" s="1"/>
  <c r="I63" i="27"/>
  <c r="Q63" i="27" s="1"/>
  <c r="I46" i="27"/>
  <c r="Q46" i="27" s="1"/>
  <c r="I100" i="27"/>
  <c r="M100" i="27" s="1"/>
  <c r="I82" i="27"/>
  <c r="M82" i="27" s="1"/>
  <c r="I47" i="27"/>
  <c r="Q47" i="27" s="1"/>
  <c r="I33" i="27"/>
  <c r="Q33" i="27" s="1"/>
  <c r="I64" i="27"/>
  <c r="Q64" i="27" s="1"/>
  <c r="I91" i="27"/>
  <c r="M91" i="27" s="1"/>
  <c r="I76" i="27"/>
  <c r="Q76" i="27" s="1"/>
  <c r="I68" i="27"/>
  <c r="Q68" i="27" s="1"/>
  <c r="I62" i="27"/>
  <c r="Q62" i="27" s="1"/>
  <c r="I32" i="27"/>
  <c r="Q32" i="27" s="1"/>
  <c r="I72" i="27"/>
  <c r="Q72" i="27" s="1"/>
  <c r="I99" i="27"/>
  <c r="I88" i="27"/>
  <c r="I61" i="27"/>
  <c r="Q61" i="27" s="1"/>
  <c r="I42" i="27"/>
  <c r="Q42" i="27" s="1"/>
  <c r="I31" i="27"/>
  <c r="Q31" i="27" s="1"/>
  <c r="I41" i="27"/>
  <c r="Q41" i="27" s="1"/>
  <c r="I57" i="27"/>
  <c r="Q57" i="27" s="1"/>
  <c r="I98" i="27"/>
  <c r="L98" i="27" s="1"/>
  <c r="I87" i="27"/>
  <c r="I75" i="27"/>
  <c r="Q75" i="27" s="1"/>
  <c r="I67" i="27"/>
  <c r="Q67" i="27" s="1"/>
  <c r="I49" i="27"/>
  <c r="Q49" i="27" s="1"/>
  <c r="I97" i="27"/>
  <c r="I73" i="27"/>
  <c r="Q73" i="27" s="1"/>
  <c r="I58" i="27"/>
  <c r="Q58" i="27" s="1"/>
  <c r="I40" i="27"/>
  <c r="Q40" i="27" s="1"/>
  <c r="I30" i="27"/>
  <c r="Q30" i="27" s="1"/>
  <c r="I86" i="27"/>
  <c r="M86" i="27" s="1"/>
  <c r="I66" i="27"/>
  <c r="Q66" i="27" s="1"/>
  <c r="I50" i="27"/>
  <c r="Q50" i="27" s="1"/>
  <c r="I39" i="27"/>
  <c r="Q39" i="27" s="1"/>
  <c r="I93" i="27"/>
  <c r="L93" i="27" s="1"/>
  <c r="I38" i="27"/>
  <c r="Q38" i="27" s="1"/>
  <c r="L83" i="27"/>
  <c r="O74" i="2"/>
  <c r="B68" i="2" s="1"/>
  <c r="B62" i="2"/>
  <c r="B66" i="2" s="1"/>
  <c r="L10" i="21"/>
  <c r="L13" i="20"/>
  <c r="L20" i="21"/>
  <c r="L63" i="21"/>
  <c r="BJ109" i="21"/>
  <c r="L106" i="21"/>
  <c r="L99" i="21"/>
  <c r="L98" i="21"/>
  <c r="L84" i="21"/>
  <c r="L102" i="21"/>
  <c r="L126" i="20"/>
  <c r="L70" i="21"/>
  <c r="L69" i="20"/>
  <c r="L49" i="21"/>
  <c r="L35" i="21"/>
  <c r="BJ62" i="21"/>
  <c r="L57" i="21"/>
  <c r="L92" i="21"/>
  <c r="L107" i="21"/>
  <c r="BJ22" i="21"/>
  <c r="L48" i="21"/>
  <c r="L32" i="21"/>
  <c r="BJ65" i="21"/>
  <c r="BJ51" i="21"/>
  <c r="L69" i="21"/>
  <c r="L38" i="21"/>
  <c r="L34" i="21"/>
  <c r="L78" i="21"/>
  <c r="L64" i="21"/>
  <c r="BJ54" i="21"/>
  <c r="BJ15" i="21"/>
  <c r="BJ79" i="21"/>
  <c r="BJ36" i="21"/>
  <c r="L121" i="20"/>
  <c r="L93" i="21"/>
  <c r="L37" i="21"/>
  <c r="L100" i="21"/>
  <c r="L87" i="21"/>
  <c r="L27" i="20"/>
  <c r="L108" i="21"/>
  <c r="L61" i="21"/>
  <c r="L44" i="21"/>
  <c r="L160" i="20"/>
  <c r="L40" i="21"/>
  <c r="L59" i="21"/>
  <c r="L91" i="20"/>
  <c r="L96" i="21"/>
  <c r="L23" i="21"/>
  <c r="L73" i="21"/>
  <c r="L42" i="21"/>
  <c r="L94" i="21"/>
  <c r="L88" i="21"/>
  <c r="L13" i="21"/>
  <c r="L74" i="20"/>
  <c r="L72" i="21"/>
  <c r="L85" i="21"/>
  <c r="B148" i="2"/>
  <c r="E36" i="1" s="1"/>
  <c r="B149" i="2"/>
  <c r="L30" i="21"/>
  <c r="BJ47" i="21"/>
  <c r="L33" i="21"/>
  <c r="L45" i="21"/>
  <c r="L74" i="21"/>
  <c r="BJ68" i="21"/>
  <c r="L50" i="21"/>
  <c r="L83" i="21"/>
  <c r="L16" i="21"/>
  <c r="L97" i="21"/>
  <c r="BJ95" i="21"/>
  <c r="BJ81" i="21"/>
  <c r="L55" i="21"/>
  <c r="L104" i="21"/>
  <c r="L19" i="21"/>
  <c r="L28" i="21"/>
  <c r="L55" i="20"/>
  <c r="L29" i="21"/>
  <c r="L58" i="21"/>
  <c r="L67" i="21"/>
  <c r="L71" i="21"/>
  <c r="BJ43" i="21"/>
  <c r="L53" i="21"/>
  <c r="L101" i="21"/>
  <c r="L31" i="21"/>
  <c r="L52" i="21"/>
  <c r="L17" i="21"/>
  <c r="L26" i="21"/>
  <c r="L56" i="21"/>
  <c r="BJ46" i="21"/>
  <c r="BJ77" i="21"/>
  <c r="BJ12" i="21"/>
  <c r="L105" i="21"/>
  <c r="L82" i="21"/>
  <c r="L190" i="20"/>
  <c r="BJ24" i="21"/>
  <c r="L70" i="20"/>
  <c r="L76" i="21"/>
  <c r="BJ91" i="21"/>
  <c r="L90" i="21"/>
  <c r="L41" i="21"/>
  <c r="L27" i="21"/>
  <c r="BJ149" i="20"/>
  <c r="L149" i="20"/>
  <c r="BJ206" i="20"/>
  <c r="L206" i="20"/>
  <c r="BJ185" i="20"/>
  <c r="L185" i="20"/>
  <c r="BJ169" i="20"/>
  <c r="L169" i="20"/>
  <c r="L153" i="20"/>
  <c r="BJ153" i="20"/>
  <c r="BJ130" i="20"/>
  <c r="L130" i="20"/>
  <c r="BJ122" i="20"/>
  <c r="L122" i="20"/>
  <c r="L123" i="20"/>
  <c r="L32" i="20"/>
  <c r="L50" i="20"/>
  <c r="BJ101" i="20"/>
  <c r="L101" i="20"/>
  <c r="BJ85" i="20"/>
  <c r="L85" i="20"/>
  <c r="BJ53" i="20"/>
  <c r="L53" i="20"/>
  <c r="L37" i="20"/>
  <c r="BJ37" i="20"/>
  <c r="BJ17" i="20"/>
  <c r="L17" i="20"/>
  <c r="L104" i="20"/>
  <c r="BJ104" i="20"/>
  <c r="BJ88" i="20"/>
  <c r="L88" i="20"/>
  <c r="BJ72" i="20"/>
  <c r="L72" i="20"/>
  <c r="BJ40" i="20"/>
  <c r="L40" i="20"/>
  <c r="BJ20" i="20"/>
  <c r="L20" i="20"/>
  <c r="L180" i="20"/>
  <c r="BJ180" i="20"/>
  <c r="BJ164" i="20"/>
  <c r="L164" i="20"/>
  <c r="BJ148" i="20"/>
  <c r="L148" i="20"/>
  <c r="L113" i="20"/>
  <c r="BJ113" i="20"/>
  <c r="BJ205" i="20"/>
  <c r="L205" i="20"/>
  <c r="BJ197" i="20"/>
  <c r="L197" i="20"/>
  <c r="BJ184" i="20"/>
  <c r="L184" i="20"/>
  <c r="BJ168" i="20"/>
  <c r="L168" i="20"/>
  <c r="BJ152" i="20"/>
  <c r="L152" i="20"/>
  <c r="BJ129" i="20"/>
  <c r="L129" i="20"/>
  <c r="BJ190" i="20"/>
  <c r="L107" i="20"/>
  <c r="L82" i="20"/>
  <c r="BJ74" i="20"/>
  <c r="BJ103" i="20"/>
  <c r="L103" i="20"/>
  <c r="BJ87" i="20"/>
  <c r="L87" i="20"/>
  <c r="BJ71" i="20"/>
  <c r="L71" i="20"/>
  <c r="BJ39" i="20"/>
  <c r="L39" i="20"/>
  <c r="BJ19" i="20"/>
  <c r="L19" i="20"/>
  <c r="BJ106" i="20"/>
  <c r="L106" i="20"/>
  <c r="BJ90" i="20"/>
  <c r="L90" i="20"/>
  <c r="BJ58" i="20"/>
  <c r="L58" i="20"/>
  <c r="BJ25" i="20"/>
  <c r="L25" i="20"/>
  <c r="BJ181" i="20"/>
  <c r="L181" i="20"/>
  <c r="BJ139" i="20"/>
  <c r="L139" i="20"/>
  <c r="L198" i="20"/>
  <c r="BJ198" i="20"/>
  <c r="BJ191" i="20"/>
  <c r="L191" i="20"/>
  <c r="BJ67" i="20"/>
  <c r="L67" i="20"/>
  <c r="L163" i="20"/>
  <c r="BJ163" i="20"/>
  <c r="BJ147" i="20"/>
  <c r="L147" i="20"/>
  <c r="BJ137" i="20"/>
  <c r="L137" i="20"/>
  <c r="BJ112" i="20"/>
  <c r="L112" i="20"/>
  <c r="BJ204" i="20"/>
  <c r="L204" i="20"/>
  <c r="BJ196" i="20"/>
  <c r="L196" i="20"/>
  <c r="BJ183" i="20"/>
  <c r="L183" i="20"/>
  <c r="BJ167" i="20"/>
  <c r="L167" i="20"/>
  <c r="BJ151" i="20"/>
  <c r="L151" i="20"/>
  <c r="BJ128" i="20"/>
  <c r="L128" i="20"/>
  <c r="L120" i="20"/>
  <c r="BJ120" i="20"/>
  <c r="L189" i="20"/>
  <c r="BJ189" i="20"/>
  <c r="L179" i="20"/>
  <c r="L145" i="20"/>
  <c r="L56" i="20"/>
  <c r="L46" i="20"/>
  <c r="BJ42" i="20"/>
  <c r="L42" i="20"/>
  <c r="L165" i="20"/>
  <c r="BJ165" i="20"/>
  <c r="L114" i="20"/>
  <c r="BJ114" i="20"/>
  <c r="BJ99" i="20"/>
  <c r="L99" i="20"/>
  <c r="BJ83" i="20"/>
  <c r="L83" i="20"/>
  <c r="BJ51" i="20"/>
  <c r="L51" i="20"/>
  <c r="BJ35" i="20"/>
  <c r="L35" i="20"/>
  <c r="BJ15" i="20"/>
  <c r="L15" i="20"/>
  <c r="BJ102" i="20"/>
  <c r="L102" i="20"/>
  <c r="BJ86" i="20"/>
  <c r="L86" i="20"/>
  <c r="BJ54" i="20"/>
  <c r="L54" i="20"/>
  <c r="BJ38" i="20"/>
  <c r="L38" i="20"/>
  <c r="BJ18" i="20"/>
  <c r="L18" i="20"/>
  <c r="L97" i="20"/>
  <c r="BJ97" i="20"/>
  <c r="L65" i="20"/>
  <c r="BJ65" i="20"/>
  <c r="BJ49" i="20"/>
  <c r="L49" i="20"/>
  <c r="BJ33" i="20"/>
  <c r="L33" i="20"/>
  <c r="BJ100" i="20"/>
  <c r="L100" i="20"/>
  <c r="BJ84" i="20"/>
  <c r="L84" i="20"/>
  <c r="BJ52" i="20"/>
  <c r="L52" i="20"/>
  <c r="BJ36" i="20"/>
  <c r="L36" i="20"/>
  <c r="BJ174" i="20"/>
  <c r="L174" i="20"/>
  <c r="BJ158" i="20"/>
  <c r="L158" i="20"/>
  <c r="BJ136" i="20"/>
  <c r="L136" i="20"/>
  <c r="BJ111" i="20"/>
  <c r="L111" i="20"/>
  <c r="BJ203" i="20"/>
  <c r="L203" i="20"/>
  <c r="BJ195" i="20"/>
  <c r="L195" i="20"/>
  <c r="BJ178" i="20"/>
  <c r="L178" i="20"/>
  <c r="BJ162" i="20"/>
  <c r="L162" i="20"/>
  <c r="BJ141" i="20"/>
  <c r="L141" i="20"/>
  <c r="BJ127" i="20"/>
  <c r="L127" i="20"/>
  <c r="BJ119" i="20"/>
  <c r="L119" i="20"/>
  <c r="L146" i="20"/>
  <c r="L81" i="20"/>
  <c r="BJ95" i="20"/>
  <c r="L95" i="20"/>
  <c r="BJ79" i="20"/>
  <c r="L79" i="20"/>
  <c r="BJ63" i="20"/>
  <c r="L63" i="20"/>
  <c r="BJ47" i="20"/>
  <c r="L47" i="20"/>
  <c r="BJ31" i="20"/>
  <c r="L31" i="20"/>
  <c r="BJ11" i="20"/>
  <c r="L11" i="20"/>
  <c r="BJ98" i="20"/>
  <c r="L98" i="20"/>
  <c r="BJ66" i="20"/>
  <c r="BJ34" i="20"/>
  <c r="L34" i="20"/>
  <c r="BJ14" i="20"/>
  <c r="L14" i="20"/>
  <c r="BJ173" i="20"/>
  <c r="L173" i="20"/>
  <c r="L157" i="20"/>
  <c r="BJ157" i="20"/>
  <c r="BJ110" i="20"/>
  <c r="L110" i="20"/>
  <c r="BJ202" i="20"/>
  <c r="L202" i="20"/>
  <c r="BJ193" i="20"/>
  <c r="L193" i="20"/>
  <c r="BJ177" i="20"/>
  <c r="L177" i="20"/>
  <c r="BJ161" i="20"/>
  <c r="L161" i="20"/>
  <c r="BJ140" i="20"/>
  <c r="L140" i="20"/>
  <c r="BJ126" i="20"/>
  <c r="BJ118" i="20"/>
  <c r="L118" i="20"/>
  <c r="BJ22" i="20"/>
  <c r="L22" i="20"/>
  <c r="L117" i="20"/>
  <c r="BJ55" i="20"/>
  <c r="BJ109" i="20"/>
  <c r="L109" i="20"/>
  <c r="BJ93" i="20"/>
  <c r="L93" i="20"/>
  <c r="L77" i="20"/>
  <c r="BJ77" i="20"/>
  <c r="BJ61" i="20"/>
  <c r="L61" i="20"/>
  <c r="BJ45" i="20"/>
  <c r="L45" i="20"/>
  <c r="L29" i="20"/>
  <c r="BJ29" i="20"/>
  <c r="BJ96" i="20"/>
  <c r="BJ80" i="20"/>
  <c r="L80" i="20"/>
  <c r="BJ64" i="20"/>
  <c r="L64" i="20"/>
  <c r="BJ48" i="20"/>
  <c r="L48" i="20"/>
  <c r="BJ12" i="20"/>
  <c r="L12" i="20"/>
  <c r="BJ172" i="20"/>
  <c r="BJ156" i="20"/>
  <c r="L156" i="20"/>
  <c r="L144" i="20"/>
  <c r="L134" i="20"/>
  <c r="BJ134" i="20"/>
  <c r="BJ209" i="20"/>
  <c r="L209" i="20"/>
  <c r="L201" i="20"/>
  <c r="BJ188" i="20"/>
  <c r="L188" i="20"/>
  <c r="BJ176" i="20"/>
  <c r="L176" i="20"/>
  <c r="BJ160" i="20"/>
  <c r="BJ133" i="20"/>
  <c r="L133" i="20"/>
  <c r="L125" i="20"/>
  <c r="BJ125" i="20"/>
  <c r="BJ23" i="20"/>
  <c r="L23" i="20"/>
  <c r="L138" i="20"/>
  <c r="L96" i="20"/>
  <c r="L44" i="20"/>
  <c r="BJ121" i="20"/>
  <c r="BJ69" i="20"/>
  <c r="BJ91" i="20"/>
  <c r="BJ75" i="20"/>
  <c r="L75" i="20"/>
  <c r="BJ59" i="20"/>
  <c r="L59" i="20"/>
  <c r="BJ43" i="20"/>
  <c r="L43" i="20"/>
  <c r="BJ9" i="20"/>
  <c r="L9" i="20"/>
  <c r="BJ94" i="20"/>
  <c r="L94" i="20"/>
  <c r="BJ78" i="20"/>
  <c r="L78" i="20"/>
  <c r="BJ62" i="20"/>
  <c r="L62" i="20"/>
  <c r="BJ30" i="20"/>
  <c r="L30" i="20"/>
  <c r="BJ10" i="20"/>
  <c r="L10" i="20"/>
  <c r="L171" i="20"/>
  <c r="BJ171" i="20"/>
  <c r="L155" i="20"/>
  <c r="BJ155" i="20"/>
  <c r="BJ143" i="20"/>
  <c r="L143" i="20"/>
  <c r="L116" i="20"/>
  <c r="BJ116" i="20"/>
  <c r="BJ208" i="20"/>
  <c r="L208" i="20"/>
  <c r="BJ200" i="20"/>
  <c r="L200" i="20"/>
  <c r="BJ187" i="20"/>
  <c r="L187" i="20"/>
  <c r="BJ175" i="20"/>
  <c r="L175" i="20"/>
  <c r="L159" i="20"/>
  <c r="BJ159" i="20"/>
  <c r="BJ132" i="20"/>
  <c r="L132" i="20"/>
  <c r="BJ124" i="20"/>
  <c r="L124" i="20"/>
  <c r="L194" i="20"/>
  <c r="BJ194" i="20"/>
  <c r="BJ21" i="20"/>
  <c r="L21" i="20"/>
  <c r="L135" i="20"/>
  <c r="L16" i="20"/>
  <c r="L172" i="20"/>
  <c r="BJ13" i="20"/>
  <c r="BJ27" i="20"/>
  <c r="BJ70" i="20"/>
  <c r="L105" i="20"/>
  <c r="BJ105" i="20"/>
  <c r="BJ89" i="20"/>
  <c r="L89" i="20"/>
  <c r="BJ73" i="20"/>
  <c r="L73" i="20"/>
  <c r="BJ57" i="20"/>
  <c r="L57" i="20"/>
  <c r="BJ41" i="20"/>
  <c r="L41" i="20"/>
  <c r="BJ24" i="20"/>
  <c r="L24" i="20"/>
  <c r="BJ108" i="20"/>
  <c r="BJ92" i="20"/>
  <c r="L92" i="20"/>
  <c r="BJ76" i="20"/>
  <c r="L76" i="20"/>
  <c r="BJ60" i="20"/>
  <c r="L60" i="20"/>
  <c r="BJ28" i="20"/>
  <c r="L28" i="20"/>
  <c r="BJ26" i="20"/>
  <c r="L26" i="20"/>
  <c r="BJ182" i="20"/>
  <c r="L182" i="20"/>
  <c r="BJ166" i="20"/>
  <c r="L166" i="20"/>
  <c r="BJ150" i="20"/>
  <c r="L150" i="20"/>
  <c r="BJ142" i="20"/>
  <c r="L142" i="20"/>
  <c r="BJ115" i="20"/>
  <c r="L115" i="20"/>
  <c r="BJ207" i="20"/>
  <c r="L207" i="20"/>
  <c r="BJ199" i="20"/>
  <c r="L199" i="20"/>
  <c r="BJ186" i="20"/>
  <c r="L186" i="20"/>
  <c r="BJ170" i="20"/>
  <c r="L170" i="20"/>
  <c r="BJ154" i="20"/>
  <c r="L154" i="20"/>
  <c r="BJ192" i="20"/>
  <c r="L192" i="20"/>
  <c r="L131" i="20"/>
  <c r="L68" i="20"/>
  <c r="L108" i="20"/>
  <c r="BJ80" i="21"/>
  <c r="BJ21" i="21"/>
  <c r="BJ60" i="21"/>
  <c r="BJ86" i="21"/>
  <c r="BJ75" i="21"/>
  <c r="BJ11" i="21"/>
  <c r="BJ14" i="21"/>
  <c r="BJ18" i="21"/>
  <c r="BJ66" i="21"/>
  <c r="BJ89" i="21"/>
  <c r="BJ25" i="21"/>
  <c r="BJ103" i="21"/>
  <c r="BJ39" i="21"/>
  <c r="L71" i="2"/>
  <c r="L70" i="2"/>
  <c r="B73" i="21"/>
  <c r="B45" i="21"/>
  <c r="B72" i="21"/>
  <c r="C66" i="16"/>
  <c r="D66" i="16" s="1"/>
  <c r="B73" i="20"/>
  <c r="B45" i="20"/>
  <c r="B72" i="20"/>
  <c r="B458" i="2"/>
  <c r="B459" i="2"/>
  <c r="A480" i="2"/>
  <c r="B348" i="2"/>
  <c r="B352" i="2" s="1"/>
  <c r="B349" i="2"/>
  <c r="B480" i="2"/>
  <c r="B305" i="2"/>
  <c r="B20" i="2"/>
  <c r="C62" i="2" s="1"/>
  <c r="B18" i="2"/>
  <c r="B19" i="2"/>
  <c r="B8" i="30" s="1"/>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I4" i="8" s="1"/>
  <c r="R36" i="8" s="1"/>
  <c r="B273" i="2" s="1"/>
  <c r="B520" i="2"/>
  <c r="C67" i="16"/>
  <c r="D67" i="16" s="1"/>
  <c r="B462" i="2"/>
  <c r="B463" i="2" s="1"/>
  <c r="B76" i="2"/>
  <c r="E72" i="1"/>
  <c r="L19" i="27" l="1"/>
  <c r="N19" i="27" s="1"/>
  <c r="M18" i="27"/>
  <c r="L10" i="27"/>
  <c r="N10" i="27" s="1"/>
  <c r="M10" i="27"/>
  <c r="L16" i="27"/>
  <c r="N16" i="27" s="1"/>
  <c r="M15" i="27"/>
  <c r="D623" i="32"/>
  <c r="G633" i="32"/>
  <c r="G77" i="31"/>
  <c r="G613" i="31"/>
  <c r="G47" i="31"/>
  <c r="G79" i="31"/>
  <c r="G15" i="31"/>
  <c r="G63" i="31"/>
  <c r="G17" i="31"/>
  <c r="G49" i="31"/>
  <c r="G55" i="31"/>
  <c r="G33" i="31"/>
  <c r="G65" i="31"/>
  <c r="G64" i="31"/>
  <c r="G18" i="31"/>
  <c r="G50" i="31"/>
  <c r="G80" i="31"/>
  <c r="G35" i="31"/>
  <c r="G67" i="31"/>
  <c r="G31" i="31"/>
  <c r="G24" i="31"/>
  <c r="G39" i="31"/>
  <c r="G40" i="31"/>
  <c r="G56" i="31"/>
  <c r="G25" i="31"/>
  <c r="G72" i="31"/>
  <c r="G41" i="31"/>
  <c r="G20" i="31"/>
  <c r="G52" i="31"/>
  <c r="E633" i="31"/>
  <c r="G601" i="31"/>
  <c r="G589" i="31"/>
  <c r="G592" i="31"/>
  <c r="G571" i="31"/>
  <c r="G583" i="31"/>
  <c r="G561" i="31"/>
  <c r="G558" i="31"/>
  <c r="G566" i="31"/>
  <c r="G540" i="31"/>
  <c r="G520" i="31"/>
  <c r="G502" i="31"/>
  <c r="G524" i="31"/>
  <c r="G522" i="31"/>
  <c r="G484" i="31"/>
  <c r="G513" i="31"/>
  <c r="G489" i="31"/>
  <c r="G461" i="31"/>
  <c r="G467" i="31"/>
  <c r="G457" i="31"/>
  <c r="G451" i="31"/>
  <c r="G440" i="31"/>
  <c r="G446" i="31"/>
  <c r="G420" i="31"/>
  <c r="G444" i="31"/>
  <c r="G408" i="31"/>
  <c r="G378" i="31"/>
  <c r="G383" i="31"/>
  <c r="G389" i="31"/>
  <c r="G401" i="31"/>
  <c r="G400" i="31"/>
  <c r="G380" i="31"/>
  <c r="G324" i="31"/>
  <c r="G323" i="31"/>
  <c r="G338" i="31"/>
  <c r="G364" i="31"/>
  <c r="G297" i="31"/>
  <c r="G320" i="31"/>
  <c r="G319" i="31"/>
  <c r="G261" i="31"/>
  <c r="G289" i="31"/>
  <c r="G251" i="31"/>
  <c r="G250" i="31"/>
  <c r="G249" i="31"/>
  <c r="G248" i="31"/>
  <c r="G271" i="31"/>
  <c r="G245" i="31"/>
  <c r="G218" i="31"/>
  <c r="G224" i="31"/>
  <c r="G229" i="31"/>
  <c r="G211" i="31"/>
  <c r="G146" i="31"/>
  <c r="G214" i="31"/>
  <c r="G222" i="31"/>
  <c r="G206" i="31"/>
  <c r="G208" i="31"/>
  <c r="G149" i="31"/>
  <c r="G164" i="31"/>
  <c r="G163" i="31"/>
  <c r="G94" i="31"/>
  <c r="G93" i="31"/>
  <c r="G92" i="31"/>
  <c r="G91" i="31"/>
  <c r="G90" i="31"/>
  <c r="G89" i="31"/>
  <c r="G112" i="31"/>
  <c r="G119" i="31"/>
  <c r="G57" i="31"/>
  <c r="G44" i="31"/>
  <c r="G76" i="31"/>
  <c r="G605" i="31"/>
  <c r="G610" i="31"/>
  <c r="G596" i="31"/>
  <c r="G581" i="31"/>
  <c r="G578" i="31"/>
  <c r="G565" i="31"/>
  <c r="G560" i="31"/>
  <c r="G554" i="31"/>
  <c r="G535" i="31"/>
  <c r="G539" i="31"/>
  <c r="G504" i="31"/>
  <c r="G537" i="31"/>
  <c r="G508" i="31"/>
  <c r="G486" i="31"/>
  <c r="G500" i="31"/>
  <c r="G490" i="31"/>
  <c r="G480" i="31"/>
  <c r="G514" i="31"/>
  <c r="G487" i="31"/>
  <c r="G443" i="31"/>
  <c r="G441" i="31"/>
  <c r="G447" i="31"/>
  <c r="G455" i="31"/>
  <c r="G404" i="31"/>
  <c r="G417" i="31"/>
  <c r="G423" i="31"/>
  <c r="G385" i="31"/>
  <c r="G406" i="31"/>
  <c r="G373" i="31"/>
  <c r="G370" i="31"/>
  <c r="G360" i="31"/>
  <c r="G358" i="31"/>
  <c r="G308" i="31"/>
  <c r="G307" i="31"/>
  <c r="G322" i="31"/>
  <c r="G345" i="31"/>
  <c r="G372" i="31"/>
  <c r="G304" i="31"/>
  <c r="G303" i="31"/>
  <c r="G310" i="31"/>
  <c r="G287" i="31"/>
  <c r="G294" i="31"/>
  <c r="G333" i="31"/>
  <c r="G326" i="31"/>
  <c r="G341" i="31"/>
  <c r="G279" i="31"/>
  <c r="G235" i="31"/>
  <c r="G247" i="31"/>
  <c r="G255" i="31"/>
  <c r="G213" i="31"/>
  <c r="G194" i="31"/>
  <c r="G193" i="31"/>
  <c r="G192" i="31"/>
  <c r="G191" i="31"/>
  <c r="G190" i="31"/>
  <c r="G197" i="31"/>
  <c r="G209" i="31"/>
  <c r="G148" i="31"/>
  <c r="G142" i="31"/>
  <c r="G141" i="31"/>
  <c r="G140" i="31"/>
  <c r="G139" i="31"/>
  <c r="G138" i="31"/>
  <c r="G137" i="31"/>
  <c r="G147" i="31"/>
  <c r="G96" i="31"/>
  <c r="G103" i="31"/>
  <c r="G74" i="31"/>
  <c r="G21" i="31"/>
  <c r="G53" i="31"/>
  <c r="B623" i="31"/>
  <c r="G598" i="31"/>
  <c r="G588" i="31"/>
  <c r="G573" i="31"/>
  <c r="G570" i="31"/>
  <c r="G557" i="31"/>
  <c r="G567" i="31"/>
  <c r="G546" i="31"/>
  <c r="G542" i="31"/>
  <c r="G531" i="31"/>
  <c r="G519" i="31"/>
  <c r="G528" i="31"/>
  <c r="G550" i="31"/>
  <c r="G478" i="31"/>
  <c r="G499" i="31"/>
  <c r="G482" i="31"/>
  <c r="G470" i="31"/>
  <c r="G479" i="31"/>
  <c r="G477" i="31"/>
  <c r="G435" i="31"/>
  <c r="G433" i="31"/>
  <c r="G439" i="31"/>
  <c r="G445" i="31"/>
  <c r="G419" i="31"/>
  <c r="G26" i="31"/>
  <c r="G19" i="31"/>
  <c r="G43" i="31"/>
  <c r="G36" i="31"/>
  <c r="G68" i="31"/>
  <c r="G612" i="31"/>
  <c r="G609" i="31"/>
  <c r="G587" i="31"/>
  <c r="G580" i="31"/>
  <c r="G577" i="31"/>
  <c r="G574" i="31"/>
  <c r="G556" i="31"/>
  <c r="G559" i="31"/>
  <c r="G534" i="31"/>
  <c r="G549" i="31"/>
  <c r="G511" i="31"/>
  <c r="G525" i="31"/>
  <c r="G529" i="31"/>
  <c r="G493" i="31"/>
  <c r="G491" i="31"/>
  <c r="G474" i="31"/>
  <c r="G462" i="31"/>
  <c r="G468" i="31"/>
  <c r="G466" i="31"/>
  <c r="G456" i="31"/>
  <c r="G425" i="31"/>
  <c r="G431" i="31"/>
  <c r="G437" i="31"/>
  <c r="G411" i="31"/>
  <c r="G432" i="31"/>
  <c r="G407" i="31"/>
  <c r="G392" i="31"/>
  <c r="G390" i="31"/>
  <c r="G402" i="31"/>
  <c r="G379" i="31"/>
  <c r="G367" i="31"/>
  <c r="G365" i="31"/>
  <c r="G292" i="31"/>
  <c r="G422" i="31"/>
  <c r="G306" i="31"/>
  <c r="G329" i="31"/>
  <c r="G350" i="31"/>
  <c r="G354" i="31"/>
  <c r="G317" i="31"/>
  <c r="G276" i="31"/>
  <c r="G283" i="31"/>
  <c r="G282" i="31"/>
  <c r="G281" i="31"/>
  <c r="G280" i="31"/>
  <c r="G270" i="31"/>
  <c r="G262" i="31"/>
  <c r="G219" i="31"/>
  <c r="G233" i="31"/>
  <c r="G223" i="31"/>
  <c r="G236" i="31"/>
  <c r="G178" i="31"/>
  <c r="G177" i="31"/>
  <c r="G176" i="31"/>
  <c r="G175" i="31"/>
  <c r="G174" i="31"/>
  <c r="G181" i="31"/>
  <c r="G196" i="31"/>
  <c r="G195" i="31"/>
  <c r="G126" i="31"/>
  <c r="G125" i="31"/>
  <c r="G124" i="31"/>
  <c r="G123" i="31"/>
  <c r="G122" i="31"/>
  <c r="G121" i="31"/>
  <c r="G144" i="31"/>
  <c r="G151" i="31"/>
  <c r="G87" i="31"/>
  <c r="G48" i="31"/>
  <c r="G23" i="31"/>
  <c r="G73" i="31"/>
  <c r="G34" i="31"/>
  <c r="G58" i="31"/>
  <c r="G61" i="31"/>
  <c r="G607" i="31"/>
  <c r="G603" i="31"/>
  <c r="G586" i="31"/>
  <c r="G568" i="31"/>
  <c r="G543" i="31"/>
  <c r="G512" i="31"/>
  <c r="G516" i="31"/>
  <c r="G476" i="31"/>
  <c r="G481" i="31"/>
  <c r="G459" i="31"/>
  <c r="G449" i="31"/>
  <c r="G438" i="31"/>
  <c r="G430" i="31"/>
  <c r="G394" i="31"/>
  <c r="G398" i="31"/>
  <c r="G355" i="31"/>
  <c r="G359" i="31"/>
  <c r="G316" i="31"/>
  <c r="G348" i="31"/>
  <c r="G337" i="31"/>
  <c r="G328" i="31"/>
  <c r="G285" i="31"/>
  <c r="G288" i="31"/>
  <c r="G266" i="31"/>
  <c r="G293" i="31"/>
  <c r="G278" i="31"/>
  <c r="G239" i="31"/>
  <c r="G216" i="31"/>
  <c r="G220" i="31"/>
  <c r="G185" i="31"/>
  <c r="G152" i="31"/>
  <c r="G166" i="31"/>
  <c r="G243" i="31"/>
  <c r="G179" i="31"/>
  <c r="G133" i="31"/>
  <c r="G100" i="31"/>
  <c r="G114" i="31"/>
  <c r="G81" i="31"/>
  <c r="G135" i="31"/>
  <c r="G523" i="31"/>
  <c r="G464" i="31"/>
  <c r="G409" i="31"/>
  <c r="G382" i="31"/>
  <c r="G351" i="31"/>
  <c r="G346" i="31"/>
  <c r="G312" i="31"/>
  <c r="G286" i="31"/>
  <c r="G272" i="31"/>
  <c r="G234" i="31"/>
  <c r="G231" i="31"/>
  <c r="G169" i="31"/>
  <c r="G158" i="31"/>
  <c r="G204" i="31"/>
  <c r="G117" i="31"/>
  <c r="G106" i="31"/>
  <c r="G145" i="31"/>
  <c r="G13" i="31"/>
  <c r="G509" i="31"/>
  <c r="G418" i="31"/>
  <c r="G344" i="31"/>
  <c r="G263" i="31"/>
  <c r="G198" i="31"/>
  <c r="G83" i="31"/>
  <c r="G54" i="31"/>
  <c r="G552" i="31"/>
  <c r="G497" i="31"/>
  <c r="G399" i="31"/>
  <c r="G356" i="31"/>
  <c r="G334" i="31"/>
  <c r="G157" i="31"/>
  <c r="G22" i="31"/>
  <c r="G16" i="31"/>
  <c r="G45" i="31"/>
  <c r="G611" i="31"/>
  <c r="G604" i="31"/>
  <c r="G594" i="31"/>
  <c r="G564" i="31"/>
  <c r="G551" i="31"/>
  <c r="G526" i="31"/>
  <c r="G483" i="31"/>
  <c r="G454" i="31"/>
  <c r="G458" i="31"/>
  <c r="G429" i="31"/>
  <c r="G386" i="31"/>
  <c r="G396" i="31"/>
  <c r="G300" i="31"/>
  <c r="G321" i="31"/>
  <c r="G277" i="31"/>
  <c r="G258" i="31"/>
  <c r="G244" i="31"/>
  <c r="G212" i="31"/>
  <c r="G199" i="31"/>
  <c r="G171" i="31"/>
  <c r="G84" i="31"/>
  <c r="G127" i="31"/>
  <c r="G78" i="31"/>
  <c r="G545" i="31"/>
  <c r="G505" i="31"/>
  <c r="G434" i="31"/>
  <c r="G415" i="31"/>
  <c r="G340" i="31"/>
  <c r="G311" i="31"/>
  <c r="G257" i="31"/>
  <c r="G217" i="31"/>
  <c r="G165" i="31"/>
  <c r="G116" i="31"/>
  <c r="G37" i="31"/>
  <c r="G569" i="31"/>
  <c r="G501" i="31"/>
  <c r="G503" i="31"/>
  <c r="G410" i="31"/>
  <c r="G363" i="31"/>
  <c r="G349" i="31"/>
  <c r="G274" i="31"/>
  <c r="G232" i="31"/>
  <c r="G201" i="31"/>
  <c r="G86" i="31"/>
  <c r="G143" i="31"/>
  <c r="G42" i="31"/>
  <c r="G66" i="31"/>
  <c r="G28" i="31"/>
  <c r="G606" i="31"/>
  <c r="G593" i="31"/>
  <c r="G585" i="31"/>
  <c r="G563" i="31"/>
  <c r="G541" i="31"/>
  <c r="G518" i="31"/>
  <c r="G515" i="31"/>
  <c r="G527" i="31"/>
  <c r="G496" i="31"/>
  <c r="G473" i="31"/>
  <c r="G450" i="31"/>
  <c r="G421" i="31"/>
  <c r="G426" i="31"/>
  <c r="G393" i="31"/>
  <c r="G414" i="31"/>
  <c r="G362" i="31"/>
  <c r="G428" i="31"/>
  <c r="G347" i="31"/>
  <c r="G330" i="31"/>
  <c r="G313" i="31"/>
  <c r="G296" i="31"/>
  <c r="G269" i="31"/>
  <c r="G275" i="31"/>
  <c r="G353" i="31"/>
  <c r="G264" i="31"/>
  <c r="G252" i="31"/>
  <c r="G226" i="31"/>
  <c r="G215" i="31"/>
  <c r="G202" i="31"/>
  <c r="G161" i="31"/>
  <c r="G183" i="31"/>
  <c r="G150" i="31"/>
  <c r="G188" i="31"/>
  <c r="G155" i="31"/>
  <c r="G109" i="31"/>
  <c r="G131" i="31"/>
  <c r="G98" i="31"/>
  <c r="G136" i="31"/>
  <c r="G111" i="31"/>
  <c r="G46" i="31"/>
  <c r="G62" i="31"/>
  <c r="G533" i="31"/>
  <c r="G377" i="31"/>
  <c r="G374" i="31"/>
  <c r="G339" i="31"/>
  <c r="G314" i="31"/>
  <c r="G343" i="31"/>
  <c r="G342" i="31"/>
  <c r="G301" i="31"/>
  <c r="G256" i="31"/>
  <c r="G253" i="31"/>
  <c r="G207" i="31"/>
  <c r="G186" i="31"/>
  <c r="G167" i="31"/>
  <c r="G205" i="31"/>
  <c r="G180" i="31"/>
  <c r="G101" i="31"/>
  <c r="G115" i="31"/>
  <c r="G82" i="31"/>
  <c r="G95" i="31"/>
  <c r="G30" i="31"/>
  <c r="G591" i="31"/>
  <c r="G391" i="31"/>
  <c r="G154" i="31"/>
  <c r="G600" i="31"/>
  <c r="G472" i="31"/>
  <c r="G295" i="31"/>
  <c r="G182" i="31"/>
  <c r="G32" i="31"/>
  <c r="G69" i="31"/>
  <c r="G602" i="31"/>
  <c r="G595" i="31"/>
  <c r="G576" i="31"/>
  <c r="G548" i="31"/>
  <c r="G510" i="31"/>
  <c r="G507" i="31"/>
  <c r="G521" i="31"/>
  <c r="G469" i="31"/>
  <c r="G465" i="31"/>
  <c r="G448" i="31"/>
  <c r="G413" i="31"/>
  <c r="G424" i="31"/>
  <c r="G397" i="31"/>
  <c r="G366" i="31"/>
  <c r="G305" i="31"/>
  <c r="G267" i="31"/>
  <c r="G210" i="31"/>
  <c r="G153" i="31"/>
  <c r="G134" i="31"/>
  <c r="G128" i="31"/>
  <c r="G590" i="31"/>
  <c r="G299" i="31"/>
  <c r="G38" i="31"/>
  <c r="G579" i="31"/>
  <c r="G336" i="31"/>
  <c r="G97" i="31"/>
  <c r="G27" i="31"/>
  <c r="G51" i="31"/>
  <c r="G75" i="31"/>
  <c r="G29" i="31"/>
  <c r="G599" i="31"/>
  <c r="G584" i="31"/>
  <c r="G575" i="31"/>
  <c r="G555" i="31"/>
  <c r="G532" i="31"/>
  <c r="G544" i="31"/>
  <c r="G494" i="31"/>
  <c r="G498" i="31"/>
  <c r="G453" i="31"/>
  <c r="G463" i="31"/>
  <c r="G488" i="31"/>
  <c r="G412" i="31"/>
  <c r="G416" i="31"/>
  <c r="G384" i="31"/>
  <c r="G381" i="31"/>
  <c r="G369" i="31"/>
  <c r="G395" i="31"/>
  <c r="G331" i="31"/>
  <c r="G298" i="31"/>
  <c r="G403" i="31"/>
  <c r="G335" i="31"/>
  <c r="G284" i="31"/>
  <c r="G259" i="31"/>
  <c r="G273" i="31"/>
  <c r="G240" i="31"/>
  <c r="G302" i="31"/>
  <c r="G242" i="31"/>
  <c r="G237" i="31"/>
  <c r="G170" i="31"/>
  <c r="G200" i="31"/>
  <c r="G159" i="31"/>
  <c r="G189" i="31"/>
  <c r="G172" i="31"/>
  <c r="G118" i="31"/>
  <c r="G85" i="31"/>
  <c r="G107" i="31"/>
  <c r="G129" i="31"/>
  <c r="G120" i="31"/>
  <c r="G14" i="31"/>
  <c r="G452" i="31"/>
  <c r="G368" i="31"/>
  <c r="G291" i="31"/>
  <c r="G246" i="31"/>
  <c r="G203" i="31"/>
  <c r="G88" i="31"/>
  <c r="G387" i="31"/>
  <c r="G241" i="31"/>
  <c r="G160" i="31"/>
  <c r="G108" i="31"/>
  <c r="G71" i="31"/>
  <c r="G597" i="31"/>
  <c r="G572" i="31"/>
  <c r="G562" i="31"/>
  <c r="G553" i="31"/>
  <c r="G538" i="31"/>
  <c r="G517" i="31"/>
  <c r="G485" i="31"/>
  <c r="G547" i="31"/>
  <c r="G460" i="31"/>
  <c r="G442" i="31"/>
  <c r="G495" i="31"/>
  <c r="G436" i="31"/>
  <c r="G427" i="31"/>
  <c r="G376" i="31"/>
  <c r="G405" i="31"/>
  <c r="G361" i="31"/>
  <c r="G357" i="31"/>
  <c r="G315" i="31"/>
  <c r="G290" i="31"/>
  <c r="G352" i="31"/>
  <c r="G327" i="31"/>
  <c r="G268" i="31"/>
  <c r="G318" i="31"/>
  <c r="G265" i="31"/>
  <c r="G309" i="31"/>
  <c r="G254" i="31"/>
  <c r="G225" i="31"/>
  <c r="G221" i="31"/>
  <c r="G162" i="31"/>
  <c r="G184" i="31"/>
  <c r="G230" i="31"/>
  <c r="G173" i="31"/>
  <c r="G156" i="31"/>
  <c r="G110" i="31"/>
  <c r="G132" i="31"/>
  <c r="G99" i="31"/>
  <c r="G113" i="31"/>
  <c r="G104" i="31"/>
  <c r="G70" i="31"/>
  <c r="G59" i="31"/>
  <c r="G60" i="31"/>
  <c r="G582" i="31"/>
  <c r="G530" i="31"/>
  <c r="G506" i="31"/>
  <c r="G475" i="31"/>
  <c r="G371" i="31"/>
  <c r="G388" i="31"/>
  <c r="G260" i="31"/>
  <c r="G238" i="31"/>
  <c r="G168" i="31"/>
  <c r="G102" i="31"/>
  <c r="G105" i="31"/>
  <c r="G608" i="31"/>
  <c r="G536" i="31"/>
  <c r="G492" i="31"/>
  <c r="G471" i="31"/>
  <c r="G375" i="31"/>
  <c r="G332" i="31"/>
  <c r="G325" i="31"/>
  <c r="G227" i="31"/>
  <c r="G228" i="31"/>
  <c r="G187" i="31"/>
  <c r="G130" i="31"/>
  <c r="G626" i="31"/>
  <c r="B521" i="2"/>
  <c r="M13" i="27"/>
  <c r="M17" i="27"/>
  <c r="L102" i="27"/>
  <c r="N102" i="27" s="1"/>
  <c r="AE102" i="27" s="1"/>
  <c r="B383" i="2"/>
  <c r="M23" i="27"/>
  <c r="M14" i="27"/>
  <c r="E63" i="1"/>
  <c r="C57" i="16" s="1"/>
  <c r="D57" i="16" s="1"/>
  <c r="L4" i="27"/>
  <c r="N4" i="27" s="1"/>
  <c r="M7" i="27"/>
  <c r="L20" i="27"/>
  <c r="N20" i="27" s="1"/>
  <c r="L6" i="27"/>
  <c r="N6" i="27" s="1"/>
  <c r="M6" i="27"/>
  <c r="M101" i="27"/>
  <c r="M8" i="27"/>
  <c r="L8" i="27"/>
  <c r="N8" i="27" s="1"/>
  <c r="N84" i="27"/>
  <c r="AE84" i="27" s="1"/>
  <c r="U84" i="27"/>
  <c r="O84" i="27"/>
  <c r="Z84" i="27" s="1"/>
  <c r="N90" i="27"/>
  <c r="AE90" i="27" s="1"/>
  <c r="U90" i="27"/>
  <c r="O90" i="27"/>
  <c r="Z90" i="27" s="1"/>
  <c r="N101" i="27"/>
  <c r="AE101" i="27" s="1"/>
  <c r="U101" i="27"/>
  <c r="O101" i="27"/>
  <c r="Z101" i="27" s="1"/>
  <c r="N93" i="27"/>
  <c r="AE93" i="27" s="1"/>
  <c r="U93" i="27"/>
  <c r="O93" i="27"/>
  <c r="Z93" i="27" s="1"/>
  <c r="Q97" i="27"/>
  <c r="R97" i="27"/>
  <c r="AB97" i="27"/>
  <c r="W97" i="27"/>
  <c r="M68" i="27"/>
  <c r="L68" i="27"/>
  <c r="M70" i="27"/>
  <c r="L70" i="27"/>
  <c r="L69" i="27"/>
  <c r="M69" i="27"/>
  <c r="M45" i="27"/>
  <c r="L45" i="27"/>
  <c r="L9" i="27"/>
  <c r="N9" i="27" s="1"/>
  <c r="M9" i="27"/>
  <c r="L97" i="27"/>
  <c r="M61" i="27"/>
  <c r="L61" i="27"/>
  <c r="L74" i="27"/>
  <c r="M74" i="27"/>
  <c r="M60" i="27"/>
  <c r="L60" i="27"/>
  <c r="L44" i="27"/>
  <c r="M44" i="27"/>
  <c r="L86" i="27"/>
  <c r="L34" i="27"/>
  <c r="M34" i="27"/>
  <c r="W86" i="27"/>
  <c r="R86" i="27"/>
  <c r="AB86" i="27"/>
  <c r="Q86" i="27"/>
  <c r="R88" i="27"/>
  <c r="AB88" i="27"/>
  <c r="Q88" i="27"/>
  <c r="W88" i="27"/>
  <c r="L88" i="27"/>
  <c r="Q94" i="27"/>
  <c r="W94" i="27"/>
  <c r="R94" i="27"/>
  <c r="AB94" i="27"/>
  <c r="L94" i="27"/>
  <c r="Q89" i="27"/>
  <c r="R89" i="27"/>
  <c r="AB89" i="27"/>
  <c r="W89" i="27"/>
  <c r="M89" i="27"/>
  <c r="Q90" i="27"/>
  <c r="W90" i="27"/>
  <c r="AB90" i="27"/>
  <c r="R90" i="27"/>
  <c r="L73" i="27"/>
  <c r="M73" i="27"/>
  <c r="L66" i="27"/>
  <c r="M66" i="27"/>
  <c r="L41" i="27"/>
  <c r="M41" i="27"/>
  <c r="M32" i="27"/>
  <c r="L32" i="27"/>
  <c r="L49" i="27"/>
  <c r="M49" i="27"/>
  <c r="M93" i="27"/>
  <c r="M71" i="27"/>
  <c r="L71" i="27"/>
  <c r="L35" i="27"/>
  <c r="M35" i="27"/>
  <c r="M97" i="27"/>
  <c r="Q87" i="27"/>
  <c r="R87" i="27"/>
  <c r="AB87" i="27"/>
  <c r="W87" i="27"/>
  <c r="W99" i="27"/>
  <c r="R99" i="27"/>
  <c r="AB99" i="27"/>
  <c r="Q99" i="27"/>
  <c r="L99" i="27"/>
  <c r="Q101" i="27"/>
  <c r="W101" i="27"/>
  <c r="AB101" i="27"/>
  <c r="R101" i="27"/>
  <c r="Q95" i="27"/>
  <c r="R95" i="27"/>
  <c r="AB95" i="27"/>
  <c r="W95" i="27"/>
  <c r="L95" i="27"/>
  <c r="Q96" i="27"/>
  <c r="R96" i="27"/>
  <c r="AB96" i="27"/>
  <c r="W96" i="27"/>
  <c r="M96" i="27"/>
  <c r="L96" i="27"/>
  <c r="L72" i="27"/>
  <c r="M72" i="27"/>
  <c r="L64" i="27"/>
  <c r="M64" i="27"/>
  <c r="L40" i="27"/>
  <c r="M40" i="27"/>
  <c r="M31" i="27"/>
  <c r="L31" i="27"/>
  <c r="M33" i="27"/>
  <c r="L33" i="27"/>
  <c r="M94" i="27"/>
  <c r="M88" i="27"/>
  <c r="N98" i="27"/>
  <c r="AE98" i="27" s="1"/>
  <c r="U98" i="27"/>
  <c r="O98" i="27"/>
  <c r="Z98" i="27" s="1"/>
  <c r="N92" i="27"/>
  <c r="AE92" i="27" s="1"/>
  <c r="U92" i="27"/>
  <c r="O92" i="27"/>
  <c r="Z92" i="27" s="1"/>
  <c r="N83" i="27"/>
  <c r="AE83" i="27" s="1"/>
  <c r="U83" i="27"/>
  <c r="O83" i="27"/>
  <c r="Z83" i="27" s="1"/>
  <c r="Q98" i="27"/>
  <c r="W98" i="27"/>
  <c r="R98" i="27"/>
  <c r="AB98" i="27"/>
  <c r="M98" i="27"/>
  <c r="Q83" i="27"/>
  <c r="W83" i="27"/>
  <c r="R83" i="27"/>
  <c r="AB83" i="27"/>
  <c r="M83" i="27"/>
  <c r="Q102" i="27"/>
  <c r="R102" i="27"/>
  <c r="W102" i="27"/>
  <c r="AB102" i="27"/>
  <c r="L75" i="27"/>
  <c r="M75" i="27"/>
  <c r="M58" i="27"/>
  <c r="L58" i="27"/>
  <c r="M63" i="27"/>
  <c r="L63" i="27"/>
  <c r="L36" i="27"/>
  <c r="M36" i="27"/>
  <c r="M46" i="27"/>
  <c r="L46" i="27"/>
  <c r="M48" i="27"/>
  <c r="L48" i="27"/>
  <c r="L87" i="27"/>
  <c r="M87" i="27"/>
  <c r="L67" i="27"/>
  <c r="W91" i="27"/>
  <c r="Q91" i="27"/>
  <c r="R91" i="27"/>
  <c r="AB91" i="27"/>
  <c r="W85" i="27"/>
  <c r="AB85" i="27"/>
  <c r="Q85" i="27"/>
  <c r="R85" i="27"/>
  <c r="L85" i="27"/>
  <c r="L59" i="27"/>
  <c r="M59" i="27"/>
  <c r="L42" i="27"/>
  <c r="M42" i="27"/>
  <c r="M85" i="27"/>
  <c r="Q82" i="27"/>
  <c r="R82" i="27"/>
  <c r="AB82" i="27"/>
  <c r="W82" i="27"/>
  <c r="L82" i="27"/>
  <c r="Q92" i="27"/>
  <c r="W92" i="27"/>
  <c r="R92" i="27"/>
  <c r="AB92" i="27"/>
  <c r="L56" i="27"/>
  <c r="M56" i="27"/>
  <c r="L57" i="27"/>
  <c r="M57" i="27"/>
  <c r="M76" i="27"/>
  <c r="L76" i="27"/>
  <c r="L50" i="27"/>
  <c r="M50" i="27"/>
  <c r="M43" i="27"/>
  <c r="L43" i="27"/>
  <c r="L5" i="27"/>
  <c r="N5" i="27" s="1"/>
  <c r="M5" i="27"/>
  <c r="L91" i="27"/>
  <c r="M90" i="27"/>
  <c r="M99" i="27"/>
  <c r="M92" i="27"/>
  <c r="Q84" i="27"/>
  <c r="W84" i="27"/>
  <c r="AB84" i="27"/>
  <c r="R84" i="27"/>
  <c r="M84" i="27"/>
  <c r="M62" i="27"/>
  <c r="L62" i="27"/>
  <c r="M39" i="27"/>
  <c r="L39" i="27"/>
  <c r="W93" i="27"/>
  <c r="R93" i="27"/>
  <c r="AB93" i="27"/>
  <c r="Q93" i="27"/>
  <c r="Q100" i="27"/>
  <c r="W100" i="27"/>
  <c r="AB100" i="27"/>
  <c r="R100" i="27"/>
  <c r="L100" i="27"/>
  <c r="M65" i="27"/>
  <c r="L65" i="27"/>
  <c r="M30" i="27"/>
  <c r="L30" i="27"/>
  <c r="L38" i="27"/>
  <c r="M38" i="27"/>
  <c r="M47" i="27"/>
  <c r="L47" i="27"/>
  <c r="M37" i="27"/>
  <c r="L37" i="27"/>
  <c r="M67" i="27"/>
  <c r="L89" i="27"/>
  <c r="C61" i="2"/>
  <c r="B65" i="2" s="1"/>
  <c r="B150" i="2"/>
  <c r="B80" i="2"/>
  <c r="B307" i="2" s="1"/>
  <c r="B351" i="2"/>
  <c r="B353" i="2" s="1"/>
  <c r="B511" i="2"/>
  <c r="C54" i="16"/>
  <c r="D54" i="16" s="1"/>
  <c r="B78" i="2"/>
  <c r="B359" i="2" s="1"/>
  <c r="E73" i="1" s="1"/>
  <c r="A511" i="2"/>
  <c r="B442" i="2"/>
  <c r="D442" i="2"/>
  <c r="B79" i="2"/>
  <c r="B85" i="2" s="1"/>
  <c r="B109" i="2" s="1"/>
  <c r="B125" i="2" s="1"/>
  <c r="G98" i="2"/>
  <c r="G96" i="2"/>
  <c r="B389" i="2"/>
  <c r="G97" i="2"/>
  <c r="C60" i="2"/>
  <c r="B64" i="2" s="1"/>
  <c r="B388" i="2"/>
  <c r="B390" i="2"/>
  <c r="B15" i="6"/>
  <c r="B3" i="6"/>
  <c r="B16" i="6"/>
  <c r="H387" i="2"/>
  <c r="B503" i="2" l="1"/>
  <c r="AJ623" i="32"/>
  <c r="K623" i="32"/>
  <c r="AP623" i="32"/>
  <c r="AM623" i="32"/>
  <c r="E623" i="32"/>
  <c r="H228" i="31"/>
  <c r="I228" i="31"/>
  <c r="H241" i="31"/>
  <c r="I241" i="31"/>
  <c r="I494" i="31"/>
  <c r="H494" i="31"/>
  <c r="H377" i="31"/>
  <c r="I377" i="31"/>
  <c r="I569" i="31"/>
  <c r="H569" i="31"/>
  <c r="I351" i="31"/>
  <c r="H351" i="31"/>
  <c r="H270" i="31"/>
  <c r="I270" i="31"/>
  <c r="I19" i="31"/>
  <c r="H19" i="31"/>
  <c r="H358" i="31"/>
  <c r="I358" i="31"/>
  <c r="H222" i="31"/>
  <c r="I222" i="31"/>
  <c r="I271" i="31"/>
  <c r="H271" i="31"/>
  <c r="I401" i="31"/>
  <c r="H401" i="31"/>
  <c r="I67" i="31"/>
  <c r="H67" i="31"/>
  <c r="I55" i="31"/>
  <c r="H55" i="31"/>
  <c r="I77" i="31"/>
  <c r="H77" i="31"/>
  <c r="I227" i="31"/>
  <c r="H227" i="31"/>
  <c r="I105" i="31"/>
  <c r="H105" i="31"/>
  <c r="I506" i="31"/>
  <c r="H506" i="31"/>
  <c r="I99" i="31"/>
  <c r="H99" i="31"/>
  <c r="H221" i="31"/>
  <c r="I221" i="31"/>
  <c r="I352" i="31"/>
  <c r="H352" i="31"/>
  <c r="I436" i="31"/>
  <c r="H436" i="31"/>
  <c r="H553" i="31"/>
  <c r="I553" i="31"/>
  <c r="H387" i="31"/>
  <c r="I387" i="31"/>
  <c r="I120" i="31"/>
  <c r="H120" i="31"/>
  <c r="I200" i="31"/>
  <c r="H200" i="31"/>
  <c r="H284" i="31"/>
  <c r="I284" i="31"/>
  <c r="I384" i="31"/>
  <c r="H384" i="31"/>
  <c r="H544" i="31"/>
  <c r="I544" i="31"/>
  <c r="I51" i="31"/>
  <c r="H51" i="31"/>
  <c r="I128" i="31"/>
  <c r="H128" i="31"/>
  <c r="I424" i="31"/>
  <c r="H424" i="31"/>
  <c r="I548" i="31"/>
  <c r="H548" i="31"/>
  <c r="I472" i="31"/>
  <c r="H472" i="31"/>
  <c r="I115" i="31"/>
  <c r="H115" i="31"/>
  <c r="I256" i="31"/>
  <c r="H256" i="31"/>
  <c r="I533" i="31"/>
  <c r="H533" i="31"/>
  <c r="I155" i="31"/>
  <c r="H155" i="31"/>
  <c r="H252" i="31"/>
  <c r="I252" i="31"/>
  <c r="H347" i="31"/>
  <c r="I347" i="31"/>
  <c r="H473" i="31"/>
  <c r="I473" i="31"/>
  <c r="H593" i="31"/>
  <c r="I593" i="31"/>
  <c r="I232" i="31"/>
  <c r="H232" i="31"/>
  <c r="H37" i="31"/>
  <c r="I37" i="31"/>
  <c r="H434" i="31"/>
  <c r="I434" i="31"/>
  <c r="H212" i="31"/>
  <c r="I212" i="31"/>
  <c r="I429" i="31"/>
  <c r="H429" i="31"/>
  <c r="I604" i="31"/>
  <c r="H604" i="31"/>
  <c r="I399" i="31"/>
  <c r="H399" i="31"/>
  <c r="I418" i="31"/>
  <c r="H418" i="31"/>
  <c r="H169" i="31"/>
  <c r="I169" i="31"/>
  <c r="H382" i="31"/>
  <c r="I382" i="31"/>
  <c r="I133" i="31"/>
  <c r="H133" i="31"/>
  <c r="I239" i="31"/>
  <c r="H239" i="31"/>
  <c r="I348" i="31"/>
  <c r="H348" i="31"/>
  <c r="H449" i="31"/>
  <c r="I449" i="31"/>
  <c r="I586" i="31"/>
  <c r="H586" i="31"/>
  <c r="I48" i="31"/>
  <c r="H48" i="31"/>
  <c r="H125" i="31"/>
  <c r="I125" i="31"/>
  <c r="H177" i="31"/>
  <c r="I177" i="31"/>
  <c r="H280" i="31"/>
  <c r="I280" i="31"/>
  <c r="I329" i="31"/>
  <c r="H329" i="31"/>
  <c r="I390" i="31"/>
  <c r="H390" i="31"/>
  <c r="I456" i="31"/>
  <c r="H456" i="31"/>
  <c r="I525" i="31"/>
  <c r="H525" i="31"/>
  <c r="H580" i="31"/>
  <c r="I580" i="31"/>
  <c r="I26" i="31"/>
  <c r="H26" i="31"/>
  <c r="I470" i="31"/>
  <c r="H470" i="31"/>
  <c r="H542" i="31"/>
  <c r="I542" i="31"/>
  <c r="G623" i="31"/>
  <c r="H138" i="31"/>
  <c r="I138" i="31"/>
  <c r="H190" i="31"/>
  <c r="I190" i="31"/>
  <c r="I235" i="31"/>
  <c r="H235" i="31"/>
  <c r="H303" i="31"/>
  <c r="I303" i="31"/>
  <c r="I360" i="31"/>
  <c r="H360" i="31"/>
  <c r="I455" i="31"/>
  <c r="H455" i="31"/>
  <c r="H500" i="31"/>
  <c r="I500" i="31"/>
  <c r="I560" i="31"/>
  <c r="H560" i="31"/>
  <c r="I44" i="31"/>
  <c r="H44" i="31"/>
  <c r="I93" i="31"/>
  <c r="H93" i="31"/>
  <c r="H214" i="31"/>
  <c r="I214" i="31"/>
  <c r="I248" i="31"/>
  <c r="H248" i="31"/>
  <c r="I297" i="31"/>
  <c r="H297" i="31"/>
  <c r="I389" i="31"/>
  <c r="H389" i="31"/>
  <c r="I451" i="31"/>
  <c r="H451" i="31"/>
  <c r="I524" i="31"/>
  <c r="H524" i="31"/>
  <c r="H571" i="31"/>
  <c r="I571" i="31"/>
  <c r="I72" i="31"/>
  <c r="H72" i="31"/>
  <c r="I35" i="31"/>
  <c r="H35" i="31"/>
  <c r="I49" i="31"/>
  <c r="H49" i="31"/>
  <c r="H475" i="31"/>
  <c r="I475" i="31"/>
  <c r="I14" i="31"/>
  <c r="H14" i="31"/>
  <c r="I510" i="31"/>
  <c r="H510" i="31"/>
  <c r="H226" i="31"/>
  <c r="I226" i="31"/>
  <c r="I201" i="31"/>
  <c r="H201" i="31"/>
  <c r="I344" i="31"/>
  <c r="H344" i="31"/>
  <c r="I23" i="31"/>
  <c r="H23" i="31"/>
  <c r="I425" i="31"/>
  <c r="H425" i="31"/>
  <c r="H598" i="31"/>
  <c r="I598" i="31"/>
  <c r="I76" i="31"/>
  <c r="H76" i="31"/>
  <c r="I583" i="31"/>
  <c r="H583" i="31"/>
  <c r="I325" i="31"/>
  <c r="H325" i="31"/>
  <c r="I102" i="31"/>
  <c r="H102" i="31"/>
  <c r="I530" i="31"/>
  <c r="H530" i="31"/>
  <c r="I132" i="31"/>
  <c r="H132" i="31"/>
  <c r="H225" i="31"/>
  <c r="I225" i="31"/>
  <c r="H290" i="31"/>
  <c r="I290" i="31"/>
  <c r="H495" i="31"/>
  <c r="I495" i="31"/>
  <c r="I562" i="31"/>
  <c r="H562" i="31"/>
  <c r="H88" i="31"/>
  <c r="I88" i="31"/>
  <c r="I129" i="31"/>
  <c r="H129" i="31"/>
  <c r="I170" i="31"/>
  <c r="H170" i="31"/>
  <c r="I335" i="31"/>
  <c r="H335" i="31"/>
  <c r="I416" i="31"/>
  <c r="H416" i="31"/>
  <c r="I532" i="31"/>
  <c r="H532" i="31"/>
  <c r="H27" i="31"/>
  <c r="I27" i="31"/>
  <c r="H134" i="31"/>
  <c r="I134" i="31"/>
  <c r="I413" i="31"/>
  <c r="H413" i="31"/>
  <c r="I576" i="31"/>
  <c r="H576" i="31"/>
  <c r="I600" i="31"/>
  <c r="H600" i="31"/>
  <c r="H101" i="31"/>
  <c r="I101" i="31"/>
  <c r="H301" i="31"/>
  <c r="I301" i="31"/>
  <c r="I62" i="31"/>
  <c r="H62" i="31"/>
  <c r="I188" i="31"/>
  <c r="H188" i="31"/>
  <c r="I264" i="31"/>
  <c r="H264" i="31"/>
  <c r="H428" i="31"/>
  <c r="I428" i="31"/>
  <c r="I496" i="31"/>
  <c r="H496" i="31"/>
  <c r="H606" i="31"/>
  <c r="I606" i="31"/>
  <c r="I274" i="31"/>
  <c r="H274" i="31"/>
  <c r="I116" i="31"/>
  <c r="H116" i="31"/>
  <c r="I505" i="31"/>
  <c r="H505" i="31"/>
  <c r="H244" i="31"/>
  <c r="I244" i="31"/>
  <c r="I458" i="31"/>
  <c r="H458" i="31"/>
  <c r="I611" i="31"/>
  <c r="H611" i="31"/>
  <c r="I497" i="31"/>
  <c r="H497" i="31"/>
  <c r="I509" i="31"/>
  <c r="H509" i="31"/>
  <c r="H231" i="31"/>
  <c r="I231" i="31"/>
  <c r="H409" i="31"/>
  <c r="I409" i="31"/>
  <c r="I179" i="31"/>
  <c r="H179" i="31"/>
  <c r="I278" i="31"/>
  <c r="H278" i="31"/>
  <c r="H316" i="31"/>
  <c r="I316" i="31"/>
  <c r="I459" i="31"/>
  <c r="H459" i="31"/>
  <c r="I603" i="31"/>
  <c r="H603" i="31"/>
  <c r="I87" i="31"/>
  <c r="H87" i="31"/>
  <c r="H126" i="31"/>
  <c r="I126" i="31"/>
  <c r="I178" i="31"/>
  <c r="H178" i="31"/>
  <c r="I281" i="31"/>
  <c r="H281" i="31"/>
  <c r="H306" i="31"/>
  <c r="I306" i="31"/>
  <c r="I392" i="31"/>
  <c r="H392" i="31"/>
  <c r="I466" i="31"/>
  <c r="H466" i="31"/>
  <c r="H511" i="31"/>
  <c r="I511" i="31"/>
  <c r="I587" i="31"/>
  <c r="H587" i="31"/>
  <c r="H419" i="31"/>
  <c r="I419" i="31"/>
  <c r="H482" i="31"/>
  <c r="I482" i="31"/>
  <c r="I546" i="31"/>
  <c r="H546" i="31"/>
  <c r="H53" i="31"/>
  <c r="I53" i="31"/>
  <c r="H139" i="31"/>
  <c r="I139" i="31"/>
  <c r="I191" i="31"/>
  <c r="H191" i="31"/>
  <c r="I279" i="31"/>
  <c r="H279" i="31"/>
  <c r="I304" i="31"/>
  <c r="H304" i="31"/>
  <c r="H370" i="31"/>
  <c r="I370" i="31"/>
  <c r="I447" i="31"/>
  <c r="H447" i="31"/>
  <c r="H486" i="31"/>
  <c r="I486" i="31"/>
  <c r="H565" i="31"/>
  <c r="I565" i="31"/>
  <c r="I57" i="31"/>
  <c r="H57" i="31"/>
  <c r="H94" i="31"/>
  <c r="I94" i="31"/>
  <c r="I146" i="31"/>
  <c r="H146" i="31"/>
  <c r="I249" i="31"/>
  <c r="H249" i="31"/>
  <c r="I364" i="31"/>
  <c r="H364" i="31"/>
  <c r="I383" i="31"/>
  <c r="H383" i="31"/>
  <c r="H457" i="31"/>
  <c r="I457" i="31"/>
  <c r="H502" i="31"/>
  <c r="I502" i="31"/>
  <c r="H592" i="31"/>
  <c r="I592" i="31"/>
  <c r="I25" i="31"/>
  <c r="H25" i="31"/>
  <c r="H80" i="31"/>
  <c r="I80" i="31"/>
  <c r="I17" i="31"/>
  <c r="H17" i="31"/>
  <c r="I113" i="31"/>
  <c r="H113" i="31"/>
  <c r="I159" i="31"/>
  <c r="H159" i="31"/>
  <c r="I397" i="31"/>
  <c r="H397" i="31"/>
  <c r="H109" i="31"/>
  <c r="I109" i="31"/>
  <c r="I415" i="31"/>
  <c r="H415" i="31"/>
  <c r="I158" i="31"/>
  <c r="H158" i="31"/>
  <c r="I568" i="31"/>
  <c r="H568" i="31"/>
  <c r="I402" i="31"/>
  <c r="H402" i="31"/>
  <c r="H197" i="31"/>
  <c r="I197" i="31"/>
  <c r="I554" i="31"/>
  <c r="H554" i="31"/>
  <c r="I320" i="31"/>
  <c r="H320" i="31"/>
  <c r="H332" i="31"/>
  <c r="I332" i="31"/>
  <c r="I168" i="31"/>
  <c r="H168" i="31"/>
  <c r="H582" i="31"/>
  <c r="I582" i="31"/>
  <c r="I110" i="31"/>
  <c r="H110" i="31"/>
  <c r="H254" i="31"/>
  <c r="I254" i="31"/>
  <c r="I315" i="31"/>
  <c r="H315" i="31"/>
  <c r="H442" i="31"/>
  <c r="I442" i="31"/>
  <c r="H572" i="31"/>
  <c r="I572" i="31"/>
  <c r="I203" i="31"/>
  <c r="H203" i="31"/>
  <c r="I107" i="31"/>
  <c r="H107" i="31"/>
  <c r="H237" i="31"/>
  <c r="I237" i="31"/>
  <c r="H403" i="31"/>
  <c r="I403" i="31"/>
  <c r="H412" i="31"/>
  <c r="I412" i="31"/>
  <c r="H555" i="31"/>
  <c r="I555" i="31"/>
  <c r="I97" i="31"/>
  <c r="H97" i="31"/>
  <c r="H153" i="31"/>
  <c r="I153" i="31"/>
  <c r="I448" i="31"/>
  <c r="H448" i="31"/>
  <c r="H595" i="31"/>
  <c r="I595" i="31"/>
  <c r="I154" i="31"/>
  <c r="H154" i="31"/>
  <c r="I180" i="31"/>
  <c r="H180" i="31"/>
  <c r="I342" i="31"/>
  <c r="H342" i="31"/>
  <c r="I46" i="31"/>
  <c r="H46" i="31"/>
  <c r="I150" i="31"/>
  <c r="H150" i="31"/>
  <c r="I353" i="31"/>
  <c r="H353" i="31"/>
  <c r="H362" i="31"/>
  <c r="I362" i="31"/>
  <c r="I527" i="31"/>
  <c r="H527" i="31"/>
  <c r="I28" i="31"/>
  <c r="H28" i="31"/>
  <c r="I349" i="31"/>
  <c r="H349" i="31"/>
  <c r="H165" i="31"/>
  <c r="I165" i="31"/>
  <c r="H545" i="31"/>
  <c r="I545" i="31"/>
  <c r="I258" i="31"/>
  <c r="H258" i="31"/>
  <c r="I454" i="31"/>
  <c r="H454" i="31"/>
  <c r="H45" i="31"/>
  <c r="I45" i="31"/>
  <c r="I552" i="31"/>
  <c r="H552" i="31"/>
  <c r="H13" i="31"/>
  <c r="I13" i="31"/>
  <c r="H234" i="31"/>
  <c r="I234" i="31"/>
  <c r="I464" i="31"/>
  <c r="H464" i="31"/>
  <c r="H243" i="31"/>
  <c r="I243" i="31"/>
  <c r="H293" i="31"/>
  <c r="I293" i="31"/>
  <c r="H359" i="31"/>
  <c r="I359" i="31"/>
  <c r="I481" i="31"/>
  <c r="H481" i="31"/>
  <c r="H607" i="31"/>
  <c r="I607" i="31"/>
  <c r="I151" i="31"/>
  <c r="H151" i="31"/>
  <c r="I195" i="31"/>
  <c r="H195" i="31"/>
  <c r="H236" i="31"/>
  <c r="I236" i="31"/>
  <c r="H282" i="31"/>
  <c r="I282" i="31"/>
  <c r="I422" i="31"/>
  <c r="H422" i="31"/>
  <c r="I407" i="31"/>
  <c r="H407" i="31"/>
  <c r="H468" i="31"/>
  <c r="I468" i="31"/>
  <c r="I549" i="31"/>
  <c r="H549" i="31"/>
  <c r="I609" i="31"/>
  <c r="H609" i="31"/>
  <c r="I445" i="31"/>
  <c r="H445" i="31"/>
  <c r="I499" i="31"/>
  <c r="H499" i="31"/>
  <c r="I567" i="31"/>
  <c r="H567" i="31"/>
  <c r="H21" i="31"/>
  <c r="I21" i="31"/>
  <c r="I140" i="31"/>
  <c r="H140" i="31"/>
  <c r="I192" i="31"/>
  <c r="H192" i="31"/>
  <c r="I341" i="31"/>
  <c r="H341" i="31"/>
  <c r="H372" i="31"/>
  <c r="I372" i="31"/>
  <c r="H373" i="31"/>
  <c r="I373" i="31"/>
  <c r="I441" i="31"/>
  <c r="H441" i="31"/>
  <c r="I508" i="31"/>
  <c r="H508" i="31"/>
  <c r="I578" i="31"/>
  <c r="H578" i="31"/>
  <c r="H119" i="31"/>
  <c r="I119" i="31"/>
  <c r="I163" i="31"/>
  <c r="H163" i="31"/>
  <c r="I211" i="31"/>
  <c r="H211" i="31"/>
  <c r="H250" i="31"/>
  <c r="I250" i="31"/>
  <c r="I338" i="31"/>
  <c r="H338" i="31"/>
  <c r="I378" i="31"/>
  <c r="H378" i="31"/>
  <c r="I467" i="31"/>
  <c r="H467" i="31"/>
  <c r="H520" i="31"/>
  <c r="I520" i="31"/>
  <c r="H589" i="31"/>
  <c r="I589" i="31"/>
  <c r="I56" i="31"/>
  <c r="H56" i="31"/>
  <c r="I50" i="31"/>
  <c r="H50" i="31"/>
  <c r="H63" i="31"/>
  <c r="I63" i="31"/>
  <c r="I162" i="31"/>
  <c r="H162" i="31"/>
  <c r="I381" i="31"/>
  <c r="H381" i="31"/>
  <c r="I295" i="31"/>
  <c r="H295" i="31"/>
  <c r="I330" i="31"/>
  <c r="H330" i="31"/>
  <c r="H386" i="31"/>
  <c r="I386" i="31"/>
  <c r="I100" i="31"/>
  <c r="H100" i="31"/>
  <c r="I176" i="31"/>
  <c r="H176" i="31"/>
  <c r="I529" i="31"/>
  <c r="H529" i="31"/>
  <c r="I137" i="31"/>
  <c r="H137" i="31"/>
  <c r="H490" i="31"/>
  <c r="I490" i="31"/>
  <c r="H522" i="31"/>
  <c r="I522" i="31"/>
  <c r="I375" i="31"/>
  <c r="H375" i="31"/>
  <c r="H238" i="31"/>
  <c r="I238" i="31"/>
  <c r="I60" i="31"/>
  <c r="H60" i="31"/>
  <c r="I156" i="31"/>
  <c r="H156" i="31"/>
  <c r="I309" i="31"/>
  <c r="H309" i="31"/>
  <c r="I357" i="31"/>
  <c r="H357" i="31"/>
  <c r="I460" i="31"/>
  <c r="H460" i="31"/>
  <c r="I597" i="31"/>
  <c r="H597" i="31"/>
  <c r="H246" i="31"/>
  <c r="I246" i="31"/>
  <c r="I85" i="31"/>
  <c r="H85" i="31"/>
  <c r="I242" i="31"/>
  <c r="H242" i="31"/>
  <c r="I298" i="31"/>
  <c r="H298" i="31"/>
  <c r="I488" i="31"/>
  <c r="H488" i="31"/>
  <c r="H575" i="31"/>
  <c r="I575" i="31"/>
  <c r="I336" i="31"/>
  <c r="H336" i="31"/>
  <c r="I210" i="31"/>
  <c r="H210" i="31"/>
  <c r="I465" i="31"/>
  <c r="H465" i="31"/>
  <c r="I602" i="31"/>
  <c r="H602" i="31"/>
  <c r="H391" i="31"/>
  <c r="I391" i="31"/>
  <c r="I205" i="31"/>
  <c r="H205" i="31"/>
  <c r="H343" i="31"/>
  <c r="I343" i="31"/>
  <c r="I111" i="31"/>
  <c r="H111" i="31"/>
  <c r="I183" i="31"/>
  <c r="H183" i="31"/>
  <c r="H275" i="31"/>
  <c r="I275" i="31"/>
  <c r="I414" i="31"/>
  <c r="H414" i="31"/>
  <c r="H515" i="31"/>
  <c r="I515" i="31"/>
  <c r="H66" i="31"/>
  <c r="I66" i="31"/>
  <c r="H363" i="31"/>
  <c r="I363" i="31"/>
  <c r="I217" i="31"/>
  <c r="H217" i="31"/>
  <c r="I78" i="31"/>
  <c r="H78" i="31"/>
  <c r="H277" i="31"/>
  <c r="I277" i="31"/>
  <c r="H483" i="31"/>
  <c r="I483" i="31"/>
  <c r="I16" i="31"/>
  <c r="H16" i="31"/>
  <c r="H54" i="31"/>
  <c r="I54" i="31"/>
  <c r="H145" i="31"/>
  <c r="I145" i="31"/>
  <c r="I272" i="31"/>
  <c r="H272" i="31"/>
  <c r="I523" i="31"/>
  <c r="H523" i="31"/>
  <c r="H166" i="31"/>
  <c r="I166" i="31"/>
  <c r="H266" i="31"/>
  <c r="I266" i="31"/>
  <c r="I355" i="31"/>
  <c r="H355" i="31"/>
  <c r="I476" i="31"/>
  <c r="H476" i="31"/>
  <c r="H61" i="31"/>
  <c r="I61" i="31"/>
  <c r="I144" i="31"/>
  <c r="H144" i="31"/>
  <c r="I196" i="31"/>
  <c r="H196" i="31"/>
  <c r="I223" i="31"/>
  <c r="H223" i="31"/>
  <c r="I283" i="31"/>
  <c r="H283" i="31"/>
  <c r="I292" i="31"/>
  <c r="H292" i="31"/>
  <c r="H432" i="31"/>
  <c r="I432" i="31"/>
  <c r="H462" i="31"/>
  <c r="I462" i="31"/>
  <c r="I534" i="31"/>
  <c r="H534" i="31"/>
  <c r="I612" i="31"/>
  <c r="H612" i="31"/>
  <c r="H439" i="31"/>
  <c r="I439" i="31"/>
  <c r="I478" i="31"/>
  <c r="H478" i="31"/>
  <c r="H557" i="31"/>
  <c r="I557" i="31"/>
  <c r="I74" i="31"/>
  <c r="H74" i="31"/>
  <c r="H141" i="31"/>
  <c r="I141" i="31"/>
  <c r="H193" i="31"/>
  <c r="I193" i="31"/>
  <c r="I326" i="31"/>
  <c r="H326" i="31"/>
  <c r="I345" i="31"/>
  <c r="H345" i="31"/>
  <c r="H406" i="31"/>
  <c r="I406" i="31"/>
  <c r="I443" i="31"/>
  <c r="H443" i="31"/>
  <c r="I537" i="31"/>
  <c r="H537" i="31"/>
  <c r="I581" i="31"/>
  <c r="H581" i="31"/>
  <c r="I112" i="31"/>
  <c r="H112" i="31"/>
  <c r="I164" i="31"/>
  <c r="H164" i="31"/>
  <c r="H229" i="31"/>
  <c r="I229" i="31"/>
  <c r="I251" i="31"/>
  <c r="H251" i="31"/>
  <c r="H323" i="31"/>
  <c r="I323" i="31"/>
  <c r="I408" i="31"/>
  <c r="H408" i="31"/>
  <c r="I461" i="31"/>
  <c r="H461" i="31"/>
  <c r="I540" i="31"/>
  <c r="H540" i="31"/>
  <c r="H601" i="31"/>
  <c r="I601" i="31"/>
  <c r="H40" i="31"/>
  <c r="I40" i="31"/>
  <c r="I18" i="31"/>
  <c r="H18" i="31"/>
  <c r="H15" i="31"/>
  <c r="I15" i="31"/>
  <c r="I327" i="31"/>
  <c r="H327" i="31"/>
  <c r="I259" i="31"/>
  <c r="H259" i="31"/>
  <c r="I82" i="31"/>
  <c r="H82" i="31"/>
  <c r="I450" i="31"/>
  <c r="H450" i="31"/>
  <c r="I594" i="31"/>
  <c r="H594" i="31"/>
  <c r="I216" i="31"/>
  <c r="H216" i="31"/>
  <c r="H124" i="31"/>
  <c r="I124" i="31"/>
  <c r="H577" i="31"/>
  <c r="I577" i="31"/>
  <c r="H531" i="31"/>
  <c r="I531" i="31"/>
  <c r="I404" i="31"/>
  <c r="H404" i="31"/>
  <c r="I41" i="31"/>
  <c r="H41" i="31"/>
  <c r="L4" i="31"/>
  <c r="D623" i="31" s="1"/>
  <c r="O4" i="32"/>
  <c r="I626" i="31"/>
  <c r="H626" i="31"/>
  <c r="I471" i="31"/>
  <c r="H471" i="31"/>
  <c r="H260" i="31"/>
  <c r="I260" i="31"/>
  <c r="H59" i="31"/>
  <c r="I59" i="31"/>
  <c r="I173" i="31"/>
  <c r="H173" i="31"/>
  <c r="I265" i="31"/>
  <c r="H265" i="31"/>
  <c r="H361" i="31"/>
  <c r="I361" i="31"/>
  <c r="H547" i="31"/>
  <c r="I547" i="31"/>
  <c r="H71" i="31"/>
  <c r="I71" i="31"/>
  <c r="H291" i="31"/>
  <c r="I291" i="31"/>
  <c r="H118" i="31"/>
  <c r="I118" i="31"/>
  <c r="I302" i="31"/>
  <c r="H302" i="31"/>
  <c r="I331" i="31"/>
  <c r="H331" i="31"/>
  <c r="H463" i="31"/>
  <c r="I463" i="31"/>
  <c r="I584" i="31"/>
  <c r="H584" i="31"/>
  <c r="I579" i="31"/>
  <c r="H579" i="31"/>
  <c r="I267" i="31"/>
  <c r="H267" i="31"/>
  <c r="H469" i="31"/>
  <c r="I469" i="31"/>
  <c r="H69" i="31"/>
  <c r="I69" i="31"/>
  <c r="I591" i="31"/>
  <c r="H591" i="31"/>
  <c r="I167" i="31"/>
  <c r="H167" i="31"/>
  <c r="I314" i="31"/>
  <c r="H314" i="31"/>
  <c r="H136" i="31"/>
  <c r="I136" i="31"/>
  <c r="H161" i="31"/>
  <c r="I161" i="31"/>
  <c r="I269" i="31"/>
  <c r="H269" i="31"/>
  <c r="H393" i="31"/>
  <c r="I393" i="31"/>
  <c r="I518" i="31"/>
  <c r="H518" i="31"/>
  <c r="I42" i="31"/>
  <c r="H42" i="31"/>
  <c r="H410" i="31"/>
  <c r="I410" i="31"/>
  <c r="H257" i="31"/>
  <c r="I257" i="31"/>
  <c r="I127" i="31"/>
  <c r="H127" i="31"/>
  <c r="I321" i="31"/>
  <c r="H321" i="31"/>
  <c r="I526" i="31"/>
  <c r="H526" i="31"/>
  <c r="I22" i="31"/>
  <c r="H22" i="31"/>
  <c r="H83" i="31"/>
  <c r="I83" i="31"/>
  <c r="H106" i="31"/>
  <c r="I106" i="31"/>
  <c r="I286" i="31"/>
  <c r="H286" i="31"/>
  <c r="H135" i="31"/>
  <c r="I135" i="31"/>
  <c r="I152" i="31"/>
  <c r="H152" i="31"/>
  <c r="H288" i="31"/>
  <c r="I288" i="31"/>
  <c r="H398" i="31"/>
  <c r="I398" i="31"/>
  <c r="H516" i="31"/>
  <c r="I516" i="31"/>
  <c r="H58" i="31"/>
  <c r="I58" i="31"/>
  <c r="I121" i="31"/>
  <c r="H121" i="31"/>
  <c r="I181" i="31"/>
  <c r="H181" i="31"/>
  <c r="H233" i="31"/>
  <c r="I233" i="31"/>
  <c r="H276" i="31"/>
  <c r="I276" i="31"/>
  <c r="I365" i="31"/>
  <c r="H365" i="31"/>
  <c r="I411" i="31"/>
  <c r="H411" i="31"/>
  <c r="I474" i="31"/>
  <c r="H474" i="31"/>
  <c r="I559" i="31"/>
  <c r="H559" i="31"/>
  <c r="H68" i="31"/>
  <c r="I68" i="31"/>
  <c r="H433" i="31"/>
  <c r="I433" i="31"/>
  <c r="I550" i="31"/>
  <c r="H550" i="31"/>
  <c r="I570" i="31"/>
  <c r="H570" i="31"/>
  <c r="I103" i="31"/>
  <c r="H103" i="31"/>
  <c r="I142" i="31"/>
  <c r="H142" i="31"/>
  <c r="I194" i="31"/>
  <c r="H194" i="31"/>
  <c r="I333" i="31"/>
  <c r="H333" i="31"/>
  <c r="I322" i="31"/>
  <c r="H322" i="31"/>
  <c r="H385" i="31"/>
  <c r="I385" i="31"/>
  <c r="H487" i="31"/>
  <c r="I487" i="31"/>
  <c r="I504" i="31"/>
  <c r="H504" i="31"/>
  <c r="H596" i="31"/>
  <c r="I596" i="31"/>
  <c r="I89" i="31"/>
  <c r="H89" i="31"/>
  <c r="H149" i="31"/>
  <c r="I149" i="31"/>
  <c r="I224" i="31"/>
  <c r="H224" i="31"/>
  <c r="H289" i="31"/>
  <c r="I289" i="31"/>
  <c r="H324" i="31"/>
  <c r="I324" i="31"/>
  <c r="I444" i="31"/>
  <c r="H444" i="31"/>
  <c r="H489" i="31"/>
  <c r="I489" i="31"/>
  <c r="I566" i="31"/>
  <c r="H566" i="31"/>
  <c r="I39" i="31"/>
  <c r="H39" i="31"/>
  <c r="I64" i="31"/>
  <c r="H64" i="31"/>
  <c r="I79" i="31"/>
  <c r="H79" i="31"/>
  <c r="I608" i="31"/>
  <c r="H608" i="31"/>
  <c r="I538" i="31"/>
  <c r="H538" i="31"/>
  <c r="I75" i="31"/>
  <c r="H75" i="31"/>
  <c r="H253" i="31"/>
  <c r="I253" i="31"/>
  <c r="H199" i="31"/>
  <c r="I199" i="31"/>
  <c r="I337" i="31"/>
  <c r="H337" i="31"/>
  <c r="H350" i="31"/>
  <c r="I350" i="31"/>
  <c r="H479" i="31"/>
  <c r="I479" i="31"/>
  <c r="H247" i="31"/>
  <c r="I247" i="31"/>
  <c r="H92" i="31"/>
  <c r="I92" i="31"/>
  <c r="H440" i="31"/>
  <c r="I440" i="31"/>
  <c r="H130" i="31"/>
  <c r="I130" i="31"/>
  <c r="H492" i="31"/>
  <c r="I492" i="31"/>
  <c r="I388" i="31"/>
  <c r="H388" i="31"/>
  <c r="H70" i="31"/>
  <c r="I70" i="31"/>
  <c r="I230" i="31"/>
  <c r="H230" i="31"/>
  <c r="I318" i="31"/>
  <c r="H318" i="31"/>
  <c r="I405" i="31"/>
  <c r="H405" i="31"/>
  <c r="H485" i="31"/>
  <c r="I485" i="31"/>
  <c r="I108" i="31"/>
  <c r="H108" i="31"/>
  <c r="I368" i="31"/>
  <c r="H368" i="31"/>
  <c r="I172" i="31"/>
  <c r="H172" i="31"/>
  <c r="I240" i="31"/>
  <c r="H240" i="31"/>
  <c r="I395" i="31"/>
  <c r="H395" i="31"/>
  <c r="I453" i="31"/>
  <c r="H453" i="31"/>
  <c r="H599" i="31"/>
  <c r="I599" i="31"/>
  <c r="I38" i="31"/>
  <c r="H38" i="31"/>
  <c r="I305" i="31"/>
  <c r="H305" i="31"/>
  <c r="I521" i="31"/>
  <c r="H521" i="31"/>
  <c r="I32" i="31"/>
  <c r="H32" i="31"/>
  <c r="I30" i="31"/>
  <c r="H30" i="31"/>
  <c r="I186" i="31"/>
  <c r="H186" i="31"/>
  <c r="H339" i="31"/>
  <c r="I339" i="31"/>
  <c r="I98" i="31"/>
  <c r="H98" i="31"/>
  <c r="I202" i="31"/>
  <c r="H202" i="31"/>
  <c r="I296" i="31"/>
  <c r="H296" i="31"/>
  <c r="H426" i="31"/>
  <c r="I426" i="31"/>
  <c r="I541" i="31"/>
  <c r="H541" i="31"/>
  <c r="I143" i="31"/>
  <c r="H143" i="31"/>
  <c r="I503" i="31"/>
  <c r="H503" i="31"/>
  <c r="I311" i="31"/>
  <c r="H311" i="31"/>
  <c r="H84" i="31"/>
  <c r="I84" i="31"/>
  <c r="H300" i="31"/>
  <c r="I300" i="31"/>
  <c r="I551" i="31"/>
  <c r="H551" i="31"/>
  <c r="H157" i="31"/>
  <c r="I157" i="31"/>
  <c r="I198" i="31"/>
  <c r="H198" i="31"/>
  <c r="H117" i="31"/>
  <c r="I117" i="31"/>
  <c r="H312" i="31"/>
  <c r="I312" i="31"/>
  <c r="I81" i="31"/>
  <c r="H81" i="31"/>
  <c r="H185" i="31"/>
  <c r="I185" i="31"/>
  <c r="H285" i="31"/>
  <c r="I285" i="31"/>
  <c r="H394" i="31"/>
  <c r="I394" i="31"/>
  <c r="I512" i="31"/>
  <c r="H512" i="31"/>
  <c r="H34" i="31"/>
  <c r="I34" i="31"/>
  <c r="I122" i="31"/>
  <c r="H122" i="31"/>
  <c r="H174" i="31"/>
  <c r="I174" i="31"/>
  <c r="I219" i="31"/>
  <c r="H219" i="31"/>
  <c r="H317" i="31"/>
  <c r="I317" i="31"/>
  <c r="H367" i="31"/>
  <c r="I367" i="31"/>
  <c r="I437" i="31"/>
  <c r="H437" i="31"/>
  <c r="H491" i="31"/>
  <c r="I491" i="31"/>
  <c r="I556" i="31"/>
  <c r="H556" i="31"/>
  <c r="I36" i="31"/>
  <c r="H36" i="31"/>
  <c r="I435" i="31"/>
  <c r="H435" i="31"/>
  <c r="I528" i="31"/>
  <c r="H528" i="31"/>
  <c r="I573" i="31"/>
  <c r="H573" i="31"/>
  <c r="I96" i="31"/>
  <c r="H96" i="31"/>
  <c r="I148" i="31"/>
  <c r="H148" i="31"/>
  <c r="I213" i="31"/>
  <c r="H213" i="31"/>
  <c r="H294" i="31"/>
  <c r="I294" i="31"/>
  <c r="H307" i="31"/>
  <c r="I307" i="31"/>
  <c r="H423" i="31"/>
  <c r="I423" i="31"/>
  <c r="I514" i="31"/>
  <c r="H514" i="31"/>
  <c r="H539" i="31"/>
  <c r="I539" i="31"/>
  <c r="H610" i="31"/>
  <c r="I610" i="31"/>
  <c r="H90" i="31"/>
  <c r="I90" i="31"/>
  <c r="I208" i="31"/>
  <c r="H208" i="31"/>
  <c r="I218" i="31"/>
  <c r="H218" i="31"/>
  <c r="H261" i="31"/>
  <c r="I261" i="31"/>
  <c r="I380" i="31"/>
  <c r="H380" i="31"/>
  <c r="I420" i="31"/>
  <c r="H420" i="31"/>
  <c r="I513" i="31"/>
  <c r="H513" i="31"/>
  <c r="I558" i="31"/>
  <c r="H558" i="31"/>
  <c r="I52" i="31"/>
  <c r="H52" i="31"/>
  <c r="H24" i="31"/>
  <c r="I24" i="31"/>
  <c r="I65" i="31"/>
  <c r="H65" i="31"/>
  <c r="H47" i="31"/>
  <c r="I47" i="31"/>
  <c r="H427" i="31"/>
  <c r="I427" i="31"/>
  <c r="I590" i="31"/>
  <c r="H590" i="31"/>
  <c r="I585" i="31"/>
  <c r="H585" i="31"/>
  <c r="H356" i="31"/>
  <c r="I356" i="31"/>
  <c r="I438" i="31"/>
  <c r="H438" i="31"/>
  <c r="I310" i="31"/>
  <c r="H310" i="31"/>
  <c r="I187" i="31"/>
  <c r="H187" i="31"/>
  <c r="H536" i="31"/>
  <c r="I536" i="31"/>
  <c r="I371" i="31"/>
  <c r="H371" i="31"/>
  <c r="H104" i="31"/>
  <c r="I104" i="31"/>
  <c r="I184" i="31"/>
  <c r="H184" i="31"/>
  <c r="H268" i="31"/>
  <c r="I268" i="31"/>
  <c r="I376" i="31"/>
  <c r="H376" i="31"/>
  <c r="I517" i="31"/>
  <c r="H517" i="31"/>
  <c r="I160" i="31"/>
  <c r="H160" i="31"/>
  <c r="I452" i="31"/>
  <c r="H452" i="31"/>
  <c r="H189" i="31"/>
  <c r="I189" i="31"/>
  <c r="I273" i="31"/>
  <c r="H273" i="31"/>
  <c r="I369" i="31"/>
  <c r="H369" i="31"/>
  <c r="I498" i="31"/>
  <c r="H498" i="31"/>
  <c r="H29" i="31"/>
  <c r="I29" i="31"/>
  <c r="H299" i="31"/>
  <c r="I299" i="31"/>
  <c r="H366" i="31"/>
  <c r="I366" i="31"/>
  <c r="I507" i="31"/>
  <c r="H507" i="31"/>
  <c r="I182" i="31"/>
  <c r="H182" i="31"/>
  <c r="H95" i="31"/>
  <c r="I95" i="31"/>
  <c r="H207" i="31"/>
  <c r="I207" i="31"/>
  <c r="I374" i="31"/>
  <c r="H374" i="31"/>
  <c r="I131" i="31"/>
  <c r="H131" i="31"/>
  <c r="I215" i="31"/>
  <c r="H215" i="31"/>
  <c r="I313" i="31"/>
  <c r="H313" i="31"/>
  <c r="H421" i="31"/>
  <c r="I421" i="31"/>
  <c r="I563" i="31"/>
  <c r="H563" i="31"/>
  <c r="I86" i="31"/>
  <c r="H86" i="31"/>
  <c r="I501" i="31"/>
  <c r="H501" i="31"/>
  <c r="H340" i="31"/>
  <c r="I340" i="31"/>
  <c r="I171" i="31"/>
  <c r="H171" i="31"/>
  <c r="I396" i="31"/>
  <c r="H396" i="31"/>
  <c r="H564" i="31"/>
  <c r="I564" i="31"/>
  <c r="I334" i="31"/>
  <c r="H334" i="31"/>
  <c r="I263" i="31"/>
  <c r="H263" i="31"/>
  <c r="H204" i="31"/>
  <c r="I204" i="31"/>
  <c r="I346" i="31"/>
  <c r="H346" i="31"/>
  <c r="I114" i="31"/>
  <c r="H114" i="31"/>
  <c r="H220" i="31"/>
  <c r="I220" i="31"/>
  <c r="I328" i="31"/>
  <c r="H328" i="31"/>
  <c r="I430" i="31"/>
  <c r="H430" i="31"/>
  <c r="H543" i="31"/>
  <c r="I543" i="31"/>
  <c r="I73" i="31"/>
  <c r="H73" i="31"/>
  <c r="I123" i="31"/>
  <c r="H123" i="31"/>
  <c r="H175" i="31"/>
  <c r="I175" i="31"/>
  <c r="I262" i="31"/>
  <c r="H262" i="31"/>
  <c r="H354" i="31"/>
  <c r="I354" i="31"/>
  <c r="H379" i="31"/>
  <c r="I379" i="31"/>
  <c r="H431" i="31"/>
  <c r="I431" i="31"/>
  <c r="I493" i="31"/>
  <c r="H493" i="31"/>
  <c r="I574" i="31"/>
  <c r="H574" i="31"/>
  <c r="I43" i="31"/>
  <c r="H43" i="31"/>
  <c r="I477" i="31"/>
  <c r="H477" i="31"/>
  <c r="H519" i="31"/>
  <c r="I519" i="31"/>
  <c r="I588" i="31"/>
  <c r="H588" i="31"/>
  <c r="I147" i="31"/>
  <c r="H147" i="31"/>
  <c r="H209" i="31"/>
  <c r="I209" i="31"/>
  <c r="H255" i="31"/>
  <c r="I255" i="31"/>
  <c r="I287" i="31"/>
  <c r="H287" i="31"/>
  <c r="H308" i="31"/>
  <c r="I308" i="31"/>
  <c r="I417" i="31"/>
  <c r="H417" i="31"/>
  <c r="H480" i="31"/>
  <c r="I480" i="31"/>
  <c r="I535" i="31"/>
  <c r="H535" i="31"/>
  <c r="H605" i="31"/>
  <c r="I605" i="31"/>
  <c r="I91" i="31"/>
  <c r="H91" i="31"/>
  <c r="I206" i="31"/>
  <c r="H206" i="31"/>
  <c r="I245" i="31"/>
  <c r="H245" i="31"/>
  <c r="I319" i="31"/>
  <c r="H319" i="31"/>
  <c r="H400" i="31"/>
  <c r="I400" i="31"/>
  <c r="I446" i="31"/>
  <c r="H446" i="31"/>
  <c r="I484" i="31"/>
  <c r="H484" i="31"/>
  <c r="H561" i="31"/>
  <c r="I561" i="31"/>
  <c r="I20" i="31"/>
  <c r="H20" i="31"/>
  <c r="H31" i="31"/>
  <c r="I31" i="31"/>
  <c r="I33" i="31"/>
  <c r="H33" i="31"/>
  <c r="I613" i="31"/>
  <c r="H613" i="31"/>
  <c r="O102" i="27"/>
  <c r="Z102" i="27" s="1"/>
  <c r="U102" i="27"/>
  <c r="E79" i="1"/>
  <c r="A503" i="2" s="1"/>
  <c r="B152" i="2"/>
  <c r="C52" i="16" s="1"/>
  <c r="N38" i="27"/>
  <c r="AC90" i="27" s="1"/>
  <c r="S90" i="27"/>
  <c r="O38" i="27"/>
  <c r="X90" i="27" s="1"/>
  <c r="S82" i="27"/>
  <c r="N30" i="27"/>
  <c r="AC82" i="27" s="1"/>
  <c r="O30" i="27"/>
  <c r="X82" i="27" s="1"/>
  <c r="T102" i="27"/>
  <c r="O76" i="27"/>
  <c r="Y102" i="27" s="1"/>
  <c r="N76" i="27"/>
  <c r="AD102" i="27" s="1"/>
  <c r="T84" i="27"/>
  <c r="O58" i="27"/>
  <c r="Y84" i="27" s="1"/>
  <c r="N58" i="27"/>
  <c r="AD84" i="27" s="1"/>
  <c r="N94" i="27"/>
  <c r="AE94" i="27" s="1"/>
  <c r="U94" i="27"/>
  <c r="O94" i="27"/>
  <c r="Z94" i="27" s="1"/>
  <c r="N91" i="27"/>
  <c r="AE91" i="27" s="1"/>
  <c r="U91" i="27"/>
  <c r="O91" i="27"/>
  <c r="Z91" i="27" s="1"/>
  <c r="N42" i="27"/>
  <c r="AC94" i="27" s="1"/>
  <c r="S94" i="27"/>
  <c r="O42" i="27"/>
  <c r="X94" i="27" s="1"/>
  <c r="N35" i="27"/>
  <c r="AC87" i="27" s="1"/>
  <c r="S87" i="27"/>
  <c r="O35" i="27"/>
  <c r="X87" i="27" s="1"/>
  <c r="T100" i="27"/>
  <c r="N74" i="27"/>
  <c r="AD100" i="27" s="1"/>
  <c r="O74" i="27"/>
  <c r="Y100" i="27" s="1"/>
  <c r="N87" i="27"/>
  <c r="AE87" i="27" s="1"/>
  <c r="U87" i="27"/>
  <c r="O87" i="27"/>
  <c r="Z87" i="27" s="1"/>
  <c r="N31" i="27"/>
  <c r="AC83" i="27" s="1"/>
  <c r="S83" i="27"/>
  <c r="O31" i="27"/>
  <c r="X83" i="27" s="1"/>
  <c r="N45" i="27"/>
  <c r="AC97" i="27" s="1"/>
  <c r="S97" i="27"/>
  <c r="O45" i="27"/>
  <c r="X97" i="27" s="1"/>
  <c r="N89" i="27"/>
  <c r="AE89" i="27" s="1"/>
  <c r="U89" i="27"/>
  <c r="O89" i="27"/>
  <c r="Z89" i="27" s="1"/>
  <c r="N48" i="27"/>
  <c r="AC100" i="27" s="1"/>
  <c r="S100" i="27"/>
  <c r="O48" i="27"/>
  <c r="X100" i="27" s="1"/>
  <c r="N37" i="27"/>
  <c r="AC89" i="27" s="1"/>
  <c r="S89" i="27"/>
  <c r="O37" i="27"/>
  <c r="X89" i="27" s="1"/>
  <c r="T91" i="27"/>
  <c r="N65" i="27"/>
  <c r="AD91" i="27" s="1"/>
  <c r="O65" i="27"/>
  <c r="Y91" i="27" s="1"/>
  <c r="N82" i="27"/>
  <c r="AE82" i="27" s="1"/>
  <c r="U82" i="27"/>
  <c r="O82" i="27"/>
  <c r="Z82" i="27" s="1"/>
  <c r="N46" i="27"/>
  <c r="AC98" i="27" s="1"/>
  <c r="S98" i="27"/>
  <c r="O46" i="27"/>
  <c r="X98" i="27" s="1"/>
  <c r="N40" i="27"/>
  <c r="AC92" i="27" s="1"/>
  <c r="S92" i="27"/>
  <c r="O40" i="27"/>
  <c r="X92" i="27" s="1"/>
  <c r="T97" i="27"/>
  <c r="O71" i="27"/>
  <c r="Y97" i="27" s="1"/>
  <c r="N71" i="27"/>
  <c r="AD97" i="27" s="1"/>
  <c r="N41" i="27"/>
  <c r="AC93" i="27" s="1"/>
  <c r="S93" i="27"/>
  <c r="O41" i="27"/>
  <c r="X93" i="27" s="1"/>
  <c r="N34" i="27"/>
  <c r="AC86" i="27" s="1"/>
  <c r="S86" i="27"/>
  <c r="O34" i="27"/>
  <c r="X86" i="27" s="1"/>
  <c r="T87" i="27"/>
  <c r="N61" i="27"/>
  <c r="AD87" i="27" s="1"/>
  <c r="O61" i="27"/>
  <c r="Y87" i="27" s="1"/>
  <c r="T95" i="27"/>
  <c r="N69" i="27"/>
  <c r="AD95" i="27" s="1"/>
  <c r="O69" i="27"/>
  <c r="Y95" i="27" s="1"/>
  <c r="T101" i="27"/>
  <c r="O75" i="27"/>
  <c r="Y101" i="27" s="1"/>
  <c r="N75" i="27"/>
  <c r="AD101" i="27" s="1"/>
  <c r="T96" i="27"/>
  <c r="N70" i="27"/>
  <c r="AD96" i="27" s="1"/>
  <c r="O70" i="27"/>
  <c r="Y96" i="27" s="1"/>
  <c r="T88" i="27"/>
  <c r="O62" i="27"/>
  <c r="Y88" i="27" s="1"/>
  <c r="N62" i="27"/>
  <c r="AD88" i="27" s="1"/>
  <c r="T85" i="27"/>
  <c r="O59" i="27"/>
  <c r="Y85" i="27" s="1"/>
  <c r="N59" i="27"/>
  <c r="AD85" i="27" s="1"/>
  <c r="N86" i="27"/>
  <c r="AE86" i="27" s="1"/>
  <c r="U86" i="27"/>
  <c r="O86" i="27"/>
  <c r="Z86" i="27" s="1"/>
  <c r="N47" i="27"/>
  <c r="AC99" i="27" s="1"/>
  <c r="S99" i="27"/>
  <c r="O47" i="27"/>
  <c r="X99" i="27" s="1"/>
  <c r="N100" i="27"/>
  <c r="AE100" i="27" s="1"/>
  <c r="U100" i="27"/>
  <c r="O100" i="27"/>
  <c r="Z100" i="27" s="1"/>
  <c r="N43" i="27"/>
  <c r="AC95" i="27" s="1"/>
  <c r="S95" i="27"/>
  <c r="O43" i="27"/>
  <c r="X95" i="27" s="1"/>
  <c r="N85" i="27"/>
  <c r="AE85" i="27" s="1"/>
  <c r="U85" i="27"/>
  <c r="O85" i="27"/>
  <c r="Z85" i="27" s="1"/>
  <c r="T90" i="27"/>
  <c r="O64" i="27"/>
  <c r="Y90" i="27" s="1"/>
  <c r="N64" i="27"/>
  <c r="AD90" i="27" s="1"/>
  <c r="T92" i="27"/>
  <c r="O66" i="27"/>
  <c r="Y92" i="27" s="1"/>
  <c r="N66" i="27"/>
  <c r="AD92" i="27" s="1"/>
  <c r="N97" i="27"/>
  <c r="AE97" i="27" s="1"/>
  <c r="U97" i="27"/>
  <c r="O97" i="27"/>
  <c r="Z97" i="27" s="1"/>
  <c r="N50" i="27"/>
  <c r="AC102" i="27" s="1"/>
  <c r="S102" i="27"/>
  <c r="O50" i="27"/>
  <c r="X102" i="27" s="1"/>
  <c r="U96" i="27"/>
  <c r="N96" i="27"/>
  <c r="AE96" i="27" s="1"/>
  <c r="O96" i="27"/>
  <c r="Z96" i="27" s="1"/>
  <c r="T83" i="27"/>
  <c r="N57" i="27"/>
  <c r="AD83" i="27" s="1"/>
  <c r="O57" i="27"/>
  <c r="Y83" i="27" s="1"/>
  <c r="N39" i="27"/>
  <c r="AC91" i="27" s="1"/>
  <c r="S91" i="27"/>
  <c r="O39" i="27"/>
  <c r="X91" i="27" s="1"/>
  <c r="T82" i="27"/>
  <c r="O56" i="27"/>
  <c r="Y82" i="27" s="1"/>
  <c r="N56" i="27"/>
  <c r="AD82" i="27" s="1"/>
  <c r="T93" i="27"/>
  <c r="O67" i="27"/>
  <c r="Y93" i="27" s="1"/>
  <c r="N67" i="27"/>
  <c r="AD93" i="27" s="1"/>
  <c r="N36" i="27"/>
  <c r="AC88" i="27" s="1"/>
  <c r="S88" i="27"/>
  <c r="O36" i="27"/>
  <c r="X88" i="27" s="1"/>
  <c r="N33" i="27"/>
  <c r="AC85" i="27" s="1"/>
  <c r="S85" i="27"/>
  <c r="O33" i="27"/>
  <c r="X85" i="27" s="1"/>
  <c r="N95" i="27"/>
  <c r="AE95" i="27" s="1"/>
  <c r="U95" i="27"/>
  <c r="O95" i="27"/>
  <c r="Z95" i="27" s="1"/>
  <c r="N88" i="27"/>
  <c r="AE88" i="27" s="1"/>
  <c r="U88" i="27"/>
  <c r="O88" i="27"/>
  <c r="Z88" i="27" s="1"/>
  <c r="N44" i="27"/>
  <c r="AC96" i="27" s="1"/>
  <c r="S96" i="27"/>
  <c r="O44" i="27"/>
  <c r="X96" i="27" s="1"/>
  <c r="T94" i="27"/>
  <c r="O68" i="27"/>
  <c r="Y94" i="27" s="1"/>
  <c r="N68" i="27"/>
  <c r="AD94" i="27" s="1"/>
  <c r="N32" i="27"/>
  <c r="AC84" i="27" s="1"/>
  <c r="S84" i="27"/>
  <c r="O32" i="27"/>
  <c r="X84" i="27" s="1"/>
  <c r="T89" i="27"/>
  <c r="O63" i="27"/>
  <c r="Y89" i="27" s="1"/>
  <c r="N63" i="27"/>
  <c r="AD89" i="27" s="1"/>
  <c r="T98" i="27"/>
  <c r="O72" i="27"/>
  <c r="Y98" i="27" s="1"/>
  <c r="N72" i="27"/>
  <c r="AD98" i="27" s="1"/>
  <c r="N99" i="27"/>
  <c r="AE99" i="27" s="1"/>
  <c r="U99" i="27"/>
  <c r="O99" i="27"/>
  <c r="Z99" i="27" s="1"/>
  <c r="N49" i="27"/>
  <c r="AC101" i="27" s="1"/>
  <c r="S101" i="27"/>
  <c r="O49" i="27"/>
  <c r="X101" i="27" s="1"/>
  <c r="T99" i="27"/>
  <c r="N73" i="27"/>
  <c r="AD99" i="27" s="1"/>
  <c r="O73" i="27"/>
  <c r="Y99" i="27" s="1"/>
  <c r="T86" i="27"/>
  <c r="O60" i="27"/>
  <c r="Y86" i="27" s="1"/>
  <c r="N60" i="27"/>
  <c r="AD86" i="27" s="1"/>
  <c r="B71" i="2"/>
  <c r="E16" i="1" s="1"/>
  <c r="G186" i="2"/>
  <c r="C86" i="2"/>
  <c r="B86" i="2"/>
  <c r="B137" i="2" s="1"/>
  <c r="B208" i="2"/>
  <c r="L351" i="2"/>
  <c r="B358" i="2"/>
  <c r="B341" i="2"/>
  <c r="B194" i="2"/>
  <c r="B193" i="2"/>
  <c r="B188" i="2"/>
  <c r="C84" i="2"/>
  <c r="B309" i="2"/>
  <c r="D459" i="2"/>
  <c r="D458" i="2"/>
  <c r="K366" i="2"/>
  <c r="B328" i="2"/>
  <c r="B327" i="2"/>
  <c r="C85" i="2"/>
  <c r="B84" i="2"/>
  <c r="B466" i="2"/>
  <c r="B467" i="2" s="1"/>
  <c r="AL623" i="32" l="1"/>
  <c r="AK623" i="32"/>
  <c r="AO623" i="32"/>
  <c r="AN623" i="32"/>
  <c r="AR623" i="32"/>
  <c r="AQ623" i="32"/>
  <c r="F623" i="31"/>
  <c r="E623" i="31"/>
  <c r="I623" i="31"/>
  <c r="H623" i="31"/>
  <c r="G632" i="32"/>
  <c r="D622" i="32"/>
  <c r="E74" i="1"/>
  <c r="E75" i="1" s="1"/>
  <c r="L5" i="31"/>
  <c r="O5" i="32"/>
  <c r="D78" i="31"/>
  <c r="D17" i="31"/>
  <c r="D18" i="31"/>
  <c r="D14" i="31"/>
  <c r="D50" i="31"/>
  <c r="D613" i="31"/>
  <c r="D74" i="31"/>
  <c r="D28" i="31"/>
  <c r="D60" i="31"/>
  <c r="D66" i="31"/>
  <c r="D44" i="31"/>
  <c r="D76" i="31"/>
  <c r="D58" i="31"/>
  <c r="D51" i="31"/>
  <c r="D20" i="31"/>
  <c r="D29" i="31"/>
  <c r="D61" i="31"/>
  <c r="D46" i="31"/>
  <c r="D604" i="31"/>
  <c r="D600" i="31"/>
  <c r="D598" i="31"/>
  <c r="D576" i="31"/>
  <c r="D586" i="31"/>
  <c r="D565" i="31"/>
  <c r="D552" i="31"/>
  <c r="D555" i="31"/>
  <c r="D67" i="31"/>
  <c r="D34" i="31"/>
  <c r="D52" i="31"/>
  <c r="D42" i="31"/>
  <c r="D27" i="31"/>
  <c r="D68" i="31"/>
  <c r="D43" i="31"/>
  <c r="D21" i="31"/>
  <c r="D45" i="31"/>
  <c r="D69" i="31"/>
  <c r="D38" i="31"/>
  <c r="D62" i="31"/>
  <c r="D606" i="31"/>
  <c r="D601" i="31"/>
  <c r="D594" i="31"/>
  <c r="D582" i="31"/>
  <c r="D568" i="31"/>
  <c r="D563" i="31"/>
  <c r="D549" i="31"/>
  <c r="D529" i="31"/>
  <c r="D534" i="31"/>
  <c r="D522" i="31"/>
  <c r="D520" i="31"/>
  <c r="D526" i="31"/>
  <c r="D481" i="31"/>
  <c r="D502" i="31"/>
  <c r="D490" i="31"/>
  <c r="D456" i="31"/>
  <c r="D532" i="31"/>
  <c r="D461" i="31"/>
  <c r="D438" i="31"/>
  <c r="D428" i="31"/>
  <c r="D449" i="31"/>
  <c r="D427" i="31"/>
  <c r="D399" i="31"/>
  <c r="D420" i="31"/>
  <c r="D402" i="31"/>
  <c r="D425" i="31"/>
  <c r="D426" i="31"/>
  <c r="D392" i="31"/>
  <c r="D357" i="31"/>
  <c r="D375" i="31"/>
  <c r="D362" i="31"/>
  <c r="D352" i="31"/>
  <c r="D295" i="31"/>
  <c r="D294" i="31"/>
  <c r="D340" i="31"/>
  <c r="D347" i="31"/>
  <c r="D349" i="31"/>
  <c r="D336" i="31"/>
  <c r="D271" i="31"/>
  <c r="D262" i="31"/>
  <c r="D337" i="31"/>
  <c r="D260" i="31"/>
  <c r="D259" i="31"/>
  <c r="D282" i="31"/>
  <c r="D281" i="31"/>
  <c r="D229" i="31"/>
  <c r="D242" i="31"/>
  <c r="D218" i="31"/>
  <c r="D223" i="31"/>
  <c r="D165" i="31"/>
  <c r="D172" i="31"/>
  <c r="D179" i="31"/>
  <c r="D178" i="31"/>
  <c r="D169" i="31"/>
  <c r="D168" i="31"/>
  <c r="D175" i="31"/>
  <c r="D198" i="31"/>
  <c r="D121" i="31"/>
  <c r="D136" i="31"/>
  <c r="D146" i="31"/>
  <c r="D87" i="31"/>
  <c r="D94" i="31"/>
  <c r="D93" i="31"/>
  <c r="D92" i="31"/>
  <c r="D91" i="31"/>
  <c r="D90" i="31"/>
  <c r="D31" i="31"/>
  <c r="D63" i="31"/>
  <c r="D26" i="31"/>
  <c r="D35" i="31"/>
  <c r="D75" i="31"/>
  <c r="D596" i="31"/>
  <c r="D593" i="31"/>
  <c r="D583" i="31"/>
  <c r="D581" i="31"/>
  <c r="D570" i="31"/>
  <c r="D571" i="31"/>
  <c r="D548" i="31"/>
  <c r="D553" i="31"/>
  <c r="D541" i="31"/>
  <c r="D506" i="31"/>
  <c r="D504" i="31"/>
  <c r="D510" i="31"/>
  <c r="D488" i="31"/>
  <c r="D486" i="31"/>
  <c r="D473" i="31"/>
  <c r="D498" i="31"/>
  <c r="D470" i="31"/>
  <c r="D460" i="31"/>
  <c r="D445" i="31"/>
  <c r="D435" i="31"/>
  <c r="D478" i="31"/>
  <c r="D416" i="31"/>
  <c r="D422" i="31"/>
  <c r="D453" i="31"/>
  <c r="D401" i="31"/>
  <c r="D388" i="31"/>
  <c r="D394" i="31"/>
  <c r="D376" i="31"/>
  <c r="D398" i="31"/>
  <c r="D363" i="31"/>
  <c r="D369" i="31"/>
  <c r="D343" i="31"/>
  <c r="D342" i="31"/>
  <c r="D333" i="31"/>
  <c r="D324" i="31"/>
  <c r="D331" i="31"/>
  <c r="D338" i="31"/>
  <c r="D304" i="31"/>
  <c r="D344" i="31"/>
  <c r="D246" i="31"/>
  <c r="D305" i="31"/>
  <c r="D244" i="31"/>
  <c r="D243" i="31"/>
  <c r="D296" i="31"/>
  <c r="D250" i="31"/>
  <c r="D213" i="31"/>
  <c r="D235" i="31"/>
  <c r="D232" i="31"/>
  <c r="D209" i="31"/>
  <c r="D149" i="31"/>
  <c r="D156" i="31"/>
  <c r="D163" i="31"/>
  <c r="D162" i="31"/>
  <c r="D153" i="31"/>
  <c r="D152" i="31"/>
  <c r="D159" i="31"/>
  <c r="D182" i="31"/>
  <c r="D105" i="31"/>
  <c r="D120" i="31"/>
  <c r="D135" i="31"/>
  <c r="D142" i="31"/>
  <c r="D141" i="31"/>
  <c r="D140" i="31"/>
  <c r="D139" i="31"/>
  <c r="D138" i="31"/>
  <c r="D15" i="31"/>
  <c r="D23" i="31"/>
  <c r="D55" i="31"/>
  <c r="D13" i="31"/>
  <c r="D37" i="31"/>
  <c r="D30" i="31"/>
  <c r="D54" i="31"/>
  <c r="D611" i="31"/>
  <c r="D603" i="31"/>
  <c r="D585" i="31"/>
  <c r="D590" i="31"/>
  <c r="D573" i="31"/>
  <c r="D567" i="31"/>
  <c r="D562" i="31"/>
  <c r="D547" i="31"/>
  <c r="D543" i="31"/>
  <c r="D533" i="31"/>
  <c r="D530" i="31"/>
  <c r="D539" i="31"/>
  <c r="D528" i="31"/>
  <c r="D509" i="31"/>
  <c r="D493" i="31"/>
  <c r="D465" i="31"/>
  <c r="D483" i="31"/>
  <c r="D462" i="31"/>
  <c r="D452" i="31"/>
  <c r="D437" i="31"/>
  <c r="D466" i="31"/>
  <c r="D459" i="31"/>
  <c r="D408" i="31"/>
  <c r="D414" i="31"/>
  <c r="D419" i="31"/>
  <c r="D400" i="31"/>
  <c r="D380" i="31"/>
  <c r="D386" i="31"/>
  <c r="D390" i="31"/>
  <c r="D383" i="31"/>
  <c r="D355" i="31"/>
  <c r="D361" i="31"/>
  <c r="D335" i="31"/>
  <c r="D334" i="31"/>
  <c r="D325" i="31"/>
  <c r="D316" i="31"/>
  <c r="D323" i="31"/>
  <c r="D330" i="31"/>
  <c r="D280" i="31"/>
  <c r="D329" i="31"/>
  <c r="D285" i="31"/>
  <c r="D291" i="31"/>
  <c r="D289" i="31"/>
  <c r="D345" i="31"/>
  <c r="D255" i="31"/>
  <c r="D245" i="31"/>
  <c r="D240" i="31"/>
  <c r="D227" i="31"/>
  <c r="D224" i="31"/>
  <c r="D205" i="31"/>
  <c r="D212" i="31"/>
  <c r="D148" i="31"/>
  <c r="D155" i="31"/>
  <c r="D154" i="31"/>
  <c r="D217" i="31"/>
  <c r="D225" i="31"/>
  <c r="D151" i="31"/>
  <c r="D174" i="31"/>
  <c r="D97" i="31"/>
  <c r="D112" i="31"/>
  <c r="D127" i="31"/>
  <c r="D134" i="31"/>
  <c r="D133" i="31"/>
  <c r="D132" i="31"/>
  <c r="D131" i="31"/>
  <c r="D130" i="31"/>
  <c r="D32" i="31"/>
  <c r="D64" i="31"/>
  <c r="D610" i="31"/>
  <c r="B622" i="31"/>
  <c r="D599" i="31"/>
  <c r="D589" i="31"/>
  <c r="D580" i="31"/>
  <c r="D566" i="31"/>
  <c r="D551" i="31"/>
  <c r="D538" i="31"/>
  <c r="D535" i="31"/>
  <c r="D540" i="31"/>
  <c r="D521" i="31"/>
  <c r="D531" i="31"/>
  <c r="D525" i="31"/>
  <c r="D501" i="31"/>
  <c r="D485" i="31"/>
  <c r="D457" i="31"/>
  <c r="D480" i="31"/>
  <c r="D454" i="31"/>
  <c r="D482" i="31"/>
  <c r="D508" i="31"/>
  <c r="D442" i="31"/>
  <c r="D450" i="31"/>
  <c r="D433" i="31"/>
  <c r="D406" i="31"/>
  <c r="D411" i="31"/>
  <c r="D397" i="31"/>
  <c r="D403" i="31"/>
  <c r="D378" i="31"/>
  <c r="D366" i="31"/>
  <c r="D372" i="31"/>
  <c r="D431" i="31"/>
  <c r="D353" i="31"/>
  <c r="D327" i="31"/>
  <c r="D326" i="31"/>
  <c r="D317" i="31"/>
  <c r="D308" i="31"/>
  <c r="D315" i="31"/>
  <c r="D322" i="31"/>
  <c r="D272" i="31"/>
  <c r="D312" i="31"/>
  <c r="D277" i="31"/>
  <c r="D286" i="31"/>
  <c r="D288" i="31"/>
  <c r="D328" i="31"/>
  <c r="D273" i="31"/>
  <c r="D230" i="31"/>
  <c r="D236" i="31"/>
  <c r="D219" i="31"/>
  <c r="D216" i="31"/>
  <c r="D197" i="31"/>
  <c r="D204" i="31"/>
  <c r="D211" i="31"/>
  <c r="D147" i="31"/>
  <c r="D201" i="31"/>
  <c r="D200" i="31"/>
  <c r="D207" i="31"/>
  <c r="D249" i="31"/>
  <c r="D166" i="31"/>
  <c r="D89" i="31"/>
  <c r="D104" i="31"/>
  <c r="D119" i="31"/>
  <c r="D126" i="31"/>
  <c r="D125" i="31"/>
  <c r="D124" i="31"/>
  <c r="D123" i="31"/>
  <c r="D122" i="31"/>
  <c r="D47" i="31"/>
  <c r="D79" i="31"/>
  <c r="D36" i="31"/>
  <c r="D82" i="31"/>
  <c r="D597" i="31"/>
  <c r="D591" i="31"/>
  <c r="D560" i="31"/>
  <c r="D558" i="31"/>
  <c r="D559" i="31"/>
  <c r="D512" i="31"/>
  <c r="D496" i="31"/>
  <c r="D475" i="31"/>
  <c r="D516" i="31"/>
  <c r="D430" i="31"/>
  <c r="D441" i="31"/>
  <c r="D429" i="31"/>
  <c r="D417" i="31"/>
  <c r="D404" i="31"/>
  <c r="D409" i="31"/>
  <c r="D354" i="31"/>
  <c r="D287" i="31"/>
  <c r="D332" i="31"/>
  <c r="D346" i="31"/>
  <c r="D263" i="31"/>
  <c r="D320" i="31"/>
  <c r="D251" i="31"/>
  <c r="D266" i="31"/>
  <c r="D238" i="31"/>
  <c r="D215" i="31"/>
  <c r="D164" i="31"/>
  <c r="D170" i="31"/>
  <c r="D160" i="31"/>
  <c r="D190" i="31"/>
  <c r="D128" i="31"/>
  <c r="D150" i="31"/>
  <c r="D85" i="31"/>
  <c r="D83" i="31"/>
  <c r="D40" i="31"/>
  <c r="D25" i="31"/>
  <c r="D41" i="31"/>
  <c r="D70" i="31"/>
  <c r="D602" i="31"/>
  <c r="D588" i="31"/>
  <c r="D545" i="31"/>
  <c r="D523" i="31"/>
  <c r="D519" i="31"/>
  <c r="D495" i="31"/>
  <c r="D500" i="31"/>
  <c r="D458" i="31"/>
  <c r="D448" i="31"/>
  <c r="D389" i="31"/>
  <c r="D447" i="31"/>
  <c r="D382" i="31"/>
  <c r="D318" i="31"/>
  <c r="D314" i="31"/>
  <c r="D297" i="31"/>
  <c r="D313" i="31"/>
  <c r="D222" i="31"/>
  <c r="D189" i="31"/>
  <c r="D203" i="31"/>
  <c r="D199" i="31"/>
  <c r="D158" i="31"/>
  <c r="D118" i="31"/>
  <c r="D116" i="31"/>
  <c r="D24" i="31"/>
  <c r="D387" i="31"/>
  <c r="D550" i="31"/>
  <c r="D446" i="31"/>
  <c r="D365" i="31"/>
  <c r="D267" i="31"/>
  <c r="D176" i="31"/>
  <c r="D99" i="31"/>
  <c r="D16" i="31"/>
  <c r="D19" i="31"/>
  <c r="D557" i="31"/>
  <c r="D476" i="31"/>
  <c r="D421" i="31"/>
  <c r="D364" i="31"/>
  <c r="D300" i="31"/>
  <c r="D284" i="31"/>
  <c r="D239" i="31"/>
  <c r="D193" i="31"/>
  <c r="D96" i="31"/>
  <c r="D114" i="31"/>
  <c r="D311" i="31"/>
  <c r="D489" i="31"/>
  <c r="D379" i="31"/>
  <c r="D303" i="31"/>
  <c r="D253" i="31"/>
  <c r="D180" i="31"/>
  <c r="D144" i="31"/>
  <c r="D22" i="31"/>
  <c r="D612" i="31"/>
  <c r="D587" i="31"/>
  <c r="D564" i="31"/>
  <c r="D544" i="31"/>
  <c r="D515" i="31"/>
  <c r="D511" i="31"/>
  <c r="D487" i="31"/>
  <c r="D472" i="31"/>
  <c r="D491" i="31"/>
  <c r="D444" i="31"/>
  <c r="D440" i="31"/>
  <c r="D413" i="31"/>
  <c r="D381" i="31"/>
  <c r="D393" i="31"/>
  <c r="D356" i="31"/>
  <c r="D368" i="31"/>
  <c r="D310" i="31"/>
  <c r="D292" i="31"/>
  <c r="D306" i="31"/>
  <c r="D278" i="31"/>
  <c r="D276" i="31"/>
  <c r="D290" i="31"/>
  <c r="D214" i="31"/>
  <c r="D234" i="31"/>
  <c r="D181" i="31"/>
  <c r="D195" i="31"/>
  <c r="D185" i="31"/>
  <c r="D191" i="31"/>
  <c r="D137" i="31"/>
  <c r="D88" i="31"/>
  <c r="D110" i="31"/>
  <c r="D108" i="31"/>
  <c r="D106" i="31"/>
  <c r="D71" i="31"/>
  <c r="D65" i="31"/>
  <c r="D546" i="31"/>
  <c r="D418" i="31"/>
  <c r="D367" i="31"/>
  <c r="D241" i="31"/>
  <c r="D103" i="31"/>
  <c r="D607" i="31"/>
  <c r="D451" i="31"/>
  <c r="D279" i="31"/>
  <c r="D95" i="31"/>
  <c r="D57" i="31"/>
  <c r="D605" i="31"/>
  <c r="D575" i="31"/>
  <c r="D556" i="31"/>
  <c r="D537" i="31"/>
  <c r="D507" i="31"/>
  <c r="D503" i="31"/>
  <c r="D479" i="31"/>
  <c r="D464" i="31"/>
  <c r="D469" i="31"/>
  <c r="D436" i="31"/>
  <c r="D432" i="31"/>
  <c r="D405" i="31"/>
  <c r="D373" i="31"/>
  <c r="D385" i="31"/>
  <c r="D377" i="31"/>
  <c r="D360" i="31"/>
  <c r="D302" i="31"/>
  <c r="D348" i="31"/>
  <c r="D298" i="31"/>
  <c r="D270" i="31"/>
  <c r="D268" i="31"/>
  <c r="D274" i="31"/>
  <c r="D237" i="31"/>
  <c r="D226" i="31"/>
  <c r="D173" i="31"/>
  <c r="D187" i="31"/>
  <c r="D177" i="31"/>
  <c r="D183" i="31"/>
  <c r="D129" i="31"/>
  <c r="D80" i="31"/>
  <c r="D102" i="31"/>
  <c r="D100" i="31"/>
  <c r="D98" i="31"/>
  <c r="D48" i="31"/>
  <c r="D49" i="31"/>
  <c r="D499" i="31"/>
  <c r="D184" i="31"/>
  <c r="D484" i="31"/>
  <c r="D231" i="31"/>
  <c r="D59" i="31"/>
  <c r="D595" i="31"/>
  <c r="D574" i="31"/>
  <c r="D577" i="31"/>
  <c r="D536" i="31"/>
  <c r="D514" i="31"/>
  <c r="D518" i="31"/>
  <c r="D494" i="31"/>
  <c r="D524" i="31"/>
  <c r="D468" i="31"/>
  <c r="D443" i="31"/>
  <c r="D424" i="31"/>
  <c r="D412" i="31"/>
  <c r="D396" i="31"/>
  <c r="D384" i="31"/>
  <c r="D371" i="31"/>
  <c r="D351" i="31"/>
  <c r="D341" i="31"/>
  <c r="D339" i="31"/>
  <c r="D321" i="31"/>
  <c r="D254" i="31"/>
  <c r="D252" i="31"/>
  <c r="D265" i="31"/>
  <c r="D221" i="31"/>
  <c r="D210" i="31"/>
  <c r="D157" i="31"/>
  <c r="D171" i="31"/>
  <c r="D161" i="31"/>
  <c r="D167" i="31"/>
  <c r="D113" i="31"/>
  <c r="D143" i="31"/>
  <c r="D86" i="31"/>
  <c r="D84" i="31"/>
  <c r="D72" i="31"/>
  <c r="D33" i="31"/>
  <c r="E632" i="31"/>
  <c r="D584" i="31"/>
  <c r="D561" i="31"/>
  <c r="D497" i="31"/>
  <c r="D463" i="31"/>
  <c r="D415" i="31"/>
  <c r="D374" i="31"/>
  <c r="D299" i="31"/>
  <c r="D275" i="31"/>
  <c r="D220" i="31"/>
  <c r="D194" i="31"/>
  <c r="D208" i="31"/>
  <c r="D109" i="31"/>
  <c r="D542" i="31"/>
  <c r="D407" i="31"/>
  <c r="D293" i="31"/>
  <c r="D247" i="31"/>
  <c r="D206" i="31"/>
  <c r="D73" i="31"/>
  <c r="D53" i="31"/>
  <c r="D77" i="31"/>
  <c r="D608" i="31"/>
  <c r="D592" i="31"/>
  <c r="D572" i="31"/>
  <c r="D569" i="31"/>
  <c r="D527" i="31"/>
  <c r="D513" i="31"/>
  <c r="D517" i="31"/>
  <c r="D477" i="31"/>
  <c r="D471" i="31"/>
  <c r="D474" i="31"/>
  <c r="D434" i="31"/>
  <c r="D423" i="31"/>
  <c r="D439" i="31"/>
  <c r="D395" i="31"/>
  <c r="D358" i="31"/>
  <c r="D391" i="31"/>
  <c r="D319" i="31"/>
  <c r="D309" i="31"/>
  <c r="D307" i="31"/>
  <c r="D264" i="31"/>
  <c r="D269" i="31"/>
  <c r="D283" i="31"/>
  <c r="D258" i="31"/>
  <c r="D228" i="31"/>
  <c r="D248" i="31"/>
  <c r="D196" i="31"/>
  <c r="D202" i="31"/>
  <c r="D192" i="31"/>
  <c r="D233" i="31"/>
  <c r="D81" i="31"/>
  <c r="D111" i="31"/>
  <c r="D117" i="31"/>
  <c r="D115" i="31"/>
  <c r="D56" i="31"/>
  <c r="D579" i="31"/>
  <c r="D505" i="31"/>
  <c r="D492" i="31"/>
  <c r="D467" i="31"/>
  <c r="D350" i="31"/>
  <c r="D301" i="31"/>
  <c r="D261" i="31"/>
  <c r="D257" i="31"/>
  <c r="D188" i="31"/>
  <c r="D145" i="31"/>
  <c r="D107" i="31"/>
  <c r="D39" i="31"/>
  <c r="D609" i="31"/>
  <c r="D578" i="31"/>
  <c r="D554" i="31"/>
  <c r="D455" i="31"/>
  <c r="D410" i="31"/>
  <c r="D370" i="31"/>
  <c r="D359" i="31"/>
  <c r="D256" i="31"/>
  <c r="D186" i="31"/>
  <c r="D101" i="31"/>
  <c r="D626" i="31"/>
  <c r="B153" i="2"/>
  <c r="K152" i="2" s="1"/>
  <c r="B154" i="2"/>
  <c r="K153" i="2" s="1"/>
  <c r="C69" i="16"/>
  <c r="D69" i="16" s="1"/>
  <c r="B155" i="2"/>
  <c r="L154" i="2" s="1"/>
  <c r="B299" i="2"/>
  <c r="B320" i="2" s="1"/>
  <c r="B321" i="2" s="1"/>
  <c r="B290" i="2"/>
  <c r="B291" i="2" s="1"/>
  <c r="B295" i="2" s="1"/>
  <c r="B108" i="2"/>
  <c r="B135" i="2"/>
  <c r="K140" i="2" s="1"/>
  <c r="M140" i="2" s="1"/>
  <c r="B182" i="2"/>
  <c r="B110" i="2"/>
  <c r="B126" i="2" s="1"/>
  <c r="B199" i="2"/>
  <c r="B170" i="2"/>
  <c r="B198" i="2"/>
  <c r="F98" i="2"/>
  <c r="E91" i="2"/>
  <c r="E22" i="1"/>
  <c r="B204" i="2"/>
  <c r="B205" i="2"/>
  <c r="F91" i="2"/>
  <c r="B311" i="2"/>
  <c r="B314" i="2" s="1"/>
  <c r="K142" i="2"/>
  <c r="M142" i="2" s="1"/>
  <c r="B91" i="2"/>
  <c r="F311" i="2"/>
  <c r="B98" i="2"/>
  <c r="E25" i="1" s="1"/>
  <c r="F312" i="2"/>
  <c r="B312" i="2"/>
  <c r="B178" i="2"/>
  <c r="B186" i="2"/>
  <c r="B168" i="2"/>
  <c r="B175" i="2"/>
  <c r="B176" i="2" s="1"/>
  <c r="C79" i="21"/>
  <c r="B79" i="21" s="1"/>
  <c r="B80" i="21" s="1"/>
  <c r="B70" i="21"/>
  <c r="B68" i="20"/>
  <c r="B69" i="20" s="1"/>
  <c r="E90" i="2"/>
  <c r="B70" i="20"/>
  <c r="C79" i="20"/>
  <c r="B79" i="20" s="1"/>
  <c r="B80" i="20" s="1"/>
  <c r="B195" i="2"/>
  <c r="B196" i="2" s="1"/>
  <c r="E53" i="1" s="1"/>
  <c r="B89" i="2"/>
  <c r="B90" i="2"/>
  <c r="F89" i="2"/>
  <c r="F90" i="2"/>
  <c r="E89" i="2"/>
  <c r="F186" i="2"/>
  <c r="H140" i="2"/>
  <c r="E20" i="1"/>
  <c r="K193" i="2"/>
  <c r="E21" i="1"/>
  <c r="B329" i="2"/>
  <c r="B96" i="2"/>
  <c r="E23" i="1" s="1"/>
  <c r="B97" i="2"/>
  <c r="E24" i="1" s="1"/>
  <c r="F96" i="2"/>
  <c r="F97" i="2"/>
  <c r="B94" i="2"/>
  <c r="H84" i="2"/>
  <c r="AJ622" i="32" l="1"/>
  <c r="K622" i="32"/>
  <c r="E622" i="32"/>
  <c r="AP622" i="32"/>
  <c r="AM622" i="32"/>
  <c r="F578" i="31"/>
  <c r="E578" i="31"/>
  <c r="E77" i="31"/>
  <c r="F77" i="31"/>
  <c r="F256" i="31"/>
  <c r="E256" i="31"/>
  <c r="E39" i="31"/>
  <c r="F39" i="31"/>
  <c r="F467" i="31"/>
  <c r="E467" i="31"/>
  <c r="E81" i="31"/>
  <c r="F81" i="31"/>
  <c r="F283" i="31"/>
  <c r="E283" i="31"/>
  <c r="F395" i="31"/>
  <c r="E395" i="31"/>
  <c r="F513" i="31"/>
  <c r="E513" i="31"/>
  <c r="F73" i="31"/>
  <c r="E73" i="31"/>
  <c r="F194" i="31"/>
  <c r="E194" i="31"/>
  <c r="F561" i="31"/>
  <c r="E561" i="31"/>
  <c r="F113" i="31"/>
  <c r="E113" i="31"/>
  <c r="F252" i="31"/>
  <c r="E252" i="31"/>
  <c r="F396" i="31"/>
  <c r="E396" i="31"/>
  <c r="F514" i="31"/>
  <c r="E514" i="31"/>
  <c r="F184" i="31"/>
  <c r="E184" i="31"/>
  <c r="F129" i="31"/>
  <c r="E129" i="31"/>
  <c r="F268" i="31"/>
  <c r="E268" i="31"/>
  <c r="F373" i="31"/>
  <c r="E373" i="31"/>
  <c r="F507" i="31"/>
  <c r="E507" i="31"/>
  <c r="E451" i="31"/>
  <c r="F451" i="31"/>
  <c r="E71" i="31"/>
  <c r="F71" i="31"/>
  <c r="F195" i="31"/>
  <c r="E195" i="31"/>
  <c r="E292" i="31"/>
  <c r="F292" i="31"/>
  <c r="F444" i="31"/>
  <c r="E444" i="31"/>
  <c r="F587" i="31"/>
  <c r="E587" i="31"/>
  <c r="F489" i="31"/>
  <c r="E489" i="31"/>
  <c r="F364" i="31"/>
  <c r="E364" i="31"/>
  <c r="F267" i="31"/>
  <c r="E267" i="31"/>
  <c r="F158" i="31"/>
  <c r="E158" i="31"/>
  <c r="E318" i="31"/>
  <c r="F318" i="31"/>
  <c r="F519" i="31"/>
  <c r="E519" i="31"/>
  <c r="E40" i="31"/>
  <c r="F40" i="31"/>
  <c r="E164" i="31"/>
  <c r="F164" i="31"/>
  <c r="F332" i="31"/>
  <c r="E332" i="31"/>
  <c r="F430" i="31"/>
  <c r="E430" i="31"/>
  <c r="E591" i="31"/>
  <c r="F591" i="31"/>
  <c r="F124" i="31"/>
  <c r="E124" i="31"/>
  <c r="F207" i="31"/>
  <c r="E207" i="31"/>
  <c r="F219" i="31"/>
  <c r="E219" i="31"/>
  <c r="F312" i="31"/>
  <c r="E312" i="31"/>
  <c r="F353" i="31"/>
  <c r="E353" i="31"/>
  <c r="F406" i="31"/>
  <c r="E406" i="31"/>
  <c r="F457" i="31"/>
  <c r="E457" i="31"/>
  <c r="E538" i="31"/>
  <c r="F538" i="31"/>
  <c r="E64" i="31"/>
  <c r="F64" i="31"/>
  <c r="E112" i="31"/>
  <c r="F112" i="31"/>
  <c r="E148" i="31"/>
  <c r="F148" i="31"/>
  <c r="F345" i="31"/>
  <c r="E345" i="31"/>
  <c r="F316" i="31"/>
  <c r="E316" i="31"/>
  <c r="F386" i="31"/>
  <c r="E386" i="31"/>
  <c r="E437" i="31"/>
  <c r="F437" i="31"/>
  <c r="F539" i="31"/>
  <c r="E539" i="31"/>
  <c r="F590" i="31"/>
  <c r="E590" i="31"/>
  <c r="F55" i="31"/>
  <c r="E55" i="31"/>
  <c r="F135" i="31"/>
  <c r="E135" i="31"/>
  <c r="F163" i="31"/>
  <c r="E163" i="31"/>
  <c r="F296" i="31"/>
  <c r="E296" i="31"/>
  <c r="F331" i="31"/>
  <c r="E331" i="31"/>
  <c r="F376" i="31"/>
  <c r="E376" i="31"/>
  <c r="F435" i="31"/>
  <c r="E435" i="31"/>
  <c r="F510" i="31"/>
  <c r="E510" i="31"/>
  <c r="F581" i="31"/>
  <c r="E581" i="31"/>
  <c r="F31" i="31"/>
  <c r="E31" i="31"/>
  <c r="E136" i="31"/>
  <c r="F136" i="31"/>
  <c r="E172" i="31"/>
  <c r="F172" i="31"/>
  <c r="F259" i="31"/>
  <c r="E259" i="31"/>
  <c r="F340" i="31"/>
  <c r="E340" i="31"/>
  <c r="F426" i="31"/>
  <c r="E426" i="31"/>
  <c r="F438" i="31"/>
  <c r="E438" i="31"/>
  <c r="F520" i="31"/>
  <c r="E520" i="31"/>
  <c r="E594" i="31"/>
  <c r="F594" i="31"/>
  <c r="E43" i="31"/>
  <c r="F43" i="31"/>
  <c r="F552" i="31"/>
  <c r="E552" i="31"/>
  <c r="E61" i="31"/>
  <c r="F61" i="31"/>
  <c r="F60" i="31"/>
  <c r="E60" i="31"/>
  <c r="F78" i="31"/>
  <c r="E78" i="31"/>
  <c r="F101" i="31"/>
  <c r="E101" i="31"/>
  <c r="F228" i="31"/>
  <c r="E228" i="31"/>
  <c r="F109" i="31"/>
  <c r="E109" i="31"/>
  <c r="E359" i="31"/>
  <c r="F359" i="31"/>
  <c r="E107" i="31"/>
  <c r="F107" i="31"/>
  <c r="F492" i="31"/>
  <c r="E492" i="31"/>
  <c r="F233" i="31"/>
  <c r="E233" i="31"/>
  <c r="F269" i="31"/>
  <c r="E269" i="31"/>
  <c r="F439" i="31"/>
  <c r="E439" i="31"/>
  <c r="F527" i="31"/>
  <c r="E527" i="31"/>
  <c r="F206" i="31"/>
  <c r="E206" i="31"/>
  <c r="F220" i="31"/>
  <c r="E220" i="31"/>
  <c r="E584" i="31"/>
  <c r="F584" i="31"/>
  <c r="E167" i="31"/>
  <c r="F167" i="31"/>
  <c r="F254" i="31"/>
  <c r="E254" i="31"/>
  <c r="F412" i="31"/>
  <c r="E412" i="31"/>
  <c r="F536" i="31"/>
  <c r="E536" i="31"/>
  <c r="F499" i="31"/>
  <c r="E499" i="31"/>
  <c r="F183" i="31"/>
  <c r="E183" i="31"/>
  <c r="F270" i="31"/>
  <c r="E270" i="31"/>
  <c r="F405" i="31"/>
  <c r="E405" i="31"/>
  <c r="E537" i="31"/>
  <c r="F537" i="31"/>
  <c r="E607" i="31"/>
  <c r="F607" i="31"/>
  <c r="E106" i="31"/>
  <c r="F106" i="31"/>
  <c r="E181" i="31"/>
  <c r="F181" i="31"/>
  <c r="F310" i="31"/>
  <c r="E310" i="31"/>
  <c r="E491" i="31"/>
  <c r="F491" i="31"/>
  <c r="F612" i="31"/>
  <c r="E612" i="31"/>
  <c r="E311" i="31"/>
  <c r="F311" i="31"/>
  <c r="F421" i="31"/>
  <c r="E421" i="31"/>
  <c r="F365" i="31"/>
  <c r="E365" i="31"/>
  <c r="F199" i="31"/>
  <c r="E199" i="31"/>
  <c r="F382" i="31"/>
  <c r="E382" i="31"/>
  <c r="F523" i="31"/>
  <c r="E523" i="31"/>
  <c r="F83" i="31"/>
  <c r="E83" i="31"/>
  <c r="E215" i="31"/>
  <c r="F215" i="31"/>
  <c r="E287" i="31"/>
  <c r="F287" i="31"/>
  <c r="E516" i="31"/>
  <c r="F516" i="31"/>
  <c r="F597" i="31"/>
  <c r="E597" i="31"/>
  <c r="E125" i="31"/>
  <c r="F125" i="31"/>
  <c r="E200" i="31"/>
  <c r="F200" i="31"/>
  <c r="E236" i="31"/>
  <c r="F236" i="31"/>
  <c r="F272" i="31"/>
  <c r="E272" i="31"/>
  <c r="F431" i="31"/>
  <c r="E431" i="31"/>
  <c r="E433" i="31"/>
  <c r="F433" i="31"/>
  <c r="E485" i="31"/>
  <c r="F485" i="31"/>
  <c r="F551" i="31"/>
  <c r="E551" i="31"/>
  <c r="E32" i="31"/>
  <c r="F32" i="31"/>
  <c r="E97" i="31"/>
  <c r="F97" i="31"/>
  <c r="E212" i="31"/>
  <c r="F212" i="31"/>
  <c r="E289" i="31"/>
  <c r="F289" i="31"/>
  <c r="E325" i="31"/>
  <c r="F325" i="31"/>
  <c r="F380" i="31"/>
  <c r="E380" i="31"/>
  <c r="E452" i="31"/>
  <c r="F452" i="31"/>
  <c r="E530" i="31"/>
  <c r="F530" i="31"/>
  <c r="F585" i="31"/>
  <c r="E585" i="31"/>
  <c r="E23" i="31"/>
  <c r="F23" i="31"/>
  <c r="F120" i="31"/>
  <c r="E120" i="31"/>
  <c r="F156" i="31"/>
  <c r="E156" i="31"/>
  <c r="F243" i="31"/>
  <c r="E243" i="31"/>
  <c r="E324" i="31"/>
  <c r="F324" i="31"/>
  <c r="E394" i="31"/>
  <c r="F394" i="31"/>
  <c r="F445" i="31"/>
  <c r="E445" i="31"/>
  <c r="E504" i="31"/>
  <c r="F504" i="31"/>
  <c r="E583" i="31"/>
  <c r="F583" i="31"/>
  <c r="F90" i="31"/>
  <c r="E90" i="31"/>
  <c r="F121" i="31"/>
  <c r="E121" i="31"/>
  <c r="F165" i="31"/>
  <c r="E165" i="31"/>
  <c r="F260" i="31"/>
  <c r="E260" i="31"/>
  <c r="E294" i="31"/>
  <c r="F294" i="31"/>
  <c r="F425" i="31"/>
  <c r="E425" i="31"/>
  <c r="F461" i="31"/>
  <c r="E461" i="31"/>
  <c r="E522" i="31"/>
  <c r="F522" i="31"/>
  <c r="E601" i="31"/>
  <c r="F601" i="31"/>
  <c r="F68" i="31"/>
  <c r="E68" i="31"/>
  <c r="F565" i="31"/>
  <c r="E565" i="31"/>
  <c r="F29" i="31"/>
  <c r="E29" i="31"/>
  <c r="F28" i="31"/>
  <c r="E28" i="31"/>
  <c r="F301" i="31"/>
  <c r="E301" i="31"/>
  <c r="E463" i="31"/>
  <c r="F463" i="31"/>
  <c r="F370" i="31"/>
  <c r="E370" i="31"/>
  <c r="E145" i="31"/>
  <c r="F145" i="31"/>
  <c r="F505" i="31"/>
  <c r="E505" i="31"/>
  <c r="F192" i="31"/>
  <c r="E192" i="31"/>
  <c r="F264" i="31"/>
  <c r="E264" i="31"/>
  <c r="E423" i="31"/>
  <c r="F423" i="31"/>
  <c r="E569" i="31"/>
  <c r="F569" i="31"/>
  <c r="F247" i="31"/>
  <c r="E247" i="31"/>
  <c r="F275" i="31"/>
  <c r="E275" i="31"/>
  <c r="F161" i="31"/>
  <c r="E161" i="31"/>
  <c r="E321" i="31"/>
  <c r="F321" i="31"/>
  <c r="E424" i="31"/>
  <c r="F424" i="31"/>
  <c r="F577" i="31"/>
  <c r="E577" i="31"/>
  <c r="F49" i="31"/>
  <c r="E49" i="31"/>
  <c r="F177" i="31"/>
  <c r="E177" i="31"/>
  <c r="F298" i="31"/>
  <c r="E298" i="31"/>
  <c r="F432" i="31"/>
  <c r="E432" i="31"/>
  <c r="E556" i="31"/>
  <c r="F556" i="31"/>
  <c r="E103" i="31"/>
  <c r="F103" i="31"/>
  <c r="E108" i="31"/>
  <c r="F108" i="31"/>
  <c r="F234" i="31"/>
  <c r="E234" i="31"/>
  <c r="F368" i="31"/>
  <c r="E368" i="31"/>
  <c r="E472" i="31"/>
  <c r="F472" i="31"/>
  <c r="F22" i="31"/>
  <c r="E22" i="31"/>
  <c r="F114" i="31"/>
  <c r="E114" i="31"/>
  <c r="E476" i="31"/>
  <c r="F476" i="31"/>
  <c r="F446" i="31"/>
  <c r="E446" i="31"/>
  <c r="F203" i="31"/>
  <c r="E203" i="31"/>
  <c r="F447" i="31"/>
  <c r="E447" i="31"/>
  <c r="F545" i="31"/>
  <c r="E545" i="31"/>
  <c r="F85" i="31"/>
  <c r="E85" i="31"/>
  <c r="F238" i="31"/>
  <c r="E238" i="31"/>
  <c r="E354" i="31"/>
  <c r="F354" i="31"/>
  <c r="F475" i="31"/>
  <c r="E475" i="31"/>
  <c r="F82" i="31"/>
  <c r="E82" i="31"/>
  <c r="F126" i="31"/>
  <c r="E126" i="31"/>
  <c r="F201" i="31"/>
  <c r="E201" i="31"/>
  <c r="F230" i="31"/>
  <c r="E230" i="31"/>
  <c r="F322" i="31"/>
  <c r="E322" i="31"/>
  <c r="F372" i="31"/>
  <c r="E372" i="31"/>
  <c r="F450" i="31"/>
  <c r="E450" i="31"/>
  <c r="F501" i="31"/>
  <c r="E501" i="31"/>
  <c r="E566" i="31"/>
  <c r="F566" i="31"/>
  <c r="F130" i="31"/>
  <c r="E130" i="31"/>
  <c r="F174" i="31"/>
  <c r="E174" i="31"/>
  <c r="F205" i="31"/>
  <c r="E205" i="31"/>
  <c r="F291" i="31"/>
  <c r="E291" i="31"/>
  <c r="E334" i="31"/>
  <c r="F334" i="31"/>
  <c r="F400" i="31"/>
  <c r="E400" i="31"/>
  <c r="F462" i="31"/>
  <c r="E462" i="31"/>
  <c r="F533" i="31"/>
  <c r="E533" i="31"/>
  <c r="F603" i="31"/>
  <c r="E603" i="31"/>
  <c r="F15" i="31"/>
  <c r="E15" i="31"/>
  <c r="F105" i="31"/>
  <c r="E105" i="31"/>
  <c r="F149" i="31"/>
  <c r="E149" i="31"/>
  <c r="F244" i="31"/>
  <c r="E244" i="31"/>
  <c r="F333" i="31"/>
  <c r="E333" i="31"/>
  <c r="E388" i="31"/>
  <c r="F388" i="31"/>
  <c r="F460" i="31"/>
  <c r="E460" i="31"/>
  <c r="E506" i="31"/>
  <c r="F506" i="31"/>
  <c r="F593" i="31"/>
  <c r="E593" i="31"/>
  <c r="F91" i="31"/>
  <c r="E91" i="31"/>
  <c r="E198" i="31"/>
  <c r="F198" i="31"/>
  <c r="E223" i="31"/>
  <c r="F223" i="31"/>
  <c r="F337" i="31"/>
  <c r="E337" i="31"/>
  <c r="F295" i="31"/>
  <c r="E295" i="31"/>
  <c r="E402" i="31"/>
  <c r="F402" i="31"/>
  <c r="E532" i="31"/>
  <c r="F532" i="31"/>
  <c r="E534" i="31"/>
  <c r="F534" i="31"/>
  <c r="F606" i="31"/>
  <c r="E606" i="31"/>
  <c r="F27" i="31"/>
  <c r="E27" i="31"/>
  <c r="E586" i="31"/>
  <c r="F586" i="31"/>
  <c r="E20" i="31"/>
  <c r="F20" i="31"/>
  <c r="F74" i="31"/>
  <c r="E74" i="31"/>
  <c r="E188" i="31"/>
  <c r="F188" i="31"/>
  <c r="F307" i="31"/>
  <c r="E307" i="31"/>
  <c r="F299" i="31"/>
  <c r="E299" i="31"/>
  <c r="E171" i="31"/>
  <c r="F171" i="31"/>
  <c r="F443" i="31"/>
  <c r="E443" i="31"/>
  <c r="F574" i="31"/>
  <c r="E574" i="31"/>
  <c r="F48" i="31"/>
  <c r="E48" i="31"/>
  <c r="F187" i="31"/>
  <c r="E187" i="31"/>
  <c r="F348" i="31"/>
  <c r="E348" i="31"/>
  <c r="F436" i="31"/>
  <c r="E436" i="31"/>
  <c r="E575" i="31"/>
  <c r="F575" i="31"/>
  <c r="E241" i="31"/>
  <c r="F241" i="31"/>
  <c r="E110" i="31"/>
  <c r="F110" i="31"/>
  <c r="E214" i="31"/>
  <c r="F214" i="31"/>
  <c r="E356" i="31"/>
  <c r="F356" i="31"/>
  <c r="E487" i="31"/>
  <c r="F487" i="31"/>
  <c r="E144" i="31"/>
  <c r="F144" i="31"/>
  <c r="E96" i="31"/>
  <c r="F96" i="31"/>
  <c r="F557" i="31"/>
  <c r="E557" i="31"/>
  <c r="F550" i="31"/>
  <c r="E550" i="31"/>
  <c r="F189" i="31"/>
  <c r="E189" i="31"/>
  <c r="F389" i="31"/>
  <c r="E389" i="31"/>
  <c r="F588" i="31"/>
  <c r="E588" i="31"/>
  <c r="F150" i="31"/>
  <c r="E150" i="31"/>
  <c r="F266" i="31"/>
  <c r="E266" i="31"/>
  <c r="E409" i="31"/>
  <c r="F409" i="31"/>
  <c r="F496" i="31"/>
  <c r="E496" i="31"/>
  <c r="F36" i="31"/>
  <c r="E36" i="31"/>
  <c r="F119" i="31"/>
  <c r="E119" i="31"/>
  <c r="F147" i="31"/>
  <c r="E147" i="31"/>
  <c r="F273" i="31"/>
  <c r="E273" i="31"/>
  <c r="F315" i="31"/>
  <c r="E315" i="31"/>
  <c r="F366" i="31"/>
  <c r="E366" i="31"/>
  <c r="F442" i="31"/>
  <c r="E442" i="31"/>
  <c r="F525" i="31"/>
  <c r="E525" i="31"/>
  <c r="F580" i="31"/>
  <c r="E580" i="31"/>
  <c r="F131" i="31"/>
  <c r="E131" i="31"/>
  <c r="F151" i="31"/>
  <c r="E151" i="31"/>
  <c r="F224" i="31"/>
  <c r="E224" i="31"/>
  <c r="F285" i="31"/>
  <c r="E285" i="31"/>
  <c r="F335" i="31"/>
  <c r="E335" i="31"/>
  <c r="F419" i="31"/>
  <c r="E419" i="31"/>
  <c r="F483" i="31"/>
  <c r="E483" i="31"/>
  <c r="F543" i="31"/>
  <c r="E543" i="31"/>
  <c r="E611" i="31"/>
  <c r="F611" i="31"/>
  <c r="F138" i="31"/>
  <c r="E138" i="31"/>
  <c r="F182" i="31"/>
  <c r="E182" i="31"/>
  <c r="E209" i="31"/>
  <c r="F209" i="31"/>
  <c r="F305" i="31"/>
  <c r="E305" i="31"/>
  <c r="E342" i="31"/>
  <c r="F342" i="31"/>
  <c r="E401" i="31"/>
  <c r="F401" i="31"/>
  <c r="F470" i="31"/>
  <c r="E470" i="31"/>
  <c r="F541" i="31"/>
  <c r="E541" i="31"/>
  <c r="E596" i="31"/>
  <c r="F596" i="31"/>
  <c r="F92" i="31"/>
  <c r="E92" i="31"/>
  <c r="F175" i="31"/>
  <c r="E175" i="31"/>
  <c r="F218" i="31"/>
  <c r="E218" i="31"/>
  <c r="F262" i="31"/>
  <c r="E262" i="31"/>
  <c r="F352" i="31"/>
  <c r="E352" i="31"/>
  <c r="F420" i="31"/>
  <c r="E420" i="31"/>
  <c r="E456" i="31"/>
  <c r="F456" i="31"/>
  <c r="F529" i="31"/>
  <c r="E529" i="31"/>
  <c r="F62" i="31"/>
  <c r="E62" i="31"/>
  <c r="E42" i="31"/>
  <c r="F42" i="31"/>
  <c r="E576" i="31"/>
  <c r="F576" i="31"/>
  <c r="E51" i="31"/>
  <c r="F51" i="31"/>
  <c r="F613" i="31"/>
  <c r="E613" i="31"/>
  <c r="F579" i="31"/>
  <c r="E579" i="31"/>
  <c r="F434" i="31"/>
  <c r="E434" i="31"/>
  <c r="F293" i="31"/>
  <c r="E293" i="31"/>
  <c r="F339" i="31"/>
  <c r="E339" i="31"/>
  <c r="E455" i="31"/>
  <c r="F455" i="31"/>
  <c r="E257" i="31"/>
  <c r="F257" i="31"/>
  <c r="E56" i="31"/>
  <c r="F56" i="31"/>
  <c r="E196" i="31"/>
  <c r="F196" i="31"/>
  <c r="F309" i="31"/>
  <c r="E309" i="31"/>
  <c r="F474" i="31"/>
  <c r="E474" i="31"/>
  <c r="E592" i="31"/>
  <c r="F592" i="31"/>
  <c r="E407" i="31"/>
  <c r="F407" i="31"/>
  <c r="F374" i="31"/>
  <c r="E374" i="31"/>
  <c r="F72" i="31"/>
  <c r="E72" i="31"/>
  <c r="F157" i="31"/>
  <c r="E157" i="31"/>
  <c r="E341" i="31"/>
  <c r="F341" i="31"/>
  <c r="E468" i="31"/>
  <c r="F468" i="31"/>
  <c r="E595" i="31"/>
  <c r="F595" i="31"/>
  <c r="F98" i="31"/>
  <c r="E98" i="31"/>
  <c r="F173" i="31"/>
  <c r="E173" i="31"/>
  <c r="E302" i="31"/>
  <c r="F302" i="31"/>
  <c r="F469" i="31"/>
  <c r="E469" i="31"/>
  <c r="E605" i="31"/>
  <c r="F605" i="31"/>
  <c r="F367" i="31"/>
  <c r="E367" i="31"/>
  <c r="E88" i="31"/>
  <c r="F88" i="31"/>
  <c r="E290" i="31"/>
  <c r="F290" i="31"/>
  <c r="E393" i="31"/>
  <c r="F393" i="31"/>
  <c r="F511" i="31"/>
  <c r="E511" i="31"/>
  <c r="E180" i="31"/>
  <c r="F180" i="31"/>
  <c r="F193" i="31"/>
  <c r="E193" i="31"/>
  <c r="E19" i="31"/>
  <c r="F19" i="31"/>
  <c r="F387" i="31"/>
  <c r="E387" i="31"/>
  <c r="F222" i="31"/>
  <c r="E222" i="31"/>
  <c r="F448" i="31"/>
  <c r="E448" i="31"/>
  <c r="E602" i="31"/>
  <c r="F602" i="31"/>
  <c r="E128" i="31"/>
  <c r="F128" i="31"/>
  <c r="F251" i="31"/>
  <c r="E251" i="31"/>
  <c r="E404" i="31"/>
  <c r="F404" i="31"/>
  <c r="F512" i="31"/>
  <c r="E512" i="31"/>
  <c r="F79" i="31"/>
  <c r="E79" i="31"/>
  <c r="E104" i="31"/>
  <c r="F104" i="31"/>
  <c r="F211" i="31"/>
  <c r="E211" i="31"/>
  <c r="F328" i="31"/>
  <c r="E328" i="31"/>
  <c r="F308" i="31"/>
  <c r="E308" i="31"/>
  <c r="F378" i="31"/>
  <c r="E378" i="31"/>
  <c r="F508" i="31"/>
  <c r="E508" i="31"/>
  <c r="F531" i="31"/>
  <c r="E531" i="31"/>
  <c r="F589" i="31"/>
  <c r="E589" i="31"/>
  <c r="F132" i="31"/>
  <c r="E132" i="31"/>
  <c r="F225" i="31"/>
  <c r="E225" i="31"/>
  <c r="F227" i="31"/>
  <c r="E227" i="31"/>
  <c r="F329" i="31"/>
  <c r="E329" i="31"/>
  <c r="F361" i="31"/>
  <c r="E361" i="31"/>
  <c r="F414" i="31"/>
  <c r="E414" i="31"/>
  <c r="E465" i="31"/>
  <c r="F465" i="31"/>
  <c r="F547" i="31"/>
  <c r="E547" i="31"/>
  <c r="F54" i="31"/>
  <c r="E54" i="31"/>
  <c r="F139" i="31"/>
  <c r="E139" i="31"/>
  <c r="F159" i="31"/>
  <c r="E159" i="31"/>
  <c r="F232" i="31"/>
  <c r="E232" i="31"/>
  <c r="E246" i="31"/>
  <c r="F246" i="31"/>
  <c r="F343" i="31"/>
  <c r="E343" i="31"/>
  <c r="F453" i="31"/>
  <c r="E453" i="31"/>
  <c r="F498" i="31"/>
  <c r="E498" i="31"/>
  <c r="F553" i="31"/>
  <c r="E553" i="31"/>
  <c r="F75" i="31"/>
  <c r="E75" i="31"/>
  <c r="F93" i="31"/>
  <c r="E93" i="31"/>
  <c r="F168" i="31"/>
  <c r="E168" i="31"/>
  <c r="F242" i="31"/>
  <c r="E242" i="31"/>
  <c r="E271" i="31"/>
  <c r="F271" i="31"/>
  <c r="F362" i="31"/>
  <c r="E362" i="31"/>
  <c r="F399" i="31"/>
  <c r="E399" i="31"/>
  <c r="F490" i="31"/>
  <c r="E490" i="31"/>
  <c r="F549" i="31"/>
  <c r="E549" i="31"/>
  <c r="F38" i="31"/>
  <c r="E38" i="31"/>
  <c r="F52" i="31"/>
  <c r="E52" i="31"/>
  <c r="F598" i="31"/>
  <c r="E598" i="31"/>
  <c r="F58" i="31"/>
  <c r="E58" i="31"/>
  <c r="F50" i="31"/>
  <c r="E50" i="31"/>
  <c r="F410" i="31"/>
  <c r="E410" i="31"/>
  <c r="F202" i="31"/>
  <c r="E202" i="31"/>
  <c r="F572" i="31"/>
  <c r="E572" i="31"/>
  <c r="F33" i="31"/>
  <c r="E33" i="31"/>
  <c r="F626" i="31"/>
  <c r="E626" i="31"/>
  <c r="F554" i="31"/>
  <c r="E554" i="31"/>
  <c r="F261" i="31"/>
  <c r="E261" i="31"/>
  <c r="F115" i="31"/>
  <c r="E115" i="31"/>
  <c r="F248" i="31"/>
  <c r="E248" i="31"/>
  <c r="E319" i="31"/>
  <c r="F319" i="31"/>
  <c r="F471" i="31"/>
  <c r="E471" i="31"/>
  <c r="F608" i="31"/>
  <c r="E608" i="31"/>
  <c r="F542" i="31"/>
  <c r="E542" i="31"/>
  <c r="E415" i="31"/>
  <c r="F415" i="31"/>
  <c r="E84" i="31"/>
  <c r="F84" i="31"/>
  <c r="E210" i="31"/>
  <c r="F210" i="31"/>
  <c r="E351" i="31"/>
  <c r="F351" i="31"/>
  <c r="F524" i="31"/>
  <c r="E524" i="31"/>
  <c r="F59" i="31"/>
  <c r="E59" i="31"/>
  <c r="F100" i="31"/>
  <c r="E100" i="31"/>
  <c r="F226" i="31"/>
  <c r="E226" i="31"/>
  <c r="F360" i="31"/>
  <c r="E360" i="31"/>
  <c r="E464" i="31"/>
  <c r="F464" i="31"/>
  <c r="F57" i="31"/>
  <c r="E57" i="31"/>
  <c r="F418" i="31"/>
  <c r="E418" i="31"/>
  <c r="E137" i="31"/>
  <c r="F137" i="31"/>
  <c r="E276" i="31"/>
  <c r="F276" i="31"/>
  <c r="E381" i="31"/>
  <c r="F381" i="31"/>
  <c r="E515" i="31"/>
  <c r="F515" i="31"/>
  <c r="E253" i="31"/>
  <c r="F253" i="31"/>
  <c r="F239" i="31"/>
  <c r="E239" i="31"/>
  <c r="F16" i="31"/>
  <c r="E16" i="31"/>
  <c r="F24" i="31"/>
  <c r="E24" i="31"/>
  <c r="F313" i="31"/>
  <c r="E313" i="31"/>
  <c r="F458" i="31"/>
  <c r="E458" i="31"/>
  <c r="E70" i="31"/>
  <c r="F70" i="31"/>
  <c r="F190" i="31"/>
  <c r="E190" i="31"/>
  <c r="F320" i="31"/>
  <c r="E320" i="31"/>
  <c r="E417" i="31"/>
  <c r="F417" i="31"/>
  <c r="F559" i="31"/>
  <c r="E559" i="31"/>
  <c r="F47" i="31"/>
  <c r="E47" i="31"/>
  <c r="E89" i="31"/>
  <c r="F89" i="31"/>
  <c r="F204" i="31"/>
  <c r="E204" i="31"/>
  <c r="E288" i="31"/>
  <c r="F288" i="31"/>
  <c r="E317" i="31"/>
  <c r="F317" i="31"/>
  <c r="E403" i="31"/>
  <c r="F403" i="31"/>
  <c r="E482" i="31"/>
  <c r="F482" i="31"/>
  <c r="E521" i="31"/>
  <c r="F521" i="31"/>
  <c r="E599" i="31"/>
  <c r="F599" i="31"/>
  <c r="E133" i="31"/>
  <c r="F133" i="31"/>
  <c r="E217" i="31"/>
  <c r="F217" i="31"/>
  <c r="F240" i="31"/>
  <c r="E240" i="31"/>
  <c r="E280" i="31"/>
  <c r="F280" i="31"/>
  <c r="F355" i="31"/>
  <c r="E355" i="31"/>
  <c r="E408" i="31"/>
  <c r="F408" i="31"/>
  <c r="E493" i="31"/>
  <c r="F493" i="31"/>
  <c r="E562" i="31"/>
  <c r="F562" i="31"/>
  <c r="E30" i="31"/>
  <c r="F30" i="31"/>
  <c r="E140" i="31"/>
  <c r="F140" i="31"/>
  <c r="F152" i="31"/>
  <c r="E152" i="31"/>
  <c r="E235" i="31"/>
  <c r="F235" i="31"/>
  <c r="E344" i="31"/>
  <c r="F344" i="31"/>
  <c r="E369" i="31"/>
  <c r="F369" i="31"/>
  <c r="E422" i="31"/>
  <c r="F422" i="31"/>
  <c r="E473" i="31"/>
  <c r="F473" i="31"/>
  <c r="E548" i="31"/>
  <c r="F548" i="31"/>
  <c r="F35" i="31"/>
  <c r="E35" i="31"/>
  <c r="F94" i="31"/>
  <c r="E94" i="31"/>
  <c r="F169" i="31"/>
  <c r="E169" i="31"/>
  <c r="E229" i="31"/>
  <c r="F229" i="31"/>
  <c r="F336" i="31"/>
  <c r="E336" i="31"/>
  <c r="E375" i="31"/>
  <c r="F375" i="31"/>
  <c r="E427" i="31"/>
  <c r="F427" i="31"/>
  <c r="F502" i="31"/>
  <c r="E502" i="31"/>
  <c r="E563" i="31"/>
  <c r="F563" i="31"/>
  <c r="F69" i="31"/>
  <c r="E69" i="31"/>
  <c r="F34" i="31"/>
  <c r="E34" i="31"/>
  <c r="F600" i="31"/>
  <c r="E600" i="31"/>
  <c r="F76" i="31"/>
  <c r="E76" i="31"/>
  <c r="F14" i="31"/>
  <c r="E14" i="31"/>
  <c r="G637" i="32"/>
  <c r="D628" i="32"/>
  <c r="F391" i="31"/>
  <c r="E391" i="31"/>
  <c r="F86" i="31"/>
  <c r="E86" i="31"/>
  <c r="E221" i="31"/>
  <c r="F221" i="31"/>
  <c r="E371" i="31"/>
  <c r="F371" i="31"/>
  <c r="E494" i="31"/>
  <c r="F494" i="31"/>
  <c r="F231" i="31"/>
  <c r="E231" i="31"/>
  <c r="F102" i="31"/>
  <c r="E102" i="31"/>
  <c r="E237" i="31"/>
  <c r="F237" i="31"/>
  <c r="F377" i="31"/>
  <c r="E377" i="31"/>
  <c r="F479" i="31"/>
  <c r="E479" i="31"/>
  <c r="E95" i="31"/>
  <c r="F95" i="31"/>
  <c r="E546" i="31"/>
  <c r="F546" i="31"/>
  <c r="E191" i="31"/>
  <c r="F191" i="31"/>
  <c r="E278" i="31"/>
  <c r="F278" i="31"/>
  <c r="E413" i="31"/>
  <c r="F413" i="31"/>
  <c r="E544" i="31"/>
  <c r="F544" i="31"/>
  <c r="F303" i="31"/>
  <c r="E303" i="31"/>
  <c r="F284" i="31"/>
  <c r="E284" i="31"/>
  <c r="F99" i="31"/>
  <c r="E99" i="31"/>
  <c r="F116" i="31"/>
  <c r="E116" i="31"/>
  <c r="F297" i="31"/>
  <c r="E297" i="31"/>
  <c r="F500" i="31"/>
  <c r="E500" i="31"/>
  <c r="F41" i="31"/>
  <c r="E41" i="31"/>
  <c r="F160" i="31"/>
  <c r="E160" i="31"/>
  <c r="E263" i="31"/>
  <c r="F263" i="31"/>
  <c r="F429" i="31"/>
  <c r="E429" i="31"/>
  <c r="F558" i="31"/>
  <c r="E558" i="31"/>
  <c r="F122" i="31"/>
  <c r="E122" i="31"/>
  <c r="F166" i="31"/>
  <c r="E166" i="31"/>
  <c r="F197" i="31"/>
  <c r="E197" i="31"/>
  <c r="E286" i="31"/>
  <c r="F286" i="31"/>
  <c r="E326" i="31"/>
  <c r="F326" i="31"/>
  <c r="F397" i="31"/>
  <c r="E397" i="31"/>
  <c r="F454" i="31"/>
  <c r="E454" i="31"/>
  <c r="F540" i="31"/>
  <c r="E540" i="31"/>
  <c r="J622" i="31"/>
  <c r="D622" i="31"/>
  <c r="G622" i="31"/>
  <c r="F134" i="31"/>
  <c r="E134" i="31"/>
  <c r="F154" i="31"/>
  <c r="E154" i="31"/>
  <c r="E245" i="31"/>
  <c r="F245" i="31"/>
  <c r="F330" i="31"/>
  <c r="E330" i="31"/>
  <c r="F383" i="31"/>
  <c r="E383" i="31"/>
  <c r="F459" i="31"/>
  <c r="E459" i="31"/>
  <c r="F509" i="31"/>
  <c r="E509" i="31"/>
  <c r="F567" i="31"/>
  <c r="E567" i="31"/>
  <c r="F37" i="31"/>
  <c r="E37" i="31"/>
  <c r="F141" i="31"/>
  <c r="E141" i="31"/>
  <c r="F153" i="31"/>
  <c r="E153" i="31"/>
  <c r="E213" i="31"/>
  <c r="F213" i="31"/>
  <c r="F304" i="31"/>
  <c r="E304" i="31"/>
  <c r="F363" i="31"/>
  <c r="E363" i="31"/>
  <c r="F416" i="31"/>
  <c r="E416" i="31"/>
  <c r="F486" i="31"/>
  <c r="E486" i="31"/>
  <c r="F571" i="31"/>
  <c r="E571" i="31"/>
  <c r="E26" i="31"/>
  <c r="F26" i="31"/>
  <c r="F87" i="31"/>
  <c r="E87" i="31"/>
  <c r="F178" i="31"/>
  <c r="E178" i="31"/>
  <c r="F281" i="31"/>
  <c r="E281" i="31"/>
  <c r="F349" i="31"/>
  <c r="E349" i="31"/>
  <c r="E357" i="31"/>
  <c r="F357" i="31"/>
  <c r="F449" i="31"/>
  <c r="E449" i="31"/>
  <c r="F481" i="31"/>
  <c r="E481" i="31"/>
  <c r="F568" i="31"/>
  <c r="E568" i="31"/>
  <c r="F45" i="31"/>
  <c r="E45" i="31"/>
  <c r="E67" i="31"/>
  <c r="F67" i="31"/>
  <c r="E604" i="31"/>
  <c r="F604" i="31"/>
  <c r="E44" i="31"/>
  <c r="F44" i="31"/>
  <c r="F18" i="31"/>
  <c r="E18" i="31"/>
  <c r="J78" i="31"/>
  <c r="J613" i="31"/>
  <c r="J13" i="31"/>
  <c r="J52" i="31"/>
  <c r="J68" i="31"/>
  <c r="J60" i="31"/>
  <c r="J20" i="31"/>
  <c r="J76" i="31"/>
  <c r="J38" i="31"/>
  <c r="J70" i="31"/>
  <c r="J610" i="31"/>
  <c r="J604" i="31"/>
  <c r="J601" i="31"/>
  <c r="J591" i="31"/>
  <c r="J575" i="31"/>
  <c r="J579" i="31"/>
  <c r="J572" i="31"/>
  <c r="J553" i="31"/>
  <c r="J539" i="31"/>
  <c r="J536" i="31"/>
  <c r="J525" i="31"/>
  <c r="J523" i="31"/>
  <c r="J513" i="31"/>
  <c r="J491" i="31"/>
  <c r="J548" i="31"/>
  <c r="J480" i="31"/>
  <c r="J530" i="31"/>
  <c r="J473" i="31"/>
  <c r="J475" i="31"/>
  <c r="J454" i="31"/>
  <c r="J447" i="31"/>
  <c r="J445" i="31"/>
  <c r="J435" i="31"/>
  <c r="J417" i="31"/>
  <c r="J423" i="31"/>
  <c r="J429" i="31"/>
  <c r="J391" i="31"/>
  <c r="J397" i="31"/>
  <c r="J388" i="31"/>
  <c r="J386" i="31"/>
  <c r="J359" i="31"/>
  <c r="J364" i="31"/>
  <c r="J362" i="31"/>
  <c r="J305" i="31"/>
  <c r="J328" i="31"/>
  <c r="J327" i="31"/>
  <c r="J326" i="31"/>
  <c r="J325" i="31"/>
  <c r="J316" i="31"/>
  <c r="J338" i="31"/>
  <c r="J280" i="31"/>
  <c r="J299" i="31"/>
  <c r="J270" i="31"/>
  <c r="J285" i="31"/>
  <c r="J347" i="31"/>
  <c r="J267" i="31"/>
  <c r="J283" i="31"/>
  <c r="J231" i="31"/>
  <c r="J229" i="31"/>
  <c r="J212" i="31"/>
  <c r="J219" i="31"/>
  <c r="J227" i="31"/>
  <c r="J150" i="31"/>
  <c r="J36" i="31"/>
  <c r="J16" i="31"/>
  <c r="J44" i="31"/>
  <c r="J28" i="31"/>
  <c r="J22" i="31"/>
  <c r="J54" i="31"/>
  <c r="J608" i="31"/>
  <c r="J602" i="31"/>
  <c r="J585" i="31"/>
  <c r="J578" i="31"/>
  <c r="J581" i="31"/>
  <c r="J559" i="31"/>
  <c r="J564" i="31"/>
  <c r="J550" i="31"/>
  <c r="J538" i="31"/>
  <c r="J544" i="31"/>
  <c r="J542" i="31"/>
  <c r="J522" i="31"/>
  <c r="J512" i="31"/>
  <c r="J500" i="31"/>
  <c r="J481" i="31"/>
  <c r="J479" i="31"/>
  <c r="J492" i="31"/>
  <c r="J474" i="31"/>
  <c r="J493" i="31"/>
  <c r="J432" i="31"/>
  <c r="J446" i="31"/>
  <c r="J436" i="31"/>
  <c r="J433" i="31"/>
  <c r="J425" i="31"/>
  <c r="J427" i="31"/>
  <c r="J405" i="31"/>
  <c r="J390" i="31"/>
  <c r="J419" i="31"/>
  <c r="J379" i="31"/>
  <c r="J352" i="31"/>
  <c r="J385" i="31"/>
  <c r="J371" i="31"/>
  <c r="J337" i="31"/>
  <c r="J369" i="31"/>
  <c r="J296" i="31"/>
  <c r="J295" i="31"/>
  <c r="J294" i="31"/>
  <c r="J353" i="31"/>
  <c r="J282" i="31"/>
  <c r="J281" i="31"/>
  <c r="J248" i="31"/>
  <c r="J271" i="31"/>
  <c r="J238" i="31"/>
  <c r="J253" i="31"/>
  <c r="J249" i="31"/>
  <c r="J260" i="31"/>
  <c r="J232" i="31"/>
  <c r="J230" i="31"/>
  <c r="J241" i="31"/>
  <c r="J210" i="31"/>
  <c r="J175" i="31"/>
  <c r="J182" i="31"/>
  <c r="J21" i="31"/>
  <c r="J77" i="31"/>
  <c r="J62" i="31"/>
  <c r="J599" i="31"/>
  <c r="J587" i="31"/>
  <c r="J590" i="31"/>
  <c r="J573" i="31"/>
  <c r="J558" i="31"/>
  <c r="J552" i="31"/>
  <c r="J537" i="31"/>
  <c r="J527" i="31"/>
  <c r="J507" i="31"/>
  <c r="J504" i="31"/>
  <c r="J482" i="31"/>
  <c r="J495" i="31"/>
  <c r="J466" i="31"/>
  <c r="J456" i="31"/>
  <c r="J448" i="31"/>
  <c r="J438" i="31"/>
  <c r="J443" i="31"/>
  <c r="J401" i="31"/>
  <c r="J422" i="31"/>
  <c r="J404" i="31"/>
  <c r="J381" i="31"/>
  <c r="J403" i="31"/>
  <c r="J367" i="31"/>
  <c r="J348" i="31"/>
  <c r="J329" i="31"/>
  <c r="J336" i="31"/>
  <c r="J311" i="31"/>
  <c r="J351" i="31"/>
  <c r="J324" i="31"/>
  <c r="J306" i="31"/>
  <c r="J346" i="31"/>
  <c r="J278" i="31"/>
  <c r="J269" i="31"/>
  <c r="J239" i="31"/>
  <c r="J292" i="31"/>
  <c r="J215" i="31"/>
  <c r="J236" i="31"/>
  <c r="J217" i="31"/>
  <c r="J198" i="31"/>
  <c r="J189" i="31"/>
  <c r="J196" i="31"/>
  <c r="J195" i="31"/>
  <c r="J194" i="31"/>
  <c r="J193" i="31"/>
  <c r="J200" i="31"/>
  <c r="J123" i="31"/>
  <c r="J122" i="31"/>
  <c r="J129" i="31"/>
  <c r="J144" i="31"/>
  <c r="J80" i="31"/>
  <c r="J87" i="31"/>
  <c r="J86" i="31"/>
  <c r="J85" i="31"/>
  <c r="J39" i="31"/>
  <c r="J71" i="31"/>
  <c r="J24" i="31"/>
  <c r="J56" i="31"/>
  <c r="J37" i="31"/>
  <c r="J53" i="31"/>
  <c r="J611" i="31"/>
  <c r="J586" i="31"/>
  <c r="J570" i="31"/>
  <c r="J562" i="31"/>
  <c r="J565" i="31"/>
  <c r="J549" i="31"/>
  <c r="J555" i="31"/>
  <c r="J509" i="31"/>
  <c r="J514" i="31"/>
  <c r="J499" i="31"/>
  <c r="J497" i="31"/>
  <c r="J494" i="31"/>
  <c r="J477" i="31"/>
  <c r="J463" i="31"/>
  <c r="J534" i="31"/>
  <c r="J460" i="31"/>
  <c r="J434" i="31"/>
  <c r="J424" i="31"/>
  <c r="J406" i="31"/>
  <c r="J375" i="31"/>
  <c r="J400" i="31"/>
  <c r="J394" i="31"/>
  <c r="J366" i="31"/>
  <c r="J363" i="31"/>
  <c r="J313" i="31"/>
  <c r="J312" i="31"/>
  <c r="J287" i="31"/>
  <c r="J333" i="31"/>
  <c r="J300" i="31"/>
  <c r="J273" i="31"/>
  <c r="J314" i="31"/>
  <c r="J254" i="31"/>
  <c r="J245" i="31"/>
  <c r="J284" i="31"/>
  <c r="J244" i="31"/>
  <c r="J222" i="31"/>
  <c r="J220" i="31"/>
  <c r="J191" i="31"/>
  <c r="J174" i="31"/>
  <c r="J173" i="31"/>
  <c r="J180" i="31"/>
  <c r="J179" i="31"/>
  <c r="J178" i="31"/>
  <c r="J84" i="31"/>
  <c r="J69" i="31"/>
  <c r="J605" i="31"/>
  <c r="J596" i="31"/>
  <c r="J593" i="31"/>
  <c r="J577" i="31"/>
  <c r="J569" i="31"/>
  <c r="J557" i="31"/>
  <c r="J540" i="31"/>
  <c r="J528" i="31"/>
  <c r="J501" i="31"/>
  <c r="J506" i="31"/>
  <c r="J483" i="31"/>
  <c r="J489" i="31"/>
  <c r="J486" i="31"/>
  <c r="J465" i="31"/>
  <c r="J455" i="31"/>
  <c r="J469" i="31"/>
  <c r="J437" i="31"/>
  <c r="J426" i="31"/>
  <c r="J416" i="31"/>
  <c r="J428" i="31"/>
  <c r="J398" i="31"/>
  <c r="J399" i="31"/>
  <c r="J378" i="31"/>
  <c r="J358" i="31"/>
  <c r="J355" i="31"/>
  <c r="J297" i="31"/>
  <c r="J304" i="31"/>
  <c r="J342" i="31"/>
  <c r="J317" i="31"/>
  <c r="J288" i="31"/>
  <c r="J265" i="31"/>
  <c r="J293" i="31"/>
  <c r="J246" i="31"/>
  <c r="J330" i="31"/>
  <c r="J240" i="31"/>
  <c r="J242" i="31"/>
  <c r="J214" i="31"/>
  <c r="J234" i="31"/>
  <c r="J183" i="31"/>
  <c r="J166" i="31"/>
  <c r="J29" i="31"/>
  <c r="J14" i="31"/>
  <c r="J612" i="31"/>
  <c r="J603" i="31"/>
  <c r="J592" i="31"/>
  <c r="J576" i="31"/>
  <c r="J568" i="31"/>
  <c r="J561" i="31"/>
  <c r="J532" i="31"/>
  <c r="J563" i="31"/>
  <c r="J524" i="31"/>
  <c r="J521" i="31"/>
  <c r="J518" i="31"/>
  <c r="J511" i="31"/>
  <c r="J478" i="31"/>
  <c r="J457" i="31"/>
  <c r="J476" i="31"/>
  <c r="J450" i="31"/>
  <c r="J453" i="31"/>
  <c r="J418" i="31"/>
  <c r="J408" i="31"/>
  <c r="J421" i="31"/>
  <c r="J382" i="31"/>
  <c r="J46" i="31"/>
  <c r="J600" i="31"/>
  <c r="J582" i="31"/>
  <c r="J545" i="31"/>
  <c r="J535" i="31"/>
  <c r="J520" i="31"/>
  <c r="J503" i="31"/>
  <c r="J464" i="31"/>
  <c r="J452" i="31"/>
  <c r="J409" i="31"/>
  <c r="J412" i="31"/>
  <c r="J395" i="31"/>
  <c r="J365" i="31"/>
  <c r="J345" i="31"/>
  <c r="J343" i="31"/>
  <c r="J341" i="31"/>
  <c r="J258" i="31"/>
  <c r="J290" i="31"/>
  <c r="J277" i="31"/>
  <c r="J275" i="31"/>
  <c r="J207" i="31"/>
  <c r="J233" i="31"/>
  <c r="J158" i="31"/>
  <c r="J208" i="31"/>
  <c r="J187" i="31"/>
  <c r="J162" i="31"/>
  <c r="J153" i="31"/>
  <c r="J139" i="31"/>
  <c r="J130" i="31"/>
  <c r="J121" i="31"/>
  <c r="J128" i="31"/>
  <c r="J127" i="31"/>
  <c r="J118" i="31"/>
  <c r="J109" i="31"/>
  <c r="J100" i="31"/>
  <c r="J41" i="31"/>
  <c r="J73" i="31"/>
  <c r="B628" i="31"/>
  <c r="J584" i="31"/>
  <c r="J567" i="31"/>
  <c r="J531" i="31"/>
  <c r="J516" i="31"/>
  <c r="J502" i="31"/>
  <c r="J467" i="31"/>
  <c r="J470" i="31"/>
  <c r="J444" i="31"/>
  <c r="J415" i="31"/>
  <c r="J374" i="31"/>
  <c r="J402" i="31"/>
  <c r="J372" i="31"/>
  <c r="J289" i="31"/>
  <c r="J319" i="31"/>
  <c r="J301" i="31"/>
  <c r="J291" i="31"/>
  <c r="J263" i="31"/>
  <c r="J315" i="31"/>
  <c r="J243" i="31"/>
  <c r="J221" i="31"/>
  <c r="J199" i="31"/>
  <c r="J205" i="31"/>
  <c r="J188" i="31"/>
  <c r="J163" i="31"/>
  <c r="J146" i="31"/>
  <c r="J211" i="31"/>
  <c r="J115" i="31"/>
  <c r="J106" i="31"/>
  <c r="J105" i="31"/>
  <c r="J112" i="31"/>
  <c r="J111" i="31"/>
  <c r="J102" i="31"/>
  <c r="J93" i="31"/>
  <c r="J23" i="31"/>
  <c r="J47" i="31"/>
  <c r="J40" i="31"/>
  <c r="J64" i="31"/>
  <c r="J33" i="31"/>
  <c r="J65" i="31"/>
  <c r="J45" i="31"/>
  <c r="J30" i="31"/>
  <c r="J609" i="31"/>
  <c r="J606" i="31"/>
  <c r="J588" i="31"/>
  <c r="J556" i="31"/>
  <c r="J508" i="31"/>
  <c r="J498" i="31"/>
  <c r="J459" i="31"/>
  <c r="J462" i="31"/>
  <c r="J510" i="31"/>
  <c r="J407" i="31"/>
  <c r="J411" i="31"/>
  <c r="J368" i="31"/>
  <c r="J356" i="31"/>
  <c r="J384" i="31"/>
  <c r="J303" i="31"/>
  <c r="J340" i="31"/>
  <c r="J257" i="31"/>
  <c r="J255" i="31"/>
  <c r="J276" i="31"/>
  <c r="J268" i="31"/>
  <c r="J213" i="31"/>
  <c r="J167" i="31"/>
  <c r="J197" i="31"/>
  <c r="J172" i="31"/>
  <c r="J155" i="31"/>
  <c r="J201" i="31"/>
  <c r="J192" i="31"/>
  <c r="J107" i="31"/>
  <c r="J98" i="31"/>
  <c r="J97" i="31"/>
  <c r="J104" i="31"/>
  <c r="J103" i="31"/>
  <c r="J94" i="31"/>
  <c r="J140" i="31"/>
  <c r="J42" i="31"/>
  <c r="J74" i="31"/>
  <c r="E637" i="31"/>
  <c r="J607" i="31"/>
  <c r="J566" i="31"/>
  <c r="J546" i="31"/>
  <c r="J515" i="31"/>
  <c r="J490" i="31"/>
  <c r="J451" i="31"/>
  <c r="J484" i="31"/>
  <c r="J468" i="31"/>
  <c r="J461" i="31"/>
  <c r="J389" i="31"/>
  <c r="J360" i="31"/>
  <c r="J393" i="31"/>
  <c r="J349" i="31"/>
  <c r="J334" i="31"/>
  <c r="J332" i="31"/>
  <c r="J272" i="31"/>
  <c r="J262" i="31"/>
  <c r="J259" i="31"/>
  <c r="J224" i="31"/>
  <c r="J251" i="31"/>
  <c r="J159" i="31"/>
  <c r="J181" i="31"/>
  <c r="J164" i="31"/>
  <c r="J147" i="31"/>
  <c r="J185" i="31"/>
  <c r="J184" i="31"/>
  <c r="J99" i="31"/>
  <c r="J90" i="31"/>
  <c r="J89" i="31"/>
  <c r="J96" i="31"/>
  <c r="J95" i="31"/>
  <c r="J141" i="31"/>
  <c r="J132" i="31"/>
  <c r="J63" i="31"/>
  <c r="J25" i="31"/>
  <c r="J57" i="31"/>
  <c r="J598" i="31"/>
  <c r="J589" i="31"/>
  <c r="J571" i="31"/>
  <c r="J529" i="31"/>
  <c r="J533" i="31"/>
  <c r="J526" i="31"/>
  <c r="J458" i="31"/>
  <c r="J440" i="31"/>
  <c r="J442" i="31"/>
  <c r="J414" i="31"/>
  <c r="J373" i="31"/>
  <c r="J392" i="31"/>
  <c r="J370" i="31"/>
  <c r="J344" i="31"/>
  <c r="J318" i="31"/>
  <c r="J308" i="31"/>
  <c r="J264" i="31"/>
  <c r="J339" i="31"/>
  <c r="J252" i="31"/>
  <c r="J216" i="31"/>
  <c r="J228" i="31"/>
  <c r="J151" i="31"/>
  <c r="J165" i="31"/>
  <c r="J156" i="31"/>
  <c r="J202" i="31"/>
  <c r="J177" i="31"/>
  <c r="J176" i="31"/>
  <c r="J91" i="31"/>
  <c r="J82" i="31"/>
  <c r="J81" i="31"/>
  <c r="J88" i="31"/>
  <c r="J142" i="31"/>
  <c r="J133" i="31"/>
  <c r="J124" i="31"/>
  <c r="J583" i="31"/>
  <c r="J517" i="31"/>
  <c r="J472" i="31"/>
  <c r="J413" i="31"/>
  <c r="J357" i="31"/>
  <c r="J302" i="31"/>
  <c r="J322" i="31"/>
  <c r="J237" i="31"/>
  <c r="J149" i="31"/>
  <c r="J169" i="31"/>
  <c r="J114" i="31"/>
  <c r="J135" i="31"/>
  <c r="J116" i="31"/>
  <c r="J18" i="31"/>
  <c r="J59" i="31"/>
  <c r="J75" i="31"/>
  <c r="J161" i="31"/>
  <c r="J66" i="31"/>
  <c r="J27" i="31"/>
  <c r="J485" i="31"/>
  <c r="J223" i="31"/>
  <c r="J101" i="31"/>
  <c r="J31" i="31"/>
  <c r="J574" i="31"/>
  <c r="J505" i="31"/>
  <c r="J471" i="31"/>
  <c r="J420" i="31"/>
  <c r="J354" i="31"/>
  <c r="J309" i="31"/>
  <c r="J307" i="31"/>
  <c r="J226" i="31"/>
  <c r="J204" i="31"/>
  <c r="J148" i="31"/>
  <c r="J119" i="31"/>
  <c r="J108" i="31"/>
  <c r="J15" i="31"/>
  <c r="J43" i="31"/>
  <c r="J19" i="31"/>
  <c r="J543" i="31"/>
  <c r="J310" i="31"/>
  <c r="J138" i="31"/>
  <c r="J79" i="31"/>
  <c r="J580" i="31"/>
  <c r="J541" i="31"/>
  <c r="J439" i="31"/>
  <c r="J383" i="31"/>
  <c r="J361" i="31"/>
  <c r="J274" i="31"/>
  <c r="J261" i="31"/>
  <c r="J218" i="31"/>
  <c r="J209" i="31"/>
  <c r="J145" i="31"/>
  <c r="J137" i="31"/>
  <c r="J134" i="31"/>
  <c r="J92" i="31"/>
  <c r="J49" i="31"/>
  <c r="J235" i="31"/>
  <c r="J154" i="31"/>
  <c r="J554" i="31"/>
  <c r="J519" i="31"/>
  <c r="J431" i="31"/>
  <c r="J396" i="31"/>
  <c r="J321" i="31"/>
  <c r="J266" i="31"/>
  <c r="J298" i="31"/>
  <c r="J225" i="31"/>
  <c r="J203" i="31"/>
  <c r="J168" i="31"/>
  <c r="J113" i="31"/>
  <c r="J126" i="31"/>
  <c r="J48" i="31"/>
  <c r="J72" i="31"/>
  <c r="J26" i="31"/>
  <c r="J83" i="31"/>
  <c r="J157" i="31"/>
  <c r="J560" i="31"/>
  <c r="J496" i="31"/>
  <c r="J430" i="31"/>
  <c r="J380" i="31"/>
  <c r="J320" i="31"/>
  <c r="J323" i="31"/>
  <c r="J286" i="31"/>
  <c r="J206" i="31"/>
  <c r="J171" i="31"/>
  <c r="J160" i="31"/>
  <c r="J152" i="31"/>
  <c r="J110" i="31"/>
  <c r="J50" i="31"/>
  <c r="J67" i="31"/>
  <c r="J547" i="31"/>
  <c r="J487" i="31"/>
  <c r="J377" i="31"/>
  <c r="J247" i="31"/>
  <c r="J120" i="31"/>
  <c r="J17" i="31"/>
  <c r="J449" i="31"/>
  <c r="J279" i="31"/>
  <c r="J55" i="31"/>
  <c r="J58" i="31"/>
  <c r="J61" i="31"/>
  <c r="J595" i="31"/>
  <c r="J551" i="31"/>
  <c r="J488" i="31"/>
  <c r="J410" i="31"/>
  <c r="J387" i="31"/>
  <c r="J350" i="31"/>
  <c r="J256" i="31"/>
  <c r="J250" i="31"/>
  <c r="J190" i="31"/>
  <c r="J186" i="31"/>
  <c r="J131" i="31"/>
  <c r="J136" i="31"/>
  <c r="J125" i="31"/>
  <c r="J32" i="31"/>
  <c r="J34" i="31"/>
  <c r="J35" i="31"/>
  <c r="J51" i="31"/>
  <c r="J594" i="31"/>
  <c r="J441" i="31"/>
  <c r="J335" i="31"/>
  <c r="J331" i="31"/>
  <c r="J170" i="31"/>
  <c r="J117" i="31"/>
  <c r="J597" i="31"/>
  <c r="J376" i="31"/>
  <c r="J143" i="31"/>
  <c r="J626" i="31"/>
  <c r="B366" i="2"/>
  <c r="B368" i="2" s="1"/>
  <c r="B92" i="1" s="1"/>
  <c r="J623" i="31"/>
  <c r="F117" i="31"/>
  <c r="E117" i="31"/>
  <c r="F477" i="31"/>
  <c r="E477" i="31"/>
  <c r="F186" i="31"/>
  <c r="E186" i="31"/>
  <c r="E609" i="31"/>
  <c r="F609" i="31"/>
  <c r="E350" i="31"/>
  <c r="F350" i="31"/>
  <c r="F111" i="31"/>
  <c r="E111" i="31"/>
  <c r="F258" i="31"/>
  <c r="E258" i="31"/>
  <c r="F358" i="31"/>
  <c r="E358" i="31"/>
  <c r="F517" i="31"/>
  <c r="E517" i="31"/>
  <c r="F53" i="31"/>
  <c r="E53" i="31"/>
  <c r="E208" i="31"/>
  <c r="F208" i="31"/>
  <c r="E497" i="31"/>
  <c r="F497" i="31"/>
  <c r="E143" i="31"/>
  <c r="F143" i="31"/>
  <c r="E265" i="31"/>
  <c r="F265" i="31"/>
  <c r="F384" i="31"/>
  <c r="E384" i="31"/>
  <c r="F518" i="31"/>
  <c r="E518" i="31"/>
  <c r="F484" i="31"/>
  <c r="E484" i="31"/>
  <c r="F80" i="31"/>
  <c r="E80" i="31"/>
  <c r="F274" i="31"/>
  <c r="E274" i="31"/>
  <c r="F385" i="31"/>
  <c r="E385" i="31"/>
  <c r="F503" i="31"/>
  <c r="E503" i="31"/>
  <c r="E279" i="31"/>
  <c r="F279" i="31"/>
  <c r="E65" i="31"/>
  <c r="F65" i="31"/>
  <c r="E185" i="31"/>
  <c r="F185" i="31"/>
  <c r="E306" i="31"/>
  <c r="F306" i="31"/>
  <c r="E440" i="31"/>
  <c r="F440" i="31"/>
  <c r="F564" i="31"/>
  <c r="E564" i="31"/>
  <c r="F379" i="31"/>
  <c r="E379" i="31"/>
  <c r="F300" i="31"/>
  <c r="E300" i="31"/>
  <c r="F176" i="31"/>
  <c r="E176" i="31"/>
  <c r="F118" i="31"/>
  <c r="E118" i="31"/>
  <c r="F314" i="31"/>
  <c r="E314" i="31"/>
  <c r="F495" i="31"/>
  <c r="E495" i="31"/>
  <c r="F25" i="31"/>
  <c r="E25" i="31"/>
  <c r="F170" i="31"/>
  <c r="E170" i="31"/>
  <c r="E346" i="31"/>
  <c r="F346" i="31"/>
  <c r="E441" i="31"/>
  <c r="F441" i="31"/>
  <c r="E560" i="31"/>
  <c r="F560" i="31"/>
  <c r="F123" i="31"/>
  <c r="E123" i="31"/>
  <c r="F249" i="31"/>
  <c r="E249" i="31"/>
  <c r="F216" i="31"/>
  <c r="E216" i="31"/>
  <c r="F277" i="31"/>
  <c r="E277" i="31"/>
  <c r="F327" i="31"/>
  <c r="E327" i="31"/>
  <c r="F411" i="31"/>
  <c r="E411" i="31"/>
  <c r="E480" i="31"/>
  <c r="F480" i="31"/>
  <c r="F535" i="31"/>
  <c r="E535" i="31"/>
  <c r="E610" i="31"/>
  <c r="F610" i="31"/>
  <c r="F127" i="31"/>
  <c r="E127" i="31"/>
  <c r="F155" i="31"/>
  <c r="E155" i="31"/>
  <c r="F255" i="31"/>
  <c r="E255" i="31"/>
  <c r="F323" i="31"/>
  <c r="E323" i="31"/>
  <c r="F390" i="31"/>
  <c r="E390" i="31"/>
  <c r="F466" i="31"/>
  <c r="E466" i="31"/>
  <c r="F528" i="31"/>
  <c r="E528" i="31"/>
  <c r="F573" i="31"/>
  <c r="E573" i="31"/>
  <c r="F13" i="31"/>
  <c r="E13" i="31"/>
  <c r="E142" i="31"/>
  <c r="F142" i="31"/>
  <c r="E162" i="31"/>
  <c r="F162" i="31"/>
  <c r="F250" i="31"/>
  <c r="E250" i="31"/>
  <c r="F338" i="31"/>
  <c r="E338" i="31"/>
  <c r="E398" i="31"/>
  <c r="F398" i="31"/>
  <c r="F478" i="31"/>
  <c r="E478" i="31"/>
  <c r="E488" i="31"/>
  <c r="F488" i="31"/>
  <c r="E570" i="31"/>
  <c r="F570" i="31"/>
  <c r="F63" i="31"/>
  <c r="E63" i="31"/>
  <c r="F146" i="31"/>
  <c r="E146" i="31"/>
  <c r="F179" i="31"/>
  <c r="E179" i="31"/>
  <c r="F282" i="31"/>
  <c r="E282" i="31"/>
  <c r="F347" i="31"/>
  <c r="E347" i="31"/>
  <c r="F392" i="31"/>
  <c r="E392" i="31"/>
  <c r="F428" i="31"/>
  <c r="E428" i="31"/>
  <c r="F526" i="31"/>
  <c r="E526" i="31"/>
  <c r="F582" i="31"/>
  <c r="E582" i="31"/>
  <c r="F21" i="31"/>
  <c r="E21" i="31"/>
  <c r="E555" i="31"/>
  <c r="F555" i="31"/>
  <c r="F46" i="31"/>
  <c r="E46" i="31"/>
  <c r="F66" i="31"/>
  <c r="E66" i="31"/>
  <c r="F17" i="31"/>
  <c r="E17" i="31"/>
  <c r="L153" i="2"/>
  <c r="L152" i="2"/>
  <c r="B157" i="2" s="1"/>
  <c r="B318" i="2"/>
  <c r="B319" i="2" s="1"/>
  <c r="B324" i="2" s="1"/>
  <c r="B303" i="2"/>
  <c r="B294" i="2"/>
  <c r="K154" i="2"/>
  <c r="B159" i="2" s="1"/>
  <c r="B124" i="2"/>
  <c r="B129" i="2" s="1"/>
  <c r="E31" i="1" s="1"/>
  <c r="B112" i="2"/>
  <c r="B200" i="2"/>
  <c r="B201" i="2" s="1"/>
  <c r="E55" i="1" s="1"/>
  <c r="B206" i="2"/>
  <c r="E57" i="1" s="1"/>
  <c r="D35" i="1"/>
  <c r="E365" i="2"/>
  <c r="H142" i="2"/>
  <c r="E40" i="1"/>
  <c r="B315" i="2"/>
  <c r="B92" i="2"/>
  <c r="E35" i="1" s="1"/>
  <c r="D92" i="2"/>
  <c r="E38" i="1"/>
  <c r="E44" i="1"/>
  <c r="B180" i="2"/>
  <c r="L181" i="2" s="1"/>
  <c r="L182" i="2"/>
  <c r="K181" i="2"/>
  <c r="K176" i="2"/>
  <c r="K175" i="2"/>
  <c r="E71" i="1"/>
  <c r="H175" i="2"/>
  <c r="E48" i="1"/>
  <c r="B323" i="2" l="1"/>
  <c r="AO622" i="32"/>
  <c r="AN622" i="32"/>
  <c r="AR622" i="32"/>
  <c r="AQ622" i="32"/>
  <c r="AM628" i="32"/>
  <c r="E628" i="32"/>
  <c r="AP628" i="32"/>
  <c r="AJ628" i="32"/>
  <c r="K628" i="32"/>
  <c r="AL622" i="32"/>
  <c r="AK622" i="32"/>
  <c r="L226" i="31"/>
  <c r="K226" i="31"/>
  <c r="L264" i="31"/>
  <c r="K264" i="31"/>
  <c r="K407" i="31"/>
  <c r="L407" i="31"/>
  <c r="K258" i="31"/>
  <c r="L258" i="31"/>
  <c r="L129" i="31"/>
  <c r="K129" i="31"/>
  <c r="L143" i="31"/>
  <c r="K143" i="31"/>
  <c r="K594" i="31"/>
  <c r="L594" i="31"/>
  <c r="L186" i="31"/>
  <c r="K186" i="31"/>
  <c r="L551" i="31"/>
  <c r="K551" i="31"/>
  <c r="L120" i="31"/>
  <c r="K120" i="31"/>
  <c r="L152" i="31"/>
  <c r="K152" i="31"/>
  <c r="L430" i="31"/>
  <c r="K430" i="31"/>
  <c r="K126" i="31"/>
  <c r="L126" i="31"/>
  <c r="K396" i="31"/>
  <c r="L396" i="31"/>
  <c r="K134" i="31"/>
  <c r="L134" i="31"/>
  <c r="K383" i="31"/>
  <c r="L383" i="31"/>
  <c r="L19" i="31"/>
  <c r="K19" i="31"/>
  <c r="K307" i="31"/>
  <c r="L307" i="31"/>
  <c r="L101" i="31"/>
  <c r="K101" i="31"/>
  <c r="K18" i="31"/>
  <c r="L18" i="31"/>
  <c r="L302" i="31"/>
  <c r="K302" i="31"/>
  <c r="L142" i="31"/>
  <c r="K142" i="31"/>
  <c r="K156" i="31"/>
  <c r="L156" i="31"/>
  <c r="K308" i="31"/>
  <c r="L308" i="31"/>
  <c r="L440" i="31"/>
  <c r="K440" i="31"/>
  <c r="L57" i="31"/>
  <c r="K57" i="31"/>
  <c r="K90" i="31"/>
  <c r="L90" i="31"/>
  <c r="L251" i="31"/>
  <c r="K251" i="31"/>
  <c r="L393" i="31"/>
  <c r="K393" i="31"/>
  <c r="K515" i="31"/>
  <c r="L515" i="31"/>
  <c r="L94" i="31"/>
  <c r="K94" i="31"/>
  <c r="K155" i="31"/>
  <c r="L155" i="31"/>
  <c r="K257" i="31"/>
  <c r="L257" i="31"/>
  <c r="L510" i="31"/>
  <c r="K510" i="31"/>
  <c r="K609" i="31"/>
  <c r="L609" i="31"/>
  <c r="K23" i="31"/>
  <c r="L23" i="31"/>
  <c r="L211" i="31"/>
  <c r="K211" i="31"/>
  <c r="K315" i="31"/>
  <c r="L315" i="31"/>
  <c r="K374" i="31"/>
  <c r="L374" i="31"/>
  <c r="K567" i="31"/>
  <c r="L567" i="31"/>
  <c r="K127" i="31"/>
  <c r="L127" i="31"/>
  <c r="L208" i="31"/>
  <c r="K208" i="31"/>
  <c r="L341" i="31"/>
  <c r="K341" i="31"/>
  <c r="L464" i="31"/>
  <c r="K464" i="31"/>
  <c r="K382" i="31"/>
  <c r="L382" i="31"/>
  <c r="L478" i="31"/>
  <c r="K478" i="31"/>
  <c r="L568" i="31"/>
  <c r="K568" i="31"/>
  <c r="L183" i="31"/>
  <c r="K183" i="31"/>
  <c r="L265" i="31"/>
  <c r="K265" i="31"/>
  <c r="L378" i="31"/>
  <c r="K378" i="31"/>
  <c r="L455" i="31"/>
  <c r="K455" i="31"/>
  <c r="K540" i="31"/>
  <c r="L540" i="31"/>
  <c r="K84" i="31"/>
  <c r="L84" i="31"/>
  <c r="L222" i="31"/>
  <c r="K222" i="31"/>
  <c r="K333" i="31"/>
  <c r="L333" i="31"/>
  <c r="L375" i="31"/>
  <c r="K375" i="31"/>
  <c r="L494" i="31"/>
  <c r="K494" i="31"/>
  <c r="K562" i="31"/>
  <c r="L562" i="31"/>
  <c r="L71" i="31"/>
  <c r="K71" i="31"/>
  <c r="K122" i="31"/>
  <c r="L122" i="31"/>
  <c r="K198" i="31"/>
  <c r="L198" i="31"/>
  <c r="L346" i="31"/>
  <c r="K346" i="31"/>
  <c r="K367" i="31"/>
  <c r="L367" i="31"/>
  <c r="L448" i="31"/>
  <c r="K448" i="31"/>
  <c r="L537" i="31"/>
  <c r="K537" i="31"/>
  <c r="L77" i="31"/>
  <c r="K77" i="31"/>
  <c r="K260" i="31"/>
  <c r="L260" i="31"/>
  <c r="K353" i="31"/>
  <c r="L353" i="31"/>
  <c r="K352" i="31"/>
  <c r="L352" i="31"/>
  <c r="K436" i="31"/>
  <c r="L436" i="31"/>
  <c r="L500" i="31"/>
  <c r="K500" i="31"/>
  <c r="K559" i="31"/>
  <c r="L559" i="31"/>
  <c r="L28" i="31"/>
  <c r="K28" i="31"/>
  <c r="L229" i="31"/>
  <c r="K229" i="31"/>
  <c r="L280" i="31"/>
  <c r="K280" i="31"/>
  <c r="L362" i="31"/>
  <c r="K362" i="31"/>
  <c r="L423" i="31"/>
  <c r="K423" i="31"/>
  <c r="K530" i="31"/>
  <c r="L530" i="31"/>
  <c r="K539" i="31"/>
  <c r="L539" i="31"/>
  <c r="L610" i="31"/>
  <c r="K610" i="31"/>
  <c r="L13" i="31"/>
  <c r="K13" i="31"/>
  <c r="K626" i="31"/>
  <c r="L626" i="31"/>
  <c r="L380" i="31"/>
  <c r="K380" i="31"/>
  <c r="L59" i="31"/>
  <c r="K59" i="31"/>
  <c r="L89" i="31"/>
  <c r="K89" i="31"/>
  <c r="L140" i="31"/>
  <c r="K140" i="31"/>
  <c r="L243" i="31"/>
  <c r="K243" i="31"/>
  <c r="L46" i="31"/>
  <c r="K46" i="31"/>
  <c r="L358" i="31"/>
  <c r="K358" i="31"/>
  <c r="L300" i="31"/>
  <c r="K300" i="31"/>
  <c r="L189" i="31"/>
  <c r="K189" i="31"/>
  <c r="L232" i="31"/>
  <c r="K232" i="31"/>
  <c r="L564" i="31"/>
  <c r="K564" i="31"/>
  <c r="L429" i="31"/>
  <c r="K429" i="31"/>
  <c r="K376" i="31"/>
  <c r="L376" i="31"/>
  <c r="K51" i="31"/>
  <c r="L51" i="31"/>
  <c r="K190" i="31"/>
  <c r="L190" i="31"/>
  <c r="K595" i="31"/>
  <c r="L595" i="31"/>
  <c r="L247" i="31"/>
  <c r="K247" i="31"/>
  <c r="K160" i="31"/>
  <c r="L160" i="31"/>
  <c r="L496" i="31"/>
  <c r="K496" i="31"/>
  <c r="L113" i="31"/>
  <c r="K113" i="31"/>
  <c r="K431" i="31"/>
  <c r="L431" i="31"/>
  <c r="L137" i="31"/>
  <c r="K137" i="31"/>
  <c r="K439" i="31"/>
  <c r="L439" i="31"/>
  <c r="L43" i="31"/>
  <c r="K43" i="31"/>
  <c r="L309" i="31"/>
  <c r="K309" i="31"/>
  <c r="L223" i="31"/>
  <c r="K223" i="31"/>
  <c r="K116" i="31"/>
  <c r="L116" i="31"/>
  <c r="L357" i="31"/>
  <c r="K357" i="31"/>
  <c r="L88" i="31"/>
  <c r="K88" i="31"/>
  <c r="K165" i="31"/>
  <c r="L165" i="31"/>
  <c r="L318" i="31"/>
  <c r="K318" i="31"/>
  <c r="K458" i="31"/>
  <c r="L458" i="31"/>
  <c r="K25" i="31"/>
  <c r="L25" i="31"/>
  <c r="K99" i="31"/>
  <c r="L99" i="31"/>
  <c r="L224" i="31"/>
  <c r="K224" i="31"/>
  <c r="L360" i="31"/>
  <c r="K360" i="31"/>
  <c r="L546" i="31"/>
  <c r="K546" i="31"/>
  <c r="L103" i="31"/>
  <c r="K103" i="31"/>
  <c r="L172" i="31"/>
  <c r="K172" i="31"/>
  <c r="L340" i="31"/>
  <c r="K340" i="31"/>
  <c r="K462" i="31"/>
  <c r="L462" i="31"/>
  <c r="L30" i="31"/>
  <c r="K30" i="31"/>
  <c r="L93" i="31"/>
  <c r="K93" i="31"/>
  <c r="K146" i="31"/>
  <c r="L146" i="31"/>
  <c r="L263" i="31"/>
  <c r="K263" i="31"/>
  <c r="L415" i="31"/>
  <c r="K415" i="31"/>
  <c r="L584" i="31"/>
  <c r="K584" i="31"/>
  <c r="L128" i="31"/>
  <c r="K128" i="31"/>
  <c r="L158" i="31"/>
  <c r="K158" i="31"/>
  <c r="L343" i="31"/>
  <c r="K343" i="31"/>
  <c r="K503" i="31"/>
  <c r="L503" i="31"/>
  <c r="L421" i="31"/>
  <c r="K421" i="31"/>
  <c r="L511" i="31"/>
  <c r="K511" i="31"/>
  <c r="K576" i="31"/>
  <c r="L576" i="31"/>
  <c r="L234" i="31"/>
  <c r="K234" i="31"/>
  <c r="K288" i="31"/>
  <c r="L288" i="31"/>
  <c r="K399" i="31"/>
  <c r="L399" i="31"/>
  <c r="L465" i="31"/>
  <c r="K465" i="31"/>
  <c r="L557" i="31"/>
  <c r="K557" i="31"/>
  <c r="K178" i="31"/>
  <c r="L178" i="31"/>
  <c r="L244" i="31"/>
  <c r="K244" i="31"/>
  <c r="L287" i="31"/>
  <c r="K287" i="31"/>
  <c r="K406" i="31"/>
  <c r="L406" i="31"/>
  <c r="L497" i="31"/>
  <c r="K497" i="31"/>
  <c r="L570" i="31"/>
  <c r="K570" i="31"/>
  <c r="L39" i="31"/>
  <c r="K39" i="31"/>
  <c r="L123" i="31"/>
  <c r="K123" i="31"/>
  <c r="K217" i="31"/>
  <c r="L217" i="31"/>
  <c r="L306" i="31"/>
  <c r="K306" i="31"/>
  <c r="K403" i="31"/>
  <c r="L403" i="31"/>
  <c r="L456" i="31"/>
  <c r="K456" i="31"/>
  <c r="L552" i="31"/>
  <c r="K552" i="31"/>
  <c r="L21" i="31"/>
  <c r="K21" i="31"/>
  <c r="L249" i="31"/>
  <c r="K249" i="31"/>
  <c r="L294" i="31"/>
  <c r="K294" i="31"/>
  <c r="L379" i="31"/>
  <c r="K379" i="31"/>
  <c r="L446" i="31"/>
  <c r="K446" i="31"/>
  <c r="L512" i="31"/>
  <c r="K512" i="31"/>
  <c r="L581" i="31"/>
  <c r="K581" i="31"/>
  <c r="L44" i="31"/>
  <c r="K44" i="31"/>
  <c r="K231" i="31"/>
  <c r="L231" i="31"/>
  <c r="L338" i="31"/>
  <c r="K338" i="31"/>
  <c r="L364" i="31"/>
  <c r="K364" i="31"/>
  <c r="K417" i="31"/>
  <c r="L417" i="31"/>
  <c r="K480" i="31"/>
  <c r="L480" i="31"/>
  <c r="K553" i="31"/>
  <c r="L553" i="31"/>
  <c r="L70" i="31"/>
  <c r="K70" i="31"/>
  <c r="L613" i="31"/>
  <c r="K613" i="31"/>
  <c r="I622" i="31"/>
  <c r="H622" i="31"/>
  <c r="K441" i="31"/>
  <c r="L441" i="31"/>
  <c r="L48" i="31"/>
  <c r="K48" i="31"/>
  <c r="K31" i="31"/>
  <c r="L31" i="31"/>
  <c r="K598" i="31"/>
  <c r="L598" i="31"/>
  <c r="L201" i="31"/>
  <c r="K201" i="31"/>
  <c r="L402" i="31"/>
  <c r="K402" i="31"/>
  <c r="L457" i="31"/>
  <c r="K457" i="31"/>
  <c r="K528" i="31"/>
  <c r="L528" i="31"/>
  <c r="L565" i="31"/>
  <c r="K565" i="31"/>
  <c r="K62" i="31"/>
  <c r="L62" i="31"/>
  <c r="L481" i="31"/>
  <c r="K481" i="31"/>
  <c r="K305" i="31"/>
  <c r="L305" i="31"/>
  <c r="L52" i="31"/>
  <c r="K52" i="31"/>
  <c r="K597" i="31"/>
  <c r="L597" i="31"/>
  <c r="L35" i="31"/>
  <c r="K35" i="31"/>
  <c r="L250" i="31"/>
  <c r="K250" i="31"/>
  <c r="K61" i="31"/>
  <c r="L61" i="31"/>
  <c r="K377" i="31"/>
  <c r="L377" i="31"/>
  <c r="K171" i="31"/>
  <c r="L171" i="31"/>
  <c r="K560" i="31"/>
  <c r="L560" i="31"/>
  <c r="K168" i="31"/>
  <c r="L168" i="31"/>
  <c r="L519" i="31"/>
  <c r="K519" i="31"/>
  <c r="L145" i="31"/>
  <c r="K145" i="31"/>
  <c r="K541" i="31"/>
  <c r="L541" i="31"/>
  <c r="K15" i="31"/>
  <c r="L15" i="31"/>
  <c r="L354" i="31"/>
  <c r="K354" i="31"/>
  <c r="L485" i="31"/>
  <c r="K485" i="31"/>
  <c r="L135" i="31"/>
  <c r="K135" i="31"/>
  <c r="L413" i="31"/>
  <c r="K413" i="31"/>
  <c r="L81" i="31"/>
  <c r="K81" i="31"/>
  <c r="K151" i="31"/>
  <c r="L151" i="31"/>
  <c r="K344" i="31"/>
  <c r="L344" i="31"/>
  <c r="K526" i="31"/>
  <c r="L526" i="31"/>
  <c r="L63" i="31"/>
  <c r="K63" i="31"/>
  <c r="L184" i="31"/>
  <c r="K184" i="31"/>
  <c r="K259" i="31"/>
  <c r="L259" i="31"/>
  <c r="K389" i="31"/>
  <c r="L389" i="31"/>
  <c r="L566" i="31"/>
  <c r="K566" i="31"/>
  <c r="K104" i="31"/>
  <c r="L104" i="31"/>
  <c r="L197" i="31"/>
  <c r="K197" i="31"/>
  <c r="L303" i="31"/>
  <c r="K303" i="31"/>
  <c r="K459" i="31"/>
  <c r="L459" i="31"/>
  <c r="L45" i="31"/>
  <c r="K45" i="31"/>
  <c r="L102" i="31"/>
  <c r="K102" i="31"/>
  <c r="L163" i="31"/>
  <c r="K163" i="31"/>
  <c r="K291" i="31"/>
  <c r="L291" i="31"/>
  <c r="K444" i="31"/>
  <c r="L444" i="31"/>
  <c r="G628" i="31"/>
  <c r="D628" i="31"/>
  <c r="J628" i="31"/>
  <c r="L121" i="31"/>
  <c r="K121" i="31"/>
  <c r="K233" i="31"/>
  <c r="L233" i="31"/>
  <c r="L345" i="31"/>
  <c r="K345" i="31"/>
  <c r="L520" i="31"/>
  <c r="K520" i="31"/>
  <c r="K408" i="31"/>
  <c r="L408" i="31"/>
  <c r="L518" i="31"/>
  <c r="K518" i="31"/>
  <c r="L592" i="31"/>
  <c r="K592" i="31"/>
  <c r="K214" i="31"/>
  <c r="L214" i="31"/>
  <c r="L317" i="31"/>
  <c r="K317" i="31"/>
  <c r="K398" i="31"/>
  <c r="L398" i="31"/>
  <c r="K486" i="31"/>
  <c r="L486" i="31"/>
  <c r="K569" i="31"/>
  <c r="L569" i="31"/>
  <c r="L179" i="31"/>
  <c r="K179" i="31"/>
  <c r="K284" i="31"/>
  <c r="L284" i="31"/>
  <c r="K312" i="31"/>
  <c r="L312" i="31"/>
  <c r="L424" i="31"/>
  <c r="K424" i="31"/>
  <c r="K499" i="31"/>
  <c r="L499" i="31"/>
  <c r="L586" i="31"/>
  <c r="K586" i="31"/>
  <c r="K85" i="31"/>
  <c r="L85" i="31"/>
  <c r="K200" i="31"/>
  <c r="L200" i="31"/>
  <c r="L236" i="31"/>
  <c r="K236" i="31"/>
  <c r="L324" i="31"/>
  <c r="K324" i="31"/>
  <c r="L381" i="31"/>
  <c r="K381" i="31"/>
  <c r="K466" i="31"/>
  <c r="L466" i="31"/>
  <c r="K558" i="31"/>
  <c r="L558" i="31"/>
  <c r="L182" i="31"/>
  <c r="K182" i="31"/>
  <c r="K253" i="31"/>
  <c r="L253" i="31"/>
  <c r="L295" i="31"/>
  <c r="K295" i="31"/>
  <c r="L419" i="31"/>
  <c r="K419" i="31"/>
  <c r="K432" i="31"/>
  <c r="L432" i="31"/>
  <c r="K522" i="31"/>
  <c r="L522" i="31"/>
  <c r="L578" i="31"/>
  <c r="K578" i="31"/>
  <c r="L16" i="31"/>
  <c r="K16" i="31"/>
  <c r="K283" i="31"/>
  <c r="L283" i="31"/>
  <c r="K316" i="31"/>
  <c r="L316" i="31"/>
  <c r="L359" i="31"/>
  <c r="K359" i="31"/>
  <c r="K435" i="31"/>
  <c r="L435" i="31"/>
  <c r="K548" i="31"/>
  <c r="L548" i="31"/>
  <c r="K572" i="31"/>
  <c r="L572" i="31"/>
  <c r="K38" i="31"/>
  <c r="L38" i="31"/>
  <c r="K78" i="31"/>
  <c r="L78" i="31"/>
  <c r="L131" i="31"/>
  <c r="K131" i="31"/>
  <c r="L543" i="31"/>
  <c r="K543" i="31"/>
  <c r="K442" i="31"/>
  <c r="L442" i="31"/>
  <c r="K255" i="31"/>
  <c r="L255" i="31"/>
  <c r="L452" i="31"/>
  <c r="K452" i="31"/>
  <c r="L278" i="31"/>
  <c r="K278" i="31"/>
  <c r="L34" i="31"/>
  <c r="K34" i="31"/>
  <c r="K58" i="31"/>
  <c r="L58" i="31"/>
  <c r="L206" i="31"/>
  <c r="K206" i="31"/>
  <c r="K157" i="31"/>
  <c r="L157" i="31"/>
  <c r="L203" i="31"/>
  <c r="K203" i="31"/>
  <c r="L554" i="31"/>
  <c r="K554" i="31"/>
  <c r="L209" i="31"/>
  <c r="K209" i="31"/>
  <c r="L580" i="31"/>
  <c r="K580" i="31"/>
  <c r="K108" i="31"/>
  <c r="L108" i="31"/>
  <c r="L420" i="31"/>
  <c r="K420" i="31"/>
  <c r="L27" i="31"/>
  <c r="K27" i="31"/>
  <c r="K114" i="31"/>
  <c r="L114" i="31"/>
  <c r="L472" i="31"/>
  <c r="K472" i="31"/>
  <c r="K82" i="31"/>
  <c r="L82" i="31"/>
  <c r="L228" i="31"/>
  <c r="K228" i="31"/>
  <c r="K370" i="31"/>
  <c r="L370" i="31"/>
  <c r="L533" i="31"/>
  <c r="K533" i="31"/>
  <c r="L132" i="31"/>
  <c r="K132" i="31"/>
  <c r="L185" i="31"/>
  <c r="K185" i="31"/>
  <c r="K262" i="31"/>
  <c r="L262" i="31"/>
  <c r="L461" i="31"/>
  <c r="K461" i="31"/>
  <c r="K607" i="31"/>
  <c r="L607" i="31"/>
  <c r="K97" i="31"/>
  <c r="L97" i="31"/>
  <c r="L167" i="31"/>
  <c r="K167" i="31"/>
  <c r="L384" i="31"/>
  <c r="K384" i="31"/>
  <c r="K498" i="31"/>
  <c r="L498" i="31"/>
  <c r="K65" i="31"/>
  <c r="L65" i="31"/>
  <c r="K111" i="31"/>
  <c r="L111" i="31"/>
  <c r="L188" i="31"/>
  <c r="K188" i="31"/>
  <c r="K301" i="31"/>
  <c r="L301" i="31"/>
  <c r="L470" i="31"/>
  <c r="K470" i="31"/>
  <c r="L73" i="31"/>
  <c r="K73" i="31"/>
  <c r="K130" i="31"/>
  <c r="L130" i="31"/>
  <c r="L207" i="31"/>
  <c r="K207" i="31"/>
  <c r="L365" i="31"/>
  <c r="K365" i="31"/>
  <c r="L535" i="31"/>
  <c r="K535" i="31"/>
  <c r="L418" i="31"/>
  <c r="K418" i="31"/>
  <c r="K521" i="31"/>
  <c r="L521" i="31"/>
  <c r="L603" i="31"/>
  <c r="K603" i="31"/>
  <c r="L242" i="31"/>
  <c r="K242" i="31"/>
  <c r="K342" i="31"/>
  <c r="L342" i="31"/>
  <c r="L428" i="31"/>
  <c r="K428" i="31"/>
  <c r="L489" i="31"/>
  <c r="K489" i="31"/>
  <c r="L577" i="31"/>
  <c r="K577" i="31"/>
  <c r="L180" i="31"/>
  <c r="K180" i="31"/>
  <c r="K245" i="31"/>
  <c r="L245" i="31"/>
  <c r="K313" i="31"/>
  <c r="L313" i="31"/>
  <c r="L434" i="31"/>
  <c r="K434" i="31"/>
  <c r="L514" i="31"/>
  <c r="K514" i="31"/>
  <c r="L611" i="31"/>
  <c r="K611" i="31"/>
  <c r="L86" i="31"/>
  <c r="K86" i="31"/>
  <c r="L193" i="31"/>
  <c r="K193" i="31"/>
  <c r="K215" i="31"/>
  <c r="L215" i="31"/>
  <c r="K351" i="31"/>
  <c r="L351" i="31"/>
  <c r="K404" i="31"/>
  <c r="L404" i="31"/>
  <c r="L495" i="31"/>
  <c r="K495" i="31"/>
  <c r="L573" i="31"/>
  <c r="K573" i="31"/>
  <c r="L175" i="31"/>
  <c r="K175" i="31"/>
  <c r="K238" i="31"/>
  <c r="L238" i="31"/>
  <c r="K296" i="31"/>
  <c r="L296" i="31"/>
  <c r="K390" i="31"/>
  <c r="L390" i="31"/>
  <c r="L493" i="31"/>
  <c r="K493" i="31"/>
  <c r="L542" i="31"/>
  <c r="K542" i="31"/>
  <c r="L585" i="31"/>
  <c r="K585" i="31"/>
  <c r="K36" i="31"/>
  <c r="L36" i="31"/>
  <c r="K267" i="31"/>
  <c r="L267" i="31"/>
  <c r="K325" i="31"/>
  <c r="L325" i="31"/>
  <c r="K386" i="31"/>
  <c r="L386" i="31"/>
  <c r="K445" i="31"/>
  <c r="L445" i="31"/>
  <c r="K491" i="31"/>
  <c r="L491" i="31"/>
  <c r="K579" i="31"/>
  <c r="L579" i="31"/>
  <c r="L76" i="31"/>
  <c r="K76" i="31"/>
  <c r="F622" i="31"/>
  <c r="E622" i="31"/>
  <c r="L110" i="31"/>
  <c r="K110" i="31"/>
  <c r="L361" i="31"/>
  <c r="K361" i="31"/>
  <c r="L202" i="31"/>
  <c r="K202" i="31"/>
  <c r="K490" i="31"/>
  <c r="L490" i="31"/>
  <c r="L115" i="31"/>
  <c r="K115" i="31"/>
  <c r="L187" i="31"/>
  <c r="K187" i="31"/>
  <c r="L293" i="31"/>
  <c r="K293" i="31"/>
  <c r="K220" i="31"/>
  <c r="L220" i="31"/>
  <c r="L24" i="31"/>
  <c r="K24" i="31"/>
  <c r="L438" i="31"/>
  <c r="K438" i="31"/>
  <c r="L433" i="31"/>
  <c r="K433" i="31"/>
  <c r="K299" i="31"/>
  <c r="L299" i="31"/>
  <c r="K536" i="31"/>
  <c r="L536" i="31"/>
  <c r="K117" i="31"/>
  <c r="L117" i="31"/>
  <c r="K256" i="31"/>
  <c r="L256" i="31"/>
  <c r="L487" i="31"/>
  <c r="K487" i="31"/>
  <c r="H6" i="32"/>
  <c r="F6" i="31"/>
  <c r="K170" i="31"/>
  <c r="L170" i="31"/>
  <c r="L32" i="31"/>
  <c r="K32" i="31"/>
  <c r="L350" i="31"/>
  <c r="K350" i="31"/>
  <c r="L55" i="31"/>
  <c r="K55" i="31"/>
  <c r="L547" i="31"/>
  <c r="K547" i="31"/>
  <c r="K286" i="31"/>
  <c r="L286" i="31"/>
  <c r="K83" i="31"/>
  <c r="L83" i="31"/>
  <c r="K225" i="31"/>
  <c r="L225" i="31"/>
  <c r="L154" i="31"/>
  <c r="K154" i="31"/>
  <c r="K218" i="31"/>
  <c r="L218" i="31"/>
  <c r="L79" i="31"/>
  <c r="K79" i="31"/>
  <c r="L119" i="31"/>
  <c r="K119" i="31"/>
  <c r="K471" i="31"/>
  <c r="L471" i="31"/>
  <c r="K66" i="31"/>
  <c r="L66" i="31"/>
  <c r="K169" i="31"/>
  <c r="L169" i="31"/>
  <c r="K517" i="31"/>
  <c r="L517" i="31"/>
  <c r="L91" i="31"/>
  <c r="K91" i="31"/>
  <c r="L216" i="31"/>
  <c r="K216" i="31"/>
  <c r="L392" i="31"/>
  <c r="K392" i="31"/>
  <c r="L529" i="31"/>
  <c r="K529" i="31"/>
  <c r="L141" i="31"/>
  <c r="K141" i="31"/>
  <c r="L147" i="31"/>
  <c r="K147" i="31"/>
  <c r="L272" i="31"/>
  <c r="K272" i="31"/>
  <c r="L468" i="31"/>
  <c r="K468" i="31"/>
  <c r="L98" i="31"/>
  <c r="K98" i="31"/>
  <c r="L213" i="31"/>
  <c r="K213" i="31"/>
  <c r="K356" i="31"/>
  <c r="L356" i="31"/>
  <c r="L508" i="31"/>
  <c r="K508" i="31"/>
  <c r="L33" i="31"/>
  <c r="K33" i="31"/>
  <c r="K112" i="31"/>
  <c r="L112" i="31"/>
  <c r="L205" i="31"/>
  <c r="K205" i="31"/>
  <c r="K319" i="31"/>
  <c r="L319" i="31"/>
  <c r="L467" i="31"/>
  <c r="K467" i="31"/>
  <c r="L41" i="31"/>
  <c r="K41" i="31"/>
  <c r="L139" i="31"/>
  <c r="K139" i="31"/>
  <c r="L275" i="31"/>
  <c r="K275" i="31"/>
  <c r="K395" i="31"/>
  <c r="L395" i="31"/>
  <c r="K545" i="31"/>
  <c r="L545" i="31"/>
  <c r="K453" i="31"/>
  <c r="L453" i="31"/>
  <c r="K524" i="31"/>
  <c r="L524" i="31"/>
  <c r="K612" i="31"/>
  <c r="L612" i="31"/>
  <c r="K240" i="31"/>
  <c r="L240" i="31"/>
  <c r="K304" i="31"/>
  <c r="L304" i="31"/>
  <c r="K416" i="31"/>
  <c r="L416" i="31"/>
  <c r="L483" i="31"/>
  <c r="K483" i="31"/>
  <c r="L593" i="31"/>
  <c r="K593" i="31"/>
  <c r="L173" i="31"/>
  <c r="K173" i="31"/>
  <c r="L254" i="31"/>
  <c r="K254" i="31"/>
  <c r="L363" i="31"/>
  <c r="K363" i="31"/>
  <c r="K460" i="31"/>
  <c r="L460" i="31"/>
  <c r="L509" i="31"/>
  <c r="K509" i="31"/>
  <c r="K53" i="31"/>
  <c r="L53" i="31"/>
  <c r="L87" i="31"/>
  <c r="K87" i="31"/>
  <c r="L194" i="31"/>
  <c r="K194" i="31"/>
  <c r="L292" i="31"/>
  <c r="K292" i="31"/>
  <c r="L311" i="31"/>
  <c r="K311" i="31"/>
  <c r="L422" i="31"/>
  <c r="K422" i="31"/>
  <c r="K482" i="31"/>
  <c r="L482" i="31"/>
  <c r="L590" i="31"/>
  <c r="K590" i="31"/>
  <c r="K210" i="31"/>
  <c r="L210" i="31"/>
  <c r="K271" i="31"/>
  <c r="L271" i="31"/>
  <c r="K369" i="31"/>
  <c r="L369" i="31"/>
  <c r="K405" i="31"/>
  <c r="L405" i="31"/>
  <c r="K474" i="31"/>
  <c r="L474" i="31"/>
  <c r="K544" i="31"/>
  <c r="L544" i="31"/>
  <c r="L602" i="31"/>
  <c r="K602" i="31"/>
  <c r="K150" i="31"/>
  <c r="L150" i="31"/>
  <c r="L347" i="31"/>
  <c r="K347" i="31"/>
  <c r="L326" i="31"/>
  <c r="K326" i="31"/>
  <c r="L388" i="31"/>
  <c r="K388" i="31"/>
  <c r="K447" i="31"/>
  <c r="L447" i="31"/>
  <c r="L513" i="31"/>
  <c r="K513" i="31"/>
  <c r="L575" i="31"/>
  <c r="K575" i="31"/>
  <c r="K20" i="31"/>
  <c r="L20" i="31"/>
  <c r="K488" i="31"/>
  <c r="L488" i="31"/>
  <c r="L321" i="31"/>
  <c r="K321" i="31"/>
  <c r="L322" i="31"/>
  <c r="K322" i="31"/>
  <c r="L159" i="31"/>
  <c r="K159" i="31"/>
  <c r="K606" i="31"/>
  <c r="L606" i="31"/>
  <c r="L531" i="31"/>
  <c r="K531" i="31"/>
  <c r="K561" i="31"/>
  <c r="L561" i="31"/>
  <c r="K469" i="31"/>
  <c r="L469" i="31"/>
  <c r="K400" i="31"/>
  <c r="L400" i="31"/>
  <c r="L348" i="31"/>
  <c r="K348" i="31"/>
  <c r="L282" i="31"/>
  <c r="K282" i="31"/>
  <c r="L22" i="31"/>
  <c r="K22" i="31"/>
  <c r="K473" i="31"/>
  <c r="L473" i="31"/>
  <c r="L331" i="31"/>
  <c r="K331" i="31"/>
  <c r="K125" i="31"/>
  <c r="L125" i="31"/>
  <c r="L387" i="31"/>
  <c r="K387" i="31"/>
  <c r="L279" i="31"/>
  <c r="K279" i="31"/>
  <c r="L67" i="31"/>
  <c r="K67" i="31"/>
  <c r="K323" i="31"/>
  <c r="L323" i="31"/>
  <c r="K26" i="31"/>
  <c r="L26" i="31"/>
  <c r="L298" i="31"/>
  <c r="K298" i="31"/>
  <c r="L235" i="31"/>
  <c r="K235" i="31"/>
  <c r="L261" i="31"/>
  <c r="K261" i="31"/>
  <c r="K138" i="31"/>
  <c r="L138" i="31"/>
  <c r="L148" i="31"/>
  <c r="K148" i="31"/>
  <c r="L505" i="31"/>
  <c r="K505" i="31"/>
  <c r="K161" i="31"/>
  <c r="L161" i="31"/>
  <c r="L149" i="31"/>
  <c r="K149" i="31"/>
  <c r="L583" i="31"/>
  <c r="K583" i="31"/>
  <c r="L176" i="31"/>
  <c r="K176" i="31"/>
  <c r="L252" i="31"/>
  <c r="K252" i="31"/>
  <c r="L373" i="31"/>
  <c r="K373" i="31"/>
  <c r="K571" i="31"/>
  <c r="L571" i="31"/>
  <c r="L95" i="31"/>
  <c r="K95" i="31"/>
  <c r="K164" i="31"/>
  <c r="L164" i="31"/>
  <c r="L332" i="31"/>
  <c r="K332" i="31"/>
  <c r="K484" i="31"/>
  <c r="L484" i="31"/>
  <c r="L74" i="31"/>
  <c r="K74" i="31"/>
  <c r="L107" i="31"/>
  <c r="K107" i="31"/>
  <c r="K268" i="31"/>
  <c r="L268" i="31"/>
  <c r="L368" i="31"/>
  <c r="K368" i="31"/>
  <c r="L556" i="31"/>
  <c r="K556" i="31"/>
  <c r="L64" i="31"/>
  <c r="K64" i="31"/>
  <c r="K105" i="31"/>
  <c r="L105" i="31"/>
  <c r="K199" i="31"/>
  <c r="L199" i="31"/>
  <c r="K289" i="31"/>
  <c r="L289" i="31"/>
  <c r="K502" i="31"/>
  <c r="L502" i="31"/>
  <c r="L100" i="31"/>
  <c r="K100" i="31"/>
  <c r="L153" i="31"/>
  <c r="K153" i="31"/>
  <c r="K277" i="31"/>
  <c r="L277" i="31"/>
  <c r="L412" i="31"/>
  <c r="K412" i="31"/>
  <c r="L582" i="31"/>
  <c r="K582" i="31"/>
  <c r="L450" i="31"/>
  <c r="K450" i="31"/>
  <c r="L563" i="31"/>
  <c r="K563" i="31"/>
  <c r="K14" i="31"/>
  <c r="L14" i="31"/>
  <c r="K330" i="31"/>
  <c r="L330" i="31"/>
  <c r="L297" i="31"/>
  <c r="K297" i="31"/>
  <c r="L426" i="31"/>
  <c r="K426" i="31"/>
  <c r="K506" i="31"/>
  <c r="L506" i="31"/>
  <c r="K596" i="31"/>
  <c r="L596" i="31"/>
  <c r="K174" i="31"/>
  <c r="L174" i="31"/>
  <c r="K314" i="31"/>
  <c r="L314" i="31"/>
  <c r="L366" i="31"/>
  <c r="K366" i="31"/>
  <c r="L534" i="31"/>
  <c r="K534" i="31"/>
  <c r="K555" i="31"/>
  <c r="L555" i="31"/>
  <c r="L37" i="31"/>
  <c r="K37" i="31"/>
  <c r="L80" i="31"/>
  <c r="K80" i="31"/>
  <c r="L195" i="31"/>
  <c r="K195" i="31"/>
  <c r="K239" i="31"/>
  <c r="L239" i="31"/>
  <c r="K336" i="31"/>
  <c r="L336" i="31"/>
  <c r="L401" i="31"/>
  <c r="K401" i="31"/>
  <c r="L504" i="31"/>
  <c r="K504" i="31"/>
  <c r="L587" i="31"/>
  <c r="K587" i="31"/>
  <c r="L241" i="31"/>
  <c r="K241" i="31"/>
  <c r="L248" i="31"/>
  <c r="K248" i="31"/>
  <c r="L337" i="31"/>
  <c r="K337" i="31"/>
  <c r="L427" i="31"/>
  <c r="K427" i="31"/>
  <c r="L492" i="31"/>
  <c r="K492" i="31"/>
  <c r="L538" i="31"/>
  <c r="K538" i="31"/>
  <c r="L608" i="31"/>
  <c r="K608" i="31"/>
  <c r="L227" i="31"/>
  <c r="K227" i="31"/>
  <c r="L285" i="31"/>
  <c r="K285" i="31"/>
  <c r="L327" i="31"/>
  <c r="K327" i="31"/>
  <c r="L397" i="31"/>
  <c r="K397" i="31"/>
  <c r="L454" i="31"/>
  <c r="K454" i="31"/>
  <c r="L523" i="31"/>
  <c r="K523" i="31"/>
  <c r="L591" i="31"/>
  <c r="K591" i="31"/>
  <c r="K60" i="31"/>
  <c r="L60" i="31"/>
  <c r="K622" i="31"/>
  <c r="L622" i="31"/>
  <c r="L17" i="31"/>
  <c r="K17" i="31"/>
  <c r="L92" i="31"/>
  <c r="K92" i="31"/>
  <c r="L133" i="31"/>
  <c r="K133" i="31"/>
  <c r="K349" i="31"/>
  <c r="L349" i="31"/>
  <c r="L47" i="31"/>
  <c r="K47" i="31"/>
  <c r="L118" i="31"/>
  <c r="K118" i="31"/>
  <c r="L166" i="31"/>
  <c r="K166" i="31"/>
  <c r="L69" i="31"/>
  <c r="K69" i="31"/>
  <c r="K477" i="31"/>
  <c r="L477" i="31"/>
  <c r="L527" i="31"/>
  <c r="K527" i="31"/>
  <c r="L385" i="31"/>
  <c r="K385" i="31"/>
  <c r="L212" i="31"/>
  <c r="K212" i="31"/>
  <c r="K604" i="31"/>
  <c r="L604" i="31"/>
  <c r="B325" i="2"/>
  <c r="F7" i="31"/>
  <c r="H7" i="32"/>
  <c r="K623" i="31"/>
  <c r="L623" i="31"/>
  <c r="K335" i="31"/>
  <c r="L335" i="31"/>
  <c r="L136" i="31"/>
  <c r="K136" i="31"/>
  <c r="L410" i="31"/>
  <c r="K410" i="31"/>
  <c r="L449" i="31"/>
  <c r="K449" i="31"/>
  <c r="L50" i="31"/>
  <c r="K50" i="31"/>
  <c r="L320" i="31"/>
  <c r="K320" i="31"/>
  <c r="K72" i="31"/>
  <c r="L72" i="31"/>
  <c r="L266" i="31"/>
  <c r="K266" i="31"/>
  <c r="K49" i="31"/>
  <c r="L49" i="31"/>
  <c r="L274" i="31"/>
  <c r="K274" i="31"/>
  <c r="L310" i="31"/>
  <c r="K310" i="31"/>
  <c r="L204" i="31"/>
  <c r="K204" i="31"/>
  <c r="L574" i="31"/>
  <c r="K574" i="31"/>
  <c r="L75" i="31"/>
  <c r="K75" i="31"/>
  <c r="K237" i="31"/>
  <c r="L237" i="31"/>
  <c r="L124" i="31"/>
  <c r="K124" i="31"/>
  <c r="L177" i="31"/>
  <c r="K177" i="31"/>
  <c r="L339" i="31"/>
  <c r="K339" i="31"/>
  <c r="L414" i="31"/>
  <c r="K414" i="31"/>
  <c r="L589" i="31"/>
  <c r="K589" i="31"/>
  <c r="L96" i="31"/>
  <c r="K96" i="31"/>
  <c r="L181" i="31"/>
  <c r="K181" i="31"/>
  <c r="K334" i="31"/>
  <c r="L334" i="31"/>
  <c r="K451" i="31"/>
  <c r="L451" i="31"/>
  <c r="K42" i="31"/>
  <c r="L42" i="31"/>
  <c r="L192" i="31"/>
  <c r="K192" i="31"/>
  <c r="L276" i="31"/>
  <c r="K276" i="31"/>
  <c r="K411" i="31"/>
  <c r="L411" i="31"/>
  <c r="L588" i="31"/>
  <c r="K588" i="31"/>
  <c r="L40" i="31"/>
  <c r="K40" i="31"/>
  <c r="L106" i="31"/>
  <c r="K106" i="31"/>
  <c r="L221" i="31"/>
  <c r="K221" i="31"/>
  <c r="K372" i="31"/>
  <c r="L372" i="31"/>
  <c r="K516" i="31"/>
  <c r="L516" i="31"/>
  <c r="L109" i="31"/>
  <c r="K109" i="31"/>
  <c r="L162" i="31"/>
  <c r="K162" i="31"/>
  <c r="L290" i="31"/>
  <c r="K290" i="31"/>
  <c r="L409" i="31"/>
  <c r="K409" i="31"/>
  <c r="L600" i="31"/>
  <c r="K600" i="31"/>
  <c r="L476" i="31"/>
  <c r="K476" i="31"/>
  <c r="K532" i="31"/>
  <c r="L532" i="31"/>
  <c r="L29" i="31"/>
  <c r="K29" i="31"/>
  <c r="L246" i="31"/>
  <c r="K246" i="31"/>
  <c r="K355" i="31"/>
  <c r="L355" i="31"/>
  <c r="L437" i="31"/>
  <c r="K437" i="31"/>
  <c r="L501" i="31"/>
  <c r="K501" i="31"/>
  <c r="L605" i="31"/>
  <c r="K605" i="31"/>
  <c r="L191" i="31"/>
  <c r="K191" i="31"/>
  <c r="K273" i="31"/>
  <c r="L273" i="31"/>
  <c r="K394" i="31"/>
  <c r="L394" i="31"/>
  <c r="L463" i="31"/>
  <c r="K463" i="31"/>
  <c r="L549" i="31"/>
  <c r="K549" i="31"/>
  <c r="L56" i="31"/>
  <c r="K56" i="31"/>
  <c r="K144" i="31"/>
  <c r="L144" i="31"/>
  <c r="K196" i="31"/>
  <c r="L196" i="31"/>
  <c r="L269" i="31"/>
  <c r="K269" i="31"/>
  <c r="L329" i="31"/>
  <c r="K329" i="31"/>
  <c r="L443" i="31"/>
  <c r="K443" i="31"/>
  <c r="L507" i="31"/>
  <c r="K507" i="31"/>
  <c r="L599" i="31"/>
  <c r="K599" i="31"/>
  <c r="L230" i="31"/>
  <c r="K230" i="31"/>
  <c r="K281" i="31"/>
  <c r="L281" i="31"/>
  <c r="L371" i="31"/>
  <c r="K371" i="31"/>
  <c r="K425" i="31"/>
  <c r="L425" i="31"/>
  <c r="L479" i="31"/>
  <c r="K479" i="31"/>
  <c r="L550" i="31"/>
  <c r="K550" i="31"/>
  <c r="L54" i="31"/>
  <c r="K54" i="31"/>
  <c r="K219" i="31"/>
  <c r="L219" i="31"/>
  <c r="K270" i="31"/>
  <c r="L270" i="31"/>
  <c r="L328" i="31"/>
  <c r="K328" i="31"/>
  <c r="K391" i="31"/>
  <c r="L391" i="31"/>
  <c r="K475" i="31"/>
  <c r="L475" i="31"/>
  <c r="K525" i="31"/>
  <c r="L525" i="31"/>
  <c r="L601" i="31"/>
  <c r="K601" i="31"/>
  <c r="L68" i="31"/>
  <c r="K68" i="31"/>
  <c r="K351" i="2"/>
  <c r="B340" i="2"/>
  <c r="B342" i="2" s="1"/>
  <c r="K203" i="2"/>
  <c r="E34" i="1"/>
  <c r="B113" i="2"/>
  <c r="B367" i="2"/>
  <c r="Q13" i="8"/>
  <c r="E46" i="1"/>
  <c r="AN628" i="32" l="1"/>
  <c r="AO628" i="32"/>
  <c r="AL628" i="32"/>
  <c r="AK628" i="32"/>
  <c r="AR628" i="32"/>
  <c r="AQ628" i="32"/>
  <c r="C626" i="31"/>
  <c r="C622" i="31"/>
  <c r="C611" i="31"/>
  <c r="C607" i="31"/>
  <c r="C603" i="31"/>
  <c r="C599" i="31"/>
  <c r="C595" i="31"/>
  <c r="C591" i="31"/>
  <c r="C587" i="31"/>
  <c r="C583" i="31"/>
  <c r="C579" i="31"/>
  <c r="C575" i="31"/>
  <c r="C571" i="31"/>
  <c r="C567" i="31"/>
  <c r="C563" i="31"/>
  <c r="C559" i="31"/>
  <c r="C555" i="31"/>
  <c r="C551" i="31"/>
  <c r="C547" i="31"/>
  <c r="C543" i="31"/>
  <c r="C539" i="31"/>
  <c r="C535" i="31"/>
  <c r="C531" i="31"/>
  <c r="C527" i="31"/>
  <c r="C523" i="31"/>
  <c r="C519" i="31"/>
  <c r="C515" i="31"/>
  <c r="C511" i="31"/>
  <c r="C507" i="31"/>
  <c r="C503" i="31"/>
  <c r="C499" i="31"/>
  <c r="C495" i="31"/>
  <c r="C491" i="31"/>
  <c r="C487" i="31"/>
  <c r="C483" i="31"/>
  <c r="C479" i="31"/>
  <c r="C475" i="31"/>
  <c r="C471" i="31"/>
  <c r="C467" i="31"/>
  <c r="C463" i="31"/>
  <c r="C459" i="31"/>
  <c r="C455" i="31"/>
  <c r="C451" i="31"/>
  <c r="C447" i="31"/>
  <c r="C443" i="31"/>
  <c r="C439" i="31"/>
  <c r="C435" i="31"/>
  <c r="C431" i="31"/>
  <c r="C427" i="31"/>
  <c r="C423" i="31"/>
  <c r="C419" i="31"/>
  <c r="C415" i="31"/>
  <c r="C411" i="31"/>
  <c r="C407" i="31"/>
  <c r="C403" i="31"/>
  <c r="C399" i="31"/>
  <c r="C395" i="31"/>
  <c r="C391" i="31"/>
  <c r="C387" i="31"/>
  <c r="C383" i="31"/>
  <c r="C379" i="31"/>
  <c r="C375" i="31"/>
  <c r="C371" i="31"/>
  <c r="C367" i="31"/>
  <c r="C363" i="31"/>
  <c r="C359" i="31"/>
  <c r="C355" i="31"/>
  <c r="C351" i="31"/>
  <c r="C347" i="31"/>
  <c r="C343" i="31"/>
  <c r="C339" i="31"/>
  <c r="C335" i="31"/>
  <c r="C331" i="31"/>
  <c r="C327" i="31"/>
  <c r="C323" i="31"/>
  <c r="C319" i="31"/>
  <c r="C315" i="31"/>
  <c r="C311" i="31"/>
  <c r="C307" i="31"/>
  <c r="C303" i="31"/>
  <c r="C299" i="31"/>
  <c r="C295" i="31"/>
  <c r="C291" i="31"/>
  <c r="C287" i="31"/>
  <c r="C283" i="31"/>
  <c r="C279" i="31"/>
  <c r="C275" i="31"/>
  <c r="C271" i="31"/>
  <c r="C267" i="31"/>
  <c r="C263" i="31"/>
  <c r="C259" i="31"/>
  <c r="C255" i="31"/>
  <c r="C251" i="31"/>
  <c r="C247" i="31"/>
  <c r="C243" i="31"/>
  <c r="C239" i="31"/>
  <c r="C235" i="31"/>
  <c r="C231" i="31"/>
  <c r="C227" i="31"/>
  <c r="C223" i="31"/>
  <c r="C219" i="31"/>
  <c r="C215" i="31"/>
  <c r="C211" i="31"/>
  <c r="C207" i="31"/>
  <c r="C203" i="31"/>
  <c r="C199" i="31"/>
  <c r="C195" i="31"/>
  <c r="C191" i="31"/>
  <c r="C187" i="31"/>
  <c r="C183" i="31"/>
  <c r="C179" i="31"/>
  <c r="C175" i="31"/>
  <c r="C171" i="31"/>
  <c r="C167" i="31"/>
  <c r="C163" i="31"/>
  <c r="C159" i="31"/>
  <c r="C155" i="31"/>
  <c r="C151" i="31"/>
  <c r="C147" i="31"/>
  <c r="C143" i="31"/>
  <c r="C139" i="31"/>
  <c r="C135" i="31"/>
  <c r="C131" i="31"/>
  <c r="C127" i="31"/>
  <c r="C123" i="31"/>
  <c r="C119" i="31"/>
  <c r="C115" i="31"/>
  <c r="C111" i="31"/>
  <c r="C107" i="31"/>
  <c r="C103" i="31"/>
  <c r="C99" i="31"/>
  <c r="C95" i="31"/>
  <c r="C91" i="31"/>
  <c r="C87" i="31"/>
  <c r="C83" i="31"/>
  <c r="C79" i="31"/>
  <c r="C75" i="31"/>
  <c r="C629" i="31"/>
  <c r="C625" i="31"/>
  <c r="C617" i="31"/>
  <c r="H4" i="32"/>
  <c r="C610" i="31"/>
  <c r="C606" i="31"/>
  <c r="C602" i="31"/>
  <c r="C598" i="31"/>
  <c r="C594" i="31"/>
  <c r="C590" i="31"/>
  <c r="C586" i="31"/>
  <c r="C582" i="31"/>
  <c r="C578" i="31"/>
  <c r="C574" i="31"/>
  <c r="C570" i="31"/>
  <c r="C566" i="31"/>
  <c r="C562" i="31"/>
  <c r="C558" i="31"/>
  <c r="C554" i="31"/>
  <c r="C550" i="31"/>
  <c r="C546" i="31"/>
  <c r="C542" i="31"/>
  <c r="C538" i="31"/>
  <c r="C534" i="31"/>
  <c r="C530" i="31"/>
  <c r="C526" i="31"/>
  <c r="C522" i="31"/>
  <c r="C518" i="31"/>
  <c r="C514" i="31"/>
  <c r="C510" i="31"/>
  <c r="C506" i="31"/>
  <c r="C502" i="31"/>
  <c r="C498" i="31"/>
  <c r="C494" i="31"/>
  <c r="C490" i="31"/>
  <c r="C486" i="31"/>
  <c r="C482" i="31"/>
  <c r="C478" i="31"/>
  <c r="C474" i="31"/>
  <c r="C470" i="31"/>
  <c r="C466" i="31"/>
  <c r="C462" i="31"/>
  <c r="C458" i="31"/>
  <c r="C454" i="31"/>
  <c r="C450" i="31"/>
  <c r="C446" i="31"/>
  <c r="C442" i="31"/>
  <c r="C438" i="31"/>
  <c r="C434" i="31"/>
  <c r="C430" i="31"/>
  <c r="C426" i="31"/>
  <c r="C422" i="31"/>
  <c r="C418" i="31"/>
  <c r="C414" i="31"/>
  <c r="C410" i="31"/>
  <c r="C406" i="31"/>
  <c r="C402" i="31"/>
  <c r="C398" i="31"/>
  <c r="C394" i="31"/>
  <c r="C390" i="31"/>
  <c r="C386" i="31"/>
  <c r="C382" i="31"/>
  <c r="C378" i="31"/>
  <c r="C374" i="31"/>
  <c r="C370" i="31"/>
  <c r="C366" i="31"/>
  <c r="C362" i="31"/>
  <c r="C358" i="31"/>
  <c r="C354" i="31"/>
  <c r="C350" i="31"/>
  <c r="C346" i="31"/>
  <c r="C342" i="31"/>
  <c r="C338" i="31"/>
  <c r="C334" i="31"/>
  <c r="C330" i="31"/>
  <c r="C326" i="31"/>
  <c r="C322" i="31"/>
  <c r="C318" i="31"/>
  <c r="C314" i="31"/>
  <c r="C310" i="31"/>
  <c r="C306" i="31"/>
  <c r="C302" i="31"/>
  <c r="C298" i="31"/>
  <c r="C294" i="31"/>
  <c r="C290" i="31"/>
  <c r="C286" i="31"/>
  <c r="C282" i="31"/>
  <c r="C278" i="31"/>
  <c r="C274" i="31"/>
  <c r="C270" i="31"/>
  <c r="C266" i="31"/>
  <c r="C262" i="31"/>
  <c r="C258" i="31"/>
  <c r="C254" i="31"/>
  <c r="C250" i="31"/>
  <c r="C246" i="31"/>
  <c r="C242" i="31"/>
  <c r="C238" i="31"/>
  <c r="C234" i="31"/>
  <c r="C230" i="31"/>
  <c r="C226" i="31"/>
  <c r="C222" i="31"/>
  <c r="C218" i="31"/>
  <c r="C214" i="31"/>
  <c r="C210" i="31"/>
  <c r="C206" i="31"/>
  <c r="C202" i="31"/>
  <c r="C198" i="31"/>
  <c r="C194" i="31"/>
  <c r="C190" i="31"/>
  <c r="C186" i="31"/>
  <c r="C182" i="31"/>
  <c r="C178" i="31"/>
  <c r="C174" i="31"/>
  <c r="C170" i="31"/>
  <c r="C166" i="31"/>
  <c r="C162" i="31"/>
  <c r="C158" i="31"/>
  <c r="C154" i="31"/>
  <c r="C150" i="31"/>
  <c r="C146" i="31"/>
  <c r="C142" i="31"/>
  <c r="C138" i="31"/>
  <c r="C134" i="31"/>
  <c r="C130" i="31"/>
  <c r="C126" i="31"/>
  <c r="C122" i="31"/>
  <c r="C118" i="31"/>
  <c r="C114" i="31"/>
  <c r="C110" i="31"/>
  <c r="C106" i="31"/>
  <c r="C102" i="31"/>
  <c r="C98" i="31"/>
  <c r="C94" i="31"/>
  <c r="C90" i="31"/>
  <c r="C86" i="31"/>
  <c r="C82" i="31"/>
  <c r="C78" i="31"/>
  <c r="C74" i="31"/>
  <c r="C70" i="31"/>
  <c r="C628" i="31"/>
  <c r="C624" i="31"/>
  <c r="U3" i="32"/>
  <c r="U7" i="32" s="1"/>
  <c r="C609" i="31"/>
  <c r="C605" i="31"/>
  <c r="C601" i="31"/>
  <c r="C597" i="31"/>
  <c r="C593" i="31"/>
  <c r="C589" i="31"/>
  <c r="C585" i="31"/>
  <c r="C581" i="31"/>
  <c r="C577" i="31"/>
  <c r="C573" i="31"/>
  <c r="C569" i="31"/>
  <c r="C565" i="31"/>
  <c r="C561" i="31"/>
  <c r="C557" i="31"/>
  <c r="C553" i="31"/>
  <c r="C549" i="31"/>
  <c r="C545" i="31"/>
  <c r="C541" i="31"/>
  <c r="C537" i="31"/>
  <c r="C533" i="31"/>
  <c r="C529" i="31"/>
  <c r="C525" i="31"/>
  <c r="C521" i="31"/>
  <c r="C517" i="31"/>
  <c r="C513" i="31"/>
  <c r="C509" i="31"/>
  <c r="C505" i="31"/>
  <c r="C501" i="31"/>
  <c r="C497" i="31"/>
  <c r="C493" i="31"/>
  <c r="C489" i="31"/>
  <c r="C485" i="31"/>
  <c r="C481" i="31"/>
  <c r="C477" i="31"/>
  <c r="C473" i="31"/>
  <c r="C469" i="31"/>
  <c r="C465" i="31"/>
  <c r="C461" i="31"/>
  <c r="C457" i="31"/>
  <c r="C453" i="31"/>
  <c r="C449" i="31"/>
  <c r="C445" i="31"/>
  <c r="C441" i="31"/>
  <c r="C437" i="31"/>
  <c r="C433" i="31"/>
  <c r="C429" i="31"/>
  <c r="C425" i="31"/>
  <c r="C421" i="31"/>
  <c r="C417" i="31"/>
  <c r="C413" i="31"/>
  <c r="C409" i="31"/>
  <c r="C405" i="31"/>
  <c r="C401" i="31"/>
  <c r="C397" i="31"/>
  <c r="C393" i="31"/>
  <c r="C389" i="31"/>
  <c r="C385" i="31"/>
  <c r="C381" i="31"/>
  <c r="C377" i="31"/>
  <c r="C373" i="31"/>
  <c r="C369" i="31"/>
  <c r="C365" i="31"/>
  <c r="C361" i="31"/>
  <c r="C357" i="31"/>
  <c r="C353" i="31"/>
  <c r="C349" i="31"/>
  <c r="C345" i="31"/>
  <c r="C341" i="31"/>
  <c r="C337" i="31"/>
  <c r="C333" i="31"/>
  <c r="C329" i="31"/>
  <c r="C325" i="31"/>
  <c r="C321" i="31"/>
  <c r="C317" i="31"/>
  <c r="C313" i="31"/>
  <c r="C309" i="31"/>
  <c r="C305" i="31"/>
  <c r="C301" i="31"/>
  <c r="C297" i="31"/>
  <c r="C293" i="31"/>
  <c r="C289" i="31"/>
  <c r="C285" i="31"/>
  <c r="C281" i="31"/>
  <c r="C277" i="31"/>
  <c r="C273" i="31"/>
  <c r="C269" i="31"/>
  <c r="C265" i="31"/>
  <c r="C261" i="31"/>
  <c r="C257" i="31"/>
  <c r="C253" i="31"/>
  <c r="C249" i="31"/>
  <c r="C245" i="31"/>
  <c r="C241" i="31"/>
  <c r="C237" i="31"/>
  <c r="C233" i="31"/>
  <c r="C229" i="31"/>
  <c r="C225" i="31"/>
  <c r="C221" i="31"/>
  <c r="C217" i="31"/>
  <c r="C213" i="31"/>
  <c r="C209" i="31"/>
  <c r="C205" i="31"/>
  <c r="C201" i="31"/>
  <c r="C197" i="31"/>
  <c r="C193" i="31"/>
  <c r="C189" i="31"/>
  <c r="C185" i="31"/>
  <c r="C181" i="31"/>
  <c r="C177" i="31"/>
  <c r="C173" i="31"/>
  <c r="C169" i="31"/>
  <c r="C165" i="31"/>
  <c r="C161" i="31"/>
  <c r="C157" i="31"/>
  <c r="C153" i="31"/>
  <c r="C149" i="31"/>
  <c r="C145" i="31"/>
  <c r="C141" i="31"/>
  <c r="C137" i="31"/>
  <c r="C133" i="31"/>
  <c r="C129" i="31"/>
  <c r="C125" i="31"/>
  <c r="C121" i="31"/>
  <c r="C117" i="31"/>
  <c r="C113" i="31"/>
  <c r="C109" i="31"/>
  <c r="C105" i="31"/>
  <c r="C101" i="31"/>
  <c r="C97" i="31"/>
  <c r="C93" i="31"/>
  <c r="C89" i="31"/>
  <c r="C85" i="31"/>
  <c r="C81" i="31"/>
  <c r="C77" i="31"/>
  <c r="C18" i="31"/>
  <c r="C627" i="31"/>
  <c r="C612" i="31"/>
  <c r="C596" i="31"/>
  <c r="C580" i="31"/>
  <c r="C564" i="31"/>
  <c r="C548" i="31"/>
  <c r="C532" i="31"/>
  <c r="C516" i="31"/>
  <c r="C500" i="31"/>
  <c r="C484" i="31"/>
  <c r="C468" i="31"/>
  <c r="C452" i="31"/>
  <c r="C436" i="31"/>
  <c r="C420" i="31"/>
  <c r="C404" i="31"/>
  <c r="C388" i="31"/>
  <c r="C372" i="31"/>
  <c r="C356" i="31"/>
  <c r="C340" i="31"/>
  <c r="C324" i="31"/>
  <c r="C308" i="31"/>
  <c r="C292" i="31"/>
  <c r="C276" i="31"/>
  <c r="C260" i="31"/>
  <c r="C244" i="31"/>
  <c r="C228" i="31"/>
  <c r="C212" i="31"/>
  <c r="C196" i="31"/>
  <c r="C180" i="31"/>
  <c r="C164" i="31"/>
  <c r="C132" i="31"/>
  <c r="C100" i="31"/>
  <c r="C68" i="31"/>
  <c r="C61" i="31"/>
  <c r="C55" i="31"/>
  <c r="C42" i="31"/>
  <c r="C36" i="31"/>
  <c r="C29" i="31"/>
  <c r="C23" i="31"/>
  <c r="C67" i="31"/>
  <c r="C54" i="31"/>
  <c r="C48" i="31"/>
  <c r="C35" i="31"/>
  <c r="C66" i="31"/>
  <c r="C60" i="31"/>
  <c r="C53" i="31"/>
  <c r="C16" i="31"/>
  <c r="C88" i="31"/>
  <c r="C59" i="31"/>
  <c r="C46" i="31"/>
  <c r="C33" i="31"/>
  <c r="C51" i="31"/>
  <c r="C25" i="31"/>
  <c r="C92" i="31"/>
  <c r="C62" i="31"/>
  <c r="C152" i="31"/>
  <c r="C120" i="31"/>
  <c r="C41" i="31"/>
  <c r="C22" i="31"/>
  <c r="C17" i="31"/>
  <c r="C47" i="31"/>
  <c r="C28" i="31"/>
  <c r="C21" i="31"/>
  <c r="C80" i="31"/>
  <c r="C27" i="31"/>
  <c r="C136" i="31"/>
  <c r="C104" i="31"/>
  <c r="C57" i="31"/>
  <c r="C32" i="31"/>
  <c r="F4" i="31"/>
  <c r="C84" i="31"/>
  <c r="C56" i="31"/>
  <c r="C30" i="31"/>
  <c r="C623" i="31"/>
  <c r="C608" i="31"/>
  <c r="C592" i="31"/>
  <c r="C576" i="31"/>
  <c r="C560" i="31"/>
  <c r="C544" i="31"/>
  <c r="C528" i="31"/>
  <c r="C512" i="31"/>
  <c r="C496" i="31"/>
  <c r="C480" i="31"/>
  <c r="C464" i="31"/>
  <c r="C448" i="31"/>
  <c r="C432" i="31"/>
  <c r="C416" i="31"/>
  <c r="C400" i="31"/>
  <c r="C384" i="31"/>
  <c r="C368" i="31"/>
  <c r="C352" i="31"/>
  <c r="C336" i="31"/>
  <c r="C320" i="31"/>
  <c r="C304" i="31"/>
  <c r="C288" i="31"/>
  <c r="C272" i="31"/>
  <c r="C256" i="31"/>
  <c r="C240" i="31"/>
  <c r="C224" i="31"/>
  <c r="C208" i="31"/>
  <c r="C192" i="31"/>
  <c r="C176" i="31"/>
  <c r="C140" i="31"/>
  <c r="C108" i="31"/>
  <c r="C73" i="31"/>
  <c r="C34" i="31"/>
  <c r="C128" i="31"/>
  <c r="C15" i="31"/>
  <c r="C49" i="31"/>
  <c r="C613" i="31"/>
  <c r="C160" i="31"/>
  <c r="C96" i="31"/>
  <c r="C65" i="31"/>
  <c r="C40" i="31"/>
  <c r="C71" i="31"/>
  <c r="C112" i="31"/>
  <c r="C604" i="31"/>
  <c r="C588" i="31"/>
  <c r="C572" i="31"/>
  <c r="C556" i="31"/>
  <c r="C540" i="31"/>
  <c r="C524" i="31"/>
  <c r="C508" i="31"/>
  <c r="C492" i="31"/>
  <c r="C476" i="31"/>
  <c r="C460" i="31"/>
  <c r="C444" i="31"/>
  <c r="C428" i="31"/>
  <c r="C412" i="31"/>
  <c r="C396" i="31"/>
  <c r="C380" i="31"/>
  <c r="C364" i="31"/>
  <c r="C348" i="31"/>
  <c r="C332" i="31"/>
  <c r="C316" i="31"/>
  <c r="C300" i="31"/>
  <c r="C284" i="31"/>
  <c r="C268" i="31"/>
  <c r="C252" i="31"/>
  <c r="C236" i="31"/>
  <c r="C220" i="31"/>
  <c r="C204" i="31"/>
  <c r="C188" i="31"/>
  <c r="C172" i="31"/>
  <c r="C148" i="31"/>
  <c r="C116" i="31"/>
  <c r="C72" i="31"/>
  <c r="C58" i="31"/>
  <c r="C52" i="31"/>
  <c r="C45" i="31"/>
  <c r="C39" i="31"/>
  <c r="C26" i="31"/>
  <c r="C20" i="31"/>
  <c r="C14" i="31"/>
  <c r="C64" i="31"/>
  <c r="C38" i="31"/>
  <c r="C19" i="31"/>
  <c r="C43" i="31"/>
  <c r="C600" i="31"/>
  <c r="C584" i="31"/>
  <c r="C568" i="31"/>
  <c r="C552" i="31"/>
  <c r="C536" i="31"/>
  <c r="C520" i="31"/>
  <c r="C504" i="31"/>
  <c r="C488" i="31"/>
  <c r="C472" i="31"/>
  <c r="C456" i="31"/>
  <c r="C440" i="31"/>
  <c r="C424" i="31"/>
  <c r="C408" i="31"/>
  <c r="C392" i="31"/>
  <c r="C376" i="31"/>
  <c r="C360" i="31"/>
  <c r="C344" i="31"/>
  <c r="C328" i="31"/>
  <c r="C312" i="31"/>
  <c r="C296" i="31"/>
  <c r="C280" i="31"/>
  <c r="C264" i="31"/>
  <c r="C248" i="31"/>
  <c r="C232" i="31"/>
  <c r="C216" i="31"/>
  <c r="C200" i="31"/>
  <c r="C184" i="31"/>
  <c r="C168" i="31"/>
  <c r="C156" i="31"/>
  <c r="C124" i="31"/>
  <c r="C69" i="31"/>
  <c r="C63" i="31"/>
  <c r="C50" i="31"/>
  <c r="C44" i="31"/>
  <c r="C37" i="31"/>
  <c r="C31" i="31"/>
  <c r="C13" i="31"/>
  <c r="R3" i="31"/>
  <c r="R7" i="31" s="1"/>
  <c r="C144" i="31"/>
  <c r="C76" i="31"/>
  <c r="C24" i="31"/>
  <c r="E628" i="31"/>
  <c r="F628" i="31"/>
  <c r="H5" i="32"/>
  <c r="M613" i="31"/>
  <c r="M73" i="31"/>
  <c r="F5" i="31"/>
  <c r="M41" i="31"/>
  <c r="M17" i="31"/>
  <c r="M605" i="31"/>
  <c r="M601" i="31"/>
  <c r="M594" i="31"/>
  <c r="M574" i="31"/>
  <c r="M572" i="31"/>
  <c r="M609" i="31"/>
  <c r="M611" i="31"/>
  <c r="M591" i="31"/>
  <c r="M582" i="31"/>
  <c r="M571" i="31"/>
  <c r="M564" i="31"/>
  <c r="M551" i="31"/>
  <c r="M553" i="31"/>
  <c r="M558" i="31"/>
  <c r="M532" i="31"/>
  <c r="M520" i="31"/>
  <c r="M527" i="31"/>
  <c r="M509" i="31"/>
  <c r="M495" i="31"/>
  <c r="M493" i="31"/>
  <c r="M491" i="31"/>
  <c r="M477" i="31"/>
  <c r="M462" i="31"/>
  <c r="M490" i="31"/>
  <c r="M437" i="31"/>
  <c r="M442" i="31"/>
  <c r="M465" i="31"/>
  <c r="M415" i="31"/>
  <c r="M405" i="31"/>
  <c r="M419" i="31"/>
  <c r="M401" i="31"/>
  <c r="M387" i="31"/>
  <c r="M385" i="31"/>
  <c r="M424" i="31"/>
  <c r="M356" i="31"/>
  <c r="M370" i="31"/>
  <c r="M368" i="31"/>
  <c r="M334" i="31"/>
  <c r="M333" i="31"/>
  <c r="M324" i="31"/>
  <c r="M339" i="31"/>
  <c r="M346" i="31"/>
  <c r="M345" i="31"/>
  <c r="M295" i="31"/>
  <c r="M262" i="31"/>
  <c r="M245" i="31"/>
  <c r="M343" i="31"/>
  <c r="M336" i="31"/>
  <c r="M319" i="31"/>
  <c r="M281" i="31"/>
  <c r="M249" i="31"/>
  <c r="M212" i="31"/>
  <c r="M218" i="31"/>
  <c r="M239" i="31"/>
  <c r="M208" i="31"/>
  <c r="M148" i="31"/>
  <c r="M147" i="31"/>
  <c r="M154" i="31"/>
  <c r="M169" i="31"/>
  <c r="M160" i="31"/>
  <c r="M159" i="31"/>
  <c r="M166" i="31"/>
  <c r="M173" i="31"/>
  <c r="M104" i="31"/>
  <c r="M103" i="31"/>
  <c r="M102" i="31"/>
  <c r="M109" i="31"/>
  <c r="M108" i="31"/>
  <c r="M115" i="31"/>
  <c r="M122" i="31"/>
  <c r="M121" i="31"/>
  <c r="M48" i="31"/>
  <c r="M49" i="31"/>
  <c r="M610" i="31"/>
  <c r="M602" i="31"/>
  <c r="M589" i="31"/>
  <c r="M593" i="31"/>
  <c r="M559" i="31"/>
  <c r="M569" i="31"/>
  <c r="M554" i="31"/>
  <c r="M535" i="31"/>
  <c r="M522" i="31"/>
  <c r="M504" i="31"/>
  <c r="M510" i="31"/>
  <c r="M507" i="31"/>
  <c r="M478" i="31"/>
  <c r="M523" i="31"/>
  <c r="M456" i="31"/>
  <c r="M454" i="31"/>
  <c r="M459" i="31"/>
  <c r="M436" i="31"/>
  <c r="M441" i="31"/>
  <c r="M426" i="31"/>
  <c r="M421" i="31"/>
  <c r="M438" i="31"/>
  <c r="M396" i="31"/>
  <c r="M394" i="31"/>
  <c r="M384" i="31"/>
  <c r="M365" i="31"/>
  <c r="M363" i="31"/>
  <c r="M353" i="31"/>
  <c r="M342" i="31"/>
  <c r="M325" i="31"/>
  <c r="M308" i="31"/>
  <c r="M315" i="31"/>
  <c r="M314" i="31"/>
  <c r="M305" i="31"/>
  <c r="M278" i="31"/>
  <c r="M253" i="31"/>
  <c r="M311" i="31"/>
  <c r="M282" i="31"/>
  <c r="M312" i="31"/>
  <c r="M255" i="31"/>
  <c r="M236" i="31"/>
  <c r="M234" i="31"/>
  <c r="M240" i="31"/>
  <c r="M204" i="31"/>
  <c r="M195" i="31"/>
  <c r="M194" i="31"/>
  <c r="M201" i="31"/>
  <c r="M184" i="31"/>
  <c r="M175" i="31"/>
  <c r="M174" i="31"/>
  <c r="M165" i="31"/>
  <c r="M88" i="31"/>
  <c r="M142" i="31"/>
  <c r="M141" i="31"/>
  <c r="M132" i="31"/>
  <c r="M131" i="31"/>
  <c r="M130" i="31"/>
  <c r="M113" i="31"/>
  <c r="M32" i="31"/>
  <c r="M39" i="31"/>
  <c r="M62" i="31"/>
  <c r="M21" i="31"/>
  <c r="M20" i="31"/>
  <c r="M27" i="31"/>
  <c r="M26" i="31"/>
  <c r="M25" i="31"/>
  <c r="M607" i="31"/>
  <c r="M608" i="31"/>
  <c r="M588" i="31"/>
  <c r="M585" i="31"/>
  <c r="M566" i="31"/>
  <c r="M561" i="31"/>
  <c r="M546" i="31"/>
  <c r="M542" i="31"/>
  <c r="M514" i="31"/>
  <c r="M529" i="31"/>
  <c r="M502" i="31"/>
  <c r="M496" i="31"/>
  <c r="M508" i="31"/>
  <c r="M499" i="31"/>
  <c r="M475" i="31"/>
  <c r="M482" i="31"/>
  <c r="M451" i="31"/>
  <c r="M453" i="31"/>
  <c r="M433" i="31"/>
  <c r="M425" i="31"/>
  <c r="M413" i="31"/>
  <c r="M411" i="31"/>
  <c r="M388" i="31"/>
  <c r="M386" i="31"/>
  <c r="M408" i="31"/>
  <c r="M357" i="31"/>
  <c r="M355" i="31"/>
  <c r="M390" i="31"/>
  <c r="M326" i="31"/>
  <c r="M317" i="31"/>
  <c r="M300" i="31"/>
  <c r="M307" i="31"/>
  <c r="M306" i="31"/>
  <c r="M297" i="31"/>
  <c r="M270" i="31"/>
  <c r="M328" i="31"/>
  <c r="M283" i="31"/>
  <c r="M274" i="31"/>
  <c r="M287" i="31"/>
  <c r="M247" i="31"/>
  <c r="M228" i="31"/>
  <c r="R4" i="32"/>
  <c r="M65" i="31"/>
  <c r="M57" i="31"/>
  <c r="M604" i="31"/>
  <c r="M597" i="31"/>
  <c r="M575" i="31"/>
  <c r="M579" i="31"/>
  <c r="M556" i="31"/>
  <c r="M549" i="31"/>
  <c r="M528" i="31"/>
  <c r="M541" i="31"/>
  <c r="M521" i="31"/>
  <c r="M503" i="31"/>
  <c r="M517" i="31"/>
  <c r="M487" i="31"/>
  <c r="M515" i="31"/>
  <c r="M479" i="31"/>
  <c r="M455" i="31"/>
  <c r="M497" i="31"/>
  <c r="M452" i="31"/>
  <c r="M427" i="31"/>
  <c r="M450" i="31"/>
  <c r="M430" i="31"/>
  <c r="M428" i="31"/>
  <c r="M418" i="31"/>
  <c r="M400" i="31"/>
  <c r="M402" i="31"/>
  <c r="M375" i="31"/>
  <c r="M416" i="31"/>
  <c r="M354" i="31"/>
  <c r="M359" i="31"/>
  <c r="M302" i="31"/>
  <c r="M293" i="31"/>
  <c r="M358" i="31"/>
  <c r="M366" i="31"/>
  <c r="M337" i="31"/>
  <c r="M279" i="31"/>
  <c r="M285" i="31"/>
  <c r="M276" i="31"/>
  <c r="M259" i="31"/>
  <c r="M250" i="31"/>
  <c r="M344" i="31"/>
  <c r="M237" i="31"/>
  <c r="M227" i="31"/>
  <c r="M225" i="31"/>
  <c r="M244" i="31"/>
  <c r="M172" i="31"/>
  <c r="M163" i="31"/>
  <c r="M162" i="31"/>
  <c r="M161" i="31"/>
  <c r="M232" i="31"/>
  <c r="M206" i="31"/>
  <c r="M205" i="31"/>
  <c r="M128" i="31"/>
  <c r="M119" i="31"/>
  <c r="M110" i="31"/>
  <c r="M101" i="31"/>
  <c r="M92" i="31"/>
  <c r="M91" i="31"/>
  <c r="M90" i="31"/>
  <c r="M72" i="31"/>
  <c r="M71" i="31"/>
  <c r="O4" i="31"/>
  <c r="M30" i="31"/>
  <c r="M53" i="31"/>
  <c r="M52" i="31"/>
  <c r="M59" i="31"/>
  <c r="M58" i="31"/>
  <c r="M33" i="31"/>
  <c r="M603" i="31"/>
  <c r="M586" i="31"/>
  <c r="M567" i="31"/>
  <c r="M548" i="31"/>
  <c r="M534" i="31"/>
  <c r="M505" i="31"/>
  <c r="M525" i="31"/>
  <c r="M486" i="31"/>
  <c r="M474" i="31"/>
  <c r="M469" i="31"/>
  <c r="M466" i="31"/>
  <c r="M440" i="31"/>
  <c r="M406" i="31"/>
  <c r="M410" i="31"/>
  <c r="M378" i="31"/>
  <c r="M376" i="31"/>
  <c r="M362" i="31"/>
  <c r="M350" i="31"/>
  <c r="M340" i="31"/>
  <c r="M299" i="31"/>
  <c r="M321" i="31"/>
  <c r="M303" i="31"/>
  <c r="M252" i="31"/>
  <c r="M242" i="31"/>
  <c r="M289" i="31"/>
  <c r="M257" i="31"/>
  <c r="M231" i="31"/>
  <c r="M180" i="31"/>
  <c r="M248" i="31"/>
  <c r="M193" i="31"/>
  <c r="M152" i="31"/>
  <c r="M190" i="31"/>
  <c r="M157" i="31"/>
  <c r="M127" i="31"/>
  <c r="M86" i="31"/>
  <c r="M124" i="31"/>
  <c r="M99" i="31"/>
  <c r="M137" i="31"/>
  <c r="M24" i="31"/>
  <c r="M15" i="31"/>
  <c r="M14" i="31"/>
  <c r="M29" i="31"/>
  <c r="M75" i="31"/>
  <c r="M50" i="31"/>
  <c r="M595" i="31"/>
  <c r="M587" i="31"/>
  <c r="M565" i="31"/>
  <c r="M555" i="31"/>
  <c r="M545" i="31"/>
  <c r="M512" i="31"/>
  <c r="M538" i="31"/>
  <c r="M501" i="31"/>
  <c r="M472" i="31"/>
  <c r="M461" i="31"/>
  <c r="M444" i="31"/>
  <c r="M447" i="31"/>
  <c r="M432" i="31"/>
  <c r="M417" i="31"/>
  <c r="M403" i="31"/>
  <c r="M374" i="31"/>
  <c r="M397" i="31"/>
  <c r="M318" i="31"/>
  <c r="M332" i="31"/>
  <c r="M291" i="31"/>
  <c r="M313" i="31"/>
  <c r="M277" i="31"/>
  <c r="M275" i="31"/>
  <c r="M288" i="31"/>
  <c r="M265" i="31"/>
  <c r="M241" i="31"/>
  <c r="M223" i="31"/>
  <c r="M164" i="31"/>
  <c r="M202" i="31"/>
  <c r="M185" i="31"/>
  <c r="M199" i="31"/>
  <c r="M182" i="31"/>
  <c r="M144" i="31"/>
  <c r="M111" i="31"/>
  <c r="M145" i="31"/>
  <c r="M116" i="31"/>
  <c r="M83" i="31"/>
  <c r="M129" i="31"/>
  <c r="M16" i="31"/>
  <c r="M80" i="31"/>
  <c r="M13" i="31"/>
  <c r="M76" i="31"/>
  <c r="M67" i="31"/>
  <c r="M42" i="31"/>
  <c r="M600" i="31"/>
  <c r="M581" i="31"/>
  <c r="M570" i="31"/>
  <c r="M547" i="31"/>
  <c r="M533" i="31"/>
  <c r="M519" i="31"/>
  <c r="M524" i="31"/>
  <c r="M485" i="31"/>
  <c r="M464" i="31"/>
  <c r="M468" i="31"/>
  <c r="M443" i="31"/>
  <c r="M439" i="31"/>
  <c r="M429" i="31"/>
  <c r="M409" i="31"/>
  <c r="M393" i="31"/>
  <c r="M349" i="31"/>
  <c r="M369" i="31"/>
  <c r="M310" i="31"/>
  <c r="M316" i="31"/>
  <c r="M338" i="31"/>
  <c r="M327" i="31"/>
  <c r="M269" i="31"/>
  <c r="M267" i="31"/>
  <c r="M280" i="31"/>
  <c r="M229" i="31"/>
  <c r="M226" i="31"/>
  <c r="M215" i="31"/>
  <c r="M156" i="31"/>
  <c r="M186" i="31"/>
  <c r="M177" i="31"/>
  <c r="M191" i="31"/>
  <c r="M158" i="31"/>
  <c r="M136" i="31"/>
  <c r="M95" i="31"/>
  <c r="M133" i="31"/>
  <c r="M100" i="31"/>
  <c r="M153" i="31"/>
  <c r="M105" i="31"/>
  <c r="M79" i="31"/>
  <c r="M78" i="31"/>
  <c r="M68" i="31"/>
  <c r="M51" i="31"/>
  <c r="M34" i="31"/>
  <c r="M599" i="31"/>
  <c r="M573" i="31"/>
  <c r="M576" i="31"/>
  <c r="M537" i="31"/>
  <c r="M552" i="31"/>
  <c r="M511" i="31"/>
  <c r="M516" i="31"/>
  <c r="M492" i="31"/>
  <c r="M471" i="31"/>
  <c r="M460" i="31"/>
  <c r="M435" i="31"/>
  <c r="M431" i="31"/>
  <c r="M420" i="31"/>
  <c r="M380" i="31"/>
  <c r="M377" i="31"/>
  <c r="M364" i="31"/>
  <c r="M361" i="31"/>
  <c r="M294" i="31"/>
  <c r="M292" i="31"/>
  <c r="M330" i="31"/>
  <c r="M290" i="31"/>
  <c r="M261" i="31"/>
  <c r="M251" i="31"/>
  <c r="M273" i="31"/>
  <c r="M221" i="31"/>
  <c r="M238" i="31"/>
  <c r="M230" i="31"/>
  <c r="M203" i="31"/>
  <c r="M178" i="31"/>
  <c r="M224" i="31"/>
  <c r="M183" i="31"/>
  <c r="M150" i="31"/>
  <c r="M120" i="31"/>
  <c r="M87" i="31"/>
  <c r="M125" i="31"/>
  <c r="M84" i="31"/>
  <c r="M138" i="31"/>
  <c r="M97" i="31"/>
  <c r="M63" i="31"/>
  <c r="M70" i="31"/>
  <c r="M77" i="31"/>
  <c r="M60" i="31"/>
  <c r="M43" i="31"/>
  <c r="M18" i="31"/>
  <c r="M592" i="31"/>
  <c r="M583" i="31"/>
  <c r="M563" i="31"/>
  <c r="M536" i="31"/>
  <c r="M540" i="31"/>
  <c r="M560" i="31"/>
  <c r="M488" i="31"/>
  <c r="M484" i="31"/>
  <c r="M463" i="31"/>
  <c r="M467" i="31"/>
  <c r="M434" i="31"/>
  <c r="M423" i="31"/>
  <c r="M412" i="31"/>
  <c r="M372" i="31"/>
  <c r="M392" i="31"/>
  <c r="M389" i="31"/>
  <c r="M360" i="31"/>
  <c r="M286" i="31"/>
  <c r="M398" i="31"/>
  <c r="M322" i="31"/>
  <c r="M271" i="31"/>
  <c r="M296" i="31"/>
  <c r="M243" i="31"/>
  <c r="M256" i="31"/>
  <c r="M213" i="31"/>
  <c r="M233" i="31"/>
  <c r="M222" i="31"/>
  <c r="M187" i="31"/>
  <c r="M170" i="31"/>
  <c r="M200" i="31"/>
  <c r="M167" i="31"/>
  <c r="M207" i="31"/>
  <c r="M112" i="31"/>
  <c r="M134" i="31"/>
  <c r="M117" i="31"/>
  <c r="M149" i="31"/>
  <c r="M114" i="31"/>
  <c r="M89" i="31"/>
  <c r="M55" i="31"/>
  <c r="M54" i="31"/>
  <c r="M69" i="31"/>
  <c r="M44" i="31"/>
  <c r="M35" i="31"/>
  <c r="M612" i="31"/>
  <c r="M562" i="31"/>
  <c r="M513" i="31"/>
  <c r="M483" i="31"/>
  <c r="M457" i="31"/>
  <c r="M446" i="31"/>
  <c r="M371" i="31"/>
  <c r="M347" i="31"/>
  <c r="M335" i="31"/>
  <c r="M254" i="31"/>
  <c r="M214" i="31"/>
  <c r="M210" i="31"/>
  <c r="M189" i="31"/>
  <c r="M93" i="31"/>
  <c r="M82" i="31"/>
  <c r="M38" i="31"/>
  <c r="M81" i="31"/>
  <c r="M584" i="31"/>
  <c r="M550" i="31"/>
  <c r="M518" i="31"/>
  <c r="M500" i="31"/>
  <c r="M448" i="31"/>
  <c r="M395" i="31"/>
  <c r="M367" i="31"/>
  <c r="M323" i="31"/>
  <c r="M268" i="31"/>
  <c r="M220" i="31"/>
  <c r="M188" i="31"/>
  <c r="M176" i="31"/>
  <c r="M96" i="31"/>
  <c r="M140" i="31"/>
  <c r="M56" i="31"/>
  <c r="M74" i="31"/>
  <c r="M590" i="31"/>
  <c r="M557" i="31"/>
  <c r="M530" i="31"/>
  <c r="M489" i="31"/>
  <c r="M407" i="31"/>
  <c r="M379" i="31"/>
  <c r="M351" i="31"/>
  <c r="M298" i="31"/>
  <c r="M260" i="31"/>
  <c r="M235" i="31"/>
  <c r="M179" i="31"/>
  <c r="M168" i="31"/>
  <c r="M143" i="31"/>
  <c r="M139" i="31"/>
  <c r="M40" i="31"/>
  <c r="M61" i="31"/>
  <c r="M66" i="31"/>
  <c r="M598" i="31"/>
  <c r="M544" i="31"/>
  <c r="M480" i="31"/>
  <c r="M470" i="31"/>
  <c r="M422" i="31"/>
  <c r="M391" i="31"/>
  <c r="M352" i="31"/>
  <c r="M348" i="31"/>
  <c r="M304" i="31"/>
  <c r="M219" i="31"/>
  <c r="M171" i="31"/>
  <c r="M151" i="31"/>
  <c r="M135" i="31"/>
  <c r="M123" i="31"/>
  <c r="M47" i="31"/>
  <c r="M45" i="31"/>
  <c r="M580" i="31"/>
  <c r="M543" i="31"/>
  <c r="M531" i="31"/>
  <c r="M498" i="31"/>
  <c r="M414" i="31"/>
  <c r="M383" i="31"/>
  <c r="M341" i="31"/>
  <c r="M329" i="31"/>
  <c r="M266" i="31"/>
  <c r="M217" i="31"/>
  <c r="M155" i="31"/>
  <c r="M211" i="31"/>
  <c r="M126" i="31"/>
  <c r="M107" i="31"/>
  <c r="M31" i="31"/>
  <c r="M37" i="31"/>
  <c r="M506" i="31"/>
  <c r="M449" i="31"/>
  <c r="M301" i="31"/>
  <c r="M209" i="31"/>
  <c r="M181" i="31"/>
  <c r="M46" i="31"/>
  <c r="M568" i="31"/>
  <c r="M272" i="31"/>
  <c r="M539" i="31"/>
  <c r="M404" i="31"/>
  <c r="M331" i="31"/>
  <c r="M246" i="31"/>
  <c r="M118" i="31"/>
  <c r="M22" i="31"/>
  <c r="M309" i="31"/>
  <c r="M23" i="31"/>
  <c r="M526" i="31"/>
  <c r="M458" i="31"/>
  <c r="M263" i="31"/>
  <c r="M196" i="31"/>
  <c r="M94" i="31"/>
  <c r="M606" i="31"/>
  <c r="M494" i="31"/>
  <c r="M399" i="31"/>
  <c r="M320" i="31"/>
  <c r="M146" i="31"/>
  <c r="M85" i="31"/>
  <c r="M36" i="31"/>
  <c r="M596" i="31"/>
  <c r="M476" i="31"/>
  <c r="M381" i="31"/>
  <c r="M284" i="31"/>
  <c r="M216" i="31"/>
  <c r="M106" i="31"/>
  <c r="M28" i="31"/>
  <c r="M473" i="31"/>
  <c r="M382" i="31"/>
  <c r="M198" i="31"/>
  <c r="M64" i="31"/>
  <c r="M197" i="31"/>
  <c r="M578" i="31"/>
  <c r="M481" i="31"/>
  <c r="M373" i="31"/>
  <c r="M258" i="31"/>
  <c r="M192" i="31"/>
  <c r="M98" i="31"/>
  <c r="M19" i="31"/>
  <c r="M577" i="31"/>
  <c r="M264" i="31"/>
  <c r="M445" i="31"/>
  <c r="M626" i="31"/>
  <c r="M623" i="31"/>
  <c r="M622" i="31"/>
  <c r="I628" i="31"/>
  <c r="H628" i="31"/>
  <c r="K628" i="31"/>
  <c r="L628" i="31"/>
  <c r="M628" i="31"/>
  <c r="R13" i="8"/>
  <c r="B513" i="2" s="1"/>
  <c r="N258" i="31" l="1"/>
  <c r="O258" i="31"/>
  <c r="N473" i="31"/>
  <c r="O473" i="31"/>
  <c r="O445" i="31"/>
  <c r="N445" i="31"/>
  <c r="N622" i="31"/>
  <c r="O622" i="31"/>
  <c r="N578" i="31"/>
  <c r="O578" i="31"/>
  <c r="N264" i="31"/>
  <c r="O264" i="31"/>
  <c r="N216" i="31"/>
  <c r="O216" i="31"/>
  <c r="N506" i="31"/>
  <c r="O506" i="31"/>
  <c r="O197" i="31"/>
  <c r="N197" i="31"/>
  <c r="P272" i="31"/>
  <c r="O272" i="31"/>
  <c r="N272" i="31"/>
  <c r="O98" i="31"/>
  <c r="N98" i="31"/>
  <c r="N198" i="31"/>
  <c r="O198" i="31"/>
  <c r="N476" i="31"/>
  <c r="O476" i="31"/>
  <c r="O606" i="31"/>
  <c r="N606" i="31"/>
  <c r="O22" i="31"/>
  <c r="N22" i="31"/>
  <c r="N46" i="31"/>
  <c r="O46" i="31"/>
  <c r="O107" i="31"/>
  <c r="N107" i="31"/>
  <c r="O383" i="31"/>
  <c r="N383" i="31"/>
  <c r="O123" i="31"/>
  <c r="N123" i="31"/>
  <c r="O391" i="31"/>
  <c r="N391" i="31"/>
  <c r="N40" i="31"/>
  <c r="O40" i="31"/>
  <c r="N351" i="31"/>
  <c r="O351" i="31"/>
  <c r="O56" i="31"/>
  <c r="N56" i="31"/>
  <c r="N367" i="31"/>
  <c r="O367" i="31"/>
  <c r="O38" i="31"/>
  <c r="N38" i="31"/>
  <c r="O347" i="31"/>
  <c r="N347" i="31"/>
  <c r="N35" i="31"/>
  <c r="O35" i="31"/>
  <c r="O117" i="31"/>
  <c r="N117" i="31"/>
  <c r="N222" i="31"/>
  <c r="O222" i="31"/>
  <c r="N398" i="31"/>
  <c r="O398" i="31"/>
  <c r="N434" i="31"/>
  <c r="O434" i="31"/>
  <c r="O563" i="31"/>
  <c r="N563" i="31"/>
  <c r="N63" i="31"/>
  <c r="O63" i="31"/>
  <c r="N183" i="31"/>
  <c r="O183" i="31"/>
  <c r="N251" i="31"/>
  <c r="O251" i="31"/>
  <c r="O377" i="31"/>
  <c r="N377" i="31"/>
  <c r="O516" i="31"/>
  <c r="N516" i="31"/>
  <c r="O51" i="31"/>
  <c r="N51" i="31"/>
  <c r="N95" i="31"/>
  <c r="O95" i="31"/>
  <c r="O226" i="31"/>
  <c r="N226" i="31"/>
  <c r="N310" i="31"/>
  <c r="O310" i="31"/>
  <c r="N468" i="31"/>
  <c r="O468" i="31"/>
  <c r="O581" i="31"/>
  <c r="N581" i="31"/>
  <c r="O129" i="31"/>
  <c r="N129" i="31"/>
  <c r="O185" i="31"/>
  <c r="N185" i="31"/>
  <c r="N277" i="31"/>
  <c r="O277" i="31"/>
  <c r="O417" i="31"/>
  <c r="N417" i="31"/>
  <c r="N512" i="31"/>
  <c r="O512" i="31"/>
  <c r="N29" i="31"/>
  <c r="O29" i="31"/>
  <c r="O127" i="31"/>
  <c r="N127" i="31"/>
  <c r="O257" i="31"/>
  <c r="N257" i="31"/>
  <c r="O350" i="31"/>
  <c r="N350" i="31"/>
  <c r="N469" i="31"/>
  <c r="O469" i="31"/>
  <c r="N586" i="31"/>
  <c r="O586" i="31"/>
  <c r="N119" i="31"/>
  <c r="O119" i="31"/>
  <c r="O172" i="31"/>
  <c r="N172" i="31"/>
  <c r="N276" i="31"/>
  <c r="O276" i="31"/>
  <c r="O359" i="31"/>
  <c r="N359" i="31"/>
  <c r="N430" i="31"/>
  <c r="O430" i="31"/>
  <c r="O487" i="31"/>
  <c r="N487" i="31"/>
  <c r="N579" i="31"/>
  <c r="O579" i="31"/>
  <c r="N247" i="31"/>
  <c r="O247" i="31"/>
  <c r="N307" i="31"/>
  <c r="O307" i="31"/>
  <c r="N386" i="31"/>
  <c r="O386" i="31"/>
  <c r="O482" i="31"/>
  <c r="N482" i="31"/>
  <c r="N542" i="31"/>
  <c r="O542" i="31"/>
  <c r="O25" i="31"/>
  <c r="N25" i="31"/>
  <c r="N113" i="31"/>
  <c r="O113" i="31"/>
  <c r="O174" i="31"/>
  <c r="N174" i="31"/>
  <c r="O234" i="31"/>
  <c r="N234" i="31"/>
  <c r="O305" i="31"/>
  <c r="N305" i="31"/>
  <c r="N365" i="31"/>
  <c r="O365" i="31"/>
  <c r="P436" i="31"/>
  <c r="N436" i="31"/>
  <c r="O436" i="31"/>
  <c r="N504" i="31"/>
  <c r="O504" i="31"/>
  <c r="O602" i="31"/>
  <c r="N602" i="31"/>
  <c r="O109" i="31"/>
  <c r="N109" i="31"/>
  <c r="O169" i="31"/>
  <c r="N169" i="31"/>
  <c r="O249" i="31"/>
  <c r="N249" i="31"/>
  <c r="O345" i="31"/>
  <c r="N345" i="31"/>
  <c r="N356" i="31"/>
  <c r="O356" i="31"/>
  <c r="O465" i="31"/>
  <c r="N465" i="31"/>
  <c r="N495" i="31"/>
  <c r="O495" i="31"/>
  <c r="N564" i="31"/>
  <c r="O564" i="31"/>
  <c r="O594" i="31"/>
  <c r="N594" i="31"/>
  <c r="O266" i="31"/>
  <c r="N266" i="31"/>
  <c r="N577" i="31"/>
  <c r="O577" i="31"/>
  <c r="O23" i="31"/>
  <c r="N23" i="31"/>
  <c r="O192" i="31"/>
  <c r="N192" i="31"/>
  <c r="O382" i="31"/>
  <c r="N382" i="31"/>
  <c r="O596" i="31"/>
  <c r="N596" i="31"/>
  <c r="N94" i="31"/>
  <c r="O94" i="31"/>
  <c r="O118" i="31"/>
  <c r="N118" i="31"/>
  <c r="O181" i="31"/>
  <c r="N181" i="31"/>
  <c r="O126" i="31"/>
  <c r="N126" i="31"/>
  <c r="N414" i="31"/>
  <c r="O414" i="31"/>
  <c r="N135" i="31"/>
  <c r="O135" i="31"/>
  <c r="P422" i="31"/>
  <c r="O422" i="31"/>
  <c r="N422" i="31"/>
  <c r="N139" i="31"/>
  <c r="O139" i="31"/>
  <c r="O379" i="31"/>
  <c r="N379" i="31"/>
  <c r="O140" i="31"/>
  <c r="N140" i="31"/>
  <c r="N395" i="31"/>
  <c r="O395" i="31"/>
  <c r="O82" i="31"/>
  <c r="N82" i="31"/>
  <c r="O371" i="31"/>
  <c r="N371" i="31"/>
  <c r="O44" i="31"/>
  <c r="N44" i="31"/>
  <c r="N134" i="31"/>
  <c r="O134" i="31"/>
  <c r="N233" i="31"/>
  <c r="O233" i="31"/>
  <c r="O286" i="31"/>
  <c r="N286" i="31"/>
  <c r="N467" i="31"/>
  <c r="O467" i="31"/>
  <c r="N583" i="31"/>
  <c r="O583" i="31"/>
  <c r="N97" i="31"/>
  <c r="O97" i="31"/>
  <c r="O224" i="31"/>
  <c r="N224" i="31"/>
  <c r="O261" i="31"/>
  <c r="N261" i="31"/>
  <c r="P380" i="31"/>
  <c r="N380" i="31"/>
  <c r="O380" i="31"/>
  <c r="N511" i="31"/>
  <c r="O511" i="31"/>
  <c r="O68" i="31"/>
  <c r="N68" i="31"/>
  <c r="O136" i="31"/>
  <c r="N136" i="31"/>
  <c r="O229" i="31"/>
  <c r="N229" i="31"/>
  <c r="O369" i="31"/>
  <c r="N369" i="31"/>
  <c r="O464" i="31"/>
  <c r="N464" i="31"/>
  <c r="N600" i="31"/>
  <c r="O600" i="31"/>
  <c r="N83" i="31"/>
  <c r="O83" i="31"/>
  <c r="N202" i="31"/>
  <c r="O202" i="31"/>
  <c r="O313" i="31"/>
  <c r="N313" i="31"/>
  <c r="N432" i="31"/>
  <c r="O432" i="31"/>
  <c r="O545" i="31"/>
  <c r="N545" i="31"/>
  <c r="O14" i="31"/>
  <c r="N14" i="31"/>
  <c r="O157" i="31"/>
  <c r="N157" i="31"/>
  <c r="O289" i="31"/>
  <c r="N289" i="31"/>
  <c r="N362" i="31"/>
  <c r="O362" i="31"/>
  <c r="N474" i="31"/>
  <c r="O474" i="31"/>
  <c r="O603" i="31"/>
  <c r="N603" i="31"/>
  <c r="N71" i="31"/>
  <c r="O71" i="31"/>
  <c r="O128" i="31"/>
  <c r="N128" i="31"/>
  <c r="O244" i="31"/>
  <c r="N244" i="31"/>
  <c r="O285" i="31"/>
  <c r="N285" i="31"/>
  <c r="N354" i="31"/>
  <c r="O354" i="31"/>
  <c r="N450" i="31"/>
  <c r="O450" i="31"/>
  <c r="O517" i="31"/>
  <c r="N517" i="31"/>
  <c r="O575" i="31"/>
  <c r="N575" i="31"/>
  <c r="N287" i="31"/>
  <c r="O287" i="31"/>
  <c r="N300" i="31"/>
  <c r="O300" i="31"/>
  <c r="O388" i="31"/>
  <c r="N388" i="31"/>
  <c r="O475" i="31"/>
  <c r="N475" i="31"/>
  <c r="O546" i="31"/>
  <c r="N546" i="31"/>
  <c r="N26" i="31"/>
  <c r="O26" i="31"/>
  <c r="O130" i="31"/>
  <c r="N130" i="31"/>
  <c r="O175" i="31"/>
  <c r="N175" i="31"/>
  <c r="N236" i="31"/>
  <c r="O236" i="31"/>
  <c r="N314" i="31"/>
  <c r="O314" i="31"/>
  <c r="O384" i="31"/>
  <c r="N384" i="31"/>
  <c r="O459" i="31"/>
  <c r="N459" i="31"/>
  <c r="N522" i="31"/>
  <c r="O522" i="31"/>
  <c r="O610" i="31"/>
  <c r="N610" i="31"/>
  <c r="O102" i="31"/>
  <c r="N102" i="31"/>
  <c r="O154" i="31"/>
  <c r="N154" i="31"/>
  <c r="O281" i="31"/>
  <c r="N281" i="31"/>
  <c r="O346" i="31"/>
  <c r="N346" i="31"/>
  <c r="O424" i="31"/>
  <c r="N424" i="31"/>
  <c r="O442" i="31"/>
  <c r="N442" i="31"/>
  <c r="O509" i="31"/>
  <c r="N509" i="31"/>
  <c r="O571" i="31"/>
  <c r="N571" i="31"/>
  <c r="O601" i="31"/>
  <c r="N601" i="31"/>
  <c r="O196" i="31"/>
  <c r="N196" i="31"/>
  <c r="O209" i="31"/>
  <c r="N209" i="31"/>
  <c r="O498" i="31"/>
  <c r="N498" i="31"/>
  <c r="O470" i="31"/>
  <c r="N470" i="31"/>
  <c r="O143" i="31"/>
  <c r="N143" i="31"/>
  <c r="N407" i="31"/>
  <c r="O407" i="31"/>
  <c r="N96" i="31"/>
  <c r="O96" i="31"/>
  <c r="O448" i="31"/>
  <c r="N448" i="31"/>
  <c r="O93" i="31"/>
  <c r="N93" i="31"/>
  <c r="O446" i="31"/>
  <c r="N446" i="31"/>
  <c r="O69" i="31"/>
  <c r="N69" i="31"/>
  <c r="O112" i="31"/>
  <c r="N112" i="31"/>
  <c r="O213" i="31"/>
  <c r="N213" i="31"/>
  <c r="O360" i="31"/>
  <c r="N360" i="31"/>
  <c r="N463" i="31"/>
  <c r="O463" i="31"/>
  <c r="N592" i="31"/>
  <c r="O592" i="31"/>
  <c r="O138" i="31"/>
  <c r="N138" i="31"/>
  <c r="O178" i="31"/>
  <c r="N178" i="31"/>
  <c r="N290" i="31"/>
  <c r="O290" i="31"/>
  <c r="N420" i="31"/>
  <c r="O420" i="31"/>
  <c r="O552" i="31"/>
  <c r="N552" i="31"/>
  <c r="O78" i="31"/>
  <c r="N78" i="31"/>
  <c r="N158" i="31"/>
  <c r="O158" i="31"/>
  <c r="N280" i="31"/>
  <c r="O280" i="31"/>
  <c r="O349" i="31"/>
  <c r="N349" i="31"/>
  <c r="N485" i="31"/>
  <c r="O485" i="31"/>
  <c r="O42" i="31"/>
  <c r="N42" i="31"/>
  <c r="O116" i="31"/>
  <c r="N116" i="31"/>
  <c r="N164" i="31"/>
  <c r="O164" i="31"/>
  <c r="N291" i="31"/>
  <c r="O291" i="31"/>
  <c r="O447" i="31"/>
  <c r="N447" i="31"/>
  <c r="O555" i="31"/>
  <c r="N555" i="31"/>
  <c r="N15" i="31"/>
  <c r="O15" i="31"/>
  <c r="O190" i="31"/>
  <c r="N190" i="31"/>
  <c r="N242" i="31"/>
  <c r="O242" i="31"/>
  <c r="N376" i="31"/>
  <c r="O376" i="31"/>
  <c r="O486" i="31"/>
  <c r="N486" i="31"/>
  <c r="N33" i="31"/>
  <c r="O33" i="31"/>
  <c r="O72" i="31"/>
  <c r="N72" i="31"/>
  <c r="N205" i="31"/>
  <c r="O205" i="31"/>
  <c r="P225" i="31"/>
  <c r="O225" i="31"/>
  <c r="N225" i="31"/>
  <c r="N279" i="31"/>
  <c r="O279" i="31"/>
  <c r="N416" i="31"/>
  <c r="O416" i="31"/>
  <c r="O427" i="31"/>
  <c r="N427" i="31"/>
  <c r="N503" i="31"/>
  <c r="O503" i="31"/>
  <c r="O597" i="31"/>
  <c r="N597" i="31"/>
  <c r="N274" i="31"/>
  <c r="O274" i="31"/>
  <c r="N317" i="31"/>
  <c r="O317" i="31"/>
  <c r="N411" i="31"/>
  <c r="O411" i="31"/>
  <c r="O499" i="31"/>
  <c r="N499" i="31"/>
  <c r="N561" i="31"/>
  <c r="O561" i="31"/>
  <c r="N27" i="31"/>
  <c r="O27" i="31"/>
  <c r="O131" i="31"/>
  <c r="N131" i="31"/>
  <c r="O184" i="31"/>
  <c r="N184" i="31"/>
  <c r="N255" i="31"/>
  <c r="O255" i="31"/>
  <c r="O315" i="31"/>
  <c r="N315" i="31"/>
  <c r="O394" i="31"/>
  <c r="N394" i="31"/>
  <c r="N454" i="31"/>
  <c r="O454" i="31"/>
  <c r="O535" i="31"/>
  <c r="N535" i="31"/>
  <c r="N49" i="31"/>
  <c r="O49" i="31"/>
  <c r="N103" i="31"/>
  <c r="O103" i="31"/>
  <c r="N147" i="31"/>
  <c r="O147" i="31"/>
  <c r="O319" i="31"/>
  <c r="N319" i="31"/>
  <c r="O339" i="31"/>
  <c r="N339" i="31"/>
  <c r="O385" i="31"/>
  <c r="N385" i="31"/>
  <c r="O437" i="31"/>
  <c r="N437" i="31"/>
  <c r="O527" i="31"/>
  <c r="N527" i="31"/>
  <c r="O582" i="31"/>
  <c r="N582" i="31"/>
  <c r="O605" i="31"/>
  <c r="N605" i="31"/>
  <c r="P13" i="31"/>
  <c r="O36" i="31"/>
  <c r="N36" i="31"/>
  <c r="O246" i="31"/>
  <c r="N246" i="31"/>
  <c r="O211" i="31"/>
  <c r="N211" i="31"/>
  <c r="N151" i="31"/>
  <c r="O151" i="31"/>
  <c r="O628" i="31"/>
  <c r="N628" i="31"/>
  <c r="O626" i="31"/>
  <c r="N626" i="31"/>
  <c r="N373" i="31"/>
  <c r="O373" i="31"/>
  <c r="O28" i="31"/>
  <c r="N28" i="31"/>
  <c r="N85" i="31"/>
  <c r="O85" i="31"/>
  <c r="N263" i="31"/>
  <c r="O263" i="31"/>
  <c r="O331" i="31"/>
  <c r="N331" i="31"/>
  <c r="N301" i="31"/>
  <c r="O301" i="31"/>
  <c r="N155" i="31"/>
  <c r="O155" i="31"/>
  <c r="O531" i="31"/>
  <c r="N531" i="31"/>
  <c r="O171" i="31"/>
  <c r="N171" i="31"/>
  <c r="O480" i="31"/>
  <c r="N480" i="31"/>
  <c r="O168" i="31"/>
  <c r="N168" i="31"/>
  <c r="O489" i="31"/>
  <c r="N489" i="31"/>
  <c r="N176" i="31"/>
  <c r="O176" i="31"/>
  <c r="O500" i="31"/>
  <c r="N500" i="31"/>
  <c r="O189" i="31"/>
  <c r="N189" i="31"/>
  <c r="N457" i="31"/>
  <c r="O457" i="31"/>
  <c r="O54" i="31"/>
  <c r="N54" i="31"/>
  <c r="O207" i="31"/>
  <c r="N207" i="31"/>
  <c r="O256" i="31"/>
  <c r="N256" i="31"/>
  <c r="O389" i="31"/>
  <c r="N389" i="31"/>
  <c r="O484" i="31"/>
  <c r="N484" i="31"/>
  <c r="N18" i="31"/>
  <c r="O18" i="31"/>
  <c r="N84" i="31"/>
  <c r="O84" i="31"/>
  <c r="O203" i="31"/>
  <c r="N203" i="31"/>
  <c r="N330" i="31"/>
  <c r="O330" i="31"/>
  <c r="O431" i="31"/>
  <c r="N431" i="31"/>
  <c r="O537" i="31"/>
  <c r="N537" i="31"/>
  <c r="O79" i="31"/>
  <c r="N79" i="31"/>
  <c r="O191" i="31"/>
  <c r="N191" i="31"/>
  <c r="O267" i="31"/>
  <c r="N267" i="31"/>
  <c r="O393" i="31"/>
  <c r="N393" i="31"/>
  <c r="N524" i="31"/>
  <c r="O524" i="31"/>
  <c r="O67" i="31"/>
  <c r="N67" i="31"/>
  <c r="O145" i="31"/>
  <c r="N145" i="31"/>
  <c r="N223" i="31"/>
  <c r="O223" i="31"/>
  <c r="O332" i="31"/>
  <c r="N332" i="31"/>
  <c r="O444" i="31"/>
  <c r="N444" i="31"/>
  <c r="O565" i="31"/>
  <c r="N565" i="31"/>
  <c r="N24" i="31"/>
  <c r="O24" i="31"/>
  <c r="N152" i="31"/>
  <c r="O152" i="31"/>
  <c r="N252" i="31"/>
  <c r="O252" i="31"/>
  <c r="O378" i="31"/>
  <c r="N378" i="31"/>
  <c r="O525" i="31"/>
  <c r="N525" i="31"/>
  <c r="O58" i="31"/>
  <c r="N58" i="31"/>
  <c r="N90" i="31"/>
  <c r="O90" i="31"/>
  <c r="O206" i="31"/>
  <c r="N206" i="31"/>
  <c r="N227" i="31"/>
  <c r="O227" i="31"/>
  <c r="N337" i="31"/>
  <c r="O337" i="31"/>
  <c r="O375" i="31"/>
  <c r="N375" i="31"/>
  <c r="O452" i="31"/>
  <c r="N452" i="31"/>
  <c r="N521" i="31"/>
  <c r="O521" i="31"/>
  <c r="O604" i="31"/>
  <c r="N604" i="31"/>
  <c r="O283" i="31"/>
  <c r="N283" i="31"/>
  <c r="N326" i="31"/>
  <c r="O326" i="31"/>
  <c r="O413" i="31"/>
  <c r="N413" i="31"/>
  <c r="N508" i="31"/>
  <c r="O508" i="31"/>
  <c r="N566" i="31"/>
  <c r="O566" i="31"/>
  <c r="N20" i="31"/>
  <c r="O20" i="31"/>
  <c r="O132" i="31"/>
  <c r="N132" i="31"/>
  <c r="N201" i="31"/>
  <c r="O201" i="31"/>
  <c r="O312" i="31"/>
  <c r="N312" i="31"/>
  <c r="N308" i="31"/>
  <c r="O308" i="31"/>
  <c r="O396" i="31"/>
  <c r="N396" i="31"/>
  <c r="N456" i="31"/>
  <c r="O456" i="31"/>
  <c r="O554" i="31"/>
  <c r="N554" i="31"/>
  <c r="N48" i="31"/>
  <c r="O48" i="31"/>
  <c r="N104" i="31"/>
  <c r="O104" i="31"/>
  <c r="N148" i="31"/>
  <c r="O148" i="31"/>
  <c r="N336" i="31"/>
  <c r="O336" i="31"/>
  <c r="N324" i="31"/>
  <c r="O324" i="31"/>
  <c r="O387" i="31"/>
  <c r="N387" i="31"/>
  <c r="N490" i="31"/>
  <c r="O490" i="31"/>
  <c r="N520" i="31"/>
  <c r="O520" i="31"/>
  <c r="N591" i="31"/>
  <c r="O591" i="31"/>
  <c r="O17" i="31"/>
  <c r="N17" i="31"/>
  <c r="N481" i="31"/>
  <c r="O481" i="31"/>
  <c r="N106" i="31"/>
  <c r="O106" i="31"/>
  <c r="N146" i="31"/>
  <c r="O146" i="31"/>
  <c r="N458" i="31"/>
  <c r="O458" i="31"/>
  <c r="O404" i="31"/>
  <c r="N404" i="31"/>
  <c r="O449" i="31"/>
  <c r="N449" i="31"/>
  <c r="N217" i="31"/>
  <c r="O217" i="31"/>
  <c r="O543" i="31"/>
  <c r="N543" i="31"/>
  <c r="N219" i="31"/>
  <c r="O219" i="31"/>
  <c r="O544" i="31"/>
  <c r="N544" i="31"/>
  <c r="N179" i="31"/>
  <c r="O179" i="31"/>
  <c r="O530" i="31"/>
  <c r="N530" i="31"/>
  <c r="N188" i="31"/>
  <c r="O188" i="31"/>
  <c r="N518" i="31"/>
  <c r="O518" i="31"/>
  <c r="O210" i="31"/>
  <c r="N210" i="31"/>
  <c r="O483" i="31"/>
  <c r="N483" i="31"/>
  <c r="N55" i="31"/>
  <c r="O55" i="31"/>
  <c r="O167" i="31"/>
  <c r="N167" i="31"/>
  <c r="O243" i="31"/>
  <c r="N243" i="31"/>
  <c r="N392" i="31"/>
  <c r="O392" i="31"/>
  <c r="O488" i="31"/>
  <c r="N488" i="31"/>
  <c r="O43" i="31"/>
  <c r="N43" i="31"/>
  <c r="O125" i="31"/>
  <c r="N125" i="31"/>
  <c r="N230" i="31"/>
  <c r="O230" i="31"/>
  <c r="O292" i="31"/>
  <c r="N292" i="31"/>
  <c r="O435" i="31"/>
  <c r="N435" i="31"/>
  <c r="O576" i="31"/>
  <c r="N576" i="31"/>
  <c r="O105" i="31"/>
  <c r="N105" i="31"/>
  <c r="O177" i="31"/>
  <c r="N177" i="31"/>
  <c r="O269" i="31"/>
  <c r="N269" i="31"/>
  <c r="O409" i="31"/>
  <c r="N409" i="31"/>
  <c r="O519" i="31"/>
  <c r="N519" i="31"/>
  <c r="N76" i="31"/>
  <c r="O76" i="31"/>
  <c r="N111" i="31"/>
  <c r="O111" i="31"/>
  <c r="N241" i="31"/>
  <c r="O241" i="31"/>
  <c r="N318" i="31"/>
  <c r="O318" i="31"/>
  <c r="O461" i="31"/>
  <c r="N461" i="31"/>
  <c r="N587" i="31"/>
  <c r="O587" i="31"/>
  <c r="O137" i="31"/>
  <c r="N137" i="31"/>
  <c r="O193" i="31"/>
  <c r="N193" i="31"/>
  <c r="N303" i="31"/>
  <c r="O303" i="31"/>
  <c r="O410" i="31"/>
  <c r="N410" i="31"/>
  <c r="N505" i="31"/>
  <c r="O505" i="31"/>
  <c r="O59" i="31"/>
  <c r="N59" i="31"/>
  <c r="O91" i="31"/>
  <c r="N91" i="31"/>
  <c r="N232" i="31"/>
  <c r="O232" i="31"/>
  <c r="N237" i="31"/>
  <c r="O237" i="31"/>
  <c r="O366" i="31"/>
  <c r="N366" i="31"/>
  <c r="O402" i="31"/>
  <c r="N402" i="31"/>
  <c r="O497" i="31"/>
  <c r="N497" i="31"/>
  <c r="N541" i="31"/>
  <c r="O541" i="31"/>
  <c r="O57" i="31"/>
  <c r="N57" i="31"/>
  <c r="N328" i="31"/>
  <c r="O328" i="31"/>
  <c r="O390" i="31"/>
  <c r="N390" i="31"/>
  <c r="N425" i="31"/>
  <c r="O425" i="31"/>
  <c r="N496" i="31"/>
  <c r="O496" i="31"/>
  <c r="N585" i="31"/>
  <c r="O585" i="31"/>
  <c r="O21" i="31"/>
  <c r="N21" i="31"/>
  <c r="N141" i="31"/>
  <c r="O141" i="31"/>
  <c r="O194" i="31"/>
  <c r="N194" i="31"/>
  <c r="N282" i="31"/>
  <c r="O282" i="31"/>
  <c r="O325" i="31"/>
  <c r="N325" i="31"/>
  <c r="O438" i="31"/>
  <c r="N438" i="31"/>
  <c r="O523" i="31"/>
  <c r="N523" i="31"/>
  <c r="O569" i="31"/>
  <c r="N569" i="31"/>
  <c r="O121" i="31"/>
  <c r="N121" i="31"/>
  <c r="O173" i="31"/>
  <c r="N173" i="31"/>
  <c r="N208" i="31"/>
  <c r="O208" i="31"/>
  <c r="O343" i="31"/>
  <c r="N343" i="31"/>
  <c r="N333" i="31"/>
  <c r="O333" i="31"/>
  <c r="O401" i="31"/>
  <c r="N401" i="31"/>
  <c r="O462" i="31"/>
  <c r="N462" i="31"/>
  <c r="O532" i="31"/>
  <c r="N532" i="31"/>
  <c r="N611" i="31"/>
  <c r="O611" i="31"/>
  <c r="O41" i="31"/>
  <c r="N41" i="31"/>
  <c r="O539" i="31"/>
  <c r="N539" i="31"/>
  <c r="N304" i="31"/>
  <c r="O304" i="31"/>
  <c r="O598" i="31"/>
  <c r="N598" i="31"/>
  <c r="N235" i="31"/>
  <c r="O235" i="31"/>
  <c r="N557" i="31"/>
  <c r="O557" i="31"/>
  <c r="N220" i="31"/>
  <c r="O220" i="31"/>
  <c r="O550" i="31"/>
  <c r="N550" i="31"/>
  <c r="N214" i="31"/>
  <c r="O214" i="31"/>
  <c r="O513" i="31"/>
  <c r="N513" i="31"/>
  <c r="O89" i="31"/>
  <c r="N89" i="31"/>
  <c r="N200" i="31"/>
  <c r="O200" i="31"/>
  <c r="N296" i="31"/>
  <c r="O296" i="31"/>
  <c r="O372" i="31"/>
  <c r="N372" i="31"/>
  <c r="O560" i="31"/>
  <c r="N560" i="31"/>
  <c r="N60" i="31"/>
  <c r="O60" i="31"/>
  <c r="O87" i="31"/>
  <c r="N87" i="31"/>
  <c r="O238" i="31"/>
  <c r="N238" i="31"/>
  <c r="O294" i="31"/>
  <c r="N294" i="31"/>
  <c r="O460" i="31"/>
  <c r="N460" i="31"/>
  <c r="O573" i="31"/>
  <c r="N573" i="31"/>
  <c r="O153" i="31"/>
  <c r="N153" i="31"/>
  <c r="N186" i="31"/>
  <c r="O186" i="31"/>
  <c r="O327" i="31"/>
  <c r="N327" i="31"/>
  <c r="N429" i="31"/>
  <c r="O429" i="31"/>
  <c r="O533" i="31"/>
  <c r="N533" i="31"/>
  <c r="N13" i="31"/>
  <c r="O13" i="31"/>
  <c r="N144" i="31"/>
  <c r="O144" i="31"/>
  <c r="O265" i="31"/>
  <c r="N265" i="31"/>
  <c r="N397" i="31"/>
  <c r="O397" i="31"/>
  <c r="O472" i="31"/>
  <c r="N472" i="31"/>
  <c r="O595" i="31"/>
  <c r="N595" i="31"/>
  <c r="N99" i="31"/>
  <c r="O99" i="31"/>
  <c r="O248" i="31"/>
  <c r="N248" i="31"/>
  <c r="N321" i="31"/>
  <c r="O321" i="31"/>
  <c r="O406" i="31"/>
  <c r="N406" i="31"/>
  <c r="N534" i="31"/>
  <c r="O534" i="31"/>
  <c r="N52" i="31"/>
  <c r="O52" i="31"/>
  <c r="N92" i="31"/>
  <c r="O92" i="31"/>
  <c r="N161" i="31"/>
  <c r="O161" i="31"/>
  <c r="O344" i="31"/>
  <c r="N344" i="31"/>
  <c r="O358" i="31"/>
  <c r="N358" i="31"/>
  <c r="N400" i="31"/>
  <c r="O400" i="31"/>
  <c r="O455" i="31"/>
  <c r="N455" i="31"/>
  <c r="N528" i="31"/>
  <c r="O528" i="31"/>
  <c r="N65" i="31"/>
  <c r="O65" i="31"/>
  <c r="N270" i="31"/>
  <c r="O270" i="31"/>
  <c r="N355" i="31"/>
  <c r="O355" i="31"/>
  <c r="O433" i="31"/>
  <c r="N433" i="31"/>
  <c r="N502" i="31"/>
  <c r="O502" i="31"/>
  <c r="N588" i="31"/>
  <c r="O588" i="31"/>
  <c r="N62" i="31"/>
  <c r="O62" i="31"/>
  <c r="O142" i="31"/>
  <c r="N142" i="31"/>
  <c r="O195" i="31"/>
  <c r="N195" i="31"/>
  <c r="N311" i="31"/>
  <c r="O311" i="31"/>
  <c r="N342" i="31"/>
  <c r="O342" i="31"/>
  <c r="O421" i="31"/>
  <c r="N421" i="31"/>
  <c r="O478" i="31"/>
  <c r="N478" i="31"/>
  <c r="N559" i="31"/>
  <c r="O559" i="31"/>
  <c r="O122" i="31"/>
  <c r="N122" i="31"/>
  <c r="O166" i="31"/>
  <c r="N166" i="31"/>
  <c r="O239" i="31"/>
  <c r="N239" i="31"/>
  <c r="O245" i="31"/>
  <c r="N245" i="31"/>
  <c r="O334" i="31"/>
  <c r="N334" i="31"/>
  <c r="O419" i="31"/>
  <c r="N419" i="31"/>
  <c r="N477" i="31"/>
  <c r="O477" i="31"/>
  <c r="N558" i="31"/>
  <c r="O558" i="31"/>
  <c r="N609" i="31"/>
  <c r="O609" i="31"/>
  <c r="O526" i="31"/>
  <c r="N526" i="31"/>
  <c r="N399" i="31"/>
  <c r="O399" i="31"/>
  <c r="O329" i="31"/>
  <c r="N329" i="31"/>
  <c r="O45" i="31"/>
  <c r="N45" i="31"/>
  <c r="N348" i="31"/>
  <c r="O348" i="31"/>
  <c r="O66" i="31"/>
  <c r="N66" i="31"/>
  <c r="O260" i="31"/>
  <c r="N260" i="31"/>
  <c r="O590" i="31"/>
  <c r="N590" i="31"/>
  <c r="O268" i="31"/>
  <c r="N268" i="31"/>
  <c r="O584" i="31"/>
  <c r="N584" i="31"/>
  <c r="N254" i="31"/>
  <c r="O254" i="31"/>
  <c r="O562" i="31"/>
  <c r="N562" i="31"/>
  <c r="N114" i="31"/>
  <c r="O114" i="31"/>
  <c r="O170" i="31"/>
  <c r="N170" i="31"/>
  <c r="N271" i="31"/>
  <c r="O271" i="31"/>
  <c r="O412" i="31"/>
  <c r="N412" i="31"/>
  <c r="O540" i="31"/>
  <c r="N540" i="31"/>
  <c r="N77" i="31"/>
  <c r="O77" i="31"/>
  <c r="N120" i="31"/>
  <c r="O120" i="31"/>
  <c r="N221" i="31"/>
  <c r="O221" i="31"/>
  <c r="N361" i="31"/>
  <c r="O361" i="31"/>
  <c r="O471" i="31"/>
  <c r="N471" i="31"/>
  <c r="N599" i="31"/>
  <c r="O599" i="31"/>
  <c r="N100" i="31"/>
  <c r="O100" i="31"/>
  <c r="O156" i="31"/>
  <c r="N156" i="31"/>
  <c r="N338" i="31"/>
  <c r="O338" i="31"/>
  <c r="N439" i="31"/>
  <c r="O439" i="31"/>
  <c r="O547" i="31"/>
  <c r="N547" i="31"/>
  <c r="O80" i="31"/>
  <c r="N80" i="31"/>
  <c r="O182" i="31"/>
  <c r="N182" i="31"/>
  <c r="O288" i="31"/>
  <c r="N288" i="31"/>
  <c r="N374" i="31"/>
  <c r="O374" i="31"/>
  <c r="O501" i="31"/>
  <c r="N501" i="31"/>
  <c r="O50" i="31"/>
  <c r="N50" i="31"/>
  <c r="N124" i="31"/>
  <c r="O124" i="31"/>
  <c r="O180" i="31"/>
  <c r="N180" i="31"/>
  <c r="O299" i="31"/>
  <c r="N299" i="31"/>
  <c r="O440" i="31"/>
  <c r="N440" i="31"/>
  <c r="N548" i="31"/>
  <c r="O548" i="31"/>
  <c r="O53" i="31"/>
  <c r="N53" i="31"/>
  <c r="N101" i="31"/>
  <c r="O101" i="31"/>
  <c r="N162" i="31"/>
  <c r="O162" i="31"/>
  <c r="O250" i="31"/>
  <c r="N250" i="31"/>
  <c r="N293" i="31"/>
  <c r="O293" i="31"/>
  <c r="N418" i="31"/>
  <c r="O418" i="31"/>
  <c r="N479" i="31"/>
  <c r="O479" i="31"/>
  <c r="N549" i="31"/>
  <c r="O549" i="31"/>
  <c r="N297" i="31"/>
  <c r="O297" i="31"/>
  <c r="O357" i="31"/>
  <c r="N357" i="31"/>
  <c r="N453" i="31"/>
  <c r="O453" i="31"/>
  <c r="N529" i="31"/>
  <c r="O529" i="31"/>
  <c r="O608" i="31"/>
  <c r="N608" i="31"/>
  <c r="O39" i="31"/>
  <c r="N39" i="31"/>
  <c r="N88" i="31"/>
  <c r="O88" i="31"/>
  <c r="N204" i="31"/>
  <c r="O204" i="31"/>
  <c r="O253" i="31"/>
  <c r="N253" i="31"/>
  <c r="N353" i="31"/>
  <c r="O353" i="31"/>
  <c r="N426" i="31"/>
  <c r="O426" i="31"/>
  <c r="N507" i="31"/>
  <c r="O507" i="31"/>
  <c r="N593" i="31"/>
  <c r="O593" i="31"/>
  <c r="O115" i="31"/>
  <c r="N115" i="31"/>
  <c r="O159" i="31"/>
  <c r="N159" i="31"/>
  <c r="O218" i="31"/>
  <c r="N218" i="31"/>
  <c r="N262" i="31"/>
  <c r="O262" i="31"/>
  <c r="O368" i="31"/>
  <c r="N368" i="31"/>
  <c r="N405" i="31"/>
  <c r="O405" i="31"/>
  <c r="O491" i="31"/>
  <c r="N491" i="31"/>
  <c r="O553" i="31"/>
  <c r="N553" i="31"/>
  <c r="O572" i="31"/>
  <c r="N572" i="31"/>
  <c r="O73" i="31"/>
  <c r="N73" i="31"/>
  <c r="N320" i="31"/>
  <c r="O320" i="31"/>
  <c r="O580" i="31"/>
  <c r="N580" i="31"/>
  <c r="O284" i="31"/>
  <c r="N284" i="31"/>
  <c r="N37" i="31"/>
  <c r="O37" i="31"/>
  <c r="O623" i="31"/>
  <c r="N623" i="31"/>
  <c r="O19" i="31"/>
  <c r="N19" i="31"/>
  <c r="N64" i="31"/>
  <c r="O64" i="31"/>
  <c r="N381" i="31"/>
  <c r="O381" i="31"/>
  <c r="N494" i="31"/>
  <c r="O494" i="31"/>
  <c r="O309" i="31"/>
  <c r="N309" i="31"/>
  <c r="O568" i="31"/>
  <c r="N568" i="31"/>
  <c r="N31" i="31"/>
  <c r="O31" i="31"/>
  <c r="N341" i="31"/>
  <c r="O341" i="31"/>
  <c r="N47" i="31"/>
  <c r="O47" i="31"/>
  <c r="N352" i="31"/>
  <c r="O352" i="31"/>
  <c r="O61" i="31"/>
  <c r="N61" i="31"/>
  <c r="O298" i="31"/>
  <c r="N298" i="31"/>
  <c r="N74" i="31"/>
  <c r="O74" i="31"/>
  <c r="N323" i="31"/>
  <c r="O323" i="31"/>
  <c r="O81" i="31"/>
  <c r="N81" i="31"/>
  <c r="O335" i="31"/>
  <c r="N335" i="31"/>
  <c r="O612" i="31"/>
  <c r="N612" i="31"/>
  <c r="O149" i="31"/>
  <c r="N149" i="31"/>
  <c r="O187" i="31"/>
  <c r="N187" i="31"/>
  <c r="P322" i="31"/>
  <c r="O322" i="31"/>
  <c r="N322" i="31"/>
  <c r="O423" i="31"/>
  <c r="N423" i="31"/>
  <c r="O536" i="31"/>
  <c r="N536" i="31"/>
  <c r="N70" i="31"/>
  <c r="O70" i="31"/>
  <c r="N150" i="31"/>
  <c r="O150" i="31"/>
  <c r="O273" i="31"/>
  <c r="N273" i="31"/>
  <c r="N364" i="31"/>
  <c r="O364" i="31"/>
  <c r="N492" i="31"/>
  <c r="O492" i="31"/>
  <c r="N34" i="31"/>
  <c r="O34" i="31"/>
  <c r="O133" i="31"/>
  <c r="N133" i="31"/>
  <c r="O215" i="31"/>
  <c r="N215" i="31"/>
  <c r="N316" i="31"/>
  <c r="O316" i="31"/>
  <c r="O443" i="31"/>
  <c r="N443" i="31"/>
  <c r="O570" i="31"/>
  <c r="N570" i="31"/>
  <c r="O16" i="31"/>
  <c r="N16" i="31"/>
  <c r="N199" i="31"/>
  <c r="O199" i="31"/>
  <c r="N275" i="31"/>
  <c r="O275" i="31"/>
  <c r="N403" i="31"/>
  <c r="O403" i="31"/>
  <c r="N538" i="31"/>
  <c r="O538" i="31"/>
  <c r="N75" i="31"/>
  <c r="O75" i="31"/>
  <c r="N86" i="31"/>
  <c r="O86" i="31"/>
  <c r="N231" i="31"/>
  <c r="O231" i="31"/>
  <c r="N340" i="31"/>
  <c r="O340" i="31"/>
  <c r="O466" i="31"/>
  <c r="N466" i="31"/>
  <c r="O567" i="31"/>
  <c r="N567" i="31"/>
  <c r="O30" i="31"/>
  <c r="N30" i="31"/>
  <c r="O110" i="31"/>
  <c r="N110" i="31"/>
  <c r="N163" i="31"/>
  <c r="O163" i="31"/>
  <c r="O259" i="31"/>
  <c r="N259" i="31"/>
  <c r="N302" i="31"/>
  <c r="O302" i="31"/>
  <c r="O428" i="31"/>
  <c r="N428" i="31"/>
  <c r="N515" i="31"/>
  <c r="O515" i="31"/>
  <c r="N556" i="31"/>
  <c r="O556" i="31"/>
  <c r="O228" i="31"/>
  <c r="N228" i="31"/>
  <c r="O306" i="31"/>
  <c r="N306" i="31"/>
  <c r="N408" i="31"/>
  <c r="O408" i="31"/>
  <c r="N451" i="31"/>
  <c r="O451" i="31"/>
  <c r="O514" i="31"/>
  <c r="N514" i="31"/>
  <c r="N607" i="31"/>
  <c r="O607" i="31"/>
  <c r="N32" i="31"/>
  <c r="O32" i="31"/>
  <c r="N165" i="31"/>
  <c r="O165" i="31"/>
  <c r="O240" i="31"/>
  <c r="N240" i="31"/>
  <c r="N278" i="31"/>
  <c r="O278" i="31"/>
  <c r="O363" i="31"/>
  <c r="N363" i="31"/>
  <c r="N441" i="31"/>
  <c r="O441" i="31"/>
  <c r="O510" i="31"/>
  <c r="N510" i="31"/>
  <c r="N589" i="31"/>
  <c r="O589" i="31"/>
  <c r="N108" i="31"/>
  <c r="O108" i="31"/>
  <c r="N160" i="31"/>
  <c r="O160" i="31"/>
  <c r="O212" i="31"/>
  <c r="N212" i="31"/>
  <c r="N295" i="31"/>
  <c r="O295" i="31"/>
  <c r="N370" i="31"/>
  <c r="O370" i="31"/>
  <c r="N415" i="31"/>
  <c r="O415" i="31"/>
  <c r="N493" i="31"/>
  <c r="O493" i="31"/>
  <c r="N551" i="31"/>
  <c r="O551" i="31"/>
  <c r="N574" i="31"/>
  <c r="O574" i="31"/>
  <c r="O613" i="31"/>
  <c r="N613" i="31"/>
  <c r="P144" i="31"/>
  <c r="P69" i="31"/>
  <c r="P248" i="31"/>
  <c r="P376" i="31"/>
  <c r="P504" i="31"/>
  <c r="P19" i="31"/>
  <c r="P52" i="31"/>
  <c r="P220" i="31"/>
  <c r="P348" i="31"/>
  <c r="P476" i="31"/>
  <c r="P604" i="31"/>
  <c r="P49" i="31"/>
  <c r="P192" i="31"/>
  <c r="P320" i="31"/>
  <c r="P448" i="31"/>
  <c r="P576" i="31"/>
  <c r="P32" i="31"/>
  <c r="P47" i="31"/>
  <c r="P25" i="31"/>
  <c r="P60" i="31"/>
  <c r="P36" i="31"/>
  <c r="P180" i="31"/>
  <c r="P308" i="31"/>
  <c r="P564" i="31"/>
  <c r="P85" i="31"/>
  <c r="P117" i="31"/>
  <c r="P149" i="31"/>
  <c r="P181" i="31"/>
  <c r="P213" i="31"/>
  <c r="P245" i="31"/>
  <c r="P277" i="31"/>
  <c r="P309" i="31"/>
  <c r="P341" i="31"/>
  <c r="P373" i="31"/>
  <c r="P405" i="31"/>
  <c r="P437" i="31"/>
  <c r="P469" i="31"/>
  <c r="P501" i="31"/>
  <c r="P533" i="31"/>
  <c r="P565" i="31"/>
  <c r="P597" i="31"/>
  <c r="P74" i="31"/>
  <c r="P106" i="31"/>
  <c r="P138" i="31"/>
  <c r="P170" i="31"/>
  <c r="P202" i="31"/>
  <c r="P234" i="31"/>
  <c r="P266" i="31"/>
  <c r="P298" i="31"/>
  <c r="P330" i="31"/>
  <c r="P362" i="31"/>
  <c r="P394" i="31"/>
  <c r="P426" i="31"/>
  <c r="P458" i="31"/>
  <c r="P490" i="31"/>
  <c r="P522" i="31"/>
  <c r="P554" i="31"/>
  <c r="P586" i="31"/>
  <c r="P95" i="31"/>
  <c r="P127" i="31"/>
  <c r="P159" i="31"/>
  <c r="P191" i="31"/>
  <c r="P223" i="31"/>
  <c r="P255" i="31"/>
  <c r="P287" i="31"/>
  <c r="P319" i="31"/>
  <c r="P351" i="31"/>
  <c r="P383" i="31"/>
  <c r="P415" i="31"/>
  <c r="P447" i="31"/>
  <c r="P479" i="31"/>
  <c r="P511" i="31"/>
  <c r="P543" i="31"/>
  <c r="P575" i="31"/>
  <c r="P607" i="31"/>
  <c r="P124" i="31"/>
  <c r="P264" i="31"/>
  <c r="P392" i="31"/>
  <c r="P520" i="31"/>
  <c r="P38" i="31"/>
  <c r="P58" i="31"/>
  <c r="P236" i="31"/>
  <c r="P364" i="31"/>
  <c r="P492" i="31"/>
  <c r="P112" i="31"/>
  <c r="P15" i="31"/>
  <c r="P208" i="31"/>
  <c r="P336" i="31"/>
  <c r="P464" i="31"/>
  <c r="P592" i="31"/>
  <c r="P57" i="31"/>
  <c r="P17" i="31"/>
  <c r="P51" i="31"/>
  <c r="P66" i="31"/>
  <c r="P42" i="31"/>
  <c r="P196" i="31"/>
  <c r="P324" i="31"/>
  <c r="P452" i="31"/>
  <c r="P580" i="31"/>
  <c r="P89" i="31"/>
  <c r="P121" i="31"/>
  <c r="P153" i="31"/>
  <c r="P185" i="31"/>
  <c r="P217" i="31"/>
  <c r="P249" i="31"/>
  <c r="P281" i="31"/>
  <c r="P313" i="31"/>
  <c r="P345" i="31"/>
  <c r="P377" i="31"/>
  <c r="P409" i="31"/>
  <c r="P441" i="31"/>
  <c r="P473" i="31"/>
  <c r="P505" i="31"/>
  <c r="P537" i="31"/>
  <c r="P569" i="31"/>
  <c r="P601" i="31"/>
  <c r="P78" i="31"/>
  <c r="P110" i="31"/>
  <c r="P142" i="31"/>
  <c r="P174" i="31"/>
  <c r="P206" i="31"/>
  <c r="P238" i="31"/>
  <c r="P270" i="31"/>
  <c r="P302" i="31"/>
  <c r="P334" i="31"/>
  <c r="P366" i="31"/>
  <c r="P398" i="31"/>
  <c r="P430" i="31"/>
  <c r="P462" i="31"/>
  <c r="P494" i="31"/>
  <c r="P526" i="31"/>
  <c r="P558" i="31"/>
  <c r="P590" i="31"/>
  <c r="P99" i="31"/>
  <c r="P131" i="31"/>
  <c r="P163" i="31"/>
  <c r="P195" i="31"/>
  <c r="P227" i="31"/>
  <c r="P259" i="31"/>
  <c r="P291" i="31"/>
  <c r="P323" i="31"/>
  <c r="P355" i="31"/>
  <c r="P387" i="31"/>
  <c r="P419" i="31"/>
  <c r="P451" i="31"/>
  <c r="P483" i="31"/>
  <c r="P515" i="31"/>
  <c r="P547" i="31"/>
  <c r="P579" i="31"/>
  <c r="P611" i="31"/>
  <c r="P156" i="31"/>
  <c r="P280" i="31"/>
  <c r="P408" i="31"/>
  <c r="P536" i="31"/>
  <c r="P64" i="31"/>
  <c r="P72" i="31"/>
  <c r="P252" i="31"/>
  <c r="P508" i="31"/>
  <c r="P71" i="31"/>
  <c r="P128" i="31"/>
  <c r="P224" i="31"/>
  <c r="P352" i="31"/>
  <c r="P480" i="31"/>
  <c r="P608" i="31"/>
  <c r="P104" i="31"/>
  <c r="P22" i="31"/>
  <c r="P33" i="31"/>
  <c r="P35" i="31"/>
  <c r="P55" i="31"/>
  <c r="P212" i="31"/>
  <c r="P340" i="31"/>
  <c r="P468" i="31"/>
  <c r="P596" i="31"/>
  <c r="P93" i="31"/>
  <c r="P125" i="31"/>
  <c r="P157" i="31"/>
  <c r="P189" i="31"/>
  <c r="P221" i="31"/>
  <c r="P253" i="31"/>
  <c r="P285" i="31"/>
  <c r="P317" i="31"/>
  <c r="P349" i="31"/>
  <c r="P381" i="31"/>
  <c r="P413" i="31"/>
  <c r="P445" i="31"/>
  <c r="P477" i="31"/>
  <c r="P509" i="31"/>
  <c r="P541" i="31"/>
  <c r="P573" i="31"/>
  <c r="P605" i="31"/>
  <c r="P82" i="31"/>
  <c r="P114" i="31"/>
  <c r="P146" i="31"/>
  <c r="P178" i="31"/>
  <c r="P210" i="31"/>
  <c r="P242" i="31"/>
  <c r="P274" i="31"/>
  <c r="P306" i="31"/>
  <c r="P338" i="31"/>
  <c r="P370" i="31"/>
  <c r="P402" i="31"/>
  <c r="P434" i="31"/>
  <c r="P466" i="31"/>
  <c r="P498" i="31"/>
  <c r="P530" i="31"/>
  <c r="P562" i="31"/>
  <c r="P594" i="31"/>
  <c r="P103" i="31"/>
  <c r="P135" i="31"/>
  <c r="P167" i="31"/>
  <c r="P199" i="31"/>
  <c r="P231" i="31"/>
  <c r="P263" i="31"/>
  <c r="P295" i="31"/>
  <c r="P327" i="31"/>
  <c r="P359" i="31"/>
  <c r="P391" i="31"/>
  <c r="P423" i="31"/>
  <c r="P455" i="31"/>
  <c r="P487" i="31"/>
  <c r="P519" i="31"/>
  <c r="P551" i="31"/>
  <c r="P583" i="31"/>
  <c r="P622" i="31"/>
  <c r="P31" i="31"/>
  <c r="P168" i="31"/>
  <c r="P296" i="31"/>
  <c r="P424" i="31"/>
  <c r="P552" i="31"/>
  <c r="P14" i="31"/>
  <c r="P116" i="31"/>
  <c r="P268" i="31"/>
  <c r="P396" i="31"/>
  <c r="P524" i="31"/>
  <c r="P40" i="31"/>
  <c r="P34" i="31"/>
  <c r="P240" i="31"/>
  <c r="P368" i="31"/>
  <c r="P496" i="31"/>
  <c r="P623" i="31"/>
  <c r="P136" i="31"/>
  <c r="P41" i="31"/>
  <c r="P46" i="31"/>
  <c r="P48" i="31"/>
  <c r="P61" i="31"/>
  <c r="P228" i="31"/>
  <c r="P356" i="31"/>
  <c r="P484" i="31"/>
  <c r="P612" i="31"/>
  <c r="P97" i="31"/>
  <c r="P129" i="31"/>
  <c r="P161" i="31"/>
  <c r="P193" i="31"/>
  <c r="P257" i="31"/>
  <c r="P289" i="31"/>
  <c r="P321" i="31"/>
  <c r="P353" i="31"/>
  <c r="P385" i="31"/>
  <c r="P417" i="31"/>
  <c r="P449" i="31"/>
  <c r="P481" i="31"/>
  <c r="P513" i="31"/>
  <c r="P545" i="31"/>
  <c r="P577" i="31"/>
  <c r="P609" i="31"/>
  <c r="P86" i="31"/>
  <c r="P118" i="31"/>
  <c r="P150" i="31"/>
  <c r="P182" i="31"/>
  <c r="P214" i="31"/>
  <c r="P246" i="31"/>
  <c r="P278" i="31"/>
  <c r="P310" i="31"/>
  <c r="P342" i="31"/>
  <c r="P374" i="31"/>
  <c r="P406" i="31"/>
  <c r="P438" i="31"/>
  <c r="P470" i="31"/>
  <c r="P502" i="31"/>
  <c r="P534" i="31"/>
  <c r="P566" i="31"/>
  <c r="P598" i="31"/>
  <c r="P75" i="31"/>
  <c r="P107" i="31"/>
  <c r="P139" i="31"/>
  <c r="P171" i="31"/>
  <c r="P203" i="31"/>
  <c r="P235" i="31"/>
  <c r="P267" i="31"/>
  <c r="P299" i="31"/>
  <c r="P331" i="31"/>
  <c r="P363" i="31"/>
  <c r="P395" i="31"/>
  <c r="P427" i="31"/>
  <c r="P459" i="31"/>
  <c r="P491" i="31"/>
  <c r="P523" i="31"/>
  <c r="P555" i="31"/>
  <c r="P587" i="31"/>
  <c r="P626" i="31"/>
  <c r="P37" i="31"/>
  <c r="P184" i="31"/>
  <c r="P312" i="31"/>
  <c r="P440" i="31"/>
  <c r="P568" i="31"/>
  <c r="P20" i="31"/>
  <c r="P148" i="31"/>
  <c r="P284" i="31"/>
  <c r="P412" i="31"/>
  <c r="P540" i="31"/>
  <c r="P65" i="31"/>
  <c r="P73" i="31"/>
  <c r="P256" i="31"/>
  <c r="P384" i="31"/>
  <c r="P512" i="31"/>
  <c r="P30" i="31"/>
  <c r="P27" i="31"/>
  <c r="P120" i="31"/>
  <c r="P59" i="31"/>
  <c r="P54" i="31"/>
  <c r="P68" i="31"/>
  <c r="P244" i="31"/>
  <c r="P372" i="31"/>
  <c r="P500" i="31"/>
  <c r="P101" i="31"/>
  <c r="P133" i="31"/>
  <c r="P165" i="31"/>
  <c r="P197" i="31"/>
  <c r="P229" i="31"/>
  <c r="P261" i="31"/>
  <c r="P293" i="31"/>
  <c r="P325" i="31"/>
  <c r="P357" i="31"/>
  <c r="P389" i="31"/>
  <c r="P421" i="31"/>
  <c r="P453" i="31"/>
  <c r="P485" i="31"/>
  <c r="P517" i="31"/>
  <c r="P549" i="31"/>
  <c r="P581" i="31"/>
  <c r="P90" i="31"/>
  <c r="P122" i="31"/>
  <c r="P154" i="31"/>
  <c r="P186" i="31"/>
  <c r="P218" i="31"/>
  <c r="P250" i="31"/>
  <c r="P282" i="31"/>
  <c r="P314" i="31"/>
  <c r="P346" i="31"/>
  <c r="P378" i="31"/>
  <c r="P410" i="31"/>
  <c r="P442" i="31"/>
  <c r="P474" i="31"/>
  <c r="P506" i="31"/>
  <c r="P538" i="31"/>
  <c r="P570" i="31"/>
  <c r="P602" i="31"/>
  <c r="P79" i="31"/>
  <c r="P111" i="31"/>
  <c r="P143" i="31"/>
  <c r="P175" i="31"/>
  <c r="P207" i="31"/>
  <c r="P239" i="31"/>
  <c r="P271" i="31"/>
  <c r="P303" i="31"/>
  <c r="P335" i="31"/>
  <c r="P367" i="31"/>
  <c r="P399" i="31"/>
  <c r="P431" i="31"/>
  <c r="P463" i="31"/>
  <c r="P495" i="31"/>
  <c r="P527" i="31"/>
  <c r="P559" i="31"/>
  <c r="P591" i="31"/>
  <c r="P44" i="31"/>
  <c r="P200" i="31"/>
  <c r="P328" i="31"/>
  <c r="P456" i="31"/>
  <c r="P584" i="31"/>
  <c r="P26" i="31"/>
  <c r="P172" i="31"/>
  <c r="P300" i="31"/>
  <c r="P428" i="31"/>
  <c r="P556" i="31"/>
  <c r="P96" i="31"/>
  <c r="P108" i="31"/>
  <c r="P400" i="31"/>
  <c r="P528" i="31"/>
  <c r="P56" i="31"/>
  <c r="P80" i="31"/>
  <c r="P152" i="31"/>
  <c r="P88" i="31"/>
  <c r="P67" i="31"/>
  <c r="P100" i="31"/>
  <c r="P260" i="31"/>
  <c r="P388" i="31"/>
  <c r="P516" i="31"/>
  <c r="P18" i="31"/>
  <c r="P105" i="31"/>
  <c r="P137" i="31"/>
  <c r="P169" i="31"/>
  <c r="P201" i="31"/>
  <c r="P233" i="31"/>
  <c r="P265" i="31"/>
  <c r="P297" i="31"/>
  <c r="P329" i="31"/>
  <c r="P361" i="31"/>
  <c r="P393" i="31"/>
  <c r="P425" i="31"/>
  <c r="P457" i="31"/>
  <c r="P489" i="31"/>
  <c r="P521" i="31"/>
  <c r="P553" i="31"/>
  <c r="P585" i="31"/>
  <c r="P94" i="31"/>
  <c r="P126" i="31"/>
  <c r="P158" i="31"/>
  <c r="P190" i="31"/>
  <c r="P222" i="31"/>
  <c r="P254" i="31"/>
  <c r="P286" i="31"/>
  <c r="P318" i="31"/>
  <c r="P350" i="31"/>
  <c r="P382" i="31"/>
  <c r="P414" i="31"/>
  <c r="P446" i="31"/>
  <c r="P478" i="31"/>
  <c r="P510" i="31"/>
  <c r="P542" i="31"/>
  <c r="P574" i="31"/>
  <c r="P606" i="31"/>
  <c r="P83" i="31"/>
  <c r="P115" i="31"/>
  <c r="P147" i="31"/>
  <c r="P179" i="31"/>
  <c r="P211" i="31"/>
  <c r="P243" i="31"/>
  <c r="P275" i="31"/>
  <c r="P307" i="31"/>
  <c r="P339" i="31"/>
  <c r="P371" i="31"/>
  <c r="P403" i="31"/>
  <c r="P435" i="31"/>
  <c r="P467" i="31"/>
  <c r="P499" i="31"/>
  <c r="P531" i="31"/>
  <c r="P563" i="31"/>
  <c r="P595" i="31"/>
  <c r="P24" i="31"/>
  <c r="P50" i="31"/>
  <c r="P216" i="31"/>
  <c r="P344" i="31"/>
  <c r="P472" i="31"/>
  <c r="P600" i="31"/>
  <c r="P39" i="31"/>
  <c r="P188" i="31"/>
  <c r="P316" i="31"/>
  <c r="P444" i="31"/>
  <c r="P572" i="31"/>
  <c r="P160" i="31"/>
  <c r="P140" i="31"/>
  <c r="P288" i="31"/>
  <c r="P416" i="31"/>
  <c r="P544" i="31"/>
  <c r="P84" i="31"/>
  <c r="P21" i="31"/>
  <c r="P62" i="31"/>
  <c r="P16" i="31"/>
  <c r="P23" i="31"/>
  <c r="P132" i="31"/>
  <c r="P276" i="31"/>
  <c r="P404" i="31"/>
  <c r="P532" i="31"/>
  <c r="P77" i="31"/>
  <c r="P109" i="31"/>
  <c r="P141" i="31"/>
  <c r="P173" i="31"/>
  <c r="P205" i="31"/>
  <c r="P237" i="31"/>
  <c r="P269" i="31"/>
  <c r="P301" i="31"/>
  <c r="P333" i="31"/>
  <c r="P365" i="31"/>
  <c r="P397" i="31"/>
  <c r="P429" i="31"/>
  <c r="P461" i="31"/>
  <c r="P493" i="31"/>
  <c r="P525" i="31"/>
  <c r="P557" i="31"/>
  <c r="P589" i="31"/>
  <c r="P628" i="31"/>
  <c r="P98" i="31"/>
  <c r="P130" i="31"/>
  <c r="P162" i="31"/>
  <c r="P194" i="31"/>
  <c r="P226" i="31"/>
  <c r="P258" i="31"/>
  <c r="P290" i="31"/>
  <c r="P354" i="31"/>
  <c r="P386" i="31"/>
  <c r="P418" i="31"/>
  <c r="P450" i="31"/>
  <c r="P482" i="31"/>
  <c r="P514" i="31"/>
  <c r="P546" i="31"/>
  <c r="P578" i="31"/>
  <c r="P610" i="31"/>
  <c r="P87" i="31"/>
  <c r="P119" i="31"/>
  <c r="P151" i="31"/>
  <c r="P183" i="31"/>
  <c r="P215" i="31"/>
  <c r="P247" i="31"/>
  <c r="P279" i="31"/>
  <c r="P311" i="31"/>
  <c r="P343" i="31"/>
  <c r="P375" i="31"/>
  <c r="P407" i="31"/>
  <c r="P439" i="31"/>
  <c r="P471" i="31"/>
  <c r="P503" i="31"/>
  <c r="P535" i="31"/>
  <c r="P567" i="31"/>
  <c r="P599" i="31"/>
  <c r="P76" i="31"/>
  <c r="P63" i="31"/>
  <c r="P232" i="31"/>
  <c r="P360" i="31"/>
  <c r="P488" i="31"/>
  <c r="P43" i="31"/>
  <c r="P45" i="31"/>
  <c r="P204" i="31"/>
  <c r="P332" i="31"/>
  <c r="P460" i="31"/>
  <c r="P588" i="31"/>
  <c r="P613" i="31"/>
  <c r="P176" i="31"/>
  <c r="P304" i="31"/>
  <c r="P432" i="31"/>
  <c r="P560" i="31"/>
  <c r="P28" i="31"/>
  <c r="P92" i="31"/>
  <c r="P53" i="31"/>
  <c r="P29" i="31"/>
  <c r="P164" i="31"/>
  <c r="P292" i="31"/>
  <c r="P420" i="31"/>
  <c r="P548" i="31"/>
  <c r="P81" i="31"/>
  <c r="P113" i="31"/>
  <c r="P145" i="31"/>
  <c r="P177" i="31"/>
  <c r="P209" i="31"/>
  <c r="P241" i="31"/>
  <c r="P273" i="31"/>
  <c r="P305" i="31"/>
  <c r="P337" i="31"/>
  <c r="P369" i="31"/>
  <c r="P401" i="31"/>
  <c r="P433" i="31"/>
  <c r="P465" i="31"/>
  <c r="P497" i="31"/>
  <c r="P529" i="31"/>
  <c r="P561" i="31"/>
  <c r="P593" i="31"/>
  <c r="P70" i="31"/>
  <c r="P102" i="31"/>
  <c r="P134" i="31"/>
  <c r="P166" i="31"/>
  <c r="P198" i="31"/>
  <c r="P230" i="31"/>
  <c r="P262" i="31"/>
  <c r="P294" i="31"/>
  <c r="P326" i="31"/>
  <c r="P358" i="31"/>
  <c r="P390" i="31"/>
  <c r="P454" i="31"/>
  <c r="P486" i="31"/>
  <c r="P518" i="31"/>
  <c r="P550" i="31"/>
  <c r="P582" i="31"/>
  <c r="P91" i="31"/>
  <c r="P123" i="31"/>
  <c r="P155" i="31"/>
  <c r="P187" i="31"/>
  <c r="P219" i="31"/>
  <c r="P251" i="31"/>
  <c r="P283" i="31"/>
  <c r="P315" i="31"/>
  <c r="P347" i="31"/>
  <c r="P379" i="31"/>
  <c r="P411" i="31"/>
  <c r="P443" i="31"/>
  <c r="P475" i="31"/>
  <c r="P507" i="31"/>
  <c r="P539" i="31"/>
  <c r="P571" i="31"/>
  <c r="P603" i="31"/>
  <c r="R6" i="8"/>
  <c r="B514" i="2" s="1"/>
  <c r="R475" i="31" l="1"/>
  <c r="Q475" i="31"/>
  <c r="AO475" i="31"/>
  <c r="AP475" i="31"/>
  <c r="R45" i="31"/>
  <c r="Q45" i="31"/>
  <c r="AP45" i="31"/>
  <c r="AO45" i="31"/>
  <c r="R109" i="31"/>
  <c r="Q109" i="31"/>
  <c r="AP109" i="31"/>
  <c r="AO109" i="31"/>
  <c r="R179" i="31"/>
  <c r="Q179" i="31"/>
  <c r="AP179" i="31"/>
  <c r="AO179" i="31"/>
  <c r="R222" i="31"/>
  <c r="Q222" i="31"/>
  <c r="AP222" i="31"/>
  <c r="AO222" i="31"/>
  <c r="R265" i="31"/>
  <c r="Q265" i="31"/>
  <c r="AO265" i="31"/>
  <c r="AP265" i="31"/>
  <c r="Q528" i="31"/>
  <c r="R528" i="31"/>
  <c r="AO528" i="31"/>
  <c r="AP528" i="31"/>
  <c r="Q527" i="31"/>
  <c r="R527" i="31"/>
  <c r="AO527" i="31"/>
  <c r="AP527" i="31"/>
  <c r="R570" i="31"/>
  <c r="Q570" i="31"/>
  <c r="AO570" i="31"/>
  <c r="AP570" i="31"/>
  <c r="R581" i="31"/>
  <c r="Q581" i="31"/>
  <c r="AO581" i="31"/>
  <c r="AP581" i="31"/>
  <c r="R27" i="31"/>
  <c r="Q27" i="31"/>
  <c r="AP27" i="31"/>
  <c r="AO27" i="31"/>
  <c r="Q412" i="31"/>
  <c r="R412" i="31"/>
  <c r="AO412" i="31"/>
  <c r="AP412" i="31"/>
  <c r="R37" i="31"/>
  <c r="Q37" i="31"/>
  <c r="AO37" i="31"/>
  <c r="AP37" i="31"/>
  <c r="R395" i="31"/>
  <c r="Q395" i="31"/>
  <c r="AO395" i="31"/>
  <c r="AP395" i="31"/>
  <c r="R139" i="31"/>
  <c r="Q139" i="31"/>
  <c r="AO139" i="31"/>
  <c r="AP139" i="31"/>
  <c r="R438" i="31"/>
  <c r="Q438" i="31"/>
  <c r="AP438" i="31"/>
  <c r="AO438" i="31"/>
  <c r="R182" i="31"/>
  <c r="Q182" i="31"/>
  <c r="AP182" i="31"/>
  <c r="AO182" i="31"/>
  <c r="R481" i="31"/>
  <c r="Q481" i="31"/>
  <c r="AO481" i="31"/>
  <c r="AP481" i="31"/>
  <c r="AP193" i="31"/>
  <c r="R193" i="31"/>
  <c r="Q193" i="31"/>
  <c r="AO193" i="31"/>
  <c r="R61" i="31"/>
  <c r="Q61" i="31"/>
  <c r="AO61" i="31"/>
  <c r="AP61" i="31"/>
  <c r="R240" i="31"/>
  <c r="Q240" i="31"/>
  <c r="AP240" i="31"/>
  <c r="AO240" i="31"/>
  <c r="R552" i="31"/>
  <c r="Q552" i="31"/>
  <c r="AP552" i="31"/>
  <c r="AO552" i="31"/>
  <c r="R519" i="31"/>
  <c r="Q519" i="31"/>
  <c r="AP519" i="31"/>
  <c r="AO519" i="31"/>
  <c r="R263" i="31"/>
  <c r="Q263" i="31"/>
  <c r="AO263" i="31"/>
  <c r="AP263" i="31"/>
  <c r="Q562" i="31"/>
  <c r="R562" i="31"/>
  <c r="AO562" i="31"/>
  <c r="AP562" i="31"/>
  <c r="Q306" i="31"/>
  <c r="R306" i="31"/>
  <c r="AO306" i="31"/>
  <c r="AP306" i="31"/>
  <c r="R605" i="31"/>
  <c r="Q605" i="31"/>
  <c r="AP605" i="31"/>
  <c r="AO605" i="31"/>
  <c r="R349" i="31"/>
  <c r="Q349" i="31"/>
  <c r="AP349" i="31"/>
  <c r="AO349" i="31"/>
  <c r="R93" i="31"/>
  <c r="Q93" i="31"/>
  <c r="AO93" i="31"/>
  <c r="AP93" i="31"/>
  <c r="R22" i="31"/>
  <c r="Q22" i="31"/>
  <c r="AO22" i="31"/>
  <c r="AP22" i="31"/>
  <c r="R508" i="31"/>
  <c r="Q508" i="31"/>
  <c r="AP508" i="31"/>
  <c r="AO508" i="31"/>
  <c r="Q611" i="31"/>
  <c r="R611" i="31"/>
  <c r="AP611" i="31"/>
  <c r="AO611" i="31"/>
  <c r="R355" i="31"/>
  <c r="Q355" i="31"/>
  <c r="AP355" i="31"/>
  <c r="AO355" i="31"/>
  <c r="Q99" i="31"/>
  <c r="R99" i="31"/>
  <c r="AP99" i="31"/>
  <c r="AO99" i="31"/>
  <c r="R398" i="31"/>
  <c r="Q398" i="31"/>
  <c r="AO398" i="31"/>
  <c r="AP398" i="31"/>
  <c r="R142" i="31"/>
  <c r="Q142" i="31"/>
  <c r="AP142" i="31"/>
  <c r="AO142" i="31"/>
  <c r="R441" i="31"/>
  <c r="Q441" i="31"/>
  <c r="AO441" i="31"/>
  <c r="AP441" i="31"/>
  <c r="R185" i="31"/>
  <c r="Q185" i="31"/>
  <c r="AO185" i="31"/>
  <c r="AP185" i="31"/>
  <c r="R42" i="31"/>
  <c r="Q42" i="31"/>
  <c r="AO42" i="31"/>
  <c r="AP42" i="31"/>
  <c r="R208" i="31"/>
  <c r="Q208" i="31"/>
  <c r="AO208" i="31"/>
  <c r="AP208" i="31"/>
  <c r="R520" i="31"/>
  <c r="Q520" i="31"/>
  <c r="AP520" i="31"/>
  <c r="AO520" i="31"/>
  <c r="R479" i="31"/>
  <c r="Q479" i="31"/>
  <c r="AP479" i="31"/>
  <c r="AO479" i="31"/>
  <c r="Q223" i="31"/>
  <c r="R223" i="31"/>
  <c r="AP223" i="31"/>
  <c r="AO223" i="31"/>
  <c r="R490" i="31"/>
  <c r="Q490" i="31"/>
  <c r="AO490" i="31"/>
  <c r="AP490" i="31"/>
  <c r="Q234" i="31"/>
  <c r="R234" i="31"/>
  <c r="AO234" i="31"/>
  <c r="AP234" i="31"/>
  <c r="Q533" i="31"/>
  <c r="R533" i="31"/>
  <c r="AO533" i="31"/>
  <c r="AP533" i="31"/>
  <c r="Q277" i="31"/>
  <c r="R277" i="31"/>
  <c r="AO277" i="31"/>
  <c r="AP277" i="31"/>
  <c r="Q308" i="31"/>
  <c r="R308" i="31"/>
  <c r="AO308" i="31"/>
  <c r="AP308" i="31"/>
  <c r="Q448" i="31"/>
  <c r="R448" i="31"/>
  <c r="AO448" i="31"/>
  <c r="AP448" i="31"/>
  <c r="Q52" i="31"/>
  <c r="R52" i="31"/>
  <c r="AP52" i="31"/>
  <c r="AO52" i="31"/>
  <c r="R420" i="31"/>
  <c r="Q420" i="31"/>
  <c r="AO420" i="31"/>
  <c r="AP420" i="31"/>
  <c r="Q354" i="31"/>
  <c r="R354" i="31"/>
  <c r="AP354" i="31"/>
  <c r="AO354" i="31"/>
  <c r="R572" i="31"/>
  <c r="Q572" i="31"/>
  <c r="AP572" i="31"/>
  <c r="AO572" i="31"/>
  <c r="R478" i="31"/>
  <c r="Q478" i="31"/>
  <c r="AP478" i="31"/>
  <c r="AO478" i="31"/>
  <c r="R521" i="31"/>
  <c r="Q521" i="31"/>
  <c r="AO521" i="31"/>
  <c r="AP521" i="31"/>
  <c r="R388" i="31"/>
  <c r="Q388" i="31"/>
  <c r="AP388" i="31"/>
  <c r="AO388" i="31"/>
  <c r="R26" i="31"/>
  <c r="Q26" i="31"/>
  <c r="AP26" i="31"/>
  <c r="AO26" i="31"/>
  <c r="R271" i="31"/>
  <c r="Q271" i="31"/>
  <c r="AP271" i="31"/>
  <c r="AO271" i="31"/>
  <c r="R314" i="31"/>
  <c r="Q314" i="31"/>
  <c r="AP314" i="31"/>
  <c r="AO314" i="31"/>
  <c r="Q325" i="31"/>
  <c r="R325" i="31"/>
  <c r="AP325" i="31"/>
  <c r="AO325" i="31"/>
  <c r="R443" i="31"/>
  <c r="Q443" i="31"/>
  <c r="AO443" i="31"/>
  <c r="AP443" i="31"/>
  <c r="R187" i="31"/>
  <c r="Q187" i="31"/>
  <c r="AO187" i="31"/>
  <c r="AP187" i="31"/>
  <c r="R486" i="31"/>
  <c r="Q486" i="31"/>
  <c r="AO486" i="31"/>
  <c r="AP486" i="31"/>
  <c r="R198" i="31"/>
  <c r="Q198" i="31"/>
  <c r="AP198" i="31"/>
  <c r="AO198" i="31"/>
  <c r="R497" i="31"/>
  <c r="Q497" i="31"/>
  <c r="AP497" i="31"/>
  <c r="AO497" i="31"/>
  <c r="R241" i="31"/>
  <c r="Q241" i="31"/>
  <c r="AP241" i="31"/>
  <c r="AO241" i="31"/>
  <c r="R292" i="31"/>
  <c r="Q292" i="31"/>
  <c r="AP292" i="31"/>
  <c r="AO292" i="31"/>
  <c r="R304" i="31"/>
  <c r="Q304" i="31"/>
  <c r="AO304" i="31"/>
  <c r="AP304" i="31"/>
  <c r="R43" i="31"/>
  <c r="Q43" i="31"/>
  <c r="AP43" i="31"/>
  <c r="AO43" i="31"/>
  <c r="R535" i="31"/>
  <c r="Q535" i="31"/>
  <c r="AO535" i="31"/>
  <c r="AP535" i="31"/>
  <c r="Q279" i="31"/>
  <c r="R279" i="31"/>
  <c r="AP279" i="31"/>
  <c r="AO279" i="31"/>
  <c r="Q578" i="31"/>
  <c r="R578" i="31"/>
  <c r="AO578" i="31"/>
  <c r="AP578" i="31"/>
  <c r="Q290" i="31"/>
  <c r="R290" i="31"/>
  <c r="AP290" i="31"/>
  <c r="AO290" i="31"/>
  <c r="R589" i="31"/>
  <c r="Q589" i="31"/>
  <c r="AO589" i="31"/>
  <c r="AP589" i="31"/>
  <c r="R333" i="31"/>
  <c r="Q333" i="31"/>
  <c r="AP333" i="31"/>
  <c r="AO333" i="31"/>
  <c r="AP77" i="31"/>
  <c r="Q77" i="31"/>
  <c r="R77" i="31"/>
  <c r="AO77" i="31"/>
  <c r="R21" i="31"/>
  <c r="Q21" i="31"/>
  <c r="AP21" i="31"/>
  <c r="AO21" i="31"/>
  <c r="Q444" i="31"/>
  <c r="R444" i="31"/>
  <c r="AO444" i="31"/>
  <c r="AP444" i="31"/>
  <c r="R50" i="31"/>
  <c r="Q50" i="31"/>
  <c r="AP50" i="31"/>
  <c r="AO50" i="31"/>
  <c r="Q403" i="31"/>
  <c r="R403" i="31"/>
  <c r="AO403" i="31"/>
  <c r="AP403" i="31"/>
  <c r="Q147" i="31"/>
  <c r="R147" i="31"/>
  <c r="AP147" i="31"/>
  <c r="AO147" i="31"/>
  <c r="R446" i="31"/>
  <c r="Q446" i="31"/>
  <c r="AP446" i="31"/>
  <c r="AO446" i="31"/>
  <c r="Q190" i="31"/>
  <c r="R190" i="31"/>
  <c r="AP190" i="31"/>
  <c r="AO190" i="31"/>
  <c r="R489" i="31"/>
  <c r="Q489" i="31"/>
  <c r="AO489" i="31"/>
  <c r="AP489" i="31"/>
  <c r="R233" i="31"/>
  <c r="Q233" i="31"/>
  <c r="AP233" i="31"/>
  <c r="AO233" i="31"/>
  <c r="R260" i="31"/>
  <c r="Q260" i="31"/>
  <c r="AP260" i="31"/>
  <c r="AO260" i="31"/>
  <c r="R400" i="31"/>
  <c r="Q400" i="31"/>
  <c r="AP400" i="31"/>
  <c r="AO400" i="31"/>
  <c r="R584" i="31"/>
  <c r="Q584" i="31"/>
  <c r="AP584" i="31"/>
  <c r="AO584" i="31"/>
  <c r="R495" i="31"/>
  <c r="Q495" i="31"/>
  <c r="AO495" i="31"/>
  <c r="AP495" i="31"/>
  <c r="R239" i="31"/>
  <c r="Q239" i="31"/>
  <c r="AO239" i="31"/>
  <c r="AP239" i="31"/>
  <c r="R538" i="31"/>
  <c r="Q538" i="31"/>
  <c r="AO538" i="31"/>
  <c r="AP538" i="31"/>
  <c r="R282" i="31"/>
  <c r="Q282" i="31"/>
  <c r="AP282" i="31"/>
  <c r="AO282" i="31"/>
  <c r="Q549" i="31"/>
  <c r="R549" i="31"/>
  <c r="AP549" i="31"/>
  <c r="AO549" i="31"/>
  <c r="Q293" i="31"/>
  <c r="R293" i="31"/>
  <c r="AO293" i="31"/>
  <c r="AP293" i="31"/>
  <c r="R500" i="31"/>
  <c r="Q500" i="31"/>
  <c r="AO500" i="31"/>
  <c r="AP500" i="31"/>
  <c r="R30" i="31"/>
  <c r="Q30" i="31"/>
  <c r="AP30" i="31"/>
  <c r="AO30" i="31"/>
  <c r="R284" i="31"/>
  <c r="Q284" i="31"/>
  <c r="AO284" i="31"/>
  <c r="AP284" i="31"/>
  <c r="Q626" i="31"/>
  <c r="R626" i="31"/>
  <c r="AO626" i="31"/>
  <c r="H636" i="31" s="1"/>
  <c r="AP626" i="31"/>
  <c r="R363" i="31"/>
  <c r="Q363" i="31"/>
  <c r="AO363" i="31"/>
  <c r="AP363" i="31"/>
  <c r="R107" i="31"/>
  <c r="Q107" i="31"/>
  <c r="AP107" i="31"/>
  <c r="AO107" i="31"/>
  <c r="R406" i="31"/>
  <c r="Q406" i="31"/>
  <c r="AP406" i="31"/>
  <c r="AO406" i="31"/>
  <c r="R150" i="31"/>
  <c r="Q150" i="31"/>
  <c r="AP150" i="31"/>
  <c r="AO150" i="31"/>
  <c r="R449" i="31"/>
  <c r="Q449" i="31"/>
  <c r="AO449" i="31"/>
  <c r="AP449" i="31"/>
  <c r="R161" i="31"/>
  <c r="Q161" i="31"/>
  <c r="AP161" i="31"/>
  <c r="AO161" i="31"/>
  <c r="R48" i="31"/>
  <c r="Q48" i="31"/>
  <c r="AO48" i="31"/>
  <c r="AP48" i="31"/>
  <c r="R34" i="31"/>
  <c r="Q34" i="31"/>
  <c r="AO34" i="31"/>
  <c r="AP34" i="31"/>
  <c r="R424" i="31"/>
  <c r="Q424" i="31"/>
  <c r="AO424" i="31"/>
  <c r="AP424" i="31"/>
  <c r="Q487" i="31"/>
  <c r="R487" i="31"/>
  <c r="AO487" i="31"/>
  <c r="AP487" i="31"/>
  <c r="R231" i="31"/>
  <c r="Q231" i="31"/>
  <c r="AP231" i="31"/>
  <c r="AO231" i="31"/>
  <c r="R530" i="31"/>
  <c r="Q530" i="31"/>
  <c r="AP530" i="31"/>
  <c r="AO530" i="31"/>
  <c r="R274" i="31"/>
  <c r="Q274" i="31"/>
  <c r="AP274" i="31"/>
  <c r="AO274" i="31"/>
  <c r="Q573" i="31"/>
  <c r="R573" i="31"/>
  <c r="AP573" i="31"/>
  <c r="AO573" i="31"/>
  <c r="R317" i="31"/>
  <c r="Q317" i="31"/>
  <c r="AO317" i="31"/>
  <c r="AP317" i="31"/>
  <c r="Q596" i="31"/>
  <c r="R596" i="31"/>
  <c r="AO596" i="31"/>
  <c r="AP596" i="31"/>
  <c r="R104" i="31"/>
  <c r="Q104" i="31"/>
  <c r="AP104" i="31"/>
  <c r="AO104" i="31"/>
  <c r="R252" i="31"/>
  <c r="Q252" i="31"/>
  <c r="AP252" i="31"/>
  <c r="AO252" i="31"/>
  <c r="Q579" i="31"/>
  <c r="R579" i="31"/>
  <c r="AO579" i="31"/>
  <c r="AP579" i="31"/>
  <c r="Q323" i="31"/>
  <c r="R323" i="31"/>
  <c r="AO323" i="31"/>
  <c r="AP323" i="31"/>
  <c r="Q366" i="31"/>
  <c r="R366" i="31"/>
  <c r="AO366" i="31"/>
  <c r="AP366" i="31"/>
  <c r="R110" i="31"/>
  <c r="Q110" i="31"/>
  <c r="AO110" i="31"/>
  <c r="AP110" i="31"/>
  <c r="R409" i="31"/>
  <c r="Q409" i="31"/>
  <c r="AO409" i="31"/>
  <c r="AP409" i="31"/>
  <c r="R153" i="31"/>
  <c r="Q153" i="31"/>
  <c r="AO153" i="31"/>
  <c r="AP153" i="31"/>
  <c r="R66" i="31"/>
  <c r="Q66" i="31"/>
  <c r="AP66" i="31"/>
  <c r="AO66" i="31"/>
  <c r="Q15" i="31"/>
  <c r="R15" i="31"/>
  <c r="AP15" i="31"/>
  <c r="AO15" i="31"/>
  <c r="Q392" i="31"/>
  <c r="R392" i="31"/>
  <c r="AP392" i="31"/>
  <c r="AO392" i="31"/>
  <c r="R447" i="31"/>
  <c r="Q447" i="31"/>
  <c r="AO447" i="31"/>
  <c r="AP447" i="31"/>
  <c r="Q191" i="31"/>
  <c r="R191" i="31"/>
  <c r="AO191" i="31"/>
  <c r="AP191" i="31"/>
  <c r="R458" i="31"/>
  <c r="Q458" i="31"/>
  <c r="AP458" i="31"/>
  <c r="AO458" i="31"/>
  <c r="R202" i="31"/>
  <c r="Q202" i="31"/>
  <c r="AP202" i="31"/>
  <c r="AO202" i="31"/>
  <c r="Q501" i="31"/>
  <c r="R501" i="31"/>
  <c r="AP501" i="31"/>
  <c r="AO501" i="31"/>
  <c r="R245" i="31"/>
  <c r="Q245" i="31"/>
  <c r="AO245" i="31"/>
  <c r="AP245" i="31"/>
  <c r="R180" i="31"/>
  <c r="Q180" i="31"/>
  <c r="AP180" i="31"/>
  <c r="AO180" i="31"/>
  <c r="R320" i="31"/>
  <c r="Q320" i="31"/>
  <c r="AP320" i="31"/>
  <c r="AO320" i="31"/>
  <c r="R19" i="31"/>
  <c r="Q19" i="31"/>
  <c r="AO19" i="31"/>
  <c r="AP19" i="31"/>
  <c r="R322" i="31"/>
  <c r="Q322" i="31"/>
  <c r="AO322" i="31"/>
  <c r="AP322" i="31"/>
  <c r="R567" i="31"/>
  <c r="Q567" i="31"/>
  <c r="AP567" i="31"/>
  <c r="AO567" i="31"/>
  <c r="Q365" i="31"/>
  <c r="R365" i="31"/>
  <c r="AP365" i="31"/>
  <c r="AO365" i="31"/>
  <c r="Q411" i="31"/>
  <c r="R411" i="31"/>
  <c r="AP411" i="31"/>
  <c r="AO411" i="31"/>
  <c r="R454" i="31"/>
  <c r="Q454" i="31"/>
  <c r="AO454" i="31"/>
  <c r="AP454" i="31"/>
  <c r="R465" i="31"/>
  <c r="Q465" i="31"/>
  <c r="AP465" i="31"/>
  <c r="AO465" i="31"/>
  <c r="R209" i="31"/>
  <c r="Q209" i="31"/>
  <c r="AP209" i="31"/>
  <c r="AO209" i="31"/>
  <c r="Q164" i="31"/>
  <c r="R164" i="31"/>
  <c r="AO164" i="31"/>
  <c r="AP164" i="31"/>
  <c r="Q176" i="31"/>
  <c r="R176" i="31"/>
  <c r="AP176" i="31"/>
  <c r="AO176" i="31"/>
  <c r="R488" i="31"/>
  <c r="Q488" i="31"/>
  <c r="AP488" i="31"/>
  <c r="AO488" i="31"/>
  <c r="R503" i="31"/>
  <c r="Q503" i="31"/>
  <c r="AO503" i="31"/>
  <c r="AP503" i="31"/>
  <c r="R247" i="31"/>
  <c r="Q247" i="31"/>
  <c r="AO247" i="31"/>
  <c r="AP247" i="31"/>
  <c r="Q546" i="31"/>
  <c r="R546" i="31"/>
  <c r="AP546" i="31"/>
  <c r="AO546" i="31"/>
  <c r="Q258" i="31"/>
  <c r="R258" i="31"/>
  <c r="AO258" i="31"/>
  <c r="AP258" i="31"/>
  <c r="Q557" i="31"/>
  <c r="R557" i="31"/>
  <c r="AP557" i="31"/>
  <c r="AO557" i="31"/>
  <c r="R301" i="31"/>
  <c r="Q301" i="31"/>
  <c r="AO301" i="31"/>
  <c r="AP301" i="31"/>
  <c r="R532" i="31"/>
  <c r="Q532" i="31"/>
  <c r="AP532" i="31"/>
  <c r="AO532" i="31"/>
  <c r="R84" i="31"/>
  <c r="Q84" i="31"/>
  <c r="AO84" i="31"/>
  <c r="AP84" i="31"/>
  <c r="Q316" i="31"/>
  <c r="R316" i="31"/>
  <c r="AP316" i="31"/>
  <c r="AO316" i="31"/>
  <c r="AO24" i="31"/>
  <c r="R24" i="31"/>
  <c r="Q24" i="31"/>
  <c r="AP24" i="31"/>
  <c r="R371" i="31"/>
  <c r="Q371" i="31"/>
  <c r="AO371" i="31"/>
  <c r="AP371" i="31"/>
  <c r="Q115" i="31"/>
  <c r="R115" i="31"/>
  <c r="AP115" i="31"/>
  <c r="AO115" i="31"/>
  <c r="R414" i="31"/>
  <c r="Q414" i="31"/>
  <c r="AP414" i="31"/>
  <c r="AO414" i="31"/>
  <c r="R158" i="31"/>
  <c r="Q158" i="31"/>
  <c r="AP158" i="31"/>
  <c r="AO158" i="31"/>
  <c r="R457" i="31"/>
  <c r="Q457" i="31"/>
  <c r="AP457" i="31"/>
  <c r="AO457" i="31"/>
  <c r="R201" i="31"/>
  <c r="Q201" i="31"/>
  <c r="AP201" i="31"/>
  <c r="AO201" i="31"/>
  <c r="R100" i="31"/>
  <c r="Q100" i="31"/>
  <c r="AO100" i="31"/>
  <c r="AP100" i="31"/>
  <c r="R108" i="31"/>
  <c r="Q108" i="31"/>
  <c r="AP108" i="31"/>
  <c r="AO108" i="31"/>
  <c r="R456" i="31"/>
  <c r="Q456" i="31"/>
  <c r="AP456" i="31"/>
  <c r="AO456" i="31"/>
  <c r="Q463" i="31"/>
  <c r="R463" i="31"/>
  <c r="AO463" i="31"/>
  <c r="AP463" i="31"/>
  <c r="Q207" i="31"/>
  <c r="R207" i="31"/>
  <c r="AP207" i="31"/>
  <c r="AO207" i="31"/>
  <c r="R506" i="31"/>
  <c r="Q506" i="31"/>
  <c r="AO506" i="31"/>
  <c r="AP506" i="31"/>
  <c r="Q250" i="31"/>
  <c r="R250" i="31"/>
  <c r="AP250" i="31"/>
  <c r="AO250" i="31"/>
  <c r="R517" i="31"/>
  <c r="Q517" i="31"/>
  <c r="AP517" i="31"/>
  <c r="AO517" i="31"/>
  <c r="Q261" i="31"/>
  <c r="R261" i="31"/>
  <c r="AO261" i="31"/>
  <c r="AP261" i="31"/>
  <c r="R372" i="31"/>
  <c r="Q372" i="31"/>
  <c r="AP372" i="31"/>
  <c r="AO372" i="31"/>
  <c r="R512" i="31"/>
  <c r="Q512" i="31"/>
  <c r="AP512" i="31"/>
  <c r="AO512" i="31"/>
  <c r="R148" i="31"/>
  <c r="Q148" i="31"/>
  <c r="AO148" i="31"/>
  <c r="AP148" i="31"/>
  <c r="R587" i="31"/>
  <c r="Q587" i="31"/>
  <c r="AP587" i="31"/>
  <c r="AO587" i="31"/>
  <c r="Q331" i="31"/>
  <c r="R331" i="31"/>
  <c r="AP331" i="31"/>
  <c r="AO331" i="31"/>
  <c r="R75" i="31"/>
  <c r="Q75" i="31"/>
  <c r="AP75" i="31"/>
  <c r="AO75" i="31"/>
  <c r="Q374" i="31"/>
  <c r="R374" i="31"/>
  <c r="AP374" i="31"/>
  <c r="AO374" i="31"/>
  <c r="R118" i="31"/>
  <c r="Q118" i="31"/>
  <c r="AP118" i="31"/>
  <c r="AO118" i="31"/>
  <c r="R417" i="31"/>
  <c r="Q417" i="31"/>
  <c r="AO417" i="31"/>
  <c r="AP417" i="31"/>
  <c r="R129" i="31"/>
  <c r="Q129" i="31"/>
  <c r="AO129" i="31"/>
  <c r="AP129" i="31"/>
  <c r="R46" i="31"/>
  <c r="Q46" i="31"/>
  <c r="AO46" i="31"/>
  <c r="AP46" i="31"/>
  <c r="R40" i="31"/>
  <c r="Q40" i="31"/>
  <c r="AO40" i="31"/>
  <c r="AP40" i="31"/>
  <c r="R296" i="31"/>
  <c r="Q296" i="31"/>
  <c r="AO296" i="31"/>
  <c r="AP296" i="31"/>
  <c r="Q455" i="31"/>
  <c r="R455" i="31"/>
  <c r="AO455" i="31"/>
  <c r="AP455" i="31"/>
  <c r="Q199" i="31"/>
  <c r="R199" i="31"/>
  <c r="AO199" i="31"/>
  <c r="AP199" i="31"/>
  <c r="R498" i="31"/>
  <c r="Q498" i="31"/>
  <c r="AP498" i="31"/>
  <c r="AO498" i="31"/>
  <c r="R242" i="31"/>
  <c r="Q242" i="31"/>
  <c r="AO242" i="31"/>
  <c r="AP242" i="31"/>
  <c r="R541" i="31"/>
  <c r="Q541" i="31"/>
  <c r="AP541" i="31"/>
  <c r="AO541" i="31"/>
  <c r="R285" i="31"/>
  <c r="Q285" i="31"/>
  <c r="AP285" i="31"/>
  <c r="AO285" i="31"/>
  <c r="R468" i="31"/>
  <c r="Q468" i="31"/>
  <c r="AP468" i="31"/>
  <c r="AO468" i="31"/>
  <c r="R608" i="31"/>
  <c r="Q608" i="31"/>
  <c r="AO608" i="31"/>
  <c r="AP608" i="31"/>
  <c r="R72" i="31"/>
  <c r="Q72" i="31"/>
  <c r="AP72" i="31"/>
  <c r="AO72" i="31"/>
  <c r="R547" i="31"/>
  <c r="Q547" i="31"/>
  <c r="AO547" i="31"/>
  <c r="AP547" i="31"/>
  <c r="R291" i="31"/>
  <c r="Q291" i="31"/>
  <c r="AP291" i="31"/>
  <c r="AO291" i="31"/>
  <c r="R590" i="31"/>
  <c r="Q590" i="31"/>
  <c r="AP590" i="31"/>
  <c r="AO590" i="31"/>
  <c r="R334" i="31"/>
  <c r="Q334" i="31"/>
  <c r="AO334" i="31"/>
  <c r="AP334" i="31"/>
  <c r="R78" i="31"/>
  <c r="Q78" i="31"/>
  <c r="AO78" i="31"/>
  <c r="AP78" i="31"/>
  <c r="Q377" i="31"/>
  <c r="R377" i="31"/>
  <c r="AP377" i="31"/>
  <c r="AO377" i="31"/>
  <c r="R121" i="31"/>
  <c r="Q121" i="31"/>
  <c r="AO121" i="31"/>
  <c r="AP121" i="31"/>
  <c r="R51" i="31"/>
  <c r="Q51" i="31"/>
  <c r="AO51" i="31"/>
  <c r="AP51" i="31"/>
  <c r="R112" i="31"/>
  <c r="Q112" i="31"/>
  <c r="AP112" i="31"/>
  <c r="AO112" i="31"/>
  <c r="R264" i="31"/>
  <c r="Q264" i="31"/>
  <c r="AP264" i="31"/>
  <c r="AO264" i="31"/>
  <c r="R415" i="31"/>
  <c r="Q415" i="31"/>
  <c r="AP415" i="31"/>
  <c r="AO415" i="31"/>
  <c r="R159" i="31"/>
  <c r="Q159" i="31"/>
  <c r="AO159" i="31"/>
  <c r="AP159" i="31"/>
  <c r="R426" i="31"/>
  <c r="Q426" i="31"/>
  <c r="AO426" i="31"/>
  <c r="AP426" i="31"/>
  <c r="R170" i="31"/>
  <c r="Q170" i="31"/>
  <c r="AO170" i="31"/>
  <c r="AP170" i="31"/>
  <c r="Q469" i="31"/>
  <c r="R469" i="31"/>
  <c r="AO469" i="31"/>
  <c r="AP469" i="31"/>
  <c r="Q213" i="31"/>
  <c r="R213" i="31"/>
  <c r="AP213" i="31"/>
  <c r="AO213" i="31"/>
  <c r="R36" i="31"/>
  <c r="Q36" i="31"/>
  <c r="AP36" i="31"/>
  <c r="AO36" i="31"/>
  <c r="Q192" i="31"/>
  <c r="R192" i="31"/>
  <c r="AO192" i="31"/>
  <c r="AP192" i="31"/>
  <c r="R504" i="31"/>
  <c r="Q504" i="31"/>
  <c r="AO504" i="31"/>
  <c r="AP504" i="31"/>
  <c r="R13" i="31"/>
  <c r="Q13" i="31"/>
  <c r="AP13" i="31"/>
  <c r="AO13" i="31"/>
  <c r="R380" i="31"/>
  <c r="Q380" i="31"/>
  <c r="AO380" i="31"/>
  <c r="AP380" i="31"/>
  <c r="Q230" i="31"/>
  <c r="R230" i="31"/>
  <c r="AP230" i="31"/>
  <c r="AO230" i="31"/>
  <c r="R610" i="31"/>
  <c r="Q610" i="31"/>
  <c r="AO610" i="31"/>
  <c r="AP610" i="31"/>
  <c r="Q216" i="31"/>
  <c r="R216" i="31"/>
  <c r="AO216" i="31"/>
  <c r="AP216" i="31"/>
  <c r="R166" i="31"/>
  <c r="Q166" i="31"/>
  <c r="AO166" i="31"/>
  <c r="AP166" i="31"/>
  <c r="Q379" i="31"/>
  <c r="R379" i="31"/>
  <c r="AP379" i="31"/>
  <c r="AO379" i="31"/>
  <c r="R134" i="31"/>
  <c r="Q134" i="31"/>
  <c r="AO134" i="31"/>
  <c r="AP134" i="31"/>
  <c r="R177" i="31"/>
  <c r="Q177" i="31"/>
  <c r="AO177" i="31"/>
  <c r="AP177" i="31"/>
  <c r="Q613" i="31"/>
  <c r="R613" i="31"/>
  <c r="AP613" i="31"/>
  <c r="AO613" i="31"/>
  <c r="R360" i="31"/>
  <c r="Q360" i="31"/>
  <c r="AP360" i="31"/>
  <c r="AO360" i="31"/>
  <c r="R471" i="31"/>
  <c r="Q471" i="31"/>
  <c r="AO471" i="31"/>
  <c r="AP471" i="31"/>
  <c r="R215" i="31"/>
  <c r="Q215" i="31"/>
  <c r="AP215" i="31"/>
  <c r="AO215" i="31"/>
  <c r="R514" i="31"/>
  <c r="Q514" i="31"/>
  <c r="AO514" i="31"/>
  <c r="AP514" i="31"/>
  <c r="R226" i="31"/>
  <c r="Q226" i="31"/>
  <c r="AO226" i="31"/>
  <c r="AP226" i="31"/>
  <c r="Q525" i="31"/>
  <c r="R525" i="31"/>
  <c r="AP525" i="31"/>
  <c r="AO525" i="31"/>
  <c r="R269" i="31"/>
  <c r="Q269" i="31"/>
  <c r="AO269" i="31"/>
  <c r="AP269" i="31"/>
  <c r="R404" i="31"/>
  <c r="Q404" i="31"/>
  <c r="AP404" i="31"/>
  <c r="AO404" i="31"/>
  <c r="Q544" i="31"/>
  <c r="R544" i="31"/>
  <c r="AP544" i="31"/>
  <c r="AO544" i="31"/>
  <c r="R188" i="31"/>
  <c r="Q188" i="31"/>
  <c r="AO188" i="31"/>
  <c r="AP188" i="31"/>
  <c r="Q595" i="31"/>
  <c r="R595" i="31"/>
  <c r="AO595" i="31"/>
  <c r="AP595" i="31"/>
  <c r="R339" i="31"/>
  <c r="Q339" i="31"/>
  <c r="AO339" i="31"/>
  <c r="AP339" i="31"/>
  <c r="R83" i="31"/>
  <c r="Q83" i="31"/>
  <c r="AP83" i="31"/>
  <c r="AO83" i="31"/>
  <c r="Q382" i="31"/>
  <c r="R382" i="31"/>
  <c r="AO382" i="31"/>
  <c r="AP382" i="31"/>
  <c r="R126" i="31"/>
  <c r="Q126" i="31"/>
  <c r="AP126" i="31"/>
  <c r="AO126" i="31"/>
  <c r="R425" i="31"/>
  <c r="Q425" i="31"/>
  <c r="AO425" i="31"/>
  <c r="AP425" i="31"/>
  <c r="R169" i="31"/>
  <c r="Q169" i="31"/>
  <c r="AP169" i="31"/>
  <c r="AO169" i="31"/>
  <c r="Q67" i="31"/>
  <c r="R67" i="31"/>
  <c r="AO67" i="31"/>
  <c r="AP67" i="31"/>
  <c r="R96" i="31"/>
  <c r="Q96" i="31"/>
  <c r="AP96" i="31"/>
  <c r="AO96" i="31"/>
  <c r="Q328" i="31"/>
  <c r="R328" i="31"/>
  <c r="AO328" i="31"/>
  <c r="AP328" i="31"/>
  <c r="R431" i="31"/>
  <c r="Q431" i="31"/>
  <c r="AP431" i="31"/>
  <c r="AO431" i="31"/>
  <c r="R175" i="31"/>
  <c r="Q175" i="31"/>
  <c r="AP175" i="31"/>
  <c r="AO175" i="31"/>
  <c r="Q474" i="31"/>
  <c r="R474" i="31"/>
  <c r="AO474" i="31"/>
  <c r="AP474" i="31"/>
  <c r="R218" i="31"/>
  <c r="Q218" i="31"/>
  <c r="AP218" i="31"/>
  <c r="AO218" i="31"/>
  <c r="R485" i="31"/>
  <c r="Q485" i="31"/>
  <c r="AP485" i="31"/>
  <c r="AO485" i="31"/>
  <c r="Q229" i="31"/>
  <c r="R229" i="31"/>
  <c r="AO229" i="31"/>
  <c r="AP229" i="31"/>
  <c r="R244" i="31"/>
  <c r="Q244" i="31"/>
  <c r="AO244" i="31"/>
  <c r="AP244" i="31"/>
  <c r="R384" i="31"/>
  <c r="Q384" i="31"/>
  <c r="AP384" i="31"/>
  <c r="AO384" i="31"/>
  <c r="Q20" i="31"/>
  <c r="R20" i="31"/>
  <c r="AO20" i="31"/>
  <c r="AP20" i="31"/>
  <c r="Q555" i="31"/>
  <c r="R555" i="31"/>
  <c r="AP555" i="31"/>
  <c r="AO555" i="31"/>
  <c r="Q299" i="31"/>
  <c r="R299" i="31"/>
  <c r="AO299" i="31"/>
  <c r="AP299" i="31"/>
  <c r="R598" i="31"/>
  <c r="Q598" i="31"/>
  <c r="AO598" i="31"/>
  <c r="AP598" i="31"/>
  <c r="Q342" i="31"/>
  <c r="R342" i="31"/>
  <c r="AP342" i="31"/>
  <c r="AO342" i="31"/>
  <c r="R86" i="31"/>
  <c r="Q86" i="31"/>
  <c r="AO86" i="31"/>
  <c r="AP86" i="31"/>
  <c r="R385" i="31"/>
  <c r="Q385" i="31"/>
  <c r="AO385" i="31"/>
  <c r="AP385" i="31"/>
  <c r="R97" i="31"/>
  <c r="Q97" i="31"/>
  <c r="AP97" i="31"/>
  <c r="AO97" i="31"/>
  <c r="R41" i="31"/>
  <c r="Q41" i="31"/>
  <c r="AP41" i="31"/>
  <c r="AO41" i="31"/>
  <c r="Q524" i="31"/>
  <c r="R524" i="31"/>
  <c r="AO524" i="31"/>
  <c r="AP524" i="31"/>
  <c r="R168" i="31"/>
  <c r="Q168" i="31"/>
  <c r="AO168" i="31"/>
  <c r="AP168" i="31"/>
  <c r="R423" i="31"/>
  <c r="Q423" i="31"/>
  <c r="AP423" i="31"/>
  <c r="AO423" i="31"/>
  <c r="R167" i="31"/>
  <c r="Q167" i="31"/>
  <c r="AO167" i="31"/>
  <c r="AP167" i="31"/>
  <c r="Q466" i="31"/>
  <c r="R466" i="31"/>
  <c r="AP466" i="31"/>
  <c r="AO466" i="31"/>
  <c r="Q210" i="31"/>
  <c r="R210" i="31"/>
  <c r="AP210" i="31"/>
  <c r="AO210" i="31"/>
  <c r="R509" i="31"/>
  <c r="Q509" i="31"/>
  <c r="AO509" i="31"/>
  <c r="AP509" i="31"/>
  <c r="R253" i="31"/>
  <c r="Q253" i="31"/>
  <c r="AO253" i="31"/>
  <c r="AP253" i="31"/>
  <c r="R340" i="31"/>
  <c r="Q340" i="31"/>
  <c r="AP340" i="31"/>
  <c r="AO340" i="31"/>
  <c r="Q480" i="31"/>
  <c r="R480" i="31"/>
  <c r="AO480" i="31"/>
  <c r="AP480" i="31"/>
  <c r="Q64" i="31"/>
  <c r="R64" i="31"/>
  <c r="AO64" i="31"/>
  <c r="AP64" i="31"/>
  <c r="Q515" i="31"/>
  <c r="R515" i="31"/>
  <c r="AO515" i="31"/>
  <c r="AP515" i="31"/>
  <c r="R259" i="31"/>
  <c r="Q259" i="31"/>
  <c r="AO259" i="31"/>
  <c r="AP259" i="31"/>
  <c r="Q558" i="31"/>
  <c r="R558" i="31"/>
  <c r="AP558" i="31"/>
  <c r="AO558" i="31"/>
  <c r="R302" i="31"/>
  <c r="Q302" i="31"/>
  <c r="AO302" i="31"/>
  <c r="AP302" i="31"/>
  <c r="Q601" i="31"/>
  <c r="R601" i="31"/>
  <c r="AP601" i="31"/>
  <c r="AO601" i="31"/>
  <c r="R345" i="31"/>
  <c r="Q345" i="31"/>
  <c r="AP345" i="31"/>
  <c r="AO345" i="31"/>
  <c r="R89" i="31"/>
  <c r="Q89" i="31"/>
  <c r="AO89" i="31"/>
  <c r="AP89" i="31"/>
  <c r="AO17" i="31"/>
  <c r="Q17" i="31"/>
  <c r="R17" i="31"/>
  <c r="AP17" i="31"/>
  <c r="Q492" i="31"/>
  <c r="R492" i="31"/>
  <c r="AP492" i="31"/>
  <c r="AO492" i="31"/>
  <c r="Q124" i="31"/>
  <c r="R124" i="31"/>
  <c r="AP124" i="31"/>
  <c r="AO124" i="31"/>
  <c r="R383" i="31"/>
  <c r="Q383" i="31"/>
  <c r="AO383" i="31"/>
  <c r="AP383" i="31"/>
  <c r="R127" i="31"/>
  <c r="Q127" i="31"/>
  <c r="AO127" i="31"/>
  <c r="AP127" i="31"/>
  <c r="R394" i="31"/>
  <c r="Q394" i="31"/>
  <c r="AP394" i="31"/>
  <c r="AO394" i="31"/>
  <c r="R138" i="31"/>
  <c r="Q138" i="31"/>
  <c r="AP138" i="31"/>
  <c r="AO138" i="31"/>
  <c r="Q437" i="31"/>
  <c r="R437" i="31"/>
  <c r="AP437" i="31"/>
  <c r="AO437" i="31"/>
  <c r="R181" i="31"/>
  <c r="Q181" i="31"/>
  <c r="AO181" i="31"/>
  <c r="AP181" i="31"/>
  <c r="Q60" i="31"/>
  <c r="R60" i="31"/>
  <c r="AO60" i="31"/>
  <c r="AP60" i="31"/>
  <c r="R49" i="31"/>
  <c r="Q49" i="31"/>
  <c r="AP49" i="31"/>
  <c r="AO49" i="31"/>
  <c r="R376" i="31"/>
  <c r="Q376" i="31"/>
  <c r="AP376" i="31"/>
  <c r="AO376" i="31"/>
  <c r="R422" i="31"/>
  <c r="Q422" i="31"/>
  <c r="AP422" i="31"/>
  <c r="AO422" i="31"/>
  <c r="R529" i="31"/>
  <c r="Q529" i="31"/>
  <c r="AP529" i="31"/>
  <c r="AO529" i="31"/>
  <c r="R311" i="31"/>
  <c r="Q311" i="31"/>
  <c r="AO311" i="31"/>
  <c r="AP311" i="31"/>
  <c r="Q62" i="31"/>
  <c r="R62" i="31"/>
  <c r="AP62" i="31"/>
  <c r="AO62" i="31"/>
  <c r="Q155" i="31"/>
  <c r="R155" i="31"/>
  <c r="AO155" i="31"/>
  <c r="AP155" i="31"/>
  <c r="R123" i="31"/>
  <c r="Q123" i="31"/>
  <c r="AO123" i="31"/>
  <c r="AP123" i="31"/>
  <c r="R390" i="31"/>
  <c r="Q390" i="31"/>
  <c r="AO390" i="31"/>
  <c r="AP390" i="31"/>
  <c r="R433" i="31"/>
  <c r="Q433" i="31"/>
  <c r="AP433" i="31"/>
  <c r="AO433" i="31"/>
  <c r="Q29" i="31"/>
  <c r="R29" i="31"/>
  <c r="AO29" i="31"/>
  <c r="AP29" i="31"/>
  <c r="R603" i="31"/>
  <c r="Q603" i="31"/>
  <c r="AP603" i="31"/>
  <c r="AO603" i="31"/>
  <c r="R347" i="31"/>
  <c r="Q347" i="31"/>
  <c r="AP347" i="31"/>
  <c r="AO347" i="31"/>
  <c r="R91" i="31"/>
  <c r="Q91" i="31"/>
  <c r="AO91" i="31"/>
  <c r="AP91" i="31"/>
  <c r="R358" i="31"/>
  <c r="Q358" i="31"/>
  <c r="AO358" i="31"/>
  <c r="AP358" i="31"/>
  <c r="R102" i="31"/>
  <c r="Q102" i="31"/>
  <c r="AP102" i="31"/>
  <c r="AO102" i="31"/>
  <c r="R401" i="31"/>
  <c r="Q401" i="31"/>
  <c r="AP401" i="31"/>
  <c r="AO401" i="31"/>
  <c r="R145" i="31"/>
  <c r="Q145" i="31"/>
  <c r="AO145" i="31"/>
  <c r="AP145" i="31"/>
  <c r="R53" i="31"/>
  <c r="Q53" i="31"/>
  <c r="AO53" i="31"/>
  <c r="AP53" i="31"/>
  <c r="R588" i="31"/>
  <c r="Q588" i="31"/>
  <c r="AP588" i="31"/>
  <c r="AO588" i="31"/>
  <c r="R232" i="31"/>
  <c r="Q232" i="31"/>
  <c r="AP232" i="31"/>
  <c r="AO232" i="31"/>
  <c r="Q439" i="31"/>
  <c r="R439" i="31"/>
  <c r="AO439" i="31"/>
  <c r="AP439" i="31"/>
  <c r="R183" i="31"/>
  <c r="Q183" i="31"/>
  <c r="AP183" i="31"/>
  <c r="AO183" i="31"/>
  <c r="Q482" i="31"/>
  <c r="R482" i="31"/>
  <c r="AO482" i="31"/>
  <c r="AP482" i="31"/>
  <c r="R194" i="31"/>
  <c r="Q194" i="31"/>
  <c r="AP194" i="31"/>
  <c r="AO194" i="31"/>
  <c r="Q493" i="31"/>
  <c r="R493" i="31"/>
  <c r="AO493" i="31"/>
  <c r="AP493" i="31"/>
  <c r="R237" i="31"/>
  <c r="Q237" i="31"/>
  <c r="AO237" i="31"/>
  <c r="AP237" i="31"/>
  <c r="R276" i="31"/>
  <c r="Q276" i="31"/>
  <c r="AP276" i="31"/>
  <c r="AO276" i="31"/>
  <c r="R416" i="31"/>
  <c r="Q416" i="31"/>
  <c r="AO416" i="31"/>
  <c r="AP416" i="31"/>
  <c r="R39" i="31"/>
  <c r="Q39" i="31"/>
  <c r="AO39" i="31"/>
  <c r="AP39" i="31"/>
  <c r="Q563" i="31"/>
  <c r="R563" i="31"/>
  <c r="AO563" i="31"/>
  <c r="AP563" i="31"/>
  <c r="R307" i="31"/>
  <c r="Q307" i="31"/>
  <c r="AO307" i="31"/>
  <c r="AP307" i="31"/>
  <c r="Q606" i="31"/>
  <c r="R606" i="31"/>
  <c r="AP606" i="31"/>
  <c r="AO606" i="31"/>
  <c r="R350" i="31"/>
  <c r="Q350" i="31"/>
  <c r="AP350" i="31"/>
  <c r="AO350" i="31"/>
  <c r="R94" i="31"/>
  <c r="Q94" i="31"/>
  <c r="AP94" i="31"/>
  <c r="AO94" i="31"/>
  <c r="R393" i="31"/>
  <c r="Q393" i="31"/>
  <c r="AP393" i="31"/>
  <c r="AO393" i="31"/>
  <c r="Q137" i="31"/>
  <c r="R137" i="31"/>
  <c r="AO137" i="31"/>
  <c r="AP137" i="31"/>
  <c r="R88" i="31"/>
  <c r="Q88" i="31"/>
  <c r="AO88" i="31"/>
  <c r="AP88" i="31"/>
  <c r="R556" i="31"/>
  <c r="Q556" i="31"/>
  <c r="AO556" i="31"/>
  <c r="AP556" i="31"/>
  <c r="R200" i="31"/>
  <c r="Q200" i="31"/>
  <c r="AP200" i="31"/>
  <c r="AO200" i="31"/>
  <c r="R399" i="31"/>
  <c r="Q399" i="31"/>
  <c r="AO399" i="31"/>
  <c r="AP399" i="31"/>
  <c r="Q143" i="31"/>
  <c r="R143" i="31"/>
  <c r="AP143" i="31"/>
  <c r="AO143" i="31"/>
  <c r="R442" i="31"/>
  <c r="Q442" i="31"/>
  <c r="AP442" i="31"/>
  <c r="AO442" i="31"/>
  <c r="Q186" i="31"/>
  <c r="R186" i="31"/>
  <c r="AO186" i="31"/>
  <c r="AP186" i="31"/>
  <c r="R453" i="31"/>
  <c r="Q453" i="31"/>
  <c r="AO453" i="31"/>
  <c r="AP453" i="31"/>
  <c r="R197" i="31"/>
  <c r="Q197" i="31"/>
  <c r="AP197" i="31"/>
  <c r="AO197" i="31"/>
  <c r="Q68" i="31"/>
  <c r="R68" i="31"/>
  <c r="AP68" i="31"/>
  <c r="AO68" i="31"/>
  <c r="R256" i="31"/>
  <c r="Q256" i="31"/>
  <c r="AP256" i="31"/>
  <c r="AO256" i="31"/>
  <c r="R568" i="31"/>
  <c r="Q568" i="31"/>
  <c r="AP568" i="31"/>
  <c r="AO568" i="31"/>
  <c r="Q523" i="31"/>
  <c r="R523" i="31"/>
  <c r="AP523" i="31"/>
  <c r="AO523" i="31"/>
  <c r="R267" i="31"/>
  <c r="Q267" i="31"/>
  <c r="AP267" i="31"/>
  <c r="AO267" i="31"/>
  <c r="Q566" i="31"/>
  <c r="R566" i="31"/>
  <c r="AP566" i="31"/>
  <c r="AO566" i="31"/>
  <c r="R310" i="31"/>
  <c r="Q310" i="31"/>
  <c r="AO310" i="31"/>
  <c r="AP310" i="31"/>
  <c r="Q609" i="31"/>
  <c r="R609" i="31"/>
  <c r="AO609" i="31"/>
  <c r="AP609" i="31"/>
  <c r="Q353" i="31"/>
  <c r="R353" i="31"/>
  <c r="AP353" i="31"/>
  <c r="AO353" i="31"/>
  <c r="R612" i="31"/>
  <c r="Q612" i="31"/>
  <c r="AP612" i="31"/>
  <c r="AO612" i="31"/>
  <c r="Q136" i="31"/>
  <c r="R136" i="31"/>
  <c r="AO136" i="31"/>
  <c r="AP136" i="31"/>
  <c r="R396" i="31"/>
  <c r="Q396" i="31"/>
  <c r="AO396" i="31"/>
  <c r="AP396" i="31"/>
  <c r="Q31" i="31"/>
  <c r="R31" i="31"/>
  <c r="AO31" i="31"/>
  <c r="AP31" i="31"/>
  <c r="R391" i="31"/>
  <c r="Q391" i="31"/>
  <c r="AO391" i="31"/>
  <c r="AP391" i="31"/>
  <c r="Q135" i="31"/>
  <c r="R135" i="31"/>
  <c r="AP135" i="31"/>
  <c r="AO135" i="31"/>
  <c r="R434" i="31"/>
  <c r="Q434" i="31"/>
  <c r="AO434" i="31"/>
  <c r="AP434" i="31"/>
  <c r="Q178" i="31"/>
  <c r="R178" i="31"/>
  <c r="AP178" i="31"/>
  <c r="AO178" i="31"/>
  <c r="Q477" i="31"/>
  <c r="R477" i="31"/>
  <c r="AP477" i="31"/>
  <c r="AO477" i="31"/>
  <c r="R221" i="31"/>
  <c r="Q221" i="31"/>
  <c r="AP221" i="31"/>
  <c r="AO221" i="31"/>
  <c r="Q212" i="31"/>
  <c r="R212" i="31"/>
  <c r="AO212" i="31"/>
  <c r="AP212" i="31"/>
  <c r="Q352" i="31"/>
  <c r="R352" i="31"/>
  <c r="AO352" i="31"/>
  <c r="AP352" i="31"/>
  <c r="R536" i="31"/>
  <c r="Q536" i="31"/>
  <c r="AO536" i="31"/>
  <c r="AP536" i="31"/>
  <c r="Q483" i="31"/>
  <c r="R483" i="31"/>
  <c r="AP483" i="31"/>
  <c r="AO483" i="31"/>
  <c r="R227" i="31"/>
  <c r="Q227" i="31"/>
  <c r="AP227" i="31"/>
  <c r="AO227" i="31"/>
  <c r="Q526" i="31"/>
  <c r="R526" i="31"/>
  <c r="AO526" i="31"/>
  <c r="AP526" i="31"/>
  <c r="R270" i="31"/>
  <c r="Q270" i="31"/>
  <c r="AO270" i="31"/>
  <c r="AP270" i="31"/>
  <c r="R569" i="31"/>
  <c r="Q569" i="31"/>
  <c r="AP569" i="31"/>
  <c r="AO569" i="31"/>
  <c r="R313" i="31"/>
  <c r="Q313" i="31"/>
  <c r="AP313" i="31"/>
  <c r="AO313" i="31"/>
  <c r="R580" i="31"/>
  <c r="Q580" i="31"/>
  <c r="AO580" i="31"/>
  <c r="AP580" i="31"/>
  <c r="R57" i="31"/>
  <c r="Q57" i="31"/>
  <c r="AP57" i="31"/>
  <c r="AO57" i="31"/>
  <c r="R364" i="31"/>
  <c r="Q364" i="31"/>
  <c r="AP364" i="31"/>
  <c r="AO364" i="31"/>
  <c r="Q607" i="31"/>
  <c r="R607" i="31"/>
  <c r="AP607" i="31"/>
  <c r="AO607" i="31"/>
  <c r="Q351" i="31"/>
  <c r="R351" i="31"/>
  <c r="AO351" i="31"/>
  <c r="AP351" i="31"/>
  <c r="R95" i="31"/>
  <c r="Q95" i="31"/>
  <c r="AO95" i="31"/>
  <c r="AP95" i="31"/>
  <c r="R362" i="31"/>
  <c r="Q362" i="31"/>
  <c r="AO362" i="31"/>
  <c r="AP362" i="31"/>
  <c r="Q106" i="31"/>
  <c r="R106" i="31"/>
  <c r="AO106" i="31"/>
  <c r="AP106" i="31"/>
  <c r="R405" i="31"/>
  <c r="Q405" i="31"/>
  <c r="AO405" i="31"/>
  <c r="AP405" i="31"/>
  <c r="R149" i="31"/>
  <c r="Q149" i="31"/>
  <c r="AO149" i="31"/>
  <c r="AP149" i="31"/>
  <c r="Q25" i="31"/>
  <c r="R25" i="31"/>
  <c r="AP25" i="31"/>
  <c r="AO25" i="31"/>
  <c r="Q604" i="31"/>
  <c r="R604" i="31"/>
  <c r="AO604" i="31"/>
  <c r="AP604" i="31"/>
  <c r="R248" i="31"/>
  <c r="Q248" i="31"/>
  <c r="AO248" i="31"/>
  <c r="AP248" i="31"/>
  <c r="Q219" i="31"/>
  <c r="R219" i="31"/>
  <c r="AO219" i="31"/>
  <c r="AP219" i="31"/>
  <c r="R432" i="31"/>
  <c r="Q432" i="31"/>
  <c r="AO432" i="31"/>
  <c r="AP432" i="31"/>
  <c r="Q628" i="31"/>
  <c r="R628" i="31"/>
  <c r="AO628" i="31"/>
  <c r="H637" i="31" s="1"/>
  <c r="AP628" i="31"/>
  <c r="R435" i="31"/>
  <c r="Q435" i="31"/>
  <c r="AO435" i="31"/>
  <c r="AP435" i="31"/>
  <c r="Q571" i="31"/>
  <c r="R571" i="31"/>
  <c r="AO571" i="31"/>
  <c r="AP571" i="31"/>
  <c r="R315" i="31"/>
  <c r="Q315" i="31"/>
  <c r="AP315" i="31"/>
  <c r="AO315" i="31"/>
  <c r="R326" i="31"/>
  <c r="Q326" i="31"/>
  <c r="AP326" i="31"/>
  <c r="AO326" i="31"/>
  <c r="R70" i="31"/>
  <c r="Q70" i="31"/>
  <c r="AP70" i="31"/>
  <c r="AO70" i="31"/>
  <c r="Q369" i="31"/>
  <c r="R369" i="31"/>
  <c r="AO369" i="31"/>
  <c r="AP369" i="31"/>
  <c r="R113" i="31"/>
  <c r="Q113" i="31"/>
  <c r="AP113" i="31"/>
  <c r="AO113" i="31"/>
  <c r="Q92" i="31"/>
  <c r="R92" i="31"/>
  <c r="AO92" i="31"/>
  <c r="AP92" i="31"/>
  <c r="Q460" i="31"/>
  <c r="R460" i="31"/>
  <c r="AO460" i="31"/>
  <c r="AP460" i="31"/>
  <c r="Q63" i="31"/>
  <c r="R63" i="31"/>
  <c r="AP63" i="31"/>
  <c r="AO63" i="31"/>
  <c r="Q407" i="31"/>
  <c r="R407" i="31"/>
  <c r="AP407" i="31"/>
  <c r="AO407" i="31"/>
  <c r="Q151" i="31"/>
  <c r="R151" i="31"/>
  <c r="AO151" i="31"/>
  <c r="AP151" i="31"/>
  <c r="R450" i="31"/>
  <c r="Q450" i="31"/>
  <c r="AP450" i="31"/>
  <c r="AO450" i="31"/>
  <c r="R162" i="31"/>
  <c r="Q162" i="31"/>
  <c r="AP162" i="31"/>
  <c r="AO162" i="31"/>
  <c r="R461" i="31"/>
  <c r="Q461" i="31"/>
  <c r="AP461" i="31"/>
  <c r="AO461" i="31"/>
  <c r="R205" i="31"/>
  <c r="Q205" i="31"/>
  <c r="AP205" i="31"/>
  <c r="AO205" i="31"/>
  <c r="R132" i="31"/>
  <c r="Q132" i="31"/>
  <c r="AO132" i="31"/>
  <c r="AP132" i="31"/>
  <c r="R288" i="31"/>
  <c r="Q288" i="31"/>
  <c r="AO288" i="31"/>
  <c r="AP288" i="31"/>
  <c r="R600" i="31"/>
  <c r="Q600" i="31"/>
  <c r="AO600" i="31"/>
  <c r="AP600" i="31"/>
  <c r="R531" i="31"/>
  <c r="Q531" i="31"/>
  <c r="AO531" i="31"/>
  <c r="AP531" i="31"/>
  <c r="Q275" i="31"/>
  <c r="R275" i="31"/>
  <c r="AO275" i="31"/>
  <c r="AP275" i="31"/>
  <c r="R574" i="31"/>
  <c r="Q574" i="31"/>
  <c r="AO574" i="31"/>
  <c r="AP574" i="31"/>
  <c r="R318" i="31"/>
  <c r="Q318" i="31"/>
  <c r="AP318" i="31"/>
  <c r="AO318" i="31"/>
  <c r="Q361" i="31"/>
  <c r="R361" i="31"/>
  <c r="AP361" i="31"/>
  <c r="AO361" i="31"/>
  <c r="R105" i="31"/>
  <c r="Q105" i="31"/>
  <c r="AP105" i="31"/>
  <c r="AO105" i="31"/>
  <c r="R152" i="31"/>
  <c r="Q152" i="31"/>
  <c r="AP152" i="31"/>
  <c r="AO152" i="31"/>
  <c r="Q428" i="31"/>
  <c r="R428" i="31"/>
  <c r="AO428" i="31"/>
  <c r="AP428" i="31"/>
  <c r="R44" i="31"/>
  <c r="Q44" i="31"/>
  <c r="AO44" i="31"/>
  <c r="AP44" i="31"/>
  <c r="R367" i="31"/>
  <c r="Q367" i="31"/>
  <c r="AP367" i="31"/>
  <c r="AO367" i="31"/>
  <c r="Q111" i="31"/>
  <c r="R111" i="31"/>
  <c r="AO111" i="31"/>
  <c r="AP111" i="31"/>
  <c r="R410" i="31"/>
  <c r="Q410" i="31"/>
  <c r="AO410" i="31"/>
  <c r="AP410" i="31"/>
  <c r="R154" i="31"/>
  <c r="Q154" i="31"/>
  <c r="AP154" i="31"/>
  <c r="AO154" i="31"/>
  <c r="R421" i="31"/>
  <c r="Q421" i="31"/>
  <c r="AO421" i="31"/>
  <c r="AP421" i="31"/>
  <c r="R165" i="31"/>
  <c r="Q165" i="31"/>
  <c r="AP165" i="31"/>
  <c r="AO165" i="31"/>
  <c r="Q54" i="31"/>
  <c r="R54" i="31"/>
  <c r="AP54" i="31"/>
  <c r="AO54" i="31"/>
  <c r="R73" i="31"/>
  <c r="Q73" i="31"/>
  <c r="AO73" i="31"/>
  <c r="AP73" i="31"/>
  <c r="R440" i="31"/>
  <c r="Q440" i="31"/>
  <c r="AP440" i="31"/>
  <c r="AO440" i="31"/>
  <c r="Q491" i="31"/>
  <c r="R491" i="31"/>
  <c r="AO491" i="31"/>
  <c r="AP491" i="31"/>
  <c r="R235" i="31"/>
  <c r="Q235" i="31"/>
  <c r="AO235" i="31"/>
  <c r="AP235" i="31"/>
  <c r="R534" i="31"/>
  <c r="Q534" i="31"/>
  <c r="AO534" i="31"/>
  <c r="AP534" i="31"/>
  <c r="Q278" i="31"/>
  <c r="R278" i="31"/>
  <c r="AO278" i="31"/>
  <c r="AP278" i="31"/>
  <c r="R577" i="31"/>
  <c r="Q577" i="31"/>
  <c r="AP577" i="31"/>
  <c r="AO577" i="31"/>
  <c r="R321" i="31"/>
  <c r="Q321" i="31"/>
  <c r="AP321" i="31"/>
  <c r="AO321" i="31"/>
  <c r="R484" i="31"/>
  <c r="Q484" i="31"/>
  <c r="AO484" i="31"/>
  <c r="AP484" i="31"/>
  <c r="Q623" i="31"/>
  <c r="R623" i="31"/>
  <c r="AP623" i="31"/>
  <c r="AO623" i="31"/>
  <c r="H633" i="31" s="1"/>
  <c r="Q268" i="31"/>
  <c r="R268" i="31"/>
  <c r="AP268" i="31"/>
  <c r="AO268" i="31"/>
  <c r="R622" i="31"/>
  <c r="Q622" i="31"/>
  <c r="AO622" i="31"/>
  <c r="H632" i="31" s="1"/>
  <c r="AP622" i="31"/>
  <c r="R359" i="31"/>
  <c r="Q359" i="31"/>
  <c r="AO359" i="31"/>
  <c r="AP359" i="31"/>
  <c r="Q103" i="31"/>
  <c r="R103" i="31"/>
  <c r="AO103" i="31"/>
  <c r="AP103" i="31"/>
  <c r="R402" i="31"/>
  <c r="Q402" i="31"/>
  <c r="AO402" i="31"/>
  <c r="AP402" i="31"/>
  <c r="Q146" i="31"/>
  <c r="R146" i="31"/>
  <c r="AO146" i="31"/>
  <c r="AP146" i="31"/>
  <c r="R445" i="31"/>
  <c r="Q445" i="31"/>
  <c r="AO445" i="31"/>
  <c r="AP445" i="31"/>
  <c r="R189" i="31"/>
  <c r="Q189" i="31"/>
  <c r="AO189" i="31"/>
  <c r="AP189" i="31"/>
  <c r="R55" i="31"/>
  <c r="Q55" i="31"/>
  <c r="AO55" i="31"/>
  <c r="AP55" i="31"/>
  <c r="R224" i="31"/>
  <c r="Q224" i="31"/>
  <c r="AP224" i="31"/>
  <c r="AO224" i="31"/>
  <c r="R408" i="31"/>
  <c r="Q408" i="31"/>
  <c r="AO408" i="31"/>
  <c r="AP408" i="31"/>
  <c r="R451" i="31"/>
  <c r="Q451" i="31"/>
  <c r="AO451" i="31"/>
  <c r="AP451" i="31"/>
  <c r="R195" i="31"/>
  <c r="Q195" i="31"/>
  <c r="AP195" i="31"/>
  <c r="AO195" i="31"/>
  <c r="R494" i="31"/>
  <c r="Q494" i="31"/>
  <c r="AO494" i="31"/>
  <c r="AP494" i="31"/>
  <c r="Q238" i="31"/>
  <c r="R238" i="31"/>
  <c r="AP238" i="31"/>
  <c r="AO238" i="31"/>
  <c r="R537" i="31"/>
  <c r="Q537" i="31"/>
  <c r="AP537" i="31"/>
  <c r="AO537" i="31"/>
  <c r="R281" i="31"/>
  <c r="Q281" i="31"/>
  <c r="AP281" i="31"/>
  <c r="AO281" i="31"/>
  <c r="Q452" i="31"/>
  <c r="R452" i="31"/>
  <c r="AO452" i="31"/>
  <c r="AP452" i="31"/>
  <c r="Q592" i="31"/>
  <c r="R592" i="31"/>
  <c r="AO592" i="31"/>
  <c r="AP592" i="31"/>
  <c r="R236" i="31"/>
  <c r="Q236" i="31"/>
  <c r="AP236" i="31"/>
  <c r="AO236" i="31"/>
  <c r="R575" i="31"/>
  <c r="Q575" i="31"/>
  <c r="AP575" i="31"/>
  <c r="AO575" i="31"/>
  <c r="R319" i="31"/>
  <c r="Q319" i="31"/>
  <c r="AP319" i="31"/>
  <c r="AO319" i="31"/>
  <c r="R586" i="31"/>
  <c r="Q586" i="31"/>
  <c r="AP586" i="31"/>
  <c r="AO586" i="31"/>
  <c r="Q330" i="31"/>
  <c r="R330" i="31"/>
  <c r="AO330" i="31"/>
  <c r="AP330" i="31"/>
  <c r="R74" i="31"/>
  <c r="Q74" i="31"/>
  <c r="AO74" i="31"/>
  <c r="AP74" i="31"/>
  <c r="R373" i="31"/>
  <c r="Q373" i="31"/>
  <c r="AP373" i="31"/>
  <c r="AO373" i="31"/>
  <c r="R117" i="31"/>
  <c r="Q117" i="31"/>
  <c r="AP117" i="31"/>
  <c r="AO117" i="31"/>
  <c r="R47" i="31"/>
  <c r="Q47" i="31"/>
  <c r="AP47" i="31"/>
  <c r="AO47" i="31"/>
  <c r="R476" i="31"/>
  <c r="Q476" i="31"/>
  <c r="AP476" i="31"/>
  <c r="AO476" i="31"/>
  <c r="R69" i="31"/>
  <c r="Q69" i="31"/>
  <c r="AO69" i="31"/>
  <c r="AP69" i="31"/>
  <c r="R225" i="31"/>
  <c r="Q225" i="31"/>
  <c r="AO225" i="31"/>
  <c r="AP225" i="31"/>
  <c r="R518" i="31"/>
  <c r="Q518" i="31"/>
  <c r="AP518" i="31"/>
  <c r="AO518" i="31"/>
  <c r="R539" i="31"/>
  <c r="Q539" i="31"/>
  <c r="AO539" i="31"/>
  <c r="AP539" i="31"/>
  <c r="R582" i="31"/>
  <c r="Q582" i="31"/>
  <c r="AO582" i="31"/>
  <c r="AP582" i="31"/>
  <c r="Q294" i="31"/>
  <c r="R294" i="31"/>
  <c r="AO294" i="31"/>
  <c r="AP294" i="31"/>
  <c r="R593" i="31"/>
  <c r="Q593" i="31"/>
  <c r="AP593" i="31"/>
  <c r="AO593" i="31"/>
  <c r="R337" i="31"/>
  <c r="Q337" i="31"/>
  <c r="AO337" i="31"/>
  <c r="AP337" i="31"/>
  <c r="R81" i="31"/>
  <c r="Q81" i="31"/>
  <c r="AO81" i="31"/>
  <c r="AP81" i="31"/>
  <c r="R28" i="31"/>
  <c r="Q28" i="31"/>
  <c r="AO28" i="31"/>
  <c r="AP28" i="31"/>
  <c r="R332" i="31"/>
  <c r="Q332" i="31"/>
  <c r="AP332" i="31"/>
  <c r="AO332" i="31"/>
  <c r="R76" i="31"/>
  <c r="Q76" i="31"/>
  <c r="AO76" i="31"/>
  <c r="AP76" i="31"/>
  <c r="R375" i="31"/>
  <c r="Q375" i="31"/>
  <c r="AP375" i="31"/>
  <c r="AO375" i="31"/>
  <c r="R119" i="31"/>
  <c r="Q119" i="31"/>
  <c r="AP119" i="31"/>
  <c r="AO119" i="31"/>
  <c r="R418" i="31"/>
  <c r="Q418" i="31"/>
  <c r="AO418" i="31"/>
  <c r="AP418" i="31"/>
  <c r="R130" i="31"/>
  <c r="Q130" i="31"/>
  <c r="AP130" i="31"/>
  <c r="AO130" i="31"/>
  <c r="Q429" i="31"/>
  <c r="R429" i="31"/>
  <c r="AP429" i="31"/>
  <c r="AO429" i="31"/>
  <c r="R173" i="31"/>
  <c r="Q173" i="31"/>
  <c r="AO173" i="31"/>
  <c r="AP173" i="31"/>
  <c r="R23" i="31"/>
  <c r="Q23" i="31"/>
  <c r="AO23" i="31"/>
  <c r="AP23" i="31"/>
  <c r="R140" i="31"/>
  <c r="Q140" i="31"/>
  <c r="AO140" i="31"/>
  <c r="AP140" i="31"/>
  <c r="R472" i="31"/>
  <c r="Q472" i="31"/>
  <c r="AO472" i="31"/>
  <c r="AP472" i="31"/>
  <c r="R499" i="31"/>
  <c r="Q499" i="31"/>
  <c r="AO499" i="31"/>
  <c r="AP499" i="31"/>
  <c r="Q243" i="31"/>
  <c r="R243" i="31"/>
  <c r="AP243" i="31"/>
  <c r="AO243" i="31"/>
  <c r="Q542" i="31"/>
  <c r="R542" i="31"/>
  <c r="AO542" i="31"/>
  <c r="AP542" i="31"/>
  <c r="R286" i="31"/>
  <c r="Q286" i="31"/>
  <c r="AP286" i="31"/>
  <c r="AO286" i="31"/>
  <c r="R585" i="31"/>
  <c r="Q585" i="31"/>
  <c r="AP585" i="31"/>
  <c r="AO585" i="31"/>
  <c r="R329" i="31"/>
  <c r="Q329" i="31"/>
  <c r="AP329" i="31"/>
  <c r="AO329" i="31"/>
  <c r="R18" i="31"/>
  <c r="Q18" i="31"/>
  <c r="AP18" i="31"/>
  <c r="AO18" i="31"/>
  <c r="Q80" i="31"/>
  <c r="R80" i="31"/>
  <c r="AO80" i="31"/>
  <c r="AP80" i="31"/>
  <c r="R300" i="31"/>
  <c r="Q300" i="31"/>
  <c r="AO300" i="31"/>
  <c r="AP300" i="31"/>
  <c r="R591" i="31"/>
  <c r="Q591" i="31"/>
  <c r="AP591" i="31"/>
  <c r="AO591" i="31"/>
  <c r="R335" i="31"/>
  <c r="Q335" i="31"/>
  <c r="AO335" i="31"/>
  <c r="AP335" i="31"/>
  <c r="Q79" i="31"/>
  <c r="R79" i="31"/>
  <c r="AP79" i="31"/>
  <c r="AO79" i="31"/>
  <c r="R378" i="31"/>
  <c r="Q378" i="31"/>
  <c r="AO378" i="31"/>
  <c r="AP378" i="31"/>
  <c r="R122" i="31"/>
  <c r="Q122" i="31"/>
  <c r="AP122" i="31"/>
  <c r="AO122" i="31"/>
  <c r="Q389" i="31"/>
  <c r="R389" i="31"/>
  <c r="AO389" i="31"/>
  <c r="AP389" i="31"/>
  <c r="AP133" i="31"/>
  <c r="Q133" i="31"/>
  <c r="R133" i="31"/>
  <c r="AO133" i="31"/>
  <c r="R59" i="31"/>
  <c r="Q59" i="31"/>
  <c r="AP59" i="31"/>
  <c r="AO59" i="31"/>
  <c r="Q65" i="31"/>
  <c r="R65" i="31"/>
  <c r="AP65" i="31"/>
  <c r="AO65" i="31"/>
  <c r="Q312" i="31"/>
  <c r="R312" i="31"/>
  <c r="AO312" i="31"/>
  <c r="AP312" i="31"/>
  <c r="R459" i="31"/>
  <c r="Q459" i="31"/>
  <c r="AP459" i="31"/>
  <c r="AO459" i="31"/>
  <c r="R203" i="31"/>
  <c r="Q203" i="31"/>
  <c r="AO203" i="31"/>
  <c r="AP203" i="31"/>
  <c r="Q502" i="31"/>
  <c r="R502" i="31"/>
  <c r="AP502" i="31"/>
  <c r="AO502" i="31"/>
  <c r="Q246" i="31"/>
  <c r="R246" i="31"/>
  <c r="AO246" i="31"/>
  <c r="AP246" i="31"/>
  <c r="Q545" i="31"/>
  <c r="R545" i="31"/>
  <c r="AP545" i="31"/>
  <c r="AO545" i="31"/>
  <c r="R289" i="31"/>
  <c r="Q289" i="31"/>
  <c r="AO289" i="31"/>
  <c r="AP289" i="31"/>
  <c r="Q356" i="31"/>
  <c r="R356" i="31"/>
  <c r="AP356" i="31"/>
  <c r="AO356" i="31"/>
  <c r="Q496" i="31"/>
  <c r="R496" i="31"/>
  <c r="AO496" i="31"/>
  <c r="AP496" i="31"/>
  <c r="R116" i="31"/>
  <c r="Q116" i="31"/>
  <c r="AP116" i="31"/>
  <c r="AO116" i="31"/>
  <c r="R583" i="31"/>
  <c r="Q583" i="31"/>
  <c r="AO583" i="31"/>
  <c r="AP583" i="31"/>
  <c r="R327" i="31"/>
  <c r="Q327" i="31"/>
  <c r="AO327" i="31"/>
  <c r="AP327" i="31"/>
  <c r="Q370" i="31"/>
  <c r="R370" i="31"/>
  <c r="AO370" i="31"/>
  <c r="AP370" i="31"/>
  <c r="R114" i="31"/>
  <c r="Q114" i="31"/>
  <c r="AP114" i="31"/>
  <c r="AO114" i="31"/>
  <c r="R413" i="31"/>
  <c r="Q413" i="31"/>
  <c r="AO413" i="31"/>
  <c r="AP413" i="31"/>
  <c r="R157" i="31"/>
  <c r="Q157" i="31"/>
  <c r="AP157" i="31"/>
  <c r="AO157" i="31"/>
  <c r="R35" i="31"/>
  <c r="Q35" i="31"/>
  <c r="AP35" i="31"/>
  <c r="AO35" i="31"/>
  <c r="R128" i="31"/>
  <c r="Q128" i="31"/>
  <c r="AO128" i="31"/>
  <c r="AP128" i="31"/>
  <c r="R280" i="31"/>
  <c r="Q280" i="31"/>
  <c r="AO280" i="31"/>
  <c r="AP280" i="31"/>
  <c r="Q419" i="31"/>
  <c r="R419" i="31"/>
  <c r="AO419" i="31"/>
  <c r="AP419" i="31"/>
  <c r="Q163" i="31"/>
  <c r="R163" i="31"/>
  <c r="AP163" i="31"/>
  <c r="AO163" i="31"/>
  <c r="R462" i="31"/>
  <c r="Q462" i="31"/>
  <c r="AO462" i="31"/>
  <c r="AP462" i="31"/>
  <c r="R206" i="31"/>
  <c r="Q206" i="31"/>
  <c r="AO206" i="31"/>
  <c r="AP206" i="31"/>
  <c r="Q505" i="31"/>
  <c r="R505" i="31"/>
  <c r="AP505" i="31"/>
  <c r="AO505" i="31"/>
  <c r="R249" i="31"/>
  <c r="Q249" i="31"/>
  <c r="AP249" i="31"/>
  <c r="AO249" i="31"/>
  <c r="R324" i="31"/>
  <c r="Q324" i="31"/>
  <c r="AP324" i="31"/>
  <c r="AO324" i="31"/>
  <c r="Q464" i="31"/>
  <c r="R464" i="31"/>
  <c r="AO464" i="31"/>
  <c r="AP464" i="31"/>
  <c r="AP58" i="31"/>
  <c r="R58" i="31"/>
  <c r="Q58" i="31"/>
  <c r="AO58" i="31"/>
  <c r="R543" i="31"/>
  <c r="Q543" i="31"/>
  <c r="AP543" i="31"/>
  <c r="AO543" i="31"/>
  <c r="R287" i="31"/>
  <c r="Q287" i="31"/>
  <c r="AO287" i="31"/>
  <c r="AP287" i="31"/>
  <c r="R554" i="31"/>
  <c r="Q554" i="31"/>
  <c r="AO554" i="31"/>
  <c r="AP554" i="31"/>
  <c r="R298" i="31"/>
  <c r="Q298" i="31"/>
  <c r="AO298" i="31"/>
  <c r="AP298" i="31"/>
  <c r="R597" i="31"/>
  <c r="Q597" i="31"/>
  <c r="AO597" i="31"/>
  <c r="AP597" i="31"/>
  <c r="R341" i="31"/>
  <c r="Q341" i="31"/>
  <c r="AO341" i="31"/>
  <c r="AP341" i="31"/>
  <c r="R85" i="31"/>
  <c r="Q85" i="31"/>
  <c r="AP85" i="31"/>
  <c r="AO85" i="31"/>
  <c r="R32" i="31"/>
  <c r="Q32" i="31"/>
  <c r="AP32" i="31"/>
  <c r="AO32" i="31"/>
  <c r="R348" i="31"/>
  <c r="Q348" i="31"/>
  <c r="AP348" i="31"/>
  <c r="AO348" i="31"/>
  <c r="R144" i="31"/>
  <c r="Q144" i="31"/>
  <c r="AP144" i="31"/>
  <c r="AO144" i="31"/>
  <c r="R436" i="31"/>
  <c r="Q436" i="31"/>
  <c r="AP436" i="31"/>
  <c r="AO436" i="31"/>
  <c r="R273" i="31"/>
  <c r="Q273" i="31"/>
  <c r="AO273" i="31"/>
  <c r="AP273" i="31"/>
  <c r="R283" i="31"/>
  <c r="Q283" i="31"/>
  <c r="AP283" i="31"/>
  <c r="AO283" i="31"/>
  <c r="R507" i="31"/>
  <c r="Q507" i="31"/>
  <c r="AP507" i="31"/>
  <c r="AO507" i="31"/>
  <c r="Q251" i="31"/>
  <c r="R251" i="31"/>
  <c r="AP251" i="31"/>
  <c r="AO251" i="31"/>
  <c r="R550" i="31"/>
  <c r="Q550" i="31"/>
  <c r="AP550" i="31"/>
  <c r="AO550" i="31"/>
  <c r="R262" i="31"/>
  <c r="Q262" i="31"/>
  <c r="AP262" i="31"/>
  <c r="AO262" i="31"/>
  <c r="Q561" i="31"/>
  <c r="R561" i="31"/>
  <c r="AO561" i="31"/>
  <c r="AP561" i="31"/>
  <c r="Q305" i="31"/>
  <c r="R305" i="31"/>
  <c r="AP305" i="31"/>
  <c r="AO305" i="31"/>
  <c r="R548" i="31"/>
  <c r="Q548" i="31"/>
  <c r="AP548" i="31"/>
  <c r="AO548" i="31"/>
  <c r="R560" i="31"/>
  <c r="Q560" i="31"/>
  <c r="AP560" i="31"/>
  <c r="AO560" i="31"/>
  <c r="Q204" i="31"/>
  <c r="R204" i="31"/>
  <c r="AP204" i="31"/>
  <c r="AO204" i="31"/>
  <c r="R599" i="31"/>
  <c r="Q599" i="31"/>
  <c r="AO599" i="31"/>
  <c r="AP599" i="31"/>
  <c r="Q343" i="31"/>
  <c r="R343" i="31"/>
  <c r="AP343" i="31"/>
  <c r="AO343" i="31"/>
  <c r="R87" i="31"/>
  <c r="Q87" i="31"/>
  <c r="AP87" i="31"/>
  <c r="AO87" i="31"/>
  <c r="Q386" i="31"/>
  <c r="R386" i="31"/>
  <c r="AP386" i="31"/>
  <c r="AO386" i="31"/>
  <c r="Q98" i="31"/>
  <c r="R98" i="31"/>
  <c r="AO98" i="31"/>
  <c r="AP98" i="31"/>
  <c r="R397" i="31"/>
  <c r="Q397" i="31"/>
  <c r="AP397" i="31"/>
  <c r="AO397" i="31"/>
  <c r="Q141" i="31"/>
  <c r="R141" i="31"/>
  <c r="AO141" i="31"/>
  <c r="AP141" i="31"/>
  <c r="R16" i="31"/>
  <c r="Q16" i="31"/>
  <c r="AO16" i="31"/>
  <c r="AP16" i="31"/>
  <c r="R160" i="31"/>
  <c r="Q160" i="31"/>
  <c r="AO160" i="31"/>
  <c r="AP160" i="31"/>
  <c r="R344" i="31"/>
  <c r="Q344" i="31"/>
  <c r="AO344" i="31"/>
  <c r="AP344" i="31"/>
  <c r="R467" i="31"/>
  <c r="Q467" i="31"/>
  <c r="AP467" i="31"/>
  <c r="AO467" i="31"/>
  <c r="R211" i="31"/>
  <c r="Q211" i="31"/>
  <c r="AP211" i="31"/>
  <c r="AO211" i="31"/>
  <c r="R510" i="31"/>
  <c r="Q510" i="31"/>
  <c r="AP510" i="31"/>
  <c r="AO510" i="31"/>
  <c r="Q254" i="31"/>
  <c r="R254" i="31"/>
  <c r="AP254" i="31"/>
  <c r="AO254" i="31"/>
  <c r="R553" i="31"/>
  <c r="Q553" i="31"/>
  <c r="AP553" i="31"/>
  <c r="AO553" i="31"/>
  <c r="R297" i="31"/>
  <c r="Q297" i="31"/>
  <c r="AP297" i="31"/>
  <c r="AO297" i="31"/>
  <c r="R516" i="31"/>
  <c r="Q516" i="31"/>
  <c r="AP516" i="31"/>
  <c r="AO516" i="31"/>
  <c r="Q56" i="31"/>
  <c r="R56" i="31"/>
  <c r="AP56" i="31"/>
  <c r="AO56" i="31"/>
  <c r="R172" i="31"/>
  <c r="Q172" i="31"/>
  <c r="AO172" i="31"/>
  <c r="AP172" i="31"/>
  <c r="R559" i="31"/>
  <c r="Q559" i="31"/>
  <c r="AO559" i="31"/>
  <c r="AP559" i="31"/>
  <c r="R303" i="31"/>
  <c r="Q303" i="31"/>
  <c r="AP303" i="31"/>
  <c r="AO303" i="31"/>
  <c r="R602" i="31"/>
  <c r="Q602" i="31"/>
  <c r="AP602" i="31"/>
  <c r="AO602" i="31"/>
  <c r="Q346" i="31"/>
  <c r="R346" i="31"/>
  <c r="AP346" i="31"/>
  <c r="AO346" i="31"/>
  <c r="R90" i="31"/>
  <c r="Q90" i="31"/>
  <c r="AO90" i="31"/>
  <c r="AP90" i="31"/>
  <c r="R357" i="31"/>
  <c r="Q357" i="31"/>
  <c r="AO357" i="31"/>
  <c r="AP357" i="31"/>
  <c r="R101" i="31"/>
  <c r="Q101" i="31"/>
  <c r="AO101" i="31"/>
  <c r="AP101" i="31"/>
  <c r="R120" i="31"/>
  <c r="Q120" i="31"/>
  <c r="AP120" i="31"/>
  <c r="AO120" i="31"/>
  <c r="R540" i="31"/>
  <c r="Q540" i="31"/>
  <c r="AO540" i="31"/>
  <c r="AP540" i="31"/>
  <c r="Q184" i="31"/>
  <c r="R184" i="31"/>
  <c r="AP184" i="31"/>
  <c r="AO184" i="31"/>
  <c r="Q427" i="31"/>
  <c r="R427" i="31"/>
  <c r="AO427" i="31"/>
  <c r="AP427" i="31"/>
  <c r="R171" i="31"/>
  <c r="Q171" i="31"/>
  <c r="AP171" i="31"/>
  <c r="AO171" i="31"/>
  <c r="Q470" i="31"/>
  <c r="R470" i="31"/>
  <c r="AO470" i="31"/>
  <c r="AP470" i="31"/>
  <c r="R214" i="31"/>
  <c r="Q214" i="31"/>
  <c r="AO214" i="31"/>
  <c r="AP214" i="31"/>
  <c r="R513" i="31"/>
  <c r="Q513" i="31"/>
  <c r="AO513" i="31"/>
  <c r="AP513" i="31"/>
  <c r="R257" i="31"/>
  <c r="Q257" i="31"/>
  <c r="AP257" i="31"/>
  <c r="AO257" i="31"/>
  <c r="R228" i="31"/>
  <c r="Q228" i="31"/>
  <c r="AP228" i="31"/>
  <c r="AO228" i="31"/>
  <c r="R368" i="31"/>
  <c r="Q368" i="31"/>
  <c r="AP368" i="31"/>
  <c r="AO368" i="31"/>
  <c r="Q14" i="31"/>
  <c r="R14" i="31"/>
  <c r="AO14" i="31"/>
  <c r="AP14" i="31"/>
  <c r="R551" i="31"/>
  <c r="Q551" i="31"/>
  <c r="AP551" i="31"/>
  <c r="AO551" i="31"/>
  <c r="R295" i="31"/>
  <c r="Q295" i="31"/>
  <c r="AP295" i="31"/>
  <c r="AO295" i="31"/>
  <c r="R594" i="31"/>
  <c r="Q594" i="31"/>
  <c r="AP594" i="31"/>
  <c r="AO594" i="31"/>
  <c r="Q338" i="31"/>
  <c r="R338" i="31"/>
  <c r="AO338" i="31"/>
  <c r="AP338" i="31"/>
  <c r="R82" i="31"/>
  <c r="Q82" i="31"/>
  <c r="AO82" i="31"/>
  <c r="AP82" i="31"/>
  <c r="R381" i="31"/>
  <c r="Q381" i="31"/>
  <c r="AP381" i="31"/>
  <c r="AO381" i="31"/>
  <c r="R125" i="31"/>
  <c r="Q125" i="31"/>
  <c r="AP125" i="31"/>
  <c r="AO125" i="31"/>
  <c r="R33" i="31"/>
  <c r="Q33" i="31"/>
  <c r="AO33" i="31"/>
  <c r="AP33" i="31"/>
  <c r="R71" i="31"/>
  <c r="Q71" i="31"/>
  <c r="AO71" i="31"/>
  <c r="AP71" i="31"/>
  <c r="R156" i="31"/>
  <c r="Q156" i="31"/>
  <c r="AO156" i="31"/>
  <c r="AP156" i="31"/>
  <c r="R387" i="31"/>
  <c r="Q387" i="31"/>
  <c r="AO387" i="31"/>
  <c r="AP387" i="31"/>
  <c r="R131" i="31"/>
  <c r="Q131" i="31"/>
  <c r="AP131" i="31"/>
  <c r="AO131" i="31"/>
  <c r="R430" i="31"/>
  <c r="Q430" i="31"/>
  <c r="AO430" i="31"/>
  <c r="AP430" i="31"/>
  <c r="R174" i="31"/>
  <c r="Q174" i="31"/>
  <c r="AO174" i="31"/>
  <c r="AP174" i="31"/>
  <c r="R473" i="31"/>
  <c r="Q473" i="31"/>
  <c r="AO473" i="31"/>
  <c r="AP473" i="31"/>
  <c r="R217" i="31"/>
  <c r="Q217" i="31"/>
  <c r="AO217" i="31"/>
  <c r="AP217" i="31"/>
  <c r="R196" i="31"/>
  <c r="Q196" i="31"/>
  <c r="AO196" i="31"/>
  <c r="AP196" i="31"/>
  <c r="R336" i="31"/>
  <c r="Q336" i="31"/>
  <c r="AP336" i="31"/>
  <c r="AO336" i="31"/>
  <c r="R38" i="31"/>
  <c r="Q38" i="31"/>
  <c r="AO38" i="31"/>
  <c r="AP38" i="31"/>
  <c r="R511" i="31"/>
  <c r="Q511" i="31"/>
  <c r="AP511" i="31"/>
  <c r="AO511" i="31"/>
  <c r="R255" i="31"/>
  <c r="Q255" i="31"/>
  <c r="AP255" i="31"/>
  <c r="AO255" i="31"/>
  <c r="R522" i="31"/>
  <c r="Q522" i="31"/>
  <c r="AO522" i="31"/>
  <c r="AP522" i="31"/>
  <c r="Q266" i="31"/>
  <c r="R266" i="31"/>
  <c r="AP266" i="31"/>
  <c r="AO266" i="31"/>
  <c r="R565" i="31"/>
  <c r="Q565" i="31"/>
  <c r="AO565" i="31"/>
  <c r="AP565" i="31"/>
  <c r="R309" i="31"/>
  <c r="Q309" i="31"/>
  <c r="AO309" i="31"/>
  <c r="AP309" i="31"/>
  <c r="R564" i="31"/>
  <c r="Q564" i="31"/>
  <c r="AO564" i="31"/>
  <c r="AP564" i="31"/>
  <c r="Q576" i="31"/>
  <c r="R576" i="31"/>
  <c r="AO576" i="31"/>
  <c r="AP576" i="31"/>
  <c r="R220" i="31"/>
  <c r="Q220" i="31"/>
  <c r="AO220" i="31"/>
  <c r="AP220" i="31"/>
  <c r="Q272" i="31"/>
  <c r="R272" i="31"/>
  <c r="AP272" i="31"/>
  <c r="AO272" i="31"/>
  <c r="B512" i="2"/>
  <c r="A512" i="2" l="1"/>
  <c r="D71" i="16"/>
  <c r="D65" i="16" l="1"/>
  <c r="B90" i="1" l="1"/>
  <c r="Q7" i="8"/>
  <c r="R7" i="8" s="1"/>
  <c r="Q27" i="8" l="1"/>
  <c r="R27" i="8"/>
  <c r="C90" i="1" s="1"/>
  <c r="A474" i="2" l="1"/>
  <c r="B474" i="2"/>
  <c r="C64" i="16"/>
  <c r="D64" i="16" s="1"/>
  <c r="B371" i="2"/>
  <c r="B91" i="1" l="1"/>
  <c r="A492" i="2"/>
  <c r="B492" i="2"/>
  <c r="C3" i="8" l="1"/>
  <c r="C159" i="8" s="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C4" i="8" l="1"/>
  <c r="R28" i="8" s="1"/>
  <c r="C91" i="1" s="1"/>
  <c r="R29" i="8"/>
  <c r="C92" i="1" s="1"/>
  <c r="Q29" i="8"/>
  <c r="Q28" i="8" l="1"/>
  <c r="B372" i="2"/>
  <c r="B493" i="2" s="1"/>
  <c r="C50" i="16"/>
  <c r="D50" i="16" s="1"/>
  <c r="B355" i="2" l="1"/>
  <c r="C5" i="31" s="1"/>
  <c r="A493" i="2"/>
  <c r="B373" i="2"/>
  <c r="B494" i="2" s="1"/>
  <c r="C51" i="16"/>
  <c r="D51" i="16" s="1"/>
  <c r="B378" i="2"/>
  <c r="C4" i="31" l="1"/>
  <c r="Z625" i="32" s="1"/>
  <c r="Z624" i="32"/>
  <c r="Z626" i="32"/>
  <c r="Z623" i="32"/>
  <c r="Z622" i="32"/>
  <c r="Z628" i="32"/>
  <c r="W625" i="32"/>
  <c r="W624" i="32"/>
  <c r="W626" i="32"/>
  <c r="W623" i="32"/>
  <c r="W622" i="32"/>
  <c r="W628" i="32"/>
  <c r="Z567" i="32"/>
  <c r="Z525" i="32"/>
  <c r="Z461" i="32"/>
  <c r="Z584" i="32"/>
  <c r="Z516" i="32"/>
  <c r="Z480" i="32"/>
  <c r="Z533" i="32"/>
  <c r="Z457" i="32"/>
  <c r="Z561" i="32"/>
  <c r="Z481" i="32"/>
  <c r="Z452" i="32"/>
  <c r="Z547" i="32"/>
  <c r="Z606" i="32"/>
  <c r="Z559" i="32"/>
  <c r="Z515" i="32"/>
  <c r="Z488" i="32"/>
  <c r="Z527" i="32"/>
  <c r="Z456" i="32"/>
  <c r="Z422" i="32"/>
  <c r="Z372" i="32"/>
  <c r="Z415" i="32"/>
  <c r="Z344" i="32"/>
  <c r="Z590" i="32"/>
  <c r="Z443" i="32"/>
  <c r="Z403" i="32"/>
  <c r="Z352" i="32"/>
  <c r="Z395" i="32"/>
  <c r="Z342" i="32"/>
  <c r="Z421" i="32"/>
  <c r="Z571" i="32"/>
  <c r="Z347" i="32"/>
  <c r="Z321" i="32"/>
  <c r="Z426" i="32"/>
  <c r="Z376" i="32"/>
  <c r="Z379" i="32"/>
  <c r="Z267" i="32"/>
  <c r="Z215" i="32"/>
  <c r="Z314" i="32"/>
  <c r="Z213" i="32"/>
  <c r="Z270" i="32"/>
  <c r="Z218" i="32"/>
  <c r="Z302" i="32"/>
  <c r="Z275" i="32"/>
  <c r="Z232" i="32"/>
  <c r="Z498" i="32"/>
  <c r="Z248" i="32"/>
  <c r="Z207" i="32"/>
  <c r="Z286" i="32"/>
  <c r="Z221" i="32"/>
  <c r="Z236" i="32"/>
  <c r="Z167" i="32"/>
  <c r="Z152" i="32"/>
  <c r="Z91" i="32"/>
  <c r="Z168" i="32"/>
  <c r="Z107" i="32"/>
  <c r="Z274" i="32"/>
  <c r="Z150" i="32"/>
  <c r="Z104" i="32"/>
  <c r="Z63" i="32"/>
  <c r="Z135" i="32"/>
  <c r="Z94" i="32"/>
  <c r="Z184" i="32"/>
  <c r="Z119" i="32"/>
  <c r="Z234" i="32"/>
  <c r="Z143" i="32"/>
  <c r="Z90" i="32"/>
  <c r="Z191" i="32"/>
  <c r="Z60" i="32"/>
  <c r="Z21" i="32"/>
  <c r="Z31" i="32"/>
  <c r="Z34" i="32"/>
  <c r="Z17" i="32"/>
  <c r="Z22" i="32"/>
  <c r="Z38" i="32"/>
  <c r="Z19" i="32"/>
  <c r="W80" i="31"/>
  <c r="Z565" i="32"/>
  <c r="Z523" i="32"/>
  <c r="Z449" i="32"/>
  <c r="Z558" i="32"/>
  <c r="Z514" i="32"/>
  <c r="Z605" i="32"/>
  <c r="Z504" i="32"/>
  <c r="Z603" i="32"/>
  <c r="Z554" i="32"/>
  <c r="Z477" i="32"/>
  <c r="Z612" i="32"/>
  <c r="Z545" i="32"/>
  <c r="Z596" i="32"/>
  <c r="Z557" i="32"/>
  <c r="Z513" i="32"/>
  <c r="Z486" i="32"/>
  <c r="Z520" i="32"/>
  <c r="Z455" i="32"/>
  <c r="Z410" i="32"/>
  <c r="Z367" i="32"/>
  <c r="Z408" i="32"/>
  <c r="Z339" i="32"/>
  <c r="Z578" i="32"/>
  <c r="Z441" i="32"/>
  <c r="Z398" i="32"/>
  <c r="Z479" i="32"/>
  <c r="Z392" i="32"/>
  <c r="Z328" i="32"/>
  <c r="Z387" i="32"/>
  <c r="Z447" i="32"/>
  <c r="Z345" i="32"/>
  <c r="Z320" i="32"/>
  <c r="Z424" i="32"/>
  <c r="Z374" i="32"/>
  <c r="Z359" i="32"/>
  <c r="Z264" i="32"/>
  <c r="Z206" i="32"/>
  <c r="Z306" i="32"/>
  <c r="Z211" i="32"/>
  <c r="Z265" i="32"/>
  <c r="Z209" i="32"/>
  <c r="Z300" i="32"/>
  <c r="Z260" i="32"/>
  <c r="Z195" i="32"/>
  <c r="Z463" i="32"/>
  <c r="Z241" i="32"/>
  <c r="Z444" i="32"/>
  <c r="Z281" i="32"/>
  <c r="Z212" i="32"/>
  <c r="Z219" i="32"/>
  <c r="Z296" i="32"/>
  <c r="Z140" i="32"/>
  <c r="Z88" i="32"/>
  <c r="Z162" i="32"/>
  <c r="Z86" i="32"/>
  <c r="Z242" i="32"/>
  <c r="Z144" i="32"/>
  <c r="Z98" i="32"/>
  <c r="Z294" i="32"/>
  <c r="Z128" i="32"/>
  <c r="Z92" i="32"/>
  <c r="Z176" i="32"/>
  <c r="Z89" i="32"/>
  <c r="Z208" i="32"/>
  <c r="Z137" i="32"/>
  <c r="Z84" i="32"/>
  <c r="Z158" i="32"/>
  <c r="Z57" i="32"/>
  <c r="Z16" i="32"/>
  <c r="Z157" i="32"/>
  <c r="Z24" i="32"/>
  <c r="Z15" i="32"/>
  <c r="Z59" i="32"/>
  <c r="Z23" i="32"/>
  <c r="Z28" i="32"/>
  <c r="Z613" i="32"/>
  <c r="Z560" i="32"/>
  <c r="Z503" i="32"/>
  <c r="Z609" i="32"/>
  <c r="Z556" i="32"/>
  <c r="Z512" i="32"/>
  <c r="Z591" i="32"/>
  <c r="Z501" i="32"/>
  <c r="Z600" i="32"/>
  <c r="Z540" i="32"/>
  <c r="Z473" i="32"/>
  <c r="Z598" i="32"/>
  <c r="Z531" i="32"/>
  <c r="Z594" i="32"/>
  <c r="Z552" i="32"/>
  <c r="Z511" i="32"/>
  <c r="Z604" i="32"/>
  <c r="Z500" i="32"/>
  <c r="Z451" i="32"/>
  <c r="Z397" i="32"/>
  <c r="Z357" i="32"/>
  <c r="Z386" i="32"/>
  <c r="Z337" i="32"/>
  <c r="Z573" i="32"/>
  <c r="Z438" i="32"/>
  <c r="Z375" i="32"/>
  <c r="Z450" i="32"/>
  <c r="Z389" i="32"/>
  <c r="Z482" i="32"/>
  <c r="Z381" i="32"/>
  <c r="Z439" i="32"/>
  <c r="Z340" i="32"/>
  <c r="Z478" i="32"/>
  <c r="Z419" i="32"/>
  <c r="Z369" i="32"/>
  <c r="Z341" i="32"/>
  <c r="Z254" i="32"/>
  <c r="Z192" i="32"/>
  <c r="Z304" i="32"/>
  <c r="Z199" i="32"/>
  <c r="Z257" i="32"/>
  <c r="Z204" i="32"/>
  <c r="Z295" i="32"/>
  <c r="Z258" i="32"/>
  <c r="Z193" i="32"/>
  <c r="Z311" i="32"/>
  <c r="Z238" i="32"/>
  <c r="Z407" i="32"/>
  <c r="Z273" i="32"/>
  <c r="Z198" i="32"/>
  <c r="Z217" i="32"/>
  <c r="Z249" i="32"/>
  <c r="Z127" i="32"/>
  <c r="Z71" i="32"/>
  <c r="Z153" i="32"/>
  <c r="Z82" i="32"/>
  <c r="Z201" i="32"/>
  <c r="Z141" i="32"/>
  <c r="Z97" i="32"/>
  <c r="Z284" i="32"/>
  <c r="Z123" i="32"/>
  <c r="Z83" i="32"/>
  <c r="Z165" i="32"/>
  <c r="Z70" i="32"/>
  <c r="Z189" i="32"/>
  <c r="Z131" i="32"/>
  <c r="Z81" i="32"/>
  <c r="Z124" i="32"/>
  <c r="Z52" i="32"/>
  <c r="Z33" i="32"/>
  <c r="Z32" i="32"/>
  <c r="Z256" i="32"/>
  <c r="Z49" i="32"/>
  <c r="Z42" i="32"/>
  <c r="Z56" i="32"/>
  <c r="Z20" i="32"/>
  <c r="Z611" i="32"/>
  <c r="Z553" i="32"/>
  <c r="Z494" i="32"/>
  <c r="Z607" i="32"/>
  <c r="Z544" i="32"/>
  <c r="Z510" i="32"/>
  <c r="Z576" i="32"/>
  <c r="Z499" i="32"/>
  <c r="Z589" i="32"/>
  <c r="Z538" i="32"/>
  <c r="Z470" i="32"/>
  <c r="Z577" i="32"/>
  <c r="Z524" i="32"/>
  <c r="Z592" i="32"/>
  <c r="Z536" i="32"/>
  <c r="Z509" i="32"/>
  <c r="Z601" i="32"/>
  <c r="Z484" i="32"/>
  <c r="Z446" i="32"/>
  <c r="Z394" i="32"/>
  <c r="Z327" i="32"/>
  <c r="Z377" i="32"/>
  <c r="Z335" i="32"/>
  <c r="Z562" i="32"/>
  <c r="Z436" i="32"/>
  <c r="Z373" i="32"/>
  <c r="Z445" i="32"/>
  <c r="Z383" i="32"/>
  <c r="Z476" i="32"/>
  <c r="Z366" i="32"/>
  <c r="Z409" i="32"/>
  <c r="Z338" i="32"/>
  <c r="Z460" i="32"/>
  <c r="Z417" i="32"/>
  <c r="Z364" i="32"/>
  <c r="Z312" i="32"/>
  <c r="Z239" i="32"/>
  <c r="Z190" i="32"/>
  <c r="Z299" i="32"/>
  <c r="Z319" i="32"/>
  <c r="Z245" i="32"/>
  <c r="Z202" i="32"/>
  <c r="Z293" i="32"/>
  <c r="Z255" i="32"/>
  <c r="Z177" i="32"/>
  <c r="Z309" i="32"/>
  <c r="Z230" i="32"/>
  <c r="Z318" i="32"/>
  <c r="Z266" i="32"/>
  <c r="Z412" i="32"/>
  <c r="Z210" i="32"/>
  <c r="Z194" i="32"/>
  <c r="Z120" i="32"/>
  <c r="Z400" i="32"/>
  <c r="Z149" i="32"/>
  <c r="Z74" i="32"/>
  <c r="Z179" i="32"/>
  <c r="Z138" i="32"/>
  <c r="Z85" i="32"/>
  <c r="Z279" i="32"/>
  <c r="Z121" i="32"/>
  <c r="Z78" i="32"/>
  <c r="Z163" i="32"/>
  <c r="Z67" i="32"/>
  <c r="Z186" i="32"/>
  <c r="Z129" i="32"/>
  <c r="Z79" i="32"/>
  <c r="Z122" i="32"/>
  <c r="Z64" i="32"/>
  <c r="Z29" i="32"/>
  <c r="Z139" i="32"/>
  <c r="Z181" i="32"/>
  <c r="Z30" i="32"/>
  <c r="Z13" i="32"/>
  <c r="Z25" i="32"/>
  <c r="Z602" i="32"/>
  <c r="Z548" i="32"/>
  <c r="Z489" i="32"/>
  <c r="Z597" i="32"/>
  <c r="Z535" i="32"/>
  <c r="Z508" i="32"/>
  <c r="Z574" i="32"/>
  <c r="Z490" i="32"/>
  <c r="Z582" i="32"/>
  <c r="Z526" i="32"/>
  <c r="Z469" i="32"/>
  <c r="Z568" i="32"/>
  <c r="Z522" i="32"/>
  <c r="Z587" i="32"/>
  <c r="Z534" i="32"/>
  <c r="Z507" i="32"/>
  <c r="Z575" i="32"/>
  <c r="Z471" i="32"/>
  <c r="Z440" i="32"/>
  <c r="Z391" i="32"/>
  <c r="Z324" i="32"/>
  <c r="Z365" i="32"/>
  <c r="Z333" i="32"/>
  <c r="Z550" i="32"/>
  <c r="Z433" i="32"/>
  <c r="Z370" i="32"/>
  <c r="Z416" i="32"/>
  <c r="Z380" i="32"/>
  <c r="Z453" i="32"/>
  <c r="Z363" i="32"/>
  <c r="Z404" i="32"/>
  <c r="Z336" i="32"/>
  <c r="Z442" i="32"/>
  <c r="Z414" i="32"/>
  <c r="Z361" i="32"/>
  <c r="Z310" i="32"/>
  <c r="Z229" i="32"/>
  <c r="Z187" i="32"/>
  <c r="Z282" i="32"/>
  <c r="Z316" i="32"/>
  <c r="Z237" i="32"/>
  <c r="Z197" i="32"/>
  <c r="Z288" i="32"/>
  <c r="Z252" i="32"/>
  <c r="Z175" i="32"/>
  <c r="Z307" i="32"/>
  <c r="Z225" i="32"/>
  <c r="Z315" i="32"/>
  <c r="Z253" i="32"/>
  <c r="Z303" i="32"/>
  <c r="Z205" i="32"/>
  <c r="Z183" i="32"/>
  <c r="Z114" i="32"/>
  <c r="Z301" i="32"/>
  <c r="Z146" i="32"/>
  <c r="Z65" i="32"/>
  <c r="Z174" i="32"/>
  <c r="Z132" i="32"/>
  <c r="Z80" i="32"/>
  <c r="Z231" i="32"/>
  <c r="Z116" i="32"/>
  <c r="Z72" i="32"/>
  <c r="Z151" i="32"/>
  <c r="Z44" i="32"/>
  <c r="Z161" i="32"/>
  <c r="Z117" i="32"/>
  <c r="Z76" i="32"/>
  <c r="Z95" i="32"/>
  <c r="Z61" i="32"/>
  <c r="Z14" i="32"/>
  <c r="Z113" i="32"/>
  <c r="Z133" i="32"/>
  <c r="Z169" i="32"/>
  <c r="Z100" i="32"/>
  <c r="Z105" i="32"/>
  <c r="Z599" i="32"/>
  <c r="Z546" i="32"/>
  <c r="Z475" i="32"/>
  <c r="Z595" i="32"/>
  <c r="Z528" i="32"/>
  <c r="Z506" i="32"/>
  <c r="Z563" i="32"/>
  <c r="Z485" i="32"/>
  <c r="Z579" i="32"/>
  <c r="Z497" i="32"/>
  <c r="Z464" i="32"/>
  <c r="Z566" i="32"/>
  <c r="Z502" i="32"/>
  <c r="Z585" i="32"/>
  <c r="Z529" i="32"/>
  <c r="Z505" i="32"/>
  <c r="Z555" i="32"/>
  <c r="Z467" i="32"/>
  <c r="Z432" i="32"/>
  <c r="Z388" i="32"/>
  <c r="Z448" i="32"/>
  <c r="Z362" i="32"/>
  <c r="Z330" i="32"/>
  <c r="Z539" i="32"/>
  <c r="Z425" i="32"/>
  <c r="Z360" i="32"/>
  <c r="Z411" i="32"/>
  <c r="Z378" i="32"/>
  <c r="Z430" i="32"/>
  <c r="Z358" i="32"/>
  <c r="Z399" i="32"/>
  <c r="Z334" i="32"/>
  <c r="Z437" i="32"/>
  <c r="Z402" i="32"/>
  <c r="Z356" i="32"/>
  <c r="Z308" i="32"/>
  <c r="Z226" i="32"/>
  <c r="Z185" i="32"/>
  <c r="Z277" i="32"/>
  <c r="Z297" i="32"/>
  <c r="Z235" i="32"/>
  <c r="Z188" i="32"/>
  <c r="Z283" i="32"/>
  <c r="Z250" i="32"/>
  <c r="Z173" i="32"/>
  <c r="Z291" i="32"/>
  <c r="Z223" i="32"/>
  <c r="Z313" i="32"/>
  <c r="Z246" i="32"/>
  <c r="Z289" i="32"/>
  <c r="Z203" i="32"/>
  <c r="Z180" i="32"/>
  <c r="Z109" i="32"/>
  <c r="Z269" i="32"/>
  <c r="Z134" i="32"/>
  <c r="Z58" i="32"/>
  <c r="Z159" i="32"/>
  <c r="Z130" i="32"/>
  <c r="Z77" i="32"/>
  <c r="Z182" i="32"/>
  <c r="Z110" i="32"/>
  <c r="Z541" i="32"/>
  <c r="Z147" i="32"/>
  <c r="Z41" i="32"/>
  <c r="Z155" i="32"/>
  <c r="Z111" i="32"/>
  <c r="Z68" i="32"/>
  <c r="Z93" i="32"/>
  <c r="Z55" i="32"/>
  <c r="Z35" i="32"/>
  <c r="Z108" i="32"/>
  <c r="Z54" i="32"/>
  <c r="Z75" i="32"/>
  <c r="Z51" i="32"/>
  <c r="Z48" i="32"/>
  <c r="Z593" i="32"/>
  <c r="Z466" i="32"/>
  <c r="Z564" i="32"/>
  <c r="Z493" i="32"/>
  <c r="Z385" i="32"/>
  <c r="Z496" i="32"/>
  <c r="Z368" i="32"/>
  <c r="Z331" i="32"/>
  <c r="Z292" i="32"/>
  <c r="Z285" i="32"/>
  <c r="Z243" i="32"/>
  <c r="Z305" i="32"/>
  <c r="Z172" i="32"/>
  <c r="Z50" i="32"/>
  <c r="Z160" i="32"/>
  <c r="Z350" i="32"/>
  <c r="Z73" i="32"/>
  <c r="Z47" i="32"/>
  <c r="Z586" i="32"/>
  <c r="Z459" i="32"/>
  <c r="Z549" i="32"/>
  <c r="Z491" i="32"/>
  <c r="Z382" i="32"/>
  <c r="Z474" i="32"/>
  <c r="Z351" i="32"/>
  <c r="Z326" i="32"/>
  <c r="Z290" i="32"/>
  <c r="Z272" i="32"/>
  <c r="Z240" i="32"/>
  <c r="Z298" i="32"/>
  <c r="Z164" i="32"/>
  <c r="Z332" i="32"/>
  <c r="Z142" i="32"/>
  <c r="Z287" i="32"/>
  <c r="Z62" i="32"/>
  <c r="Z37" i="32"/>
  <c r="W613" i="31"/>
  <c r="Z581" i="32"/>
  <c r="Z521" i="32"/>
  <c r="Z572" i="32"/>
  <c r="Z610" i="32"/>
  <c r="Z543" i="32"/>
  <c r="Z435" i="32"/>
  <c r="Z418" i="32"/>
  <c r="Z428" i="32"/>
  <c r="Z434" i="32"/>
  <c r="Z224" i="32"/>
  <c r="Z227" i="32"/>
  <c r="Z171" i="32"/>
  <c r="Z233" i="32"/>
  <c r="Z101" i="32"/>
  <c r="Z156" i="32"/>
  <c r="Z102" i="32"/>
  <c r="Z148" i="32"/>
  <c r="Z53" i="32"/>
  <c r="Z45" i="32"/>
  <c r="Z569" i="32"/>
  <c r="Z518" i="32"/>
  <c r="Z570" i="32"/>
  <c r="Z608" i="32"/>
  <c r="Z532" i="32"/>
  <c r="Z420" i="32"/>
  <c r="Z413" i="32"/>
  <c r="Z423" i="32"/>
  <c r="Z431" i="32"/>
  <c r="Z222" i="32"/>
  <c r="Z220" i="32"/>
  <c r="Z166" i="32"/>
  <c r="Z228" i="32"/>
  <c r="Z96" i="32"/>
  <c r="Z154" i="32"/>
  <c r="Z99" i="32"/>
  <c r="Z145" i="32"/>
  <c r="Z26" i="32"/>
  <c r="Z27" i="32"/>
  <c r="Z537" i="32"/>
  <c r="Z492" i="32"/>
  <c r="Z495" i="32"/>
  <c r="Z583" i="32"/>
  <c r="Z465" i="32"/>
  <c r="Z348" i="32"/>
  <c r="Z355" i="32"/>
  <c r="Z349" i="32"/>
  <c r="Z396" i="32"/>
  <c r="Z384" i="32"/>
  <c r="Z343" i="32"/>
  <c r="Z268" i="32"/>
  <c r="Z271" i="32"/>
  <c r="Z259" i="32"/>
  <c r="Z125" i="32"/>
  <c r="Z317" i="32"/>
  <c r="Z106" i="32"/>
  <c r="Z251" i="32"/>
  <c r="Z46" i="32"/>
  <c r="Z530" i="32"/>
  <c r="Z487" i="32"/>
  <c r="Z483" i="32"/>
  <c r="Z580" i="32"/>
  <c r="Z458" i="32"/>
  <c r="Z346" i="32"/>
  <c r="Z353" i="32"/>
  <c r="Z588" i="32"/>
  <c r="Z393" i="32"/>
  <c r="Z329" i="32"/>
  <c r="Z323" i="32"/>
  <c r="Z263" i="32"/>
  <c r="Z261" i="32"/>
  <c r="Z170" i="32"/>
  <c r="Z115" i="32"/>
  <c r="Z200" i="32"/>
  <c r="Z103" i="32"/>
  <c r="Z87" i="32"/>
  <c r="Z40" i="32"/>
  <c r="Z472" i="32"/>
  <c r="Z429" i="32"/>
  <c r="Z354" i="32"/>
  <c r="Z196" i="32"/>
  <c r="Z276" i="32"/>
  <c r="Z468" i="32"/>
  <c r="Z427" i="32"/>
  <c r="Z405" i="32"/>
  <c r="Z178" i="32"/>
  <c r="Z244" i="32"/>
  <c r="Z551" i="32"/>
  <c r="Z325" i="32"/>
  <c r="Z262" i="32"/>
  <c r="Z118" i="32"/>
  <c r="Z43" i="32"/>
  <c r="Z462" i="32"/>
  <c r="Z406" i="32"/>
  <c r="Z280" i="32"/>
  <c r="Z69" i="32"/>
  <c r="Z36" i="32"/>
  <c r="Z454" i="32"/>
  <c r="Z401" i="32"/>
  <c r="Z278" i="32"/>
  <c r="Z66" i="32"/>
  <c r="Z18" i="32"/>
  <c r="W55" i="31"/>
  <c r="W15" i="31"/>
  <c r="Z542" i="32"/>
  <c r="Z214" i="32"/>
  <c r="W63" i="31"/>
  <c r="Z519" i="32"/>
  <c r="Z112" i="32"/>
  <c r="Z517" i="32"/>
  <c r="Z136" i="32"/>
  <c r="Z322" i="32"/>
  <c r="Z126" i="32"/>
  <c r="Z390" i="32"/>
  <c r="Z39" i="32"/>
  <c r="Z371" i="32"/>
  <c r="Z247" i="32"/>
  <c r="Z216" i="32"/>
  <c r="W31" i="31"/>
  <c r="W32" i="31"/>
  <c r="W64" i="31"/>
  <c r="W607" i="31"/>
  <c r="B625" i="31"/>
  <c r="W610" i="31"/>
  <c r="W593" i="31"/>
  <c r="W572" i="31"/>
  <c r="W576" i="31"/>
  <c r="W569" i="31"/>
  <c r="W563" i="31"/>
  <c r="W545" i="31"/>
  <c r="W541" i="31"/>
  <c r="W530" i="31"/>
  <c r="W526" i="31"/>
  <c r="W501" i="31"/>
  <c r="W515" i="31"/>
  <c r="W521" i="31"/>
  <c r="W491" i="31"/>
  <c r="W497" i="31"/>
  <c r="W480" i="31"/>
  <c r="W452" i="31"/>
  <c r="W513" i="31"/>
  <c r="W442" i="31"/>
  <c r="W440" i="31"/>
  <c r="W450" i="31"/>
  <c r="W421" i="31"/>
  <c r="W427" i="31"/>
  <c r="W409" i="31"/>
  <c r="W394" i="31"/>
  <c r="W414" i="31"/>
  <c r="W402" i="31"/>
  <c r="W389" i="31"/>
  <c r="W370" i="31"/>
  <c r="W360" i="31"/>
  <c r="W365" i="31"/>
  <c r="W316" i="31"/>
  <c r="W315" i="31"/>
  <c r="W306" i="31"/>
  <c r="W313" i="31"/>
  <c r="W304" i="31"/>
  <c r="W303" i="31"/>
  <c r="W261" i="31"/>
  <c r="W334" i="31"/>
  <c r="W354" i="31"/>
  <c r="W310" i="31"/>
  <c r="W325" i="31"/>
  <c r="W240" i="31"/>
  <c r="W289" i="31"/>
  <c r="W293" i="31"/>
  <c r="W226" i="31"/>
  <c r="W232" i="31"/>
  <c r="W237" i="31"/>
  <c r="W212" i="31"/>
  <c r="W154" i="31"/>
  <c r="W177" i="31"/>
  <c r="W176" i="31"/>
  <c r="W167" i="31"/>
  <c r="W166" i="31"/>
  <c r="W165" i="31"/>
  <c r="W164" i="31"/>
  <c r="W171" i="31"/>
  <c r="W102" i="31"/>
  <c r="W101" i="31"/>
  <c r="W108" i="31"/>
  <c r="W115" i="31"/>
  <c r="W122" i="31"/>
  <c r="W121" i="31"/>
  <c r="W128" i="31"/>
  <c r="W127" i="31"/>
  <c r="W79" i="31"/>
  <c r="W13" i="31"/>
  <c r="W48" i="31"/>
  <c r="AK625" i="31"/>
  <c r="W597" i="31"/>
  <c r="W596" i="31"/>
  <c r="W581" i="31"/>
  <c r="W578" i="31"/>
  <c r="W565" i="31"/>
  <c r="W567" i="31"/>
  <c r="W566" i="31"/>
  <c r="W543" i="31"/>
  <c r="W539" i="31"/>
  <c r="W504" i="31"/>
  <c r="W536" i="31"/>
  <c r="W516" i="31"/>
  <c r="W506" i="31"/>
  <c r="W492" i="31"/>
  <c r="W482" i="31"/>
  <c r="W462" i="31"/>
  <c r="W488" i="31"/>
  <c r="W459" i="31"/>
  <c r="W451" i="31"/>
  <c r="W433" i="31"/>
  <c r="W439" i="31"/>
  <c r="W445" i="31"/>
  <c r="W426" i="31"/>
  <c r="W428" i="31"/>
  <c r="W423" i="31"/>
  <c r="W400" i="31"/>
  <c r="W392" i="31"/>
  <c r="W398" i="31"/>
  <c r="W371" i="31"/>
  <c r="W369" i="31"/>
  <c r="W351" i="31"/>
  <c r="W350" i="31"/>
  <c r="W347" i="31"/>
  <c r="W338" i="31"/>
  <c r="W345" i="31"/>
  <c r="W336" i="31"/>
  <c r="W335" i="31"/>
  <c r="W326" i="31"/>
  <c r="W284" i="31"/>
  <c r="W267" i="31"/>
  <c r="W266" i="31"/>
  <c r="W265" i="31"/>
  <c r="W272" i="31"/>
  <c r="W301" i="31"/>
  <c r="W287" i="31"/>
  <c r="W227" i="31"/>
  <c r="W244" i="31"/>
  <c r="W231" i="31"/>
  <c r="W239" i="31"/>
  <c r="W186" i="31"/>
  <c r="W208" i="31"/>
  <c r="W209" i="31"/>
  <c r="W199" i="31"/>
  <c r="W198" i="31"/>
  <c r="W197" i="31"/>
  <c r="W196" i="31"/>
  <c r="W203" i="31"/>
  <c r="W134" i="31"/>
  <c r="W133" i="31"/>
  <c r="W140" i="31"/>
  <c r="W151" i="31"/>
  <c r="W83" i="31"/>
  <c r="W90" i="31"/>
  <c r="W89" i="31"/>
  <c r="W96" i="31"/>
  <c r="W95" i="31"/>
  <c r="W23" i="31"/>
  <c r="W33" i="31"/>
  <c r="W601" i="31"/>
  <c r="W600" i="31"/>
  <c r="W573" i="31"/>
  <c r="W577" i="31"/>
  <c r="W568" i="31"/>
  <c r="W564" i="31"/>
  <c r="W550" i="31"/>
  <c r="W520" i="31"/>
  <c r="W525" i="31"/>
  <c r="W523" i="31"/>
  <c r="W485" i="31"/>
  <c r="W474" i="31"/>
  <c r="W495" i="31"/>
  <c r="W477" i="31"/>
  <c r="W443" i="31"/>
  <c r="W448" i="31"/>
  <c r="W438" i="31"/>
  <c r="W420" i="31"/>
  <c r="W417" i="31"/>
  <c r="W378" i="31"/>
  <c r="W384" i="31"/>
  <c r="W397" i="31"/>
  <c r="W388" i="31"/>
  <c r="W379" i="31"/>
  <c r="W324" i="31"/>
  <c r="W299" i="31"/>
  <c r="W337" i="31"/>
  <c r="W312" i="31"/>
  <c r="W349" i="31"/>
  <c r="W276" i="31"/>
  <c r="W356" i="31"/>
  <c r="W281" i="31"/>
  <c r="W264" i="31"/>
  <c r="W333" i="31"/>
  <c r="W245" i="31"/>
  <c r="W233" i="31"/>
  <c r="W207" i="31"/>
  <c r="W202" i="31"/>
  <c r="W201" i="31"/>
  <c r="W184" i="31"/>
  <c r="W243" i="31"/>
  <c r="W189" i="31"/>
  <c r="W172" i="31"/>
  <c r="W155" i="31"/>
  <c r="W125" i="31"/>
  <c r="W116" i="31"/>
  <c r="W99" i="31"/>
  <c r="W82" i="31"/>
  <c r="W136" i="31"/>
  <c r="W111" i="31"/>
  <c r="W24" i="31"/>
  <c r="W65" i="31"/>
  <c r="W608" i="31"/>
  <c r="W599" i="31"/>
  <c r="W594" i="31"/>
  <c r="W580" i="31"/>
  <c r="W575" i="31"/>
  <c r="W549" i="31"/>
  <c r="W553" i="31"/>
  <c r="W540" i="31"/>
  <c r="W519" i="31"/>
  <c r="W509" i="31"/>
  <c r="W537" i="31"/>
  <c r="W484" i="31"/>
  <c r="W500" i="31"/>
  <c r="W461" i="31"/>
  <c r="W496" i="31"/>
  <c r="W455" i="31"/>
  <c r="W456" i="31"/>
  <c r="W437" i="31"/>
  <c r="W404" i="31"/>
  <c r="W416" i="31"/>
  <c r="W393" i="31"/>
  <c r="W422" i="31"/>
  <c r="W373" i="31"/>
  <c r="W361" i="31"/>
  <c r="W358" i="31"/>
  <c r="W300" i="31"/>
  <c r="W330" i="31"/>
  <c r="W321" i="31"/>
  <c r="W387" i="31"/>
  <c r="W285" i="31"/>
  <c r="W260" i="31"/>
  <c r="W282" i="31"/>
  <c r="W257" i="31"/>
  <c r="W248" i="31"/>
  <c r="W278" i="31"/>
  <c r="W219" i="31"/>
  <c r="W217" i="31"/>
  <c r="W221" i="31"/>
  <c r="W178" i="31"/>
  <c r="W185" i="31"/>
  <c r="W160" i="31"/>
  <c r="W190" i="31"/>
  <c r="W173" i="31"/>
  <c r="W148" i="31"/>
  <c r="W126" i="31"/>
  <c r="W109" i="31"/>
  <c r="W92" i="31"/>
  <c r="W145" i="31"/>
  <c r="W129" i="31"/>
  <c r="W112" i="31"/>
  <c r="W87" i="31"/>
  <c r="W39" i="31"/>
  <c r="W40" i="31"/>
  <c r="E635" i="31"/>
  <c r="W598" i="31"/>
  <c r="W603" i="31"/>
  <c r="W579" i="31"/>
  <c r="W574" i="31"/>
  <c r="W558" i="31"/>
  <c r="W552" i="31"/>
  <c r="W532" i="31"/>
  <c r="W511" i="31"/>
  <c r="W547" i="31"/>
  <c r="W522" i="31"/>
  <c r="W476" i="31"/>
  <c r="W489" i="31"/>
  <c r="W453" i="31"/>
  <c r="W466" i="31"/>
  <c r="W434" i="31"/>
  <c r="W447" i="31"/>
  <c r="W429" i="31"/>
  <c r="W419" i="31"/>
  <c r="W408" i="31"/>
  <c r="W385" i="31"/>
  <c r="W391" i="31"/>
  <c r="W380" i="31"/>
  <c r="W374" i="31"/>
  <c r="W357" i="31"/>
  <c r="W292" i="31"/>
  <c r="W322" i="31"/>
  <c r="W305" i="31"/>
  <c r="W343" i="31"/>
  <c r="W277" i="31"/>
  <c r="W302" i="31"/>
  <c r="W274" i="31"/>
  <c r="W249" i="31"/>
  <c r="W318" i="31"/>
  <c r="W253" i="31"/>
  <c r="W242" i="31"/>
  <c r="W224" i="31"/>
  <c r="W213" i="31"/>
  <c r="W170" i="31"/>
  <c r="W169" i="31"/>
  <c r="W152" i="31"/>
  <c r="W182" i="31"/>
  <c r="W157" i="31"/>
  <c r="W214" i="31"/>
  <c r="W118" i="31"/>
  <c r="W93" i="31"/>
  <c r="W84" i="31"/>
  <c r="W138" i="31"/>
  <c r="W113" i="31"/>
  <c r="W104" i="31"/>
  <c r="W47" i="31"/>
  <c r="W56" i="31"/>
  <c r="W25" i="31"/>
  <c r="W605" i="31"/>
  <c r="W604" i="31"/>
  <c r="W595" i="31"/>
  <c r="W571" i="31"/>
  <c r="W557" i="31"/>
  <c r="W548" i="31"/>
  <c r="W544" i="31"/>
  <c r="W531" i="31"/>
  <c r="W528" i="31"/>
  <c r="W527" i="31"/>
  <c r="W494" i="31"/>
  <c r="W499" i="31"/>
  <c r="W481" i="31"/>
  <c r="W475" i="31"/>
  <c r="W458" i="31"/>
  <c r="W449" i="31"/>
  <c r="W431" i="31"/>
  <c r="W436" i="31"/>
  <c r="W411" i="31"/>
  <c r="W415" i="31"/>
  <c r="W377" i="31"/>
  <c r="W383" i="31"/>
  <c r="W363" i="31"/>
  <c r="W368" i="31"/>
  <c r="W364" i="31"/>
  <c r="W339" i="31"/>
  <c r="W314" i="31"/>
  <c r="W297" i="31"/>
  <c r="W327" i="31"/>
  <c r="W269" i="31"/>
  <c r="W283" i="31"/>
  <c r="W258" i="31"/>
  <c r="W241" i="31"/>
  <c r="W279" i="31"/>
  <c r="W271" i="31"/>
  <c r="W234" i="31"/>
  <c r="W216" i="31"/>
  <c r="W236" i="31"/>
  <c r="W162" i="31"/>
  <c r="W161" i="31"/>
  <c r="W191" i="31"/>
  <c r="W174" i="31"/>
  <c r="W149" i="31"/>
  <c r="W195" i="31"/>
  <c r="W110" i="31"/>
  <c r="W85" i="31"/>
  <c r="W139" i="31"/>
  <c r="W130" i="31"/>
  <c r="W105" i="31"/>
  <c r="W88" i="31"/>
  <c r="W16" i="31"/>
  <c r="W17" i="31"/>
  <c r="W73" i="31"/>
  <c r="W588" i="31"/>
  <c r="W586" i="31"/>
  <c r="W546" i="31"/>
  <c r="W556" i="31"/>
  <c r="W529" i="31"/>
  <c r="W490" i="31"/>
  <c r="W479" i="31"/>
  <c r="W463" i="31"/>
  <c r="W444" i="31"/>
  <c r="W386" i="31"/>
  <c r="W382" i="31"/>
  <c r="W359" i="31"/>
  <c r="W307" i="31"/>
  <c r="W320" i="31"/>
  <c r="W291" i="31"/>
  <c r="W294" i="31"/>
  <c r="W270" i="31"/>
  <c r="W252" i="31"/>
  <c r="W222" i="31"/>
  <c r="W192" i="31"/>
  <c r="W205" i="31"/>
  <c r="W163" i="31"/>
  <c r="W124" i="31"/>
  <c r="W98" i="31"/>
  <c r="W119" i="31"/>
  <c r="W37" i="31"/>
  <c r="W69" i="31"/>
  <c r="W30" i="31"/>
  <c r="W62" i="31"/>
  <c r="W612" i="31"/>
  <c r="W592" i="31"/>
  <c r="W591" i="31"/>
  <c r="W535" i="31"/>
  <c r="W518" i="31"/>
  <c r="W486" i="31"/>
  <c r="W470" i="31"/>
  <c r="W465" i="31"/>
  <c r="W473" i="31"/>
  <c r="W430" i="31"/>
  <c r="W405" i="31"/>
  <c r="W355" i="31"/>
  <c r="W353" i="31"/>
  <c r="W298" i="31"/>
  <c r="W319" i="31"/>
  <c r="W275" i="31"/>
  <c r="W288" i="31"/>
  <c r="W254" i="31"/>
  <c r="W238" i="31"/>
  <c r="W146" i="31"/>
  <c r="W183" i="31"/>
  <c r="W204" i="31"/>
  <c r="W94" i="31"/>
  <c r="W131" i="31"/>
  <c r="W97" i="31"/>
  <c r="W34" i="31"/>
  <c r="W58" i="31"/>
  <c r="W27" i="31"/>
  <c r="W51" i="31"/>
  <c r="W75" i="31"/>
  <c r="W29" i="31"/>
  <c r="W61" i="31"/>
  <c r="W22" i="31"/>
  <c r="W54" i="31"/>
  <c r="W57" i="31"/>
  <c r="W611" i="31"/>
  <c r="W584" i="31"/>
  <c r="W562" i="31"/>
  <c r="W542" i="31"/>
  <c r="W510" i="31"/>
  <c r="W478" i="31"/>
  <c r="W454" i="31"/>
  <c r="W457" i="31"/>
  <c r="W471" i="31"/>
  <c r="W418" i="31"/>
  <c r="W403" i="31"/>
  <c r="W395" i="31"/>
  <c r="W340" i="31"/>
  <c r="W290" i="31"/>
  <c r="W311" i="31"/>
  <c r="W259" i="31"/>
  <c r="W286" i="31"/>
  <c r="W247" i="31"/>
  <c r="W223" i="31"/>
  <c r="W230" i="31"/>
  <c r="W175" i="31"/>
  <c r="W188" i="31"/>
  <c r="W86" i="31"/>
  <c r="W123" i="31"/>
  <c r="W81" i="31"/>
  <c r="W44" i="31"/>
  <c r="W76" i="31"/>
  <c r="W71" i="31"/>
  <c r="W602" i="31"/>
  <c r="W609" i="31"/>
  <c r="W561" i="31"/>
  <c r="W534" i="31"/>
  <c r="W502" i="31"/>
  <c r="W493" i="31"/>
  <c r="W503" i="31"/>
  <c r="W472" i="31"/>
  <c r="W446" i="31"/>
  <c r="W410" i="31"/>
  <c r="W401" i="31"/>
  <c r="W362" i="31"/>
  <c r="W332" i="31"/>
  <c r="W352" i="31"/>
  <c r="W295" i="31"/>
  <c r="W251" i="31"/>
  <c r="W280" i="31"/>
  <c r="W255" i="31"/>
  <c r="W215" i="31"/>
  <c r="W211" i="31"/>
  <c r="W159" i="31"/>
  <c r="W180" i="31"/>
  <c r="W141" i="31"/>
  <c r="W107" i="31"/>
  <c r="W144" i="31"/>
  <c r="W50" i="31"/>
  <c r="W74" i="31"/>
  <c r="W67" i="31"/>
  <c r="W21" i="31"/>
  <c r="W53" i="31"/>
  <c r="W46" i="31"/>
  <c r="W78" i="31"/>
  <c r="W606" i="31"/>
  <c r="W582" i="31"/>
  <c r="W560" i="31"/>
  <c r="W533" i="31"/>
  <c r="W517" i="31"/>
  <c r="W514" i="31"/>
  <c r="W469" i="31"/>
  <c r="W435" i="31"/>
  <c r="W464" i="31"/>
  <c r="W424" i="31"/>
  <c r="W376" i="31"/>
  <c r="W372" i="31"/>
  <c r="W308" i="31"/>
  <c r="W329" i="31"/>
  <c r="W348" i="31"/>
  <c r="W317" i="31"/>
  <c r="W256" i="31"/>
  <c r="W235" i="31"/>
  <c r="W229" i="31"/>
  <c r="W193" i="31"/>
  <c r="W206" i="31"/>
  <c r="W156" i="31"/>
  <c r="W117" i="31"/>
  <c r="W91" i="31"/>
  <c r="W120" i="31"/>
  <c r="W555" i="31"/>
  <c r="W507" i="31"/>
  <c r="W425" i="31"/>
  <c r="W375" i="31"/>
  <c r="W346" i="31"/>
  <c r="W342" i="31"/>
  <c r="W228" i="31"/>
  <c r="W181" i="31"/>
  <c r="W106" i="31"/>
  <c r="W20" i="31"/>
  <c r="W19" i="31"/>
  <c r="W43" i="31"/>
  <c r="W68" i="31"/>
  <c r="W406" i="31"/>
  <c r="W150" i="31"/>
  <c r="W554" i="31"/>
  <c r="W483" i="31"/>
  <c r="W432" i="31"/>
  <c r="W390" i="31"/>
  <c r="W344" i="31"/>
  <c r="W273" i="31"/>
  <c r="W220" i="31"/>
  <c r="W187" i="31"/>
  <c r="W137" i="31"/>
  <c r="W441" i="31"/>
  <c r="W225" i="31"/>
  <c r="W590" i="31"/>
  <c r="W559" i="31"/>
  <c r="W498" i="31"/>
  <c r="W413" i="31"/>
  <c r="W381" i="31"/>
  <c r="W328" i="31"/>
  <c r="W262" i="31"/>
  <c r="W194" i="31"/>
  <c r="W179" i="31"/>
  <c r="W143" i="31"/>
  <c r="W45" i="31"/>
  <c r="W589" i="31"/>
  <c r="W551" i="31"/>
  <c r="W505" i="31"/>
  <c r="W487" i="31"/>
  <c r="W396" i="31"/>
  <c r="W296" i="31"/>
  <c r="W246" i="31"/>
  <c r="W153" i="31"/>
  <c r="W142" i="31"/>
  <c r="W135" i="31"/>
  <c r="W18" i="31"/>
  <c r="W42" i="31"/>
  <c r="W66" i="31"/>
  <c r="W28" i="31"/>
  <c r="W14" i="31"/>
  <c r="W41" i="31"/>
  <c r="W587" i="31"/>
  <c r="W538" i="31"/>
  <c r="W468" i="31"/>
  <c r="W412" i="31"/>
  <c r="W367" i="31"/>
  <c r="W341" i="31"/>
  <c r="W263" i="31"/>
  <c r="W200" i="31"/>
  <c r="W147" i="31"/>
  <c r="W103" i="31"/>
  <c r="W52" i="31"/>
  <c r="W570" i="31"/>
  <c r="W467" i="31"/>
  <c r="W331" i="31"/>
  <c r="W210" i="31"/>
  <c r="W100" i="31"/>
  <c r="W585" i="31"/>
  <c r="W323" i="31"/>
  <c r="W114" i="31"/>
  <c r="W583" i="31"/>
  <c r="W512" i="31"/>
  <c r="W460" i="31"/>
  <c r="W407" i="31"/>
  <c r="W366" i="31"/>
  <c r="W309" i="31"/>
  <c r="W218" i="31"/>
  <c r="W168" i="31"/>
  <c r="W132" i="31"/>
  <c r="W26" i="31"/>
  <c r="W36" i="31"/>
  <c r="W77" i="31"/>
  <c r="W72" i="31"/>
  <c r="W49" i="31"/>
  <c r="W524" i="31"/>
  <c r="W399" i="31"/>
  <c r="W268" i="31"/>
  <c r="W158" i="31"/>
  <c r="W70" i="31"/>
  <c r="W508" i="31"/>
  <c r="W250" i="31"/>
  <c r="W35" i="31"/>
  <c r="W59" i="31"/>
  <c r="W60" i="31"/>
  <c r="W38" i="31"/>
  <c r="W626" i="31"/>
  <c r="W623" i="31"/>
  <c r="W622" i="31"/>
  <c r="W628" i="31"/>
  <c r="T613" i="31"/>
  <c r="W604" i="32"/>
  <c r="W562" i="32"/>
  <c r="W484" i="32"/>
  <c r="W599" i="32"/>
  <c r="W537" i="32"/>
  <c r="W609" i="32"/>
  <c r="W556" i="32"/>
  <c r="W514" i="32"/>
  <c r="W472" i="32"/>
  <c r="W542" i="32"/>
  <c r="W603" i="32"/>
  <c r="W538" i="32"/>
  <c r="W568" i="32"/>
  <c r="W522" i="32"/>
  <c r="W594" i="32"/>
  <c r="W552" i="32"/>
  <c r="W513" i="32"/>
  <c r="W486" i="32"/>
  <c r="W580" i="32"/>
  <c r="W539" i="32"/>
  <c r="W453" i="32"/>
  <c r="W565" i="32"/>
  <c r="W520" i="32"/>
  <c r="W593" i="32"/>
  <c r="W528" i="32"/>
  <c r="W506" i="32"/>
  <c r="W576" i="32"/>
  <c r="W485" i="32"/>
  <c r="W572" i="32"/>
  <c r="W483" i="32"/>
  <c r="W547" i="32"/>
  <c r="W610" i="32"/>
  <c r="W583" i="32"/>
  <c r="W529" i="32"/>
  <c r="W505" i="32"/>
  <c r="W590" i="32"/>
  <c r="W532" i="32"/>
  <c r="W602" i="32"/>
  <c r="W525" i="32"/>
  <c r="W586" i="32"/>
  <c r="W516" i="32"/>
  <c r="W605" i="32"/>
  <c r="W466" i="32"/>
  <c r="W540" i="32"/>
  <c r="W554" i="32"/>
  <c r="W608" i="32"/>
  <c r="W557" i="32"/>
  <c r="W509" i="32"/>
  <c r="W444" i="32"/>
  <c r="W396" i="32"/>
  <c r="W332" i="32"/>
  <c r="W429" i="32"/>
  <c r="W382" i="32"/>
  <c r="W454" i="32"/>
  <c r="W456" i="32"/>
  <c r="W386" i="32"/>
  <c r="W344" i="32"/>
  <c r="W450" i="32"/>
  <c r="W395" i="32"/>
  <c r="W342" i="32"/>
  <c r="W423" i="32"/>
  <c r="W353" i="32"/>
  <c r="W439" i="32"/>
  <c r="W345" i="32"/>
  <c r="W317" i="32"/>
  <c r="W261" i="32"/>
  <c r="W201" i="32"/>
  <c r="W290" i="32"/>
  <c r="W226" i="32"/>
  <c r="W299" i="32"/>
  <c r="W211" i="32"/>
  <c r="W334" i="32"/>
  <c r="W245" i="32"/>
  <c r="W168" i="32"/>
  <c r="W300" i="32"/>
  <c r="W265" i="32"/>
  <c r="W209" i="32"/>
  <c r="W291" i="32"/>
  <c r="W223" i="32"/>
  <c r="W330" i="32"/>
  <c r="W273" i="32"/>
  <c r="W180" i="32"/>
  <c r="W202" i="32"/>
  <c r="W122" i="32"/>
  <c r="W164" i="32"/>
  <c r="W101" i="32"/>
  <c r="W253" i="32"/>
  <c r="W118" i="32"/>
  <c r="W205" i="32"/>
  <c r="W144" i="32"/>
  <c r="W97" i="32"/>
  <c r="W455" i="32"/>
  <c r="W123" i="32"/>
  <c r="W303" i="32"/>
  <c r="W157" i="32"/>
  <c r="W105" i="32"/>
  <c r="W148" i="32"/>
  <c r="W90" i="32"/>
  <c r="W38" i="32"/>
  <c r="W160" i="32"/>
  <c r="W33" i="32"/>
  <c r="W41" i="32"/>
  <c r="W47" i="32"/>
  <c r="W35" i="32"/>
  <c r="W110" i="32"/>
  <c r="W20" i="32"/>
  <c r="T74" i="31"/>
  <c r="W588" i="32"/>
  <c r="W498" i="32"/>
  <c r="W581" i="32"/>
  <c r="W523" i="32"/>
  <c r="W584" i="32"/>
  <c r="W512" i="32"/>
  <c r="W591" i="32"/>
  <c r="W459" i="32"/>
  <c r="W497" i="32"/>
  <c r="W549" i="32"/>
  <c r="W598" i="32"/>
  <c r="W545" i="32"/>
  <c r="W507" i="32"/>
  <c r="W475" i="32"/>
  <c r="W384" i="32"/>
  <c r="W329" i="32"/>
  <c r="W427" i="32"/>
  <c r="W372" i="32"/>
  <c r="W448" i="32"/>
  <c r="W443" i="32"/>
  <c r="W385" i="32"/>
  <c r="W333" i="32"/>
  <c r="W445" i="32"/>
  <c r="W392" i="32"/>
  <c r="W606" i="32"/>
  <c r="W421" i="32"/>
  <c r="W352" i="32"/>
  <c r="W416" i="32"/>
  <c r="W473" i="32"/>
  <c r="W301" i="32"/>
  <c r="W259" i="32"/>
  <c r="W194" i="32"/>
  <c r="W287" i="32"/>
  <c r="W224" i="32"/>
  <c r="W282" i="32"/>
  <c r="W206" i="32"/>
  <c r="W326" i="32"/>
  <c r="W237" i="32"/>
  <c r="W575" i="32"/>
  <c r="W295" i="32"/>
  <c r="W260" i="32"/>
  <c r="W376" i="32"/>
  <c r="W268" i="32"/>
  <c r="W216" i="32"/>
  <c r="W325" i="32"/>
  <c r="W258" i="32"/>
  <c r="W169" i="32"/>
  <c r="W191" i="32"/>
  <c r="W95" i="32"/>
  <c r="W152" i="32"/>
  <c r="W91" i="32"/>
  <c r="W193" i="32"/>
  <c r="W107" i="32"/>
  <c r="W190" i="32"/>
  <c r="W138" i="32"/>
  <c r="W85" i="32"/>
  <c r="W390" i="32"/>
  <c r="W102" i="32"/>
  <c r="W271" i="32"/>
  <c r="W151" i="32"/>
  <c r="W87" i="32"/>
  <c r="W145" i="32"/>
  <c r="W84" i="32"/>
  <c r="W36" i="32"/>
  <c r="W92" i="32"/>
  <c r="W31" i="32"/>
  <c r="W39" i="32"/>
  <c r="W37" i="32"/>
  <c r="W32" i="32"/>
  <c r="W83" i="32"/>
  <c r="W21" i="32"/>
  <c r="W578" i="32"/>
  <c r="W496" i="32"/>
  <c r="W569" i="32"/>
  <c r="W503" i="32"/>
  <c r="W558" i="32"/>
  <c r="W510" i="32"/>
  <c r="W574" i="32"/>
  <c r="W457" i="32"/>
  <c r="W495" i="32"/>
  <c r="W531" i="32"/>
  <c r="W596" i="32"/>
  <c r="W536" i="32"/>
  <c r="W493" i="32"/>
  <c r="W460" i="32"/>
  <c r="W379" i="32"/>
  <c r="W321" i="32"/>
  <c r="W424" i="32"/>
  <c r="W367" i="32"/>
  <c r="W435" i="32"/>
  <c r="W438" i="32"/>
  <c r="W377" i="32"/>
  <c r="W318" i="32"/>
  <c r="W441" i="32"/>
  <c r="W389" i="32"/>
  <c r="W476" i="32"/>
  <c r="W411" i="32"/>
  <c r="W328" i="32"/>
  <c r="W409" i="32"/>
  <c r="W442" i="32"/>
  <c r="W296" i="32"/>
  <c r="W256" i="32"/>
  <c r="W426" i="32"/>
  <c r="W269" i="32"/>
  <c r="W215" i="32"/>
  <c r="W274" i="32"/>
  <c r="W199" i="32"/>
  <c r="W304" i="32"/>
  <c r="W235" i="32"/>
  <c r="W434" i="32"/>
  <c r="W293" i="32"/>
  <c r="W257" i="32"/>
  <c r="W371" i="32"/>
  <c r="W263" i="32"/>
  <c r="W214" i="32"/>
  <c r="W322" i="32"/>
  <c r="W246" i="32"/>
  <c r="W166" i="32"/>
  <c r="W175" i="32"/>
  <c r="W93" i="32"/>
  <c r="W140" i="32"/>
  <c r="W88" i="32"/>
  <c r="W185" i="32"/>
  <c r="W96" i="32"/>
  <c r="W174" i="32"/>
  <c r="W132" i="32"/>
  <c r="W82" i="32"/>
  <c r="W196" i="32"/>
  <c r="W99" i="32"/>
  <c r="W266" i="32"/>
  <c r="W147" i="32"/>
  <c r="W75" i="32"/>
  <c r="W131" i="32"/>
  <c r="W81" i="32"/>
  <c r="W28" i="32"/>
  <c r="W72" i="32"/>
  <c r="W29" i="32"/>
  <c r="W24" i="32"/>
  <c r="W17" i="32"/>
  <c r="W30" i="32"/>
  <c r="W78" i="32"/>
  <c r="W16" i="32"/>
  <c r="W573" i="32"/>
  <c r="W482" i="32"/>
  <c r="W567" i="32"/>
  <c r="W494" i="32"/>
  <c r="W553" i="32"/>
  <c r="W508" i="32"/>
  <c r="W563" i="32"/>
  <c r="W589" i="32"/>
  <c r="W490" i="32"/>
  <c r="W526" i="32"/>
  <c r="W592" i="32"/>
  <c r="W534" i="32"/>
  <c r="W491" i="32"/>
  <c r="W431" i="32"/>
  <c r="W364" i="32"/>
  <c r="W477" i="32"/>
  <c r="W422" i="32"/>
  <c r="W357" i="32"/>
  <c r="W432" i="32"/>
  <c r="W425" i="32"/>
  <c r="W375" i="32"/>
  <c r="W316" i="32"/>
  <c r="W436" i="32"/>
  <c r="W383" i="32"/>
  <c r="W467" i="32"/>
  <c r="W387" i="32"/>
  <c r="W323" i="32"/>
  <c r="W404" i="32"/>
  <c r="W374" i="32"/>
  <c r="W294" i="32"/>
  <c r="W251" i="32"/>
  <c r="W338" i="32"/>
  <c r="W264" i="32"/>
  <c r="W208" i="32"/>
  <c r="W267" i="32"/>
  <c r="W183" i="32"/>
  <c r="W297" i="32"/>
  <c r="W227" i="32"/>
  <c r="W419" i="32"/>
  <c r="W288" i="32"/>
  <c r="W252" i="32"/>
  <c r="W361" i="32"/>
  <c r="W255" i="32"/>
  <c r="W207" i="32"/>
  <c r="W315" i="32"/>
  <c r="W241" i="32"/>
  <c r="W320" i="32"/>
  <c r="W161" i="32"/>
  <c r="W73" i="32"/>
  <c r="W127" i="32"/>
  <c r="W71" i="32"/>
  <c r="W177" i="32"/>
  <c r="W65" i="32"/>
  <c r="W156" i="32"/>
  <c r="W130" i="32"/>
  <c r="W80" i="32"/>
  <c r="W187" i="32"/>
  <c r="W98" i="32"/>
  <c r="W219" i="32"/>
  <c r="W139" i="32"/>
  <c r="W437" i="32"/>
  <c r="W129" i="32"/>
  <c r="W79" i="32"/>
  <c r="W18" i="32"/>
  <c r="W64" i="32"/>
  <c r="W26" i="32"/>
  <c r="W19" i="32"/>
  <c r="W27" i="32"/>
  <c r="W25" i="32"/>
  <c r="W51" i="32"/>
  <c r="W192" i="32"/>
  <c r="W571" i="32"/>
  <c r="W479" i="32"/>
  <c r="W560" i="32"/>
  <c r="W489" i="32"/>
  <c r="W544" i="32"/>
  <c r="W492" i="32"/>
  <c r="W551" i="32"/>
  <c r="W582" i="32"/>
  <c r="W612" i="32"/>
  <c r="W524" i="32"/>
  <c r="W587" i="32"/>
  <c r="W519" i="32"/>
  <c r="W488" i="32"/>
  <c r="W412" i="32"/>
  <c r="W359" i="32"/>
  <c r="W468" i="32"/>
  <c r="W410" i="32"/>
  <c r="W324" i="32"/>
  <c r="W420" i="32"/>
  <c r="W418" i="32"/>
  <c r="W370" i="32"/>
  <c r="W543" i="32"/>
  <c r="W433" i="32"/>
  <c r="W380" i="32"/>
  <c r="W464" i="32"/>
  <c r="W378" i="32"/>
  <c r="W319" i="32"/>
  <c r="W399" i="32"/>
  <c r="W369" i="32"/>
  <c r="W289" i="32"/>
  <c r="W249" i="32"/>
  <c r="W312" i="32"/>
  <c r="W239" i="32"/>
  <c r="W393" i="32"/>
  <c r="W254" i="32"/>
  <c r="W181" i="32"/>
  <c r="W277" i="32"/>
  <c r="W220" i="32"/>
  <c r="W402" i="32"/>
  <c r="W285" i="32"/>
  <c r="W250" i="32"/>
  <c r="W356" i="32"/>
  <c r="W248" i="32"/>
  <c r="W200" i="32"/>
  <c r="W307" i="32"/>
  <c r="W212" i="32"/>
  <c r="W286" i="32"/>
  <c r="W158" i="32"/>
  <c r="W62" i="32"/>
  <c r="W120" i="32"/>
  <c r="W68" i="32"/>
  <c r="W170" i="32"/>
  <c r="W58" i="32"/>
  <c r="W154" i="32"/>
  <c r="W125" i="32"/>
  <c r="W77" i="32"/>
  <c r="W167" i="32"/>
  <c r="W94" i="32"/>
  <c r="W203" i="32"/>
  <c r="W133" i="32"/>
  <c r="W417" i="32"/>
  <c r="W117" i="32"/>
  <c r="W76" i="32"/>
  <c r="W14" i="32"/>
  <c r="W23" i="32"/>
  <c r="W34" i="32"/>
  <c r="W121" i="32"/>
  <c r="W142" i="32"/>
  <c r="W15" i="32"/>
  <c r="W46" i="32"/>
  <c r="W116" i="32"/>
  <c r="W555" i="32"/>
  <c r="W463" i="32"/>
  <c r="W548" i="32"/>
  <c r="W607" i="32"/>
  <c r="W535" i="32"/>
  <c r="W487" i="32"/>
  <c r="W533" i="32"/>
  <c r="W579" i="32"/>
  <c r="W600" i="32"/>
  <c r="W504" i="32"/>
  <c r="W585" i="32"/>
  <c r="W517" i="32"/>
  <c r="W478" i="32"/>
  <c r="W407" i="32"/>
  <c r="W350" i="32"/>
  <c r="W462" i="32"/>
  <c r="W394" i="32"/>
  <c r="W313" i="32"/>
  <c r="W415" i="32"/>
  <c r="W413" i="32"/>
  <c r="W362" i="32"/>
  <c r="W500" i="32"/>
  <c r="W406" i="32"/>
  <c r="W373" i="32"/>
  <c r="W458" i="32"/>
  <c r="W366" i="32"/>
  <c r="W471" i="32"/>
  <c r="W381" i="32"/>
  <c r="W354" i="32"/>
  <c r="W284" i="32"/>
  <c r="W244" i="32"/>
  <c r="W310" i="32"/>
  <c r="W234" i="32"/>
  <c r="W348" i="32"/>
  <c r="W247" i="32"/>
  <c r="W179" i="32"/>
  <c r="W272" i="32"/>
  <c r="W218" i="32"/>
  <c r="W340" i="32"/>
  <c r="W283" i="32"/>
  <c r="W243" i="32"/>
  <c r="W346" i="32"/>
  <c r="W238" i="32"/>
  <c r="W449" i="32"/>
  <c r="W305" i="32"/>
  <c r="W198" i="32"/>
  <c r="W281" i="32"/>
  <c r="W143" i="32"/>
  <c r="W60" i="32"/>
  <c r="W114" i="32"/>
  <c r="W55" i="32"/>
  <c r="W162" i="32"/>
  <c r="W236" i="32"/>
  <c r="W153" i="32"/>
  <c r="W115" i="32"/>
  <c r="W74" i="32"/>
  <c r="W159" i="32"/>
  <c r="W86" i="32"/>
  <c r="W195" i="32"/>
  <c r="W126" i="32"/>
  <c r="W186" i="32"/>
  <c r="W111" i="32"/>
  <c r="W49" i="32"/>
  <c r="W22" i="32"/>
  <c r="W176" i="32"/>
  <c r="W128" i="32"/>
  <c r="W70" i="32"/>
  <c r="W89" i="32"/>
  <c r="W13" i="32"/>
  <c r="W44" i="32"/>
  <c r="W613" i="32"/>
  <c r="W480" i="32"/>
  <c r="W502" i="32"/>
  <c r="W405" i="32"/>
  <c r="W527" i="32"/>
  <c r="W474" i="32"/>
  <c r="W363" i="32"/>
  <c r="W279" i="32"/>
  <c r="W314" i="32"/>
  <c r="W204" i="32"/>
  <c r="W311" i="32"/>
  <c r="W189" i="32"/>
  <c r="W109" i="32"/>
  <c r="W150" i="32"/>
  <c r="W61" i="32"/>
  <c r="W103" i="32"/>
  <c r="W63" i="32"/>
  <c r="W42" i="32"/>
  <c r="W611" i="32"/>
  <c r="W447" i="32"/>
  <c r="W481" i="32"/>
  <c r="W400" i="32"/>
  <c r="W465" i="32"/>
  <c r="W461" i="32"/>
  <c r="W358" i="32"/>
  <c r="W276" i="32"/>
  <c r="W306" i="32"/>
  <c r="W197" i="32"/>
  <c r="W309" i="32"/>
  <c r="W182" i="32"/>
  <c r="W106" i="32"/>
  <c r="W146" i="32"/>
  <c r="W53" i="32"/>
  <c r="W100" i="32"/>
  <c r="W57" i="32"/>
  <c r="W40" i="32"/>
  <c r="W546" i="32"/>
  <c r="W501" i="32"/>
  <c r="W564" i="32"/>
  <c r="W343" i="32"/>
  <c r="W397" i="32"/>
  <c r="W401" i="32"/>
  <c r="W469" i="32"/>
  <c r="W242" i="32"/>
  <c r="W222" i="32"/>
  <c r="W331" i="32"/>
  <c r="W230" i="32"/>
  <c r="W233" i="32"/>
  <c r="W45" i="32"/>
  <c r="W112" i="32"/>
  <c r="W173" i="32"/>
  <c r="W119" i="32"/>
  <c r="W54" i="32"/>
  <c r="T75" i="31"/>
  <c r="W597" i="32"/>
  <c r="W570" i="32"/>
  <c r="W515" i="32"/>
  <c r="W451" i="32"/>
  <c r="W408" i="32"/>
  <c r="W368" i="32"/>
  <c r="W349" i="32"/>
  <c r="W308" i="32"/>
  <c r="W414" i="32"/>
  <c r="W280" i="32"/>
  <c r="W339" i="32"/>
  <c r="W137" i="32"/>
  <c r="W149" i="32"/>
  <c r="W69" i="32"/>
  <c r="W113" i="32"/>
  <c r="W171" i="32"/>
  <c r="W59" i="32"/>
  <c r="T34" i="31"/>
  <c r="T58" i="31"/>
  <c r="T50" i="31"/>
  <c r="T42" i="31"/>
  <c r="W601" i="32"/>
  <c r="W595" i="32"/>
  <c r="W561" i="32"/>
  <c r="W511" i="32"/>
  <c r="W440" i="32"/>
  <c r="W403" i="32"/>
  <c r="W351" i="32"/>
  <c r="W347" i="32"/>
  <c r="W292" i="32"/>
  <c r="W337" i="32"/>
  <c r="W275" i="32"/>
  <c r="W336" i="32"/>
  <c r="W124" i="32"/>
  <c r="W134" i="32"/>
  <c r="W66" i="32"/>
  <c r="W108" i="32"/>
  <c r="W165" i="32"/>
  <c r="W56" i="32"/>
  <c r="W521" i="32"/>
  <c r="W341" i="32"/>
  <c r="W428" i="32"/>
  <c r="W270" i="32"/>
  <c r="W228" i="32"/>
  <c r="W135" i="32"/>
  <c r="W184" i="32"/>
  <c r="T18" i="31"/>
  <c r="W518" i="32"/>
  <c r="W391" i="32"/>
  <c r="W452" i="32"/>
  <c r="W262" i="32"/>
  <c r="W188" i="32"/>
  <c r="W163" i="32"/>
  <c r="W136" i="32"/>
  <c r="W499" i="32"/>
  <c r="W388" i="32"/>
  <c r="W335" i="32"/>
  <c r="W302" i="32"/>
  <c r="W172" i="32"/>
  <c r="W178" i="32"/>
  <c r="W577" i="32"/>
  <c r="W365" i="32"/>
  <c r="W327" i="32"/>
  <c r="W240" i="32"/>
  <c r="W43" i="32"/>
  <c r="W155" i="32"/>
  <c r="W566" i="32"/>
  <c r="W360" i="32"/>
  <c r="W217" i="32"/>
  <c r="W232" i="32"/>
  <c r="W221" i="32"/>
  <c r="W48" i="32"/>
  <c r="W550" i="32"/>
  <c r="W559" i="32"/>
  <c r="W355" i="32"/>
  <c r="W231" i="32"/>
  <c r="W225" i="32"/>
  <c r="W210" i="32"/>
  <c r="W67" i="32"/>
  <c r="W541" i="32"/>
  <c r="W298" i="32"/>
  <c r="W530" i="32"/>
  <c r="W278" i="32"/>
  <c r="T43" i="31"/>
  <c r="AK624" i="31"/>
  <c r="T603" i="31"/>
  <c r="T593" i="31"/>
  <c r="T590" i="31"/>
  <c r="T573" i="31"/>
  <c r="T571" i="31"/>
  <c r="T557" i="31"/>
  <c r="T561" i="31"/>
  <c r="T537" i="31"/>
  <c r="T543" i="31"/>
  <c r="T507" i="31"/>
  <c r="T513" i="31"/>
  <c r="T519" i="31"/>
  <c r="T517" i="31"/>
  <c r="T488" i="31"/>
  <c r="T539" i="31"/>
  <c r="T491" i="31"/>
  <c r="T473" i="31"/>
  <c r="T462" i="31"/>
  <c r="T460" i="31"/>
  <c r="T483" i="31"/>
  <c r="T435" i="31"/>
  <c r="T453" i="31"/>
  <c r="T466" i="31"/>
  <c r="T406" i="31"/>
  <c r="T420" i="31"/>
  <c r="T397" i="31"/>
  <c r="T395" i="31"/>
  <c r="T401" i="31"/>
  <c r="T391" i="31"/>
  <c r="T356" i="31"/>
  <c r="T362" i="31"/>
  <c r="T383" i="31"/>
  <c r="T319" i="31"/>
  <c r="T326" i="31"/>
  <c r="T325" i="31"/>
  <c r="T324" i="31"/>
  <c r="T323" i="31"/>
  <c r="T322" i="31"/>
  <c r="T272" i="31"/>
  <c r="T345" i="31"/>
  <c r="T336" i="31"/>
  <c r="T290" i="31"/>
  <c r="T312" i="31"/>
  <c r="T258" i="31"/>
  <c r="T320" i="31"/>
  <c r="T250" i="31"/>
  <c r="T213" i="31"/>
  <c r="T219" i="31"/>
  <c r="T224" i="31"/>
  <c r="T197" i="31"/>
  <c r="T196" i="31"/>
  <c r="T207" i="31"/>
  <c r="T147" i="31"/>
  <c r="T162" i="31"/>
  <c r="T177" i="31"/>
  <c r="T176" i="31"/>
  <c r="T167" i="31"/>
  <c r="T166" i="31"/>
  <c r="T89" i="31"/>
  <c r="T96" i="31"/>
  <c r="T103" i="31"/>
  <c r="T102" i="31"/>
  <c r="T101" i="31"/>
  <c r="T108" i="31"/>
  <c r="T115" i="31"/>
  <c r="T114" i="31"/>
  <c r="W470" i="32"/>
  <c r="W104" i="32"/>
  <c r="W398" i="32"/>
  <c r="W50" i="32"/>
  <c r="W430" i="32"/>
  <c r="W52" i="32"/>
  <c r="T66" i="31"/>
  <c r="T27" i="31"/>
  <c r="T59" i="31"/>
  <c r="T597" i="31"/>
  <c r="T601" i="31"/>
  <c r="T591" i="31"/>
  <c r="T576" i="31"/>
  <c r="T579" i="31"/>
  <c r="T567" i="31"/>
  <c r="T562" i="31"/>
  <c r="T555" i="31"/>
  <c r="T554" i="31"/>
  <c r="T541" i="31"/>
  <c r="T514" i="31"/>
  <c r="T504" i="31"/>
  <c r="T526" i="31"/>
  <c r="T489" i="31"/>
  <c r="T516" i="31"/>
  <c r="T477" i="31"/>
  <c r="T472" i="31"/>
  <c r="T490" i="31"/>
  <c r="T461" i="31"/>
  <c r="T438" i="31"/>
  <c r="T436" i="31"/>
  <c r="T458" i="31"/>
  <c r="T431" i="31"/>
  <c r="T399" i="31"/>
  <c r="T413" i="31"/>
  <c r="T411" i="31"/>
  <c r="T396" i="31"/>
  <c r="T394" i="31"/>
  <c r="T403" i="31"/>
  <c r="T382" i="31"/>
  <c r="T355" i="31"/>
  <c r="T374" i="31"/>
  <c r="T348" i="31"/>
  <c r="T287" i="31"/>
  <c r="T294" i="31"/>
  <c r="T293" i="31"/>
  <c r="T292" i="31"/>
  <c r="T351" i="31"/>
  <c r="T337" i="31"/>
  <c r="T289" i="31"/>
  <c r="T270" i="31"/>
  <c r="T269" i="31"/>
  <c r="T260" i="31"/>
  <c r="T259" i="31"/>
  <c r="T255" i="31"/>
  <c r="T257" i="31"/>
  <c r="T249" i="31"/>
  <c r="T220" i="31"/>
  <c r="T218" i="31"/>
  <c r="T231" i="31"/>
  <c r="T165" i="31"/>
  <c r="T164" i="31"/>
  <c r="T179" i="31"/>
  <c r="T194" i="31"/>
  <c r="T209" i="31"/>
  <c r="T145" i="31"/>
  <c r="T199" i="31"/>
  <c r="T198" i="31"/>
  <c r="T121" i="31"/>
  <c r="T128" i="31"/>
  <c r="T135" i="31"/>
  <c r="T134" i="31"/>
  <c r="T133" i="31"/>
  <c r="T140" i="31"/>
  <c r="T150" i="31"/>
  <c r="T83" i="31"/>
  <c r="T35" i="31"/>
  <c r="T604" i="31"/>
  <c r="T609" i="31"/>
  <c r="T588" i="31"/>
  <c r="T595" i="31"/>
  <c r="T565" i="31"/>
  <c r="T549" i="31"/>
  <c r="T535" i="31"/>
  <c r="T515" i="31"/>
  <c r="T520" i="31"/>
  <c r="T518" i="31"/>
  <c r="T496" i="31"/>
  <c r="T493" i="31"/>
  <c r="T464" i="31"/>
  <c r="T470" i="31"/>
  <c r="T450" i="31"/>
  <c r="T428" i="31"/>
  <c r="T433" i="31"/>
  <c r="T415" i="31"/>
  <c r="T405" i="31"/>
  <c r="T402" i="31"/>
  <c r="T379" i="31"/>
  <c r="T392" i="31"/>
  <c r="T364" i="31"/>
  <c r="T398" i="31"/>
  <c r="T343" i="31"/>
  <c r="T334" i="31"/>
  <c r="T309" i="31"/>
  <c r="T347" i="31"/>
  <c r="T330" i="31"/>
  <c r="T328" i="31"/>
  <c r="T262" i="31"/>
  <c r="T321" i="31"/>
  <c r="T275" i="31"/>
  <c r="T239" i="31"/>
  <c r="T273" i="31"/>
  <c r="T236" i="31"/>
  <c r="T210" i="31"/>
  <c r="T205" i="31"/>
  <c r="T180" i="31"/>
  <c r="T171" i="31"/>
  <c r="T170" i="31"/>
  <c r="T161" i="31"/>
  <c r="T191" i="31"/>
  <c r="T174" i="31"/>
  <c r="T144" i="31"/>
  <c r="T127" i="31"/>
  <c r="T110" i="31"/>
  <c r="T85" i="31"/>
  <c r="T139" i="31"/>
  <c r="T122" i="31"/>
  <c r="T76" i="31"/>
  <c r="T78" i="31"/>
  <c r="T26" i="31"/>
  <c r="T51" i="31"/>
  <c r="T596" i="31"/>
  <c r="T585" i="31"/>
  <c r="T587" i="31"/>
  <c r="T586" i="31"/>
  <c r="T564" i="31"/>
  <c r="T548" i="31"/>
  <c r="T527" i="31"/>
  <c r="T544" i="31"/>
  <c r="T512" i="31"/>
  <c r="T510" i="31"/>
  <c r="T495" i="31"/>
  <c r="T485" i="31"/>
  <c r="T456" i="31"/>
  <c r="T454" i="31"/>
  <c r="T446" i="31"/>
  <c r="T478" i="31"/>
  <c r="T448" i="31"/>
  <c r="T407" i="31"/>
  <c r="T447" i="31"/>
  <c r="T389" i="31"/>
  <c r="T400" i="31"/>
  <c r="T384" i="31"/>
  <c r="T67" i="31"/>
  <c r="T611" i="31"/>
  <c r="B624" i="31"/>
  <c r="T592" i="31"/>
  <c r="T575" i="31"/>
  <c r="T578" i="31"/>
  <c r="T556" i="31"/>
  <c r="T547" i="31"/>
  <c r="T546" i="31"/>
  <c r="T530" i="31"/>
  <c r="T540" i="31"/>
  <c r="T525" i="31"/>
  <c r="T487" i="31"/>
  <c r="T492" i="31"/>
  <c r="T499" i="31"/>
  <c r="T475" i="31"/>
  <c r="T430" i="31"/>
  <c r="T443" i="31"/>
  <c r="T440" i="31"/>
  <c r="T425" i="31"/>
  <c r="T427" i="31"/>
  <c r="T381" i="31"/>
  <c r="T386" i="31"/>
  <c r="T376" i="31"/>
  <c r="T371" i="31"/>
  <c r="T369" i="31"/>
  <c r="T327" i="31"/>
  <c r="T310" i="31"/>
  <c r="T367" i="31"/>
  <c r="T331" i="31"/>
  <c r="T306" i="31"/>
  <c r="T279" i="31"/>
  <c r="T246" i="31"/>
  <c r="T276" i="31"/>
  <c r="T251" i="31"/>
  <c r="T274" i="31"/>
  <c r="T222" i="31"/>
  <c r="T248" i="31"/>
  <c r="T232" i="31"/>
  <c r="T181" i="31"/>
  <c r="T156" i="31"/>
  <c r="T155" i="31"/>
  <c r="T233" i="31"/>
  <c r="T200" i="31"/>
  <c r="T175" i="31"/>
  <c r="T137" i="31"/>
  <c r="T120" i="31"/>
  <c r="T111" i="31"/>
  <c r="T86" i="31"/>
  <c r="T132" i="31"/>
  <c r="T123" i="31"/>
  <c r="T98" i="31"/>
  <c r="T36" i="31"/>
  <c r="W446" i="32"/>
  <c r="T610" i="31"/>
  <c r="T602" i="31"/>
  <c r="T584" i="31"/>
  <c r="T574" i="31"/>
  <c r="T570" i="31"/>
  <c r="T563" i="31"/>
  <c r="T538" i="31"/>
  <c r="T542" i="31"/>
  <c r="T522" i="31"/>
  <c r="T531" i="31"/>
  <c r="T501" i="31"/>
  <c r="T479" i="31"/>
  <c r="T484" i="31"/>
  <c r="T471" i="31"/>
  <c r="T469" i="31"/>
  <c r="T445" i="31"/>
  <c r="T467" i="31"/>
  <c r="T432" i="31"/>
  <c r="T422" i="31"/>
  <c r="T412" i="31"/>
  <c r="T373" i="31"/>
  <c r="T378" i="31"/>
  <c r="T366" i="31"/>
  <c r="T363" i="31"/>
  <c r="T361" i="31"/>
  <c r="T311" i="31"/>
  <c r="T302" i="31"/>
  <c r="T340" i="31"/>
  <c r="T315" i="31"/>
  <c r="T298" i="31"/>
  <c r="T271" i="31"/>
  <c r="T304" i="31"/>
  <c r="T268" i="31"/>
  <c r="T243" i="31"/>
  <c r="T297" i="31"/>
  <c r="T214" i="31"/>
  <c r="T235" i="31"/>
  <c r="T216" i="31"/>
  <c r="T173" i="31"/>
  <c r="T148" i="31"/>
  <c r="T225" i="31"/>
  <c r="T212" i="31"/>
  <c r="T192" i="31"/>
  <c r="T159" i="31"/>
  <c r="T129" i="31"/>
  <c r="T112" i="31"/>
  <c r="T95" i="31"/>
  <c r="T141" i="31"/>
  <c r="T124" i="31"/>
  <c r="T107" i="31"/>
  <c r="T90" i="31"/>
  <c r="T52" i="31"/>
  <c r="W229" i="32"/>
  <c r="T608" i="31"/>
  <c r="T594" i="31"/>
  <c r="T583" i="31"/>
  <c r="T581" i="31"/>
  <c r="T568" i="31"/>
  <c r="T552" i="31"/>
  <c r="T545" i="31"/>
  <c r="T534" i="31"/>
  <c r="T506" i="31"/>
  <c r="T528" i="31"/>
  <c r="T500" i="31"/>
  <c r="T502" i="31"/>
  <c r="T509" i="31"/>
  <c r="T463" i="31"/>
  <c r="T498" i="31"/>
  <c r="T437" i="31"/>
  <c r="T442" i="31"/>
  <c r="T424" i="31"/>
  <c r="T414" i="31"/>
  <c r="T429" i="31"/>
  <c r="T388" i="31"/>
  <c r="T409" i="31"/>
  <c r="T358" i="31"/>
  <c r="T377" i="31"/>
  <c r="T353" i="31"/>
  <c r="T303" i="31"/>
  <c r="T359" i="31"/>
  <c r="T332" i="31"/>
  <c r="T307" i="31"/>
  <c r="T305" i="31"/>
  <c r="T263" i="31"/>
  <c r="T285" i="31"/>
  <c r="T252" i="31"/>
  <c r="T329" i="31"/>
  <c r="T265" i="31"/>
  <c r="T237" i="31"/>
  <c r="T227" i="31"/>
  <c r="T241" i="31"/>
  <c r="T157" i="31"/>
  <c r="T217" i="31"/>
  <c r="T208" i="31"/>
  <c r="T201" i="31"/>
  <c r="T184" i="31"/>
  <c r="T151" i="31"/>
  <c r="T113" i="31"/>
  <c r="T104" i="31"/>
  <c r="T87" i="31"/>
  <c r="T125" i="31"/>
  <c r="T116" i="31"/>
  <c r="T99" i="31"/>
  <c r="T68" i="31"/>
  <c r="W213" i="32"/>
  <c r="W141" i="32"/>
  <c r="T612" i="31"/>
  <c r="T560" i="31"/>
  <c r="T559" i="31"/>
  <c r="T503" i="31"/>
  <c r="T465" i="31"/>
  <c r="T452" i="31"/>
  <c r="T408" i="31"/>
  <c r="T380" i="31"/>
  <c r="T357" i="31"/>
  <c r="T352" i="31"/>
  <c r="T317" i="31"/>
  <c r="T338" i="31"/>
  <c r="T278" i="31"/>
  <c r="T283" i="31"/>
  <c r="T245" i="31"/>
  <c r="T226" i="31"/>
  <c r="T188" i="31"/>
  <c r="T178" i="31"/>
  <c r="T152" i="31"/>
  <c r="T81" i="31"/>
  <c r="T118" i="31"/>
  <c r="T84" i="31"/>
  <c r="T16" i="31"/>
  <c r="T48" i="31"/>
  <c r="T41" i="31"/>
  <c r="T73" i="31"/>
  <c r="T599" i="31"/>
  <c r="T577" i="31"/>
  <c r="T533" i="31"/>
  <c r="T497" i="31"/>
  <c r="T482" i="31"/>
  <c r="T451" i="31"/>
  <c r="T439" i="31"/>
  <c r="T387" i="31"/>
  <c r="T372" i="31"/>
  <c r="T295" i="31"/>
  <c r="T316" i="31"/>
  <c r="T288" i="31"/>
  <c r="T277" i="31"/>
  <c r="T286" i="31"/>
  <c r="T229" i="31"/>
  <c r="T238" i="31"/>
  <c r="T203" i="31"/>
  <c r="T193" i="31"/>
  <c r="T206" i="31"/>
  <c r="T88" i="31"/>
  <c r="T117" i="31"/>
  <c r="T91" i="31"/>
  <c r="T28" i="31"/>
  <c r="T40" i="31"/>
  <c r="T72" i="31"/>
  <c r="T33" i="31"/>
  <c r="T65" i="31"/>
  <c r="T598" i="31"/>
  <c r="T551" i="31"/>
  <c r="T523" i="31"/>
  <c r="T481" i="31"/>
  <c r="T455" i="31"/>
  <c r="T444" i="31"/>
  <c r="T426" i="31"/>
  <c r="T393" i="31"/>
  <c r="T370" i="31"/>
  <c r="T349" i="31"/>
  <c r="T308" i="31"/>
  <c r="T280" i="31"/>
  <c r="T261" i="31"/>
  <c r="T281" i="31"/>
  <c r="T221" i="31"/>
  <c r="T223" i="31"/>
  <c r="T195" i="31"/>
  <c r="T185" i="31"/>
  <c r="T190" i="31"/>
  <c r="T80" i="31"/>
  <c r="T109" i="31"/>
  <c r="T138" i="31"/>
  <c r="T61" i="31"/>
  <c r="T14" i="31"/>
  <c r="T15" i="31"/>
  <c r="T23" i="31"/>
  <c r="T55" i="31"/>
  <c r="T607" i="31"/>
  <c r="T589" i="31"/>
  <c r="T550" i="31"/>
  <c r="T532" i="31"/>
  <c r="T508" i="31"/>
  <c r="T480" i="31"/>
  <c r="T434" i="31"/>
  <c r="T421" i="31"/>
  <c r="T385" i="31"/>
  <c r="T354" i="31"/>
  <c r="T342" i="31"/>
  <c r="T300" i="31"/>
  <c r="T264" i="31"/>
  <c r="T253" i="31"/>
  <c r="T266" i="31"/>
  <c r="T242" i="31"/>
  <c r="T215" i="31"/>
  <c r="T187" i="31"/>
  <c r="T169" i="31"/>
  <c r="T182" i="31"/>
  <c r="T143" i="31"/>
  <c r="T93" i="31"/>
  <c r="T130" i="31"/>
  <c r="T60" i="31"/>
  <c r="T13" i="31"/>
  <c r="T37" i="31"/>
  <c r="T30" i="31"/>
  <c r="T54" i="31"/>
  <c r="T32" i="31"/>
  <c r="T64" i="31"/>
  <c r="T25" i="31"/>
  <c r="T57" i="31"/>
  <c r="T606" i="31"/>
  <c r="T582" i="31"/>
  <c r="T558" i="31"/>
  <c r="T521" i="31"/>
  <c r="T494" i="31"/>
  <c r="T474" i="31"/>
  <c r="T449" i="31"/>
  <c r="T419" i="31"/>
  <c r="T417" i="31"/>
  <c r="T375" i="31"/>
  <c r="T318" i="31"/>
  <c r="T339" i="31"/>
  <c r="T296" i="31"/>
  <c r="T284" i="31"/>
  <c r="T240" i="31"/>
  <c r="T228" i="31"/>
  <c r="T189" i="31"/>
  <c r="T163" i="31"/>
  <c r="T153" i="31"/>
  <c r="T158" i="31"/>
  <c r="T119" i="31"/>
  <c r="T146" i="31"/>
  <c r="T106" i="31"/>
  <c r="T605" i="31"/>
  <c r="T505" i="31"/>
  <c r="T459" i="31"/>
  <c r="T365" i="31"/>
  <c r="T299" i="31"/>
  <c r="T267" i="31"/>
  <c r="T204" i="31"/>
  <c r="T105" i="31"/>
  <c r="T131" i="31"/>
  <c r="T38" i="31"/>
  <c r="T62" i="31"/>
  <c r="T63" i="31"/>
  <c r="T344" i="31"/>
  <c r="T600" i="31"/>
  <c r="T511" i="31"/>
  <c r="T441" i="31"/>
  <c r="T390" i="31"/>
  <c r="T346" i="31"/>
  <c r="T282" i="31"/>
  <c r="T172" i="31"/>
  <c r="T97" i="31"/>
  <c r="T47" i="31"/>
  <c r="T301" i="31"/>
  <c r="T92" i="31"/>
  <c r="T39" i="31"/>
  <c r="T19" i="31"/>
  <c r="T580" i="31"/>
  <c r="T553" i="31"/>
  <c r="T416" i="31"/>
  <c r="T368" i="31"/>
  <c r="T314" i="31"/>
  <c r="T256" i="31"/>
  <c r="T202" i="31"/>
  <c r="T136" i="31"/>
  <c r="T46" i="31"/>
  <c r="T70" i="31"/>
  <c r="T24" i="31"/>
  <c r="T468" i="31"/>
  <c r="T572" i="31"/>
  <c r="T486" i="31"/>
  <c r="T423" i="31"/>
  <c r="T360" i="31"/>
  <c r="T313" i="31"/>
  <c r="T230" i="31"/>
  <c r="T186" i="31"/>
  <c r="T142" i="31"/>
  <c r="T20" i="31"/>
  <c r="T22" i="31"/>
  <c r="T71" i="31"/>
  <c r="T476" i="31"/>
  <c r="T350" i="31"/>
  <c r="T566" i="31"/>
  <c r="T524" i="31"/>
  <c r="T418" i="31"/>
  <c r="T335" i="31"/>
  <c r="T291" i="31"/>
  <c r="T211" i="31"/>
  <c r="T154" i="31"/>
  <c r="T126" i="31"/>
  <c r="T21" i="31"/>
  <c r="T45" i="31"/>
  <c r="T69" i="31"/>
  <c r="T31" i="31"/>
  <c r="T49" i="31"/>
  <c r="T536" i="31"/>
  <c r="T333" i="31"/>
  <c r="T247" i="31"/>
  <c r="T100" i="31"/>
  <c r="T29" i="31"/>
  <c r="T77" i="31"/>
  <c r="T569" i="31"/>
  <c r="T149" i="31"/>
  <c r="T529" i="31"/>
  <c r="T457" i="31"/>
  <c r="T410" i="31"/>
  <c r="T341" i="31"/>
  <c r="T254" i="31"/>
  <c r="T234" i="31"/>
  <c r="T168" i="31"/>
  <c r="T94" i="31"/>
  <c r="T44" i="31"/>
  <c r="T79" i="31"/>
  <c r="T17" i="31"/>
  <c r="T404" i="31"/>
  <c r="T244" i="31"/>
  <c r="T160" i="31"/>
  <c r="T53" i="31"/>
  <c r="T56" i="31"/>
  <c r="T82" i="31"/>
  <c r="E634" i="31"/>
  <c r="T183" i="31"/>
  <c r="T626" i="31"/>
  <c r="T623" i="31"/>
  <c r="T622" i="31"/>
  <c r="T628" i="31"/>
  <c r="A494" i="2"/>
  <c r="B356" i="2"/>
  <c r="B379" i="2"/>
  <c r="G90" i="1"/>
  <c r="E77" i="1"/>
  <c r="G91" i="1"/>
  <c r="Y624" i="32" l="1"/>
  <c r="X624" i="32"/>
  <c r="Y625" i="32"/>
  <c r="X625" i="32"/>
  <c r="AB628" i="32"/>
  <c r="AA628" i="32"/>
  <c r="AB622" i="32"/>
  <c r="AA622" i="32"/>
  <c r="Y628" i="32"/>
  <c r="X628" i="32"/>
  <c r="AB623" i="32"/>
  <c r="AA623" i="32"/>
  <c r="Y622" i="32"/>
  <c r="X622" i="32"/>
  <c r="AB626" i="32"/>
  <c r="AA626" i="32"/>
  <c r="Y623" i="32"/>
  <c r="X623" i="32"/>
  <c r="AB624" i="32"/>
  <c r="AA624" i="32"/>
  <c r="Y626" i="32"/>
  <c r="X626" i="32"/>
  <c r="AB625" i="32"/>
  <c r="AA625" i="32"/>
  <c r="V536" i="31"/>
  <c r="U536" i="31"/>
  <c r="U390" i="31"/>
  <c r="V390" i="31"/>
  <c r="V57" i="31"/>
  <c r="U57" i="31"/>
  <c r="V190" i="31"/>
  <c r="U190" i="31"/>
  <c r="U226" i="31"/>
  <c r="V226" i="31"/>
  <c r="U307" i="31"/>
  <c r="V307" i="31"/>
  <c r="U243" i="31"/>
  <c r="V243" i="31"/>
  <c r="V181" i="31"/>
  <c r="U181" i="31"/>
  <c r="U548" i="31"/>
  <c r="V548" i="31"/>
  <c r="V402" i="31"/>
  <c r="U402" i="31"/>
  <c r="V337" i="31"/>
  <c r="U337" i="31"/>
  <c r="V114" i="31"/>
  <c r="U114" i="31"/>
  <c r="V507" i="31"/>
  <c r="U507" i="31"/>
  <c r="Y499" i="32"/>
  <c r="X499" i="32"/>
  <c r="X349" i="32"/>
  <c r="Y349" i="32"/>
  <c r="Y109" i="32"/>
  <c r="X109" i="32"/>
  <c r="Y471" i="32"/>
  <c r="X471" i="32"/>
  <c r="Y120" i="32"/>
  <c r="X120" i="32"/>
  <c r="Y524" i="32"/>
  <c r="X524" i="32"/>
  <c r="Y264" i="32"/>
  <c r="X264" i="32"/>
  <c r="Y82" i="32"/>
  <c r="X82" i="32"/>
  <c r="X457" i="32"/>
  <c r="Y457" i="32"/>
  <c r="Y259" i="32"/>
  <c r="X259" i="32"/>
  <c r="X144" i="32"/>
  <c r="Y144" i="32"/>
  <c r="X396" i="32"/>
  <c r="Y396" i="32"/>
  <c r="Y542" i="32"/>
  <c r="X542" i="32"/>
  <c r="Y309" i="31"/>
  <c r="X309" i="31"/>
  <c r="X589" i="31"/>
  <c r="Y589" i="31"/>
  <c r="X117" i="31"/>
  <c r="Y117" i="31"/>
  <c r="X295" i="31"/>
  <c r="Y295" i="31"/>
  <c r="Y562" i="31"/>
  <c r="X562" i="31"/>
  <c r="X69" i="31"/>
  <c r="Y69" i="31"/>
  <c r="Y161" i="31"/>
  <c r="X161" i="31"/>
  <c r="X531" i="31"/>
  <c r="Y531" i="31"/>
  <c r="Y385" i="31"/>
  <c r="X385" i="31"/>
  <c r="Y248" i="31"/>
  <c r="X248" i="31"/>
  <c r="Y202" i="31"/>
  <c r="X202" i="31"/>
  <c r="Y95" i="31"/>
  <c r="X95" i="31"/>
  <c r="X400" i="31"/>
  <c r="Y400" i="31"/>
  <c r="Y232" i="31"/>
  <c r="X232" i="31"/>
  <c r="U94" i="31"/>
  <c r="V94" i="31"/>
  <c r="U486" i="31"/>
  <c r="V486" i="31"/>
  <c r="V106" i="31"/>
  <c r="U106" i="31"/>
  <c r="U185" i="31"/>
  <c r="V185" i="31"/>
  <c r="U482" i="31"/>
  <c r="V482" i="31"/>
  <c r="V237" i="31"/>
  <c r="U237" i="31"/>
  <c r="V268" i="31"/>
  <c r="U268" i="31"/>
  <c r="U120" i="31"/>
  <c r="V120" i="31"/>
  <c r="U556" i="31"/>
  <c r="V556" i="31"/>
  <c r="U496" i="31"/>
  <c r="V496" i="31"/>
  <c r="U257" i="31"/>
  <c r="V257" i="31"/>
  <c r="V567" i="31"/>
  <c r="U567" i="31"/>
  <c r="V224" i="31"/>
  <c r="U224" i="31"/>
  <c r="V473" i="31"/>
  <c r="U473" i="31"/>
  <c r="X136" i="32"/>
  <c r="Y136" i="32"/>
  <c r="X601" i="32"/>
  <c r="Y601" i="32"/>
  <c r="X242" i="32"/>
  <c r="Y242" i="32"/>
  <c r="Y405" i="32"/>
  <c r="X405" i="32"/>
  <c r="Y346" i="32"/>
  <c r="X346" i="32"/>
  <c r="V569" i="31"/>
  <c r="U569" i="31"/>
  <c r="U314" i="31"/>
  <c r="V314" i="31"/>
  <c r="U146" i="31"/>
  <c r="V146" i="31"/>
  <c r="V253" i="31"/>
  <c r="U253" i="31"/>
  <c r="U598" i="31"/>
  <c r="V598" i="31"/>
  <c r="U283" i="31"/>
  <c r="V283" i="31"/>
  <c r="V359" i="31"/>
  <c r="U359" i="31"/>
  <c r="U148" i="31"/>
  <c r="V148" i="31"/>
  <c r="Y446" i="32"/>
  <c r="X446" i="32"/>
  <c r="V492" i="31"/>
  <c r="U492" i="31"/>
  <c r="U586" i="31"/>
  <c r="V586" i="31"/>
  <c r="V415" i="31"/>
  <c r="U415" i="31"/>
  <c r="U255" i="31"/>
  <c r="V255" i="31"/>
  <c r="V579" i="31"/>
  <c r="U579" i="31"/>
  <c r="V345" i="31"/>
  <c r="U345" i="31"/>
  <c r="X225" i="32"/>
  <c r="Y225" i="32"/>
  <c r="Y108" i="32"/>
  <c r="X108" i="32"/>
  <c r="X173" i="32"/>
  <c r="Y173" i="32"/>
  <c r="Y311" i="32"/>
  <c r="X311" i="32"/>
  <c r="X243" i="32"/>
  <c r="Y243" i="32"/>
  <c r="X14" i="32"/>
  <c r="Y14" i="32"/>
  <c r="Y380" i="32"/>
  <c r="X380" i="32"/>
  <c r="X130" i="32"/>
  <c r="Y130" i="32"/>
  <c r="X364" i="32"/>
  <c r="Y364" i="32"/>
  <c r="X246" i="32"/>
  <c r="Y246" i="32"/>
  <c r="Y510" i="32"/>
  <c r="X510" i="32"/>
  <c r="Y326" i="32"/>
  <c r="X326" i="32"/>
  <c r="Y584" i="32"/>
  <c r="X584" i="32"/>
  <c r="Y334" i="32"/>
  <c r="X334" i="32"/>
  <c r="Y610" i="32"/>
  <c r="X610" i="32"/>
  <c r="Y593" i="32"/>
  <c r="X593" i="32"/>
  <c r="X552" i="32"/>
  <c r="Y552" i="32"/>
  <c r="Y514" i="32"/>
  <c r="X514" i="32"/>
  <c r="Y210" i="31"/>
  <c r="X210" i="31"/>
  <c r="X263" i="31"/>
  <c r="Y263" i="31"/>
  <c r="Y14" i="31"/>
  <c r="X14" i="31"/>
  <c r="Y246" i="31"/>
  <c r="X246" i="31"/>
  <c r="Y143" i="31"/>
  <c r="X143" i="31"/>
  <c r="Y559" i="31"/>
  <c r="X559" i="31"/>
  <c r="X344" i="31"/>
  <c r="Y344" i="31"/>
  <c r="Y43" i="31"/>
  <c r="X43" i="31"/>
  <c r="X375" i="31"/>
  <c r="Y375" i="31"/>
  <c r="Y206" i="31"/>
  <c r="X206" i="31"/>
  <c r="X308" i="31"/>
  <c r="Y308" i="31"/>
  <c r="Y517" i="31"/>
  <c r="X517" i="31"/>
  <c r="X21" i="31"/>
  <c r="Y21" i="31"/>
  <c r="X159" i="31"/>
  <c r="Y159" i="31"/>
  <c r="X332" i="31"/>
  <c r="Y332" i="31"/>
  <c r="Y502" i="31"/>
  <c r="X502" i="31"/>
  <c r="Y81" i="31"/>
  <c r="X81" i="31"/>
  <c r="Y286" i="31"/>
  <c r="X286" i="31"/>
  <c r="Y471" i="31"/>
  <c r="X471" i="31"/>
  <c r="Y611" i="31"/>
  <c r="X611" i="31"/>
  <c r="X27" i="31"/>
  <c r="Y27" i="31"/>
  <c r="X146" i="31"/>
  <c r="Y146" i="31"/>
  <c r="Y355" i="31"/>
  <c r="X355" i="31"/>
  <c r="X535" i="31"/>
  <c r="Y535" i="31"/>
  <c r="X119" i="31"/>
  <c r="Y119" i="31"/>
  <c r="X270" i="31"/>
  <c r="Y270" i="31"/>
  <c r="Y444" i="31"/>
  <c r="X444" i="31"/>
  <c r="X588" i="31"/>
  <c r="Y588" i="31"/>
  <c r="Y85" i="31"/>
  <c r="X85" i="31"/>
  <c r="X236" i="31"/>
  <c r="Y236" i="31"/>
  <c r="Y269" i="31"/>
  <c r="X269" i="31"/>
  <c r="X383" i="31"/>
  <c r="Y383" i="31"/>
  <c r="X475" i="31"/>
  <c r="Y475" i="31"/>
  <c r="X548" i="31"/>
  <c r="Y548" i="31"/>
  <c r="Y47" i="31"/>
  <c r="X47" i="31"/>
  <c r="Y157" i="31"/>
  <c r="X157" i="31"/>
  <c r="X253" i="31"/>
  <c r="Y253" i="31"/>
  <c r="Y322" i="31"/>
  <c r="X322" i="31"/>
  <c r="Y419" i="31"/>
  <c r="X419" i="31"/>
  <c r="X522" i="31"/>
  <c r="Y522" i="31"/>
  <c r="Y603" i="31"/>
  <c r="X603" i="31"/>
  <c r="X145" i="31"/>
  <c r="Y145" i="31"/>
  <c r="X185" i="31"/>
  <c r="Y185" i="31"/>
  <c r="X282" i="31"/>
  <c r="Y282" i="31"/>
  <c r="Y361" i="31"/>
  <c r="X361" i="31"/>
  <c r="Y455" i="31"/>
  <c r="X455" i="31"/>
  <c r="X540" i="31"/>
  <c r="Y540" i="31"/>
  <c r="Y65" i="31"/>
  <c r="X65" i="31"/>
  <c r="Y155" i="31"/>
  <c r="X155" i="31"/>
  <c r="Y233" i="31"/>
  <c r="X233" i="31"/>
  <c r="Y312" i="31"/>
  <c r="X312" i="31"/>
  <c r="Y378" i="31"/>
  <c r="X378" i="31"/>
  <c r="Y474" i="31"/>
  <c r="X474" i="31"/>
  <c r="Y577" i="31"/>
  <c r="X577" i="31"/>
  <c r="Y89" i="31"/>
  <c r="X89" i="31"/>
  <c r="Y196" i="31"/>
  <c r="X196" i="31"/>
  <c r="Y231" i="31"/>
  <c r="X231" i="31"/>
  <c r="Y267" i="31"/>
  <c r="X267" i="31"/>
  <c r="X350" i="31"/>
  <c r="Y350" i="31"/>
  <c r="X428" i="31"/>
  <c r="Y428" i="31"/>
  <c r="Y462" i="31"/>
  <c r="X462" i="31"/>
  <c r="Y543" i="31"/>
  <c r="X543" i="31"/>
  <c r="X115" i="31"/>
  <c r="Y115" i="31"/>
  <c r="X167" i="31"/>
  <c r="Y167" i="31"/>
  <c r="X293" i="31"/>
  <c r="Y293" i="31"/>
  <c r="X303" i="31"/>
  <c r="Y303" i="31"/>
  <c r="Y370" i="31"/>
  <c r="X370" i="31"/>
  <c r="X450" i="31"/>
  <c r="Y450" i="31"/>
  <c r="X521" i="31"/>
  <c r="Y521" i="31"/>
  <c r="X569" i="31"/>
  <c r="Y569" i="31"/>
  <c r="Y32" i="31"/>
  <c r="X32" i="31"/>
  <c r="AB322" i="32"/>
  <c r="AA322" i="32"/>
  <c r="X15" i="31"/>
  <c r="Y15" i="31"/>
  <c r="AB69" i="32"/>
  <c r="AA69" i="32"/>
  <c r="AA551" i="32"/>
  <c r="AB551" i="32"/>
  <c r="AB354" i="32"/>
  <c r="AA354" i="32"/>
  <c r="AB170" i="32"/>
  <c r="AA170" i="32"/>
  <c r="AA346" i="32"/>
  <c r="AB346" i="32"/>
  <c r="AB106" i="32"/>
  <c r="AA106" i="32"/>
  <c r="AB396" i="32"/>
  <c r="AA396" i="32"/>
  <c r="AB537" i="32"/>
  <c r="AA537" i="32"/>
  <c r="AA166" i="32"/>
  <c r="AB166" i="32"/>
  <c r="AA608" i="32"/>
  <c r="AB608" i="32"/>
  <c r="AA156" i="32"/>
  <c r="AB156" i="32"/>
  <c r="AA418" i="32"/>
  <c r="AB418" i="32"/>
  <c r="AB37" i="32"/>
  <c r="AA37" i="32"/>
  <c r="AA272" i="32"/>
  <c r="AB272" i="32"/>
  <c r="AA459" i="32"/>
  <c r="AB459" i="32"/>
  <c r="AB305" i="32"/>
  <c r="AA305" i="32"/>
  <c r="AA493" i="32"/>
  <c r="AB493" i="32"/>
  <c r="AA108" i="32"/>
  <c r="AB108" i="32"/>
  <c r="AB147" i="32"/>
  <c r="AA147" i="32"/>
  <c r="AA134" i="32"/>
  <c r="AB134" i="32"/>
  <c r="AB223" i="32"/>
  <c r="AA223" i="32"/>
  <c r="AA277" i="32"/>
  <c r="AB277" i="32"/>
  <c r="AB399" i="32"/>
  <c r="AA399" i="32"/>
  <c r="AB330" i="32"/>
  <c r="AA330" i="32"/>
  <c r="AB529" i="32"/>
  <c r="AA529" i="32"/>
  <c r="AA563" i="32"/>
  <c r="AB563" i="32"/>
  <c r="AA100" i="32"/>
  <c r="AB100" i="32"/>
  <c r="AA117" i="32"/>
  <c r="AB117" i="32"/>
  <c r="AA132" i="32"/>
  <c r="AB132" i="32"/>
  <c r="AA303" i="32"/>
  <c r="AB303" i="32"/>
  <c r="AA197" i="32"/>
  <c r="AB197" i="32"/>
  <c r="AB414" i="32"/>
  <c r="AA414" i="32"/>
  <c r="AA370" i="32"/>
  <c r="AB370" i="32"/>
  <c r="AA471" i="32"/>
  <c r="AB471" i="32"/>
  <c r="AA526" i="32"/>
  <c r="AB526" i="32"/>
  <c r="AB548" i="32"/>
  <c r="AA548" i="32"/>
  <c r="AA64" i="32"/>
  <c r="AB64" i="32"/>
  <c r="AB121" i="32"/>
  <c r="AA121" i="32"/>
  <c r="AB120" i="32"/>
  <c r="AA120" i="32"/>
  <c r="AB177" i="32"/>
  <c r="AA177" i="32"/>
  <c r="AB239" i="32"/>
  <c r="AA239" i="32"/>
  <c r="AB476" i="32"/>
  <c r="AA476" i="32"/>
  <c r="AA327" i="32"/>
  <c r="AB327" i="32"/>
  <c r="AA524" i="32"/>
  <c r="AB524" i="32"/>
  <c r="AA544" i="32"/>
  <c r="AB544" i="32"/>
  <c r="AB49" i="32"/>
  <c r="AA49" i="32"/>
  <c r="AB189" i="32"/>
  <c r="AA189" i="32"/>
  <c r="AB201" i="32"/>
  <c r="AA201" i="32"/>
  <c r="AA273" i="32"/>
  <c r="AB273" i="32"/>
  <c r="AA257" i="32"/>
  <c r="AB257" i="32"/>
  <c r="AB478" i="32"/>
  <c r="AA478" i="32"/>
  <c r="AB438" i="32"/>
  <c r="AA438" i="32"/>
  <c r="AB604" i="32"/>
  <c r="AA604" i="32"/>
  <c r="AB600" i="32"/>
  <c r="AA600" i="32"/>
  <c r="AA613" i="32"/>
  <c r="AB613" i="32"/>
  <c r="AA57" i="32"/>
  <c r="AB57" i="32"/>
  <c r="AA128" i="32"/>
  <c r="AB128" i="32"/>
  <c r="AA140" i="32"/>
  <c r="AB140" i="32"/>
  <c r="AB195" i="32"/>
  <c r="AA195" i="32"/>
  <c r="AA264" i="32"/>
  <c r="AB264" i="32"/>
  <c r="AB328" i="32"/>
  <c r="AA328" i="32"/>
  <c r="AA367" i="32"/>
  <c r="AB367" i="32"/>
  <c r="AB545" i="32"/>
  <c r="AA545" i="32"/>
  <c r="AA558" i="32"/>
  <c r="AB558" i="32"/>
  <c r="AB17" i="32"/>
  <c r="AA17" i="32"/>
  <c r="AB234" i="32"/>
  <c r="AA234" i="32"/>
  <c r="AB274" i="32"/>
  <c r="AA274" i="32"/>
  <c r="AB286" i="32"/>
  <c r="AA286" i="32"/>
  <c r="AB270" i="32"/>
  <c r="AA270" i="32"/>
  <c r="AB321" i="32"/>
  <c r="AA321" i="32"/>
  <c r="AA443" i="32"/>
  <c r="AB443" i="32"/>
  <c r="AA488" i="32"/>
  <c r="AB488" i="32"/>
  <c r="AB457" i="32"/>
  <c r="AA457" i="32"/>
  <c r="U623" i="31"/>
  <c r="V623" i="31"/>
  <c r="U71" i="31"/>
  <c r="V71" i="31"/>
  <c r="U228" i="31"/>
  <c r="V228" i="31"/>
  <c r="U421" i="31"/>
  <c r="V421" i="31"/>
  <c r="V91" i="31"/>
  <c r="U91" i="31"/>
  <c r="Y141" i="32"/>
  <c r="X141" i="32"/>
  <c r="V509" i="31"/>
  <c r="U509" i="31"/>
  <c r="V432" i="31"/>
  <c r="U432" i="31"/>
  <c r="U475" i="31"/>
  <c r="V475" i="31"/>
  <c r="U174" i="31"/>
  <c r="V174" i="31"/>
  <c r="U595" i="31"/>
  <c r="V595" i="31"/>
  <c r="U431" i="31"/>
  <c r="V431" i="31"/>
  <c r="U290" i="31"/>
  <c r="V290" i="31"/>
  <c r="Y221" i="32"/>
  <c r="X221" i="32"/>
  <c r="Y337" i="32"/>
  <c r="X337" i="32"/>
  <c r="Y309" i="32"/>
  <c r="X309" i="32"/>
  <c r="Y55" i="32"/>
  <c r="X55" i="32"/>
  <c r="Y34" i="32"/>
  <c r="X34" i="32"/>
  <c r="Y324" i="32"/>
  <c r="X324" i="32"/>
  <c r="Y252" i="32"/>
  <c r="X252" i="32"/>
  <c r="Y28" i="32"/>
  <c r="X28" i="32"/>
  <c r="X389" i="32"/>
  <c r="Y389" i="32"/>
  <c r="Y169" i="32"/>
  <c r="X169" i="32"/>
  <c r="Y591" i="32"/>
  <c r="X591" i="32"/>
  <c r="X168" i="32"/>
  <c r="Y168" i="32"/>
  <c r="Y529" i="32"/>
  <c r="X529" i="32"/>
  <c r="Y587" i="31"/>
  <c r="X587" i="31"/>
  <c r="Y406" i="31"/>
  <c r="X406" i="31"/>
  <c r="Y469" i="31"/>
  <c r="X469" i="31"/>
  <c r="Y76" i="31"/>
  <c r="X76" i="31"/>
  <c r="X204" i="31"/>
  <c r="Y204" i="31"/>
  <c r="X382" i="31"/>
  <c r="Y382" i="31"/>
  <c r="Y368" i="31"/>
  <c r="X368" i="31"/>
  <c r="Y224" i="31"/>
  <c r="X224" i="31"/>
  <c r="X112" i="31"/>
  <c r="Y112" i="31"/>
  <c r="Y437" i="31"/>
  <c r="X437" i="31"/>
  <c r="Y276" i="31"/>
  <c r="X276" i="31"/>
  <c r="Y134" i="31"/>
  <c r="X134" i="31"/>
  <c r="Y459" i="31"/>
  <c r="X459" i="31"/>
  <c r="Y165" i="31"/>
  <c r="X165" i="31"/>
  <c r="V49" i="31"/>
  <c r="U49" i="31"/>
  <c r="V92" i="31"/>
  <c r="U92" i="31"/>
  <c r="V449" i="31"/>
  <c r="U449" i="31"/>
  <c r="V434" i="31"/>
  <c r="U434" i="31"/>
  <c r="U551" i="31"/>
  <c r="V551" i="31"/>
  <c r="V245" i="31"/>
  <c r="U245" i="31"/>
  <c r="V332" i="31"/>
  <c r="U332" i="31"/>
  <c r="V581" i="31"/>
  <c r="U581" i="31"/>
  <c r="U610" i="31"/>
  <c r="V610" i="31"/>
  <c r="V499" i="31"/>
  <c r="U499" i="31"/>
  <c r="V76" i="31"/>
  <c r="U76" i="31"/>
  <c r="V273" i="31"/>
  <c r="U273" i="31"/>
  <c r="U134" i="31"/>
  <c r="V134" i="31"/>
  <c r="V382" i="31"/>
  <c r="U382" i="31"/>
  <c r="V115" i="31"/>
  <c r="U115" i="31"/>
  <c r="U319" i="31"/>
  <c r="V319" i="31"/>
  <c r="Y210" i="32"/>
  <c r="X210" i="32"/>
  <c r="Y165" i="32"/>
  <c r="X165" i="32"/>
  <c r="Y119" i="32"/>
  <c r="X119" i="32"/>
  <c r="Y189" i="32"/>
  <c r="X189" i="32"/>
  <c r="Y128" i="32"/>
  <c r="X128" i="32"/>
  <c r="V335" i="31"/>
  <c r="U335" i="31"/>
  <c r="U301" i="31"/>
  <c r="V301" i="31"/>
  <c r="V64" i="31"/>
  <c r="U64" i="31"/>
  <c r="U195" i="31"/>
  <c r="V195" i="31"/>
  <c r="V497" i="31"/>
  <c r="U497" i="31"/>
  <c r="V184" i="31"/>
  <c r="U184" i="31"/>
  <c r="V500" i="31"/>
  <c r="U500" i="31"/>
  <c r="U445" i="31"/>
  <c r="V445" i="31"/>
  <c r="V248" i="31"/>
  <c r="U248" i="31"/>
  <c r="U485" i="31"/>
  <c r="V485" i="31"/>
  <c r="V334" i="31"/>
  <c r="U334" i="31"/>
  <c r="V135" i="31"/>
  <c r="U135" i="31"/>
  <c r="V436" i="31"/>
  <c r="U436" i="31"/>
  <c r="V219" i="31"/>
  <c r="U219" i="31"/>
  <c r="V491" i="31"/>
  <c r="U491" i="31"/>
  <c r="Y577" i="32"/>
  <c r="X577" i="32"/>
  <c r="V42" i="31"/>
  <c r="U42" i="31"/>
  <c r="Y306" i="32"/>
  <c r="X306" i="32"/>
  <c r="X159" i="32"/>
  <c r="Y159" i="32"/>
  <c r="Y458" i="32"/>
  <c r="X458" i="32"/>
  <c r="Y158" i="32"/>
  <c r="X158" i="32"/>
  <c r="X468" i="32"/>
  <c r="Y468" i="32"/>
  <c r="X419" i="32"/>
  <c r="Y419" i="32"/>
  <c r="Y78" i="32"/>
  <c r="X78" i="32"/>
  <c r="Y235" i="32"/>
  <c r="X235" i="32"/>
  <c r="Y87" i="32"/>
  <c r="X87" i="32"/>
  <c r="Y385" i="32"/>
  <c r="X385" i="32"/>
  <c r="X118" i="32"/>
  <c r="Y118" i="32"/>
  <c r="Y509" i="32"/>
  <c r="X509" i="32"/>
  <c r="Y508" i="31"/>
  <c r="X508" i="31"/>
  <c r="V77" i="31"/>
  <c r="U77" i="31"/>
  <c r="V418" i="31"/>
  <c r="U418" i="31"/>
  <c r="V142" i="31"/>
  <c r="U142" i="31"/>
  <c r="V468" i="31"/>
  <c r="U468" i="31"/>
  <c r="V368" i="31"/>
  <c r="U368" i="31"/>
  <c r="U47" i="31"/>
  <c r="V47" i="31"/>
  <c r="V600" i="31"/>
  <c r="U600" i="31"/>
  <c r="U267" i="31"/>
  <c r="V267" i="31"/>
  <c r="V119" i="31"/>
  <c r="U119" i="31"/>
  <c r="U296" i="31"/>
  <c r="V296" i="31"/>
  <c r="V494" i="31"/>
  <c r="U494" i="31"/>
  <c r="U32" i="31"/>
  <c r="V32" i="31"/>
  <c r="V143" i="31"/>
  <c r="U143" i="31"/>
  <c r="V264" i="31"/>
  <c r="U264" i="31"/>
  <c r="V508" i="31"/>
  <c r="U508" i="31"/>
  <c r="V14" i="31"/>
  <c r="U14" i="31"/>
  <c r="U223" i="31"/>
  <c r="V223" i="31"/>
  <c r="U393" i="31"/>
  <c r="V393" i="31"/>
  <c r="U65" i="31"/>
  <c r="V65" i="31"/>
  <c r="V206" i="31"/>
  <c r="U206" i="31"/>
  <c r="U316" i="31"/>
  <c r="V316" i="31"/>
  <c r="V533" i="31"/>
  <c r="U533" i="31"/>
  <c r="V118" i="31"/>
  <c r="U118" i="31"/>
  <c r="U278" i="31"/>
  <c r="V278" i="31"/>
  <c r="V465" i="31"/>
  <c r="U465" i="31"/>
  <c r="V99" i="31"/>
  <c r="U99" i="31"/>
  <c r="U201" i="31"/>
  <c r="V201" i="31"/>
  <c r="V329" i="31"/>
  <c r="U329" i="31"/>
  <c r="U303" i="31"/>
  <c r="V303" i="31"/>
  <c r="U424" i="31"/>
  <c r="V424" i="31"/>
  <c r="U528" i="31"/>
  <c r="V528" i="31"/>
  <c r="V594" i="31"/>
  <c r="U594" i="31"/>
  <c r="V95" i="31"/>
  <c r="U95" i="31"/>
  <c r="V173" i="31"/>
  <c r="U173" i="31"/>
  <c r="U271" i="31"/>
  <c r="V271" i="31"/>
  <c r="V366" i="31"/>
  <c r="U366" i="31"/>
  <c r="V469" i="31"/>
  <c r="U469" i="31"/>
  <c r="U538" i="31"/>
  <c r="V538" i="31"/>
  <c r="V36" i="31"/>
  <c r="U36" i="31"/>
  <c r="V175" i="31"/>
  <c r="U175" i="31"/>
  <c r="V222" i="31"/>
  <c r="U222" i="31"/>
  <c r="U367" i="31"/>
  <c r="V367" i="31"/>
  <c r="U427" i="31"/>
  <c r="V427" i="31"/>
  <c r="V487" i="31"/>
  <c r="U487" i="31"/>
  <c r="U575" i="31"/>
  <c r="V575" i="31"/>
  <c r="V447" i="31"/>
  <c r="U447" i="31"/>
  <c r="U495" i="31"/>
  <c r="V495" i="31"/>
  <c r="U587" i="31"/>
  <c r="V587" i="31"/>
  <c r="V139" i="31"/>
  <c r="U139" i="31"/>
  <c r="V170" i="31"/>
  <c r="U170" i="31"/>
  <c r="V275" i="31"/>
  <c r="U275" i="31"/>
  <c r="V343" i="31"/>
  <c r="U343" i="31"/>
  <c r="V433" i="31"/>
  <c r="U433" i="31"/>
  <c r="V520" i="31"/>
  <c r="U520" i="31"/>
  <c r="U604" i="31"/>
  <c r="V604" i="31"/>
  <c r="U128" i="31"/>
  <c r="V128" i="31"/>
  <c r="U164" i="31"/>
  <c r="V164" i="31"/>
  <c r="V259" i="31"/>
  <c r="U259" i="31"/>
  <c r="V293" i="31"/>
  <c r="U293" i="31"/>
  <c r="V394" i="31"/>
  <c r="U394" i="31"/>
  <c r="V438" i="31"/>
  <c r="U438" i="31"/>
  <c r="V504" i="31"/>
  <c r="U504" i="31"/>
  <c r="V576" i="31"/>
  <c r="U576" i="31"/>
  <c r="Y430" i="32"/>
  <c r="X430" i="32"/>
  <c r="U101" i="31"/>
  <c r="V101" i="31"/>
  <c r="U177" i="31"/>
  <c r="V177" i="31"/>
  <c r="V213" i="31"/>
  <c r="U213" i="31"/>
  <c r="U272" i="31"/>
  <c r="V272" i="31"/>
  <c r="U362" i="31"/>
  <c r="V362" i="31"/>
  <c r="U466" i="31"/>
  <c r="V466" i="31"/>
  <c r="U539" i="31"/>
  <c r="V539" i="31"/>
  <c r="U561" i="31"/>
  <c r="V561" i="31"/>
  <c r="V43" i="31"/>
  <c r="U43" i="31"/>
  <c r="Y231" i="32"/>
  <c r="X231" i="32"/>
  <c r="Y360" i="32"/>
  <c r="X360" i="32"/>
  <c r="Y178" i="32"/>
  <c r="X178" i="32"/>
  <c r="Y188" i="32"/>
  <c r="X188" i="32"/>
  <c r="X228" i="32"/>
  <c r="Y228" i="32"/>
  <c r="Y66" i="32"/>
  <c r="X66" i="32"/>
  <c r="Y351" i="32"/>
  <c r="X351" i="32"/>
  <c r="V50" i="31"/>
  <c r="U50" i="31"/>
  <c r="Y137" i="32"/>
  <c r="X137" i="32"/>
  <c r="X451" i="32"/>
  <c r="Y451" i="32"/>
  <c r="X112" i="32"/>
  <c r="Y112" i="32"/>
  <c r="Y401" i="32"/>
  <c r="X401" i="32"/>
  <c r="Y100" i="32"/>
  <c r="X100" i="32"/>
  <c r="Y276" i="32"/>
  <c r="X276" i="32"/>
  <c r="Y42" i="32"/>
  <c r="X42" i="32"/>
  <c r="X204" i="32"/>
  <c r="Y204" i="32"/>
  <c r="Y480" i="32"/>
  <c r="X480" i="32"/>
  <c r="Y22" i="32"/>
  <c r="X22" i="32"/>
  <c r="X74" i="32"/>
  <c r="Y74" i="32"/>
  <c r="Y143" i="32"/>
  <c r="X143" i="32"/>
  <c r="Y283" i="32"/>
  <c r="X283" i="32"/>
  <c r="Y310" i="32"/>
  <c r="X310" i="32"/>
  <c r="X373" i="32"/>
  <c r="Y373" i="32"/>
  <c r="Y462" i="32"/>
  <c r="X462" i="32"/>
  <c r="Y579" i="32"/>
  <c r="X579" i="32"/>
  <c r="X116" i="32"/>
  <c r="Y116" i="32"/>
  <c r="Y76" i="32"/>
  <c r="X76" i="32"/>
  <c r="X125" i="32"/>
  <c r="Y125" i="32"/>
  <c r="Y286" i="32"/>
  <c r="X286" i="32"/>
  <c r="Y402" i="32"/>
  <c r="X402" i="32"/>
  <c r="Y249" i="32"/>
  <c r="X249" i="32"/>
  <c r="Y433" i="32"/>
  <c r="X433" i="32"/>
  <c r="Y359" i="32"/>
  <c r="X359" i="32"/>
  <c r="X551" i="32"/>
  <c r="Y551" i="32"/>
  <c r="Y51" i="32"/>
  <c r="X51" i="32"/>
  <c r="Y129" i="32"/>
  <c r="X129" i="32"/>
  <c r="Y156" i="32"/>
  <c r="X156" i="32"/>
  <c r="Y241" i="32"/>
  <c r="X241" i="32"/>
  <c r="Y227" i="32"/>
  <c r="X227" i="32"/>
  <c r="X294" i="32"/>
  <c r="Y294" i="32"/>
  <c r="Y316" i="32"/>
  <c r="X316" i="32"/>
  <c r="Y431" i="32"/>
  <c r="X431" i="32"/>
  <c r="X508" i="32"/>
  <c r="Y508" i="32"/>
  <c r="X30" i="32"/>
  <c r="Y30" i="32"/>
  <c r="Y75" i="32"/>
  <c r="X75" i="32"/>
  <c r="X96" i="32"/>
  <c r="Y96" i="32"/>
  <c r="X322" i="32"/>
  <c r="Y322" i="32"/>
  <c r="Y304" i="32"/>
  <c r="X304" i="32"/>
  <c r="Y442" i="32"/>
  <c r="X442" i="32"/>
  <c r="X377" i="32"/>
  <c r="Y377" i="32"/>
  <c r="Y493" i="32"/>
  <c r="X493" i="32"/>
  <c r="Y558" i="32"/>
  <c r="X558" i="32"/>
  <c r="Y37" i="32"/>
  <c r="X37" i="32"/>
  <c r="X151" i="32"/>
  <c r="Y151" i="32"/>
  <c r="X193" i="32"/>
  <c r="Y193" i="32"/>
  <c r="X216" i="32"/>
  <c r="Y216" i="32"/>
  <c r="Y206" i="32"/>
  <c r="X206" i="32"/>
  <c r="Y416" i="32"/>
  <c r="X416" i="32"/>
  <c r="X443" i="32"/>
  <c r="Y443" i="32"/>
  <c r="X545" i="32"/>
  <c r="Y545" i="32"/>
  <c r="Y523" i="32"/>
  <c r="X523" i="32"/>
  <c r="Y47" i="32"/>
  <c r="X47" i="32"/>
  <c r="Y157" i="32"/>
  <c r="X157" i="32"/>
  <c r="Y253" i="32"/>
  <c r="X253" i="32"/>
  <c r="Y223" i="32"/>
  <c r="X223" i="32"/>
  <c r="Y211" i="32"/>
  <c r="X211" i="32"/>
  <c r="Y439" i="32"/>
  <c r="X439" i="32"/>
  <c r="X456" i="32"/>
  <c r="Y456" i="32"/>
  <c r="Y557" i="32"/>
  <c r="X557" i="32"/>
  <c r="X525" i="32"/>
  <c r="Y525" i="32"/>
  <c r="X547" i="32"/>
  <c r="Y547" i="32"/>
  <c r="X520" i="32"/>
  <c r="Y520" i="32"/>
  <c r="X594" i="32"/>
  <c r="Y594" i="32"/>
  <c r="X556" i="32"/>
  <c r="Y556" i="32"/>
  <c r="Y628" i="31"/>
  <c r="X628" i="31"/>
  <c r="Y70" i="31"/>
  <c r="X70" i="31"/>
  <c r="Y36" i="31"/>
  <c r="X36" i="31"/>
  <c r="Y460" i="31"/>
  <c r="X460" i="31"/>
  <c r="X331" i="31"/>
  <c r="Y331" i="31"/>
  <c r="X341" i="31"/>
  <c r="Y341" i="31"/>
  <c r="Y28" i="31"/>
  <c r="X28" i="31"/>
  <c r="X296" i="31"/>
  <c r="Y296" i="31"/>
  <c r="Y179" i="31"/>
  <c r="X179" i="31"/>
  <c r="Y590" i="31"/>
  <c r="X590" i="31"/>
  <c r="Y390" i="31"/>
  <c r="X390" i="31"/>
  <c r="Y19" i="31"/>
  <c r="X19" i="31"/>
  <c r="Y425" i="31"/>
  <c r="X425" i="31"/>
  <c r="X193" i="31"/>
  <c r="Y193" i="31"/>
  <c r="X372" i="31"/>
  <c r="Y372" i="31"/>
  <c r="Y533" i="31"/>
  <c r="X533" i="31"/>
  <c r="Y67" i="31"/>
  <c r="X67" i="31"/>
  <c r="Y211" i="31"/>
  <c r="X211" i="31"/>
  <c r="Y362" i="31"/>
  <c r="X362" i="31"/>
  <c r="Y534" i="31"/>
  <c r="X534" i="31"/>
  <c r="X123" i="31"/>
  <c r="Y123" i="31"/>
  <c r="Y259" i="31"/>
  <c r="X259" i="31"/>
  <c r="Y457" i="31"/>
  <c r="X457" i="31"/>
  <c r="Y57" i="31"/>
  <c r="X57" i="31"/>
  <c r="Y58" i="31"/>
  <c r="X58" i="31"/>
  <c r="X238" i="31"/>
  <c r="Y238" i="31"/>
  <c r="X405" i="31"/>
  <c r="Y405" i="31"/>
  <c r="Y591" i="31"/>
  <c r="X591" i="31"/>
  <c r="Y98" i="31"/>
  <c r="X98" i="31"/>
  <c r="Y294" i="31"/>
  <c r="X294" i="31"/>
  <c r="X463" i="31"/>
  <c r="Y463" i="31"/>
  <c r="Y73" i="31"/>
  <c r="X73" i="31"/>
  <c r="Y110" i="31"/>
  <c r="X110" i="31"/>
  <c r="X216" i="31"/>
  <c r="Y216" i="31"/>
  <c r="Y327" i="31"/>
  <c r="X327" i="31"/>
  <c r="X377" i="31"/>
  <c r="Y377" i="31"/>
  <c r="X481" i="31"/>
  <c r="Y481" i="31"/>
  <c r="X557" i="31"/>
  <c r="Y557" i="31"/>
  <c r="X104" i="31"/>
  <c r="Y104" i="31"/>
  <c r="X182" i="31"/>
  <c r="Y182" i="31"/>
  <c r="Y318" i="31"/>
  <c r="X318" i="31"/>
  <c r="Y292" i="31"/>
  <c r="X292" i="31"/>
  <c r="X429" i="31"/>
  <c r="Y429" i="31"/>
  <c r="X547" i="31"/>
  <c r="Y547" i="31"/>
  <c r="Y598" i="31"/>
  <c r="X598" i="31"/>
  <c r="X92" i="31"/>
  <c r="Y92" i="31"/>
  <c r="Y178" i="31"/>
  <c r="X178" i="31"/>
  <c r="X260" i="31"/>
  <c r="Y260" i="31"/>
  <c r="X373" i="31"/>
  <c r="Y373" i="31"/>
  <c r="Y496" i="31"/>
  <c r="X496" i="31"/>
  <c r="Y553" i="31"/>
  <c r="X553" i="31"/>
  <c r="X24" i="31"/>
  <c r="Y24" i="31"/>
  <c r="Y172" i="31"/>
  <c r="X172" i="31"/>
  <c r="Y245" i="31"/>
  <c r="X245" i="31"/>
  <c r="Y337" i="31"/>
  <c r="X337" i="31"/>
  <c r="Y417" i="31"/>
  <c r="X417" i="31"/>
  <c r="X485" i="31"/>
  <c r="Y485" i="31"/>
  <c r="Y573" i="31"/>
  <c r="X573" i="31"/>
  <c r="Y90" i="31"/>
  <c r="X90" i="31"/>
  <c r="Y197" i="31"/>
  <c r="X197" i="31"/>
  <c r="X244" i="31"/>
  <c r="Y244" i="31"/>
  <c r="X284" i="31"/>
  <c r="Y284" i="31"/>
  <c r="X351" i="31"/>
  <c r="Y351" i="31"/>
  <c r="X426" i="31"/>
  <c r="Y426" i="31"/>
  <c r="X482" i="31"/>
  <c r="Y482" i="31"/>
  <c r="X566" i="31"/>
  <c r="Y566" i="31"/>
  <c r="Y48" i="31"/>
  <c r="X48" i="31"/>
  <c r="Y108" i="31"/>
  <c r="X108" i="31"/>
  <c r="Y176" i="31"/>
  <c r="X176" i="31"/>
  <c r="X289" i="31"/>
  <c r="Y289" i="31"/>
  <c r="Y304" i="31"/>
  <c r="X304" i="31"/>
  <c r="Y389" i="31"/>
  <c r="X389" i="31"/>
  <c r="Y440" i="31"/>
  <c r="X440" i="31"/>
  <c r="Y515" i="31"/>
  <c r="X515" i="31"/>
  <c r="Y576" i="31"/>
  <c r="X576" i="31"/>
  <c r="X31" i="31"/>
  <c r="Y31" i="31"/>
  <c r="AB136" i="32"/>
  <c r="AA136" i="32"/>
  <c r="Y55" i="31"/>
  <c r="X55" i="31"/>
  <c r="AB280" i="32"/>
  <c r="AA280" i="32"/>
  <c r="AB244" i="32"/>
  <c r="AA244" i="32"/>
  <c r="AA429" i="32"/>
  <c r="AB429" i="32"/>
  <c r="AA261" i="32"/>
  <c r="AB261" i="32"/>
  <c r="AA458" i="32"/>
  <c r="AB458" i="32"/>
  <c r="AB317" i="32"/>
  <c r="AA317" i="32"/>
  <c r="AA349" i="32"/>
  <c r="AB349" i="32"/>
  <c r="AB27" i="32"/>
  <c r="AA27" i="32"/>
  <c r="AA220" i="32"/>
  <c r="AB220" i="32"/>
  <c r="AB570" i="32"/>
  <c r="AA570" i="32"/>
  <c r="AB101" i="32"/>
  <c r="AA101" i="32"/>
  <c r="AA435" i="32"/>
  <c r="AB435" i="32"/>
  <c r="AA62" i="32"/>
  <c r="AB62" i="32"/>
  <c r="AB290" i="32"/>
  <c r="AA290" i="32"/>
  <c r="AA586" i="32"/>
  <c r="AB586" i="32"/>
  <c r="AB243" i="32"/>
  <c r="AA243" i="32"/>
  <c r="AA564" i="32"/>
  <c r="AB564" i="32"/>
  <c r="AB35" i="32"/>
  <c r="AA35" i="32"/>
  <c r="AB541" i="32"/>
  <c r="AA541" i="32"/>
  <c r="AA269" i="32"/>
  <c r="AB269" i="32"/>
  <c r="AA291" i="32"/>
  <c r="AB291" i="32"/>
  <c r="AB185" i="32"/>
  <c r="AA185" i="32"/>
  <c r="AA358" i="32"/>
  <c r="AB358" i="32"/>
  <c r="AB362" i="32"/>
  <c r="AA362" i="32"/>
  <c r="AB585" i="32"/>
  <c r="AA585" i="32"/>
  <c r="AA506" i="32"/>
  <c r="AB506" i="32"/>
  <c r="AB169" i="32"/>
  <c r="AA169" i="32"/>
  <c r="AA161" i="32"/>
  <c r="AB161" i="32"/>
  <c r="AA174" i="32"/>
  <c r="AB174" i="32"/>
  <c r="AB253" i="32"/>
  <c r="AA253" i="32"/>
  <c r="AB237" i="32"/>
  <c r="AA237" i="32"/>
  <c r="AA442" i="32"/>
  <c r="AB442" i="32"/>
  <c r="AB433" i="32"/>
  <c r="AA433" i="32"/>
  <c r="AB575" i="32"/>
  <c r="AA575" i="32"/>
  <c r="AB582" i="32"/>
  <c r="AA582" i="32"/>
  <c r="AA602" i="32"/>
  <c r="AB602" i="32"/>
  <c r="AB122" i="32"/>
  <c r="AA122" i="32"/>
  <c r="AB279" i="32"/>
  <c r="AA279" i="32"/>
  <c r="AB194" i="32"/>
  <c r="AA194" i="32"/>
  <c r="AB255" i="32"/>
  <c r="AA255" i="32"/>
  <c r="AB312" i="32"/>
  <c r="AA312" i="32"/>
  <c r="AA383" i="32"/>
  <c r="AB383" i="32"/>
  <c r="AB394" i="32"/>
  <c r="AA394" i="32"/>
  <c r="AA577" i="32"/>
  <c r="AB577" i="32"/>
  <c r="AB607" i="32"/>
  <c r="AA607" i="32"/>
  <c r="AA256" i="32"/>
  <c r="AB256" i="32"/>
  <c r="AA70" i="32"/>
  <c r="AB70" i="32"/>
  <c r="AA82" i="32"/>
  <c r="AB82" i="32"/>
  <c r="AB407" i="32"/>
  <c r="AA407" i="32"/>
  <c r="AB199" i="32"/>
  <c r="AA199" i="32"/>
  <c r="AB340" i="32"/>
  <c r="AA340" i="32"/>
  <c r="AB573" i="32"/>
  <c r="AA573" i="32"/>
  <c r="AB511" i="32"/>
  <c r="AA511" i="32"/>
  <c r="AB501" i="32"/>
  <c r="AA501" i="32"/>
  <c r="AB28" i="32"/>
  <c r="AA28" i="32"/>
  <c r="AB158" i="32"/>
  <c r="AA158" i="32"/>
  <c r="AB294" i="32"/>
  <c r="AA294" i="32"/>
  <c r="AA296" i="32"/>
  <c r="AB296" i="32"/>
  <c r="AB260" i="32"/>
  <c r="AA260" i="32"/>
  <c r="AA359" i="32"/>
  <c r="AB359" i="32"/>
  <c r="AA392" i="32"/>
  <c r="AB392" i="32"/>
  <c r="AB410" i="32"/>
  <c r="AA410" i="32"/>
  <c r="AB612" i="32"/>
  <c r="AA612" i="32"/>
  <c r="AA449" i="32"/>
  <c r="AB449" i="32"/>
  <c r="AB34" i="32"/>
  <c r="AA34" i="32"/>
  <c r="AB119" i="32"/>
  <c r="AA119" i="32"/>
  <c r="AB107" i="32"/>
  <c r="AA107" i="32"/>
  <c r="AA207" i="32"/>
  <c r="AB207" i="32"/>
  <c r="AB213" i="32"/>
  <c r="AA213" i="32"/>
  <c r="AA347" i="32"/>
  <c r="AB347" i="32"/>
  <c r="AB590" i="32"/>
  <c r="AA590" i="32"/>
  <c r="AB515" i="32"/>
  <c r="AA515" i="32"/>
  <c r="AA533" i="32"/>
  <c r="AB533" i="32"/>
  <c r="V529" i="31"/>
  <c r="U529" i="31"/>
  <c r="V202" i="31"/>
  <c r="U202" i="31"/>
  <c r="V419" i="31"/>
  <c r="U419" i="31"/>
  <c r="V523" i="31"/>
  <c r="U523" i="31"/>
  <c r="V113" i="31"/>
  <c r="U113" i="31"/>
  <c r="V107" i="31"/>
  <c r="U107" i="31"/>
  <c r="V531" i="31"/>
  <c r="U531" i="31"/>
  <c r="U279" i="31"/>
  <c r="V279" i="31"/>
  <c r="U384" i="31"/>
  <c r="V384" i="31"/>
  <c r="V347" i="31"/>
  <c r="U347" i="31"/>
  <c r="V249" i="31"/>
  <c r="U249" i="31"/>
  <c r="V27" i="31"/>
  <c r="U27" i="31"/>
  <c r="U397" i="31"/>
  <c r="V397" i="31"/>
  <c r="Y327" i="32"/>
  <c r="X327" i="32"/>
  <c r="Y113" i="32"/>
  <c r="X113" i="32"/>
  <c r="X481" i="32"/>
  <c r="Y481" i="32"/>
  <c r="X238" i="32"/>
  <c r="Y238" i="32"/>
  <c r="Y585" i="32"/>
  <c r="X585" i="32"/>
  <c r="Y393" i="32"/>
  <c r="X393" i="32"/>
  <c r="Y187" i="32"/>
  <c r="X187" i="32"/>
  <c r="Y422" i="32"/>
  <c r="X422" i="32"/>
  <c r="Y293" i="32"/>
  <c r="X293" i="32"/>
  <c r="X84" i="32"/>
  <c r="Y84" i="32"/>
  <c r="X445" i="32"/>
  <c r="Y445" i="32"/>
  <c r="X180" i="32"/>
  <c r="Y180" i="32"/>
  <c r="X605" i="32"/>
  <c r="Y605" i="32"/>
  <c r="Y562" i="32"/>
  <c r="X562" i="32"/>
  <c r="X147" i="31"/>
  <c r="Y147" i="31"/>
  <c r="X413" i="31"/>
  <c r="Y413" i="31"/>
  <c r="Y348" i="31"/>
  <c r="X348" i="31"/>
  <c r="Y503" i="31"/>
  <c r="X503" i="31"/>
  <c r="Y75" i="31"/>
  <c r="X75" i="31"/>
  <c r="X222" i="31"/>
  <c r="Y222" i="31"/>
  <c r="Y258" i="31"/>
  <c r="X258" i="31"/>
  <c r="Y25" i="31"/>
  <c r="X25" i="31"/>
  <c r="Y489" i="31"/>
  <c r="X489" i="31"/>
  <c r="X300" i="31"/>
  <c r="Y300" i="31"/>
  <c r="Y116" i="31"/>
  <c r="X116" i="31"/>
  <c r="Y564" i="31"/>
  <c r="X564" i="31"/>
  <c r="Y338" i="31"/>
  <c r="X338" i="31"/>
  <c r="Y596" i="31"/>
  <c r="X596" i="31"/>
  <c r="V291" i="31"/>
  <c r="U291" i="31"/>
  <c r="V441" i="31"/>
  <c r="U441" i="31"/>
  <c r="V25" i="31"/>
  <c r="U25" i="31"/>
  <c r="V23" i="31"/>
  <c r="U23" i="31"/>
  <c r="V277" i="31"/>
  <c r="U277" i="31"/>
  <c r="U408" i="31"/>
  <c r="V408" i="31"/>
  <c r="U429" i="31"/>
  <c r="V429" i="31"/>
  <c r="V225" i="31"/>
  <c r="U225" i="31"/>
  <c r="V522" i="31"/>
  <c r="U522" i="31"/>
  <c r="V306" i="31"/>
  <c r="U306" i="31"/>
  <c r="V400" i="31"/>
  <c r="U400" i="31"/>
  <c r="V405" i="31"/>
  <c r="U405" i="31"/>
  <c r="V351" i="31"/>
  <c r="U351" i="31"/>
  <c r="V167" i="31"/>
  <c r="U167" i="31"/>
  <c r="V603" i="31"/>
  <c r="U603" i="31"/>
  <c r="Y184" i="32"/>
  <c r="X184" i="32"/>
  <c r="Y197" i="32"/>
  <c r="X197" i="32"/>
  <c r="Y86" i="32"/>
  <c r="X86" i="32"/>
  <c r="V53" i="31"/>
  <c r="U53" i="31"/>
  <c r="U20" i="31"/>
  <c r="V20" i="31"/>
  <c r="U204" i="31"/>
  <c r="V204" i="31"/>
  <c r="V474" i="31"/>
  <c r="U474" i="31"/>
  <c r="U15" i="31"/>
  <c r="V15" i="31"/>
  <c r="U288" i="31"/>
  <c r="V288" i="31"/>
  <c r="V452" i="31"/>
  <c r="U452" i="31"/>
  <c r="V414" i="31"/>
  <c r="U414" i="31"/>
  <c r="V304" i="31"/>
  <c r="U304" i="31"/>
  <c r="V137" i="31"/>
  <c r="U137" i="31"/>
  <c r="V578" i="31"/>
  <c r="U578" i="31"/>
  <c r="U161" i="31"/>
  <c r="V161" i="31"/>
  <c r="U609" i="31"/>
  <c r="V609" i="31"/>
  <c r="U292" i="31"/>
  <c r="V292" i="31"/>
  <c r="X52" i="32"/>
  <c r="Y52" i="32"/>
  <c r="V383" i="31"/>
  <c r="U383" i="31"/>
  <c r="X217" i="32"/>
  <c r="Y217" i="32"/>
  <c r="Y347" i="32"/>
  <c r="X347" i="32"/>
  <c r="X469" i="32"/>
  <c r="Y469" i="32"/>
  <c r="Y502" i="32"/>
  <c r="X502" i="32"/>
  <c r="Y234" i="32"/>
  <c r="X234" i="32"/>
  <c r="X555" i="32"/>
  <c r="Y555" i="32"/>
  <c r="Y312" i="32"/>
  <c r="X312" i="32"/>
  <c r="X192" i="32"/>
  <c r="Y192" i="32"/>
  <c r="X251" i="32"/>
  <c r="Y251" i="32"/>
  <c r="Y131" i="32"/>
  <c r="X131" i="32"/>
  <c r="Y318" i="32"/>
  <c r="X318" i="32"/>
  <c r="Y107" i="32"/>
  <c r="X107" i="32"/>
  <c r="Y507" i="32"/>
  <c r="X507" i="32"/>
  <c r="Y330" i="32"/>
  <c r="X330" i="32"/>
  <c r="X586" i="32"/>
  <c r="Y586" i="32"/>
  <c r="X77" i="31"/>
  <c r="Y77" i="31"/>
  <c r="V160" i="31"/>
  <c r="U160" i="31"/>
  <c r="U628" i="31"/>
  <c r="V628" i="31"/>
  <c r="V29" i="31"/>
  <c r="U29" i="31"/>
  <c r="V186" i="31"/>
  <c r="U186" i="31"/>
  <c r="V97" i="31"/>
  <c r="U97" i="31"/>
  <c r="V158" i="31"/>
  <c r="U158" i="31"/>
  <c r="U54" i="31"/>
  <c r="V54" i="31"/>
  <c r="V300" i="31"/>
  <c r="U300" i="31"/>
  <c r="V532" i="31"/>
  <c r="U532" i="31"/>
  <c r="V61" i="31"/>
  <c r="U61" i="31"/>
  <c r="U221" i="31"/>
  <c r="V221" i="31"/>
  <c r="V426" i="31"/>
  <c r="U426" i="31"/>
  <c r="V33" i="31"/>
  <c r="U33" i="31"/>
  <c r="U193" i="31"/>
  <c r="V193" i="31"/>
  <c r="V295" i="31"/>
  <c r="U295" i="31"/>
  <c r="V577" i="31"/>
  <c r="U577" i="31"/>
  <c r="V81" i="31"/>
  <c r="U81" i="31"/>
  <c r="U338" i="31"/>
  <c r="V338" i="31"/>
  <c r="U503" i="31"/>
  <c r="V503" i="31"/>
  <c r="V116" i="31"/>
  <c r="U116" i="31"/>
  <c r="V208" i="31"/>
  <c r="U208" i="31"/>
  <c r="V252" i="31"/>
  <c r="U252" i="31"/>
  <c r="V353" i="31"/>
  <c r="U353" i="31"/>
  <c r="U442" i="31"/>
  <c r="V442" i="31"/>
  <c r="U506" i="31"/>
  <c r="V506" i="31"/>
  <c r="V608" i="31"/>
  <c r="U608" i="31"/>
  <c r="U112" i="31"/>
  <c r="V112" i="31"/>
  <c r="V216" i="31"/>
  <c r="U216" i="31"/>
  <c r="V298" i="31"/>
  <c r="U298" i="31"/>
  <c r="V378" i="31"/>
  <c r="U378" i="31"/>
  <c r="V471" i="31"/>
  <c r="U471" i="31"/>
  <c r="V563" i="31"/>
  <c r="U563" i="31"/>
  <c r="V98" i="31"/>
  <c r="U98" i="31"/>
  <c r="V200" i="31"/>
  <c r="U200" i="31"/>
  <c r="V274" i="31"/>
  <c r="U274" i="31"/>
  <c r="U310" i="31"/>
  <c r="V310" i="31"/>
  <c r="V425" i="31"/>
  <c r="U425" i="31"/>
  <c r="V525" i="31"/>
  <c r="U525" i="31"/>
  <c r="U592" i="31"/>
  <c r="V592" i="31"/>
  <c r="U407" i="31"/>
  <c r="V407" i="31"/>
  <c r="U510" i="31"/>
  <c r="V510" i="31"/>
  <c r="V585" i="31"/>
  <c r="U585" i="31"/>
  <c r="U85" i="31"/>
  <c r="V85" i="31"/>
  <c r="V171" i="31"/>
  <c r="U171" i="31"/>
  <c r="U321" i="31"/>
  <c r="V321" i="31"/>
  <c r="U398" i="31"/>
  <c r="V398" i="31"/>
  <c r="V428" i="31"/>
  <c r="U428" i="31"/>
  <c r="U515" i="31"/>
  <c r="V515" i="31"/>
  <c r="V35" i="31"/>
  <c r="U35" i="31"/>
  <c r="U121" i="31"/>
  <c r="V121" i="31"/>
  <c r="U165" i="31"/>
  <c r="V165" i="31"/>
  <c r="U260" i="31"/>
  <c r="V260" i="31"/>
  <c r="U294" i="31"/>
  <c r="V294" i="31"/>
  <c r="U396" i="31"/>
  <c r="V396" i="31"/>
  <c r="U461" i="31"/>
  <c r="V461" i="31"/>
  <c r="U514" i="31"/>
  <c r="V514" i="31"/>
  <c r="U591" i="31"/>
  <c r="V591" i="31"/>
  <c r="X50" i="32"/>
  <c r="Y50" i="32"/>
  <c r="V102" i="31"/>
  <c r="U102" i="31"/>
  <c r="V162" i="31"/>
  <c r="U162" i="31"/>
  <c r="V250" i="31"/>
  <c r="U250" i="31"/>
  <c r="V322" i="31"/>
  <c r="U322" i="31"/>
  <c r="U356" i="31"/>
  <c r="V356" i="31"/>
  <c r="U453" i="31"/>
  <c r="V453" i="31"/>
  <c r="U488" i="31"/>
  <c r="V488" i="31"/>
  <c r="U557" i="31"/>
  <c r="V557" i="31"/>
  <c r="Y278" i="32"/>
  <c r="X278" i="32"/>
  <c r="Y355" i="32"/>
  <c r="X355" i="32"/>
  <c r="Y566" i="32"/>
  <c r="X566" i="32"/>
  <c r="X172" i="32"/>
  <c r="Y172" i="32"/>
  <c r="Y262" i="32"/>
  <c r="X262" i="32"/>
  <c r="X270" i="32"/>
  <c r="Y270" i="32"/>
  <c r="X134" i="32"/>
  <c r="Y134" i="32"/>
  <c r="Y403" i="32"/>
  <c r="X403" i="32"/>
  <c r="V58" i="31"/>
  <c r="U58" i="31"/>
  <c r="Y339" i="32"/>
  <c r="X339" i="32"/>
  <c r="Y515" i="32"/>
  <c r="X515" i="32"/>
  <c r="Y45" i="32"/>
  <c r="X45" i="32"/>
  <c r="Y397" i="32"/>
  <c r="X397" i="32"/>
  <c r="X53" i="32"/>
  <c r="Y53" i="32"/>
  <c r="Y358" i="32"/>
  <c r="X358" i="32"/>
  <c r="Y63" i="32"/>
  <c r="X63" i="32"/>
  <c r="Y314" i="32"/>
  <c r="X314" i="32"/>
  <c r="Y613" i="32"/>
  <c r="X613" i="32"/>
  <c r="X49" i="32"/>
  <c r="Y49" i="32"/>
  <c r="X115" i="32"/>
  <c r="Y115" i="32"/>
  <c r="X281" i="32"/>
  <c r="Y281" i="32"/>
  <c r="Y340" i="32"/>
  <c r="X340" i="32"/>
  <c r="Y244" i="32"/>
  <c r="X244" i="32"/>
  <c r="X406" i="32"/>
  <c r="Y406" i="32"/>
  <c r="X350" i="32"/>
  <c r="Y350" i="32"/>
  <c r="X533" i="32"/>
  <c r="Y533" i="32"/>
  <c r="X46" i="32"/>
  <c r="Y46" i="32"/>
  <c r="X117" i="32"/>
  <c r="Y117" i="32"/>
  <c r="Y154" i="32"/>
  <c r="X154" i="32"/>
  <c r="Y212" i="32"/>
  <c r="X212" i="32"/>
  <c r="X220" i="32"/>
  <c r="Y220" i="32"/>
  <c r="X289" i="32"/>
  <c r="Y289" i="32"/>
  <c r="Y543" i="32"/>
  <c r="X543" i="32"/>
  <c r="X412" i="32"/>
  <c r="Y412" i="32"/>
  <c r="Y492" i="32"/>
  <c r="X492" i="32"/>
  <c r="X25" i="32"/>
  <c r="Y25" i="32"/>
  <c r="X437" i="32"/>
  <c r="Y437" i="32"/>
  <c r="Y65" i="32"/>
  <c r="X65" i="32"/>
  <c r="Y315" i="32"/>
  <c r="X315" i="32"/>
  <c r="X297" i="32"/>
  <c r="Y297" i="32"/>
  <c r="X374" i="32"/>
  <c r="Y374" i="32"/>
  <c r="X375" i="32"/>
  <c r="Y375" i="32"/>
  <c r="Y491" i="32"/>
  <c r="X491" i="32"/>
  <c r="Y553" i="32"/>
  <c r="X553" i="32"/>
  <c r="X17" i="32"/>
  <c r="Y17" i="32"/>
  <c r="X147" i="32"/>
  <c r="Y147" i="32"/>
  <c r="X185" i="32"/>
  <c r="Y185" i="32"/>
  <c r="Y214" i="32"/>
  <c r="X214" i="32"/>
  <c r="Y199" i="32"/>
  <c r="X199" i="32"/>
  <c r="X409" i="32"/>
  <c r="Y409" i="32"/>
  <c r="X438" i="32"/>
  <c r="Y438" i="32"/>
  <c r="X536" i="32"/>
  <c r="Y536" i="32"/>
  <c r="Y503" i="32"/>
  <c r="X503" i="32"/>
  <c r="Y39" i="32"/>
  <c r="X39" i="32"/>
  <c r="Y271" i="32"/>
  <c r="X271" i="32"/>
  <c r="Y91" i="32"/>
  <c r="X91" i="32"/>
  <c r="Y268" i="32"/>
  <c r="X268" i="32"/>
  <c r="X282" i="32"/>
  <c r="Y282" i="32"/>
  <c r="Y352" i="32"/>
  <c r="X352" i="32"/>
  <c r="X448" i="32"/>
  <c r="Y448" i="32"/>
  <c r="Y598" i="32"/>
  <c r="X598" i="32"/>
  <c r="Y581" i="32"/>
  <c r="X581" i="32"/>
  <c r="Y41" i="32"/>
  <c r="X41" i="32"/>
  <c r="Y303" i="32"/>
  <c r="X303" i="32"/>
  <c r="Y101" i="32"/>
  <c r="X101" i="32"/>
  <c r="Y291" i="32"/>
  <c r="X291" i="32"/>
  <c r="Y299" i="32"/>
  <c r="X299" i="32"/>
  <c r="Y353" i="32"/>
  <c r="X353" i="32"/>
  <c r="Y454" i="32"/>
  <c r="X454" i="32"/>
  <c r="Y608" i="32"/>
  <c r="X608" i="32"/>
  <c r="X602" i="32"/>
  <c r="Y602" i="32"/>
  <c r="Y483" i="32"/>
  <c r="X483" i="32"/>
  <c r="Y565" i="32"/>
  <c r="X565" i="32"/>
  <c r="Y522" i="32"/>
  <c r="X522" i="32"/>
  <c r="X609" i="32"/>
  <c r="Y609" i="32"/>
  <c r="Y626" i="31"/>
  <c r="X626" i="31"/>
  <c r="X158" i="31"/>
  <c r="Y158" i="31"/>
  <c r="Y26" i="31"/>
  <c r="X26" i="31"/>
  <c r="Y512" i="31"/>
  <c r="X512" i="31"/>
  <c r="Y467" i="31"/>
  <c r="X467" i="31"/>
  <c r="Y367" i="31"/>
  <c r="X367" i="31"/>
  <c r="Y66" i="31"/>
  <c r="X66" i="31"/>
  <c r="X396" i="31"/>
  <c r="Y396" i="31"/>
  <c r="Y194" i="31"/>
  <c r="X194" i="31"/>
  <c r="Y225" i="31"/>
  <c r="X225" i="31"/>
  <c r="X432" i="31"/>
  <c r="Y432" i="31"/>
  <c r="Y20" i="31"/>
  <c r="X20" i="31"/>
  <c r="Y507" i="31"/>
  <c r="X507" i="31"/>
  <c r="X229" i="31"/>
  <c r="Y229" i="31"/>
  <c r="Y376" i="31"/>
  <c r="X376" i="31"/>
  <c r="Y560" i="31"/>
  <c r="X560" i="31"/>
  <c r="Y74" i="31"/>
  <c r="X74" i="31"/>
  <c r="X215" i="31"/>
  <c r="Y215" i="31"/>
  <c r="Y401" i="31"/>
  <c r="X401" i="31"/>
  <c r="Y561" i="31"/>
  <c r="X561" i="31"/>
  <c r="Y86" i="31"/>
  <c r="X86" i="31"/>
  <c r="Y311" i="31"/>
  <c r="X311" i="31"/>
  <c r="Y454" i="31"/>
  <c r="X454" i="31"/>
  <c r="Y54" i="31"/>
  <c r="X54" i="31"/>
  <c r="X34" i="31"/>
  <c r="Y34" i="31"/>
  <c r="Y254" i="31"/>
  <c r="X254" i="31"/>
  <c r="X430" i="31"/>
  <c r="Y430" i="31"/>
  <c r="Y592" i="31"/>
  <c r="X592" i="31"/>
  <c r="X124" i="31"/>
  <c r="Y124" i="31"/>
  <c r="X291" i="31"/>
  <c r="Y291" i="31"/>
  <c r="X479" i="31"/>
  <c r="Y479" i="31"/>
  <c r="Y17" i="31"/>
  <c r="X17" i="31"/>
  <c r="Y195" i="31"/>
  <c r="X195" i="31"/>
  <c r="X234" i="31"/>
  <c r="Y234" i="31"/>
  <c r="X297" i="31"/>
  <c r="Y297" i="31"/>
  <c r="Y415" i="31"/>
  <c r="X415" i="31"/>
  <c r="Y499" i="31"/>
  <c r="X499" i="31"/>
  <c r="X571" i="31"/>
  <c r="Y571" i="31"/>
  <c r="Y113" i="31"/>
  <c r="X113" i="31"/>
  <c r="X152" i="31"/>
  <c r="Y152" i="31"/>
  <c r="Y249" i="31"/>
  <c r="X249" i="31"/>
  <c r="Y357" i="31"/>
  <c r="X357" i="31"/>
  <c r="X447" i="31"/>
  <c r="Y447" i="31"/>
  <c r="X511" i="31"/>
  <c r="Y511" i="31"/>
  <c r="X109" i="31"/>
  <c r="Y109" i="31"/>
  <c r="X221" i="31"/>
  <c r="Y221" i="31"/>
  <c r="Y285" i="31"/>
  <c r="X285" i="31"/>
  <c r="Y422" i="31"/>
  <c r="X422" i="31"/>
  <c r="Y461" i="31"/>
  <c r="X461" i="31"/>
  <c r="Y549" i="31"/>
  <c r="X549" i="31"/>
  <c r="Y111" i="31"/>
  <c r="X111" i="31"/>
  <c r="Y189" i="31"/>
  <c r="X189" i="31"/>
  <c r="Y333" i="31"/>
  <c r="X333" i="31"/>
  <c r="X299" i="31"/>
  <c r="Y299" i="31"/>
  <c r="Y420" i="31"/>
  <c r="X420" i="31"/>
  <c r="Y523" i="31"/>
  <c r="X523" i="31"/>
  <c r="Y600" i="31"/>
  <c r="X600" i="31"/>
  <c r="Y83" i="31"/>
  <c r="X83" i="31"/>
  <c r="Y198" i="31"/>
  <c r="X198" i="31"/>
  <c r="Y227" i="31"/>
  <c r="X227" i="31"/>
  <c r="Y326" i="31"/>
  <c r="X326" i="31"/>
  <c r="Y369" i="31"/>
  <c r="X369" i="31"/>
  <c r="Y445" i="31"/>
  <c r="X445" i="31"/>
  <c r="Y492" i="31"/>
  <c r="X492" i="31"/>
  <c r="Y567" i="31"/>
  <c r="X567" i="31"/>
  <c r="X13" i="31"/>
  <c r="Y13" i="31"/>
  <c r="X101" i="31"/>
  <c r="Y101" i="31"/>
  <c r="X177" i="31"/>
  <c r="Y177" i="31"/>
  <c r="X240" i="31"/>
  <c r="Y240" i="31"/>
  <c r="Y313" i="31"/>
  <c r="X313" i="31"/>
  <c r="Y402" i="31"/>
  <c r="X402" i="31"/>
  <c r="X442" i="31"/>
  <c r="Y442" i="31"/>
  <c r="X501" i="31"/>
  <c r="Y501" i="31"/>
  <c r="X572" i="31"/>
  <c r="Y572" i="31"/>
  <c r="AB216" i="32"/>
  <c r="AA216" i="32"/>
  <c r="AB517" i="32"/>
  <c r="AA517" i="32"/>
  <c r="AB18" i="32"/>
  <c r="AA18" i="32"/>
  <c r="AB406" i="32"/>
  <c r="AA406" i="32"/>
  <c r="AA178" i="32"/>
  <c r="AB178" i="32"/>
  <c r="AB472" i="32"/>
  <c r="AA472" i="32"/>
  <c r="AB263" i="32"/>
  <c r="AA263" i="32"/>
  <c r="AA580" i="32"/>
  <c r="AB580" i="32"/>
  <c r="AB125" i="32"/>
  <c r="AA125" i="32"/>
  <c r="AB355" i="32"/>
  <c r="AA355" i="32"/>
  <c r="AA26" i="32"/>
  <c r="AB26" i="32"/>
  <c r="AA222" i="32"/>
  <c r="AB222" i="32"/>
  <c r="AA518" i="32"/>
  <c r="AB518" i="32"/>
  <c r="AA233" i="32"/>
  <c r="AB233" i="32"/>
  <c r="AA543" i="32"/>
  <c r="AB543" i="32"/>
  <c r="AA287" i="32"/>
  <c r="AB287" i="32"/>
  <c r="AB326" i="32"/>
  <c r="AA326" i="32"/>
  <c r="AB47" i="32"/>
  <c r="AA47" i="32"/>
  <c r="AB285" i="32"/>
  <c r="AA285" i="32"/>
  <c r="AB466" i="32"/>
  <c r="AA466" i="32"/>
  <c r="AB55" i="32"/>
  <c r="AA55" i="32"/>
  <c r="AA110" i="32"/>
  <c r="AB110" i="32"/>
  <c r="AB109" i="32"/>
  <c r="AA109" i="32"/>
  <c r="AB173" i="32"/>
  <c r="AA173" i="32"/>
  <c r="AB226" i="32"/>
  <c r="AA226" i="32"/>
  <c r="AA430" i="32"/>
  <c r="AB430" i="32"/>
  <c r="AB448" i="32"/>
  <c r="AA448" i="32"/>
  <c r="AA502" i="32"/>
  <c r="AB502" i="32"/>
  <c r="AB528" i="32"/>
  <c r="AA528" i="32"/>
  <c r="AA133" i="32"/>
  <c r="AB133" i="32"/>
  <c r="AA44" i="32"/>
  <c r="AB44" i="32"/>
  <c r="AB65" i="32"/>
  <c r="AA65" i="32"/>
  <c r="AA315" i="32"/>
  <c r="AB315" i="32"/>
  <c r="AA316" i="32"/>
  <c r="AB316" i="32"/>
  <c r="AB336" i="32"/>
  <c r="AA336" i="32"/>
  <c r="AB550" i="32"/>
  <c r="AA550" i="32"/>
  <c r="AA507" i="32"/>
  <c r="AB507" i="32"/>
  <c r="AB490" i="32"/>
  <c r="AA490" i="32"/>
  <c r="AB25" i="32"/>
  <c r="AA25" i="32"/>
  <c r="AB79" i="32"/>
  <c r="AA79" i="32"/>
  <c r="AB85" i="32"/>
  <c r="AA85" i="32"/>
  <c r="AA210" i="32"/>
  <c r="AB210" i="32"/>
  <c r="AA293" i="32"/>
  <c r="AB293" i="32"/>
  <c r="AB364" i="32"/>
  <c r="AA364" i="32"/>
  <c r="AA445" i="32"/>
  <c r="AB445" i="32"/>
  <c r="AA446" i="32"/>
  <c r="AB446" i="32"/>
  <c r="AA470" i="32"/>
  <c r="AB470" i="32"/>
  <c r="AA494" i="32"/>
  <c r="AB494" i="32"/>
  <c r="AA32" i="32"/>
  <c r="AB32" i="32"/>
  <c r="AA165" i="32"/>
  <c r="AB165" i="32"/>
  <c r="AA153" i="32"/>
  <c r="AB153" i="32"/>
  <c r="AA238" i="32"/>
  <c r="AB238" i="32"/>
  <c r="AA304" i="32"/>
  <c r="AB304" i="32"/>
  <c r="AB439" i="32"/>
  <c r="AA439" i="32"/>
  <c r="AB337" i="32"/>
  <c r="AA337" i="32"/>
  <c r="AB552" i="32"/>
  <c r="AA552" i="32"/>
  <c r="AA591" i="32"/>
  <c r="AB591" i="32"/>
  <c r="AA23" i="32"/>
  <c r="AB23" i="32"/>
  <c r="AB84" i="32"/>
  <c r="AA84" i="32"/>
  <c r="AB98" i="32"/>
  <c r="AA98" i="32"/>
  <c r="AA219" i="32"/>
  <c r="AB219" i="32"/>
  <c r="AA300" i="32"/>
  <c r="AB300" i="32"/>
  <c r="AB374" i="32"/>
  <c r="AA374" i="32"/>
  <c r="AB479" i="32"/>
  <c r="AA479" i="32"/>
  <c r="AB455" i="32"/>
  <c r="AA455" i="32"/>
  <c r="AB477" i="32"/>
  <c r="AA477" i="32"/>
  <c r="AB523" i="32"/>
  <c r="AA523" i="32"/>
  <c r="AB31" i="32"/>
  <c r="AA31" i="32"/>
  <c r="AA184" i="32"/>
  <c r="AB184" i="32"/>
  <c r="AB168" i="32"/>
  <c r="AA168" i="32"/>
  <c r="AA248" i="32"/>
  <c r="AB248" i="32"/>
  <c r="AA314" i="32"/>
  <c r="AB314" i="32"/>
  <c r="AB571" i="32"/>
  <c r="AA571" i="32"/>
  <c r="AA344" i="32"/>
  <c r="AB344" i="32"/>
  <c r="AA559" i="32"/>
  <c r="AB559" i="32"/>
  <c r="AA480" i="32"/>
  <c r="AB480" i="32"/>
  <c r="V44" i="31"/>
  <c r="U44" i="31"/>
  <c r="V39" i="31"/>
  <c r="U39" i="31"/>
  <c r="V242" i="31"/>
  <c r="U242" i="31"/>
  <c r="U451" i="31"/>
  <c r="V451" i="31"/>
  <c r="V227" i="31"/>
  <c r="U227" i="31"/>
  <c r="V212" i="31"/>
  <c r="U212" i="31"/>
  <c r="V111" i="31"/>
  <c r="U111" i="31"/>
  <c r="U236" i="31"/>
  <c r="V236" i="31"/>
  <c r="U209" i="31"/>
  <c r="V209" i="31"/>
  <c r="V562" i="31"/>
  <c r="U562" i="31"/>
  <c r="V197" i="31"/>
  <c r="U197" i="31"/>
  <c r="V593" i="31"/>
  <c r="U593" i="31"/>
  <c r="Y56" i="32"/>
  <c r="X56" i="32"/>
  <c r="Y222" i="32"/>
  <c r="X222" i="32"/>
  <c r="Y70" i="32"/>
  <c r="X70" i="32"/>
  <c r="Y415" i="32"/>
  <c r="X415" i="32"/>
  <c r="Y356" i="32"/>
  <c r="X356" i="32"/>
  <c r="X64" i="32"/>
  <c r="Y64" i="32"/>
  <c r="Y490" i="32"/>
  <c r="X490" i="32"/>
  <c r="X426" i="32"/>
  <c r="Y426" i="32"/>
  <c r="X138" i="32"/>
  <c r="Y138" i="32"/>
  <c r="X90" i="32"/>
  <c r="Y90" i="32"/>
  <c r="X450" i="32"/>
  <c r="Y450" i="32"/>
  <c r="X486" i="32"/>
  <c r="Y486" i="32"/>
  <c r="X585" i="31"/>
  <c r="Y585" i="31"/>
  <c r="X220" i="31"/>
  <c r="Y220" i="31"/>
  <c r="Y46" i="31"/>
  <c r="X46" i="31"/>
  <c r="Y223" i="31"/>
  <c r="X223" i="31"/>
  <c r="Y486" i="31"/>
  <c r="X486" i="31"/>
  <c r="Y130" i="31"/>
  <c r="X130" i="31"/>
  <c r="Y118" i="31"/>
  <c r="X118" i="31"/>
  <c r="X574" i="31"/>
  <c r="Y574" i="31"/>
  <c r="Y509" i="31"/>
  <c r="X509" i="31"/>
  <c r="Y397" i="31"/>
  <c r="X397" i="31"/>
  <c r="Y265" i="31"/>
  <c r="X265" i="31"/>
  <c r="Y121" i="31"/>
  <c r="X121" i="31"/>
  <c r="U56" i="31"/>
  <c r="V56" i="31"/>
  <c r="U22" i="31"/>
  <c r="V22" i="31"/>
  <c r="U105" i="31"/>
  <c r="V105" i="31"/>
  <c r="V130" i="31"/>
  <c r="U130" i="31"/>
  <c r="U117" i="31"/>
  <c r="V117" i="31"/>
  <c r="Y213" i="32"/>
  <c r="X213" i="32"/>
  <c r="U502" i="31"/>
  <c r="V502" i="31"/>
  <c r="U361" i="31"/>
  <c r="V361" i="31"/>
  <c r="V232" i="31"/>
  <c r="U232" i="31"/>
  <c r="U456" i="31"/>
  <c r="V456" i="31"/>
  <c r="V309" i="31"/>
  <c r="U309" i="31"/>
  <c r="U194" i="31"/>
  <c r="V194" i="31"/>
  <c r="U489" i="31"/>
  <c r="V489" i="31"/>
  <c r="V336" i="31"/>
  <c r="U336" i="31"/>
  <c r="V543" i="31"/>
  <c r="U543" i="31"/>
  <c r="X365" i="32"/>
  <c r="Y365" i="32"/>
  <c r="Y69" i="32"/>
  <c r="X69" i="32"/>
  <c r="X40" i="32"/>
  <c r="Y40" i="32"/>
  <c r="X114" i="32"/>
  <c r="Y114" i="32"/>
  <c r="V168" i="31"/>
  <c r="U168" i="31"/>
  <c r="V572" i="31"/>
  <c r="U572" i="31"/>
  <c r="V284" i="31"/>
  <c r="U284" i="31"/>
  <c r="U480" i="31"/>
  <c r="V480" i="31"/>
  <c r="V88" i="31"/>
  <c r="U88" i="31"/>
  <c r="V68" i="31"/>
  <c r="U68" i="31"/>
  <c r="V141" i="31"/>
  <c r="U141" i="31"/>
  <c r="V542" i="31"/>
  <c r="U542" i="31"/>
  <c r="V381" i="31"/>
  <c r="U381" i="31"/>
  <c r="U122" i="31"/>
  <c r="V122" i="31"/>
  <c r="V518" i="31"/>
  <c r="U518" i="31"/>
  <c r="V403" i="31"/>
  <c r="U403" i="31"/>
  <c r="V108" i="31"/>
  <c r="U108" i="31"/>
  <c r="V406" i="31"/>
  <c r="U406" i="31"/>
  <c r="X135" i="32"/>
  <c r="Y135" i="32"/>
  <c r="X408" i="32"/>
  <c r="Y408" i="32"/>
  <c r="X611" i="32"/>
  <c r="Y611" i="32"/>
  <c r="X60" i="32"/>
  <c r="Y60" i="32"/>
  <c r="Y600" i="32"/>
  <c r="X600" i="32"/>
  <c r="X285" i="32"/>
  <c r="Y285" i="32"/>
  <c r="Y79" i="32"/>
  <c r="X79" i="32"/>
  <c r="X436" i="32"/>
  <c r="Y436" i="32"/>
  <c r="X174" i="32"/>
  <c r="Y174" i="32"/>
  <c r="X460" i="32"/>
  <c r="Y460" i="32"/>
  <c r="X325" i="32"/>
  <c r="Y325" i="32"/>
  <c r="X35" i="32"/>
  <c r="Y35" i="32"/>
  <c r="Y345" i="32"/>
  <c r="X345" i="32"/>
  <c r="V613" i="31"/>
  <c r="U613" i="31"/>
  <c r="U69" i="31"/>
  <c r="V69" i="31"/>
  <c r="V244" i="31"/>
  <c r="U244" i="31"/>
  <c r="U45" i="31"/>
  <c r="V45" i="31"/>
  <c r="V24" i="31"/>
  <c r="U24" i="31"/>
  <c r="V344" i="31"/>
  <c r="U344" i="31"/>
  <c r="V339" i="31"/>
  <c r="U339" i="31"/>
  <c r="V182" i="31"/>
  <c r="U182" i="31"/>
  <c r="U626" i="31"/>
  <c r="V626" i="31"/>
  <c r="U341" i="31"/>
  <c r="V341" i="31"/>
  <c r="V21" i="31"/>
  <c r="U21" i="31"/>
  <c r="U230" i="31"/>
  <c r="V230" i="31"/>
  <c r="V172" i="31"/>
  <c r="U172" i="31"/>
  <c r="U365" i="31"/>
  <c r="V365" i="31"/>
  <c r="U153" i="31"/>
  <c r="V153" i="31"/>
  <c r="V558" i="31"/>
  <c r="U558" i="31"/>
  <c r="V30" i="31"/>
  <c r="U30" i="31"/>
  <c r="V169" i="31"/>
  <c r="U169" i="31"/>
  <c r="U342" i="31"/>
  <c r="V342" i="31"/>
  <c r="U550" i="31"/>
  <c r="V550" i="31"/>
  <c r="V138" i="31"/>
  <c r="U138" i="31"/>
  <c r="U281" i="31"/>
  <c r="V281" i="31"/>
  <c r="V444" i="31"/>
  <c r="U444" i="31"/>
  <c r="U72" i="31"/>
  <c r="V72" i="31"/>
  <c r="U203" i="31"/>
  <c r="V203" i="31"/>
  <c r="U372" i="31"/>
  <c r="V372" i="31"/>
  <c r="V599" i="31"/>
  <c r="U599" i="31"/>
  <c r="U152" i="31"/>
  <c r="V152" i="31"/>
  <c r="U317" i="31"/>
  <c r="V317" i="31"/>
  <c r="U559" i="31"/>
  <c r="V559" i="31"/>
  <c r="U125" i="31"/>
  <c r="V125" i="31"/>
  <c r="V217" i="31"/>
  <c r="U217" i="31"/>
  <c r="V285" i="31"/>
  <c r="U285" i="31"/>
  <c r="U377" i="31"/>
  <c r="V377" i="31"/>
  <c r="U437" i="31"/>
  <c r="V437" i="31"/>
  <c r="V534" i="31"/>
  <c r="U534" i="31"/>
  <c r="Y229" i="32"/>
  <c r="X229" i="32"/>
  <c r="V129" i="31"/>
  <c r="U129" i="31"/>
  <c r="V235" i="31"/>
  <c r="U235" i="31"/>
  <c r="V315" i="31"/>
  <c r="U315" i="31"/>
  <c r="U373" i="31"/>
  <c r="V373" i="31"/>
  <c r="U484" i="31"/>
  <c r="V484" i="31"/>
  <c r="V570" i="31"/>
  <c r="U570" i="31"/>
  <c r="V123" i="31"/>
  <c r="U123" i="31"/>
  <c r="V233" i="31"/>
  <c r="U233" i="31"/>
  <c r="U251" i="31"/>
  <c r="V251" i="31"/>
  <c r="V327" i="31"/>
  <c r="U327" i="31"/>
  <c r="V440" i="31"/>
  <c r="U440" i="31"/>
  <c r="U540" i="31"/>
  <c r="V540" i="31"/>
  <c r="W624" i="31"/>
  <c r="T624" i="31"/>
  <c r="D624" i="31"/>
  <c r="M624" i="31"/>
  <c r="J624" i="31"/>
  <c r="G624" i="31"/>
  <c r="U448" i="31"/>
  <c r="V448" i="31"/>
  <c r="U512" i="31"/>
  <c r="V512" i="31"/>
  <c r="U596" i="31"/>
  <c r="V596" i="31"/>
  <c r="V110" i="31"/>
  <c r="U110" i="31"/>
  <c r="U180" i="31"/>
  <c r="V180" i="31"/>
  <c r="V262" i="31"/>
  <c r="U262" i="31"/>
  <c r="V364" i="31"/>
  <c r="U364" i="31"/>
  <c r="V450" i="31"/>
  <c r="U450" i="31"/>
  <c r="V535" i="31"/>
  <c r="U535" i="31"/>
  <c r="V83" i="31"/>
  <c r="U83" i="31"/>
  <c r="V198" i="31"/>
  <c r="U198" i="31"/>
  <c r="U231" i="31"/>
  <c r="V231" i="31"/>
  <c r="V269" i="31"/>
  <c r="U269" i="31"/>
  <c r="U287" i="31"/>
  <c r="V287" i="31"/>
  <c r="V411" i="31"/>
  <c r="U411" i="31"/>
  <c r="V490" i="31"/>
  <c r="U490" i="31"/>
  <c r="V541" i="31"/>
  <c r="U541" i="31"/>
  <c r="V601" i="31"/>
  <c r="U601" i="31"/>
  <c r="X398" i="32"/>
  <c r="Y398" i="32"/>
  <c r="U103" i="31"/>
  <c r="V103" i="31"/>
  <c r="U147" i="31"/>
  <c r="V147" i="31"/>
  <c r="U320" i="31"/>
  <c r="V320" i="31"/>
  <c r="U323" i="31"/>
  <c r="V323" i="31"/>
  <c r="U391" i="31"/>
  <c r="V391" i="31"/>
  <c r="U435" i="31"/>
  <c r="V435" i="31"/>
  <c r="U517" i="31"/>
  <c r="V517" i="31"/>
  <c r="U571" i="31"/>
  <c r="V571" i="31"/>
  <c r="Y530" i="32"/>
  <c r="X530" i="32"/>
  <c r="Y559" i="32"/>
  <c r="X559" i="32"/>
  <c r="Y155" i="32"/>
  <c r="X155" i="32"/>
  <c r="X302" i="32"/>
  <c r="Y302" i="32"/>
  <c r="X452" i="32"/>
  <c r="Y452" i="32"/>
  <c r="Y428" i="32"/>
  <c r="X428" i="32"/>
  <c r="Y124" i="32"/>
  <c r="X124" i="32"/>
  <c r="X440" i="32"/>
  <c r="Y440" i="32"/>
  <c r="U34" i="31"/>
  <c r="V34" i="31"/>
  <c r="X280" i="32"/>
  <c r="Y280" i="32"/>
  <c r="Y570" i="32"/>
  <c r="X570" i="32"/>
  <c r="Y233" i="32"/>
  <c r="X233" i="32"/>
  <c r="X343" i="32"/>
  <c r="Y343" i="32"/>
  <c r="Y146" i="32"/>
  <c r="X146" i="32"/>
  <c r="Y461" i="32"/>
  <c r="X461" i="32"/>
  <c r="Y103" i="32"/>
  <c r="X103" i="32"/>
  <c r="Y279" i="32"/>
  <c r="X279" i="32"/>
  <c r="Y44" i="32"/>
  <c r="X44" i="32"/>
  <c r="Y111" i="32"/>
  <c r="X111" i="32"/>
  <c r="Y153" i="32"/>
  <c r="X153" i="32"/>
  <c r="Y198" i="32"/>
  <c r="X198" i="32"/>
  <c r="Y218" i="32"/>
  <c r="X218" i="32"/>
  <c r="Y284" i="32"/>
  <c r="X284" i="32"/>
  <c r="Y500" i="32"/>
  <c r="X500" i="32"/>
  <c r="X407" i="32"/>
  <c r="Y407" i="32"/>
  <c r="Y487" i="32"/>
  <c r="X487" i="32"/>
  <c r="X15" i="32"/>
  <c r="Y15" i="32"/>
  <c r="X417" i="32"/>
  <c r="Y417" i="32"/>
  <c r="Y58" i="32"/>
  <c r="X58" i="32"/>
  <c r="X307" i="32"/>
  <c r="Y307" i="32"/>
  <c r="X277" i="32"/>
  <c r="Y277" i="32"/>
  <c r="X369" i="32"/>
  <c r="Y369" i="32"/>
  <c r="Y370" i="32"/>
  <c r="X370" i="32"/>
  <c r="X488" i="32"/>
  <c r="Y488" i="32"/>
  <c r="X544" i="32"/>
  <c r="Y544" i="32"/>
  <c r="Y27" i="32"/>
  <c r="X27" i="32"/>
  <c r="X139" i="32"/>
  <c r="Y139" i="32"/>
  <c r="Y177" i="32"/>
  <c r="X177" i="32"/>
  <c r="X207" i="32"/>
  <c r="Y207" i="32"/>
  <c r="Y183" i="32"/>
  <c r="X183" i="32"/>
  <c r="X404" i="32"/>
  <c r="Y404" i="32"/>
  <c r="Y425" i="32"/>
  <c r="X425" i="32"/>
  <c r="Y534" i="32"/>
  <c r="X534" i="32"/>
  <c r="Y494" i="32"/>
  <c r="X494" i="32"/>
  <c r="Y24" i="32"/>
  <c r="X24" i="32"/>
  <c r="Y266" i="32"/>
  <c r="X266" i="32"/>
  <c r="X88" i="32"/>
  <c r="Y88" i="32"/>
  <c r="Y263" i="32"/>
  <c r="X263" i="32"/>
  <c r="Y274" i="32"/>
  <c r="X274" i="32"/>
  <c r="X328" i="32"/>
  <c r="Y328" i="32"/>
  <c r="Y435" i="32"/>
  <c r="X435" i="32"/>
  <c r="Y596" i="32"/>
  <c r="X596" i="32"/>
  <c r="X569" i="32"/>
  <c r="Y569" i="32"/>
  <c r="Y31" i="32"/>
  <c r="X31" i="32"/>
  <c r="Y102" i="32"/>
  <c r="X102" i="32"/>
  <c r="Y152" i="32"/>
  <c r="X152" i="32"/>
  <c r="X376" i="32"/>
  <c r="Y376" i="32"/>
  <c r="X224" i="32"/>
  <c r="Y224" i="32"/>
  <c r="Y421" i="32"/>
  <c r="X421" i="32"/>
  <c r="Y372" i="32"/>
  <c r="X372" i="32"/>
  <c r="Y549" i="32"/>
  <c r="X549" i="32"/>
  <c r="X498" i="32"/>
  <c r="Y498" i="32"/>
  <c r="Y33" i="32"/>
  <c r="X33" i="32"/>
  <c r="X123" i="32"/>
  <c r="Y123" i="32"/>
  <c r="Y164" i="32"/>
  <c r="X164" i="32"/>
  <c r="Y209" i="32"/>
  <c r="X209" i="32"/>
  <c r="X226" i="32"/>
  <c r="Y226" i="32"/>
  <c r="X423" i="32"/>
  <c r="Y423" i="32"/>
  <c r="Y382" i="32"/>
  <c r="X382" i="32"/>
  <c r="Y554" i="32"/>
  <c r="X554" i="32"/>
  <c r="Y532" i="32"/>
  <c r="X532" i="32"/>
  <c r="X572" i="32"/>
  <c r="Y572" i="32"/>
  <c r="X453" i="32"/>
  <c r="Y453" i="32"/>
  <c r="X568" i="32"/>
  <c r="Y568" i="32"/>
  <c r="Y537" i="32"/>
  <c r="X537" i="32"/>
  <c r="X622" i="31"/>
  <c r="Y622" i="31"/>
  <c r="Y38" i="31"/>
  <c r="X38" i="31"/>
  <c r="X268" i="31"/>
  <c r="Y268" i="31"/>
  <c r="Y132" i="31"/>
  <c r="X132" i="31"/>
  <c r="Y583" i="31"/>
  <c r="X583" i="31"/>
  <c r="Y570" i="31"/>
  <c r="X570" i="31"/>
  <c r="X412" i="31"/>
  <c r="Y412" i="31"/>
  <c r="Y42" i="31"/>
  <c r="X42" i="31"/>
  <c r="Y487" i="31"/>
  <c r="X487" i="31"/>
  <c r="X262" i="31"/>
  <c r="Y262" i="31"/>
  <c r="X441" i="31"/>
  <c r="Y441" i="31"/>
  <c r="X483" i="31"/>
  <c r="Y483" i="31"/>
  <c r="Y106" i="31"/>
  <c r="X106" i="31"/>
  <c r="Y555" i="31"/>
  <c r="X555" i="31"/>
  <c r="Y235" i="31"/>
  <c r="X235" i="31"/>
  <c r="X424" i="31"/>
  <c r="Y424" i="31"/>
  <c r="Y582" i="31"/>
  <c r="X582" i="31"/>
  <c r="Y50" i="31"/>
  <c r="X50" i="31"/>
  <c r="X255" i="31"/>
  <c r="Y255" i="31"/>
  <c r="X410" i="31"/>
  <c r="Y410" i="31"/>
  <c r="Y609" i="31"/>
  <c r="X609" i="31"/>
  <c r="Y188" i="31"/>
  <c r="X188" i="31"/>
  <c r="Y290" i="31"/>
  <c r="X290" i="31"/>
  <c r="Y478" i="31"/>
  <c r="X478" i="31"/>
  <c r="Y22" i="31"/>
  <c r="X22" i="31"/>
  <c r="X97" i="31"/>
  <c r="Y97" i="31"/>
  <c r="X288" i="31"/>
  <c r="Y288" i="31"/>
  <c r="X473" i="31"/>
  <c r="Y473" i="31"/>
  <c r="Y612" i="31"/>
  <c r="X612" i="31"/>
  <c r="X163" i="31"/>
  <c r="Y163" i="31"/>
  <c r="X320" i="31"/>
  <c r="Y320" i="31"/>
  <c r="Y490" i="31"/>
  <c r="X490" i="31"/>
  <c r="Y16" i="31"/>
  <c r="X16" i="31"/>
  <c r="Y149" i="31"/>
  <c r="X149" i="31"/>
  <c r="Y271" i="31"/>
  <c r="X271" i="31"/>
  <c r="Y314" i="31"/>
  <c r="X314" i="31"/>
  <c r="X411" i="31"/>
  <c r="Y411" i="31"/>
  <c r="Y494" i="31"/>
  <c r="X494" i="31"/>
  <c r="Y595" i="31"/>
  <c r="X595" i="31"/>
  <c r="Y138" i="31"/>
  <c r="X138" i="31"/>
  <c r="X169" i="31"/>
  <c r="Y169" i="31"/>
  <c r="X274" i="31"/>
  <c r="Y274" i="31"/>
  <c r="Y374" i="31"/>
  <c r="X374" i="31"/>
  <c r="X434" i="31"/>
  <c r="Y434" i="31"/>
  <c r="X532" i="31"/>
  <c r="Y532" i="31"/>
  <c r="Y40" i="31"/>
  <c r="X40" i="31"/>
  <c r="Y126" i="31"/>
  <c r="X126" i="31"/>
  <c r="Y217" i="31"/>
  <c r="X217" i="31"/>
  <c r="X387" i="31"/>
  <c r="Y387" i="31"/>
  <c r="X393" i="31"/>
  <c r="Y393" i="31"/>
  <c r="X500" i="31"/>
  <c r="Y500" i="31"/>
  <c r="X575" i="31"/>
  <c r="Y575" i="31"/>
  <c r="Y136" i="31"/>
  <c r="X136" i="31"/>
  <c r="Y243" i="31"/>
  <c r="X243" i="31"/>
  <c r="Y264" i="31"/>
  <c r="X264" i="31"/>
  <c r="Y324" i="31"/>
  <c r="X324" i="31"/>
  <c r="Y438" i="31"/>
  <c r="X438" i="31"/>
  <c r="Y525" i="31"/>
  <c r="X525" i="31"/>
  <c r="X601" i="31"/>
  <c r="Y601" i="31"/>
  <c r="Y151" i="31"/>
  <c r="X151" i="31"/>
  <c r="Y199" i="31"/>
  <c r="X199" i="31"/>
  <c r="Y287" i="31"/>
  <c r="X287" i="31"/>
  <c r="Y335" i="31"/>
  <c r="X335" i="31"/>
  <c r="Y371" i="31"/>
  <c r="X371" i="31"/>
  <c r="Y439" i="31"/>
  <c r="X439" i="31"/>
  <c r="Y506" i="31"/>
  <c r="X506" i="31"/>
  <c r="Y565" i="31"/>
  <c r="X565" i="31"/>
  <c r="Y79" i="31"/>
  <c r="X79" i="31"/>
  <c r="Y102" i="31"/>
  <c r="X102" i="31"/>
  <c r="Y154" i="31"/>
  <c r="X154" i="31"/>
  <c r="Y325" i="31"/>
  <c r="X325" i="31"/>
  <c r="Y306" i="31"/>
  <c r="X306" i="31"/>
  <c r="Y414" i="31"/>
  <c r="X414" i="31"/>
  <c r="Y513" i="31"/>
  <c r="X513" i="31"/>
  <c r="Y526" i="31"/>
  <c r="X526" i="31"/>
  <c r="Y593" i="31"/>
  <c r="X593" i="31"/>
  <c r="AA247" i="32"/>
  <c r="AB247" i="32"/>
  <c r="AB112" i="32"/>
  <c r="AA112" i="32"/>
  <c r="AA66" i="32"/>
  <c r="AB66" i="32"/>
  <c r="AB462" i="32"/>
  <c r="AA462" i="32"/>
  <c r="AB405" i="32"/>
  <c r="AA405" i="32"/>
  <c r="AA40" i="32"/>
  <c r="AB40" i="32"/>
  <c r="AA323" i="32"/>
  <c r="AB323" i="32"/>
  <c r="AB483" i="32"/>
  <c r="AA483" i="32"/>
  <c r="AB259" i="32"/>
  <c r="AA259" i="32"/>
  <c r="AB348" i="32"/>
  <c r="AA348" i="32"/>
  <c r="AA145" i="32"/>
  <c r="AB145" i="32"/>
  <c r="AB431" i="32"/>
  <c r="AA431" i="32"/>
  <c r="AB569" i="32"/>
  <c r="AA569" i="32"/>
  <c r="AA171" i="32"/>
  <c r="AB171" i="32"/>
  <c r="AA610" i="32"/>
  <c r="AB610" i="32"/>
  <c r="AB142" i="32"/>
  <c r="AA142" i="32"/>
  <c r="AB351" i="32"/>
  <c r="AA351" i="32"/>
  <c r="AA73" i="32"/>
  <c r="AB73" i="32"/>
  <c r="AA292" i="32"/>
  <c r="AB292" i="32"/>
  <c r="AA593" i="32"/>
  <c r="AB593" i="32"/>
  <c r="AB93" i="32"/>
  <c r="AA93" i="32"/>
  <c r="AA182" i="32"/>
  <c r="AB182" i="32"/>
  <c r="AA180" i="32"/>
  <c r="AB180" i="32"/>
  <c r="AB250" i="32"/>
  <c r="AA250" i="32"/>
  <c r="AB308" i="32"/>
  <c r="AA308" i="32"/>
  <c r="AA378" i="32"/>
  <c r="AB378" i="32"/>
  <c r="AB388" i="32"/>
  <c r="AA388" i="32"/>
  <c r="AB566" i="32"/>
  <c r="AA566" i="32"/>
  <c r="AB595" i="32"/>
  <c r="AA595" i="32"/>
  <c r="AB113" i="32"/>
  <c r="AA113" i="32"/>
  <c r="AB151" i="32"/>
  <c r="AA151" i="32"/>
  <c r="AB146" i="32"/>
  <c r="AA146" i="32"/>
  <c r="AA225" i="32"/>
  <c r="AB225" i="32"/>
  <c r="AB282" i="32"/>
  <c r="AA282" i="32"/>
  <c r="AB404" i="32"/>
  <c r="AA404" i="32"/>
  <c r="AB333" i="32"/>
  <c r="AA333" i="32"/>
  <c r="AB534" i="32"/>
  <c r="AA534" i="32"/>
  <c r="AB574" i="32"/>
  <c r="AA574" i="32"/>
  <c r="AB13" i="32"/>
  <c r="AA13" i="32"/>
  <c r="AB129" i="32"/>
  <c r="AA129" i="32"/>
  <c r="AA138" i="32"/>
  <c r="AB138" i="32"/>
  <c r="AB412" i="32"/>
  <c r="AA412" i="32"/>
  <c r="AA202" i="32"/>
  <c r="AB202" i="32"/>
  <c r="AB417" i="32"/>
  <c r="AA417" i="32"/>
  <c r="AA373" i="32"/>
  <c r="AB373" i="32"/>
  <c r="AA484" i="32"/>
  <c r="AB484" i="32"/>
  <c r="AB538" i="32"/>
  <c r="AA538" i="32"/>
  <c r="AB553" i="32"/>
  <c r="AA553" i="32"/>
  <c r="AB33" i="32"/>
  <c r="AA33" i="32"/>
  <c r="AB83" i="32"/>
  <c r="AA83" i="32"/>
  <c r="AB71" i="32"/>
  <c r="AA71" i="32"/>
  <c r="AB311" i="32"/>
  <c r="AA311" i="32"/>
  <c r="AA192" i="32"/>
  <c r="AB192" i="32"/>
  <c r="AB381" i="32"/>
  <c r="AA381" i="32"/>
  <c r="AB386" i="32"/>
  <c r="AA386" i="32"/>
  <c r="AA594" i="32"/>
  <c r="AB594" i="32"/>
  <c r="AB512" i="32"/>
  <c r="AA512" i="32"/>
  <c r="AB59" i="32"/>
  <c r="AA59" i="32"/>
  <c r="AA137" i="32"/>
  <c r="AB137" i="32"/>
  <c r="AA144" i="32"/>
  <c r="AB144" i="32"/>
  <c r="AA212" i="32"/>
  <c r="AB212" i="32"/>
  <c r="AB209" i="32"/>
  <c r="AA209" i="32"/>
  <c r="AB424" i="32"/>
  <c r="AA424" i="32"/>
  <c r="AA398" i="32"/>
  <c r="AB398" i="32"/>
  <c r="AB520" i="32"/>
  <c r="AA520" i="32"/>
  <c r="AB554" i="32"/>
  <c r="AA554" i="32"/>
  <c r="AB565" i="32"/>
  <c r="AA565" i="32"/>
  <c r="AA21" i="32"/>
  <c r="AB21" i="32"/>
  <c r="AA94" i="32"/>
  <c r="AB94" i="32"/>
  <c r="AA91" i="32"/>
  <c r="AB91" i="32"/>
  <c r="AA498" i="32"/>
  <c r="AB498" i="32"/>
  <c r="AA215" i="32"/>
  <c r="AB215" i="32"/>
  <c r="AA421" i="32"/>
  <c r="AB421" i="32"/>
  <c r="AA415" i="32"/>
  <c r="AB415" i="32"/>
  <c r="AB606" i="32"/>
  <c r="AA606" i="32"/>
  <c r="AA516" i="32"/>
  <c r="AB516" i="32"/>
  <c r="V82" i="31"/>
  <c r="U82" i="31"/>
  <c r="U423" i="31"/>
  <c r="V423" i="31"/>
  <c r="U605" i="31"/>
  <c r="V605" i="31"/>
  <c r="V55" i="31"/>
  <c r="U55" i="31"/>
  <c r="V286" i="31"/>
  <c r="U286" i="31"/>
  <c r="U380" i="31"/>
  <c r="V380" i="31"/>
  <c r="U568" i="31"/>
  <c r="V568" i="31"/>
  <c r="V602" i="31"/>
  <c r="U602" i="31"/>
  <c r="V547" i="31"/>
  <c r="U547" i="31"/>
  <c r="U78" i="31"/>
  <c r="V78" i="31"/>
  <c r="V133" i="31"/>
  <c r="U133" i="31"/>
  <c r="V516" i="31"/>
  <c r="U516" i="31"/>
  <c r="U326" i="31"/>
  <c r="V326" i="31"/>
  <c r="Y67" i="32"/>
  <c r="X67" i="32"/>
  <c r="X595" i="32"/>
  <c r="Y595" i="32"/>
  <c r="X546" i="32"/>
  <c r="Y546" i="32"/>
  <c r="Y195" i="32"/>
  <c r="X195" i="32"/>
  <c r="Y548" i="32"/>
  <c r="X548" i="32"/>
  <c r="Y378" i="32"/>
  <c r="X378" i="32"/>
  <c r="X73" i="32"/>
  <c r="Y73" i="32"/>
  <c r="Y573" i="32"/>
  <c r="X573" i="32"/>
  <c r="Y321" i="32"/>
  <c r="X321" i="32"/>
  <c r="X575" i="32"/>
  <c r="Y575" i="32"/>
  <c r="X20" i="32"/>
  <c r="Y20" i="32"/>
  <c r="Y261" i="32"/>
  <c r="X261" i="32"/>
  <c r="X506" i="32"/>
  <c r="Y506" i="32"/>
  <c r="Y35" i="31"/>
  <c r="X35" i="31"/>
  <c r="Y142" i="31"/>
  <c r="X142" i="31"/>
  <c r="Y342" i="31"/>
  <c r="X342" i="31"/>
  <c r="X141" i="31"/>
  <c r="Y141" i="31"/>
  <c r="X403" i="31"/>
  <c r="Y403" i="31"/>
  <c r="X298" i="31"/>
  <c r="Y298" i="31"/>
  <c r="Y546" i="31"/>
  <c r="X546" i="31"/>
  <c r="X449" i="31"/>
  <c r="Y449" i="31"/>
  <c r="X343" i="31"/>
  <c r="Y343" i="31"/>
  <c r="Y190" i="31"/>
  <c r="X190" i="31"/>
  <c r="X599" i="31"/>
  <c r="Y599" i="31"/>
  <c r="X477" i="31"/>
  <c r="Y477" i="31"/>
  <c r="Y186" i="31"/>
  <c r="X186" i="31"/>
  <c r="Y504" i="31"/>
  <c r="X504" i="31"/>
  <c r="Y334" i="31"/>
  <c r="X334" i="31"/>
  <c r="U149" i="31"/>
  <c r="V149" i="31"/>
  <c r="V256" i="31"/>
  <c r="U256" i="31"/>
  <c r="U240" i="31"/>
  <c r="V240" i="31"/>
  <c r="V266" i="31"/>
  <c r="U266" i="31"/>
  <c r="U349" i="31"/>
  <c r="V349" i="31"/>
  <c r="U16" i="31"/>
  <c r="V16" i="31"/>
  <c r="V151" i="31"/>
  <c r="U151" i="31"/>
  <c r="V124" i="31"/>
  <c r="U124" i="31"/>
  <c r="V467" i="31"/>
  <c r="U467" i="31"/>
  <c r="U386" i="31"/>
  <c r="V386" i="31"/>
  <c r="U564" i="31"/>
  <c r="V564" i="31"/>
  <c r="V191" i="31"/>
  <c r="U191" i="31"/>
  <c r="V588" i="31"/>
  <c r="U588" i="31"/>
  <c r="U458" i="31"/>
  <c r="V458" i="31"/>
  <c r="V66" i="31"/>
  <c r="U66" i="31"/>
  <c r="V420" i="31"/>
  <c r="U420" i="31"/>
  <c r="X232" i="32"/>
  <c r="Y232" i="32"/>
  <c r="Y292" i="32"/>
  <c r="X292" i="32"/>
  <c r="X368" i="32"/>
  <c r="Y368" i="32"/>
  <c r="X447" i="32"/>
  <c r="Y447" i="32"/>
  <c r="Y348" i="32"/>
  <c r="X348" i="32"/>
  <c r="B629" i="31"/>
  <c r="B627" i="31"/>
  <c r="C7" i="31"/>
  <c r="Z625" i="31" s="1"/>
  <c r="V31" i="31"/>
  <c r="U31" i="31"/>
  <c r="U511" i="31"/>
  <c r="V511" i="31"/>
  <c r="V93" i="31"/>
  <c r="U93" i="31"/>
  <c r="U370" i="31"/>
  <c r="V370" i="31"/>
  <c r="U84" i="31"/>
  <c r="V84" i="31"/>
  <c r="U265" i="31"/>
  <c r="V265" i="31"/>
  <c r="V583" i="31"/>
  <c r="U583" i="31"/>
  <c r="V363" i="31"/>
  <c r="U363" i="31"/>
  <c r="V331" i="31"/>
  <c r="U331" i="31"/>
  <c r="V389" i="31"/>
  <c r="U389" i="31"/>
  <c r="V239" i="31"/>
  <c r="U239" i="31"/>
  <c r="V179" i="31"/>
  <c r="U179" i="31"/>
  <c r="V526" i="31"/>
  <c r="U526" i="31"/>
  <c r="V176" i="31"/>
  <c r="U176" i="31"/>
  <c r="U537" i="31"/>
  <c r="V537" i="31"/>
  <c r="Y163" i="32"/>
  <c r="X163" i="32"/>
  <c r="Y149" i="32"/>
  <c r="X149" i="32"/>
  <c r="Y57" i="32"/>
  <c r="X57" i="32"/>
  <c r="X176" i="32"/>
  <c r="Y176" i="32"/>
  <c r="X394" i="32"/>
  <c r="Y394" i="32"/>
  <c r="Y77" i="32"/>
  <c r="X77" i="32"/>
  <c r="Y582" i="32"/>
  <c r="X582" i="32"/>
  <c r="X320" i="32"/>
  <c r="Y320" i="32"/>
  <c r="X563" i="32"/>
  <c r="Y563" i="32"/>
  <c r="Y296" i="32"/>
  <c r="X296" i="32"/>
  <c r="Y32" i="32"/>
  <c r="X32" i="32"/>
  <c r="Y473" i="32"/>
  <c r="X473" i="32"/>
  <c r="Y105" i="32"/>
  <c r="X105" i="32"/>
  <c r="X386" i="32"/>
  <c r="Y386" i="32"/>
  <c r="Y407" i="31"/>
  <c r="X407" i="31"/>
  <c r="V234" i="31"/>
  <c r="U234" i="31"/>
  <c r="V254" i="31"/>
  <c r="U254" i="31"/>
  <c r="V524" i="31"/>
  <c r="U524" i="31"/>
  <c r="V416" i="31"/>
  <c r="U416" i="31"/>
  <c r="V299" i="31"/>
  <c r="U299" i="31"/>
  <c r="V521" i="31"/>
  <c r="U521" i="31"/>
  <c r="U404" i="31"/>
  <c r="V404" i="31"/>
  <c r="V100" i="31"/>
  <c r="U100" i="31"/>
  <c r="V566" i="31"/>
  <c r="U566" i="31"/>
  <c r="V70" i="31"/>
  <c r="U70" i="31"/>
  <c r="V553" i="31"/>
  <c r="U553" i="31"/>
  <c r="V63" i="31"/>
  <c r="U63" i="31"/>
  <c r="U318" i="31"/>
  <c r="V318" i="31"/>
  <c r="V183" i="31"/>
  <c r="U183" i="31"/>
  <c r="V17" i="31"/>
  <c r="U17" i="31"/>
  <c r="V410" i="31"/>
  <c r="U410" i="31"/>
  <c r="U247" i="31"/>
  <c r="V247" i="31"/>
  <c r="V126" i="31"/>
  <c r="U126" i="31"/>
  <c r="V350" i="31"/>
  <c r="U350" i="31"/>
  <c r="V313" i="31"/>
  <c r="U313" i="31"/>
  <c r="V46" i="31"/>
  <c r="U46" i="31"/>
  <c r="U580" i="31"/>
  <c r="V580" i="31"/>
  <c r="V282" i="31"/>
  <c r="U282" i="31"/>
  <c r="V62" i="31"/>
  <c r="U62" i="31"/>
  <c r="U459" i="31"/>
  <c r="V459" i="31"/>
  <c r="V163" i="31"/>
  <c r="U163" i="31"/>
  <c r="U375" i="31"/>
  <c r="V375" i="31"/>
  <c r="U582" i="31"/>
  <c r="V582" i="31"/>
  <c r="V37" i="31"/>
  <c r="U37" i="31"/>
  <c r="V187" i="31"/>
  <c r="U187" i="31"/>
  <c r="U354" i="31"/>
  <c r="V354" i="31"/>
  <c r="U589" i="31"/>
  <c r="V589" i="31"/>
  <c r="U109" i="31"/>
  <c r="V109" i="31"/>
  <c r="V261" i="31"/>
  <c r="U261" i="31"/>
  <c r="V455" i="31"/>
  <c r="U455" i="31"/>
  <c r="U40" i="31"/>
  <c r="V40" i="31"/>
  <c r="U238" i="31"/>
  <c r="V238" i="31"/>
  <c r="U387" i="31"/>
  <c r="V387" i="31"/>
  <c r="V73" i="31"/>
  <c r="U73" i="31"/>
  <c r="V178" i="31"/>
  <c r="U178" i="31"/>
  <c r="U352" i="31"/>
  <c r="V352" i="31"/>
  <c r="V560" i="31"/>
  <c r="U560" i="31"/>
  <c r="U87" i="31"/>
  <c r="V87" i="31"/>
  <c r="V157" i="31"/>
  <c r="U157" i="31"/>
  <c r="V263" i="31"/>
  <c r="U263" i="31"/>
  <c r="U358" i="31"/>
  <c r="V358" i="31"/>
  <c r="V498" i="31"/>
  <c r="U498" i="31"/>
  <c r="V545" i="31"/>
  <c r="U545" i="31"/>
  <c r="V52" i="31"/>
  <c r="U52" i="31"/>
  <c r="V159" i="31"/>
  <c r="U159" i="31"/>
  <c r="V214" i="31"/>
  <c r="U214" i="31"/>
  <c r="V340" i="31"/>
  <c r="U340" i="31"/>
  <c r="U412" i="31"/>
  <c r="V412" i="31"/>
  <c r="V479" i="31"/>
  <c r="U479" i="31"/>
  <c r="V574" i="31"/>
  <c r="U574" i="31"/>
  <c r="V132" i="31"/>
  <c r="U132" i="31"/>
  <c r="V155" i="31"/>
  <c r="U155" i="31"/>
  <c r="U276" i="31"/>
  <c r="V276" i="31"/>
  <c r="V369" i="31"/>
  <c r="U369" i="31"/>
  <c r="V443" i="31"/>
  <c r="U443" i="31"/>
  <c r="U530" i="31"/>
  <c r="V530" i="31"/>
  <c r="V611" i="31"/>
  <c r="U611" i="31"/>
  <c r="U478" i="31"/>
  <c r="V478" i="31"/>
  <c r="V544" i="31"/>
  <c r="U544" i="31"/>
  <c r="V51" i="31"/>
  <c r="U51" i="31"/>
  <c r="V127" i="31"/>
  <c r="U127" i="31"/>
  <c r="U205" i="31"/>
  <c r="V205" i="31"/>
  <c r="V328" i="31"/>
  <c r="U328" i="31"/>
  <c r="V392" i="31"/>
  <c r="U392" i="31"/>
  <c r="U470" i="31"/>
  <c r="V470" i="31"/>
  <c r="U549" i="31"/>
  <c r="V549" i="31"/>
  <c r="V150" i="31"/>
  <c r="U150" i="31"/>
  <c r="V199" i="31"/>
  <c r="U199" i="31"/>
  <c r="V218" i="31"/>
  <c r="U218" i="31"/>
  <c r="V270" i="31"/>
  <c r="U270" i="31"/>
  <c r="V348" i="31"/>
  <c r="U348" i="31"/>
  <c r="V413" i="31"/>
  <c r="U413" i="31"/>
  <c r="U472" i="31"/>
  <c r="V472" i="31"/>
  <c r="V554" i="31"/>
  <c r="U554" i="31"/>
  <c r="V597" i="31"/>
  <c r="U597" i="31"/>
  <c r="X104" i="32"/>
  <c r="Y104" i="32"/>
  <c r="U96" i="31"/>
  <c r="V96" i="31"/>
  <c r="U207" i="31"/>
  <c r="V207" i="31"/>
  <c r="U258" i="31"/>
  <c r="V258" i="31"/>
  <c r="V324" i="31"/>
  <c r="U324" i="31"/>
  <c r="U401" i="31"/>
  <c r="V401" i="31"/>
  <c r="V483" i="31"/>
  <c r="U483" i="31"/>
  <c r="V519" i="31"/>
  <c r="U519" i="31"/>
  <c r="V573" i="31"/>
  <c r="U573" i="31"/>
  <c r="X298" i="32"/>
  <c r="Y298" i="32"/>
  <c r="X550" i="32"/>
  <c r="Y550" i="32"/>
  <c r="Y43" i="32"/>
  <c r="X43" i="32"/>
  <c r="Y335" i="32"/>
  <c r="X335" i="32"/>
  <c r="Y391" i="32"/>
  <c r="X391" i="32"/>
  <c r="Y341" i="32"/>
  <c r="X341" i="32"/>
  <c r="Y336" i="32"/>
  <c r="X336" i="32"/>
  <c r="Y511" i="32"/>
  <c r="X511" i="32"/>
  <c r="Y59" i="32"/>
  <c r="X59" i="32"/>
  <c r="Y414" i="32"/>
  <c r="X414" i="32"/>
  <c r="X597" i="32"/>
  <c r="Y597" i="32"/>
  <c r="Y230" i="32"/>
  <c r="X230" i="32"/>
  <c r="X564" i="32"/>
  <c r="Y564" i="32"/>
  <c r="Y106" i="32"/>
  <c r="X106" i="32"/>
  <c r="X465" i="32"/>
  <c r="Y465" i="32"/>
  <c r="X61" i="32"/>
  <c r="Y61" i="32"/>
  <c r="X363" i="32"/>
  <c r="Y363" i="32"/>
  <c r="X13" i="32"/>
  <c r="Y13" i="32"/>
  <c r="Y186" i="32"/>
  <c r="X186" i="32"/>
  <c r="X236" i="32"/>
  <c r="Y236" i="32"/>
  <c r="Y305" i="32"/>
  <c r="X305" i="32"/>
  <c r="Y272" i="32"/>
  <c r="X272" i="32"/>
  <c r="Y354" i="32"/>
  <c r="X354" i="32"/>
  <c r="Y362" i="32"/>
  <c r="X362" i="32"/>
  <c r="Y478" i="32"/>
  <c r="X478" i="32"/>
  <c r="X535" i="32"/>
  <c r="Y535" i="32"/>
  <c r="Y142" i="32"/>
  <c r="X142" i="32"/>
  <c r="Y133" i="32"/>
  <c r="X133" i="32"/>
  <c r="X170" i="32"/>
  <c r="Y170" i="32"/>
  <c r="X200" i="32"/>
  <c r="Y200" i="32"/>
  <c r="Y181" i="32"/>
  <c r="X181" i="32"/>
  <c r="Y399" i="32"/>
  <c r="X399" i="32"/>
  <c r="Y418" i="32"/>
  <c r="X418" i="32"/>
  <c r="Y519" i="32"/>
  <c r="X519" i="32"/>
  <c r="X489" i="32"/>
  <c r="Y489" i="32"/>
  <c r="X19" i="32"/>
  <c r="Y19" i="32"/>
  <c r="Y219" i="32"/>
  <c r="X219" i="32"/>
  <c r="Y71" i="32"/>
  <c r="X71" i="32"/>
  <c r="Y255" i="32"/>
  <c r="X255" i="32"/>
  <c r="X267" i="32"/>
  <c r="Y267" i="32"/>
  <c r="X323" i="32"/>
  <c r="Y323" i="32"/>
  <c r="Y432" i="32"/>
  <c r="X432" i="32"/>
  <c r="X592" i="32"/>
  <c r="Y592" i="32"/>
  <c r="Y567" i="32"/>
  <c r="X567" i="32"/>
  <c r="X29" i="32"/>
  <c r="Y29" i="32"/>
  <c r="Y99" i="32"/>
  <c r="X99" i="32"/>
  <c r="X140" i="32"/>
  <c r="Y140" i="32"/>
  <c r="X371" i="32"/>
  <c r="Y371" i="32"/>
  <c r="Y215" i="32"/>
  <c r="X215" i="32"/>
  <c r="X411" i="32"/>
  <c r="Y411" i="32"/>
  <c r="Y367" i="32"/>
  <c r="X367" i="32"/>
  <c r="X531" i="32"/>
  <c r="Y531" i="32"/>
  <c r="Y496" i="32"/>
  <c r="X496" i="32"/>
  <c r="X92" i="32"/>
  <c r="Y92" i="32"/>
  <c r="Y390" i="32"/>
  <c r="X390" i="32"/>
  <c r="Y95" i="32"/>
  <c r="X95" i="32"/>
  <c r="X260" i="32"/>
  <c r="Y260" i="32"/>
  <c r="X287" i="32"/>
  <c r="Y287" i="32"/>
  <c r="Y606" i="32"/>
  <c r="X606" i="32"/>
  <c r="X427" i="32"/>
  <c r="Y427" i="32"/>
  <c r="Y497" i="32"/>
  <c r="X497" i="32"/>
  <c r="X588" i="32"/>
  <c r="Y588" i="32"/>
  <c r="Y160" i="32"/>
  <c r="X160" i="32"/>
  <c r="Y455" i="32"/>
  <c r="X455" i="32"/>
  <c r="X122" i="32"/>
  <c r="Y122" i="32"/>
  <c r="Y265" i="32"/>
  <c r="X265" i="32"/>
  <c r="Y290" i="32"/>
  <c r="X290" i="32"/>
  <c r="Y342" i="32"/>
  <c r="X342" i="32"/>
  <c r="X429" i="32"/>
  <c r="Y429" i="32"/>
  <c r="Y540" i="32"/>
  <c r="X540" i="32"/>
  <c r="X590" i="32"/>
  <c r="Y590" i="32"/>
  <c r="X485" i="32"/>
  <c r="Y485" i="32"/>
  <c r="Y539" i="32"/>
  <c r="X539" i="32"/>
  <c r="X538" i="32"/>
  <c r="Y538" i="32"/>
  <c r="Y599" i="32"/>
  <c r="X599" i="32"/>
  <c r="X60" i="31"/>
  <c r="Y60" i="31"/>
  <c r="Y399" i="31"/>
  <c r="X399" i="31"/>
  <c r="X168" i="31"/>
  <c r="Y168" i="31"/>
  <c r="X114" i="31"/>
  <c r="Y114" i="31"/>
  <c r="Y52" i="31"/>
  <c r="X52" i="31"/>
  <c r="Y468" i="31"/>
  <c r="X468" i="31"/>
  <c r="Y18" i="31"/>
  <c r="X18" i="31"/>
  <c r="Y505" i="31"/>
  <c r="X505" i="31"/>
  <c r="Y328" i="31"/>
  <c r="X328" i="31"/>
  <c r="Y137" i="31"/>
  <c r="X137" i="31"/>
  <c r="Y554" i="31"/>
  <c r="X554" i="31"/>
  <c r="Y181" i="31"/>
  <c r="X181" i="31"/>
  <c r="X120" i="31"/>
  <c r="Y120" i="31"/>
  <c r="Y256" i="31"/>
  <c r="X256" i="31"/>
  <c r="Y464" i="31"/>
  <c r="X464" i="31"/>
  <c r="Y606" i="31"/>
  <c r="X606" i="31"/>
  <c r="X144" i="31"/>
  <c r="Y144" i="31"/>
  <c r="Y280" i="31"/>
  <c r="X280" i="31"/>
  <c r="X446" i="31"/>
  <c r="Y446" i="31"/>
  <c r="Y602" i="31"/>
  <c r="X602" i="31"/>
  <c r="Y175" i="31"/>
  <c r="X175" i="31"/>
  <c r="Y340" i="31"/>
  <c r="X340" i="31"/>
  <c r="Y510" i="31"/>
  <c r="X510" i="31"/>
  <c r="X61" i="31"/>
  <c r="Y61" i="31"/>
  <c r="Y131" i="31"/>
  <c r="X131" i="31"/>
  <c r="X275" i="31"/>
  <c r="Y275" i="31"/>
  <c r="X465" i="31"/>
  <c r="Y465" i="31"/>
  <c r="Y62" i="31"/>
  <c r="X62" i="31"/>
  <c r="Y205" i="31"/>
  <c r="X205" i="31"/>
  <c r="Y307" i="31"/>
  <c r="X307" i="31"/>
  <c r="X529" i="31"/>
  <c r="Y529" i="31"/>
  <c r="Y88" i="31"/>
  <c r="X88" i="31"/>
  <c r="Y174" i="31"/>
  <c r="X174" i="31"/>
  <c r="X279" i="31"/>
  <c r="Y279" i="31"/>
  <c r="X339" i="31"/>
  <c r="Y339" i="31"/>
  <c r="Y436" i="31"/>
  <c r="X436" i="31"/>
  <c r="X527" i="31"/>
  <c r="Y527" i="31"/>
  <c r="Y604" i="31"/>
  <c r="X604" i="31"/>
  <c r="X84" i="31"/>
  <c r="Y84" i="31"/>
  <c r="Y170" i="31"/>
  <c r="X170" i="31"/>
  <c r="Y302" i="31"/>
  <c r="X302" i="31"/>
  <c r="X380" i="31"/>
  <c r="Y380" i="31"/>
  <c r="Y466" i="31"/>
  <c r="X466" i="31"/>
  <c r="Y552" i="31"/>
  <c r="X552" i="31"/>
  <c r="X39" i="31"/>
  <c r="Y39" i="31"/>
  <c r="X148" i="31"/>
  <c r="Y148" i="31"/>
  <c r="Y219" i="31"/>
  <c r="X219" i="31"/>
  <c r="Y321" i="31"/>
  <c r="X321" i="31"/>
  <c r="X416" i="31"/>
  <c r="Y416" i="31"/>
  <c r="Y484" i="31"/>
  <c r="X484" i="31"/>
  <c r="X580" i="31"/>
  <c r="Y580" i="31"/>
  <c r="Y82" i="31"/>
  <c r="X82" i="31"/>
  <c r="Y184" i="31"/>
  <c r="X184" i="31"/>
  <c r="Y281" i="31"/>
  <c r="X281" i="31"/>
  <c r="Y379" i="31"/>
  <c r="X379" i="31"/>
  <c r="Y448" i="31"/>
  <c r="X448" i="31"/>
  <c r="Y520" i="31"/>
  <c r="X520" i="31"/>
  <c r="X33" i="31"/>
  <c r="Y33" i="31"/>
  <c r="Y140" i="31"/>
  <c r="X140" i="31"/>
  <c r="X209" i="31"/>
  <c r="Y209" i="31"/>
  <c r="Y301" i="31"/>
  <c r="X301" i="31"/>
  <c r="Y336" i="31"/>
  <c r="X336" i="31"/>
  <c r="Y398" i="31"/>
  <c r="X398" i="31"/>
  <c r="Y433" i="31"/>
  <c r="X433" i="31"/>
  <c r="Y516" i="31"/>
  <c r="X516" i="31"/>
  <c r="Y578" i="31"/>
  <c r="X578" i="31"/>
  <c r="X127" i="31"/>
  <c r="Y127" i="31"/>
  <c r="X171" i="31"/>
  <c r="Y171" i="31"/>
  <c r="Y212" i="31"/>
  <c r="X212" i="31"/>
  <c r="X310" i="31"/>
  <c r="Y310" i="31"/>
  <c r="Y315" i="31"/>
  <c r="X315" i="31"/>
  <c r="X394" i="31"/>
  <c r="Y394" i="31"/>
  <c r="X452" i="31"/>
  <c r="Y452" i="31"/>
  <c r="X530" i="31"/>
  <c r="Y530" i="31"/>
  <c r="X610" i="31"/>
  <c r="Y610" i="31"/>
  <c r="AA371" i="32"/>
  <c r="AB371" i="32"/>
  <c r="AA519" i="32"/>
  <c r="AB519" i="32"/>
  <c r="AB278" i="32"/>
  <c r="AA278" i="32"/>
  <c r="AA43" i="32"/>
  <c r="AB43" i="32"/>
  <c r="AB427" i="32"/>
  <c r="AA427" i="32"/>
  <c r="AB87" i="32"/>
  <c r="AA87" i="32"/>
  <c r="AB329" i="32"/>
  <c r="AA329" i="32"/>
  <c r="AB487" i="32"/>
  <c r="AA487" i="32"/>
  <c r="AB271" i="32"/>
  <c r="AA271" i="32"/>
  <c r="AB465" i="32"/>
  <c r="AA465" i="32"/>
  <c r="AB99" i="32"/>
  <c r="AA99" i="32"/>
  <c r="AB423" i="32"/>
  <c r="AA423" i="32"/>
  <c r="AB45" i="32"/>
  <c r="AA45" i="32"/>
  <c r="AB227" i="32"/>
  <c r="AA227" i="32"/>
  <c r="AB572" i="32"/>
  <c r="AA572" i="32"/>
  <c r="AA332" i="32"/>
  <c r="AB332" i="32"/>
  <c r="AB474" i="32"/>
  <c r="AA474" i="32"/>
  <c r="AB350" i="32"/>
  <c r="AA350" i="32"/>
  <c r="AB331" i="32"/>
  <c r="AA331" i="32"/>
  <c r="AA48" i="32"/>
  <c r="AB48" i="32"/>
  <c r="AB68" i="32"/>
  <c r="AA68" i="32"/>
  <c r="AB77" i="32"/>
  <c r="AA77" i="32"/>
  <c r="AA203" i="32"/>
  <c r="AB203" i="32"/>
  <c r="AB283" i="32"/>
  <c r="AA283" i="32"/>
  <c r="AB356" i="32"/>
  <c r="AA356" i="32"/>
  <c r="AB411" i="32"/>
  <c r="AA411" i="32"/>
  <c r="AA432" i="32"/>
  <c r="AB432" i="32"/>
  <c r="AB464" i="32"/>
  <c r="AA464" i="32"/>
  <c r="AB475" i="32"/>
  <c r="AA475" i="32"/>
  <c r="AB14" i="32"/>
  <c r="AA14" i="32"/>
  <c r="AB72" i="32"/>
  <c r="AA72" i="32"/>
  <c r="AA301" i="32"/>
  <c r="AB301" i="32"/>
  <c r="AA307" i="32"/>
  <c r="AB307" i="32"/>
  <c r="AA187" i="32"/>
  <c r="AB187" i="32"/>
  <c r="AB363" i="32"/>
  <c r="AA363" i="32"/>
  <c r="AA365" i="32"/>
  <c r="AB365" i="32"/>
  <c r="AB587" i="32"/>
  <c r="AA587" i="32"/>
  <c r="AB508" i="32"/>
  <c r="AA508" i="32"/>
  <c r="AA30" i="32"/>
  <c r="AB30" i="32"/>
  <c r="AA186" i="32"/>
  <c r="AB186" i="32"/>
  <c r="AB179" i="32"/>
  <c r="AA179" i="32"/>
  <c r="AB266" i="32"/>
  <c r="AA266" i="32"/>
  <c r="AA245" i="32"/>
  <c r="AB245" i="32"/>
  <c r="AB460" i="32"/>
  <c r="AA460" i="32"/>
  <c r="AA436" i="32"/>
  <c r="AB436" i="32"/>
  <c r="AA601" i="32"/>
  <c r="AB601" i="32"/>
  <c r="AA589" i="32"/>
  <c r="AB589" i="32"/>
  <c r="AA611" i="32"/>
  <c r="AB611" i="32"/>
  <c r="AA52" i="32"/>
  <c r="AB52" i="32"/>
  <c r="AA123" i="32"/>
  <c r="AB123" i="32"/>
  <c r="AA127" i="32"/>
  <c r="AB127" i="32"/>
  <c r="AB193" i="32"/>
  <c r="AA193" i="32"/>
  <c r="AB254" i="32"/>
  <c r="AA254" i="32"/>
  <c r="AB482" i="32"/>
  <c r="AA482" i="32"/>
  <c r="AA357" i="32"/>
  <c r="AB357" i="32"/>
  <c r="AB531" i="32"/>
  <c r="AA531" i="32"/>
  <c r="AA556" i="32"/>
  <c r="AB556" i="32"/>
  <c r="AB15" i="32"/>
  <c r="AA15" i="32"/>
  <c r="AA208" i="32"/>
  <c r="AB208" i="32"/>
  <c r="AB242" i="32"/>
  <c r="AA242" i="32"/>
  <c r="AA281" i="32"/>
  <c r="AB281" i="32"/>
  <c r="AA265" i="32"/>
  <c r="AB265" i="32"/>
  <c r="AB320" i="32"/>
  <c r="AA320" i="32"/>
  <c r="AA441" i="32"/>
  <c r="AB441" i="32"/>
  <c r="AA486" i="32"/>
  <c r="AB486" i="32"/>
  <c r="AA603" i="32"/>
  <c r="AB603" i="32"/>
  <c r="Y80" i="31"/>
  <c r="X80" i="31"/>
  <c r="AB60" i="32"/>
  <c r="AA60" i="32"/>
  <c r="AB135" i="32"/>
  <c r="AA135" i="32"/>
  <c r="AB152" i="32"/>
  <c r="AA152" i="32"/>
  <c r="AA232" i="32"/>
  <c r="AB232" i="32"/>
  <c r="AB267" i="32"/>
  <c r="AA267" i="32"/>
  <c r="AA342" i="32"/>
  <c r="AB342" i="32"/>
  <c r="AB372" i="32"/>
  <c r="AA372" i="32"/>
  <c r="AA547" i="32"/>
  <c r="AB547" i="32"/>
  <c r="AA584" i="32"/>
  <c r="AB584" i="32"/>
  <c r="V211" i="31"/>
  <c r="U211" i="31"/>
  <c r="V131" i="31"/>
  <c r="U131" i="31"/>
  <c r="V60" i="31"/>
  <c r="U60" i="31"/>
  <c r="U308" i="31"/>
  <c r="V308" i="31"/>
  <c r="U48" i="31"/>
  <c r="V48" i="31"/>
  <c r="U388" i="31"/>
  <c r="V388" i="31"/>
  <c r="U311" i="31"/>
  <c r="V311" i="31"/>
  <c r="V376" i="31"/>
  <c r="U376" i="31"/>
  <c r="V454" i="31"/>
  <c r="U454" i="31"/>
  <c r="U493" i="31"/>
  <c r="V493" i="31"/>
  <c r="U355" i="31"/>
  <c r="V355" i="31"/>
  <c r="V166" i="31"/>
  <c r="U166" i="31"/>
  <c r="U462" i="31"/>
  <c r="V462" i="31"/>
  <c r="U18" i="31"/>
  <c r="V18" i="31"/>
  <c r="Y54" i="32"/>
  <c r="X54" i="32"/>
  <c r="Y527" i="32"/>
  <c r="X527" i="32"/>
  <c r="Y247" i="32"/>
  <c r="X247" i="32"/>
  <c r="Y94" i="32"/>
  <c r="X94" i="32"/>
  <c r="Y479" i="32"/>
  <c r="X479" i="32"/>
  <c r="Y467" i="32"/>
  <c r="X467" i="32"/>
  <c r="X175" i="32"/>
  <c r="Y175" i="32"/>
  <c r="Y21" i="32"/>
  <c r="X21" i="32"/>
  <c r="Y384" i="32"/>
  <c r="X384" i="32"/>
  <c r="Y49" i="31"/>
  <c r="X49" i="31"/>
  <c r="V622" i="31"/>
  <c r="U622" i="31"/>
  <c r="V79" i="31"/>
  <c r="U79" i="31"/>
  <c r="V457" i="31"/>
  <c r="U457" i="31"/>
  <c r="V333" i="31"/>
  <c r="U333" i="31"/>
  <c r="U154" i="31"/>
  <c r="V154" i="31"/>
  <c r="U476" i="31"/>
  <c r="V476" i="31"/>
  <c r="V360" i="31"/>
  <c r="U360" i="31"/>
  <c r="V136" i="31"/>
  <c r="U136" i="31"/>
  <c r="V19" i="31"/>
  <c r="U19" i="31"/>
  <c r="V346" i="31"/>
  <c r="U346" i="31"/>
  <c r="V38" i="31"/>
  <c r="U38" i="31"/>
  <c r="U505" i="31"/>
  <c r="V505" i="31"/>
  <c r="V189" i="31"/>
  <c r="U189" i="31"/>
  <c r="V417" i="31"/>
  <c r="U417" i="31"/>
  <c r="V606" i="31"/>
  <c r="U606" i="31"/>
  <c r="V13" i="31"/>
  <c r="U13" i="31"/>
  <c r="U215" i="31"/>
  <c r="V215" i="31"/>
  <c r="U385" i="31"/>
  <c r="V385" i="31"/>
  <c r="U607" i="31"/>
  <c r="V607" i="31"/>
  <c r="U80" i="31"/>
  <c r="V80" i="31"/>
  <c r="V280" i="31"/>
  <c r="U280" i="31"/>
  <c r="V481" i="31"/>
  <c r="U481" i="31"/>
  <c r="V28" i="31"/>
  <c r="U28" i="31"/>
  <c r="V229" i="31"/>
  <c r="U229" i="31"/>
  <c r="V439" i="31"/>
  <c r="U439" i="31"/>
  <c r="V41" i="31"/>
  <c r="U41" i="31"/>
  <c r="U188" i="31"/>
  <c r="V188" i="31"/>
  <c r="U357" i="31"/>
  <c r="V357" i="31"/>
  <c r="V612" i="31"/>
  <c r="U612" i="31"/>
  <c r="U104" i="31"/>
  <c r="V104" i="31"/>
  <c r="V241" i="31"/>
  <c r="U241" i="31"/>
  <c r="U305" i="31"/>
  <c r="V305" i="31"/>
  <c r="V409" i="31"/>
  <c r="U409" i="31"/>
  <c r="V463" i="31"/>
  <c r="U463" i="31"/>
  <c r="U552" i="31"/>
  <c r="V552" i="31"/>
  <c r="V90" i="31"/>
  <c r="U90" i="31"/>
  <c r="U192" i="31"/>
  <c r="V192" i="31"/>
  <c r="V297" i="31"/>
  <c r="U297" i="31"/>
  <c r="V302" i="31"/>
  <c r="U302" i="31"/>
  <c r="U422" i="31"/>
  <c r="V422" i="31"/>
  <c r="V501" i="31"/>
  <c r="U501" i="31"/>
  <c r="V584" i="31"/>
  <c r="U584" i="31"/>
  <c r="V86" i="31"/>
  <c r="U86" i="31"/>
  <c r="U156" i="31"/>
  <c r="V156" i="31"/>
  <c r="V246" i="31"/>
  <c r="U246" i="31"/>
  <c r="V371" i="31"/>
  <c r="U371" i="31"/>
  <c r="U430" i="31"/>
  <c r="V430" i="31"/>
  <c r="V546" i="31"/>
  <c r="U546" i="31"/>
  <c r="V67" i="31"/>
  <c r="U67" i="31"/>
  <c r="U446" i="31"/>
  <c r="V446" i="31"/>
  <c r="V527" i="31"/>
  <c r="U527" i="31"/>
  <c r="V26" i="31"/>
  <c r="U26" i="31"/>
  <c r="U144" i="31"/>
  <c r="V144" i="31"/>
  <c r="V210" i="31"/>
  <c r="U210" i="31"/>
  <c r="V330" i="31"/>
  <c r="U330" i="31"/>
  <c r="V379" i="31"/>
  <c r="U379" i="31"/>
  <c r="U464" i="31"/>
  <c r="V464" i="31"/>
  <c r="V565" i="31"/>
  <c r="U565" i="31"/>
  <c r="V140" i="31"/>
  <c r="U140" i="31"/>
  <c r="V145" i="31"/>
  <c r="U145" i="31"/>
  <c r="V220" i="31"/>
  <c r="U220" i="31"/>
  <c r="U289" i="31"/>
  <c r="V289" i="31"/>
  <c r="V374" i="31"/>
  <c r="U374" i="31"/>
  <c r="V399" i="31"/>
  <c r="U399" i="31"/>
  <c r="V477" i="31"/>
  <c r="U477" i="31"/>
  <c r="V555" i="31"/>
  <c r="U555" i="31"/>
  <c r="V59" i="31"/>
  <c r="U59" i="31"/>
  <c r="Y470" i="32"/>
  <c r="X470" i="32"/>
  <c r="V89" i="31"/>
  <c r="U89" i="31"/>
  <c r="U196" i="31"/>
  <c r="V196" i="31"/>
  <c r="V312" i="31"/>
  <c r="U312" i="31"/>
  <c r="V325" i="31"/>
  <c r="U325" i="31"/>
  <c r="V395" i="31"/>
  <c r="U395" i="31"/>
  <c r="V460" i="31"/>
  <c r="U460" i="31"/>
  <c r="V513" i="31"/>
  <c r="U513" i="31"/>
  <c r="V590" i="31"/>
  <c r="U590" i="31"/>
  <c r="Y541" i="32"/>
  <c r="X541" i="32"/>
  <c r="X48" i="32"/>
  <c r="Y48" i="32"/>
  <c r="Y240" i="32"/>
  <c r="X240" i="32"/>
  <c r="X388" i="32"/>
  <c r="Y388" i="32"/>
  <c r="Y518" i="32"/>
  <c r="X518" i="32"/>
  <c r="X521" i="32"/>
  <c r="Y521" i="32"/>
  <c r="Y275" i="32"/>
  <c r="X275" i="32"/>
  <c r="X561" i="32"/>
  <c r="Y561" i="32"/>
  <c r="X171" i="32"/>
  <c r="Y171" i="32"/>
  <c r="X308" i="32"/>
  <c r="Y308" i="32"/>
  <c r="V75" i="31"/>
  <c r="U75" i="31"/>
  <c r="Y331" i="32"/>
  <c r="X331" i="32"/>
  <c r="Y501" i="32"/>
  <c r="X501" i="32"/>
  <c r="Y182" i="32"/>
  <c r="X182" i="32"/>
  <c r="X400" i="32"/>
  <c r="Y400" i="32"/>
  <c r="X150" i="32"/>
  <c r="Y150" i="32"/>
  <c r="X474" i="32"/>
  <c r="Y474" i="32"/>
  <c r="X89" i="32"/>
  <c r="Y89" i="32"/>
  <c r="X126" i="32"/>
  <c r="Y126" i="32"/>
  <c r="X162" i="32"/>
  <c r="Y162" i="32"/>
  <c r="X449" i="32"/>
  <c r="Y449" i="32"/>
  <c r="Y179" i="32"/>
  <c r="X179" i="32"/>
  <c r="X381" i="32"/>
  <c r="Y381" i="32"/>
  <c r="X413" i="32"/>
  <c r="Y413" i="32"/>
  <c r="Y517" i="32"/>
  <c r="X517" i="32"/>
  <c r="X607" i="32"/>
  <c r="Y607" i="32"/>
  <c r="Y121" i="32"/>
  <c r="X121" i="32"/>
  <c r="X203" i="32"/>
  <c r="Y203" i="32"/>
  <c r="X68" i="32"/>
  <c r="Y68" i="32"/>
  <c r="Y248" i="32"/>
  <c r="X248" i="32"/>
  <c r="X254" i="32"/>
  <c r="Y254" i="32"/>
  <c r="X319" i="32"/>
  <c r="Y319" i="32"/>
  <c r="X420" i="32"/>
  <c r="Y420" i="32"/>
  <c r="X587" i="32"/>
  <c r="Y587" i="32"/>
  <c r="Y560" i="32"/>
  <c r="X560" i="32"/>
  <c r="X26" i="32"/>
  <c r="Y26" i="32"/>
  <c r="Y98" i="32"/>
  <c r="X98" i="32"/>
  <c r="X127" i="32"/>
  <c r="Y127" i="32"/>
  <c r="Y361" i="32"/>
  <c r="X361" i="32"/>
  <c r="Y208" i="32"/>
  <c r="X208" i="32"/>
  <c r="Y387" i="32"/>
  <c r="X387" i="32"/>
  <c r="X357" i="32"/>
  <c r="Y357" i="32"/>
  <c r="Y526" i="32"/>
  <c r="X526" i="32"/>
  <c r="X482" i="32"/>
  <c r="Y482" i="32"/>
  <c r="X72" i="32"/>
  <c r="Y72" i="32"/>
  <c r="Y196" i="32"/>
  <c r="X196" i="32"/>
  <c r="X93" i="32"/>
  <c r="Y93" i="32"/>
  <c r="X257" i="32"/>
  <c r="Y257" i="32"/>
  <c r="Y269" i="32"/>
  <c r="X269" i="32"/>
  <c r="X476" i="32"/>
  <c r="Y476" i="32"/>
  <c r="X424" i="32"/>
  <c r="Y424" i="32"/>
  <c r="Y495" i="32"/>
  <c r="X495" i="32"/>
  <c r="X578" i="32"/>
  <c r="Y578" i="32"/>
  <c r="Y36" i="32"/>
  <c r="X36" i="32"/>
  <c r="Y85" i="32"/>
  <c r="X85" i="32"/>
  <c r="Y191" i="32"/>
  <c r="X191" i="32"/>
  <c r="Y295" i="32"/>
  <c r="X295" i="32"/>
  <c r="Y194" i="32"/>
  <c r="X194" i="32"/>
  <c r="Y392" i="32"/>
  <c r="X392" i="32"/>
  <c r="X329" i="32"/>
  <c r="Y329" i="32"/>
  <c r="X459" i="32"/>
  <c r="Y459" i="32"/>
  <c r="V74" i="31"/>
  <c r="U74" i="31"/>
  <c r="X38" i="32"/>
  <c r="Y38" i="32"/>
  <c r="Y97" i="32"/>
  <c r="X97" i="32"/>
  <c r="Y202" i="32"/>
  <c r="X202" i="32"/>
  <c r="Y300" i="32"/>
  <c r="X300" i="32"/>
  <c r="Y201" i="32"/>
  <c r="X201" i="32"/>
  <c r="X395" i="32"/>
  <c r="Y395" i="32"/>
  <c r="X332" i="32"/>
  <c r="Y332" i="32"/>
  <c r="X466" i="32"/>
  <c r="Y466" i="32"/>
  <c r="Y505" i="32"/>
  <c r="X505" i="32"/>
  <c r="X576" i="32"/>
  <c r="Y576" i="32"/>
  <c r="X580" i="32"/>
  <c r="Y580" i="32"/>
  <c r="Y603" i="32"/>
  <c r="X603" i="32"/>
  <c r="X484" i="32"/>
  <c r="Y484" i="32"/>
  <c r="Y623" i="31"/>
  <c r="X623" i="31"/>
  <c r="Y59" i="31"/>
  <c r="X59" i="31"/>
  <c r="X524" i="31"/>
  <c r="Y524" i="31"/>
  <c r="Y218" i="31"/>
  <c r="X218" i="31"/>
  <c r="X323" i="31"/>
  <c r="Y323" i="31"/>
  <c r="Y103" i="31"/>
  <c r="X103" i="31"/>
  <c r="Y538" i="31"/>
  <c r="X538" i="31"/>
  <c r="Y135" i="31"/>
  <c r="X135" i="31"/>
  <c r="Y551" i="31"/>
  <c r="X551" i="31"/>
  <c r="X381" i="31"/>
  <c r="Y381" i="31"/>
  <c r="Y187" i="31"/>
  <c r="X187" i="31"/>
  <c r="Y150" i="31"/>
  <c r="X150" i="31"/>
  <c r="X228" i="31"/>
  <c r="Y228" i="31"/>
  <c r="Y91" i="31"/>
  <c r="X91" i="31"/>
  <c r="X317" i="31"/>
  <c r="Y317" i="31"/>
  <c r="Y435" i="31"/>
  <c r="X435" i="31"/>
  <c r="X78" i="31"/>
  <c r="Y78" i="31"/>
  <c r="X107" i="31"/>
  <c r="Y107" i="31"/>
  <c r="X251" i="31"/>
  <c r="Y251" i="31"/>
  <c r="Y472" i="31"/>
  <c r="X472" i="31"/>
  <c r="Y71" i="31"/>
  <c r="X71" i="31"/>
  <c r="Y230" i="31"/>
  <c r="X230" i="31"/>
  <c r="Y395" i="31"/>
  <c r="X395" i="31"/>
  <c r="X542" i="31"/>
  <c r="Y542" i="31"/>
  <c r="X29" i="31"/>
  <c r="Y29" i="31"/>
  <c r="X94" i="31"/>
  <c r="Y94" i="31"/>
  <c r="Y319" i="31"/>
  <c r="X319" i="31"/>
  <c r="X470" i="31"/>
  <c r="Y470" i="31"/>
  <c r="X30" i="31"/>
  <c r="Y30" i="31"/>
  <c r="X192" i="31"/>
  <c r="Y192" i="31"/>
  <c r="Y359" i="31"/>
  <c r="X359" i="31"/>
  <c r="Y556" i="31"/>
  <c r="X556" i="31"/>
  <c r="X105" i="31"/>
  <c r="Y105" i="31"/>
  <c r="Y191" i="31"/>
  <c r="X191" i="31"/>
  <c r="X241" i="31"/>
  <c r="Y241" i="31"/>
  <c r="X364" i="31"/>
  <c r="Y364" i="31"/>
  <c r="Y431" i="31"/>
  <c r="X431" i="31"/>
  <c r="Y528" i="31"/>
  <c r="X528" i="31"/>
  <c r="Y605" i="31"/>
  <c r="X605" i="31"/>
  <c r="X93" i="31"/>
  <c r="Y93" i="31"/>
  <c r="X213" i="31"/>
  <c r="Y213" i="31"/>
  <c r="Y277" i="31"/>
  <c r="X277" i="31"/>
  <c r="Y391" i="31"/>
  <c r="X391" i="31"/>
  <c r="Y453" i="31"/>
  <c r="X453" i="31"/>
  <c r="Y558" i="31"/>
  <c r="X558" i="31"/>
  <c r="Y87" i="31"/>
  <c r="X87" i="31"/>
  <c r="Y173" i="31"/>
  <c r="X173" i="31"/>
  <c r="X278" i="31"/>
  <c r="Y278" i="31"/>
  <c r="Y330" i="31"/>
  <c r="X330" i="31"/>
  <c r="X404" i="31"/>
  <c r="Y404" i="31"/>
  <c r="X537" i="31"/>
  <c r="Y537" i="31"/>
  <c r="Y594" i="31"/>
  <c r="X594" i="31"/>
  <c r="Y99" i="31"/>
  <c r="X99" i="31"/>
  <c r="Y201" i="31"/>
  <c r="X201" i="31"/>
  <c r="Y356" i="31"/>
  <c r="X356" i="31"/>
  <c r="Y388" i="31"/>
  <c r="X388" i="31"/>
  <c r="Y443" i="31"/>
  <c r="X443" i="31"/>
  <c r="Y550" i="31"/>
  <c r="X550" i="31"/>
  <c r="X23" i="31"/>
  <c r="Y23" i="31"/>
  <c r="X133" i="31"/>
  <c r="Y133" i="31"/>
  <c r="Y208" i="31"/>
  <c r="X208" i="31"/>
  <c r="Y272" i="31"/>
  <c r="X272" i="31"/>
  <c r="Y345" i="31"/>
  <c r="X345" i="31"/>
  <c r="Y392" i="31"/>
  <c r="X392" i="31"/>
  <c r="Y451" i="31"/>
  <c r="X451" i="31"/>
  <c r="Y536" i="31"/>
  <c r="X536" i="31"/>
  <c r="Y581" i="31"/>
  <c r="X581" i="31"/>
  <c r="Y128" i="31"/>
  <c r="X128" i="31"/>
  <c r="Y164" i="31"/>
  <c r="X164" i="31"/>
  <c r="Y237" i="31"/>
  <c r="X237" i="31"/>
  <c r="X354" i="31"/>
  <c r="Y354" i="31"/>
  <c r="Y316" i="31"/>
  <c r="X316" i="31"/>
  <c r="Y409" i="31"/>
  <c r="X409" i="31"/>
  <c r="Y480" i="31"/>
  <c r="X480" i="31"/>
  <c r="Y541" i="31"/>
  <c r="X541" i="31"/>
  <c r="W625" i="31"/>
  <c r="T625" i="31"/>
  <c r="M625" i="31"/>
  <c r="J625" i="31"/>
  <c r="G625" i="31"/>
  <c r="D625" i="31"/>
  <c r="AB39" i="32"/>
  <c r="AA39" i="32"/>
  <c r="Y63" i="31"/>
  <c r="X63" i="31"/>
  <c r="AB401" i="32"/>
  <c r="AA401" i="32"/>
  <c r="AB118" i="32"/>
  <c r="AA118" i="32"/>
  <c r="AA468" i="32"/>
  <c r="AB468" i="32"/>
  <c r="AA103" i="32"/>
  <c r="AB103" i="32"/>
  <c r="AA393" i="32"/>
  <c r="AB393" i="32"/>
  <c r="AA530" i="32"/>
  <c r="AB530" i="32"/>
  <c r="AB268" i="32"/>
  <c r="AA268" i="32"/>
  <c r="AB583" i="32"/>
  <c r="AA583" i="32"/>
  <c r="AA154" i="32"/>
  <c r="AB154" i="32"/>
  <c r="AB413" i="32"/>
  <c r="AA413" i="32"/>
  <c r="AA53" i="32"/>
  <c r="AB53" i="32"/>
  <c r="AA224" i="32"/>
  <c r="AB224" i="32"/>
  <c r="AB521" i="32"/>
  <c r="AA521" i="32"/>
  <c r="AA164" i="32"/>
  <c r="AB164" i="32"/>
  <c r="AB382" i="32"/>
  <c r="AA382" i="32"/>
  <c r="AB160" i="32"/>
  <c r="AA160" i="32"/>
  <c r="AB368" i="32"/>
  <c r="AA368" i="32"/>
  <c r="AB51" i="32"/>
  <c r="AA51" i="32"/>
  <c r="AA111" i="32"/>
  <c r="AB111" i="32"/>
  <c r="AA130" i="32"/>
  <c r="AB130" i="32"/>
  <c r="AA289" i="32"/>
  <c r="AB289" i="32"/>
  <c r="AA188" i="32"/>
  <c r="AB188" i="32"/>
  <c r="AA402" i="32"/>
  <c r="AB402" i="32"/>
  <c r="AA360" i="32"/>
  <c r="AB360" i="32"/>
  <c r="AB467" i="32"/>
  <c r="AA467" i="32"/>
  <c r="AB497" i="32"/>
  <c r="AA497" i="32"/>
  <c r="AA546" i="32"/>
  <c r="AB546" i="32"/>
  <c r="AB61" i="32"/>
  <c r="AA61" i="32"/>
  <c r="AA116" i="32"/>
  <c r="AB116" i="32"/>
  <c r="AB114" i="32"/>
  <c r="AA114" i="32"/>
  <c r="AB175" i="32"/>
  <c r="AA175" i="32"/>
  <c r="AB229" i="32"/>
  <c r="AA229" i="32"/>
  <c r="AA453" i="32"/>
  <c r="AB453" i="32"/>
  <c r="AA324" i="32"/>
  <c r="AB324" i="32"/>
  <c r="AA522" i="32"/>
  <c r="AB522" i="32"/>
  <c r="AB535" i="32"/>
  <c r="AA535" i="32"/>
  <c r="AB181" i="32"/>
  <c r="AA181" i="32"/>
  <c r="AB67" i="32"/>
  <c r="AA67" i="32"/>
  <c r="AA74" i="32"/>
  <c r="AB74" i="32"/>
  <c r="AA318" i="32"/>
  <c r="AB318" i="32"/>
  <c r="AA319" i="32"/>
  <c r="AB319" i="32"/>
  <c r="AA338" i="32"/>
  <c r="AB338" i="32"/>
  <c r="AA562" i="32"/>
  <c r="AB562" i="32"/>
  <c r="AB509" i="32"/>
  <c r="AA509" i="32"/>
  <c r="AB499" i="32"/>
  <c r="AA499" i="32"/>
  <c r="AA20" i="32"/>
  <c r="AB20" i="32"/>
  <c r="AB124" i="32"/>
  <c r="AA124" i="32"/>
  <c r="AA284" i="32"/>
  <c r="AB284" i="32"/>
  <c r="AA249" i="32"/>
  <c r="AB249" i="32"/>
  <c r="AB258" i="32"/>
  <c r="AA258" i="32"/>
  <c r="AB341" i="32"/>
  <c r="AA341" i="32"/>
  <c r="AA389" i="32"/>
  <c r="AB389" i="32"/>
  <c r="AA397" i="32"/>
  <c r="AB397" i="32"/>
  <c r="AA598" i="32"/>
  <c r="AB598" i="32"/>
  <c r="AA609" i="32"/>
  <c r="AB609" i="32"/>
  <c r="AB24" i="32"/>
  <c r="AA24" i="32"/>
  <c r="AA89" i="32"/>
  <c r="AB89" i="32"/>
  <c r="AB86" i="32"/>
  <c r="AA86" i="32"/>
  <c r="AB444" i="32"/>
  <c r="AA444" i="32"/>
  <c r="AB211" i="32"/>
  <c r="AA211" i="32"/>
  <c r="AB345" i="32"/>
  <c r="AA345" i="32"/>
  <c r="AA578" i="32"/>
  <c r="AB578" i="32"/>
  <c r="AB513" i="32"/>
  <c r="AA513" i="32"/>
  <c r="AB504" i="32"/>
  <c r="AA504" i="32"/>
  <c r="AB19" i="32"/>
  <c r="AA19" i="32"/>
  <c r="AB191" i="32"/>
  <c r="AA191" i="32"/>
  <c r="AA63" i="32"/>
  <c r="AB63" i="32"/>
  <c r="AA167" i="32"/>
  <c r="AB167" i="32"/>
  <c r="AA275" i="32"/>
  <c r="AB275" i="32"/>
  <c r="AB379" i="32"/>
  <c r="AA379" i="32"/>
  <c r="AA395" i="32"/>
  <c r="AB395" i="32"/>
  <c r="AB422" i="32"/>
  <c r="AA422" i="32"/>
  <c r="AA452" i="32"/>
  <c r="AB452" i="32"/>
  <c r="AB461" i="32"/>
  <c r="AA461" i="32"/>
  <c r="Y365" i="31"/>
  <c r="X365" i="31"/>
  <c r="Y427" i="31"/>
  <c r="X427" i="31"/>
  <c r="Y497" i="31"/>
  <c r="X497" i="31"/>
  <c r="X545" i="31"/>
  <c r="Y545" i="31"/>
  <c r="X607" i="31"/>
  <c r="Y607" i="31"/>
  <c r="AA390" i="32"/>
  <c r="AB390" i="32"/>
  <c r="AA214" i="32"/>
  <c r="AB214" i="32"/>
  <c r="AA454" i="32"/>
  <c r="AB454" i="32"/>
  <c r="AA262" i="32"/>
  <c r="AB262" i="32"/>
  <c r="AB276" i="32"/>
  <c r="AA276" i="32"/>
  <c r="AA200" i="32"/>
  <c r="AB200" i="32"/>
  <c r="AB588" i="32"/>
  <c r="AA588" i="32"/>
  <c r="AA46" i="32"/>
  <c r="AB46" i="32"/>
  <c r="AB343" i="32"/>
  <c r="AA343" i="32"/>
  <c r="AB495" i="32"/>
  <c r="AA495" i="32"/>
  <c r="AA96" i="32"/>
  <c r="AB96" i="32"/>
  <c r="AB420" i="32"/>
  <c r="AA420" i="32"/>
  <c r="AA148" i="32"/>
  <c r="AB148" i="32"/>
  <c r="AA434" i="32"/>
  <c r="AB434" i="32"/>
  <c r="AB581" i="32"/>
  <c r="AA581" i="32"/>
  <c r="AA298" i="32"/>
  <c r="AB298" i="32"/>
  <c r="AB491" i="32"/>
  <c r="AA491" i="32"/>
  <c r="AB50" i="32"/>
  <c r="AA50" i="32"/>
  <c r="AA496" i="32"/>
  <c r="AB496" i="32"/>
  <c r="AB75" i="32"/>
  <c r="AA75" i="32"/>
  <c r="AB155" i="32"/>
  <c r="AA155" i="32"/>
  <c r="AB159" i="32"/>
  <c r="AA159" i="32"/>
  <c r="AB246" i="32"/>
  <c r="AA246" i="32"/>
  <c r="AB235" i="32"/>
  <c r="AA235" i="32"/>
  <c r="AA437" i="32"/>
  <c r="AB437" i="32"/>
  <c r="AA425" i="32"/>
  <c r="AB425" i="32"/>
  <c r="AA555" i="32"/>
  <c r="AB555" i="32"/>
  <c r="AB579" i="32"/>
  <c r="AA579" i="32"/>
  <c r="AB599" i="32"/>
  <c r="AA599" i="32"/>
  <c r="AA95" i="32"/>
  <c r="AB95" i="32"/>
  <c r="AA231" i="32"/>
  <c r="AB231" i="32"/>
  <c r="AA183" i="32"/>
  <c r="AB183" i="32"/>
  <c r="AB252" i="32"/>
  <c r="AA252" i="32"/>
  <c r="AA310" i="32"/>
  <c r="AB310" i="32"/>
  <c r="AB380" i="32"/>
  <c r="AA380" i="32"/>
  <c r="AA391" i="32"/>
  <c r="AB391" i="32"/>
  <c r="AB568" i="32"/>
  <c r="AA568" i="32"/>
  <c r="AB597" i="32"/>
  <c r="AA597" i="32"/>
  <c r="AA139" i="32"/>
  <c r="AB139" i="32"/>
  <c r="AB163" i="32"/>
  <c r="AA163" i="32"/>
  <c r="AA149" i="32"/>
  <c r="AB149" i="32"/>
  <c r="AA230" i="32"/>
  <c r="AB230" i="32"/>
  <c r="AA299" i="32"/>
  <c r="AB299" i="32"/>
  <c r="AA409" i="32"/>
  <c r="AB409" i="32"/>
  <c r="AA335" i="32"/>
  <c r="AB335" i="32"/>
  <c r="AB536" i="32"/>
  <c r="AA536" i="32"/>
  <c r="AB576" i="32"/>
  <c r="AA576" i="32"/>
  <c r="AB56" i="32"/>
  <c r="AA56" i="32"/>
  <c r="AB81" i="32"/>
  <c r="AA81" i="32"/>
  <c r="AB97" i="32"/>
  <c r="AA97" i="32"/>
  <c r="AA217" i="32"/>
  <c r="AB217" i="32"/>
  <c r="AB295" i="32"/>
  <c r="AA295" i="32"/>
  <c r="AB369" i="32"/>
  <c r="AA369" i="32"/>
  <c r="AB450" i="32"/>
  <c r="AA450" i="32"/>
  <c r="AB451" i="32"/>
  <c r="AA451" i="32"/>
  <c r="AB473" i="32"/>
  <c r="AA473" i="32"/>
  <c r="AB503" i="32"/>
  <c r="AA503" i="32"/>
  <c r="AB157" i="32"/>
  <c r="AA157" i="32"/>
  <c r="AB176" i="32"/>
  <c r="AA176" i="32"/>
  <c r="AA162" i="32"/>
  <c r="AB162" i="32"/>
  <c r="AA241" i="32"/>
  <c r="AB241" i="32"/>
  <c r="AA306" i="32"/>
  <c r="AB306" i="32"/>
  <c r="AA447" i="32"/>
  <c r="AB447" i="32"/>
  <c r="AA339" i="32"/>
  <c r="AB339" i="32"/>
  <c r="AA557" i="32"/>
  <c r="AB557" i="32"/>
  <c r="AA605" i="32"/>
  <c r="AB605" i="32"/>
  <c r="AB38" i="32"/>
  <c r="AA38" i="32"/>
  <c r="AB90" i="32"/>
  <c r="AA90" i="32"/>
  <c r="AB104" i="32"/>
  <c r="AA104" i="32"/>
  <c r="AA236" i="32"/>
  <c r="AB236" i="32"/>
  <c r="AB302" i="32"/>
  <c r="AA302" i="32"/>
  <c r="AB376" i="32"/>
  <c r="AA376" i="32"/>
  <c r="AA352" i="32"/>
  <c r="AB352" i="32"/>
  <c r="AA456" i="32"/>
  <c r="AB456" i="32"/>
  <c r="AA481" i="32"/>
  <c r="AB481" i="32"/>
  <c r="AB525" i="32"/>
  <c r="AA525" i="32"/>
  <c r="Y366" i="32"/>
  <c r="X366" i="32"/>
  <c r="Y313" i="32"/>
  <c r="X313" i="32"/>
  <c r="X504" i="32"/>
  <c r="Y504" i="32"/>
  <c r="X463" i="32"/>
  <c r="Y463" i="32"/>
  <c r="X23" i="32"/>
  <c r="Y23" i="32"/>
  <c r="X167" i="32"/>
  <c r="Y167" i="32"/>
  <c r="Y62" i="32"/>
  <c r="X62" i="32"/>
  <c r="Y250" i="32"/>
  <c r="X250" i="32"/>
  <c r="X239" i="32"/>
  <c r="Y239" i="32"/>
  <c r="Y464" i="32"/>
  <c r="X464" i="32"/>
  <c r="X410" i="32"/>
  <c r="Y410" i="32"/>
  <c r="Y612" i="32"/>
  <c r="X612" i="32"/>
  <c r="Y571" i="32"/>
  <c r="X571" i="32"/>
  <c r="Y18" i="32"/>
  <c r="X18" i="32"/>
  <c r="Y80" i="32"/>
  <c r="X80" i="32"/>
  <c r="Y161" i="32"/>
  <c r="X161" i="32"/>
  <c r="X288" i="32"/>
  <c r="Y288" i="32"/>
  <c r="Y338" i="32"/>
  <c r="X338" i="32"/>
  <c r="X383" i="32"/>
  <c r="Y383" i="32"/>
  <c r="Y477" i="32"/>
  <c r="X477" i="32"/>
  <c r="Y589" i="32"/>
  <c r="X589" i="32"/>
  <c r="X16" i="32"/>
  <c r="Y16" i="32"/>
  <c r="X81" i="32"/>
  <c r="Y81" i="32"/>
  <c r="Y132" i="32"/>
  <c r="X132" i="32"/>
  <c r="Y166" i="32"/>
  <c r="X166" i="32"/>
  <c r="Y434" i="32"/>
  <c r="X434" i="32"/>
  <c r="Y256" i="32"/>
  <c r="X256" i="32"/>
  <c r="Y441" i="32"/>
  <c r="X441" i="32"/>
  <c r="X379" i="32"/>
  <c r="Y379" i="32"/>
  <c r="X574" i="32"/>
  <c r="Y574" i="32"/>
  <c r="Y83" i="32"/>
  <c r="X83" i="32"/>
  <c r="X145" i="32"/>
  <c r="Y145" i="32"/>
  <c r="X190" i="32"/>
  <c r="Y190" i="32"/>
  <c r="X258" i="32"/>
  <c r="Y258" i="32"/>
  <c r="X237" i="32"/>
  <c r="Y237" i="32"/>
  <c r="X301" i="32"/>
  <c r="Y301" i="32"/>
  <c r="Y333" i="32"/>
  <c r="X333" i="32"/>
  <c r="Y475" i="32"/>
  <c r="X475" i="32"/>
  <c r="X512" i="32"/>
  <c r="Y512" i="32"/>
  <c r="X110" i="32"/>
  <c r="Y110" i="32"/>
  <c r="Y148" i="32"/>
  <c r="X148" i="32"/>
  <c r="Y205" i="32"/>
  <c r="X205" i="32"/>
  <c r="Y273" i="32"/>
  <c r="X273" i="32"/>
  <c r="Y245" i="32"/>
  <c r="X245" i="32"/>
  <c r="Y317" i="32"/>
  <c r="X317" i="32"/>
  <c r="Y344" i="32"/>
  <c r="X344" i="32"/>
  <c r="X444" i="32"/>
  <c r="Y444" i="32"/>
  <c r="Y516" i="32"/>
  <c r="X516" i="32"/>
  <c r="X583" i="32"/>
  <c r="Y583" i="32"/>
  <c r="Y528" i="32"/>
  <c r="X528" i="32"/>
  <c r="Y513" i="32"/>
  <c r="X513" i="32"/>
  <c r="X472" i="32"/>
  <c r="Y472" i="32"/>
  <c r="Y604" i="32"/>
  <c r="X604" i="32"/>
  <c r="X250" i="31"/>
  <c r="Y250" i="31"/>
  <c r="X72" i="31"/>
  <c r="Y72" i="31"/>
  <c r="Y366" i="31"/>
  <c r="X366" i="31"/>
  <c r="X100" i="31"/>
  <c r="Y100" i="31"/>
  <c r="Y200" i="31"/>
  <c r="X200" i="31"/>
  <c r="Y41" i="31"/>
  <c r="X41" i="31"/>
  <c r="Y153" i="31"/>
  <c r="X153" i="31"/>
  <c r="X45" i="31"/>
  <c r="Y45" i="31"/>
  <c r="Y498" i="31"/>
  <c r="X498" i="31"/>
  <c r="Y273" i="31"/>
  <c r="X273" i="31"/>
  <c r="X68" i="31"/>
  <c r="Y68" i="31"/>
  <c r="Y346" i="31"/>
  <c r="X346" i="31"/>
  <c r="X156" i="31"/>
  <c r="Y156" i="31"/>
  <c r="Y329" i="31"/>
  <c r="X329" i="31"/>
  <c r="Y514" i="31"/>
  <c r="X514" i="31"/>
  <c r="Y53" i="31"/>
  <c r="X53" i="31"/>
  <c r="X180" i="31"/>
  <c r="Y180" i="31"/>
  <c r="Y352" i="31"/>
  <c r="X352" i="31"/>
  <c r="Y493" i="31"/>
  <c r="X493" i="31"/>
  <c r="X44" i="31"/>
  <c r="Y44" i="31"/>
  <c r="Y247" i="31"/>
  <c r="X247" i="31"/>
  <c r="Y418" i="31"/>
  <c r="X418" i="31"/>
  <c r="Y584" i="31"/>
  <c r="X584" i="31"/>
  <c r="Y51" i="31"/>
  <c r="X51" i="31"/>
  <c r="Y183" i="31"/>
  <c r="X183" i="31"/>
  <c r="X353" i="31"/>
  <c r="Y353" i="31"/>
  <c r="Y518" i="31"/>
  <c r="X518" i="31"/>
  <c r="X37" i="31"/>
  <c r="Y37" i="31"/>
  <c r="Y252" i="31"/>
  <c r="X252" i="31"/>
  <c r="X386" i="31"/>
  <c r="Y386" i="31"/>
  <c r="X586" i="31"/>
  <c r="Y586" i="31"/>
  <c r="Y139" i="31"/>
  <c r="X139" i="31"/>
  <c r="Y162" i="31"/>
  <c r="X162" i="31"/>
  <c r="X283" i="31"/>
  <c r="Y283" i="31"/>
  <c r="Y363" i="31"/>
  <c r="X363" i="31"/>
  <c r="Y458" i="31"/>
  <c r="X458" i="31"/>
  <c r="X544" i="31"/>
  <c r="Y544" i="31"/>
  <c r="Y56" i="31"/>
  <c r="X56" i="31"/>
  <c r="X214" i="31"/>
  <c r="Y214" i="31"/>
  <c r="X242" i="31"/>
  <c r="Y242" i="31"/>
  <c r="Y305" i="31"/>
  <c r="X305" i="31"/>
  <c r="X408" i="31"/>
  <c r="Y408" i="31"/>
  <c r="X476" i="31"/>
  <c r="Y476" i="31"/>
  <c r="Y579" i="31"/>
  <c r="X579" i="31"/>
  <c r="Y129" i="31"/>
  <c r="X129" i="31"/>
  <c r="X160" i="31"/>
  <c r="Y160" i="31"/>
  <c r="Y257" i="31"/>
  <c r="X257" i="31"/>
  <c r="Y358" i="31"/>
  <c r="X358" i="31"/>
  <c r="X456" i="31"/>
  <c r="Y456" i="31"/>
  <c r="X519" i="31"/>
  <c r="Y519" i="31"/>
  <c r="X608" i="31"/>
  <c r="Y608" i="31"/>
  <c r="X125" i="31"/>
  <c r="Y125" i="31"/>
  <c r="Y207" i="31"/>
  <c r="X207" i="31"/>
  <c r="Y349" i="31"/>
  <c r="X349" i="31"/>
  <c r="Y384" i="31"/>
  <c r="X384" i="31"/>
  <c r="Y495" i="31"/>
  <c r="X495" i="31"/>
  <c r="Y568" i="31"/>
  <c r="X568" i="31"/>
  <c r="Y96" i="31"/>
  <c r="X96" i="31"/>
  <c r="Y203" i="31"/>
  <c r="X203" i="31"/>
  <c r="Y239" i="31"/>
  <c r="X239" i="31"/>
  <c r="Y266" i="31"/>
  <c r="X266" i="31"/>
  <c r="X347" i="31"/>
  <c r="Y347" i="31"/>
  <c r="Y423" i="31"/>
  <c r="X423" i="31"/>
  <c r="Y488" i="31"/>
  <c r="X488" i="31"/>
  <c r="Y539" i="31"/>
  <c r="X539" i="31"/>
  <c r="Y597" i="31"/>
  <c r="X597" i="31"/>
  <c r="Y122" i="31"/>
  <c r="X122" i="31"/>
  <c r="Y166" i="31"/>
  <c r="X166" i="31"/>
  <c r="X226" i="31"/>
  <c r="Y226" i="31"/>
  <c r="Y261" i="31"/>
  <c r="X261" i="31"/>
  <c r="Y360" i="31"/>
  <c r="X360" i="31"/>
  <c r="Y421" i="31"/>
  <c r="X421" i="31"/>
  <c r="Y491" i="31"/>
  <c r="X491" i="31"/>
  <c r="Y563" i="31"/>
  <c r="X563" i="31"/>
  <c r="X64" i="31"/>
  <c r="Y64" i="31"/>
  <c r="AA126" i="32"/>
  <c r="AB126" i="32"/>
  <c r="AB542" i="32"/>
  <c r="AA542" i="32"/>
  <c r="AB36" i="32"/>
  <c r="AA36" i="32"/>
  <c r="AB325" i="32"/>
  <c r="AA325" i="32"/>
  <c r="AB196" i="32"/>
  <c r="AA196" i="32"/>
  <c r="AA115" i="32"/>
  <c r="AB115" i="32"/>
  <c r="AA353" i="32"/>
  <c r="AB353" i="32"/>
  <c r="AA251" i="32"/>
  <c r="AB251" i="32"/>
  <c r="AB384" i="32"/>
  <c r="AA384" i="32"/>
  <c r="AA492" i="32"/>
  <c r="AB492" i="32"/>
  <c r="AA228" i="32"/>
  <c r="AB228" i="32"/>
  <c r="AA532" i="32"/>
  <c r="AB532" i="32"/>
  <c r="AB102" i="32"/>
  <c r="AA102" i="32"/>
  <c r="AB428" i="32"/>
  <c r="AA428" i="32"/>
  <c r="Y613" i="31"/>
  <c r="X613" i="31"/>
  <c r="AA240" i="32"/>
  <c r="AB240" i="32"/>
  <c r="AB549" i="32"/>
  <c r="AA549" i="32"/>
  <c r="AB172" i="32"/>
  <c r="AA172" i="32"/>
  <c r="AB385" i="32"/>
  <c r="AA385" i="32"/>
  <c r="AA54" i="32"/>
  <c r="AB54" i="32"/>
  <c r="AB41" i="32"/>
  <c r="AA41" i="32"/>
  <c r="AA58" i="32"/>
  <c r="AB58" i="32"/>
  <c r="AB313" i="32"/>
  <c r="AA313" i="32"/>
  <c r="AB297" i="32"/>
  <c r="AA297" i="32"/>
  <c r="AA334" i="32"/>
  <c r="AB334" i="32"/>
  <c r="AA539" i="32"/>
  <c r="AB539" i="32"/>
  <c r="AB505" i="32"/>
  <c r="AA505" i="32"/>
  <c r="AA485" i="32"/>
  <c r="AB485" i="32"/>
  <c r="AB105" i="32"/>
  <c r="AA105" i="32"/>
  <c r="AB76" i="32"/>
  <c r="AA76" i="32"/>
  <c r="AB80" i="32"/>
  <c r="AA80" i="32"/>
  <c r="AA205" i="32"/>
  <c r="AB205" i="32"/>
  <c r="AB288" i="32"/>
  <c r="AA288" i="32"/>
  <c r="AB361" i="32"/>
  <c r="AA361" i="32"/>
  <c r="AB416" i="32"/>
  <c r="AA416" i="32"/>
  <c r="AA440" i="32"/>
  <c r="AB440" i="32"/>
  <c r="AB469" i="32"/>
  <c r="AA469" i="32"/>
  <c r="AA489" i="32"/>
  <c r="AB489" i="32"/>
  <c r="AB29" i="32"/>
  <c r="AA29" i="32"/>
  <c r="AA78" i="32"/>
  <c r="AB78" i="32"/>
  <c r="AB400" i="32"/>
  <c r="AA400" i="32"/>
  <c r="AB309" i="32"/>
  <c r="AA309" i="32"/>
  <c r="AA190" i="32"/>
  <c r="AB190" i="32"/>
  <c r="AB366" i="32"/>
  <c r="AA366" i="32"/>
  <c r="AA377" i="32"/>
  <c r="AB377" i="32"/>
  <c r="AB592" i="32"/>
  <c r="AA592" i="32"/>
  <c r="AB510" i="32"/>
  <c r="AA510" i="32"/>
  <c r="AA42" i="32"/>
  <c r="AB42" i="32"/>
  <c r="AA131" i="32"/>
  <c r="AB131" i="32"/>
  <c r="AA141" i="32"/>
  <c r="AB141" i="32"/>
  <c r="AB198" i="32"/>
  <c r="AA198" i="32"/>
  <c r="AB204" i="32"/>
  <c r="AA204" i="32"/>
  <c r="AA419" i="32"/>
  <c r="AB419" i="32"/>
  <c r="AB375" i="32"/>
  <c r="AA375" i="32"/>
  <c r="AB500" i="32"/>
  <c r="AA500" i="32"/>
  <c r="AA540" i="32"/>
  <c r="AB540" i="32"/>
  <c r="AA560" i="32"/>
  <c r="AB560" i="32"/>
  <c r="AB16" i="32"/>
  <c r="AA16" i="32"/>
  <c r="AA92" i="32"/>
  <c r="AB92" i="32"/>
  <c r="AB88" i="32"/>
  <c r="AA88" i="32"/>
  <c r="AA463" i="32"/>
  <c r="AB463" i="32"/>
  <c r="AA206" i="32"/>
  <c r="AB206" i="32"/>
  <c r="AA387" i="32"/>
  <c r="AB387" i="32"/>
  <c r="AA408" i="32"/>
  <c r="AB408" i="32"/>
  <c r="AA596" i="32"/>
  <c r="AB596" i="32"/>
  <c r="AA514" i="32"/>
  <c r="AB514" i="32"/>
  <c r="AA22" i="32"/>
  <c r="AB22" i="32"/>
  <c r="AA143" i="32"/>
  <c r="AB143" i="32"/>
  <c r="AB150" i="32"/>
  <c r="AA150" i="32"/>
  <c r="AB221" i="32"/>
  <c r="AA221" i="32"/>
  <c r="AB218" i="32"/>
  <c r="AA218" i="32"/>
  <c r="AB426" i="32"/>
  <c r="AA426" i="32"/>
  <c r="AA403" i="32"/>
  <c r="AB403" i="32"/>
  <c r="AA527" i="32"/>
  <c r="AB527" i="32"/>
  <c r="AA561" i="32"/>
  <c r="AB561" i="32"/>
  <c r="AA567" i="32"/>
  <c r="AB567" i="32"/>
  <c r="G92" i="1"/>
  <c r="AC624" i="32" l="1"/>
  <c r="AC625" i="32"/>
  <c r="AC626" i="32"/>
  <c r="AC623" i="32"/>
  <c r="AC622" i="32"/>
  <c r="AC628" i="32"/>
  <c r="K627" i="32"/>
  <c r="AP627" i="32"/>
  <c r="AC627" i="32"/>
  <c r="Z627" i="32"/>
  <c r="E627" i="32"/>
  <c r="W627" i="32"/>
  <c r="AM627" i="32"/>
  <c r="AJ627" i="32"/>
  <c r="AP629" i="32"/>
  <c r="Z629" i="32"/>
  <c r="E629" i="32"/>
  <c r="AM629" i="32"/>
  <c r="W629" i="32"/>
  <c r="AJ629" i="32"/>
  <c r="K629" i="32"/>
  <c r="AC629" i="32"/>
  <c r="V625" i="31"/>
  <c r="U625" i="31"/>
  <c r="AC625" i="31"/>
  <c r="L625" i="31"/>
  <c r="K625" i="31"/>
  <c r="V624" i="31"/>
  <c r="U624" i="31"/>
  <c r="O625" i="31"/>
  <c r="N625" i="31"/>
  <c r="Y624" i="31"/>
  <c r="X624" i="31"/>
  <c r="Y625" i="31"/>
  <c r="X625" i="31"/>
  <c r="AC586" i="32"/>
  <c r="AC521" i="32"/>
  <c r="AC492" i="32"/>
  <c r="AC563" i="32"/>
  <c r="AC600" i="32"/>
  <c r="AC554" i="32"/>
  <c r="AC478" i="32"/>
  <c r="AC568" i="32"/>
  <c r="AC522" i="32"/>
  <c r="AC610" i="32"/>
  <c r="AC580" i="32"/>
  <c r="AC520" i="32"/>
  <c r="AC505" i="32"/>
  <c r="AC555" i="32"/>
  <c r="AC588" i="32"/>
  <c r="AC494" i="32"/>
  <c r="AC523" i="32"/>
  <c r="AC362" i="32"/>
  <c r="AC333" i="32"/>
  <c r="AC454" i="32"/>
  <c r="AC416" i="32"/>
  <c r="AC355" i="32"/>
  <c r="AC430" i="32"/>
  <c r="AC380" i="32"/>
  <c r="AC461" i="32"/>
  <c r="AC331" i="32"/>
  <c r="AC458" i="32"/>
  <c r="AC393" i="32"/>
  <c r="AC442" i="32"/>
  <c r="AC376" i="32"/>
  <c r="AC332" i="32"/>
  <c r="AC444" i="32"/>
  <c r="AC391" i="32"/>
  <c r="AC324" i="32"/>
  <c r="AC211" i="32"/>
  <c r="AC272" i="32"/>
  <c r="AC220" i="32"/>
  <c r="AC388" i="32"/>
  <c r="AC288" i="32"/>
  <c r="AC250" i="32"/>
  <c r="AC377" i="32"/>
  <c r="AC291" i="32"/>
  <c r="AC225" i="32"/>
  <c r="AC429" i="32"/>
  <c r="AC281" i="32"/>
  <c r="AC205" i="32"/>
  <c r="AC261" i="32"/>
  <c r="AC365" i="32"/>
  <c r="AC259" i="32"/>
  <c r="AC231" i="32"/>
  <c r="AC341" i="32"/>
  <c r="AC156" i="32"/>
  <c r="AC86" i="32"/>
  <c r="AC264" i="32"/>
  <c r="AC144" i="32"/>
  <c r="AC115" i="32"/>
  <c r="AC480" i="32"/>
  <c r="AC102" i="32"/>
  <c r="AC427" i="32"/>
  <c r="AC163" i="32"/>
  <c r="AC70" i="32"/>
  <c r="AC139" i="32"/>
  <c r="AC64" i="32"/>
  <c r="AC199" i="32"/>
  <c r="AC93" i="32"/>
  <c r="AC127" i="32"/>
  <c r="AC71" i="32"/>
  <c r="AC24" i="32"/>
  <c r="AC43" i="32"/>
  <c r="Z78" i="31"/>
  <c r="AC584" i="32"/>
  <c r="AC518" i="32"/>
  <c r="AC490" i="32"/>
  <c r="AC551" i="32"/>
  <c r="AC589" i="32"/>
  <c r="AC540" i="32"/>
  <c r="AC470" i="32"/>
  <c r="AC566" i="32"/>
  <c r="AC502" i="32"/>
  <c r="AC608" i="32"/>
  <c r="AC559" i="32"/>
  <c r="AC519" i="32"/>
  <c r="AC491" i="32"/>
  <c r="AC541" i="32"/>
  <c r="AC581" i="32"/>
  <c r="AC482" i="32"/>
  <c r="AC477" i="32"/>
  <c r="AC351" i="32"/>
  <c r="AC330" i="32"/>
  <c r="AC443" i="32"/>
  <c r="AC413" i="32"/>
  <c r="AC353" i="32"/>
  <c r="AC411" i="32"/>
  <c r="AC378" i="32"/>
  <c r="AC428" i="32"/>
  <c r="AC323" i="32"/>
  <c r="AC439" i="32"/>
  <c r="AC390" i="32"/>
  <c r="AC437" i="32"/>
  <c r="AC374" i="32"/>
  <c r="AC317" i="32"/>
  <c r="AC435" i="32"/>
  <c r="AC385" i="32"/>
  <c r="AC321" i="32"/>
  <c r="AC188" i="32"/>
  <c r="AC270" i="32"/>
  <c r="AC218" i="32"/>
  <c r="AC343" i="32"/>
  <c r="AC283" i="32"/>
  <c r="AC243" i="32"/>
  <c r="AC372" i="32"/>
  <c r="AC286" i="32"/>
  <c r="AC223" i="32"/>
  <c r="AC382" i="32"/>
  <c r="AC273" i="32"/>
  <c r="AC475" i="32"/>
  <c r="AC236" i="32"/>
  <c r="AC301" i="32"/>
  <c r="AC256" i="32"/>
  <c r="AC208" i="32"/>
  <c r="AC327" i="32"/>
  <c r="AC153" i="32"/>
  <c r="AC82" i="32"/>
  <c r="AC222" i="32"/>
  <c r="AC141" i="32"/>
  <c r="AC110" i="32"/>
  <c r="AC312" i="32"/>
  <c r="AC99" i="32"/>
  <c r="AC247" i="32"/>
  <c r="AC151" i="32"/>
  <c r="AC67" i="32"/>
  <c r="AC133" i="32"/>
  <c r="AC54" i="32"/>
  <c r="AC166" i="32"/>
  <c r="AC183" i="32"/>
  <c r="AC120" i="32"/>
  <c r="AC65" i="32"/>
  <c r="AC19" i="32"/>
  <c r="AC39" i="32"/>
  <c r="AC47" i="32"/>
  <c r="AC27" i="32"/>
  <c r="AC59" i="32"/>
  <c r="AC173" i="32"/>
  <c r="AC38" i="32"/>
  <c r="AC21" i="32"/>
  <c r="AC609" i="32"/>
  <c r="AC607" i="32"/>
  <c r="AC556" i="32"/>
  <c r="AC514" i="32"/>
  <c r="AC476" i="32"/>
  <c r="AC526" i="32"/>
  <c r="AC579" i="32"/>
  <c r="AC531" i="32"/>
  <c r="AC462" i="32"/>
  <c r="AC549" i="32"/>
  <c r="AC488" i="32"/>
  <c r="AC596" i="32"/>
  <c r="AC552" i="32"/>
  <c r="AC515" i="32"/>
  <c r="AC604" i="32"/>
  <c r="AC500" i="32"/>
  <c r="AC571" i="32"/>
  <c r="AC453" i="32"/>
  <c r="AC420" i="32"/>
  <c r="AC346" i="32"/>
  <c r="AC322" i="32"/>
  <c r="AC438" i="32"/>
  <c r="AC389" i="32"/>
  <c r="AC316" i="32"/>
  <c r="AC404" i="32"/>
  <c r="AC363" i="32"/>
  <c r="AC421" i="32"/>
  <c r="AC319" i="32"/>
  <c r="AC426" i="32"/>
  <c r="AC345" i="32"/>
  <c r="AC424" i="32"/>
  <c r="AC364" i="32"/>
  <c r="AC553" i="32"/>
  <c r="AC412" i="32"/>
  <c r="AC379" i="32"/>
  <c r="AC304" i="32"/>
  <c r="AC179" i="32"/>
  <c r="AC245" i="32"/>
  <c r="AC204" i="32"/>
  <c r="AC326" i="32"/>
  <c r="AC275" i="32"/>
  <c r="AC232" i="32"/>
  <c r="AC357" i="32"/>
  <c r="AC263" i="32"/>
  <c r="AC207" i="32"/>
  <c r="AC315" i="32"/>
  <c r="AC253" i="32"/>
  <c r="AC336" i="32"/>
  <c r="AC217" i="32"/>
  <c r="AC287" i="32"/>
  <c r="AC249" i="32"/>
  <c r="AC194" i="32"/>
  <c r="AC254" i="32"/>
  <c r="AC132" i="32"/>
  <c r="AC69" i="32"/>
  <c r="AC185" i="32"/>
  <c r="AC135" i="32"/>
  <c r="AC80" i="32"/>
  <c r="AC182" i="32"/>
  <c r="AC92" i="32"/>
  <c r="AC196" i="32"/>
  <c r="AC126" i="32"/>
  <c r="AC267" i="32"/>
  <c r="AC108" i="32"/>
  <c r="AC49" i="32"/>
  <c r="AC597" i="32"/>
  <c r="AC544" i="32"/>
  <c r="AC512" i="32"/>
  <c r="AC447" i="32"/>
  <c r="AC504" i="32"/>
  <c r="AC577" i="32"/>
  <c r="AC497" i="32"/>
  <c r="AC452" i="32"/>
  <c r="AC547" i="32"/>
  <c r="AC474" i="32"/>
  <c r="AC594" i="32"/>
  <c r="AC543" i="32"/>
  <c r="AC513" i="32"/>
  <c r="AC601" i="32"/>
  <c r="AC498" i="32"/>
  <c r="AC550" i="32"/>
  <c r="AC451" i="32"/>
  <c r="AC415" i="32"/>
  <c r="AC344" i="32"/>
  <c r="AC318" i="32"/>
  <c r="AC436" i="32"/>
  <c r="AC375" i="32"/>
  <c r="AC501" i="32"/>
  <c r="AC401" i="32"/>
  <c r="AC358" i="32"/>
  <c r="AC387" i="32"/>
  <c r="AC314" i="32"/>
  <c r="AC414" i="32"/>
  <c r="AC560" i="32"/>
  <c r="AC419" i="32"/>
  <c r="AC361" i="32"/>
  <c r="AC530" i="32"/>
  <c r="AC405" i="32"/>
  <c r="AC350" i="32"/>
  <c r="AC277" i="32"/>
  <c r="AC410" i="32"/>
  <c r="AC240" i="32"/>
  <c r="AC202" i="32"/>
  <c r="AC302" i="32"/>
  <c r="AC260" i="32"/>
  <c r="AC216" i="32"/>
  <c r="AC340" i="32"/>
  <c r="AC248" i="32"/>
  <c r="AC191" i="32"/>
  <c r="AC313" i="32"/>
  <c r="AC246" i="32"/>
  <c r="AC303" i="32"/>
  <c r="AC210" i="32"/>
  <c r="AC284" i="32"/>
  <c r="AC244" i="32"/>
  <c r="AC192" i="32"/>
  <c r="AC198" i="32"/>
  <c r="AC112" i="32"/>
  <c r="AC63" i="32"/>
  <c r="AC177" i="32"/>
  <c r="AC130" i="32"/>
  <c r="AC77" i="32"/>
  <c r="AC160" i="32"/>
  <c r="AC78" i="32"/>
  <c r="AC187" i="32"/>
  <c r="AC119" i="32"/>
  <c r="AC215" i="32"/>
  <c r="AC105" i="32"/>
  <c r="AC292" i="32"/>
  <c r="AC134" i="32"/>
  <c r="AC164" i="32"/>
  <c r="AC98" i="32"/>
  <c r="AC114" i="32"/>
  <c r="AC129" i="32"/>
  <c r="AC595" i="32"/>
  <c r="AC535" i="32"/>
  <c r="AC510" i="32"/>
  <c r="AC605" i="32"/>
  <c r="AC499" i="32"/>
  <c r="AC572" i="32"/>
  <c r="AC495" i="32"/>
  <c r="AC612" i="32"/>
  <c r="AC545" i="32"/>
  <c r="AC460" i="32"/>
  <c r="AC592" i="32"/>
  <c r="AC534" i="32"/>
  <c r="AC511" i="32"/>
  <c r="AC575" i="32"/>
  <c r="AC484" i="32"/>
  <c r="AC539" i="32"/>
  <c r="AC599" i="32"/>
  <c r="AC408" i="32"/>
  <c r="AC339" i="32"/>
  <c r="AC472" i="32"/>
  <c r="AC433" i="32"/>
  <c r="AC373" i="32"/>
  <c r="AC479" i="32"/>
  <c r="AC395" i="32"/>
  <c r="AC349" i="32"/>
  <c r="AC381" i="32"/>
  <c r="AC613" i="32"/>
  <c r="AC409" i="32"/>
  <c r="AC548" i="32"/>
  <c r="AC417" i="32"/>
  <c r="AC359" i="32"/>
  <c r="AC473" i="32"/>
  <c r="AC400" i="32"/>
  <c r="AC466" i="32"/>
  <c r="AC262" i="32"/>
  <c r="AC297" i="32"/>
  <c r="AC237" i="32"/>
  <c r="AC197" i="32"/>
  <c r="AC300" i="32"/>
  <c r="AC258" i="32"/>
  <c r="AC200" i="32"/>
  <c r="AC311" i="32"/>
  <c r="AC238" i="32"/>
  <c r="AC186" i="32"/>
  <c r="AC305" i="32"/>
  <c r="AC233" i="32"/>
  <c r="AC296" i="32"/>
  <c r="AC203" i="32"/>
  <c r="AC279" i="32"/>
  <c r="AC242" i="32"/>
  <c r="AC176" i="32"/>
  <c r="AC170" i="32"/>
  <c r="AC107" i="32"/>
  <c r="AC58" i="32"/>
  <c r="AC154" i="32"/>
  <c r="AC128" i="32"/>
  <c r="AC66" i="32"/>
  <c r="AC142" i="32"/>
  <c r="AC72" i="32"/>
  <c r="AC171" i="32"/>
  <c r="AC90" i="32"/>
  <c r="AC169" i="32"/>
  <c r="AC100" i="32"/>
  <c r="AC282" i="32"/>
  <c r="AC122" i="32"/>
  <c r="AC159" i="32"/>
  <c r="AC91" i="32"/>
  <c r="AC31" i="32"/>
  <c r="AC124" i="32"/>
  <c r="AC81" i="32"/>
  <c r="AC17" i="32"/>
  <c r="AC84" i="32"/>
  <c r="AC28" i="32"/>
  <c r="AC36" i="32"/>
  <c r="AC68" i="32"/>
  <c r="AC508" i="32"/>
  <c r="AC582" i="32"/>
  <c r="AC587" i="32"/>
  <c r="AC585" i="32"/>
  <c r="AC486" i="32"/>
  <c r="AC496" i="32"/>
  <c r="AC337" i="32"/>
  <c r="AC403" i="32"/>
  <c r="AC383" i="32"/>
  <c r="AC467" i="32"/>
  <c r="AC434" i="32"/>
  <c r="AC449" i="32"/>
  <c r="AC257" i="32"/>
  <c r="AC209" i="32"/>
  <c r="AC252" i="32"/>
  <c r="AC230" i="32"/>
  <c r="AC266" i="32"/>
  <c r="AC503" i="32"/>
  <c r="AC174" i="32"/>
  <c r="AC74" i="32"/>
  <c r="AC116" i="32"/>
  <c r="AC61" i="32"/>
  <c r="AC299" i="32"/>
  <c r="AC224" i="32"/>
  <c r="AC140" i="32"/>
  <c r="AC14" i="32"/>
  <c r="AC76" i="32"/>
  <c r="AC45" i="32"/>
  <c r="AC32" i="32"/>
  <c r="AC18" i="32"/>
  <c r="AC26" i="32"/>
  <c r="AC506" i="32"/>
  <c r="AC570" i="32"/>
  <c r="AC564" i="32"/>
  <c r="AC583" i="32"/>
  <c r="AC573" i="32"/>
  <c r="AC463" i="32"/>
  <c r="AC335" i="32"/>
  <c r="AC370" i="32"/>
  <c r="AC368" i="32"/>
  <c r="AC464" i="32"/>
  <c r="AC407" i="32"/>
  <c r="AC432" i="32"/>
  <c r="AC213" i="32"/>
  <c r="AC195" i="32"/>
  <c r="AC241" i="32"/>
  <c r="AC228" i="32"/>
  <c r="AC221" i="32"/>
  <c r="AC294" i="32"/>
  <c r="AC172" i="32"/>
  <c r="AC422" i="32"/>
  <c r="AC83" i="32"/>
  <c r="AC56" i="32"/>
  <c r="AC157" i="32"/>
  <c r="AC158" i="32"/>
  <c r="AC118" i="32"/>
  <c r="AC189" i="32"/>
  <c r="AC60" i="32"/>
  <c r="AC22" i="32"/>
  <c r="AC30" i="32"/>
  <c r="AC16" i="32"/>
  <c r="AC40" i="32"/>
  <c r="AC593" i="32"/>
  <c r="AC487" i="32"/>
  <c r="AC561" i="32"/>
  <c r="AC536" i="32"/>
  <c r="AC557" i="32"/>
  <c r="AC562" i="32"/>
  <c r="AC569" i="32"/>
  <c r="AC325" i="32"/>
  <c r="AC360" i="32"/>
  <c r="AC567" i="32"/>
  <c r="AC431" i="32"/>
  <c r="AC402" i="32"/>
  <c r="AC397" i="32"/>
  <c r="AC181" i="32"/>
  <c r="AC446" i="32"/>
  <c r="AC193" i="32"/>
  <c r="AC214" i="32"/>
  <c r="AC212" i="32"/>
  <c r="AC274" i="32"/>
  <c r="AC308" i="32"/>
  <c r="AC290" i="32"/>
  <c r="AC48" i="32"/>
  <c r="AC226" i="32"/>
  <c r="AC148" i="32"/>
  <c r="AC152" i="32"/>
  <c r="AC109" i="32"/>
  <c r="AC145" i="32"/>
  <c r="AC52" i="32"/>
  <c r="AC20" i="32"/>
  <c r="AC25" i="32"/>
  <c r="AC111" i="32"/>
  <c r="AC591" i="32"/>
  <c r="AC576" i="32"/>
  <c r="AC538" i="32"/>
  <c r="AC524" i="32"/>
  <c r="AC529" i="32"/>
  <c r="AC532" i="32"/>
  <c r="AC546" i="32"/>
  <c r="AC465" i="32"/>
  <c r="AC352" i="32"/>
  <c r="AC489" i="32"/>
  <c r="AC399" i="32"/>
  <c r="AC369" i="32"/>
  <c r="AC394" i="32"/>
  <c r="AC285" i="32"/>
  <c r="AC334" i="32"/>
  <c r="AC440" i="32"/>
  <c r="AC184" i="32"/>
  <c r="AC342" i="32"/>
  <c r="AC269" i="32"/>
  <c r="AC168" i="32"/>
  <c r="AC206" i="32"/>
  <c r="AC46" i="32"/>
  <c r="AC167" i="32"/>
  <c r="AC113" i="32"/>
  <c r="AC101" i="32"/>
  <c r="AC88" i="32"/>
  <c r="AC57" i="32"/>
  <c r="AC41" i="32"/>
  <c r="AC15" i="32"/>
  <c r="AC13" i="32"/>
  <c r="AC178" i="32"/>
  <c r="Z613" i="31"/>
  <c r="AC558" i="32"/>
  <c r="AC574" i="32"/>
  <c r="AC483" i="32"/>
  <c r="AC493" i="32"/>
  <c r="AC527" i="32"/>
  <c r="AC602" i="32"/>
  <c r="AC468" i="32"/>
  <c r="AC456" i="32"/>
  <c r="AC459" i="32"/>
  <c r="AC423" i="32"/>
  <c r="AC396" i="32"/>
  <c r="AC356" i="32"/>
  <c r="AC384" i="32"/>
  <c r="AC280" i="32"/>
  <c r="AC295" i="32"/>
  <c r="AC367" i="32"/>
  <c r="AC457" i="32"/>
  <c r="AC276" i="32"/>
  <c r="AC251" i="32"/>
  <c r="AC162" i="32"/>
  <c r="AC150" i="32"/>
  <c r="AC190" i="32"/>
  <c r="AC165" i="32"/>
  <c r="AC95" i="32"/>
  <c r="AC96" i="32"/>
  <c r="AC85" i="32"/>
  <c r="AC50" i="32"/>
  <c r="AC37" i="32"/>
  <c r="AC23" i="32"/>
  <c r="AC137" i="32"/>
  <c r="AC161" i="32"/>
  <c r="AC533" i="32"/>
  <c r="AC542" i="32"/>
  <c r="AC481" i="32"/>
  <c r="AC450" i="32"/>
  <c r="AC517" i="32"/>
  <c r="AC590" i="32"/>
  <c r="AC398" i="32"/>
  <c r="AC441" i="32"/>
  <c r="AC445" i="32"/>
  <c r="AC371" i="32"/>
  <c r="AC347" i="32"/>
  <c r="AC354" i="32"/>
  <c r="AC338" i="32"/>
  <c r="AC265" i="32"/>
  <c r="AC293" i="32"/>
  <c r="AC309" i="32"/>
  <c r="AC328" i="32"/>
  <c r="AC271" i="32"/>
  <c r="AC239" i="32"/>
  <c r="AC146" i="32"/>
  <c r="AC147" i="32"/>
  <c r="AC123" i="32"/>
  <c r="AC136" i="32"/>
  <c r="AC75" i="32"/>
  <c r="AC180" i="32"/>
  <c r="AC55" i="32"/>
  <c r="AC34" i="32"/>
  <c r="AC35" i="32"/>
  <c r="AC310" i="32"/>
  <c r="AC131" i="32"/>
  <c r="AC73" i="32"/>
  <c r="AC485" i="32"/>
  <c r="AC578" i="32"/>
  <c r="AC366" i="32"/>
  <c r="AC235" i="32"/>
  <c r="AC219" i="32"/>
  <c r="AC121" i="32"/>
  <c r="AC155" i="32"/>
  <c r="AC62" i="32"/>
  <c r="AC603" i="32"/>
  <c r="AC537" i="32"/>
  <c r="AC320" i="32"/>
  <c r="AC227" i="32"/>
  <c r="AC611" i="32"/>
  <c r="AC94" i="32"/>
  <c r="AC29" i="32"/>
  <c r="AC44" i="32"/>
  <c r="AC469" i="32"/>
  <c r="AC386" i="32"/>
  <c r="AC525" i="32"/>
  <c r="AC278" i="32"/>
  <c r="AC234" i="32"/>
  <c r="AC89" i="32"/>
  <c r="AC79" i="32"/>
  <c r="AC53" i="32"/>
  <c r="AC448" i="32"/>
  <c r="AC425" i="32"/>
  <c r="AC565" i="32"/>
  <c r="AC307" i="32"/>
  <c r="AC104" i="32"/>
  <c r="AC51" i="32"/>
  <c r="AC106" i="32"/>
  <c r="Z76" i="31"/>
  <c r="AC606" i="32"/>
  <c r="AC418" i="32"/>
  <c r="AC455" i="32"/>
  <c r="AC268" i="32"/>
  <c r="AC97" i="32"/>
  <c r="AC229" i="32"/>
  <c r="AC117" i="32"/>
  <c r="AC509" i="32"/>
  <c r="AC255" i="32"/>
  <c r="AC149" i="32"/>
  <c r="Z36" i="31"/>
  <c r="AC507" i="32"/>
  <c r="AC298" i="32"/>
  <c r="AC103" i="32"/>
  <c r="AC348" i="32"/>
  <c r="AC289" i="32"/>
  <c r="AC143" i="32"/>
  <c r="AC406" i="32"/>
  <c r="AC201" i="32"/>
  <c r="AC42" i="32"/>
  <c r="AC392" i="32"/>
  <c r="AC138" i="32"/>
  <c r="AC33" i="32"/>
  <c r="AC528" i="32"/>
  <c r="AC471" i="32"/>
  <c r="AC125" i="32"/>
  <c r="Z52" i="31"/>
  <c r="Z13" i="31"/>
  <c r="Z21" i="31"/>
  <c r="Z53" i="31"/>
  <c r="AC516" i="32"/>
  <c r="Z16" i="31"/>
  <c r="AC329" i="32"/>
  <c r="AC306" i="32"/>
  <c r="Z44" i="31"/>
  <c r="Z37" i="31"/>
  <c r="Z69" i="31"/>
  <c r="AC598" i="32"/>
  <c r="Z20" i="31"/>
  <c r="Z46" i="31"/>
  <c r="Z605" i="31"/>
  <c r="Z598" i="31"/>
  <c r="Z586" i="31"/>
  <c r="Z601" i="31"/>
  <c r="Z576" i="31"/>
  <c r="Z582" i="31"/>
  <c r="Z557" i="31"/>
  <c r="Z552" i="31"/>
  <c r="Z555" i="31"/>
  <c r="Z537" i="31"/>
  <c r="Z517" i="31"/>
  <c r="Z523" i="31"/>
  <c r="Z521" i="31"/>
  <c r="Z519" i="31"/>
  <c r="Z482" i="31"/>
  <c r="Z488" i="31"/>
  <c r="Z478" i="31"/>
  <c r="Z458" i="31"/>
  <c r="Z456" i="31"/>
  <c r="Z454" i="31"/>
  <c r="Z439" i="31"/>
  <c r="Z453" i="31"/>
  <c r="Z435" i="31"/>
  <c r="Z428" i="31"/>
  <c r="Z415" i="31"/>
  <c r="Z413" i="31"/>
  <c r="Z403" i="31"/>
  <c r="Z374" i="31"/>
  <c r="Z395" i="31"/>
  <c r="Z368" i="31"/>
  <c r="Z366" i="31"/>
  <c r="Z356" i="31"/>
  <c r="Z370" i="31"/>
  <c r="Z305" i="31"/>
  <c r="Z312" i="31"/>
  <c r="Z303" i="31"/>
  <c r="Z302" i="31"/>
  <c r="Z361" i="31"/>
  <c r="Z292" i="31"/>
  <c r="Z322" i="31"/>
  <c r="Z315" i="31"/>
  <c r="Z298" i="31"/>
  <c r="Z278" i="31"/>
  <c r="Z285" i="31"/>
  <c r="Z331" i="31"/>
  <c r="Z346" i="31"/>
  <c r="Z284" i="31"/>
  <c r="Z251" i="31"/>
  <c r="Z229" i="31"/>
  <c r="Z234" i="31"/>
  <c r="Z211" i="31"/>
  <c r="Z206" i="31"/>
  <c r="Z205" i="31"/>
  <c r="Z204" i="31"/>
  <c r="Z195" i="31"/>
  <c r="Z219" i="31"/>
  <c r="Z146" i="31"/>
  <c r="Z153" i="31"/>
  <c r="Z168" i="31"/>
  <c r="Z91" i="31"/>
  <c r="Z90" i="31"/>
  <c r="Z89" i="31"/>
  <c r="Z96" i="31"/>
  <c r="Z103" i="31"/>
  <c r="Z110" i="31"/>
  <c r="Z117" i="31"/>
  <c r="Z116" i="31"/>
  <c r="AC87" i="32"/>
  <c r="Z60" i="31"/>
  <c r="Z77" i="31"/>
  <c r="AC175" i="32"/>
  <c r="Z22" i="31"/>
  <c r="Z38" i="31"/>
  <c r="Z68" i="31"/>
  <c r="Z54" i="31"/>
  <c r="Z29" i="31"/>
  <c r="Z61" i="31"/>
  <c r="Z606" i="31"/>
  <c r="Z600" i="31"/>
  <c r="Z590" i="31"/>
  <c r="Z574" i="31"/>
  <c r="Z559" i="31"/>
  <c r="Z561" i="31"/>
  <c r="Z550" i="31"/>
  <c r="Z544" i="31"/>
  <c r="Z509" i="31"/>
  <c r="Z507" i="31"/>
  <c r="Z520" i="31"/>
  <c r="Z533" i="31"/>
  <c r="Z510" i="31"/>
  <c r="Z494" i="31"/>
  <c r="Z466" i="31"/>
  <c r="Z518" i="31"/>
  <c r="Z485" i="31"/>
  <c r="Z452" i="31"/>
  <c r="Z469" i="31"/>
  <c r="Z418" i="31"/>
  <c r="Z408" i="31"/>
  <c r="Z421" i="31"/>
  <c r="Z391" i="31"/>
  <c r="Z389" i="31"/>
  <c r="Z394" i="31"/>
  <c r="Z367" i="31"/>
  <c r="Z449" i="31"/>
  <c r="Z400" i="31"/>
  <c r="Z313" i="31"/>
  <c r="Z304" i="31"/>
  <c r="Z287" i="31"/>
  <c r="Z333" i="31"/>
  <c r="Z324" i="31"/>
  <c r="Z274" i="31"/>
  <c r="Z369" i="31"/>
  <c r="Z330" i="31"/>
  <c r="Z270" i="31"/>
  <c r="Z269" i="31"/>
  <c r="Z252" i="31"/>
  <c r="Z276" i="31"/>
  <c r="Z232" i="31"/>
  <c r="Z222" i="31"/>
  <c r="Z239" i="31"/>
  <c r="Z199" i="31"/>
  <c r="Z190" i="31"/>
  <c r="Z181" i="31"/>
  <c r="Z172" i="31"/>
  <c r="Z155" i="31"/>
  <c r="Z162" i="31"/>
  <c r="Z161" i="31"/>
  <c r="Z160" i="31"/>
  <c r="Z138" i="31"/>
  <c r="Z129" i="31"/>
  <c r="Z128" i="31"/>
  <c r="Z127" i="31"/>
  <c r="Z126" i="31"/>
  <c r="Z125" i="31"/>
  <c r="Z108" i="31"/>
  <c r="Z31" i="31"/>
  <c r="Z55" i="31"/>
  <c r="Z79" i="31"/>
  <c r="Z24" i="31"/>
  <c r="Z48" i="31"/>
  <c r="Z72" i="31"/>
  <c r="Z26" i="31"/>
  <c r="Z58" i="31"/>
  <c r="Z19" i="31"/>
  <c r="Z51" i="31"/>
  <c r="Z612" i="31"/>
  <c r="Z611" i="31"/>
  <c r="Z593" i="31"/>
  <c r="Z578" i="31"/>
  <c r="Z573" i="31"/>
  <c r="Z558" i="31"/>
  <c r="Z545" i="31"/>
  <c r="Z540" i="31"/>
  <c r="Z536" i="31"/>
  <c r="Z541" i="31"/>
  <c r="Z522" i="31"/>
  <c r="Z504" i="31"/>
  <c r="Z498" i="31"/>
  <c r="Z496" i="31"/>
  <c r="Z493" i="31"/>
  <c r="Z476" i="31"/>
  <c r="Z463" i="31"/>
  <c r="Z440" i="31"/>
  <c r="Z438" i="31"/>
  <c r="Z436" i="31"/>
  <c r="Z429" i="31"/>
  <c r="Z407" i="31"/>
  <c r="Z460" i="31"/>
  <c r="Z375" i="31"/>
  <c r="Z373" i="31"/>
  <c r="Z378" i="31"/>
  <c r="Z411" i="31"/>
  <c r="Z364" i="31"/>
  <c r="Z362" i="31"/>
  <c r="Z289" i="31"/>
  <c r="Z343" i="31"/>
  <c r="Z334" i="31"/>
  <c r="Z317" i="31"/>
  <c r="Z308" i="31"/>
  <c r="Z258" i="31"/>
  <c r="Z286" i="31"/>
  <c r="Z279" i="31"/>
  <c r="Z254" i="31"/>
  <c r="Z253" i="31"/>
  <c r="Z268" i="31"/>
  <c r="Z250" i="31"/>
  <c r="Z216" i="31"/>
  <c r="Z221" i="31"/>
  <c r="Z218" i="31"/>
  <c r="Z183" i="31"/>
  <c r="Z174" i="31"/>
  <c r="Z165" i="31"/>
  <c r="Z156" i="31"/>
  <c r="Z241" i="31"/>
  <c r="Z227" i="31"/>
  <c r="Z235" i="31"/>
  <c r="Z131" i="31"/>
  <c r="Z122" i="31"/>
  <c r="Z113" i="31"/>
  <c r="Z112" i="31"/>
  <c r="Z111" i="31"/>
  <c r="Z102" i="31"/>
  <c r="Z101" i="31"/>
  <c r="Z92" i="31"/>
  <c r="Z71" i="31"/>
  <c r="Z84" i="31"/>
  <c r="Z18" i="31"/>
  <c r="Z50" i="31"/>
  <c r="Z43" i="31"/>
  <c r="Z75" i="31"/>
  <c r="Z28" i="31"/>
  <c r="Z604" i="31"/>
  <c r="Z603" i="31"/>
  <c r="Z585" i="31"/>
  <c r="Z570" i="31"/>
  <c r="Z580" i="31"/>
  <c r="Z565" i="31"/>
  <c r="Z572" i="31"/>
  <c r="Z532" i="31"/>
  <c r="Z528" i="31"/>
  <c r="Z524" i="31"/>
  <c r="Z514" i="31"/>
  <c r="Z571" i="31"/>
  <c r="Z490" i="31"/>
  <c r="Z480" i="31"/>
  <c r="Z475" i="31"/>
  <c r="Z465" i="31"/>
  <c r="Z455" i="31"/>
  <c r="Z432" i="31"/>
  <c r="Z430" i="31"/>
  <c r="Z443" i="31"/>
  <c r="Z417" i="31"/>
  <c r="Z422" i="31"/>
  <c r="Z441" i="31"/>
  <c r="Z402" i="31"/>
  <c r="Z396" i="31"/>
  <c r="Z393" i="31"/>
  <c r="Z377" i="31"/>
  <c r="Z348" i="31"/>
  <c r="Z354" i="31"/>
  <c r="Z351" i="31"/>
  <c r="Z335" i="31"/>
  <c r="Z326" i="31"/>
  <c r="Z309" i="31"/>
  <c r="Z300" i="31"/>
  <c r="Z290" i="31"/>
  <c r="Z280" i="31"/>
  <c r="Z271" i="31"/>
  <c r="Z246" i="31"/>
  <c r="Z245" i="31"/>
  <c r="Z249" i="31"/>
  <c r="Z247" i="31"/>
  <c r="Z231" i="31"/>
  <c r="Z213" i="31"/>
  <c r="Z210" i="31"/>
  <c r="Z175" i="31"/>
  <c r="Z166" i="31"/>
  <c r="Z157" i="31"/>
  <c r="Z203" i="31"/>
  <c r="Z202" i="31"/>
  <c r="Z201" i="31"/>
  <c r="Z208" i="31"/>
  <c r="Z123" i="31"/>
  <c r="Z114" i="31"/>
  <c r="Z105" i="31"/>
  <c r="Z104" i="31"/>
  <c r="Z95" i="31"/>
  <c r="Z94" i="31"/>
  <c r="Z93" i="31"/>
  <c r="Z23" i="31"/>
  <c r="Z47" i="31"/>
  <c r="Z40" i="31"/>
  <c r="Z64" i="31"/>
  <c r="Z33" i="31"/>
  <c r="Z65" i="31"/>
  <c r="Z45" i="31"/>
  <c r="Z30" i="31"/>
  <c r="Z610" i="31"/>
  <c r="Z595" i="31"/>
  <c r="Z607" i="31"/>
  <c r="Z583" i="31"/>
  <c r="Z562" i="31"/>
  <c r="Z579" i="31"/>
  <c r="Z560" i="31"/>
  <c r="Z539" i="31"/>
  <c r="Z547" i="31"/>
  <c r="Z516" i="31"/>
  <c r="Z506" i="31"/>
  <c r="Z530" i="31"/>
  <c r="Z497" i="31"/>
  <c r="Z495" i="31"/>
  <c r="Z467" i="31"/>
  <c r="Z457" i="31"/>
  <c r="Z492" i="31"/>
  <c r="Z468" i="31"/>
  <c r="Z474" i="31"/>
  <c r="Z442" i="31"/>
  <c r="Z409" i="31"/>
  <c r="Z414" i="31"/>
  <c r="Z420" i="31"/>
  <c r="Z398" i="31"/>
  <c r="Z388" i="31"/>
  <c r="Z372" i="31"/>
  <c r="Z358" i="31"/>
  <c r="Z392" i="31"/>
  <c r="Z345" i="31"/>
  <c r="Z344" i="31"/>
  <c r="Z327" i="31"/>
  <c r="Z318" i="31"/>
  <c r="Z301" i="31"/>
  <c r="Z353" i="31"/>
  <c r="Z281" i="31"/>
  <c r="Z272" i="31"/>
  <c r="Z263" i="31"/>
  <c r="Z238" i="31"/>
  <c r="Z237" i="31"/>
  <c r="Z243" i="31"/>
  <c r="Z267" i="31"/>
  <c r="Z223" i="31"/>
  <c r="Z236" i="31"/>
  <c r="Z233" i="31"/>
  <c r="Z167" i="31"/>
  <c r="Z158" i="31"/>
  <c r="Z149" i="31"/>
  <c r="Z187" i="31"/>
  <c r="Z194" i="31"/>
  <c r="Z193" i="31"/>
  <c r="Z200" i="31"/>
  <c r="Z115" i="31"/>
  <c r="Z106" i="31"/>
  <c r="Z97" i="31"/>
  <c r="Z88" i="31"/>
  <c r="Z87" i="31"/>
  <c r="Z86" i="31"/>
  <c r="Z85" i="31"/>
  <c r="Z42" i="31"/>
  <c r="Z74" i="31"/>
  <c r="Z35" i="31"/>
  <c r="Z67" i="31"/>
  <c r="Z62" i="31"/>
  <c r="Z609" i="31"/>
  <c r="Z602" i="31"/>
  <c r="Z592" i="31"/>
  <c r="Z577" i="31"/>
  <c r="Z569" i="31"/>
  <c r="Z564" i="31"/>
  <c r="Z551" i="31"/>
  <c r="Z531" i="31"/>
  <c r="Z535" i="31"/>
  <c r="Z508" i="31"/>
  <c r="Z542" i="31"/>
  <c r="Z499" i="31"/>
  <c r="Z489" i="31"/>
  <c r="Z487" i="31"/>
  <c r="Z459" i="31"/>
  <c r="Z484" i="31"/>
  <c r="Z470" i="31"/>
  <c r="Z447" i="31"/>
  <c r="Z450" i="31"/>
  <c r="Z434" i="31"/>
  <c r="Z401" i="31"/>
  <c r="Z406" i="31"/>
  <c r="Z412" i="31"/>
  <c r="Z390" i="31"/>
  <c r="Z380" i="31"/>
  <c r="Z360" i="31"/>
  <c r="Z597" i="31"/>
  <c r="Z567" i="31"/>
  <c r="Z546" i="31"/>
  <c r="Z548" i="31"/>
  <c r="Z473" i="31"/>
  <c r="Z472" i="31"/>
  <c r="Z446" i="31"/>
  <c r="Z416" i="31"/>
  <c r="Z382" i="31"/>
  <c r="Z359" i="31"/>
  <c r="Z385" i="31"/>
  <c r="Z296" i="31"/>
  <c r="Z325" i="31"/>
  <c r="Z266" i="31"/>
  <c r="Z288" i="31"/>
  <c r="Z261" i="31"/>
  <c r="Z259" i="31"/>
  <c r="Z214" i="31"/>
  <c r="Z191" i="31"/>
  <c r="Z173" i="31"/>
  <c r="Z147" i="31"/>
  <c r="Z145" i="31"/>
  <c r="Z130" i="31"/>
  <c r="Z120" i="31"/>
  <c r="Z118" i="31"/>
  <c r="Z100" i="31"/>
  <c r="Z41" i="31"/>
  <c r="Z228" i="31"/>
  <c r="Z80" i="31"/>
  <c r="Z39" i="31"/>
  <c r="Z63" i="31"/>
  <c r="Z25" i="31"/>
  <c r="Z59" i="31"/>
  <c r="Z70" i="31"/>
  <c r="Z461" i="31"/>
  <c r="Z355" i="31"/>
  <c r="Z341" i="31"/>
  <c r="Z291" i="31"/>
  <c r="Z189" i="31"/>
  <c r="Z136" i="31"/>
  <c r="Z14" i="31"/>
  <c r="Z584" i="31"/>
  <c r="Z566" i="31"/>
  <c r="Z538" i="31"/>
  <c r="Z513" i="31"/>
  <c r="Z500" i="31"/>
  <c r="Z464" i="31"/>
  <c r="Z445" i="31"/>
  <c r="Z423" i="31"/>
  <c r="Z397" i="31"/>
  <c r="Z384" i="31"/>
  <c r="Z337" i="31"/>
  <c r="Z319" i="31"/>
  <c r="Z349" i="31"/>
  <c r="Z273" i="31"/>
  <c r="Z255" i="31"/>
  <c r="Z350" i="31"/>
  <c r="Z244" i="31"/>
  <c r="Z159" i="31"/>
  <c r="Z196" i="31"/>
  <c r="Z186" i="31"/>
  <c r="Z192" i="31"/>
  <c r="Z98" i="31"/>
  <c r="Z152" i="31"/>
  <c r="Z34" i="31"/>
  <c r="Z424" i="31"/>
  <c r="Z248" i="31"/>
  <c r="Z83" i="31"/>
  <c r="Z591" i="31"/>
  <c r="Z563" i="31"/>
  <c r="Z529" i="31"/>
  <c r="Z505" i="31"/>
  <c r="Z479" i="31"/>
  <c r="Z471" i="31"/>
  <c r="Z437" i="31"/>
  <c r="Z433" i="31"/>
  <c r="Z381" i="31"/>
  <c r="Z365" i="31"/>
  <c r="Z329" i="31"/>
  <c r="Z311" i="31"/>
  <c r="Z340" i="31"/>
  <c r="Z265" i="31"/>
  <c r="Z323" i="31"/>
  <c r="Z260" i="31"/>
  <c r="Z242" i="31"/>
  <c r="Z220" i="31"/>
  <c r="Z151" i="31"/>
  <c r="Z188" i="31"/>
  <c r="Z178" i="31"/>
  <c r="Z184" i="31"/>
  <c r="Z82" i="31"/>
  <c r="Z143" i="31"/>
  <c r="Z141" i="31"/>
  <c r="Z15" i="31"/>
  <c r="Z66" i="31"/>
  <c r="Z27" i="31"/>
  <c r="Z363" i="31"/>
  <c r="Z171" i="31"/>
  <c r="Z32" i="31"/>
  <c r="Z209" i="31"/>
  <c r="Z608" i="31"/>
  <c r="Z589" i="31"/>
  <c r="Z554" i="31"/>
  <c r="Z527" i="31"/>
  <c r="Z512" i="31"/>
  <c r="Z503" i="31"/>
  <c r="Z462" i="31"/>
  <c r="Z444" i="31"/>
  <c r="Z425" i="31"/>
  <c r="Z387" i="31"/>
  <c r="Z357" i="31"/>
  <c r="Z321" i="31"/>
  <c r="Z295" i="31"/>
  <c r="Z332" i="31"/>
  <c r="Z257" i="31"/>
  <c r="Z293" i="31"/>
  <c r="Z275" i="31"/>
  <c r="Z240" i="31"/>
  <c r="Z212" i="31"/>
  <c r="Z198" i="31"/>
  <c r="Z180" i="31"/>
  <c r="Z170" i="31"/>
  <c r="Z176" i="31"/>
  <c r="Z137" i="31"/>
  <c r="Z135" i="31"/>
  <c r="Z133" i="31"/>
  <c r="Z49" i="31"/>
  <c r="Z177" i="31"/>
  <c r="Z169" i="31"/>
  <c r="Z599" i="31"/>
  <c r="Z575" i="31"/>
  <c r="Z553" i="31"/>
  <c r="Z525" i="31"/>
  <c r="Z491" i="31"/>
  <c r="Z486" i="31"/>
  <c r="Z511" i="31"/>
  <c r="Z426" i="31"/>
  <c r="Z405" i="31"/>
  <c r="Z379" i="31"/>
  <c r="Z376" i="31"/>
  <c r="Z297" i="31"/>
  <c r="Z342" i="31"/>
  <c r="Z316" i="31"/>
  <c r="Z347" i="31"/>
  <c r="Z262" i="31"/>
  <c r="Z314" i="31"/>
  <c r="Z224" i="31"/>
  <c r="Z226" i="31"/>
  <c r="Z182" i="31"/>
  <c r="Z164" i="31"/>
  <c r="Z154" i="31"/>
  <c r="Z139" i="31"/>
  <c r="Z121" i="31"/>
  <c r="Z119" i="31"/>
  <c r="Z109" i="31"/>
  <c r="Z73" i="31"/>
  <c r="Z594" i="31"/>
  <c r="Z581" i="31"/>
  <c r="Z556" i="31"/>
  <c r="Z534" i="31"/>
  <c r="Z502" i="31"/>
  <c r="Z431" i="31"/>
  <c r="Z410" i="31"/>
  <c r="Z419" i="31"/>
  <c r="Z328" i="31"/>
  <c r="Z294" i="31"/>
  <c r="Z256" i="31"/>
  <c r="Z306" i="31"/>
  <c r="Z207" i="31"/>
  <c r="Z197" i="31"/>
  <c r="Z99" i="31"/>
  <c r="Z142" i="31"/>
  <c r="Z587" i="31"/>
  <c r="Z568" i="31"/>
  <c r="Z549" i="31"/>
  <c r="Z515" i="31"/>
  <c r="Z481" i="31"/>
  <c r="Z526" i="31"/>
  <c r="Z399" i="31"/>
  <c r="Z320" i="31"/>
  <c r="Z282" i="31"/>
  <c r="Z230" i="31"/>
  <c r="Z163" i="31"/>
  <c r="Z124" i="31"/>
  <c r="Z17" i="31"/>
  <c r="Z596" i="31"/>
  <c r="Z588" i="31"/>
  <c r="Z543" i="31"/>
  <c r="Z501" i="31"/>
  <c r="Z483" i="31"/>
  <c r="Z451" i="31"/>
  <c r="Z448" i="31"/>
  <c r="Z427" i="31"/>
  <c r="Z404" i="31"/>
  <c r="Z386" i="31"/>
  <c r="Z371" i="31"/>
  <c r="Z336" i="31"/>
  <c r="Z310" i="31"/>
  <c r="Z339" i="31"/>
  <c r="Z264" i="31"/>
  <c r="Z338" i="31"/>
  <c r="Z299" i="31"/>
  <c r="Z215" i="31"/>
  <c r="Z225" i="31"/>
  <c r="Z150" i="31"/>
  <c r="Z179" i="31"/>
  <c r="Z185" i="31"/>
  <c r="Z107" i="31"/>
  <c r="Z81" i="31"/>
  <c r="Z148" i="31"/>
  <c r="Z140" i="31"/>
  <c r="Z56" i="31"/>
  <c r="Z57" i="31"/>
  <c r="Z477" i="31"/>
  <c r="Z352" i="31"/>
  <c r="Z307" i="31"/>
  <c r="Z283" i="31"/>
  <c r="Z217" i="31"/>
  <c r="Z144" i="31"/>
  <c r="Z132" i="31"/>
  <c r="Z383" i="31"/>
  <c r="Z277" i="31"/>
  <c r="Z134" i="31"/>
  <c r="Z626" i="31"/>
  <c r="Z623" i="31"/>
  <c r="Z622" i="31"/>
  <c r="Z628" i="31"/>
  <c r="Z624" i="31"/>
  <c r="AC624" i="31" s="1"/>
  <c r="W627" i="31"/>
  <c r="J627" i="31"/>
  <c r="G627" i="31"/>
  <c r="D627" i="31"/>
  <c r="Z627" i="31"/>
  <c r="M627" i="31"/>
  <c r="T627" i="31"/>
  <c r="I624" i="31"/>
  <c r="H624" i="31"/>
  <c r="P624" i="31"/>
  <c r="E625" i="31"/>
  <c r="F625" i="31"/>
  <c r="G629" i="31"/>
  <c r="M629" i="31"/>
  <c r="W629" i="31"/>
  <c r="J629" i="31"/>
  <c r="T629" i="31"/>
  <c r="D629" i="31"/>
  <c r="Z629" i="31"/>
  <c r="L624" i="31"/>
  <c r="K624" i="31"/>
  <c r="H625" i="31"/>
  <c r="I625" i="31"/>
  <c r="P625" i="31"/>
  <c r="O624" i="31"/>
  <c r="N624" i="31"/>
  <c r="AA625" i="31"/>
  <c r="AB625" i="31"/>
  <c r="F624" i="31"/>
  <c r="E624" i="31"/>
  <c r="AE629" i="32" l="1"/>
  <c r="AD629" i="32"/>
  <c r="AR627" i="32"/>
  <c r="AQ627" i="32"/>
  <c r="AL629" i="32"/>
  <c r="AK629" i="32"/>
  <c r="AL627" i="32"/>
  <c r="AK627" i="32"/>
  <c r="AD628" i="32"/>
  <c r="AE628" i="32"/>
  <c r="AF628" i="32"/>
  <c r="Y629" i="32"/>
  <c r="X629" i="32"/>
  <c r="AF629" i="32"/>
  <c r="AO627" i="32"/>
  <c r="AN627" i="32"/>
  <c r="AD622" i="32"/>
  <c r="AE622" i="32"/>
  <c r="AF622" i="32"/>
  <c r="AO629" i="32"/>
  <c r="AN629" i="32"/>
  <c r="Y627" i="32"/>
  <c r="X627" i="32"/>
  <c r="AF627" i="32"/>
  <c r="AF623" i="32"/>
  <c r="AD623" i="32"/>
  <c r="AE623" i="32"/>
  <c r="AE626" i="32"/>
  <c r="AD626" i="32"/>
  <c r="AF626" i="32"/>
  <c r="AA629" i="32"/>
  <c r="AB629" i="32"/>
  <c r="AB627" i="32"/>
  <c r="AA627" i="32"/>
  <c r="AE625" i="32"/>
  <c r="AD625" i="32"/>
  <c r="AF625" i="32"/>
  <c r="AQ629" i="32"/>
  <c r="AR629" i="32"/>
  <c r="AE627" i="32"/>
  <c r="AD627" i="32"/>
  <c r="AE624" i="32"/>
  <c r="AD624" i="32"/>
  <c r="AF624" i="32"/>
  <c r="AB477" i="31"/>
  <c r="AA477" i="31"/>
  <c r="AC477" i="31"/>
  <c r="AB164" i="31"/>
  <c r="AA164" i="31"/>
  <c r="AC164" i="31"/>
  <c r="AA150" i="31"/>
  <c r="AB150" i="31"/>
  <c r="AC150" i="31"/>
  <c r="AA328" i="31"/>
  <c r="AB328" i="31"/>
  <c r="AC328" i="31"/>
  <c r="AA608" i="31"/>
  <c r="AB608" i="31"/>
  <c r="AC608" i="31"/>
  <c r="AA341" i="31"/>
  <c r="AB341" i="31"/>
  <c r="AC341" i="31"/>
  <c r="AA459" i="31"/>
  <c r="AB459" i="31"/>
  <c r="AC459" i="31"/>
  <c r="AB495" i="31"/>
  <c r="AA495" i="31"/>
  <c r="AC495" i="31"/>
  <c r="AB326" i="31"/>
  <c r="AA326" i="31"/>
  <c r="AC326" i="31"/>
  <c r="AB308" i="31"/>
  <c r="AA308" i="31"/>
  <c r="AC308" i="31"/>
  <c r="AB181" i="31"/>
  <c r="AA181" i="31"/>
  <c r="AC181" i="31"/>
  <c r="AA561" i="31"/>
  <c r="AB561" i="31"/>
  <c r="AC561" i="31"/>
  <c r="AA403" i="31"/>
  <c r="AB403" i="31"/>
  <c r="AC403" i="31"/>
  <c r="AA36" i="31"/>
  <c r="AB36" i="31"/>
  <c r="AC36" i="31"/>
  <c r="AD271" i="32"/>
  <c r="AE271" i="32"/>
  <c r="AF271" i="32"/>
  <c r="AE558" i="32"/>
  <c r="AD558" i="32"/>
  <c r="AF558" i="32"/>
  <c r="AE40" i="32"/>
  <c r="AD40" i="32"/>
  <c r="AF40" i="32"/>
  <c r="AE209" i="32"/>
  <c r="AD209" i="32"/>
  <c r="AF209" i="32"/>
  <c r="AD400" i="32"/>
  <c r="AE400" i="32"/>
  <c r="AF400" i="32"/>
  <c r="AD246" i="32"/>
  <c r="AE246" i="32"/>
  <c r="AF246" i="32"/>
  <c r="AD389" i="32"/>
  <c r="AE389" i="32"/>
  <c r="AF389" i="32"/>
  <c r="AA624" i="31"/>
  <c r="AB624" i="31"/>
  <c r="AA148" i="31"/>
  <c r="AB148" i="31"/>
  <c r="AC148" i="31"/>
  <c r="AB197" i="31"/>
  <c r="AA197" i="31"/>
  <c r="AC197" i="31"/>
  <c r="AA314" i="31"/>
  <c r="AB314" i="31"/>
  <c r="AC314" i="31"/>
  <c r="AB170" i="31"/>
  <c r="AA170" i="31"/>
  <c r="AC170" i="31"/>
  <c r="AA171" i="31"/>
  <c r="AB171" i="31"/>
  <c r="AC171" i="31"/>
  <c r="AA424" i="31"/>
  <c r="AB424" i="31"/>
  <c r="AC424" i="31"/>
  <c r="AA584" i="31"/>
  <c r="AB584" i="31"/>
  <c r="AC584" i="31"/>
  <c r="AA359" i="31"/>
  <c r="AB359" i="31"/>
  <c r="AC359" i="31"/>
  <c r="O629" i="31"/>
  <c r="N629" i="31"/>
  <c r="AA307" i="31"/>
  <c r="AB307" i="31"/>
  <c r="AC307" i="31"/>
  <c r="AA264" i="31"/>
  <c r="AB264" i="31"/>
  <c r="AC264" i="31"/>
  <c r="AB124" i="31"/>
  <c r="AA124" i="31"/>
  <c r="AC124" i="31"/>
  <c r="AA306" i="31"/>
  <c r="AB306" i="31"/>
  <c r="AC306" i="31"/>
  <c r="AA139" i="31"/>
  <c r="AB139" i="31"/>
  <c r="AC139" i="31"/>
  <c r="AB511" i="31"/>
  <c r="AA511" i="31"/>
  <c r="AC511" i="31"/>
  <c r="I629" i="31"/>
  <c r="H629" i="31"/>
  <c r="P629" i="31"/>
  <c r="AA627" i="31"/>
  <c r="AB627" i="31"/>
  <c r="AA622" i="31"/>
  <c r="AB622" i="31"/>
  <c r="AC622" i="31"/>
  <c r="AB134" i="31"/>
  <c r="AA134" i="31"/>
  <c r="AC134" i="31"/>
  <c r="AA352" i="31"/>
  <c r="AB352" i="31"/>
  <c r="AC352" i="31"/>
  <c r="AA185" i="31"/>
  <c r="AB185" i="31"/>
  <c r="AC185" i="31"/>
  <c r="AA339" i="31"/>
  <c r="AB339" i="31"/>
  <c r="AC339" i="31"/>
  <c r="AB451" i="31"/>
  <c r="AA451" i="31"/>
  <c r="AC451" i="31"/>
  <c r="AB163" i="31"/>
  <c r="AA163" i="31"/>
  <c r="AC163" i="31"/>
  <c r="AB549" i="31"/>
  <c r="AA549" i="31"/>
  <c r="AC549" i="31"/>
  <c r="AA256" i="31"/>
  <c r="AB256" i="31"/>
  <c r="AC256" i="31"/>
  <c r="AB556" i="31"/>
  <c r="AA556" i="31"/>
  <c r="AC556" i="31"/>
  <c r="AB154" i="31"/>
  <c r="AA154" i="31"/>
  <c r="AC154" i="31"/>
  <c r="AB316" i="31"/>
  <c r="AA316" i="31"/>
  <c r="AC316" i="31"/>
  <c r="AB486" i="31"/>
  <c r="AA486" i="31"/>
  <c r="AC486" i="31"/>
  <c r="AB49" i="31"/>
  <c r="AA49" i="31"/>
  <c r="AC49" i="31"/>
  <c r="AA212" i="31"/>
  <c r="AB212" i="31"/>
  <c r="AC212" i="31"/>
  <c r="AB357" i="31"/>
  <c r="AA357" i="31"/>
  <c r="AC357" i="31"/>
  <c r="AB554" i="31"/>
  <c r="AA554" i="31"/>
  <c r="AC554" i="31"/>
  <c r="AC66" i="31"/>
  <c r="AB66" i="31"/>
  <c r="AA66" i="31"/>
  <c r="AA151" i="31"/>
  <c r="AB151" i="31"/>
  <c r="AC151" i="31"/>
  <c r="AB329" i="31"/>
  <c r="AA329" i="31"/>
  <c r="AC329" i="31"/>
  <c r="AA529" i="31"/>
  <c r="AB529" i="31"/>
  <c r="AC529" i="31"/>
  <c r="AA98" i="31"/>
  <c r="AB98" i="31"/>
  <c r="AC98" i="31"/>
  <c r="AB273" i="31"/>
  <c r="AA273" i="31"/>
  <c r="AC273" i="31"/>
  <c r="AB464" i="31"/>
  <c r="AA464" i="31"/>
  <c r="AC464" i="31"/>
  <c r="AA189" i="31"/>
  <c r="AB189" i="31"/>
  <c r="AC189" i="31"/>
  <c r="AB63" i="31"/>
  <c r="AA63" i="31"/>
  <c r="AC63" i="31"/>
  <c r="AB130" i="31"/>
  <c r="AA130" i="31"/>
  <c r="AC130" i="31"/>
  <c r="AB288" i="31"/>
  <c r="AA288" i="31"/>
  <c r="AC288" i="31"/>
  <c r="AA446" i="31"/>
  <c r="AB446" i="31"/>
  <c r="AC446" i="31"/>
  <c r="AB380" i="31"/>
  <c r="AA380" i="31"/>
  <c r="AC380" i="31"/>
  <c r="AA470" i="31"/>
  <c r="AB470" i="31"/>
  <c r="AC470" i="31"/>
  <c r="AB535" i="31"/>
  <c r="AA535" i="31"/>
  <c r="AC535" i="31"/>
  <c r="AA609" i="31"/>
  <c r="AB609" i="31"/>
  <c r="AC609" i="31"/>
  <c r="AB87" i="31"/>
  <c r="AA87" i="31"/>
  <c r="AC87" i="31"/>
  <c r="AB187" i="31"/>
  <c r="AA187" i="31"/>
  <c r="AC187" i="31"/>
  <c r="AB243" i="31"/>
  <c r="AA243" i="31"/>
  <c r="AC243" i="31"/>
  <c r="AB318" i="31"/>
  <c r="AA318" i="31"/>
  <c r="AC318" i="31"/>
  <c r="AB398" i="31"/>
  <c r="AA398" i="31"/>
  <c r="AC398" i="31"/>
  <c r="AB457" i="31"/>
  <c r="AA457" i="31"/>
  <c r="AC457" i="31"/>
  <c r="AA539" i="31"/>
  <c r="AB539" i="31"/>
  <c r="AC539" i="31"/>
  <c r="AB30" i="31"/>
  <c r="AA30" i="31"/>
  <c r="AC30" i="31"/>
  <c r="AB93" i="31"/>
  <c r="AA93" i="31"/>
  <c r="AC93" i="31"/>
  <c r="AA201" i="31"/>
  <c r="AB201" i="31"/>
  <c r="AC201" i="31"/>
  <c r="AA231" i="31"/>
  <c r="AB231" i="31"/>
  <c r="AC231" i="31"/>
  <c r="AB300" i="31"/>
  <c r="AA300" i="31"/>
  <c r="AC300" i="31"/>
  <c r="AB393" i="31"/>
  <c r="AA393" i="31"/>
  <c r="AC393" i="31"/>
  <c r="AB432" i="31"/>
  <c r="AA432" i="31"/>
  <c r="AC432" i="31"/>
  <c r="AA524" i="31"/>
  <c r="AB524" i="31"/>
  <c r="AC524" i="31"/>
  <c r="AB603" i="31"/>
  <c r="AA603" i="31"/>
  <c r="AC603" i="31"/>
  <c r="AA71" i="31"/>
  <c r="AB71" i="31"/>
  <c r="AC71" i="31"/>
  <c r="AA131" i="31"/>
  <c r="AB131" i="31"/>
  <c r="AC131" i="31"/>
  <c r="AA218" i="31"/>
  <c r="AB218" i="31"/>
  <c r="AC218" i="31"/>
  <c r="AA286" i="31"/>
  <c r="AB286" i="31"/>
  <c r="AC286" i="31"/>
  <c r="AA364" i="31"/>
  <c r="AB364" i="31"/>
  <c r="AC364" i="31"/>
  <c r="AB436" i="31"/>
  <c r="AA436" i="31"/>
  <c r="AC436" i="31"/>
  <c r="AB504" i="31"/>
  <c r="AA504" i="31"/>
  <c r="AC504" i="31"/>
  <c r="AA578" i="31"/>
  <c r="AB578" i="31"/>
  <c r="AC578" i="31"/>
  <c r="AA72" i="31"/>
  <c r="AB72" i="31"/>
  <c r="AC72" i="31"/>
  <c r="AB126" i="31"/>
  <c r="AA126" i="31"/>
  <c r="AC126" i="31"/>
  <c r="AB155" i="31"/>
  <c r="AA155" i="31"/>
  <c r="AC155" i="31"/>
  <c r="AB276" i="31"/>
  <c r="AA276" i="31"/>
  <c r="AC276" i="31"/>
  <c r="AB333" i="31"/>
  <c r="AA333" i="31"/>
  <c r="AC333" i="31"/>
  <c r="AB389" i="31"/>
  <c r="AA389" i="31"/>
  <c r="AC389" i="31"/>
  <c r="AB518" i="31"/>
  <c r="AA518" i="31"/>
  <c r="AC518" i="31"/>
  <c r="AB544" i="31"/>
  <c r="AA544" i="31"/>
  <c r="AC544" i="31"/>
  <c r="AA61" i="31"/>
  <c r="AB61" i="31"/>
  <c r="AC61" i="31"/>
  <c r="AB60" i="31"/>
  <c r="AA60" i="31"/>
  <c r="AC60" i="31"/>
  <c r="AA90" i="31"/>
  <c r="AB90" i="31"/>
  <c r="AC90" i="31"/>
  <c r="AB205" i="31"/>
  <c r="AA205" i="31"/>
  <c r="AC205" i="31"/>
  <c r="AB331" i="31"/>
  <c r="AA331" i="31"/>
  <c r="AC331" i="31"/>
  <c r="AB302" i="31"/>
  <c r="AA302" i="31"/>
  <c r="AC302" i="31"/>
  <c r="AB395" i="31"/>
  <c r="AA395" i="31"/>
  <c r="AC395" i="31"/>
  <c r="AA439" i="31"/>
  <c r="AB439" i="31"/>
  <c r="AC439" i="31"/>
  <c r="AB521" i="31"/>
  <c r="AA521" i="31"/>
  <c r="AC521" i="31"/>
  <c r="AB576" i="31"/>
  <c r="AA576" i="31"/>
  <c r="AC576" i="31"/>
  <c r="AB69" i="31"/>
  <c r="AA69" i="31"/>
  <c r="AC69" i="31"/>
  <c r="AB21" i="31"/>
  <c r="AA21" i="31"/>
  <c r="AC21" i="31"/>
  <c r="AD392" i="32"/>
  <c r="AE392" i="32"/>
  <c r="AF392" i="32"/>
  <c r="AD298" i="32"/>
  <c r="AE298" i="32"/>
  <c r="AF298" i="32"/>
  <c r="AE97" i="32"/>
  <c r="AD97" i="32"/>
  <c r="AF97" i="32"/>
  <c r="AD104" i="32"/>
  <c r="AE104" i="32"/>
  <c r="AF104" i="32"/>
  <c r="AD234" i="32"/>
  <c r="AE234" i="32"/>
  <c r="AF234" i="32"/>
  <c r="AE611" i="32"/>
  <c r="AD611" i="32"/>
  <c r="AF611" i="32"/>
  <c r="AE219" i="32"/>
  <c r="AD219" i="32"/>
  <c r="AF219" i="32"/>
  <c r="AD35" i="32"/>
  <c r="AE35" i="32"/>
  <c r="AF35" i="32"/>
  <c r="AD146" i="32"/>
  <c r="AE146" i="32"/>
  <c r="AF146" i="32"/>
  <c r="AE354" i="32"/>
  <c r="AD354" i="32"/>
  <c r="AF354" i="32"/>
  <c r="AE450" i="32"/>
  <c r="AD450" i="32"/>
  <c r="AF450" i="32"/>
  <c r="AE50" i="32"/>
  <c r="AD50" i="32"/>
  <c r="AF50" i="32"/>
  <c r="AD251" i="32"/>
  <c r="AE251" i="32"/>
  <c r="AF251" i="32"/>
  <c r="AE396" i="32"/>
  <c r="AD396" i="32"/>
  <c r="AF396" i="32"/>
  <c r="AE483" i="32"/>
  <c r="AD483" i="32"/>
  <c r="AF483" i="32"/>
  <c r="AD57" i="32"/>
  <c r="AE57" i="32"/>
  <c r="AF57" i="32"/>
  <c r="AE269" i="32"/>
  <c r="AD269" i="32"/>
  <c r="AF269" i="32"/>
  <c r="AD399" i="32"/>
  <c r="AE399" i="32"/>
  <c r="AF399" i="32"/>
  <c r="AE538" i="32"/>
  <c r="AD538" i="32"/>
  <c r="AF538" i="32"/>
  <c r="AE109" i="32"/>
  <c r="AD109" i="32"/>
  <c r="AF109" i="32"/>
  <c r="AE212" i="32"/>
  <c r="AD212" i="32"/>
  <c r="AF212" i="32"/>
  <c r="AD567" i="32"/>
  <c r="AE567" i="32"/>
  <c r="AF567" i="32"/>
  <c r="AE487" i="32"/>
  <c r="AD487" i="32"/>
  <c r="AF487" i="32"/>
  <c r="AE118" i="32"/>
  <c r="AD118" i="32"/>
  <c r="AF118" i="32"/>
  <c r="AE221" i="32"/>
  <c r="AD221" i="32"/>
  <c r="AF221" i="32"/>
  <c r="AE368" i="32"/>
  <c r="AD368" i="32"/>
  <c r="AF368" i="32"/>
  <c r="AE506" i="32"/>
  <c r="AD506" i="32"/>
  <c r="AF506" i="32"/>
  <c r="AE224" i="32"/>
  <c r="AD224" i="32"/>
  <c r="AF224" i="32"/>
  <c r="AE230" i="32"/>
  <c r="AD230" i="32"/>
  <c r="AF230" i="32"/>
  <c r="AD403" i="32"/>
  <c r="AE403" i="32"/>
  <c r="AF403" i="32"/>
  <c r="AD68" i="32"/>
  <c r="AE68" i="32"/>
  <c r="AF68" i="32"/>
  <c r="AE91" i="32"/>
  <c r="AD91" i="32"/>
  <c r="AF91" i="32"/>
  <c r="AD72" i="32"/>
  <c r="AE72" i="32"/>
  <c r="AF72" i="32"/>
  <c r="AE176" i="32"/>
  <c r="AD176" i="32"/>
  <c r="AF176" i="32"/>
  <c r="AE238" i="32"/>
  <c r="AD238" i="32"/>
  <c r="AF238" i="32"/>
  <c r="AE262" i="32"/>
  <c r="AD262" i="32"/>
  <c r="AF262" i="32"/>
  <c r="AE613" i="32"/>
  <c r="AD613" i="32"/>
  <c r="AF613" i="32"/>
  <c r="AD339" i="32"/>
  <c r="AE339" i="32"/>
  <c r="AF339" i="32"/>
  <c r="AE592" i="32"/>
  <c r="AD592" i="32"/>
  <c r="AF592" i="32"/>
  <c r="AE510" i="32"/>
  <c r="AD510" i="32"/>
  <c r="AF510" i="32"/>
  <c r="AE292" i="32"/>
  <c r="AD292" i="32"/>
  <c r="AF292" i="32"/>
  <c r="AD130" i="32"/>
  <c r="AE130" i="32"/>
  <c r="AF130" i="32"/>
  <c r="AE210" i="32"/>
  <c r="AD210" i="32"/>
  <c r="AF210" i="32"/>
  <c r="AE260" i="32"/>
  <c r="AD260" i="32"/>
  <c r="AF260" i="32"/>
  <c r="AD530" i="32"/>
  <c r="AE530" i="32"/>
  <c r="AF530" i="32"/>
  <c r="AE401" i="32"/>
  <c r="AD401" i="32"/>
  <c r="AF401" i="32"/>
  <c r="AE550" i="32"/>
  <c r="AD550" i="32"/>
  <c r="AF550" i="32"/>
  <c r="AD452" i="32"/>
  <c r="AE452" i="32"/>
  <c r="AF452" i="32"/>
  <c r="AE49" i="32"/>
  <c r="AD49" i="32"/>
  <c r="AF49" i="32"/>
  <c r="AE135" i="32"/>
  <c r="AD135" i="32"/>
  <c r="AF135" i="32"/>
  <c r="AD217" i="32"/>
  <c r="AE217" i="32"/>
  <c r="AF217" i="32"/>
  <c r="AE275" i="32"/>
  <c r="AD275" i="32"/>
  <c r="AF275" i="32"/>
  <c r="AE553" i="32"/>
  <c r="AD553" i="32"/>
  <c r="AF553" i="32"/>
  <c r="AD404" i="32"/>
  <c r="AE404" i="32"/>
  <c r="AF404" i="32"/>
  <c r="AE571" i="32"/>
  <c r="AD571" i="32"/>
  <c r="AF571" i="32"/>
  <c r="AD462" i="32"/>
  <c r="AE462" i="32"/>
  <c r="AF462" i="32"/>
  <c r="AD609" i="32"/>
  <c r="AE609" i="32"/>
  <c r="AF609" i="32"/>
  <c r="AE19" i="32"/>
  <c r="AD19" i="32"/>
  <c r="AF19" i="32"/>
  <c r="AE151" i="32"/>
  <c r="AD151" i="32"/>
  <c r="AF151" i="32"/>
  <c r="AE153" i="32"/>
  <c r="AD153" i="32"/>
  <c r="AF153" i="32"/>
  <c r="AD382" i="32"/>
  <c r="AE382" i="32"/>
  <c r="AF382" i="32"/>
  <c r="AE270" i="32"/>
  <c r="AD270" i="32"/>
  <c r="AF270" i="32"/>
  <c r="AD390" i="32"/>
  <c r="AE390" i="32"/>
  <c r="AF390" i="32"/>
  <c r="AD443" i="32"/>
  <c r="AE443" i="32"/>
  <c r="AF443" i="32"/>
  <c r="AE519" i="32"/>
  <c r="AD519" i="32"/>
  <c r="AF519" i="32"/>
  <c r="AE551" i="32"/>
  <c r="AD551" i="32"/>
  <c r="AF551" i="32"/>
  <c r="AE127" i="32"/>
  <c r="AD127" i="32"/>
  <c r="AF127" i="32"/>
  <c r="AE102" i="32"/>
  <c r="AD102" i="32"/>
  <c r="AF102" i="32"/>
  <c r="AD231" i="32"/>
  <c r="AE231" i="32"/>
  <c r="AF231" i="32"/>
  <c r="AE291" i="32"/>
  <c r="AD291" i="32"/>
  <c r="AF291" i="32"/>
  <c r="AE324" i="32"/>
  <c r="AD324" i="32"/>
  <c r="AF324" i="32"/>
  <c r="AD331" i="32"/>
  <c r="AE331" i="32"/>
  <c r="AF331" i="32"/>
  <c r="AD362" i="32"/>
  <c r="AE362" i="32"/>
  <c r="AF362" i="32"/>
  <c r="AD610" i="32"/>
  <c r="AE610" i="32"/>
  <c r="AF610" i="32"/>
  <c r="AE521" i="32"/>
  <c r="AD521" i="32"/>
  <c r="AF521" i="32"/>
  <c r="AB294" i="31"/>
  <c r="AA294" i="31"/>
  <c r="AC294" i="31"/>
  <c r="AB133" i="31"/>
  <c r="AA133" i="31"/>
  <c r="AC133" i="31"/>
  <c r="AA240" i="31"/>
  <c r="AB240" i="31"/>
  <c r="AC240" i="31"/>
  <c r="AB387" i="31"/>
  <c r="AA387" i="31"/>
  <c r="AC387" i="31"/>
  <c r="AA589" i="31"/>
  <c r="AB589" i="31"/>
  <c r="AC589" i="31"/>
  <c r="AA15" i="31"/>
  <c r="AB15" i="31"/>
  <c r="AC15" i="31"/>
  <c r="AB220" i="31"/>
  <c r="AA220" i="31"/>
  <c r="AC220" i="31"/>
  <c r="AA365" i="31"/>
  <c r="AB365" i="31"/>
  <c r="AC365" i="31"/>
  <c r="AA563" i="31"/>
  <c r="AB563" i="31"/>
  <c r="AC563" i="31"/>
  <c r="AB192" i="31"/>
  <c r="AA192" i="31"/>
  <c r="AC192" i="31"/>
  <c r="AA349" i="31"/>
  <c r="AB349" i="31"/>
  <c r="AC349" i="31"/>
  <c r="AB500" i="31"/>
  <c r="AA500" i="31"/>
  <c r="AC500" i="31"/>
  <c r="AB291" i="31"/>
  <c r="AA291" i="31"/>
  <c r="AC291" i="31"/>
  <c r="AB39" i="31"/>
  <c r="AA39" i="31"/>
  <c r="AC39" i="31"/>
  <c r="AA145" i="31"/>
  <c r="AB145" i="31"/>
  <c r="AC145" i="31"/>
  <c r="AB266" i="31"/>
  <c r="AA266" i="31"/>
  <c r="AC266" i="31"/>
  <c r="AB472" i="31"/>
  <c r="AA472" i="31"/>
  <c r="AC472" i="31"/>
  <c r="AA390" i="31"/>
  <c r="AB390" i="31"/>
  <c r="AC390" i="31"/>
  <c r="AB484" i="31"/>
  <c r="AA484" i="31"/>
  <c r="AC484" i="31"/>
  <c r="AA531" i="31"/>
  <c r="AB531" i="31"/>
  <c r="AC531" i="31"/>
  <c r="AA62" i="31"/>
  <c r="AB62" i="31"/>
  <c r="AC62" i="31"/>
  <c r="AB88" i="31"/>
  <c r="AA88" i="31"/>
  <c r="AC88" i="31"/>
  <c r="AB149" i="31"/>
  <c r="AA149" i="31"/>
  <c r="AC149" i="31"/>
  <c r="AB237" i="31"/>
  <c r="AA237" i="31"/>
  <c r="AC237" i="31"/>
  <c r="AB327" i="31"/>
  <c r="AA327" i="31"/>
  <c r="AC327" i="31"/>
  <c r="AB420" i="31"/>
  <c r="AA420" i="31"/>
  <c r="AC420" i="31"/>
  <c r="AB467" i="31"/>
  <c r="AA467" i="31"/>
  <c r="AC467" i="31"/>
  <c r="AB560" i="31"/>
  <c r="AA560" i="31"/>
  <c r="AC560" i="31"/>
  <c r="AB45" i="31"/>
  <c r="AA45" i="31"/>
  <c r="AC45" i="31"/>
  <c r="AA94" i="31"/>
  <c r="AB94" i="31"/>
  <c r="AC94" i="31"/>
  <c r="AB202" i="31"/>
  <c r="AA202" i="31"/>
  <c r="AC202" i="31"/>
  <c r="AA247" i="31"/>
  <c r="AB247" i="31"/>
  <c r="AC247" i="31"/>
  <c r="AB309" i="31"/>
  <c r="AA309" i="31"/>
  <c r="AC309" i="31"/>
  <c r="AB396" i="31"/>
  <c r="AA396" i="31"/>
  <c r="AC396" i="31"/>
  <c r="AB455" i="31"/>
  <c r="AA455" i="31"/>
  <c r="AC455" i="31"/>
  <c r="AA528" i="31"/>
  <c r="AB528" i="31"/>
  <c r="AC528" i="31"/>
  <c r="AB604" i="31"/>
  <c r="AA604" i="31"/>
  <c r="AC604" i="31"/>
  <c r="AA92" i="31"/>
  <c r="AB92" i="31"/>
  <c r="AC92" i="31"/>
  <c r="AA235" i="31"/>
  <c r="AB235" i="31"/>
  <c r="AC235" i="31"/>
  <c r="AB221" i="31"/>
  <c r="AA221" i="31"/>
  <c r="AC221" i="31"/>
  <c r="AA258" i="31"/>
  <c r="AB258" i="31"/>
  <c r="AC258" i="31"/>
  <c r="AB411" i="31"/>
  <c r="AA411" i="31"/>
  <c r="AC411" i="31"/>
  <c r="AB438" i="31"/>
  <c r="AA438" i="31"/>
  <c r="AC438" i="31"/>
  <c r="AA522" i="31"/>
  <c r="AB522" i="31"/>
  <c r="AC522" i="31"/>
  <c r="AB593" i="31"/>
  <c r="AA593" i="31"/>
  <c r="AC593" i="31"/>
  <c r="AA48" i="31"/>
  <c r="AB48" i="31"/>
  <c r="AC48" i="31"/>
  <c r="AB127" i="31"/>
  <c r="AA127" i="31"/>
  <c r="AC127" i="31"/>
  <c r="AB172" i="31"/>
  <c r="AA172" i="31"/>
  <c r="AC172" i="31"/>
  <c r="AB252" i="31"/>
  <c r="AA252" i="31"/>
  <c r="AC252" i="31"/>
  <c r="AB287" i="31"/>
  <c r="AA287" i="31"/>
  <c r="AC287" i="31"/>
  <c r="AB391" i="31"/>
  <c r="AA391" i="31"/>
  <c r="AC391" i="31"/>
  <c r="AB466" i="31"/>
  <c r="AA466" i="31"/>
  <c r="AC466" i="31"/>
  <c r="AB550" i="31"/>
  <c r="AA550" i="31"/>
  <c r="AC550" i="31"/>
  <c r="AB29" i="31"/>
  <c r="AA29" i="31"/>
  <c r="AC29" i="31"/>
  <c r="AD87" i="32"/>
  <c r="AE87" i="32"/>
  <c r="AF87" i="32"/>
  <c r="AB91" i="31"/>
  <c r="AA91" i="31"/>
  <c r="AC91" i="31"/>
  <c r="AA206" i="31"/>
  <c r="AB206" i="31"/>
  <c r="AC206" i="31"/>
  <c r="AB285" i="31"/>
  <c r="AA285" i="31"/>
  <c r="AC285" i="31"/>
  <c r="AB303" i="31"/>
  <c r="AA303" i="31"/>
  <c r="AC303" i="31"/>
  <c r="AA374" i="31"/>
  <c r="AB374" i="31"/>
  <c r="AC374" i="31"/>
  <c r="AB454" i="31"/>
  <c r="AA454" i="31"/>
  <c r="AC454" i="31"/>
  <c r="AB523" i="31"/>
  <c r="AA523" i="31"/>
  <c r="AC523" i="31"/>
  <c r="AB601" i="31"/>
  <c r="AA601" i="31"/>
  <c r="AC601" i="31"/>
  <c r="AB37" i="31"/>
  <c r="AA37" i="31"/>
  <c r="AC37" i="31"/>
  <c r="AB13" i="31"/>
  <c r="AA13" i="31"/>
  <c r="AC13" i="31"/>
  <c r="AD42" i="32"/>
  <c r="AE42" i="32"/>
  <c r="AF42" i="32"/>
  <c r="AE507" i="32"/>
  <c r="AD507" i="32"/>
  <c r="AF507" i="32"/>
  <c r="AE268" i="32"/>
  <c r="AD268" i="32"/>
  <c r="AF268" i="32"/>
  <c r="AE307" i="32"/>
  <c r="AD307" i="32"/>
  <c r="AF307" i="32"/>
  <c r="AD278" i="32"/>
  <c r="AE278" i="32"/>
  <c r="AF278" i="32"/>
  <c r="AE227" i="32"/>
  <c r="AD227" i="32"/>
  <c r="AF227" i="32"/>
  <c r="AE235" i="32"/>
  <c r="AD235" i="32"/>
  <c r="AF235" i="32"/>
  <c r="AE34" i="32"/>
  <c r="AD34" i="32"/>
  <c r="AF34" i="32"/>
  <c r="AE239" i="32"/>
  <c r="AD239" i="32"/>
  <c r="AF239" i="32"/>
  <c r="AD347" i="32"/>
  <c r="AE347" i="32"/>
  <c r="AF347" i="32"/>
  <c r="AE481" i="32"/>
  <c r="AD481" i="32"/>
  <c r="AF481" i="32"/>
  <c r="AE85" i="32"/>
  <c r="AD85" i="32"/>
  <c r="AF85" i="32"/>
  <c r="AE276" i="32"/>
  <c r="AD276" i="32"/>
  <c r="AF276" i="32"/>
  <c r="AE423" i="32"/>
  <c r="AD423" i="32"/>
  <c r="AF423" i="32"/>
  <c r="AE574" i="32"/>
  <c r="AD574" i="32"/>
  <c r="AF574" i="32"/>
  <c r="AD88" i="32"/>
  <c r="AE88" i="32"/>
  <c r="AF88" i="32"/>
  <c r="AE342" i="32"/>
  <c r="AD342" i="32"/>
  <c r="AF342" i="32"/>
  <c r="AE489" i="32"/>
  <c r="AD489" i="32"/>
  <c r="AF489" i="32"/>
  <c r="AE576" i="32"/>
  <c r="AD576" i="32"/>
  <c r="AF576" i="32"/>
  <c r="AD152" i="32"/>
  <c r="AE152" i="32"/>
  <c r="AF152" i="32"/>
  <c r="AD214" i="32"/>
  <c r="AE214" i="32"/>
  <c r="AF214" i="32"/>
  <c r="AE360" i="32"/>
  <c r="AD360" i="32"/>
  <c r="AF360" i="32"/>
  <c r="AE593" i="32"/>
  <c r="AD593" i="32"/>
  <c r="AF593" i="32"/>
  <c r="AD158" i="32"/>
  <c r="AE158" i="32"/>
  <c r="AF158" i="32"/>
  <c r="AE228" i="32"/>
  <c r="AD228" i="32"/>
  <c r="AF228" i="32"/>
  <c r="AE370" i="32"/>
  <c r="AD370" i="32"/>
  <c r="AF370" i="32"/>
  <c r="AE26" i="32"/>
  <c r="AD26" i="32"/>
  <c r="AF26" i="32"/>
  <c r="AD299" i="32"/>
  <c r="AE299" i="32"/>
  <c r="AF299" i="32"/>
  <c r="AD252" i="32"/>
  <c r="AE252" i="32"/>
  <c r="AF252" i="32"/>
  <c r="AE337" i="32"/>
  <c r="AD337" i="32"/>
  <c r="AF337" i="32"/>
  <c r="AE36" i="32"/>
  <c r="AD36" i="32"/>
  <c r="AF36" i="32"/>
  <c r="AE159" i="32"/>
  <c r="AD159" i="32"/>
  <c r="AF159" i="32"/>
  <c r="AE142" i="32"/>
  <c r="AD142" i="32"/>
  <c r="AF142" i="32"/>
  <c r="AE242" i="32"/>
  <c r="AD242" i="32"/>
  <c r="AF242" i="32"/>
  <c r="AE311" i="32"/>
  <c r="AD311" i="32"/>
  <c r="AF311" i="32"/>
  <c r="AE466" i="32"/>
  <c r="AD466" i="32"/>
  <c r="AF466" i="32"/>
  <c r="AE381" i="32"/>
  <c r="AD381" i="32"/>
  <c r="AF381" i="32"/>
  <c r="AE408" i="32"/>
  <c r="AD408" i="32"/>
  <c r="AF408" i="32"/>
  <c r="AE460" i="32"/>
  <c r="AD460" i="32"/>
  <c r="AF460" i="32"/>
  <c r="AE535" i="32"/>
  <c r="AD535" i="32"/>
  <c r="AF535" i="32"/>
  <c r="AD105" i="32"/>
  <c r="AE105" i="32"/>
  <c r="AF105" i="32"/>
  <c r="AD177" i="32"/>
  <c r="AE177" i="32"/>
  <c r="AF177" i="32"/>
  <c r="AE303" i="32"/>
  <c r="AD303" i="32"/>
  <c r="AF303" i="32"/>
  <c r="AE302" i="32"/>
  <c r="AD302" i="32"/>
  <c r="AF302" i="32"/>
  <c r="AE361" i="32"/>
  <c r="AD361" i="32"/>
  <c r="AF361" i="32"/>
  <c r="AD501" i="32"/>
  <c r="AE501" i="32"/>
  <c r="AF501" i="32"/>
  <c r="AE498" i="32"/>
  <c r="AD498" i="32"/>
  <c r="AF498" i="32"/>
  <c r="AD497" i="32"/>
  <c r="AE497" i="32"/>
  <c r="AF497" i="32"/>
  <c r="AD108" i="32"/>
  <c r="AE108" i="32"/>
  <c r="AF108" i="32"/>
  <c r="AE185" i="32"/>
  <c r="AD185" i="32"/>
  <c r="AF185" i="32"/>
  <c r="AE336" i="32"/>
  <c r="AD336" i="32"/>
  <c r="AF336" i="32"/>
  <c r="AE326" i="32"/>
  <c r="AD326" i="32"/>
  <c r="AF326" i="32"/>
  <c r="AD364" i="32"/>
  <c r="AE364" i="32"/>
  <c r="AF364" i="32"/>
  <c r="AE316" i="32"/>
  <c r="AD316" i="32"/>
  <c r="AF316" i="32"/>
  <c r="AD500" i="32"/>
  <c r="AE500" i="32"/>
  <c r="AF500" i="32"/>
  <c r="AD531" i="32"/>
  <c r="AE531" i="32"/>
  <c r="AF531" i="32"/>
  <c r="AE21" i="32"/>
  <c r="AD21" i="32"/>
  <c r="AF21" i="32"/>
  <c r="AE65" i="32"/>
  <c r="AD65" i="32"/>
  <c r="AF65" i="32"/>
  <c r="AE247" i="32"/>
  <c r="AD247" i="32"/>
  <c r="AF247" i="32"/>
  <c r="AE327" i="32"/>
  <c r="AD327" i="32"/>
  <c r="AF327" i="32"/>
  <c r="AE223" i="32"/>
  <c r="AD223" i="32"/>
  <c r="AF223" i="32"/>
  <c r="AD188" i="32"/>
  <c r="AE188" i="32"/>
  <c r="AF188" i="32"/>
  <c r="AE439" i="32"/>
  <c r="AD439" i="32"/>
  <c r="AF439" i="32"/>
  <c r="AE330" i="32"/>
  <c r="AD330" i="32"/>
  <c r="AF330" i="32"/>
  <c r="AE559" i="32"/>
  <c r="AD559" i="32"/>
  <c r="AF559" i="32"/>
  <c r="AE490" i="32"/>
  <c r="AD490" i="32"/>
  <c r="AF490" i="32"/>
  <c r="AE93" i="32"/>
  <c r="AD93" i="32"/>
  <c r="AF93" i="32"/>
  <c r="AD480" i="32"/>
  <c r="AE480" i="32"/>
  <c r="AF480" i="32"/>
  <c r="AE259" i="32"/>
  <c r="AD259" i="32"/>
  <c r="AF259" i="32"/>
  <c r="AD377" i="32"/>
  <c r="AE377" i="32"/>
  <c r="AF377" i="32"/>
  <c r="AD391" i="32"/>
  <c r="AE391" i="32"/>
  <c r="AF391" i="32"/>
  <c r="AE461" i="32"/>
  <c r="AD461" i="32"/>
  <c r="AF461" i="32"/>
  <c r="AD523" i="32"/>
  <c r="AE523" i="32"/>
  <c r="AF523" i="32"/>
  <c r="AD522" i="32"/>
  <c r="AE522" i="32"/>
  <c r="AF522" i="32"/>
  <c r="AE586" i="32"/>
  <c r="AD586" i="32"/>
  <c r="AF586" i="32"/>
  <c r="AL624" i="31"/>
  <c r="AM624" i="31"/>
  <c r="AE624" i="31"/>
  <c r="AD624" i="31"/>
  <c r="AA179" i="31"/>
  <c r="AB179" i="31"/>
  <c r="AC179" i="31"/>
  <c r="AA581" i="31"/>
  <c r="AB581" i="31"/>
  <c r="AC581" i="31"/>
  <c r="I627" i="31"/>
  <c r="H627" i="31"/>
  <c r="P627" i="31"/>
  <c r="AA501" i="31"/>
  <c r="AB501" i="31"/>
  <c r="AC501" i="31"/>
  <c r="AA297" i="31"/>
  <c r="AB297" i="31"/>
  <c r="AC297" i="31"/>
  <c r="AA425" i="31"/>
  <c r="AB425" i="31"/>
  <c r="AC425" i="31"/>
  <c r="AB591" i="31"/>
  <c r="AA591" i="31"/>
  <c r="AC591" i="31"/>
  <c r="AA80" i="31"/>
  <c r="AB80" i="31"/>
  <c r="AC80" i="31"/>
  <c r="AA551" i="31"/>
  <c r="AB551" i="31"/>
  <c r="AC551" i="31"/>
  <c r="AA238" i="31"/>
  <c r="AB238" i="31"/>
  <c r="AC238" i="31"/>
  <c r="AB65" i="31"/>
  <c r="AA65" i="31"/>
  <c r="AC65" i="31"/>
  <c r="AB465" i="31"/>
  <c r="AA465" i="31"/>
  <c r="AC465" i="31"/>
  <c r="AA101" i="31"/>
  <c r="AB101" i="31"/>
  <c r="AC101" i="31"/>
  <c r="AA611" i="31"/>
  <c r="AB611" i="31"/>
  <c r="AC611" i="31"/>
  <c r="AA304" i="31"/>
  <c r="AB304" i="31"/>
  <c r="AC304" i="31"/>
  <c r="AB168" i="31"/>
  <c r="AA168" i="31"/>
  <c r="AC168" i="31"/>
  <c r="AA312" i="31"/>
  <c r="AB312" i="31"/>
  <c r="AC312" i="31"/>
  <c r="AB52" i="31"/>
  <c r="AA52" i="31"/>
  <c r="AC52" i="31"/>
  <c r="AE525" i="32"/>
  <c r="AD525" i="32"/>
  <c r="AF525" i="32"/>
  <c r="AE96" i="32"/>
  <c r="AD96" i="32"/>
  <c r="AF96" i="32"/>
  <c r="AD352" i="32"/>
  <c r="AE352" i="32"/>
  <c r="AF352" i="32"/>
  <c r="AE193" i="32"/>
  <c r="AD193" i="32"/>
  <c r="AF193" i="32"/>
  <c r="AE335" i="32"/>
  <c r="AD335" i="32"/>
  <c r="AF335" i="32"/>
  <c r="AE28" i="32"/>
  <c r="AD28" i="32"/>
  <c r="AF28" i="32"/>
  <c r="AE279" i="32"/>
  <c r="AD279" i="32"/>
  <c r="AF279" i="32"/>
  <c r="AE595" i="32"/>
  <c r="AD595" i="32"/>
  <c r="AF595" i="32"/>
  <c r="AE419" i="32"/>
  <c r="AD419" i="32"/>
  <c r="AF419" i="32"/>
  <c r="AD577" i="32"/>
  <c r="AE577" i="32"/>
  <c r="AF577" i="32"/>
  <c r="AD267" i="32"/>
  <c r="AE267" i="32"/>
  <c r="AF267" i="32"/>
  <c r="AE204" i="32"/>
  <c r="AD204" i="32"/>
  <c r="AF204" i="32"/>
  <c r="AE579" i="32"/>
  <c r="AD579" i="32"/>
  <c r="AF579" i="32"/>
  <c r="AD120" i="32"/>
  <c r="AE120" i="32"/>
  <c r="AF120" i="32"/>
  <c r="AE208" i="32"/>
  <c r="AD208" i="32"/>
  <c r="AF208" i="32"/>
  <c r="AD321" i="32"/>
  <c r="AE321" i="32"/>
  <c r="AF321" i="32"/>
  <c r="AD351" i="32"/>
  <c r="AE351" i="32"/>
  <c r="AF351" i="32"/>
  <c r="AE608" i="32"/>
  <c r="AD608" i="32"/>
  <c r="AF608" i="32"/>
  <c r="AE199" i="32"/>
  <c r="AD199" i="32"/>
  <c r="AF199" i="32"/>
  <c r="AE365" i="32"/>
  <c r="AD365" i="32"/>
  <c r="AF365" i="32"/>
  <c r="AD444" i="32"/>
  <c r="AE444" i="32"/>
  <c r="AF444" i="32"/>
  <c r="AE380" i="32"/>
  <c r="AD380" i="32"/>
  <c r="AF380" i="32"/>
  <c r="AE494" i="32"/>
  <c r="AD494" i="32"/>
  <c r="AF494" i="32"/>
  <c r="E629" i="31"/>
  <c r="F629" i="31"/>
  <c r="K627" i="31"/>
  <c r="L627" i="31"/>
  <c r="AB132" i="31"/>
  <c r="AA132" i="31"/>
  <c r="AC132" i="31"/>
  <c r="AB56" i="31"/>
  <c r="AA56" i="31"/>
  <c r="AC56" i="31"/>
  <c r="AA371" i="31"/>
  <c r="AB371" i="31"/>
  <c r="AC371" i="31"/>
  <c r="AA320" i="31"/>
  <c r="AB320" i="31"/>
  <c r="AC320" i="31"/>
  <c r="AB419" i="31"/>
  <c r="AA419" i="31"/>
  <c r="AC419" i="31"/>
  <c r="AA226" i="31"/>
  <c r="AB226" i="31"/>
  <c r="AC226" i="31"/>
  <c r="AA553" i="31"/>
  <c r="AB553" i="31"/>
  <c r="AC553" i="31"/>
  <c r="AA137" i="31"/>
  <c r="AB137" i="31"/>
  <c r="AC137" i="31"/>
  <c r="AB444" i="31"/>
  <c r="AA444" i="31"/>
  <c r="AC444" i="31"/>
  <c r="AA209" i="31"/>
  <c r="AB209" i="31"/>
  <c r="AC209" i="31"/>
  <c r="AA143" i="31"/>
  <c r="AB143" i="31"/>
  <c r="AC143" i="31"/>
  <c r="AB260" i="31"/>
  <c r="AA260" i="31"/>
  <c r="AC260" i="31"/>
  <c r="AB433" i="31"/>
  <c r="AA433" i="31"/>
  <c r="AC433" i="31"/>
  <c r="AB83" i="31"/>
  <c r="AA83" i="31"/>
  <c r="AC83" i="31"/>
  <c r="AA196" i="31"/>
  <c r="AB196" i="31"/>
  <c r="AC196" i="31"/>
  <c r="AA337" i="31"/>
  <c r="AB337" i="31"/>
  <c r="AC337" i="31"/>
  <c r="AB538" i="31"/>
  <c r="AA538" i="31"/>
  <c r="AC538" i="31"/>
  <c r="AB355" i="31"/>
  <c r="AA355" i="31"/>
  <c r="AC355" i="31"/>
  <c r="AA228" i="31"/>
  <c r="AB228" i="31"/>
  <c r="AC228" i="31"/>
  <c r="AA173" i="31"/>
  <c r="AB173" i="31"/>
  <c r="AC173" i="31"/>
  <c r="AB296" i="31"/>
  <c r="AA296" i="31"/>
  <c r="AC296" i="31"/>
  <c r="AA548" i="31"/>
  <c r="AB548" i="31"/>
  <c r="AC548" i="31"/>
  <c r="AA406" i="31"/>
  <c r="AB406" i="31"/>
  <c r="AC406" i="31"/>
  <c r="AA487" i="31"/>
  <c r="AB487" i="31"/>
  <c r="AC487" i="31"/>
  <c r="AA564" i="31"/>
  <c r="AB564" i="31"/>
  <c r="AC564" i="31"/>
  <c r="AA35" i="31"/>
  <c r="AB35" i="31"/>
  <c r="AC35" i="31"/>
  <c r="AA106" i="31"/>
  <c r="AB106" i="31"/>
  <c r="AC106" i="31"/>
  <c r="AB167" i="31"/>
  <c r="AA167" i="31"/>
  <c r="AC167" i="31"/>
  <c r="AB263" i="31"/>
  <c r="AA263" i="31"/>
  <c r="AC263" i="31"/>
  <c r="AB345" i="31"/>
  <c r="AA345" i="31"/>
  <c r="AC345" i="31"/>
  <c r="AA409" i="31"/>
  <c r="AB409" i="31"/>
  <c r="AC409" i="31"/>
  <c r="AB497" i="31"/>
  <c r="AA497" i="31"/>
  <c r="AC497" i="31"/>
  <c r="AB562" i="31"/>
  <c r="AA562" i="31"/>
  <c r="AC562" i="31"/>
  <c r="AB33" i="31"/>
  <c r="AA33" i="31"/>
  <c r="AC33" i="31"/>
  <c r="AB104" i="31"/>
  <c r="AA104" i="31"/>
  <c r="AC104" i="31"/>
  <c r="AB157" i="31"/>
  <c r="AA157" i="31"/>
  <c r="AC157" i="31"/>
  <c r="AA245" i="31"/>
  <c r="AB245" i="31"/>
  <c r="AC245" i="31"/>
  <c r="AB335" i="31"/>
  <c r="AA335" i="31"/>
  <c r="AC335" i="31"/>
  <c r="AB441" i="31"/>
  <c r="AA441" i="31"/>
  <c r="AC441" i="31"/>
  <c r="AA475" i="31"/>
  <c r="AB475" i="31"/>
  <c r="AC475" i="31"/>
  <c r="AB572" i="31"/>
  <c r="AA572" i="31"/>
  <c r="AC572" i="31"/>
  <c r="AB75" i="31"/>
  <c r="AA75" i="31"/>
  <c r="AC75" i="31"/>
  <c r="AB102" i="31"/>
  <c r="AA102" i="31"/>
  <c r="AC102" i="31"/>
  <c r="AA241" i="31"/>
  <c r="AB241" i="31"/>
  <c r="AC241" i="31"/>
  <c r="AB250" i="31"/>
  <c r="AA250" i="31"/>
  <c r="AC250" i="31"/>
  <c r="AB317" i="31"/>
  <c r="AA317" i="31"/>
  <c r="AC317" i="31"/>
  <c r="AA373" i="31"/>
  <c r="AB373" i="31"/>
  <c r="AC373" i="31"/>
  <c r="AA463" i="31"/>
  <c r="AB463" i="31"/>
  <c r="AC463" i="31"/>
  <c r="AA536" i="31"/>
  <c r="AB536" i="31"/>
  <c r="AC536" i="31"/>
  <c r="AA612" i="31"/>
  <c r="AB612" i="31"/>
  <c r="AC612" i="31"/>
  <c r="AB79" i="31"/>
  <c r="AA79" i="31"/>
  <c r="AC79" i="31"/>
  <c r="AB129" i="31"/>
  <c r="AA129" i="31"/>
  <c r="AC129" i="31"/>
  <c r="AA190" i="31"/>
  <c r="AB190" i="31"/>
  <c r="AC190" i="31"/>
  <c r="AB270" i="31"/>
  <c r="AA270" i="31"/>
  <c r="AC270" i="31"/>
  <c r="AB313" i="31"/>
  <c r="AA313" i="31"/>
  <c r="AC313" i="31"/>
  <c r="AB408" i="31"/>
  <c r="AA408" i="31"/>
  <c r="AC408" i="31"/>
  <c r="AA510" i="31"/>
  <c r="AB510" i="31"/>
  <c r="AC510" i="31"/>
  <c r="AB559" i="31"/>
  <c r="AA559" i="31"/>
  <c r="AC559" i="31"/>
  <c r="AA68" i="31"/>
  <c r="AB68" i="31"/>
  <c r="AC68" i="31"/>
  <c r="AB117" i="31"/>
  <c r="AA117" i="31"/>
  <c r="AC117" i="31"/>
  <c r="AB153" i="31"/>
  <c r="AA153" i="31"/>
  <c r="AC153" i="31"/>
  <c r="AB234" i="31"/>
  <c r="AA234" i="31"/>
  <c r="AC234" i="31"/>
  <c r="AB298" i="31"/>
  <c r="AA298" i="31"/>
  <c r="AC298" i="31"/>
  <c r="AB305" i="31"/>
  <c r="AA305" i="31"/>
  <c r="AC305" i="31"/>
  <c r="AB413" i="31"/>
  <c r="AA413" i="31"/>
  <c r="AC413" i="31"/>
  <c r="AA458" i="31"/>
  <c r="AB458" i="31"/>
  <c r="AC458" i="31"/>
  <c r="AB537" i="31"/>
  <c r="AA537" i="31"/>
  <c r="AC537" i="31"/>
  <c r="AA598" i="31"/>
  <c r="AB598" i="31"/>
  <c r="AC598" i="31"/>
  <c r="AE306" i="32"/>
  <c r="AD306" i="32"/>
  <c r="AF306" i="32"/>
  <c r="AD125" i="32"/>
  <c r="AE125" i="32"/>
  <c r="AF125" i="32"/>
  <c r="AE406" i="32"/>
  <c r="AD406" i="32"/>
  <c r="AF406" i="32"/>
  <c r="AD149" i="32"/>
  <c r="AE149" i="32"/>
  <c r="AF149" i="32"/>
  <c r="AE418" i="32"/>
  <c r="AD418" i="32"/>
  <c r="AF418" i="32"/>
  <c r="AD425" i="32"/>
  <c r="AE425" i="32"/>
  <c r="AF425" i="32"/>
  <c r="AD386" i="32"/>
  <c r="AE386" i="32"/>
  <c r="AF386" i="32"/>
  <c r="AE537" i="32"/>
  <c r="AD537" i="32"/>
  <c r="AF537" i="32"/>
  <c r="AE578" i="32"/>
  <c r="AD578" i="32"/>
  <c r="AF578" i="32"/>
  <c r="AD180" i="32"/>
  <c r="AE180" i="32"/>
  <c r="AF180" i="32"/>
  <c r="AE328" i="32"/>
  <c r="AD328" i="32"/>
  <c r="AF328" i="32"/>
  <c r="AE445" i="32"/>
  <c r="AD445" i="32"/>
  <c r="AF445" i="32"/>
  <c r="AD533" i="32"/>
  <c r="AE533" i="32"/>
  <c r="AF533" i="32"/>
  <c r="AE95" i="32"/>
  <c r="AD95" i="32"/>
  <c r="AF95" i="32"/>
  <c r="AD367" i="32"/>
  <c r="AE367" i="32"/>
  <c r="AF367" i="32"/>
  <c r="AE456" i="32"/>
  <c r="AD456" i="32"/>
  <c r="AF456" i="32"/>
  <c r="AA613" i="31"/>
  <c r="AB613" i="31"/>
  <c r="AC613" i="31"/>
  <c r="AD113" i="32"/>
  <c r="AE113" i="32"/>
  <c r="AF113" i="32"/>
  <c r="AE440" i="32"/>
  <c r="AD440" i="32"/>
  <c r="AF440" i="32"/>
  <c r="AD465" i="32"/>
  <c r="AE465" i="32"/>
  <c r="AF465" i="32"/>
  <c r="AE111" i="32"/>
  <c r="AD111" i="32"/>
  <c r="AF111" i="32"/>
  <c r="AD226" i="32"/>
  <c r="AE226" i="32"/>
  <c r="AF226" i="32"/>
  <c r="AD446" i="32"/>
  <c r="AE446" i="32"/>
  <c r="AF446" i="32"/>
  <c r="AE569" i="32"/>
  <c r="AD569" i="32"/>
  <c r="AF569" i="32"/>
  <c r="AE16" i="32"/>
  <c r="AD16" i="32"/>
  <c r="AF16" i="32"/>
  <c r="AE56" i="32"/>
  <c r="AD56" i="32"/>
  <c r="AF56" i="32"/>
  <c r="AD195" i="32"/>
  <c r="AE195" i="32"/>
  <c r="AF195" i="32"/>
  <c r="AE463" i="32"/>
  <c r="AD463" i="32"/>
  <c r="AF463" i="32"/>
  <c r="AD32" i="32"/>
  <c r="AE32" i="32"/>
  <c r="AF32" i="32"/>
  <c r="AD116" i="32"/>
  <c r="AE116" i="32"/>
  <c r="AF116" i="32"/>
  <c r="AD257" i="32"/>
  <c r="AE257" i="32"/>
  <c r="AF257" i="32"/>
  <c r="AE486" i="32"/>
  <c r="AD486" i="32"/>
  <c r="AF486" i="32"/>
  <c r="AD84" i="32"/>
  <c r="AE84" i="32"/>
  <c r="AF84" i="32"/>
  <c r="AE282" i="32"/>
  <c r="AD282" i="32"/>
  <c r="AF282" i="32"/>
  <c r="AE128" i="32"/>
  <c r="AD128" i="32"/>
  <c r="AF128" i="32"/>
  <c r="AE203" i="32"/>
  <c r="AD203" i="32"/>
  <c r="AF203" i="32"/>
  <c r="AD258" i="32"/>
  <c r="AE258" i="32"/>
  <c r="AF258" i="32"/>
  <c r="AE473" i="32"/>
  <c r="AD473" i="32"/>
  <c r="AF473" i="32"/>
  <c r="AE395" i="32"/>
  <c r="AD395" i="32"/>
  <c r="AF395" i="32"/>
  <c r="AD539" i="32"/>
  <c r="AE539" i="32"/>
  <c r="AF539" i="32"/>
  <c r="AD612" i="32"/>
  <c r="AE612" i="32"/>
  <c r="AF612" i="32"/>
  <c r="AD129" i="32"/>
  <c r="AE129" i="32"/>
  <c r="AF129" i="32"/>
  <c r="AE119" i="32"/>
  <c r="AD119" i="32"/>
  <c r="AF119" i="32"/>
  <c r="AD112" i="32"/>
  <c r="AE112" i="32"/>
  <c r="AF112" i="32"/>
  <c r="AE313" i="32"/>
  <c r="AD313" i="32"/>
  <c r="AF313" i="32"/>
  <c r="AE240" i="32"/>
  <c r="AD240" i="32"/>
  <c r="AF240" i="32"/>
  <c r="AE560" i="32"/>
  <c r="AD560" i="32"/>
  <c r="AF560" i="32"/>
  <c r="AD436" i="32"/>
  <c r="AE436" i="32"/>
  <c r="AF436" i="32"/>
  <c r="AD513" i="32"/>
  <c r="AE513" i="32"/>
  <c r="AF513" i="32"/>
  <c r="AD504" i="32"/>
  <c r="AE504" i="32"/>
  <c r="AF504" i="32"/>
  <c r="AD126" i="32"/>
  <c r="AE126" i="32"/>
  <c r="AF126" i="32"/>
  <c r="AE132" i="32"/>
  <c r="AD132" i="32"/>
  <c r="AF132" i="32"/>
  <c r="AD315" i="32"/>
  <c r="AE315" i="32"/>
  <c r="AF315" i="32"/>
  <c r="AE245" i="32"/>
  <c r="AD245" i="32"/>
  <c r="AF245" i="32"/>
  <c r="AE345" i="32"/>
  <c r="AD345" i="32"/>
  <c r="AF345" i="32"/>
  <c r="AD438" i="32"/>
  <c r="AE438" i="32"/>
  <c r="AF438" i="32"/>
  <c r="AE515" i="32"/>
  <c r="AD515" i="32"/>
  <c r="AF515" i="32"/>
  <c r="AE526" i="32"/>
  <c r="AD526" i="32"/>
  <c r="AF526" i="32"/>
  <c r="AD173" i="32"/>
  <c r="AE173" i="32"/>
  <c r="AF173" i="32"/>
  <c r="AD183" i="32"/>
  <c r="AE183" i="32"/>
  <c r="AF183" i="32"/>
  <c r="AE312" i="32"/>
  <c r="AD312" i="32"/>
  <c r="AF312" i="32"/>
  <c r="AE256" i="32"/>
  <c r="AD256" i="32"/>
  <c r="AF256" i="32"/>
  <c r="AD372" i="32"/>
  <c r="AE372" i="32"/>
  <c r="AF372" i="32"/>
  <c r="AE385" i="32"/>
  <c r="AD385" i="32"/>
  <c r="AF385" i="32"/>
  <c r="AE428" i="32"/>
  <c r="AD428" i="32"/>
  <c r="AF428" i="32"/>
  <c r="AD477" i="32"/>
  <c r="AE477" i="32"/>
  <c r="AF477" i="32"/>
  <c r="AE502" i="32"/>
  <c r="AD502" i="32"/>
  <c r="AF502" i="32"/>
  <c r="AE584" i="32"/>
  <c r="AD584" i="32"/>
  <c r="AF584" i="32"/>
  <c r="AD64" i="32"/>
  <c r="AE64" i="32"/>
  <c r="AF64" i="32"/>
  <c r="AE144" i="32"/>
  <c r="AD144" i="32"/>
  <c r="AF144" i="32"/>
  <c r="AD261" i="32"/>
  <c r="AE261" i="32"/>
  <c r="AF261" i="32"/>
  <c r="AD288" i="32"/>
  <c r="AE288" i="32"/>
  <c r="AF288" i="32"/>
  <c r="AE332" i="32"/>
  <c r="AD332" i="32"/>
  <c r="AF332" i="32"/>
  <c r="AE430" i="32"/>
  <c r="AD430" i="32"/>
  <c r="AF430" i="32"/>
  <c r="AE588" i="32"/>
  <c r="AD588" i="32"/>
  <c r="AF588" i="32"/>
  <c r="AD478" i="32"/>
  <c r="AE478" i="32"/>
  <c r="AF478" i="32"/>
  <c r="AB310" i="31"/>
  <c r="AA310" i="31"/>
  <c r="AC310" i="31"/>
  <c r="AA342" i="31"/>
  <c r="AB342" i="31"/>
  <c r="AC342" i="31"/>
  <c r="AB587" i="31"/>
  <c r="AA587" i="31"/>
  <c r="AC587" i="31"/>
  <c r="AB135" i="31"/>
  <c r="AA135" i="31"/>
  <c r="AC135" i="31"/>
  <c r="AA381" i="31"/>
  <c r="AB381" i="31"/>
  <c r="AC381" i="31"/>
  <c r="AA325" i="31"/>
  <c r="AB325" i="31"/>
  <c r="AC325" i="31"/>
  <c r="AA158" i="31"/>
  <c r="AB158" i="31"/>
  <c r="AC158" i="31"/>
  <c r="AB95" i="31"/>
  <c r="AA95" i="31"/>
  <c r="AC95" i="31"/>
  <c r="AA28" i="31"/>
  <c r="AB28" i="31"/>
  <c r="AC28" i="31"/>
  <c r="AA440" i="31"/>
  <c r="AB440" i="31"/>
  <c r="AC440" i="31"/>
  <c r="AB494" i="31"/>
  <c r="AA494" i="31"/>
  <c r="AC494" i="31"/>
  <c r="AB278" i="31"/>
  <c r="AA278" i="31"/>
  <c r="AC278" i="31"/>
  <c r="AA44" i="31"/>
  <c r="AB44" i="31"/>
  <c r="AC44" i="31"/>
  <c r="AE366" i="32"/>
  <c r="AD366" i="32"/>
  <c r="AF366" i="32"/>
  <c r="AE459" i="32"/>
  <c r="AD459" i="32"/>
  <c r="AF459" i="32"/>
  <c r="AD241" i="32"/>
  <c r="AE241" i="32"/>
  <c r="AF241" i="32"/>
  <c r="AE66" i="32"/>
  <c r="AD66" i="32"/>
  <c r="AF66" i="32"/>
  <c r="AD545" i="32"/>
  <c r="AE545" i="32"/>
  <c r="AF545" i="32"/>
  <c r="AE601" i="32"/>
  <c r="AD601" i="32"/>
  <c r="AF601" i="32"/>
  <c r="AE69" i="32"/>
  <c r="AD69" i="32"/>
  <c r="AF69" i="32"/>
  <c r="AE604" i="32"/>
  <c r="AD604" i="32"/>
  <c r="AF604" i="32"/>
  <c r="AD99" i="32"/>
  <c r="AE99" i="32"/>
  <c r="AF99" i="32"/>
  <c r="AE286" i="32"/>
  <c r="AD286" i="32"/>
  <c r="AF286" i="32"/>
  <c r="AE323" i="32"/>
  <c r="AD323" i="32"/>
  <c r="AF323" i="32"/>
  <c r="AE518" i="32"/>
  <c r="AD518" i="32"/>
  <c r="AF518" i="32"/>
  <c r="AD115" i="32"/>
  <c r="AE115" i="32"/>
  <c r="AF115" i="32"/>
  <c r="AE250" i="32"/>
  <c r="AD250" i="32"/>
  <c r="AF250" i="32"/>
  <c r="AE568" i="32"/>
  <c r="AD568" i="32"/>
  <c r="AF568" i="32"/>
  <c r="R624" i="31"/>
  <c r="Q624" i="31"/>
  <c r="AF624" i="31"/>
  <c r="AO624" i="31"/>
  <c r="H634" i="31" s="1"/>
  <c r="AP624" i="31"/>
  <c r="AA623" i="31"/>
  <c r="AB623" i="31"/>
  <c r="AC623" i="31"/>
  <c r="AA225" i="31"/>
  <c r="AB225" i="31"/>
  <c r="AC225" i="31"/>
  <c r="AA543" i="31"/>
  <c r="AB543" i="31"/>
  <c r="AC543" i="31"/>
  <c r="AA142" i="31"/>
  <c r="AB142" i="31"/>
  <c r="AC142" i="31"/>
  <c r="AA73" i="31"/>
  <c r="AB73" i="31"/>
  <c r="AC73" i="31"/>
  <c r="AB376" i="31"/>
  <c r="AA376" i="31"/>
  <c r="AC376" i="31"/>
  <c r="AB293" i="31"/>
  <c r="AA293" i="31"/>
  <c r="AC293" i="31"/>
  <c r="U629" i="31"/>
  <c r="V629" i="31"/>
  <c r="AC629" i="31"/>
  <c r="Y627" i="31"/>
  <c r="X627" i="31"/>
  <c r="AA144" i="31"/>
  <c r="AB144" i="31"/>
  <c r="AC144" i="31"/>
  <c r="AB140" i="31"/>
  <c r="AA140" i="31"/>
  <c r="AC140" i="31"/>
  <c r="AB215" i="31"/>
  <c r="AA215" i="31"/>
  <c r="AC215" i="31"/>
  <c r="AA386" i="31"/>
  <c r="AB386" i="31"/>
  <c r="AC386" i="31"/>
  <c r="AA588" i="31"/>
  <c r="AB588" i="31"/>
  <c r="AC588" i="31"/>
  <c r="AB399" i="31"/>
  <c r="AA399" i="31"/>
  <c r="AC399" i="31"/>
  <c r="AA99" i="31"/>
  <c r="AB99" i="31"/>
  <c r="AC99" i="31"/>
  <c r="AB410" i="31"/>
  <c r="AA410" i="31"/>
  <c r="AC410" i="31"/>
  <c r="AA109" i="31"/>
  <c r="AB109" i="31"/>
  <c r="AC109" i="31"/>
  <c r="AB224" i="31"/>
  <c r="AA224" i="31"/>
  <c r="AC224" i="31"/>
  <c r="AA379" i="31"/>
  <c r="AB379" i="31"/>
  <c r="AC379" i="31"/>
  <c r="AB575" i="31"/>
  <c r="AA575" i="31"/>
  <c r="AC575" i="31"/>
  <c r="AB176" i="31"/>
  <c r="AA176" i="31"/>
  <c r="AC176" i="31"/>
  <c r="AB257" i="31"/>
  <c r="AA257" i="31"/>
  <c r="AC257" i="31"/>
  <c r="AA462" i="31"/>
  <c r="AB462" i="31"/>
  <c r="AC462" i="31"/>
  <c r="AB32" i="31"/>
  <c r="AA32" i="31"/>
  <c r="AC32" i="31"/>
  <c r="AA82" i="31"/>
  <c r="AB82" i="31"/>
  <c r="AC82" i="31"/>
  <c r="AB323" i="31"/>
  <c r="AA323" i="31"/>
  <c r="AC323" i="31"/>
  <c r="AB437" i="31"/>
  <c r="AA437" i="31"/>
  <c r="AC437" i="31"/>
  <c r="AB248" i="31"/>
  <c r="AA248" i="31"/>
  <c r="AC248" i="31"/>
  <c r="AB159" i="31"/>
  <c r="AA159" i="31"/>
  <c r="AC159" i="31"/>
  <c r="AA384" i="31"/>
  <c r="AB384" i="31"/>
  <c r="AC384" i="31"/>
  <c r="AB566" i="31"/>
  <c r="AA566" i="31"/>
  <c r="AC566" i="31"/>
  <c r="AA461" i="31"/>
  <c r="AB461" i="31"/>
  <c r="AC461" i="31"/>
  <c r="AA41" i="31"/>
  <c r="AB41" i="31"/>
  <c r="AC41" i="31"/>
  <c r="AA191" i="31"/>
  <c r="AB191" i="31"/>
  <c r="AC191" i="31"/>
  <c r="AB385" i="31"/>
  <c r="AA385" i="31"/>
  <c r="AC385" i="31"/>
  <c r="AB546" i="31"/>
  <c r="AA546" i="31"/>
  <c r="AC546" i="31"/>
  <c r="AA401" i="31"/>
  <c r="AB401" i="31"/>
  <c r="AC401" i="31"/>
  <c r="AA489" i="31"/>
  <c r="AB489" i="31"/>
  <c r="AC489" i="31"/>
  <c r="AB569" i="31"/>
  <c r="AA569" i="31"/>
  <c r="AC569" i="31"/>
  <c r="AC74" i="31"/>
  <c r="AA74" i="31"/>
  <c r="AB74" i="31"/>
  <c r="AB115" i="31"/>
  <c r="AA115" i="31"/>
  <c r="AC115" i="31"/>
  <c r="AA233" i="31"/>
  <c r="AB233" i="31"/>
  <c r="AC233" i="31"/>
  <c r="AB272" i="31"/>
  <c r="AA272" i="31"/>
  <c r="AC272" i="31"/>
  <c r="AB392" i="31"/>
  <c r="AA392" i="31"/>
  <c r="AC392" i="31"/>
  <c r="AB442" i="31"/>
  <c r="AA442" i="31"/>
  <c r="AC442" i="31"/>
  <c r="AA530" i="31"/>
  <c r="AB530" i="31"/>
  <c r="AC530" i="31"/>
  <c r="AB583" i="31"/>
  <c r="AA583" i="31"/>
  <c r="AC583" i="31"/>
  <c r="AA64" i="31"/>
  <c r="AB64" i="31"/>
  <c r="AC64" i="31"/>
  <c r="AB105" i="31"/>
  <c r="AA105" i="31"/>
  <c r="AC105" i="31"/>
  <c r="AA166" i="31"/>
  <c r="AB166" i="31"/>
  <c r="AC166" i="31"/>
  <c r="AB246" i="31"/>
  <c r="AA246" i="31"/>
  <c r="AC246" i="31"/>
  <c r="AA351" i="31"/>
  <c r="AB351" i="31"/>
  <c r="AC351" i="31"/>
  <c r="AA422" i="31"/>
  <c r="AB422" i="31"/>
  <c r="AC422" i="31"/>
  <c r="AA480" i="31"/>
  <c r="AB480" i="31"/>
  <c r="AC480" i="31"/>
  <c r="AB565" i="31"/>
  <c r="AA565" i="31"/>
  <c r="AC565" i="31"/>
  <c r="AA43" i="31"/>
  <c r="AB43" i="31"/>
  <c r="AC43" i="31"/>
  <c r="AA111" i="31"/>
  <c r="AB111" i="31"/>
  <c r="AC111" i="31"/>
  <c r="AB156" i="31"/>
  <c r="AA156" i="31"/>
  <c r="AC156" i="31"/>
  <c r="AB268" i="31"/>
  <c r="AA268" i="31"/>
  <c r="AC268" i="31"/>
  <c r="AA334" i="31"/>
  <c r="AB334" i="31"/>
  <c r="AC334" i="31"/>
  <c r="AA375" i="31"/>
  <c r="AB375" i="31"/>
  <c r="AC375" i="31"/>
  <c r="AA476" i="31"/>
  <c r="AB476" i="31"/>
  <c r="AC476" i="31"/>
  <c r="AB540" i="31"/>
  <c r="AA540" i="31"/>
  <c r="AC540" i="31"/>
  <c r="AB51" i="31"/>
  <c r="AA51" i="31"/>
  <c r="AC51" i="31"/>
  <c r="AB55" i="31"/>
  <c r="AA55" i="31"/>
  <c r="AC55" i="31"/>
  <c r="AA138" i="31"/>
  <c r="AB138" i="31"/>
  <c r="AC138" i="31"/>
  <c r="AB199" i="31"/>
  <c r="AA199" i="31"/>
  <c r="AC199" i="31"/>
  <c r="AA330" i="31"/>
  <c r="AB330" i="31"/>
  <c r="AC330" i="31"/>
  <c r="AA400" i="31"/>
  <c r="AB400" i="31"/>
  <c r="AC400" i="31"/>
  <c r="AB418" i="31"/>
  <c r="AA418" i="31"/>
  <c r="AC418" i="31"/>
  <c r="AB533" i="31"/>
  <c r="AA533" i="31"/>
  <c r="AC533" i="31"/>
  <c r="AB574" i="31"/>
  <c r="AA574" i="31"/>
  <c r="AC574" i="31"/>
  <c r="AB38" i="31"/>
  <c r="AA38" i="31"/>
  <c r="AC38" i="31"/>
  <c r="AB110" i="31"/>
  <c r="AA110" i="31"/>
  <c r="AC110" i="31"/>
  <c r="AB146" i="31"/>
  <c r="AA146" i="31"/>
  <c r="AC146" i="31"/>
  <c r="AB229" i="31"/>
  <c r="AA229" i="31"/>
  <c r="AC229" i="31"/>
  <c r="AB315" i="31"/>
  <c r="AA315" i="31"/>
  <c r="AC315" i="31"/>
  <c r="AB370" i="31"/>
  <c r="AA370" i="31"/>
  <c r="AC370" i="31"/>
  <c r="AB415" i="31"/>
  <c r="AA415" i="31"/>
  <c r="AC415" i="31"/>
  <c r="AB478" i="31"/>
  <c r="AA478" i="31"/>
  <c r="AC478" i="31"/>
  <c r="AB555" i="31"/>
  <c r="AA555" i="31"/>
  <c r="AC555" i="31"/>
  <c r="AB605" i="31"/>
  <c r="AA605" i="31"/>
  <c r="AC605" i="31"/>
  <c r="AE329" i="32"/>
  <c r="AD329" i="32"/>
  <c r="AF329" i="32"/>
  <c r="AE471" i="32"/>
  <c r="AD471" i="32"/>
  <c r="AF471" i="32"/>
  <c r="AD143" i="32"/>
  <c r="AE143" i="32"/>
  <c r="AF143" i="32"/>
  <c r="AE255" i="32"/>
  <c r="AD255" i="32"/>
  <c r="AF255" i="32"/>
  <c r="AE606" i="32"/>
  <c r="AD606" i="32"/>
  <c r="AF606" i="32"/>
  <c r="AE448" i="32"/>
  <c r="AD448" i="32"/>
  <c r="AF448" i="32"/>
  <c r="AD469" i="32"/>
  <c r="AE469" i="32"/>
  <c r="AF469" i="32"/>
  <c r="AE603" i="32"/>
  <c r="AD603" i="32"/>
  <c r="AF603" i="32"/>
  <c r="AD485" i="32"/>
  <c r="AE485" i="32"/>
  <c r="AF485" i="32"/>
  <c r="AE75" i="32"/>
  <c r="AD75" i="32"/>
  <c r="AF75" i="32"/>
  <c r="AE309" i="32"/>
  <c r="AD309" i="32"/>
  <c r="AF309" i="32"/>
  <c r="AE441" i="32"/>
  <c r="AD441" i="32"/>
  <c r="AF441" i="32"/>
  <c r="AD161" i="32"/>
  <c r="AE161" i="32"/>
  <c r="AF161" i="32"/>
  <c r="AE165" i="32"/>
  <c r="AD165" i="32"/>
  <c r="AF165" i="32"/>
  <c r="AD295" i="32"/>
  <c r="AE295" i="32"/>
  <c r="AF295" i="32"/>
  <c r="AE468" i="32"/>
  <c r="AD468" i="32"/>
  <c r="AF468" i="32"/>
  <c r="AE178" i="32"/>
  <c r="AD178" i="32"/>
  <c r="AF178" i="32"/>
  <c r="AE167" i="32"/>
  <c r="AD167" i="32"/>
  <c r="AF167" i="32"/>
  <c r="AE334" i="32"/>
  <c r="AD334" i="32"/>
  <c r="AF334" i="32"/>
  <c r="AE546" i="32"/>
  <c r="AD546" i="32"/>
  <c r="AF546" i="32"/>
  <c r="AE25" i="32"/>
  <c r="AD25" i="32"/>
  <c r="AF25" i="32"/>
  <c r="AD48" i="32"/>
  <c r="AE48" i="32"/>
  <c r="AF48" i="32"/>
  <c r="AE181" i="32"/>
  <c r="AD181" i="32"/>
  <c r="AF181" i="32"/>
  <c r="AE562" i="32"/>
  <c r="AD562" i="32"/>
  <c r="AF562" i="32"/>
  <c r="AE30" i="32"/>
  <c r="AD30" i="32"/>
  <c r="AF30" i="32"/>
  <c r="AD83" i="32"/>
  <c r="AE83" i="32"/>
  <c r="AF83" i="32"/>
  <c r="AE213" i="32"/>
  <c r="AD213" i="32"/>
  <c r="AF213" i="32"/>
  <c r="AE573" i="32"/>
  <c r="AD573" i="32"/>
  <c r="AF573" i="32"/>
  <c r="AE45" i="32"/>
  <c r="AD45" i="32"/>
  <c r="AF45" i="32"/>
  <c r="AD74" i="32"/>
  <c r="AE74" i="32"/>
  <c r="AF74" i="32"/>
  <c r="AD449" i="32"/>
  <c r="AE449" i="32"/>
  <c r="AF449" i="32"/>
  <c r="AE585" i="32"/>
  <c r="AD585" i="32"/>
  <c r="AF585" i="32"/>
  <c r="AE17" i="32"/>
  <c r="AD17" i="32"/>
  <c r="AF17" i="32"/>
  <c r="AD100" i="32"/>
  <c r="AE100" i="32"/>
  <c r="AF100" i="32"/>
  <c r="AE154" i="32"/>
  <c r="AD154" i="32"/>
  <c r="AF154" i="32"/>
  <c r="AE296" i="32"/>
  <c r="AD296" i="32"/>
  <c r="AF296" i="32"/>
  <c r="AE300" i="32"/>
  <c r="AD300" i="32"/>
  <c r="AF300" i="32"/>
  <c r="AE359" i="32"/>
  <c r="AD359" i="32"/>
  <c r="AF359" i="32"/>
  <c r="AD479" i="32"/>
  <c r="AE479" i="32"/>
  <c r="AF479" i="32"/>
  <c r="AE484" i="32"/>
  <c r="AD484" i="32"/>
  <c r="AF484" i="32"/>
  <c r="AE495" i="32"/>
  <c r="AD495" i="32"/>
  <c r="AF495" i="32"/>
  <c r="AD114" i="32"/>
  <c r="AE114" i="32"/>
  <c r="AF114" i="32"/>
  <c r="AE187" i="32"/>
  <c r="AD187" i="32"/>
  <c r="AF187" i="32"/>
  <c r="AD198" i="32"/>
  <c r="AE198" i="32"/>
  <c r="AF198" i="32"/>
  <c r="AE191" i="32"/>
  <c r="AD191" i="32"/>
  <c r="AF191" i="32"/>
  <c r="AE410" i="32"/>
  <c r="AD410" i="32"/>
  <c r="AF410" i="32"/>
  <c r="AD414" i="32"/>
  <c r="AE414" i="32"/>
  <c r="AF414" i="32"/>
  <c r="AD318" i="32"/>
  <c r="AE318" i="32"/>
  <c r="AF318" i="32"/>
  <c r="AD543" i="32"/>
  <c r="AE543" i="32"/>
  <c r="AF543" i="32"/>
  <c r="AE447" i="32"/>
  <c r="AD447" i="32"/>
  <c r="AF447" i="32"/>
  <c r="AE196" i="32"/>
  <c r="AD196" i="32"/>
  <c r="AF196" i="32"/>
  <c r="AD254" i="32"/>
  <c r="AE254" i="32"/>
  <c r="AF254" i="32"/>
  <c r="AD207" i="32"/>
  <c r="AE207" i="32"/>
  <c r="AF207" i="32"/>
  <c r="AE179" i="32"/>
  <c r="AD179" i="32"/>
  <c r="AF179" i="32"/>
  <c r="AE426" i="32"/>
  <c r="AD426" i="32"/>
  <c r="AF426" i="32"/>
  <c r="AD322" i="32"/>
  <c r="AE322" i="32"/>
  <c r="AF322" i="32"/>
  <c r="AD552" i="32"/>
  <c r="AE552" i="32"/>
  <c r="AF552" i="32"/>
  <c r="AD476" i="32"/>
  <c r="AE476" i="32"/>
  <c r="AF476" i="32"/>
  <c r="AE59" i="32"/>
  <c r="AD59" i="32"/>
  <c r="AF59" i="32"/>
  <c r="AE166" i="32"/>
  <c r="AD166" i="32"/>
  <c r="AF166" i="32"/>
  <c r="AE110" i="32"/>
  <c r="AD110" i="32"/>
  <c r="AF110" i="32"/>
  <c r="AD301" i="32"/>
  <c r="AE301" i="32"/>
  <c r="AF301" i="32"/>
  <c r="AD243" i="32"/>
  <c r="AE243" i="32"/>
  <c r="AF243" i="32"/>
  <c r="AE435" i="32"/>
  <c r="AD435" i="32"/>
  <c r="AF435" i="32"/>
  <c r="AD378" i="32"/>
  <c r="AE378" i="32"/>
  <c r="AF378" i="32"/>
  <c r="AD482" i="32"/>
  <c r="AE482" i="32"/>
  <c r="AF482" i="32"/>
  <c r="AE566" i="32"/>
  <c r="AD566" i="32"/>
  <c r="AF566" i="32"/>
  <c r="AB78" i="31"/>
  <c r="AA78" i="31"/>
  <c r="AC78" i="31"/>
  <c r="AE139" i="32"/>
  <c r="AD139" i="32"/>
  <c r="AF139" i="32"/>
  <c r="AD264" i="32"/>
  <c r="AE264" i="32"/>
  <c r="AF264" i="32"/>
  <c r="AD205" i="32"/>
  <c r="AE205" i="32"/>
  <c r="AF205" i="32"/>
  <c r="AD388" i="32"/>
  <c r="AE388" i="32"/>
  <c r="AF388" i="32"/>
  <c r="AE376" i="32"/>
  <c r="AD376" i="32"/>
  <c r="AF376" i="32"/>
  <c r="AE355" i="32"/>
  <c r="AD355" i="32"/>
  <c r="AF355" i="32"/>
  <c r="AE555" i="32"/>
  <c r="AD555" i="32"/>
  <c r="AF555" i="32"/>
  <c r="AD554" i="32"/>
  <c r="AE554" i="32"/>
  <c r="AF554" i="32"/>
  <c r="E627" i="31"/>
  <c r="F627" i="31"/>
  <c r="AB230" i="31"/>
  <c r="AA230" i="31"/>
  <c r="AC230" i="31"/>
  <c r="AA57" i="31"/>
  <c r="AB57" i="31"/>
  <c r="AC57" i="31"/>
  <c r="AB594" i="31"/>
  <c r="AA594" i="31"/>
  <c r="AC594" i="31"/>
  <c r="AB141" i="31"/>
  <c r="AA141" i="31"/>
  <c r="AC141" i="31"/>
  <c r="AB513" i="31"/>
  <c r="AA513" i="31"/>
  <c r="AC513" i="31"/>
  <c r="AB412" i="31"/>
  <c r="AA412" i="31"/>
  <c r="AC412" i="31"/>
  <c r="AB414" i="31"/>
  <c r="AA414" i="31"/>
  <c r="AC414" i="31"/>
  <c r="AA249" i="31"/>
  <c r="AB249" i="31"/>
  <c r="AC249" i="31"/>
  <c r="AB227" i="31"/>
  <c r="AA227" i="31"/>
  <c r="AC227" i="31"/>
  <c r="AB128" i="31"/>
  <c r="AA128" i="31"/>
  <c r="AC128" i="31"/>
  <c r="AA54" i="31"/>
  <c r="AB54" i="31"/>
  <c r="AC54" i="31"/>
  <c r="AB517" i="31"/>
  <c r="AA517" i="31"/>
  <c r="AC517" i="31"/>
  <c r="AD565" i="32"/>
  <c r="AE565" i="32"/>
  <c r="AF565" i="32"/>
  <c r="AE371" i="32"/>
  <c r="AD371" i="32"/>
  <c r="AF371" i="32"/>
  <c r="AE101" i="32"/>
  <c r="AD101" i="32"/>
  <c r="AF101" i="32"/>
  <c r="AD325" i="32"/>
  <c r="AE325" i="32"/>
  <c r="AF325" i="32"/>
  <c r="AE61" i="32"/>
  <c r="AD61" i="32"/>
  <c r="AF61" i="32"/>
  <c r="AE200" i="32"/>
  <c r="AD200" i="32"/>
  <c r="AF200" i="32"/>
  <c r="AE202" i="32"/>
  <c r="AD202" i="32"/>
  <c r="AF202" i="32"/>
  <c r="AD253" i="32"/>
  <c r="AE253" i="32"/>
  <c r="AF253" i="32"/>
  <c r="AB567" i="31"/>
  <c r="AA567" i="31"/>
  <c r="AC567" i="31"/>
  <c r="AA434" i="31"/>
  <c r="AB434" i="31"/>
  <c r="AC434" i="31"/>
  <c r="AA499" i="31"/>
  <c r="AB499" i="31"/>
  <c r="AC499" i="31"/>
  <c r="AA577" i="31"/>
  <c r="AB577" i="31"/>
  <c r="AC577" i="31"/>
  <c r="AA42" i="31"/>
  <c r="AB42" i="31"/>
  <c r="AC42" i="31"/>
  <c r="AB200" i="31"/>
  <c r="AA200" i="31"/>
  <c r="AC200" i="31"/>
  <c r="AB236" i="31"/>
  <c r="AA236" i="31"/>
  <c r="AC236" i="31"/>
  <c r="AA281" i="31"/>
  <c r="AB281" i="31"/>
  <c r="AC281" i="31"/>
  <c r="AB358" i="31"/>
  <c r="AA358" i="31"/>
  <c r="AC358" i="31"/>
  <c r="AA474" i="31"/>
  <c r="AB474" i="31"/>
  <c r="AC474" i="31"/>
  <c r="AB506" i="31"/>
  <c r="AA506" i="31"/>
  <c r="AC506" i="31"/>
  <c r="AB607" i="31"/>
  <c r="AA607" i="31"/>
  <c r="AC607" i="31"/>
  <c r="AB40" i="31"/>
  <c r="AA40" i="31"/>
  <c r="AC40" i="31"/>
  <c r="AA114" i="31"/>
  <c r="AB114" i="31"/>
  <c r="AC114" i="31"/>
  <c r="AB175" i="31"/>
  <c r="AA175" i="31"/>
  <c r="AC175" i="31"/>
  <c r="AB271" i="31"/>
  <c r="AA271" i="31"/>
  <c r="AC271" i="31"/>
  <c r="AA354" i="31"/>
  <c r="AB354" i="31"/>
  <c r="AC354" i="31"/>
  <c r="AA417" i="31"/>
  <c r="AB417" i="31"/>
  <c r="AC417" i="31"/>
  <c r="AA490" i="31"/>
  <c r="AB490" i="31"/>
  <c r="AC490" i="31"/>
  <c r="AB580" i="31"/>
  <c r="AA580" i="31"/>
  <c r="AC580" i="31"/>
  <c r="AB50" i="31"/>
  <c r="AA50" i="31"/>
  <c r="AC50" i="31"/>
  <c r="AB112" i="31"/>
  <c r="AA112" i="31"/>
  <c r="AC112" i="31"/>
  <c r="AB165" i="31"/>
  <c r="AA165" i="31"/>
  <c r="AC165" i="31"/>
  <c r="AA253" i="31"/>
  <c r="AB253" i="31"/>
  <c r="AC253" i="31"/>
  <c r="AA343" i="31"/>
  <c r="AB343" i="31"/>
  <c r="AC343" i="31"/>
  <c r="AA460" i="31"/>
  <c r="AB460" i="31"/>
  <c r="AC460" i="31"/>
  <c r="AB493" i="31"/>
  <c r="AA493" i="31"/>
  <c r="AC493" i="31"/>
  <c r="AA545" i="31"/>
  <c r="AB545" i="31"/>
  <c r="AC545" i="31"/>
  <c r="AA19" i="31"/>
  <c r="AB19" i="31"/>
  <c r="AC19" i="31"/>
  <c r="AB31" i="31"/>
  <c r="AA31" i="31"/>
  <c r="AC31" i="31"/>
  <c r="AB160" i="31"/>
  <c r="AA160" i="31"/>
  <c r="AC160" i="31"/>
  <c r="AA239" i="31"/>
  <c r="AB239" i="31"/>
  <c r="AC239" i="31"/>
  <c r="AB369" i="31"/>
  <c r="AA369" i="31"/>
  <c r="AC369" i="31"/>
  <c r="AB449" i="31"/>
  <c r="AA449" i="31"/>
  <c r="AC449" i="31"/>
  <c r="AB469" i="31"/>
  <c r="AA469" i="31"/>
  <c r="AC469" i="31"/>
  <c r="AB520" i="31"/>
  <c r="AA520" i="31"/>
  <c r="AC520" i="31"/>
  <c r="AB590" i="31"/>
  <c r="AA590" i="31"/>
  <c r="AC590" i="31"/>
  <c r="AB22" i="31"/>
  <c r="AA22" i="31"/>
  <c r="AC22" i="31"/>
  <c r="AB103" i="31"/>
  <c r="AA103" i="31"/>
  <c r="AC103" i="31"/>
  <c r="AB219" i="31"/>
  <c r="AA219" i="31"/>
  <c r="AC219" i="31"/>
  <c r="AB251" i="31"/>
  <c r="AA251" i="31"/>
  <c r="AC251" i="31"/>
  <c r="AB322" i="31"/>
  <c r="AA322" i="31"/>
  <c r="AC322" i="31"/>
  <c r="AB356" i="31"/>
  <c r="AA356" i="31"/>
  <c r="AC356" i="31"/>
  <c r="AB428" i="31"/>
  <c r="AA428" i="31"/>
  <c r="AC428" i="31"/>
  <c r="AB488" i="31"/>
  <c r="AA488" i="31"/>
  <c r="AC488" i="31"/>
  <c r="AB552" i="31"/>
  <c r="AA552" i="31"/>
  <c r="AC552" i="31"/>
  <c r="AB46" i="31"/>
  <c r="AA46" i="31"/>
  <c r="AC46" i="31"/>
  <c r="AB16" i="31"/>
  <c r="AA16" i="31"/>
  <c r="AC16" i="31"/>
  <c r="AD528" i="32"/>
  <c r="AE528" i="32"/>
  <c r="AF528" i="32"/>
  <c r="AD289" i="32"/>
  <c r="AE289" i="32"/>
  <c r="AF289" i="32"/>
  <c r="AD509" i="32"/>
  <c r="AE509" i="32"/>
  <c r="AF509" i="32"/>
  <c r="AB76" i="31"/>
  <c r="AA76" i="31"/>
  <c r="AC76" i="31"/>
  <c r="AD53" i="32"/>
  <c r="AE53" i="32"/>
  <c r="AF53" i="32"/>
  <c r="AE44" i="32"/>
  <c r="AD44" i="32"/>
  <c r="AF44" i="32"/>
  <c r="AD62" i="32"/>
  <c r="AE62" i="32"/>
  <c r="AF62" i="32"/>
  <c r="AE73" i="32"/>
  <c r="AD73" i="32"/>
  <c r="AF73" i="32"/>
  <c r="AD136" i="32"/>
  <c r="AE136" i="32"/>
  <c r="AF136" i="32"/>
  <c r="AD293" i="32"/>
  <c r="AE293" i="32"/>
  <c r="AF293" i="32"/>
  <c r="AD398" i="32"/>
  <c r="AE398" i="32"/>
  <c r="AF398" i="32"/>
  <c r="AD137" i="32"/>
  <c r="AE137" i="32"/>
  <c r="AF137" i="32"/>
  <c r="AE190" i="32"/>
  <c r="AD190" i="32"/>
  <c r="AF190" i="32"/>
  <c r="AE280" i="32"/>
  <c r="AD280" i="32"/>
  <c r="AF280" i="32"/>
  <c r="AD602" i="32"/>
  <c r="AE602" i="32"/>
  <c r="AF602" i="32"/>
  <c r="AD13" i="32"/>
  <c r="AE13" i="32"/>
  <c r="AF13" i="32"/>
  <c r="AE46" i="32"/>
  <c r="AD46" i="32"/>
  <c r="AF46" i="32"/>
  <c r="AE285" i="32"/>
  <c r="AD285" i="32"/>
  <c r="AF285" i="32"/>
  <c r="AD532" i="32"/>
  <c r="AE532" i="32"/>
  <c r="AF532" i="32"/>
  <c r="AD20" i="32"/>
  <c r="AE20" i="32"/>
  <c r="AF20" i="32"/>
  <c r="AE290" i="32"/>
  <c r="AD290" i="32"/>
  <c r="AF290" i="32"/>
  <c r="AE397" i="32"/>
  <c r="AD397" i="32"/>
  <c r="AF397" i="32"/>
  <c r="AE557" i="32"/>
  <c r="AD557" i="32"/>
  <c r="AF557" i="32"/>
  <c r="AE22" i="32"/>
  <c r="AD22" i="32"/>
  <c r="AF22" i="32"/>
  <c r="AE422" i="32"/>
  <c r="AD422" i="32"/>
  <c r="AF422" i="32"/>
  <c r="AD432" i="32"/>
  <c r="AE432" i="32"/>
  <c r="AF432" i="32"/>
  <c r="AE583" i="32"/>
  <c r="AD583" i="32"/>
  <c r="AF583" i="32"/>
  <c r="AD76" i="32"/>
  <c r="AE76" i="32"/>
  <c r="AF76" i="32"/>
  <c r="AE174" i="32"/>
  <c r="AD174" i="32"/>
  <c r="AF174" i="32"/>
  <c r="AD434" i="32"/>
  <c r="AE434" i="32"/>
  <c r="AF434" i="32"/>
  <c r="AD587" i="32"/>
  <c r="AE587" i="32"/>
  <c r="AF587" i="32"/>
  <c r="AD81" i="32"/>
  <c r="AE81" i="32"/>
  <c r="AF81" i="32"/>
  <c r="AD169" i="32"/>
  <c r="AE169" i="32"/>
  <c r="AF169" i="32"/>
  <c r="AD58" i="32"/>
  <c r="AE58" i="32"/>
  <c r="AF58" i="32"/>
  <c r="AD233" i="32"/>
  <c r="AE233" i="32"/>
  <c r="AF233" i="32"/>
  <c r="AD197" i="32"/>
  <c r="AE197" i="32"/>
  <c r="AF197" i="32"/>
  <c r="AD417" i="32"/>
  <c r="AE417" i="32"/>
  <c r="AF417" i="32"/>
  <c r="AE373" i="32"/>
  <c r="AD373" i="32"/>
  <c r="AF373" i="32"/>
  <c r="AD575" i="32"/>
  <c r="AE575" i="32"/>
  <c r="AF575" i="32"/>
  <c r="AD572" i="32"/>
  <c r="AE572" i="32"/>
  <c r="AF572" i="32"/>
  <c r="AE98" i="32"/>
  <c r="AD98" i="32"/>
  <c r="AF98" i="32"/>
  <c r="AD78" i="32"/>
  <c r="AE78" i="32"/>
  <c r="AF78" i="32"/>
  <c r="AE192" i="32"/>
  <c r="AD192" i="32"/>
  <c r="AF192" i="32"/>
  <c r="AD248" i="32"/>
  <c r="AE248" i="32"/>
  <c r="AF248" i="32"/>
  <c r="AE277" i="32"/>
  <c r="AD277" i="32"/>
  <c r="AF277" i="32"/>
  <c r="AE314" i="32"/>
  <c r="AD314" i="32"/>
  <c r="AF314" i="32"/>
  <c r="AD344" i="32"/>
  <c r="AE344" i="32"/>
  <c r="AF344" i="32"/>
  <c r="AE594" i="32"/>
  <c r="AD594" i="32"/>
  <c r="AF594" i="32"/>
  <c r="AE512" i="32"/>
  <c r="AD512" i="32"/>
  <c r="AF512" i="32"/>
  <c r="AE92" i="32"/>
  <c r="AD92" i="32"/>
  <c r="AF92" i="32"/>
  <c r="AE194" i="32"/>
  <c r="AD194" i="32"/>
  <c r="AF194" i="32"/>
  <c r="AE263" i="32"/>
  <c r="AD263" i="32"/>
  <c r="AF263" i="32"/>
  <c r="AE304" i="32"/>
  <c r="AD304" i="32"/>
  <c r="AF304" i="32"/>
  <c r="AE319" i="32"/>
  <c r="AD319" i="32"/>
  <c r="AF319" i="32"/>
  <c r="AE346" i="32"/>
  <c r="AD346" i="32"/>
  <c r="AF346" i="32"/>
  <c r="AE596" i="32"/>
  <c r="AD596" i="32"/>
  <c r="AF596" i="32"/>
  <c r="AE514" i="32"/>
  <c r="AD514" i="32"/>
  <c r="AF514" i="32"/>
  <c r="AD27" i="32"/>
  <c r="AE27" i="32"/>
  <c r="AF27" i="32"/>
  <c r="AD54" i="32"/>
  <c r="AE54" i="32"/>
  <c r="AF54" i="32"/>
  <c r="AD141" i="32"/>
  <c r="AE141" i="32"/>
  <c r="AF141" i="32"/>
  <c r="AD236" i="32"/>
  <c r="AE236" i="32"/>
  <c r="AF236" i="32"/>
  <c r="AE283" i="32"/>
  <c r="AD283" i="32"/>
  <c r="AF283" i="32"/>
  <c r="AE317" i="32"/>
  <c r="AD317" i="32"/>
  <c r="AF317" i="32"/>
  <c r="AE411" i="32"/>
  <c r="AD411" i="32"/>
  <c r="AF411" i="32"/>
  <c r="AE581" i="32"/>
  <c r="AD581" i="32"/>
  <c r="AF581" i="32"/>
  <c r="AE470" i="32"/>
  <c r="AD470" i="32"/>
  <c r="AF470" i="32"/>
  <c r="AE43" i="32"/>
  <c r="AD43" i="32"/>
  <c r="AF43" i="32"/>
  <c r="AD70" i="32"/>
  <c r="AE70" i="32"/>
  <c r="AF70" i="32"/>
  <c r="AD86" i="32"/>
  <c r="AE86" i="32"/>
  <c r="AF86" i="32"/>
  <c r="AE281" i="32"/>
  <c r="AD281" i="32"/>
  <c r="AF281" i="32"/>
  <c r="AE220" i="32"/>
  <c r="AD220" i="32"/>
  <c r="AF220" i="32"/>
  <c r="AD442" i="32"/>
  <c r="AE442" i="32"/>
  <c r="AF442" i="32"/>
  <c r="AE416" i="32"/>
  <c r="AD416" i="32"/>
  <c r="AF416" i="32"/>
  <c r="AE505" i="32"/>
  <c r="AD505" i="32"/>
  <c r="AF505" i="32"/>
  <c r="AE600" i="32"/>
  <c r="AD600" i="32"/>
  <c r="AF600" i="32"/>
  <c r="AL625" i="31"/>
  <c r="AM625" i="31"/>
  <c r="AE625" i="31"/>
  <c r="AD625" i="31"/>
  <c r="AB277" i="31"/>
  <c r="AA277" i="31"/>
  <c r="AC277" i="31"/>
  <c r="AA568" i="31"/>
  <c r="AB568" i="31"/>
  <c r="AC568" i="31"/>
  <c r="AA491" i="31"/>
  <c r="AB491" i="31"/>
  <c r="AC491" i="31"/>
  <c r="AA629" i="31"/>
  <c r="AB629" i="31"/>
  <c r="AA336" i="31"/>
  <c r="AB336" i="31"/>
  <c r="AC336" i="31"/>
  <c r="AB182" i="31"/>
  <c r="AA182" i="31"/>
  <c r="AC182" i="31"/>
  <c r="AA275" i="31"/>
  <c r="AB275" i="31"/>
  <c r="AC275" i="31"/>
  <c r="AA186" i="31"/>
  <c r="AB186" i="31"/>
  <c r="AC186" i="31"/>
  <c r="AB147" i="31"/>
  <c r="AA147" i="31"/>
  <c r="AC147" i="31"/>
  <c r="AA67" i="31"/>
  <c r="AB67" i="31"/>
  <c r="AC67" i="31"/>
  <c r="AA344" i="31"/>
  <c r="AB344" i="31"/>
  <c r="AC344" i="31"/>
  <c r="AB203" i="31"/>
  <c r="AA203" i="31"/>
  <c r="AC203" i="31"/>
  <c r="AA532" i="31"/>
  <c r="AB532" i="31"/>
  <c r="AC532" i="31"/>
  <c r="AB378" i="31"/>
  <c r="AA378" i="31"/>
  <c r="AC378" i="31"/>
  <c r="AA541" i="31"/>
  <c r="AB541" i="31"/>
  <c r="AC541" i="31"/>
  <c r="AB269" i="31"/>
  <c r="AA269" i="31"/>
  <c r="AC269" i="31"/>
  <c r="AB116" i="31"/>
  <c r="AA116" i="31"/>
  <c r="AC116" i="31"/>
  <c r="AB456" i="31"/>
  <c r="AA456" i="31"/>
  <c r="AC456" i="31"/>
  <c r="AE201" i="32"/>
  <c r="AD201" i="32"/>
  <c r="AF201" i="32"/>
  <c r="AE320" i="32"/>
  <c r="AD320" i="32"/>
  <c r="AF320" i="32"/>
  <c r="AD542" i="32"/>
  <c r="AE542" i="32"/>
  <c r="AF542" i="32"/>
  <c r="AE184" i="32"/>
  <c r="AD184" i="32"/>
  <c r="AF184" i="32"/>
  <c r="AE148" i="32"/>
  <c r="AD148" i="32"/>
  <c r="AF148" i="32"/>
  <c r="AE18" i="32"/>
  <c r="AD18" i="32"/>
  <c r="AF18" i="32"/>
  <c r="AE122" i="32"/>
  <c r="AD122" i="32"/>
  <c r="AF122" i="32"/>
  <c r="AD349" i="32"/>
  <c r="AE349" i="32"/>
  <c r="AF349" i="32"/>
  <c r="AD215" i="32"/>
  <c r="AE215" i="32"/>
  <c r="AF215" i="32"/>
  <c r="AD375" i="32"/>
  <c r="AE375" i="32"/>
  <c r="AF375" i="32"/>
  <c r="AE38" i="32"/>
  <c r="AD38" i="32"/>
  <c r="AF38" i="32"/>
  <c r="K629" i="31"/>
  <c r="L629" i="31"/>
  <c r="AA217" i="31"/>
  <c r="AB217" i="31"/>
  <c r="AC217" i="31"/>
  <c r="AA404" i="31"/>
  <c r="AB404" i="31"/>
  <c r="AC404" i="31"/>
  <c r="AB526" i="31"/>
  <c r="AA526" i="31"/>
  <c r="AC526" i="31"/>
  <c r="AA431" i="31"/>
  <c r="AB431" i="31"/>
  <c r="AC431" i="31"/>
  <c r="AA405" i="31"/>
  <c r="AB405" i="31"/>
  <c r="AC405" i="31"/>
  <c r="AB332" i="31"/>
  <c r="AA332" i="31"/>
  <c r="AC332" i="31"/>
  <c r="AB184" i="31"/>
  <c r="AA184" i="31"/>
  <c r="AC184" i="31"/>
  <c r="AA471" i="31"/>
  <c r="AB471" i="31"/>
  <c r="AC471" i="31"/>
  <c r="AB397" i="31"/>
  <c r="AA397" i="31"/>
  <c r="AC397" i="31"/>
  <c r="AA100" i="31"/>
  <c r="AB100" i="31"/>
  <c r="AC100" i="31"/>
  <c r="U627" i="31"/>
  <c r="V627" i="31"/>
  <c r="AC627" i="31"/>
  <c r="AA628" i="31"/>
  <c r="AB628" i="31"/>
  <c r="AC628" i="31"/>
  <c r="AA283" i="31"/>
  <c r="AB283" i="31"/>
  <c r="AC283" i="31"/>
  <c r="AA81" i="31"/>
  <c r="AB81" i="31"/>
  <c r="AC81" i="31"/>
  <c r="AB338" i="31"/>
  <c r="AA338" i="31"/>
  <c r="AC338" i="31"/>
  <c r="AB427" i="31"/>
  <c r="AA427" i="31"/>
  <c r="AC427" i="31"/>
  <c r="AB17" i="31"/>
  <c r="AA17" i="31"/>
  <c r="AC17" i="31"/>
  <c r="AA481" i="31"/>
  <c r="AB481" i="31"/>
  <c r="AC481" i="31"/>
  <c r="AA207" i="31"/>
  <c r="AB207" i="31"/>
  <c r="AC207" i="31"/>
  <c r="AA502" i="31"/>
  <c r="AB502" i="31"/>
  <c r="AC502" i="31"/>
  <c r="AA121" i="31"/>
  <c r="AB121" i="31"/>
  <c r="AC121" i="31"/>
  <c r="AA262" i="31"/>
  <c r="AB262" i="31"/>
  <c r="AC262" i="31"/>
  <c r="AA426" i="31"/>
  <c r="AB426" i="31"/>
  <c r="AC426" i="31"/>
  <c r="AB169" i="31"/>
  <c r="AA169" i="31"/>
  <c r="AC169" i="31"/>
  <c r="AB180" i="31"/>
  <c r="AA180" i="31"/>
  <c r="AC180" i="31"/>
  <c r="AB295" i="31"/>
  <c r="AA295" i="31"/>
  <c r="AC295" i="31"/>
  <c r="AA512" i="31"/>
  <c r="AB512" i="31"/>
  <c r="AC512" i="31"/>
  <c r="AA363" i="31"/>
  <c r="AB363" i="31"/>
  <c r="AC363" i="31"/>
  <c r="AA178" i="31"/>
  <c r="AB178" i="31"/>
  <c r="AC178" i="31"/>
  <c r="AA340" i="31"/>
  <c r="AB340" i="31"/>
  <c r="AC340" i="31"/>
  <c r="AA479" i="31"/>
  <c r="AB479" i="31"/>
  <c r="AC479" i="31"/>
  <c r="AC34" i="31"/>
  <c r="AA34" i="31"/>
  <c r="AB34" i="31"/>
  <c r="AB350" i="31"/>
  <c r="AA350" i="31"/>
  <c r="AC350" i="31"/>
  <c r="AB423" i="31"/>
  <c r="AA423" i="31"/>
  <c r="AC423" i="31"/>
  <c r="AB14" i="31"/>
  <c r="AA14" i="31"/>
  <c r="AC14" i="31"/>
  <c r="AB59" i="31"/>
  <c r="AA59" i="31"/>
  <c r="AC59" i="31"/>
  <c r="AB118" i="31"/>
  <c r="AA118" i="31"/>
  <c r="AC118" i="31"/>
  <c r="AB259" i="31"/>
  <c r="AA259" i="31"/>
  <c r="AC259" i="31"/>
  <c r="AB382" i="31"/>
  <c r="AA382" i="31"/>
  <c r="AC382" i="31"/>
  <c r="AA597" i="31"/>
  <c r="AB597" i="31"/>
  <c r="AC597" i="31"/>
  <c r="AB450" i="31"/>
  <c r="AA450" i="31"/>
  <c r="AC450" i="31"/>
  <c r="AB542" i="31"/>
  <c r="AA542" i="31"/>
  <c r="AC542" i="31"/>
  <c r="AA592" i="31"/>
  <c r="AB592" i="31"/>
  <c r="AC592" i="31"/>
  <c r="AB85" i="31"/>
  <c r="AA85" i="31"/>
  <c r="AC85" i="31"/>
  <c r="AB193" i="31"/>
  <c r="AA193" i="31"/>
  <c r="AC193" i="31"/>
  <c r="AA223" i="31"/>
  <c r="AB223" i="31"/>
  <c r="AC223" i="31"/>
  <c r="AB353" i="31"/>
  <c r="AA353" i="31"/>
  <c r="AC353" i="31"/>
  <c r="AA372" i="31"/>
  <c r="AB372" i="31"/>
  <c r="AC372" i="31"/>
  <c r="AB468" i="31"/>
  <c r="AA468" i="31"/>
  <c r="AC468" i="31"/>
  <c r="AB516" i="31"/>
  <c r="AA516" i="31"/>
  <c r="AC516" i="31"/>
  <c r="AA595" i="31"/>
  <c r="AB595" i="31"/>
  <c r="AC595" i="31"/>
  <c r="AB47" i="31"/>
  <c r="AA47" i="31"/>
  <c r="AC47" i="31"/>
  <c r="AB123" i="31"/>
  <c r="AA123" i="31"/>
  <c r="AC123" i="31"/>
  <c r="AB210" i="31"/>
  <c r="AA210" i="31"/>
  <c r="AC210" i="31"/>
  <c r="AA280" i="31"/>
  <c r="AB280" i="31"/>
  <c r="AC280" i="31"/>
  <c r="AB348" i="31"/>
  <c r="AA348" i="31"/>
  <c r="AC348" i="31"/>
  <c r="AB443" i="31"/>
  <c r="AA443" i="31"/>
  <c r="AC443" i="31"/>
  <c r="AB571" i="31"/>
  <c r="AA571" i="31"/>
  <c r="AC571" i="31"/>
  <c r="AB570" i="31"/>
  <c r="AA570" i="31"/>
  <c r="AC570" i="31"/>
  <c r="AA18" i="31"/>
  <c r="AB18" i="31"/>
  <c r="AC18" i="31"/>
  <c r="AB113" i="31"/>
  <c r="AA113" i="31"/>
  <c r="AC113" i="31"/>
  <c r="AB174" i="31"/>
  <c r="AA174" i="31"/>
  <c r="AC174" i="31"/>
  <c r="AA254" i="31"/>
  <c r="AB254" i="31"/>
  <c r="AC254" i="31"/>
  <c r="AA289" i="31"/>
  <c r="AB289" i="31"/>
  <c r="AC289" i="31"/>
  <c r="AB407" i="31"/>
  <c r="AA407" i="31"/>
  <c r="AC407" i="31"/>
  <c r="AA496" i="31"/>
  <c r="AB496" i="31"/>
  <c r="AC496" i="31"/>
  <c r="AA558" i="31"/>
  <c r="AB558" i="31"/>
  <c r="AC558" i="31"/>
  <c r="AA58" i="31"/>
  <c r="AB58" i="31"/>
  <c r="AC58" i="31"/>
  <c r="AB108" i="31"/>
  <c r="AA108" i="31"/>
  <c r="AC108" i="31"/>
  <c r="AB161" i="31"/>
  <c r="AA161" i="31"/>
  <c r="AC161" i="31"/>
  <c r="AB222" i="31"/>
  <c r="AA222" i="31"/>
  <c r="AC222" i="31"/>
  <c r="AB274" i="31"/>
  <c r="AA274" i="31"/>
  <c r="AC274" i="31"/>
  <c r="AA367" i="31"/>
  <c r="AB367" i="31"/>
  <c r="AC367" i="31"/>
  <c r="AB452" i="31"/>
  <c r="AA452" i="31"/>
  <c r="AC452" i="31"/>
  <c r="AB507" i="31"/>
  <c r="AA507" i="31"/>
  <c r="AC507" i="31"/>
  <c r="AB600" i="31"/>
  <c r="AA600" i="31"/>
  <c r="AC600" i="31"/>
  <c r="AE175" i="32"/>
  <c r="AD175" i="32"/>
  <c r="AF175" i="32"/>
  <c r="AB96" i="31"/>
  <c r="AA96" i="31"/>
  <c r="AC96" i="31"/>
  <c r="AB195" i="31"/>
  <c r="AA195" i="31"/>
  <c r="AC195" i="31"/>
  <c r="AB284" i="31"/>
  <c r="AA284" i="31"/>
  <c r="AC284" i="31"/>
  <c r="AB292" i="31"/>
  <c r="AA292" i="31"/>
  <c r="AC292" i="31"/>
  <c r="AB366" i="31"/>
  <c r="AA366" i="31"/>
  <c r="AC366" i="31"/>
  <c r="AB435" i="31"/>
  <c r="AA435" i="31"/>
  <c r="AC435" i="31"/>
  <c r="AA482" i="31"/>
  <c r="AB482" i="31"/>
  <c r="AC482" i="31"/>
  <c r="AB557" i="31"/>
  <c r="AA557" i="31"/>
  <c r="AC557" i="31"/>
  <c r="AB20" i="31"/>
  <c r="AA20" i="31"/>
  <c r="AC20" i="31"/>
  <c r="AE516" i="32"/>
  <c r="AD516" i="32"/>
  <c r="AF516" i="32"/>
  <c r="AE33" i="32"/>
  <c r="AD33" i="32"/>
  <c r="AF33" i="32"/>
  <c r="AE348" i="32"/>
  <c r="AD348" i="32"/>
  <c r="AF348" i="32"/>
  <c r="AD117" i="32"/>
  <c r="AE117" i="32"/>
  <c r="AF117" i="32"/>
  <c r="AE106" i="32"/>
  <c r="AD106" i="32"/>
  <c r="AF106" i="32"/>
  <c r="AE79" i="32"/>
  <c r="AD79" i="32"/>
  <c r="AF79" i="32"/>
  <c r="AE29" i="32"/>
  <c r="AD29" i="32"/>
  <c r="AF29" i="32"/>
  <c r="AD155" i="32"/>
  <c r="AE155" i="32"/>
  <c r="AF155" i="32"/>
  <c r="AE131" i="32"/>
  <c r="AD131" i="32"/>
  <c r="AF131" i="32"/>
  <c r="AE123" i="32"/>
  <c r="AD123" i="32"/>
  <c r="AF123" i="32"/>
  <c r="AD265" i="32"/>
  <c r="AE265" i="32"/>
  <c r="AF265" i="32"/>
  <c r="AD590" i="32"/>
  <c r="AE590" i="32"/>
  <c r="AF590" i="32"/>
  <c r="AE23" i="32"/>
  <c r="AD23" i="32"/>
  <c r="AF23" i="32"/>
  <c r="AE150" i="32"/>
  <c r="AD150" i="32"/>
  <c r="AF150" i="32"/>
  <c r="AE384" i="32"/>
  <c r="AD384" i="32"/>
  <c r="AF384" i="32"/>
  <c r="AE527" i="32"/>
  <c r="AD527" i="32"/>
  <c r="AF527" i="32"/>
  <c r="AE15" i="32"/>
  <c r="AD15" i="32"/>
  <c r="AF15" i="32"/>
  <c r="AE206" i="32"/>
  <c r="AD206" i="32"/>
  <c r="AF206" i="32"/>
  <c r="AE394" i="32"/>
  <c r="AD394" i="32"/>
  <c r="AF394" i="32"/>
  <c r="AE529" i="32"/>
  <c r="AD529" i="32"/>
  <c r="AF529" i="32"/>
  <c r="AE52" i="32"/>
  <c r="AD52" i="32"/>
  <c r="AF52" i="32"/>
  <c r="AD308" i="32"/>
  <c r="AE308" i="32"/>
  <c r="AF308" i="32"/>
  <c r="AD402" i="32"/>
  <c r="AE402" i="32"/>
  <c r="AF402" i="32"/>
  <c r="AD536" i="32"/>
  <c r="AE536" i="32"/>
  <c r="AF536" i="32"/>
  <c r="AE60" i="32"/>
  <c r="AD60" i="32"/>
  <c r="AF60" i="32"/>
  <c r="AE172" i="32"/>
  <c r="AD172" i="32"/>
  <c r="AF172" i="32"/>
  <c r="AE407" i="32"/>
  <c r="AD407" i="32"/>
  <c r="AF407" i="32"/>
  <c r="AD564" i="32"/>
  <c r="AE564" i="32"/>
  <c r="AF564" i="32"/>
  <c r="AE14" i="32"/>
  <c r="AD14" i="32"/>
  <c r="AF14" i="32"/>
  <c r="AD503" i="32"/>
  <c r="AE503" i="32"/>
  <c r="AF503" i="32"/>
  <c r="AE467" i="32"/>
  <c r="AD467" i="32"/>
  <c r="AF467" i="32"/>
  <c r="AE582" i="32"/>
  <c r="AD582" i="32"/>
  <c r="AF582" i="32"/>
  <c r="AD124" i="32"/>
  <c r="AE124" i="32"/>
  <c r="AF124" i="32"/>
  <c r="AE90" i="32"/>
  <c r="AD90" i="32"/>
  <c r="AF90" i="32"/>
  <c r="AE107" i="32"/>
  <c r="AD107" i="32"/>
  <c r="AF107" i="32"/>
  <c r="AE305" i="32"/>
  <c r="AD305" i="32"/>
  <c r="AF305" i="32"/>
  <c r="AD237" i="32"/>
  <c r="AE237" i="32"/>
  <c r="AF237" i="32"/>
  <c r="AE548" i="32"/>
  <c r="AD548" i="32"/>
  <c r="AF548" i="32"/>
  <c r="AE433" i="32"/>
  <c r="AD433" i="32"/>
  <c r="AF433" i="32"/>
  <c r="AD511" i="32"/>
  <c r="AE511" i="32"/>
  <c r="AF511" i="32"/>
  <c r="AE499" i="32"/>
  <c r="AD499" i="32"/>
  <c r="AF499" i="32"/>
  <c r="AE164" i="32"/>
  <c r="AD164" i="32"/>
  <c r="AF164" i="32"/>
  <c r="AE160" i="32"/>
  <c r="AD160" i="32"/>
  <c r="AF160" i="32"/>
  <c r="AE244" i="32"/>
  <c r="AD244" i="32"/>
  <c r="AF244" i="32"/>
  <c r="AD340" i="32"/>
  <c r="AE340" i="32"/>
  <c r="AF340" i="32"/>
  <c r="AE350" i="32"/>
  <c r="AD350" i="32"/>
  <c r="AF350" i="32"/>
  <c r="AE387" i="32"/>
  <c r="AD387" i="32"/>
  <c r="AF387" i="32"/>
  <c r="AE415" i="32"/>
  <c r="AD415" i="32"/>
  <c r="AF415" i="32"/>
  <c r="AE474" i="32"/>
  <c r="AD474" i="32"/>
  <c r="AF474" i="32"/>
  <c r="AD544" i="32"/>
  <c r="AE544" i="32"/>
  <c r="AF544" i="32"/>
  <c r="AE182" i="32"/>
  <c r="AD182" i="32"/>
  <c r="AF182" i="32"/>
  <c r="AE249" i="32"/>
  <c r="AD249" i="32"/>
  <c r="AF249" i="32"/>
  <c r="AE357" i="32"/>
  <c r="AD357" i="32"/>
  <c r="AF357" i="32"/>
  <c r="AE379" i="32"/>
  <c r="AD379" i="32"/>
  <c r="AF379" i="32"/>
  <c r="AE421" i="32"/>
  <c r="AD421" i="32"/>
  <c r="AF421" i="32"/>
  <c r="AE420" i="32"/>
  <c r="AD420" i="32"/>
  <c r="AF420" i="32"/>
  <c r="AD488" i="32"/>
  <c r="AE488" i="32"/>
  <c r="AF488" i="32"/>
  <c r="AE556" i="32"/>
  <c r="AD556" i="32"/>
  <c r="AF556" i="32"/>
  <c r="AD47" i="32"/>
  <c r="AE47" i="32"/>
  <c r="AF47" i="32"/>
  <c r="AE133" i="32"/>
  <c r="AD133" i="32"/>
  <c r="AF133" i="32"/>
  <c r="AE222" i="32"/>
  <c r="AD222" i="32"/>
  <c r="AF222" i="32"/>
  <c r="AE475" i="32"/>
  <c r="AD475" i="32"/>
  <c r="AF475" i="32"/>
  <c r="AD343" i="32"/>
  <c r="AE343" i="32"/>
  <c r="AF343" i="32"/>
  <c r="AD374" i="32"/>
  <c r="AE374" i="32"/>
  <c r="AF374" i="32"/>
  <c r="AE353" i="32"/>
  <c r="AD353" i="32"/>
  <c r="AF353" i="32"/>
  <c r="AD541" i="32"/>
  <c r="AE541" i="32"/>
  <c r="AF541" i="32"/>
  <c r="AE540" i="32"/>
  <c r="AD540" i="32"/>
  <c r="AF540" i="32"/>
  <c r="AD24" i="32"/>
  <c r="AE24" i="32"/>
  <c r="AF24" i="32"/>
  <c r="AE163" i="32"/>
  <c r="AD163" i="32"/>
  <c r="AF163" i="32"/>
  <c r="AE156" i="32"/>
  <c r="AD156" i="32"/>
  <c r="AF156" i="32"/>
  <c r="AE429" i="32"/>
  <c r="AD429" i="32"/>
  <c r="AF429" i="32"/>
  <c r="AE272" i="32"/>
  <c r="AD272" i="32"/>
  <c r="AF272" i="32"/>
  <c r="AE393" i="32"/>
  <c r="AD393" i="32"/>
  <c r="AF393" i="32"/>
  <c r="AD454" i="32"/>
  <c r="AE454" i="32"/>
  <c r="AF454" i="32"/>
  <c r="AD520" i="32"/>
  <c r="AE520" i="32"/>
  <c r="AF520" i="32"/>
  <c r="AD563" i="32"/>
  <c r="AE563" i="32"/>
  <c r="AF563" i="32"/>
  <c r="AB483" i="31"/>
  <c r="AA483" i="31"/>
  <c r="AC483" i="31"/>
  <c r="AA383" i="31"/>
  <c r="AB383" i="31"/>
  <c r="AC383" i="31"/>
  <c r="AB282" i="31"/>
  <c r="AA282" i="31"/>
  <c r="AC282" i="31"/>
  <c r="AB525" i="31"/>
  <c r="AA525" i="31"/>
  <c r="AC525" i="31"/>
  <c r="AA242" i="31"/>
  <c r="AB242" i="31"/>
  <c r="AC242" i="31"/>
  <c r="AA319" i="31"/>
  <c r="AB319" i="31"/>
  <c r="AC319" i="31"/>
  <c r="AB473" i="31"/>
  <c r="AA473" i="31"/>
  <c r="AC473" i="31"/>
  <c r="AB97" i="31"/>
  <c r="AA97" i="31"/>
  <c r="AC97" i="31"/>
  <c r="AB579" i="31"/>
  <c r="AA579" i="31"/>
  <c r="AC579" i="31"/>
  <c r="AB402" i="31"/>
  <c r="AA402" i="31"/>
  <c r="AC402" i="31"/>
  <c r="AA216" i="31"/>
  <c r="AB216" i="31"/>
  <c r="AC216" i="31"/>
  <c r="AB24" i="31"/>
  <c r="AA24" i="31"/>
  <c r="AC24" i="31"/>
  <c r="AB421" i="31"/>
  <c r="AA421" i="31"/>
  <c r="AC421" i="31"/>
  <c r="AB211" i="31"/>
  <c r="AA211" i="31"/>
  <c r="AC211" i="31"/>
  <c r="AA586" i="31"/>
  <c r="AB586" i="31"/>
  <c r="AC586" i="31"/>
  <c r="AE455" i="32"/>
  <c r="AD455" i="32"/>
  <c r="AF455" i="32"/>
  <c r="AD55" i="32"/>
  <c r="AE55" i="32"/>
  <c r="AF55" i="32"/>
  <c r="AE457" i="32"/>
  <c r="AD457" i="32"/>
  <c r="AF457" i="32"/>
  <c r="AE591" i="32"/>
  <c r="AD591" i="32"/>
  <c r="AF591" i="32"/>
  <c r="AE157" i="32"/>
  <c r="AD157" i="32"/>
  <c r="AF157" i="32"/>
  <c r="AD496" i="32"/>
  <c r="AE496" i="32"/>
  <c r="AF496" i="32"/>
  <c r="AE599" i="32"/>
  <c r="AD599" i="32"/>
  <c r="AF599" i="32"/>
  <c r="AE63" i="32"/>
  <c r="AD63" i="32"/>
  <c r="AF63" i="32"/>
  <c r="AE424" i="32"/>
  <c r="AD424" i="32"/>
  <c r="AF424" i="32"/>
  <c r="Q625" i="31"/>
  <c r="AF625" i="31"/>
  <c r="R625" i="31"/>
  <c r="AP625" i="31"/>
  <c r="AO625" i="31"/>
  <c r="H635" i="31" s="1"/>
  <c r="AA299" i="31"/>
  <c r="AB299" i="31"/>
  <c r="AC299" i="31"/>
  <c r="AA596" i="31"/>
  <c r="AB596" i="31"/>
  <c r="AC596" i="31"/>
  <c r="AB119" i="31"/>
  <c r="AA119" i="31"/>
  <c r="AC119" i="31"/>
  <c r="AB599" i="31"/>
  <c r="AA599" i="31"/>
  <c r="AC599" i="31"/>
  <c r="AB503" i="31"/>
  <c r="AA503" i="31"/>
  <c r="AC503" i="31"/>
  <c r="AB265" i="31"/>
  <c r="AA265" i="31"/>
  <c r="AC265" i="31"/>
  <c r="AA244" i="31"/>
  <c r="AB244" i="31"/>
  <c r="AC244" i="31"/>
  <c r="AA70" i="31"/>
  <c r="AB70" i="31"/>
  <c r="AC70" i="31"/>
  <c r="AB214" i="31"/>
  <c r="AA214" i="31"/>
  <c r="AC214" i="31"/>
  <c r="Y629" i="31"/>
  <c r="X629" i="31"/>
  <c r="O627" i="31"/>
  <c r="N627" i="31"/>
  <c r="AA626" i="31"/>
  <c r="AB626" i="31"/>
  <c r="AC626" i="31"/>
  <c r="AB107" i="31"/>
  <c r="AA107" i="31"/>
  <c r="AC107" i="31"/>
  <c r="AA448" i="31"/>
  <c r="AB448" i="31"/>
  <c r="AC448" i="31"/>
  <c r="AB515" i="31"/>
  <c r="AA515" i="31"/>
  <c r="AC515" i="31"/>
  <c r="AA534" i="31"/>
  <c r="AB534" i="31"/>
  <c r="AC534" i="31"/>
  <c r="AB347" i="31"/>
  <c r="AA347" i="31"/>
  <c r="AC347" i="31"/>
  <c r="AB177" i="31"/>
  <c r="AA177" i="31"/>
  <c r="AC177" i="31"/>
  <c r="AA198" i="31"/>
  <c r="AB198" i="31"/>
  <c r="AC198" i="31"/>
  <c r="AB321" i="31"/>
  <c r="AA321" i="31"/>
  <c r="AC321" i="31"/>
  <c r="AB527" i="31"/>
  <c r="AA527" i="31"/>
  <c r="AC527" i="31"/>
  <c r="AB27" i="31"/>
  <c r="AA27" i="31"/>
  <c r="AC27" i="31"/>
  <c r="AA188" i="31"/>
  <c r="AB188" i="31"/>
  <c r="AC188" i="31"/>
  <c r="AA311" i="31"/>
  <c r="AB311" i="31"/>
  <c r="AC311" i="31"/>
  <c r="AA505" i="31"/>
  <c r="AB505" i="31"/>
  <c r="AC505" i="31"/>
  <c r="AA152" i="31"/>
  <c r="AB152" i="31"/>
  <c r="AC152" i="31"/>
  <c r="AA255" i="31"/>
  <c r="AB255" i="31"/>
  <c r="AC255" i="31"/>
  <c r="AA445" i="31"/>
  <c r="AB445" i="31"/>
  <c r="AC445" i="31"/>
  <c r="AB136" i="31"/>
  <c r="AA136" i="31"/>
  <c r="AC136" i="31"/>
  <c r="AB25" i="31"/>
  <c r="AA25" i="31"/>
  <c r="AC25" i="31"/>
  <c r="AB120" i="31"/>
  <c r="AA120" i="31"/>
  <c r="AC120" i="31"/>
  <c r="AA261" i="31"/>
  <c r="AB261" i="31"/>
  <c r="AC261" i="31"/>
  <c r="AB416" i="31"/>
  <c r="AA416" i="31"/>
  <c r="AC416" i="31"/>
  <c r="AA360" i="31"/>
  <c r="AB360" i="31"/>
  <c r="AC360" i="31"/>
  <c r="AA447" i="31"/>
  <c r="AB447" i="31"/>
  <c r="AC447" i="31"/>
  <c r="AA508" i="31"/>
  <c r="AB508" i="31"/>
  <c r="AC508" i="31"/>
  <c r="AB602" i="31"/>
  <c r="AA602" i="31"/>
  <c r="AC602" i="31"/>
  <c r="AB86" i="31"/>
  <c r="AA86" i="31"/>
  <c r="AC86" i="31"/>
  <c r="AB194" i="31"/>
  <c r="AA194" i="31"/>
  <c r="AC194" i="31"/>
  <c r="AB267" i="31"/>
  <c r="AA267" i="31"/>
  <c r="AC267" i="31"/>
  <c r="AB301" i="31"/>
  <c r="AA301" i="31"/>
  <c r="AC301" i="31"/>
  <c r="AB388" i="31"/>
  <c r="AA388" i="31"/>
  <c r="AC388" i="31"/>
  <c r="AB492" i="31"/>
  <c r="AA492" i="31"/>
  <c r="AC492" i="31"/>
  <c r="AB547" i="31"/>
  <c r="AA547" i="31"/>
  <c r="AC547" i="31"/>
  <c r="AA610" i="31"/>
  <c r="AB610" i="31"/>
  <c r="AC610" i="31"/>
  <c r="AB23" i="31"/>
  <c r="AA23" i="31"/>
  <c r="AC23" i="31"/>
  <c r="AB208" i="31"/>
  <c r="AA208" i="31"/>
  <c r="AC208" i="31"/>
  <c r="AA213" i="31"/>
  <c r="AB213" i="31"/>
  <c r="AC213" i="31"/>
  <c r="AA290" i="31"/>
  <c r="AB290" i="31"/>
  <c r="AC290" i="31"/>
  <c r="AA377" i="31"/>
  <c r="AB377" i="31"/>
  <c r="AC377" i="31"/>
  <c r="AB430" i="31"/>
  <c r="AA430" i="31"/>
  <c r="AC430" i="31"/>
  <c r="AB514" i="31"/>
  <c r="AA514" i="31"/>
  <c r="AC514" i="31"/>
  <c r="AB585" i="31"/>
  <c r="AA585" i="31"/>
  <c r="AC585" i="31"/>
  <c r="AB84" i="31"/>
  <c r="AA84" i="31"/>
  <c r="AC84" i="31"/>
  <c r="AB122" i="31"/>
  <c r="AA122" i="31"/>
  <c r="AC122" i="31"/>
  <c r="AA183" i="31"/>
  <c r="AB183" i="31"/>
  <c r="AC183" i="31"/>
  <c r="AA279" i="31"/>
  <c r="AB279" i="31"/>
  <c r="AC279" i="31"/>
  <c r="AB362" i="31"/>
  <c r="AA362" i="31"/>
  <c r="AC362" i="31"/>
  <c r="AB429" i="31"/>
  <c r="AA429" i="31"/>
  <c r="AC429" i="31"/>
  <c r="AA498" i="31"/>
  <c r="AB498" i="31"/>
  <c r="AC498" i="31"/>
  <c r="AB573" i="31"/>
  <c r="AA573" i="31"/>
  <c r="AC573" i="31"/>
  <c r="AB26" i="31"/>
  <c r="AA26" i="31"/>
  <c r="AC26" i="31"/>
  <c r="AB125" i="31"/>
  <c r="AA125" i="31"/>
  <c r="AC125" i="31"/>
  <c r="AB162" i="31"/>
  <c r="AA162" i="31"/>
  <c r="AC162" i="31"/>
  <c r="AB232" i="31"/>
  <c r="AA232" i="31"/>
  <c r="AC232" i="31"/>
  <c r="AB324" i="31"/>
  <c r="AA324" i="31"/>
  <c r="AC324" i="31"/>
  <c r="AB394" i="31"/>
  <c r="AA394" i="31"/>
  <c r="AC394" i="31"/>
  <c r="AB485" i="31"/>
  <c r="AA485" i="31"/>
  <c r="AC485" i="31"/>
  <c r="AB509" i="31"/>
  <c r="AA509" i="31"/>
  <c r="AC509" i="31"/>
  <c r="AB606" i="31"/>
  <c r="AA606" i="31"/>
  <c r="AC606" i="31"/>
  <c r="AB77" i="31"/>
  <c r="AA77" i="31"/>
  <c r="AC77" i="31"/>
  <c r="AB89" i="31"/>
  <c r="AA89" i="31"/>
  <c r="AC89" i="31"/>
  <c r="AB204" i="31"/>
  <c r="AA204" i="31"/>
  <c r="AC204" i="31"/>
  <c r="AB346" i="31"/>
  <c r="AA346" i="31"/>
  <c r="AC346" i="31"/>
  <c r="AB361" i="31"/>
  <c r="AA361" i="31"/>
  <c r="AC361" i="31"/>
  <c r="AB368" i="31"/>
  <c r="AA368" i="31"/>
  <c r="AC368" i="31"/>
  <c r="AA453" i="31"/>
  <c r="AB453" i="31"/>
  <c r="AC453" i="31"/>
  <c r="AB519" i="31"/>
  <c r="AA519" i="31"/>
  <c r="AC519" i="31"/>
  <c r="AB582" i="31"/>
  <c r="AA582" i="31"/>
  <c r="AC582" i="31"/>
  <c r="AD598" i="32"/>
  <c r="AE598" i="32"/>
  <c r="AF598" i="32"/>
  <c r="AB53" i="31"/>
  <c r="AA53" i="31"/>
  <c r="AC53" i="31"/>
  <c r="AD138" i="32"/>
  <c r="AE138" i="32"/>
  <c r="AF138" i="32"/>
  <c r="AE103" i="32"/>
  <c r="AD103" i="32"/>
  <c r="AF103" i="32"/>
  <c r="AD229" i="32"/>
  <c r="AE229" i="32"/>
  <c r="AF229" i="32"/>
  <c r="AD51" i="32"/>
  <c r="AE51" i="32"/>
  <c r="AF51" i="32"/>
  <c r="AE89" i="32"/>
  <c r="AD89" i="32"/>
  <c r="AF89" i="32"/>
  <c r="AE94" i="32"/>
  <c r="AD94" i="32"/>
  <c r="AF94" i="32"/>
  <c r="AE121" i="32"/>
  <c r="AD121" i="32"/>
  <c r="AF121" i="32"/>
  <c r="AE310" i="32"/>
  <c r="AD310" i="32"/>
  <c r="AF310" i="32"/>
  <c r="AE147" i="32"/>
  <c r="AD147" i="32"/>
  <c r="AF147" i="32"/>
  <c r="AD338" i="32"/>
  <c r="AE338" i="32"/>
  <c r="AF338" i="32"/>
  <c r="AE517" i="32"/>
  <c r="AD517" i="32"/>
  <c r="AF517" i="32"/>
  <c r="AE37" i="32"/>
  <c r="AD37" i="32"/>
  <c r="AF37" i="32"/>
  <c r="AE162" i="32"/>
  <c r="AD162" i="32"/>
  <c r="AF162" i="32"/>
  <c r="AE356" i="32"/>
  <c r="AD356" i="32"/>
  <c r="AF356" i="32"/>
  <c r="AD493" i="32"/>
  <c r="AE493" i="32"/>
  <c r="AF493" i="32"/>
  <c r="AE41" i="32"/>
  <c r="AD41" i="32"/>
  <c r="AF41" i="32"/>
  <c r="AD168" i="32"/>
  <c r="AE168" i="32"/>
  <c r="AF168" i="32"/>
  <c r="AE369" i="32"/>
  <c r="AD369" i="32"/>
  <c r="AF369" i="32"/>
  <c r="AD524" i="32"/>
  <c r="AE524" i="32"/>
  <c r="AF524" i="32"/>
  <c r="AD145" i="32"/>
  <c r="AE145" i="32"/>
  <c r="AF145" i="32"/>
  <c r="AE274" i="32"/>
  <c r="AD274" i="32"/>
  <c r="AF274" i="32"/>
  <c r="AE431" i="32"/>
  <c r="AD431" i="32"/>
  <c r="AF431" i="32"/>
  <c r="AE561" i="32"/>
  <c r="AD561" i="32"/>
  <c r="AF561" i="32"/>
  <c r="AD189" i="32"/>
  <c r="AE189" i="32"/>
  <c r="AF189" i="32"/>
  <c r="AD294" i="32"/>
  <c r="AE294" i="32"/>
  <c r="AF294" i="32"/>
  <c r="AD464" i="32"/>
  <c r="AE464" i="32"/>
  <c r="AF464" i="32"/>
  <c r="AE570" i="32"/>
  <c r="AD570" i="32"/>
  <c r="AF570" i="32"/>
  <c r="AE140" i="32"/>
  <c r="AD140" i="32"/>
  <c r="AF140" i="32"/>
  <c r="AE266" i="32"/>
  <c r="AD266" i="32"/>
  <c r="AF266" i="32"/>
  <c r="AD383" i="32"/>
  <c r="AE383" i="32"/>
  <c r="AF383" i="32"/>
  <c r="AE508" i="32"/>
  <c r="AD508" i="32"/>
  <c r="AF508" i="32"/>
  <c r="AE31" i="32"/>
  <c r="AD31" i="32"/>
  <c r="AF31" i="32"/>
  <c r="AD171" i="32"/>
  <c r="AE171" i="32"/>
  <c r="AF171" i="32"/>
  <c r="AD170" i="32"/>
  <c r="AE170" i="32"/>
  <c r="AF170" i="32"/>
  <c r="AD186" i="32"/>
  <c r="AE186" i="32"/>
  <c r="AF186" i="32"/>
  <c r="AE297" i="32"/>
  <c r="AD297" i="32"/>
  <c r="AF297" i="32"/>
  <c r="AE409" i="32"/>
  <c r="AD409" i="32"/>
  <c r="AF409" i="32"/>
  <c r="AD472" i="32"/>
  <c r="AE472" i="32"/>
  <c r="AF472" i="32"/>
  <c r="AD534" i="32"/>
  <c r="AE534" i="32"/>
  <c r="AF534" i="32"/>
  <c r="AD605" i="32"/>
  <c r="AE605" i="32"/>
  <c r="AF605" i="32"/>
  <c r="AE134" i="32"/>
  <c r="AD134" i="32"/>
  <c r="AF134" i="32"/>
  <c r="AD77" i="32"/>
  <c r="AE77" i="32"/>
  <c r="AF77" i="32"/>
  <c r="AE284" i="32"/>
  <c r="AD284" i="32"/>
  <c r="AF284" i="32"/>
  <c r="AE216" i="32"/>
  <c r="AD216" i="32"/>
  <c r="AF216" i="32"/>
  <c r="AE405" i="32"/>
  <c r="AD405" i="32"/>
  <c r="AF405" i="32"/>
  <c r="AE358" i="32"/>
  <c r="AD358" i="32"/>
  <c r="AF358" i="32"/>
  <c r="AE451" i="32"/>
  <c r="AD451" i="32"/>
  <c r="AF451" i="32"/>
  <c r="AE547" i="32"/>
  <c r="AD547" i="32"/>
  <c r="AF547" i="32"/>
  <c r="AE597" i="32"/>
  <c r="AD597" i="32"/>
  <c r="AF597" i="32"/>
  <c r="AE80" i="32"/>
  <c r="AD80" i="32"/>
  <c r="AF80" i="32"/>
  <c r="AE287" i="32"/>
  <c r="AD287" i="32"/>
  <c r="AF287" i="32"/>
  <c r="AE232" i="32"/>
  <c r="AD232" i="32"/>
  <c r="AF232" i="32"/>
  <c r="AD412" i="32"/>
  <c r="AE412" i="32"/>
  <c r="AF412" i="32"/>
  <c r="AD363" i="32"/>
  <c r="AE363" i="32"/>
  <c r="AF363" i="32"/>
  <c r="AD453" i="32"/>
  <c r="AE453" i="32"/>
  <c r="AF453" i="32"/>
  <c r="AD549" i="32"/>
  <c r="AE549" i="32"/>
  <c r="AF549" i="32"/>
  <c r="AD607" i="32"/>
  <c r="AE607" i="32"/>
  <c r="AF607" i="32"/>
  <c r="AE39" i="32"/>
  <c r="AD39" i="32"/>
  <c r="AF39" i="32"/>
  <c r="AE67" i="32"/>
  <c r="AD67" i="32"/>
  <c r="AF67" i="32"/>
  <c r="AD82" i="32"/>
  <c r="AE82" i="32"/>
  <c r="AF82" i="32"/>
  <c r="AE273" i="32"/>
  <c r="AD273" i="32"/>
  <c r="AF273" i="32"/>
  <c r="AE218" i="32"/>
  <c r="AD218" i="32"/>
  <c r="AF218" i="32"/>
  <c r="AD437" i="32"/>
  <c r="AE437" i="32"/>
  <c r="AF437" i="32"/>
  <c r="AD413" i="32"/>
  <c r="AE413" i="32"/>
  <c r="AF413" i="32"/>
  <c r="AD491" i="32"/>
  <c r="AE491" i="32"/>
  <c r="AF491" i="32"/>
  <c r="AD589" i="32"/>
  <c r="AE589" i="32"/>
  <c r="AF589" i="32"/>
  <c r="AE71" i="32"/>
  <c r="AD71" i="32"/>
  <c r="AF71" i="32"/>
  <c r="AE427" i="32"/>
  <c r="AD427" i="32"/>
  <c r="AF427" i="32"/>
  <c r="AE341" i="32"/>
  <c r="AD341" i="32"/>
  <c r="AF341" i="32"/>
  <c r="AD225" i="32"/>
  <c r="AE225" i="32"/>
  <c r="AF225" i="32"/>
  <c r="AE211" i="32"/>
  <c r="AD211" i="32"/>
  <c r="AF211" i="32"/>
  <c r="AE458" i="32"/>
  <c r="AD458" i="32"/>
  <c r="AF458" i="32"/>
  <c r="AE333" i="32"/>
  <c r="AD333" i="32"/>
  <c r="AF333" i="32"/>
  <c r="AE580" i="32"/>
  <c r="AD580" i="32"/>
  <c r="AF580" i="32"/>
  <c r="AE492" i="32"/>
  <c r="AD492" i="32"/>
  <c r="AF492" i="32"/>
  <c r="AS199" i="20"/>
  <c r="AS108" i="20"/>
  <c r="AS184" i="20"/>
  <c r="AS123" i="20"/>
  <c r="AS117" i="20"/>
  <c r="AS158" i="20"/>
  <c r="AS95" i="20"/>
  <c r="AS119" i="20"/>
  <c r="AS173" i="20"/>
  <c r="AS181" i="20"/>
  <c r="AS157" i="20"/>
  <c r="AS195" i="20"/>
  <c r="AS131" i="20"/>
  <c r="AS169" i="20"/>
  <c r="AS130" i="20"/>
  <c r="AS160" i="20"/>
  <c r="AS208" i="20"/>
  <c r="AS142" i="20"/>
  <c r="AS109" i="20"/>
  <c r="AS136" i="20"/>
  <c r="AS99" i="20"/>
  <c r="AS152" i="20"/>
  <c r="AS178" i="20"/>
  <c r="AS188" i="20"/>
  <c r="AS174" i="20"/>
  <c r="AS170" i="20"/>
  <c r="AS122" i="20"/>
  <c r="AS186" i="20"/>
  <c r="AS90" i="20"/>
  <c r="AS204" i="20"/>
  <c r="AS183" i="20"/>
  <c r="AS134" i="20"/>
  <c r="AS141" i="20"/>
  <c r="AS91" i="20"/>
  <c r="AS167" i="20"/>
  <c r="AS193" i="20"/>
  <c r="AS182" i="20"/>
  <c r="AS171" i="20"/>
  <c r="AS156" i="20"/>
  <c r="AS133" i="20"/>
  <c r="AS162" i="20"/>
  <c r="AS92" i="20"/>
  <c r="AS118" i="20"/>
  <c r="AS166" i="20"/>
  <c r="AS112" i="20"/>
  <c r="AS128" i="20"/>
  <c r="AS102" i="20"/>
  <c r="AS201" i="20"/>
  <c r="AS177" i="20"/>
  <c r="AS209" i="20"/>
  <c r="AS185" i="20"/>
  <c r="AS139" i="20"/>
  <c r="AS194" i="20"/>
  <c r="AS150" i="20"/>
  <c r="AS165" i="20"/>
  <c r="AS101" i="20"/>
  <c r="AS179" i="20"/>
  <c r="AS121" i="20"/>
  <c r="AS189" i="20"/>
  <c r="AS196" i="20"/>
  <c r="AS151" i="20"/>
  <c r="AS137" i="20"/>
  <c r="AS176" i="20"/>
  <c r="AS153" i="20"/>
  <c r="AS107" i="20"/>
  <c r="AS168" i="20"/>
  <c r="AS105" i="20"/>
  <c r="AS146" i="20"/>
  <c r="AS187" i="20"/>
  <c r="AS172" i="20"/>
  <c r="AS115" i="20"/>
  <c r="AS126" i="20"/>
  <c r="AS164" i="20"/>
  <c r="AS110" i="20"/>
  <c r="AS197" i="20"/>
  <c r="AS93" i="20"/>
  <c r="AS190" i="20"/>
  <c r="AS127" i="20"/>
  <c r="AS203" i="20"/>
  <c r="AS124" i="20"/>
  <c r="AS125" i="20"/>
  <c r="AS116" i="20"/>
  <c r="AS120" i="20"/>
  <c r="AS129" i="20"/>
  <c r="AS113" i="20"/>
  <c r="AS97" i="20"/>
  <c r="AS161" i="20"/>
  <c r="AS192" i="20"/>
  <c r="AS144" i="20"/>
  <c r="AS205" i="20"/>
  <c r="AS202" i="20"/>
  <c r="AS163" i="20"/>
  <c r="AS94" i="20"/>
  <c r="AS114" i="20"/>
  <c r="AS159" i="20"/>
  <c r="AS100" i="20"/>
  <c r="AS206" i="20"/>
  <c r="AS154" i="20"/>
  <c r="AS84" i="20"/>
  <c r="AH624" i="32" l="1"/>
  <c r="AG624" i="32"/>
  <c r="AH626" i="32"/>
  <c r="AG626" i="32"/>
  <c r="AH629" i="32"/>
  <c r="AG629" i="32"/>
  <c r="AG623" i="32"/>
  <c r="AH623" i="32"/>
  <c r="AG622" i="32"/>
  <c r="AH622" i="32"/>
  <c r="AG628" i="32"/>
  <c r="AH628" i="32"/>
  <c r="AH627" i="32"/>
  <c r="AG627" i="32"/>
  <c r="AH625" i="32"/>
  <c r="AG625" i="32"/>
  <c r="AH134" i="32"/>
  <c r="AG134" i="32"/>
  <c r="AF388" i="31"/>
  <c r="AM388" i="31"/>
  <c r="AL388" i="31"/>
  <c r="AD388" i="31"/>
  <c r="AE388" i="31"/>
  <c r="AG556" i="32"/>
  <c r="AH556" i="32"/>
  <c r="AH172" i="32"/>
  <c r="AG172" i="32"/>
  <c r="AL597" i="31"/>
  <c r="AD597" i="31"/>
  <c r="AE597" i="31"/>
  <c r="AM597" i="31"/>
  <c r="AF597" i="31"/>
  <c r="AH505" i="32"/>
  <c r="AG505" i="32"/>
  <c r="AG285" i="32"/>
  <c r="AH285" i="32"/>
  <c r="AF517" i="31"/>
  <c r="AE517" i="31"/>
  <c r="AD517" i="31"/>
  <c r="AM517" i="31"/>
  <c r="AL517" i="31"/>
  <c r="AG254" i="32"/>
  <c r="AH254" i="32"/>
  <c r="AE476" i="31"/>
  <c r="AM476" i="31"/>
  <c r="AD476" i="31"/>
  <c r="AL476" i="31"/>
  <c r="AF476" i="31"/>
  <c r="AF384" i="31"/>
  <c r="AM384" i="31"/>
  <c r="AL384" i="31"/>
  <c r="AE384" i="31"/>
  <c r="AD384" i="31"/>
  <c r="AG99" i="32"/>
  <c r="AH99" i="32"/>
  <c r="AH173" i="32"/>
  <c r="AG173" i="32"/>
  <c r="AH328" i="32"/>
  <c r="AG328" i="32"/>
  <c r="AE313" i="31"/>
  <c r="AD313" i="31"/>
  <c r="AM313" i="31"/>
  <c r="AL313" i="31"/>
  <c r="AF313" i="31"/>
  <c r="AD196" i="31"/>
  <c r="AM196" i="31"/>
  <c r="AL196" i="31"/>
  <c r="AE196" i="31"/>
  <c r="AF196" i="31"/>
  <c r="AF627" i="31"/>
  <c r="Q627" i="31"/>
  <c r="R627" i="31"/>
  <c r="AP627" i="31"/>
  <c r="AO627" i="31"/>
  <c r="AH311" i="32"/>
  <c r="AG311" i="32"/>
  <c r="AH268" i="32"/>
  <c r="AG268" i="32"/>
  <c r="AM528" i="31"/>
  <c r="AE528" i="31"/>
  <c r="AL528" i="31"/>
  <c r="AD528" i="31"/>
  <c r="AF528" i="31"/>
  <c r="AH443" i="32"/>
  <c r="AG443" i="32"/>
  <c r="AH510" i="32"/>
  <c r="AG510" i="32"/>
  <c r="AH35" i="32"/>
  <c r="AG35" i="32"/>
  <c r="AE276" i="31"/>
  <c r="AD276" i="31"/>
  <c r="AM276" i="31"/>
  <c r="AL276" i="31"/>
  <c r="AF276" i="31"/>
  <c r="AM286" i="31"/>
  <c r="AD286" i="31"/>
  <c r="AL286" i="31"/>
  <c r="AE286" i="31"/>
  <c r="AF286" i="31"/>
  <c r="AM300" i="31"/>
  <c r="AL300" i="31"/>
  <c r="AD300" i="31"/>
  <c r="AE300" i="31"/>
  <c r="AF300" i="31"/>
  <c r="AM318" i="31"/>
  <c r="AL318" i="31"/>
  <c r="AD318" i="31"/>
  <c r="AE318" i="31"/>
  <c r="AF318" i="31"/>
  <c r="AF529" i="31"/>
  <c r="AM529" i="31"/>
  <c r="AE529" i="31"/>
  <c r="AD529" i="31"/>
  <c r="AL529" i="31"/>
  <c r="AE486" i="31"/>
  <c r="AD486" i="31"/>
  <c r="AM486" i="31"/>
  <c r="AL486" i="31"/>
  <c r="AF486" i="31"/>
  <c r="AM339" i="31"/>
  <c r="AL339" i="31"/>
  <c r="AE339" i="31"/>
  <c r="AD339" i="31"/>
  <c r="AF339" i="31"/>
  <c r="AM511" i="31"/>
  <c r="AL511" i="31"/>
  <c r="AE511" i="31"/>
  <c r="AD511" i="31"/>
  <c r="AF511" i="31"/>
  <c r="AM584" i="31"/>
  <c r="AL584" i="31"/>
  <c r="AE584" i="31"/>
  <c r="AD584" i="31"/>
  <c r="AF584" i="31"/>
  <c r="AH558" i="32"/>
  <c r="AG558" i="32"/>
  <c r="AM495" i="31"/>
  <c r="AD495" i="31"/>
  <c r="AL495" i="31"/>
  <c r="AE495" i="31"/>
  <c r="AF495" i="31"/>
  <c r="AG225" i="32"/>
  <c r="AH225" i="32"/>
  <c r="AG218" i="32"/>
  <c r="AH218" i="32"/>
  <c r="AG363" i="32"/>
  <c r="AH363" i="32"/>
  <c r="AH358" i="32"/>
  <c r="AG358" i="32"/>
  <c r="AG472" i="32"/>
  <c r="AH472" i="32"/>
  <c r="AG383" i="32"/>
  <c r="AH383" i="32"/>
  <c r="AH431" i="32"/>
  <c r="AG431" i="32"/>
  <c r="AH356" i="32"/>
  <c r="AG356" i="32"/>
  <c r="AG94" i="32"/>
  <c r="AH94" i="32"/>
  <c r="AM582" i="31"/>
  <c r="AE582" i="31"/>
  <c r="AD582" i="31"/>
  <c r="AL582" i="31"/>
  <c r="AF582" i="31"/>
  <c r="AE77" i="31"/>
  <c r="AD77" i="31"/>
  <c r="AL77" i="31"/>
  <c r="AM77" i="31"/>
  <c r="AF77" i="31"/>
  <c r="AE125" i="31"/>
  <c r="AD125" i="31"/>
  <c r="AM125" i="31"/>
  <c r="AL125" i="31"/>
  <c r="AF125" i="31"/>
  <c r="AE122" i="31"/>
  <c r="AM122" i="31"/>
  <c r="AL122" i="31"/>
  <c r="AD122" i="31"/>
  <c r="AF122" i="31"/>
  <c r="AD208" i="31"/>
  <c r="AM208" i="31"/>
  <c r="AE208" i="31"/>
  <c r="AL208" i="31"/>
  <c r="AF208" i="31"/>
  <c r="AM194" i="31"/>
  <c r="AL194" i="31"/>
  <c r="AE194" i="31"/>
  <c r="AD194" i="31"/>
  <c r="AF194" i="31"/>
  <c r="AE120" i="31"/>
  <c r="AD120" i="31"/>
  <c r="AM120" i="31"/>
  <c r="AL120" i="31"/>
  <c r="AF120" i="31"/>
  <c r="AF188" i="31"/>
  <c r="AD188" i="31"/>
  <c r="AL188" i="31"/>
  <c r="AM188" i="31"/>
  <c r="AE188" i="31"/>
  <c r="AL515" i="31"/>
  <c r="AE515" i="31"/>
  <c r="AD515" i="31"/>
  <c r="AM515" i="31"/>
  <c r="AF515" i="31"/>
  <c r="AD503" i="31"/>
  <c r="AL503" i="31"/>
  <c r="AE503" i="31"/>
  <c r="AM503" i="31"/>
  <c r="AF503" i="31"/>
  <c r="AH496" i="32"/>
  <c r="AG496" i="32"/>
  <c r="AM421" i="31"/>
  <c r="AL421" i="31"/>
  <c r="AE421" i="31"/>
  <c r="AD421" i="31"/>
  <c r="AF421" i="31"/>
  <c r="AE242" i="31"/>
  <c r="AL242" i="31"/>
  <c r="AD242" i="31"/>
  <c r="AM242" i="31"/>
  <c r="AF242" i="31"/>
  <c r="AH429" i="32"/>
  <c r="AG429" i="32"/>
  <c r="AH343" i="32"/>
  <c r="AG343" i="32"/>
  <c r="AH421" i="32"/>
  <c r="AG421" i="32"/>
  <c r="AH387" i="32"/>
  <c r="AG387" i="32"/>
  <c r="AG433" i="32"/>
  <c r="AH433" i="32"/>
  <c r="AH467" i="32"/>
  <c r="AG467" i="32"/>
  <c r="AG402" i="32"/>
  <c r="AH402" i="32"/>
  <c r="AG384" i="32"/>
  <c r="AH384" i="32"/>
  <c r="AG29" i="32"/>
  <c r="AH29" i="32"/>
  <c r="AE557" i="31"/>
  <c r="AL557" i="31"/>
  <c r="AM557" i="31"/>
  <c r="AD557" i="31"/>
  <c r="AF557" i="31"/>
  <c r="AG175" i="32"/>
  <c r="AH175" i="32"/>
  <c r="AE108" i="31"/>
  <c r="AD108" i="31"/>
  <c r="AM108" i="31"/>
  <c r="AL108" i="31"/>
  <c r="AF108" i="31"/>
  <c r="AL113" i="31"/>
  <c r="AE113" i="31"/>
  <c r="AM113" i="31"/>
  <c r="AD113" i="31"/>
  <c r="AF113" i="31"/>
  <c r="AD123" i="31"/>
  <c r="AM123" i="31"/>
  <c r="AL123" i="31"/>
  <c r="AE123" i="31"/>
  <c r="AF123" i="31"/>
  <c r="AE193" i="31"/>
  <c r="AD193" i="31"/>
  <c r="AM193" i="31"/>
  <c r="AL193" i="31"/>
  <c r="AF193" i="31"/>
  <c r="AE118" i="31"/>
  <c r="AD118" i="31"/>
  <c r="AL118" i="31"/>
  <c r="AM118" i="31"/>
  <c r="AF118" i="31"/>
  <c r="AE178" i="31"/>
  <c r="AD178" i="31"/>
  <c r="AM178" i="31"/>
  <c r="AL178" i="31"/>
  <c r="AF178" i="31"/>
  <c r="AF121" i="31"/>
  <c r="AL121" i="31"/>
  <c r="AE121" i="31"/>
  <c r="AD121" i="31"/>
  <c r="AM121" i="31"/>
  <c r="AE283" i="31"/>
  <c r="AD283" i="31"/>
  <c r="AM283" i="31"/>
  <c r="AL283" i="31"/>
  <c r="AF283" i="31"/>
  <c r="AE431" i="31"/>
  <c r="AM431" i="31"/>
  <c r="AL431" i="31"/>
  <c r="AD431" i="31"/>
  <c r="AF431" i="31"/>
  <c r="AH38" i="32"/>
  <c r="AG38" i="32"/>
  <c r="AG542" i="32"/>
  <c r="AH542" i="32"/>
  <c r="AF532" i="31"/>
  <c r="AE532" i="31"/>
  <c r="AM532" i="31"/>
  <c r="AD532" i="31"/>
  <c r="AL532" i="31"/>
  <c r="AD336" i="31"/>
  <c r="AM336" i="31"/>
  <c r="AL336" i="31"/>
  <c r="AE336" i="31"/>
  <c r="AF336" i="31"/>
  <c r="AL568" i="31"/>
  <c r="AE568" i="31"/>
  <c r="AD568" i="31"/>
  <c r="AM568" i="31"/>
  <c r="AF568" i="31"/>
  <c r="AG220" i="32"/>
  <c r="AH220" i="32"/>
  <c r="AG317" i="32"/>
  <c r="AH317" i="32"/>
  <c r="AH346" i="32"/>
  <c r="AG346" i="32"/>
  <c r="AH344" i="32"/>
  <c r="AG344" i="32"/>
  <c r="AH575" i="32"/>
  <c r="AG575" i="32"/>
  <c r="AG587" i="32"/>
  <c r="AH587" i="32"/>
  <c r="AG557" i="32"/>
  <c r="AH557" i="32"/>
  <c r="AH602" i="32"/>
  <c r="AG602" i="32"/>
  <c r="AH62" i="32"/>
  <c r="AG62" i="32"/>
  <c r="AD46" i="31"/>
  <c r="AM46" i="31"/>
  <c r="AL46" i="31"/>
  <c r="AE46" i="31"/>
  <c r="AF46" i="31"/>
  <c r="AD103" i="31"/>
  <c r="AL103" i="31"/>
  <c r="AE103" i="31"/>
  <c r="AM103" i="31"/>
  <c r="AF103" i="31"/>
  <c r="AE160" i="31"/>
  <c r="AM160" i="31"/>
  <c r="AD160" i="31"/>
  <c r="AL160" i="31"/>
  <c r="AF160" i="31"/>
  <c r="AF165" i="31"/>
  <c r="AL165" i="31"/>
  <c r="AE165" i="31"/>
  <c r="AD165" i="31"/>
  <c r="AM165" i="31"/>
  <c r="AE175" i="31"/>
  <c r="AM175" i="31"/>
  <c r="AD175" i="31"/>
  <c r="AL175" i="31"/>
  <c r="AF175" i="31"/>
  <c r="AF236" i="31"/>
  <c r="AD236" i="31"/>
  <c r="AL236" i="31"/>
  <c r="AE236" i="31"/>
  <c r="AM236" i="31"/>
  <c r="AH61" i="32"/>
  <c r="AG61" i="32"/>
  <c r="AL227" i="31"/>
  <c r="AD227" i="31"/>
  <c r="AM227" i="31"/>
  <c r="AE227" i="31"/>
  <c r="AF227" i="31"/>
  <c r="AG376" i="32"/>
  <c r="AH376" i="32"/>
  <c r="AG378" i="32"/>
  <c r="AH378" i="32"/>
  <c r="AH552" i="32"/>
  <c r="AG552" i="32"/>
  <c r="AG543" i="32"/>
  <c r="AH543" i="32"/>
  <c r="AH495" i="32"/>
  <c r="AG495" i="32"/>
  <c r="AG17" i="32"/>
  <c r="AH17" i="32"/>
  <c r="AH30" i="32"/>
  <c r="AG30" i="32"/>
  <c r="AH178" i="32"/>
  <c r="AG178" i="32"/>
  <c r="AG485" i="32"/>
  <c r="AH485" i="32"/>
  <c r="AG329" i="32"/>
  <c r="AH329" i="32"/>
  <c r="AE146" i="31"/>
  <c r="AD146" i="31"/>
  <c r="AM146" i="31"/>
  <c r="AL146" i="31"/>
  <c r="AF146" i="31"/>
  <c r="AF199" i="31"/>
  <c r="AE199" i="31"/>
  <c r="AD199" i="31"/>
  <c r="AM199" i="31"/>
  <c r="AL199" i="31"/>
  <c r="AE268" i="31"/>
  <c r="AD268" i="31"/>
  <c r="AL268" i="31"/>
  <c r="AM268" i="31"/>
  <c r="AF268" i="31"/>
  <c r="AL246" i="31"/>
  <c r="AM246" i="31"/>
  <c r="AD246" i="31"/>
  <c r="AE246" i="31"/>
  <c r="AF246" i="31"/>
  <c r="AL272" i="31"/>
  <c r="AE272" i="31"/>
  <c r="AD272" i="31"/>
  <c r="AM272" i="31"/>
  <c r="AF272" i="31"/>
  <c r="AE385" i="31"/>
  <c r="AM385" i="31"/>
  <c r="AD385" i="31"/>
  <c r="AL385" i="31"/>
  <c r="AF385" i="31"/>
  <c r="AM437" i="31"/>
  <c r="AE437" i="31"/>
  <c r="AD437" i="31"/>
  <c r="AL437" i="31"/>
  <c r="AF437" i="31"/>
  <c r="AL379" i="31"/>
  <c r="AE379" i="31"/>
  <c r="AD379" i="31"/>
  <c r="AM379" i="31"/>
  <c r="AF379" i="31"/>
  <c r="AL215" i="31"/>
  <c r="AD215" i="31"/>
  <c r="AE215" i="31"/>
  <c r="AM215" i="31"/>
  <c r="AF215" i="31"/>
  <c r="AF225" i="31"/>
  <c r="AE225" i="31"/>
  <c r="AD225" i="31"/>
  <c r="AL225" i="31"/>
  <c r="AM225" i="31"/>
  <c r="AH624" i="31"/>
  <c r="AI624" i="31" s="1"/>
  <c r="AG624" i="31"/>
  <c r="F634" i="31" s="1"/>
  <c r="AG250" i="32"/>
  <c r="AH250" i="32"/>
  <c r="AG601" i="32"/>
  <c r="AH601" i="32"/>
  <c r="AE494" i="31"/>
  <c r="AD494" i="31"/>
  <c r="AM494" i="31"/>
  <c r="AL494" i="31"/>
  <c r="AF494" i="31"/>
  <c r="AF587" i="31"/>
  <c r="AD587" i="31"/>
  <c r="AM587" i="31"/>
  <c r="AL587" i="31"/>
  <c r="AE587" i="31"/>
  <c r="AH288" i="32"/>
  <c r="AG288" i="32"/>
  <c r="AH385" i="32"/>
  <c r="AG385" i="32"/>
  <c r="AH438" i="32"/>
  <c r="AG438" i="32"/>
  <c r="AG436" i="32"/>
  <c r="AH436" i="32"/>
  <c r="AG539" i="32"/>
  <c r="AH539" i="32"/>
  <c r="AH486" i="32"/>
  <c r="AG486" i="32"/>
  <c r="AH569" i="32"/>
  <c r="AG569" i="32"/>
  <c r="AH456" i="32"/>
  <c r="AG456" i="32"/>
  <c r="AG537" i="32"/>
  <c r="AH537" i="32"/>
  <c r="AL598" i="31"/>
  <c r="AD598" i="31"/>
  <c r="AE598" i="31"/>
  <c r="AM598" i="31"/>
  <c r="AF598" i="31"/>
  <c r="AF117" i="31"/>
  <c r="AE117" i="31"/>
  <c r="AD117" i="31"/>
  <c r="AM117" i="31"/>
  <c r="AL117" i="31"/>
  <c r="AL129" i="31"/>
  <c r="AE129" i="31"/>
  <c r="AM129" i="31"/>
  <c r="AD129" i="31"/>
  <c r="AF129" i="31"/>
  <c r="AL241" i="31"/>
  <c r="AM241" i="31"/>
  <c r="AE241" i="31"/>
  <c r="AD241" i="31"/>
  <c r="AF241" i="31"/>
  <c r="AE157" i="31"/>
  <c r="AD157" i="31"/>
  <c r="AM157" i="31"/>
  <c r="AL157" i="31"/>
  <c r="AF157" i="31"/>
  <c r="AF167" i="31"/>
  <c r="AD167" i="31"/>
  <c r="AM167" i="31"/>
  <c r="AL167" i="31"/>
  <c r="AE167" i="31"/>
  <c r="AE173" i="31"/>
  <c r="AD173" i="31"/>
  <c r="AM173" i="31"/>
  <c r="AL173" i="31"/>
  <c r="AF173" i="31"/>
  <c r="AE260" i="31"/>
  <c r="AM260" i="31"/>
  <c r="AD260" i="31"/>
  <c r="AL260" i="31"/>
  <c r="AF260" i="31"/>
  <c r="AE320" i="31"/>
  <c r="AM320" i="31"/>
  <c r="AD320" i="31"/>
  <c r="AL320" i="31"/>
  <c r="AF320" i="31"/>
  <c r="AG380" i="32"/>
  <c r="AH380" i="32"/>
  <c r="AH120" i="32"/>
  <c r="AG120" i="32"/>
  <c r="AH28" i="32"/>
  <c r="AG28" i="32"/>
  <c r="AF168" i="31"/>
  <c r="AE168" i="31"/>
  <c r="AM168" i="31"/>
  <c r="AD168" i="31"/>
  <c r="AL168" i="31"/>
  <c r="AF80" i="31"/>
  <c r="AM80" i="31"/>
  <c r="AE80" i="31"/>
  <c r="AL80" i="31"/>
  <c r="AD80" i="31"/>
  <c r="AG461" i="32"/>
  <c r="AH461" i="32"/>
  <c r="AG330" i="32"/>
  <c r="AH330" i="32"/>
  <c r="AH531" i="32"/>
  <c r="AG531" i="32"/>
  <c r="AH497" i="32"/>
  <c r="AG497" i="32"/>
  <c r="AG535" i="32"/>
  <c r="AH535" i="32"/>
  <c r="AG159" i="32"/>
  <c r="AH159" i="32"/>
  <c r="AH158" i="32"/>
  <c r="AG158" i="32"/>
  <c r="AG88" i="32"/>
  <c r="AH88" i="32"/>
  <c r="AH34" i="32"/>
  <c r="AG34" i="32"/>
  <c r="AE13" i="31"/>
  <c r="AD13" i="31"/>
  <c r="AL13" i="31"/>
  <c r="AM13" i="31"/>
  <c r="AF13" i="31"/>
  <c r="AD206" i="31"/>
  <c r="AM206" i="31"/>
  <c r="AL206" i="31"/>
  <c r="AE206" i="31"/>
  <c r="AF206" i="31"/>
  <c r="AD252" i="31"/>
  <c r="AM252" i="31"/>
  <c r="AE252" i="31"/>
  <c r="AL252" i="31"/>
  <c r="AF252" i="31"/>
  <c r="AD258" i="31"/>
  <c r="AM258" i="31"/>
  <c r="AL258" i="31"/>
  <c r="AE258" i="31"/>
  <c r="AF258" i="31"/>
  <c r="AD309" i="31"/>
  <c r="AM309" i="31"/>
  <c r="AL309" i="31"/>
  <c r="AE309" i="31"/>
  <c r="AF309" i="31"/>
  <c r="AL327" i="31"/>
  <c r="AM327" i="31"/>
  <c r="AE327" i="31"/>
  <c r="AD327" i="31"/>
  <c r="AF327" i="31"/>
  <c r="AM472" i="31"/>
  <c r="AL472" i="31"/>
  <c r="AE472" i="31"/>
  <c r="AD472" i="31"/>
  <c r="AF472" i="31"/>
  <c r="AM563" i="31"/>
  <c r="AD563" i="31"/>
  <c r="AL563" i="31"/>
  <c r="AE563" i="31"/>
  <c r="AF563" i="31"/>
  <c r="AE294" i="31"/>
  <c r="AD294" i="31"/>
  <c r="AM294" i="31"/>
  <c r="AL294" i="31"/>
  <c r="AF294" i="31"/>
  <c r="AH231" i="32"/>
  <c r="AG231" i="32"/>
  <c r="AG382" i="32"/>
  <c r="AH382" i="32"/>
  <c r="AG553" i="32"/>
  <c r="AH553" i="32"/>
  <c r="AH530" i="32"/>
  <c r="AG530" i="32"/>
  <c r="AH613" i="32"/>
  <c r="AG613" i="32"/>
  <c r="AH230" i="32"/>
  <c r="AG230" i="32"/>
  <c r="AG212" i="32"/>
  <c r="AH212" i="32"/>
  <c r="AG251" i="32"/>
  <c r="AH251" i="32"/>
  <c r="AH234" i="32"/>
  <c r="AG234" i="32"/>
  <c r="AE521" i="31"/>
  <c r="AM521" i="31"/>
  <c r="AD521" i="31"/>
  <c r="AL521" i="31"/>
  <c r="AF521" i="31"/>
  <c r="AL61" i="31"/>
  <c r="AD61" i="31"/>
  <c r="AM61" i="31"/>
  <c r="AE61" i="31"/>
  <c r="AF61" i="31"/>
  <c r="AD72" i="31"/>
  <c r="AL72" i="31"/>
  <c r="AM72" i="31"/>
  <c r="AE72" i="31"/>
  <c r="AF72" i="31"/>
  <c r="AF71" i="31"/>
  <c r="AD71" i="31"/>
  <c r="AL71" i="31"/>
  <c r="AM71" i="31"/>
  <c r="AE71" i="31"/>
  <c r="AE93" i="31"/>
  <c r="AD93" i="31"/>
  <c r="AM93" i="31"/>
  <c r="AL93" i="31"/>
  <c r="AF93" i="31"/>
  <c r="AD87" i="31"/>
  <c r="AM87" i="31"/>
  <c r="AL87" i="31"/>
  <c r="AE87" i="31"/>
  <c r="AF87" i="31"/>
  <c r="AD63" i="31"/>
  <c r="AM63" i="31"/>
  <c r="AE63" i="31"/>
  <c r="AL63" i="31"/>
  <c r="AF63" i="31"/>
  <c r="AM556" i="31"/>
  <c r="AL556" i="31"/>
  <c r="AD556" i="31"/>
  <c r="AE556" i="31"/>
  <c r="AF556" i="31"/>
  <c r="AE134" i="31"/>
  <c r="AD134" i="31"/>
  <c r="AM134" i="31"/>
  <c r="AL134" i="31"/>
  <c r="AF134" i="31"/>
  <c r="AF629" i="31"/>
  <c r="R629" i="31"/>
  <c r="Q629" i="31"/>
  <c r="AE124" i="31"/>
  <c r="AD124" i="31"/>
  <c r="AL124" i="31"/>
  <c r="AM124" i="31"/>
  <c r="AF124" i="31"/>
  <c r="AE170" i="31"/>
  <c r="AM170" i="31"/>
  <c r="AD170" i="31"/>
  <c r="AL170" i="31"/>
  <c r="AF170" i="31"/>
  <c r="AH389" i="32"/>
  <c r="AG389" i="32"/>
  <c r="AM403" i="31"/>
  <c r="AE403" i="31"/>
  <c r="AD403" i="31"/>
  <c r="AL403" i="31"/>
  <c r="AF403" i="31"/>
  <c r="AL608" i="31"/>
  <c r="AM608" i="31"/>
  <c r="AE608" i="31"/>
  <c r="AD608" i="31"/>
  <c r="AF608" i="31"/>
  <c r="AH138" i="32"/>
  <c r="AG138" i="32"/>
  <c r="AE152" i="31"/>
  <c r="AM152" i="31"/>
  <c r="AL152" i="31"/>
  <c r="AD152" i="31"/>
  <c r="AF152" i="31"/>
  <c r="AH455" i="32"/>
  <c r="AG455" i="32"/>
  <c r="AH206" i="32"/>
  <c r="AG206" i="32"/>
  <c r="AM427" i="31"/>
  <c r="AE427" i="31"/>
  <c r="AL427" i="31"/>
  <c r="AD427" i="31"/>
  <c r="AF427" i="31"/>
  <c r="AG27" i="32"/>
  <c r="AH27" i="32"/>
  <c r="AH293" i="32"/>
  <c r="AG293" i="32"/>
  <c r="AE474" i="31"/>
  <c r="AM474" i="31"/>
  <c r="AD474" i="31"/>
  <c r="AL474" i="31"/>
  <c r="AF474" i="31"/>
  <c r="AE78" i="31"/>
  <c r="AD78" i="31"/>
  <c r="AM78" i="31"/>
  <c r="AL78" i="31"/>
  <c r="AF78" i="31"/>
  <c r="AG441" i="32"/>
  <c r="AH441" i="32"/>
  <c r="AH588" i="32"/>
  <c r="AG588" i="32"/>
  <c r="AH128" i="32"/>
  <c r="AG128" i="32"/>
  <c r="AE441" i="31"/>
  <c r="AD441" i="31"/>
  <c r="AM441" i="31"/>
  <c r="AL441" i="31"/>
  <c r="AF441" i="31"/>
  <c r="AG351" i="32"/>
  <c r="AH351" i="32"/>
  <c r="AG586" i="32"/>
  <c r="AH586" i="32"/>
  <c r="AH303" i="32"/>
  <c r="AG303" i="32"/>
  <c r="AD374" i="31"/>
  <c r="AE374" i="31"/>
  <c r="AM374" i="31"/>
  <c r="AL374" i="31"/>
  <c r="AF374" i="31"/>
  <c r="AD387" i="31"/>
  <c r="AM387" i="31"/>
  <c r="AL387" i="31"/>
  <c r="AE387" i="31"/>
  <c r="AF387" i="31"/>
  <c r="AH452" i="32"/>
  <c r="AG452" i="32"/>
  <c r="AF446" i="31"/>
  <c r="AE446" i="31"/>
  <c r="AL446" i="31"/>
  <c r="AD446" i="31"/>
  <c r="AM446" i="31"/>
  <c r="AH287" i="32"/>
  <c r="AG287" i="32"/>
  <c r="AH524" i="32"/>
  <c r="AG524" i="32"/>
  <c r="AF498" i="31"/>
  <c r="AD498" i="31"/>
  <c r="AM498" i="31"/>
  <c r="AL498" i="31"/>
  <c r="AE498" i="31"/>
  <c r="AE321" i="31"/>
  <c r="AM321" i="31"/>
  <c r="AD321" i="31"/>
  <c r="AL321" i="31"/>
  <c r="AX320" i="31" s="1"/>
  <c r="AY320" i="31" s="1"/>
  <c r="AF321" i="31"/>
  <c r="AG457" i="32"/>
  <c r="AH457" i="32"/>
  <c r="AH563" i="32"/>
  <c r="AG563" i="32"/>
  <c r="AH24" i="32"/>
  <c r="AG24" i="32"/>
  <c r="AG133" i="32"/>
  <c r="AH133" i="32"/>
  <c r="AG249" i="32"/>
  <c r="AH249" i="32"/>
  <c r="AG244" i="32"/>
  <c r="AH244" i="32"/>
  <c r="AG305" i="32"/>
  <c r="AH305" i="32"/>
  <c r="AH564" i="32"/>
  <c r="AG564" i="32"/>
  <c r="AH529" i="32"/>
  <c r="AG529" i="32"/>
  <c r="AH590" i="32"/>
  <c r="AG590" i="32"/>
  <c r="AH117" i="32"/>
  <c r="AG117" i="32"/>
  <c r="AE366" i="31"/>
  <c r="AD366" i="31"/>
  <c r="AM366" i="31"/>
  <c r="AL366" i="31"/>
  <c r="AF366" i="31"/>
  <c r="AD452" i="31"/>
  <c r="AL452" i="31"/>
  <c r="AM452" i="31"/>
  <c r="AE452" i="31"/>
  <c r="AF452" i="31"/>
  <c r="AD496" i="31"/>
  <c r="AL496" i="31"/>
  <c r="AE496" i="31"/>
  <c r="AM496" i="31"/>
  <c r="AF496" i="31"/>
  <c r="AE571" i="31"/>
  <c r="AD571" i="31"/>
  <c r="AM571" i="31"/>
  <c r="AL571" i="31"/>
  <c r="AF571" i="31"/>
  <c r="AF516" i="31"/>
  <c r="AE516" i="31"/>
  <c r="AD516" i="31"/>
  <c r="AM516" i="31"/>
  <c r="AL516" i="31"/>
  <c r="AE542" i="31"/>
  <c r="AD542" i="31"/>
  <c r="AL542" i="31"/>
  <c r="AM542" i="31"/>
  <c r="AF542" i="31"/>
  <c r="AM423" i="31"/>
  <c r="AE423" i="31"/>
  <c r="AL423" i="31"/>
  <c r="AD423" i="31"/>
  <c r="AF423" i="31"/>
  <c r="AE34" i="31"/>
  <c r="AM34" i="31"/>
  <c r="AD34" i="31"/>
  <c r="AL34" i="31"/>
  <c r="AF34" i="31"/>
  <c r="AL295" i="31"/>
  <c r="AE295" i="31"/>
  <c r="AM295" i="31"/>
  <c r="AD295" i="31"/>
  <c r="AF295" i="31"/>
  <c r="AF481" i="31"/>
  <c r="AE481" i="31"/>
  <c r="AL481" i="31"/>
  <c r="AM481" i="31"/>
  <c r="AD481" i="31"/>
  <c r="AE627" i="31"/>
  <c r="AD627" i="31"/>
  <c r="AL627" i="31"/>
  <c r="AM627" i="31"/>
  <c r="AE397" i="31"/>
  <c r="AM397" i="31"/>
  <c r="AD397" i="31"/>
  <c r="AL397" i="31"/>
  <c r="AF397" i="31"/>
  <c r="AF217" i="31"/>
  <c r="AE217" i="31"/>
  <c r="AD217" i="31"/>
  <c r="AM217" i="31"/>
  <c r="AL217" i="31"/>
  <c r="AH349" i="32"/>
  <c r="AG349" i="32"/>
  <c r="AM456" i="31"/>
  <c r="AL456" i="31"/>
  <c r="AE456" i="31"/>
  <c r="AD456" i="31"/>
  <c r="AF456" i="31"/>
  <c r="AF67" i="31"/>
  <c r="AL67" i="31"/>
  <c r="AD67" i="31"/>
  <c r="AE67" i="31"/>
  <c r="AM67" i="31"/>
  <c r="AH70" i="32"/>
  <c r="AG70" i="32"/>
  <c r="AH141" i="32"/>
  <c r="AG141" i="32"/>
  <c r="AH263" i="32"/>
  <c r="AG263" i="32"/>
  <c r="AH248" i="32"/>
  <c r="AG248" i="32"/>
  <c r="AH197" i="32"/>
  <c r="AG197" i="32"/>
  <c r="AG76" i="32"/>
  <c r="AH76" i="32"/>
  <c r="AG20" i="32"/>
  <c r="AH20" i="32"/>
  <c r="AH137" i="32"/>
  <c r="AG137" i="32"/>
  <c r="AE76" i="31"/>
  <c r="AD76" i="31"/>
  <c r="AM76" i="31"/>
  <c r="AL76" i="31"/>
  <c r="AF76" i="31"/>
  <c r="AF428" i="31"/>
  <c r="AL428" i="31"/>
  <c r="AM428" i="31"/>
  <c r="AE428" i="31"/>
  <c r="AD428" i="31"/>
  <c r="AE520" i="31"/>
  <c r="AD520" i="31"/>
  <c r="AM520" i="31"/>
  <c r="AL520" i="31"/>
  <c r="AF520" i="31"/>
  <c r="AE545" i="31"/>
  <c r="AM545" i="31"/>
  <c r="AD545" i="31"/>
  <c r="AL545" i="31"/>
  <c r="AF545" i="31"/>
  <c r="AF580" i="31"/>
  <c r="AE580" i="31"/>
  <c r="AD580" i="31"/>
  <c r="AM580" i="31"/>
  <c r="AL580" i="31"/>
  <c r="AF607" i="31"/>
  <c r="AE607" i="31"/>
  <c r="AL607" i="31"/>
  <c r="AM607" i="31"/>
  <c r="AD607" i="31"/>
  <c r="AF577" i="31"/>
  <c r="AE577" i="31"/>
  <c r="AM577" i="31"/>
  <c r="AD577" i="31"/>
  <c r="AL577" i="31"/>
  <c r="AH371" i="32"/>
  <c r="AG371" i="32"/>
  <c r="AD412" i="31"/>
  <c r="AM412" i="31"/>
  <c r="AL412" i="31"/>
  <c r="AE412" i="31"/>
  <c r="AF412" i="31"/>
  <c r="AH264" i="32"/>
  <c r="AG264" i="32"/>
  <c r="AG301" i="32"/>
  <c r="AH301" i="32"/>
  <c r="AG179" i="32"/>
  <c r="AH179" i="32"/>
  <c r="AH410" i="32"/>
  <c r="AG410" i="32"/>
  <c r="AG359" i="32"/>
  <c r="AH359" i="32"/>
  <c r="AH74" i="32"/>
  <c r="AG74" i="32"/>
  <c r="AH48" i="32"/>
  <c r="AG48" i="32"/>
  <c r="AG165" i="32"/>
  <c r="AH165" i="32"/>
  <c r="AH448" i="32"/>
  <c r="AG448" i="32"/>
  <c r="AE478" i="31"/>
  <c r="AM478" i="31"/>
  <c r="AD478" i="31"/>
  <c r="AL478" i="31"/>
  <c r="AF478" i="31"/>
  <c r="AD574" i="31"/>
  <c r="AM574" i="31"/>
  <c r="AL574" i="31"/>
  <c r="AE574" i="31"/>
  <c r="AF574" i="31"/>
  <c r="AM51" i="31"/>
  <c r="AL51" i="31"/>
  <c r="AE51" i="31"/>
  <c r="AD51" i="31"/>
  <c r="AF51" i="31"/>
  <c r="AE43" i="31"/>
  <c r="AD43" i="31"/>
  <c r="AM43" i="31"/>
  <c r="AL43" i="31"/>
  <c r="AF43" i="31"/>
  <c r="AF64" i="31"/>
  <c r="AD64" i="31"/>
  <c r="AL64" i="31"/>
  <c r="AE64" i="31"/>
  <c r="AM64" i="31"/>
  <c r="AE461" i="31"/>
  <c r="AM461" i="31"/>
  <c r="AL461" i="31"/>
  <c r="AD461" i="31"/>
  <c r="AF461" i="31"/>
  <c r="AM32" i="31"/>
  <c r="AE32" i="31"/>
  <c r="AL32" i="31"/>
  <c r="AD32" i="31"/>
  <c r="AF32" i="31"/>
  <c r="AL410" i="31"/>
  <c r="AD410" i="31"/>
  <c r="AM410" i="31"/>
  <c r="AE410" i="31"/>
  <c r="AF410" i="31"/>
  <c r="AD293" i="31"/>
  <c r="AL293" i="31"/>
  <c r="AM293" i="31"/>
  <c r="AE293" i="31"/>
  <c r="AF293" i="31"/>
  <c r="AG323" i="32"/>
  <c r="AH323" i="32"/>
  <c r="AH241" i="32"/>
  <c r="AG241" i="32"/>
  <c r="AM95" i="31"/>
  <c r="AL95" i="31"/>
  <c r="AE95" i="31"/>
  <c r="AD95" i="31"/>
  <c r="AF95" i="31"/>
  <c r="AM310" i="31"/>
  <c r="AL310" i="31"/>
  <c r="AE310" i="31"/>
  <c r="AD310" i="31"/>
  <c r="AF310" i="31"/>
  <c r="AG64" i="32"/>
  <c r="AH64" i="32"/>
  <c r="AG312" i="32"/>
  <c r="AH312" i="32"/>
  <c r="AG315" i="32"/>
  <c r="AH315" i="32"/>
  <c r="AG313" i="32"/>
  <c r="AH313" i="32"/>
  <c r="AH258" i="32"/>
  <c r="AG258" i="32"/>
  <c r="AG32" i="32"/>
  <c r="AH32" i="32"/>
  <c r="AH111" i="32"/>
  <c r="AG111" i="32"/>
  <c r="AH533" i="32"/>
  <c r="AG533" i="32"/>
  <c r="AG418" i="32"/>
  <c r="AH418" i="32"/>
  <c r="AL413" i="31"/>
  <c r="AD413" i="31"/>
  <c r="AE413" i="31"/>
  <c r="AM413" i="31"/>
  <c r="AF413" i="31"/>
  <c r="AE510" i="31"/>
  <c r="AD510" i="31"/>
  <c r="AM510" i="31"/>
  <c r="AL510" i="31"/>
  <c r="AF510" i="31"/>
  <c r="AD536" i="31"/>
  <c r="AM536" i="31"/>
  <c r="AL536" i="31"/>
  <c r="AE536" i="31"/>
  <c r="AF536" i="31"/>
  <c r="AE572" i="31"/>
  <c r="AD572" i="31"/>
  <c r="AM572" i="31"/>
  <c r="AL572" i="31"/>
  <c r="AF572" i="31"/>
  <c r="AE562" i="31"/>
  <c r="AM562" i="31"/>
  <c r="AD562" i="31"/>
  <c r="AL562" i="31"/>
  <c r="AF562" i="31"/>
  <c r="AF564" i="31"/>
  <c r="AE564" i="31"/>
  <c r="AM564" i="31"/>
  <c r="AD564" i="31"/>
  <c r="AL564" i="31"/>
  <c r="AL538" i="31"/>
  <c r="AE538" i="31"/>
  <c r="AD538" i="31"/>
  <c r="AM538" i="31"/>
  <c r="AF538" i="31"/>
  <c r="AD444" i="31"/>
  <c r="AM444" i="31"/>
  <c r="AL444" i="31"/>
  <c r="AE444" i="31"/>
  <c r="AF444" i="31"/>
  <c r="AF132" i="31"/>
  <c r="AE132" i="31"/>
  <c r="AD132" i="31"/>
  <c r="AM132" i="31"/>
  <c r="AL132" i="31"/>
  <c r="AH199" i="32"/>
  <c r="AG199" i="32"/>
  <c r="AG267" i="32"/>
  <c r="AH267" i="32"/>
  <c r="AH352" i="32"/>
  <c r="AG352" i="32"/>
  <c r="AD101" i="31"/>
  <c r="AM101" i="31"/>
  <c r="AL101" i="31"/>
  <c r="AE101" i="31"/>
  <c r="AF101" i="31"/>
  <c r="AF297" i="31"/>
  <c r="AE297" i="31"/>
  <c r="AD297" i="31"/>
  <c r="AL297" i="31"/>
  <c r="AM297" i="31"/>
  <c r="AG259" i="32"/>
  <c r="AH259" i="32"/>
  <c r="AG223" i="32"/>
  <c r="AH223" i="32"/>
  <c r="AH364" i="32"/>
  <c r="AG364" i="32"/>
  <c r="AH361" i="32"/>
  <c r="AG361" i="32"/>
  <c r="AH381" i="32"/>
  <c r="AG381" i="32"/>
  <c r="AH252" i="32"/>
  <c r="AG252" i="32"/>
  <c r="AG214" i="32"/>
  <c r="AH214" i="32"/>
  <c r="AH276" i="32"/>
  <c r="AG276" i="32"/>
  <c r="AH278" i="32"/>
  <c r="AG278" i="32"/>
  <c r="AL523" i="31"/>
  <c r="AE523" i="31"/>
  <c r="AD523" i="31"/>
  <c r="AM523" i="31"/>
  <c r="AF523" i="31"/>
  <c r="AE29" i="31"/>
  <c r="AD29" i="31"/>
  <c r="AM29" i="31"/>
  <c r="AL29" i="31"/>
  <c r="AF29" i="31"/>
  <c r="AM48" i="31"/>
  <c r="AL48" i="31"/>
  <c r="AE48" i="31"/>
  <c r="AD48" i="31"/>
  <c r="AF48" i="31"/>
  <c r="AE92" i="31"/>
  <c r="AD92" i="31"/>
  <c r="AM92" i="31"/>
  <c r="AL92" i="31"/>
  <c r="AF92" i="31"/>
  <c r="AD94" i="31"/>
  <c r="AE94" i="31"/>
  <c r="AM94" i="31"/>
  <c r="AL94" i="31"/>
  <c r="AF94" i="31"/>
  <c r="AE88" i="31"/>
  <c r="AD88" i="31"/>
  <c r="AM88" i="31"/>
  <c r="AL88" i="31"/>
  <c r="AF88" i="31"/>
  <c r="AD39" i="31"/>
  <c r="AM39" i="31"/>
  <c r="AL39" i="31"/>
  <c r="AE39" i="31"/>
  <c r="AF39" i="31"/>
  <c r="AF15" i="31"/>
  <c r="AL15" i="31"/>
  <c r="AE15" i="31"/>
  <c r="AD15" i="31"/>
  <c r="AM15" i="31"/>
  <c r="AH610" i="32"/>
  <c r="AG610" i="32"/>
  <c r="AH551" i="32"/>
  <c r="AG551" i="32"/>
  <c r="AH19" i="32"/>
  <c r="AG19" i="32"/>
  <c r="AG135" i="32"/>
  <c r="AH135" i="32"/>
  <c r="AG130" i="32"/>
  <c r="AH130" i="32"/>
  <c r="AH176" i="32"/>
  <c r="AG176" i="32"/>
  <c r="AH368" i="32"/>
  <c r="AG368" i="32"/>
  <c r="AH399" i="32"/>
  <c r="AG399" i="32"/>
  <c r="AH354" i="32"/>
  <c r="AG354" i="32"/>
  <c r="AG298" i="32"/>
  <c r="AH298" i="32"/>
  <c r="AM302" i="31"/>
  <c r="AL302" i="31"/>
  <c r="AE302" i="31"/>
  <c r="AD302" i="31"/>
  <c r="AF302" i="31"/>
  <c r="AL389" i="31"/>
  <c r="AX388" i="31" s="1"/>
  <c r="AY388" i="31" s="1"/>
  <c r="AE389" i="31"/>
  <c r="AD389" i="31"/>
  <c r="AM389" i="31"/>
  <c r="AF389" i="31"/>
  <c r="AF436" i="31"/>
  <c r="AD436" i="31"/>
  <c r="AM436" i="31"/>
  <c r="AL436" i="31"/>
  <c r="AE436" i="31"/>
  <c r="AM432" i="31"/>
  <c r="AD432" i="31"/>
  <c r="AE432" i="31"/>
  <c r="AL432" i="31"/>
  <c r="AX431" i="31" s="1"/>
  <c r="AY431" i="31" s="1"/>
  <c r="AF432" i="31"/>
  <c r="AL457" i="31"/>
  <c r="AE457" i="31"/>
  <c r="AM457" i="31"/>
  <c r="AD457" i="31"/>
  <c r="AF457" i="31"/>
  <c r="AE470" i="31"/>
  <c r="AM470" i="31"/>
  <c r="AD470" i="31"/>
  <c r="AL470" i="31"/>
  <c r="AF470" i="31"/>
  <c r="AE273" i="31"/>
  <c r="AD273" i="31"/>
  <c r="AM273" i="31"/>
  <c r="AL273" i="31"/>
  <c r="AF273" i="31"/>
  <c r="AF212" i="31"/>
  <c r="AD212" i="31"/>
  <c r="AM212" i="31"/>
  <c r="AE212" i="31"/>
  <c r="AL212" i="31"/>
  <c r="AD163" i="31"/>
  <c r="AM163" i="31"/>
  <c r="AL163" i="31"/>
  <c r="AE163" i="31"/>
  <c r="AF163" i="31"/>
  <c r="AF148" i="31"/>
  <c r="AM148" i="31"/>
  <c r="AE148" i="31"/>
  <c r="AL148" i="31"/>
  <c r="AD148" i="31"/>
  <c r="AH209" i="32"/>
  <c r="AG209" i="32"/>
  <c r="AE308" i="31"/>
  <c r="AM308" i="31"/>
  <c r="AL308" i="31"/>
  <c r="AD308" i="31"/>
  <c r="AF308" i="31"/>
  <c r="AE164" i="31"/>
  <c r="AD164" i="31"/>
  <c r="AM164" i="31"/>
  <c r="AL164" i="31"/>
  <c r="AF164" i="31"/>
  <c r="AH333" i="32"/>
  <c r="AG333" i="32"/>
  <c r="AE346" i="31"/>
  <c r="AD346" i="31"/>
  <c r="AL346" i="31"/>
  <c r="AM346" i="31"/>
  <c r="AF346" i="31"/>
  <c r="AD177" i="31"/>
  <c r="AM177" i="31"/>
  <c r="AL177" i="31"/>
  <c r="AE177" i="31"/>
  <c r="AF177" i="31"/>
  <c r="AG541" i="32"/>
  <c r="AH541" i="32"/>
  <c r="AH33" i="32"/>
  <c r="AG33" i="32"/>
  <c r="AM372" i="31"/>
  <c r="AL372" i="31"/>
  <c r="AE372" i="31"/>
  <c r="AD372" i="31"/>
  <c r="AF372" i="31"/>
  <c r="AH18" i="32"/>
  <c r="AG18" i="32"/>
  <c r="AH78" i="32"/>
  <c r="AG78" i="32"/>
  <c r="AD449" i="31"/>
  <c r="AL449" i="31"/>
  <c r="AM449" i="31"/>
  <c r="AE449" i="31"/>
  <c r="AF449" i="31"/>
  <c r="AF141" i="31"/>
  <c r="AE141" i="31"/>
  <c r="AD141" i="31"/>
  <c r="AM141" i="31"/>
  <c r="AL141" i="31"/>
  <c r="AH198" i="32"/>
  <c r="AG198" i="32"/>
  <c r="AG255" i="32"/>
  <c r="AH255" i="32"/>
  <c r="AE530" i="31"/>
  <c r="AM530" i="31"/>
  <c r="AL530" i="31"/>
  <c r="AD530" i="31"/>
  <c r="AF530" i="31"/>
  <c r="AD73" i="31"/>
  <c r="AM73" i="31"/>
  <c r="AL73" i="31"/>
  <c r="AE73" i="31"/>
  <c r="AF73" i="31"/>
  <c r="AD325" i="31"/>
  <c r="AL325" i="31"/>
  <c r="AE325" i="31"/>
  <c r="AM325" i="31"/>
  <c r="AF325" i="31"/>
  <c r="AH119" i="32"/>
  <c r="AG119" i="32"/>
  <c r="AG406" i="32"/>
  <c r="AH406" i="32"/>
  <c r="AF406" i="31"/>
  <c r="AD406" i="31"/>
  <c r="AM406" i="31"/>
  <c r="AL406" i="31"/>
  <c r="AE406" i="31"/>
  <c r="AD65" i="31"/>
  <c r="AM65" i="31"/>
  <c r="AL65" i="31"/>
  <c r="AE65" i="31"/>
  <c r="AF65" i="31"/>
  <c r="AG247" i="32"/>
  <c r="AH247" i="32"/>
  <c r="AH26" i="32"/>
  <c r="AG26" i="32"/>
  <c r="AF466" i="31"/>
  <c r="AE466" i="31"/>
  <c r="AD466" i="31"/>
  <c r="AL466" i="31"/>
  <c r="AM466" i="31"/>
  <c r="AL560" i="31"/>
  <c r="AD560" i="31"/>
  <c r="AE560" i="31"/>
  <c r="AM560" i="31"/>
  <c r="AF560" i="31"/>
  <c r="AH462" i="32"/>
  <c r="AG462" i="32"/>
  <c r="AH91" i="32"/>
  <c r="AG91" i="32"/>
  <c r="AE21" i="31"/>
  <c r="AD21" i="31"/>
  <c r="AM21" i="31"/>
  <c r="AL21" i="31"/>
  <c r="AF21" i="31"/>
  <c r="AH492" i="32"/>
  <c r="AG492" i="32"/>
  <c r="AH67" i="32"/>
  <c r="AG67" i="32"/>
  <c r="AG186" i="32"/>
  <c r="AH186" i="32"/>
  <c r="AH517" i="32"/>
  <c r="AG517" i="32"/>
  <c r="AE368" i="31"/>
  <c r="AM368" i="31"/>
  <c r="AD368" i="31"/>
  <c r="AL368" i="31"/>
  <c r="AF368" i="31"/>
  <c r="AM514" i="31"/>
  <c r="AL514" i="31"/>
  <c r="AE514" i="31"/>
  <c r="AD514" i="31"/>
  <c r="AF514" i="31"/>
  <c r="AF508" i="31"/>
  <c r="AE508" i="31"/>
  <c r="AM508" i="31"/>
  <c r="AD508" i="31"/>
  <c r="AL508" i="31"/>
  <c r="AE626" i="31"/>
  <c r="AD626" i="31"/>
  <c r="AM626" i="31"/>
  <c r="AL626" i="31"/>
  <c r="AF626" i="31"/>
  <c r="AL402" i="31"/>
  <c r="AE402" i="31"/>
  <c r="AM402" i="31"/>
  <c r="AD402" i="31"/>
  <c r="AF402" i="31"/>
  <c r="AH458" i="32"/>
  <c r="AG458" i="32"/>
  <c r="AH549" i="32"/>
  <c r="AG549" i="32"/>
  <c r="AH605" i="32"/>
  <c r="AG605" i="32"/>
  <c r="AG41" i="32"/>
  <c r="AH41" i="32"/>
  <c r="AH310" i="32"/>
  <c r="AG310" i="32"/>
  <c r="AE53" i="31"/>
  <c r="AD53" i="31"/>
  <c r="AM53" i="31"/>
  <c r="AL53" i="31"/>
  <c r="AF53" i="31"/>
  <c r="AM204" i="31"/>
  <c r="AE204" i="31"/>
  <c r="AL204" i="31"/>
  <c r="AD204" i="31"/>
  <c r="AF204" i="31"/>
  <c r="AE232" i="31"/>
  <c r="AL232" i="31"/>
  <c r="AM232" i="31"/>
  <c r="AD232" i="31"/>
  <c r="AF232" i="31"/>
  <c r="AL279" i="31"/>
  <c r="AE279" i="31"/>
  <c r="AD279" i="31"/>
  <c r="AM279" i="31"/>
  <c r="AF279" i="31"/>
  <c r="AF290" i="31"/>
  <c r="AE290" i="31"/>
  <c r="AD290" i="31"/>
  <c r="AL290" i="31"/>
  <c r="AM290" i="31"/>
  <c r="AD301" i="31"/>
  <c r="AM301" i="31"/>
  <c r="AL301" i="31"/>
  <c r="AX300" i="31" s="1"/>
  <c r="AY300" i="31" s="1"/>
  <c r="AE301" i="31"/>
  <c r="AF301" i="31"/>
  <c r="AL416" i="31"/>
  <c r="AD416" i="31"/>
  <c r="AE416" i="31"/>
  <c r="AM416" i="31"/>
  <c r="AF416" i="31"/>
  <c r="AM505" i="31"/>
  <c r="AD505" i="31"/>
  <c r="AL505" i="31"/>
  <c r="AE505" i="31"/>
  <c r="AF505" i="31"/>
  <c r="AE347" i="31"/>
  <c r="AM347" i="31"/>
  <c r="AD347" i="31"/>
  <c r="AL347" i="31"/>
  <c r="AF347" i="31"/>
  <c r="AL244" i="31"/>
  <c r="AM244" i="31"/>
  <c r="AE244" i="31"/>
  <c r="AD244" i="31"/>
  <c r="AF244" i="31"/>
  <c r="AH63" i="32"/>
  <c r="AG63" i="32"/>
  <c r="AM586" i="31"/>
  <c r="AL586" i="31"/>
  <c r="AD586" i="31"/>
  <c r="AE586" i="31"/>
  <c r="AF586" i="31"/>
  <c r="AF473" i="31"/>
  <c r="AE473" i="31"/>
  <c r="AM473" i="31"/>
  <c r="AD473" i="31"/>
  <c r="AL473" i="31"/>
  <c r="AG393" i="32"/>
  <c r="AH393" i="32"/>
  <c r="AH353" i="32"/>
  <c r="AG353" i="32"/>
  <c r="AH488" i="32"/>
  <c r="AG488" i="32"/>
  <c r="AH474" i="32"/>
  <c r="AG474" i="32"/>
  <c r="AH499" i="32"/>
  <c r="AG499" i="32"/>
  <c r="AG124" i="32"/>
  <c r="AH124" i="32"/>
  <c r="AH60" i="32"/>
  <c r="AG60" i="32"/>
  <c r="AH15" i="32"/>
  <c r="AG15" i="32"/>
  <c r="AH131" i="32"/>
  <c r="AG131" i="32"/>
  <c r="AG516" i="32"/>
  <c r="AH516" i="32"/>
  <c r="AF195" i="31"/>
  <c r="AD195" i="31"/>
  <c r="AL195" i="31"/>
  <c r="AM195" i="31"/>
  <c r="AE195" i="31"/>
  <c r="AF222" i="31"/>
  <c r="AL222" i="31"/>
  <c r="AD222" i="31"/>
  <c r="AM222" i="31"/>
  <c r="AE222" i="31"/>
  <c r="AL254" i="31"/>
  <c r="AE254" i="31"/>
  <c r="AD254" i="31"/>
  <c r="AM254" i="31"/>
  <c r="AF254" i="31"/>
  <c r="AL280" i="31"/>
  <c r="AE280" i="31"/>
  <c r="AM280" i="31"/>
  <c r="AD280" i="31"/>
  <c r="AF280" i="31"/>
  <c r="AD353" i="31"/>
  <c r="AM353" i="31"/>
  <c r="AL353" i="31"/>
  <c r="AE353" i="31"/>
  <c r="AF353" i="31"/>
  <c r="AE382" i="31"/>
  <c r="AD382" i="31"/>
  <c r="AM382" i="31"/>
  <c r="AL382" i="31"/>
  <c r="AF382" i="31"/>
  <c r="AM479" i="31"/>
  <c r="AL479" i="31"/>
  <c r="AX478" i="31" s="1"/>
  <c r="AY478" i="31" s="1"/>
  <c r="AD479" i="31"/>
  <c r="AE479" i="31"/>
  <c r="AF479" i="31"/>
  <c r="AD426" i="31"/>
  <c r="AE426" i="31"/>
  <c r="AM426" i="31"/>
  <c r="AL426" i="31"/>
  <c r="AF426" i="31"/>
  <c r="AD338" i="31"/>
  <c r="AM338" i="31"/>
  <c r="AL338" i="31"/>
  <c r="AE338" i="31"/>
  <c r="AF338" i="31"/>
  <c r="AE332" i="31"/>
  <c r="AD332" i="31"/>
  <c r="AM332" i="31"/>
  <c r="AL332" i="31"/>
  <c r="AF332" i="31"/>
  <c r="AH148" i="32"/>
  <c r="AG148" i="32"/>
  <c r="AF541" i="31"/>
  <c r="AE541" i="31"/>
  <c r="AD541" i="31"/>
  <c r="AM541" i="31"/>
  <c r="AL541" i="31"/>
  <c r="AM275" i="31"/>
  <c r="AL275" i="31"/>
  <c r="AE275" i="31"/>
  <c r="AD275" i="31"/>
  <c r="AF275" i="31"/>
  <c r="AH416" i="32"/>
  <c r="AG416" i="32"/>
  <c r="AH581" i="32"/>
  <c r="AG581" i="32"/>
  <c r="AH514" i="32"/>
  <c r="AG514" i="32"/>
  <c r="AH512" i="32"/>
  <c r="AG512" i="32"/>
  <c r="AH98" i="32"/>
  <c r="AG98" i="32"/>
  <c r="AG169" i="32"/>
  <c r="AH169" i="32"/>
  <c r="AG422" i="32"/>
  <c r="AH422" i="32"/>
  <c r="AH46" i="32"/>
  <c r="AG46" i="32"/>
  <c r="AH136" i="32"/>
  <c r="AG136" i="32"/>
  <c r="AH528" i="32"/>
  <c r="AG528" i="32"/>
  <c r="AE251" i="31"/>
  <c r="AD251" i="31"/>
  <c r="AM251" i="31"/>
  <c r="AL251" i="31"/>
  <c r="AF251" i="31"/>
  <c r="AE369" i="31"/>
  <c r="AM369" i="31"/>
  <c r="AL369" i="31"/>
  <c r="AD369" i="31"/>
  <c r="AF369" i="31"/>
  <c r="AE343" i="31"/>
  <c r="AM343" i="31"/>
  <c r="AD343" i="31"/>
  <c r="AL343" i="31"/>
  <c r="AF343" i="31"/>
  <c r="AF354" i="31"/>
  <c r="AM354" i="31"/>
  <c r="AL354" i="31"/>
  <c r="AE354" i="31"/>
  <c r="AD354" i="31"/>
  <c r="AF358" i="31"/>
  <c r="AL358" i="31"/>
  <c r="AE358" i="31"/>
  <c r="AD358" i="31"/>
  <c r="AM358" i="31"/>
  <c r="AF567" i="31"/>
  <c r="AL567" i="31"/>
  <c r="AM567" i="31"/>
  <c r="AE567" i="31"/>
  <c r="AD567" i="31"/>
  <c r="AH202" i="32"/>
  <c r="AG202" i="32"/>
  <c r="AE54" i="31"/>
  <c r="AD54" i="31"/>
  <c r="AM54" i="31"/>
  <c r="AL54" i="31"/>
  <c r="AF54" i="31"/>
  <c r="AF594" i="31"/>
  <c r="AL594" i="31"/>
  <c r="AE594" i="31"/>
  <c r="AM594" i="31"/>
  <c r="AD594" i="31"/>
  <c r="AF230" i="31"/>
  <c r="AD230" i="31"/>
  <c r="AL230" i="31"/>
  <c r="AM230" i="31"/>
  <c r="AE230" i="31"/>
  <c r="AH555" i="32"/>
  <c r="AG555" i="32"/>
  <c r="AH566" i="32"/>
  <c r="AG566" i="32"/>
  <c r="AG59" i="32"/>
  <c r="AH59" i="32"/>
  <c r="AG196" i="32"/>
  <c r="AH196" i="32"/>
  <c r="AG187" i="32"/>
  <c r="AH187" i="32"/>
  <c r="AH154" i="32"/>
  <c r="AG154" i="32"/>
  <c r="AG213" i="32"/>
  <c r="AH213" i="32"/>
  <c r="AG334" i="32"/>
  <c r="AH334" i="32"/>
  <c r="AH309" i="32"/>
  <c r="AG309" i="32"/>
  <c r="AG143" i="32"/>
  <c r="AH143" i="32"/>
  <c r="AF315" i="31"/>
  <c r="AD315" i="31"/>
  <c r="AM315" i="31"/>
  <c r="AL315" i="31"/>
  <c r="AE315" i="31"/>
  <c r="AD400" i="31"/>
  <c r="AE400" i="31"/>
  <c r="AM400" i="31"/>
  <c r="AL400" i="31"/>
  <c r="AF400" i="31"/>
  <c r="AM375" i="31"/>
  <c r="AD375" i="31"/>
  <c r="AL375" i="31"/>
  <c r="AE375" i="31"/>
  <c r="AF375" i="31"/>
  <c r="AM422" i="31"/>
  <c r="AL422" i="31"/>
  <c r="AX421" i="31" s="1"/>
  <c r="AY421" i="31" s="1"/>
  <c r="AE422" i="31"/>
  <c r="AD422" i="31"/>
  <c r="AF422" i="31"/>
  <c r="AE442" i="31"/>
  <c r="AD442" i="31"/>
  <c r="AM442" i="31"/>
  <c r="AL442" i="31"/>
  <c r="AX441" i="31" s="1"/>
  <c r="AY441" i="31" s="1"/>
  <c r="AF442" i="31"/>
  <c r="AM401" i="31"/>
  <c r="AL401" i="31"/>
  <c r="AD401" i="31"/>
  <c r="AE401" i="31"/>
  <c r="AF401" i="31"/>
  <c r="AF159" i="31"/>
  <c r="AD159" i="31"/>
  <c r="AM159" i="31"/>
  <c r="AL159" i="31"/>
  <c r="AE159" i="31"/>
  <c r="AF176" i="31"/>
  <c r="AE176" i="31"/>
  <c r="AD176" i="31"/>
  <c r="AM176" i="31"/>
  <c r="AL176" i="31"/>
  <c r="AX175" i="31" s="1"/>
  <c r="AY175" i="31" s="1"/>
  <c r="AF588" i="31"/>
  <c r="AM588" i="31"/>
  <c r="AL588" i="31"/>
  <c r="AE588" i="31"/>
  <c r="AD588" i="31"/>
  <c r="AE142" i="31"/>
  <c r="AD142" i="31"/>
  <c r="AM142" i="31"/>
  <c r="AL142" i="31"/>
  <c r="AF142" i="31"/>
  <c r="AG604" i="32"/>
  <c r="AH604" i="32"/>
  <c r="AE44" i="31"/>
  <c r="AD44" i="31"/>
  <c r="AM44" i="31"/>
  <c r="AL44" i="31"/>
  <c r="AX43" i="31" s="1"/>
  <c r="AY43" i="31" s="1"/>
  <c r="AF44" i="31"/>
  <c r="AL381" i="31"/>
  <c r="AD381" i="31"/>
  <c r="AE381" i="31"/>
  <c r="AM381" i="31"/>
  <c r="AF381" i="31"/>
  <c r="AH430" i="32"/>
  <c r="AG430" i="32"/>
  <c r="AH477" i="32"/>
  <c r="AG477" i="32"/>
  <c r="AH526" i="32"/>
  <c r="AG526" i="32"/>
  <c r="AH504" i="32"/>
  <c r="AG504" i="32"/>
  <c r="AG129" i="32"/>
  <c r="AH129" i="32"/>
  <c r="AH282" i="32"/>
  <c r="AG282" i="32"/>
  <c r="AH56" i="32"/>
  <c r="AG56" i="32"/>
  <c r="AH113" i="32"/>
  <c r="AG113" i="32"/>
  <c r="AH180" i="32"/>
  <c r="AG180" i="32"/>
  <c r="AG125" i="32"/>
  <c r="AH125" i="32"/>
  <c r="AE234" i="31"/>
  <c r="AD234" i="31"/>
  <c r="AM234" i="31"/>
  <c r="AL234" i="31"/>
  <c r="AF234" i="31"/>
  <c r="AD270" i="31"/>
  <c r="AM270" i="31"/>
  <c r="AL270" i="31"/>
  <c r="AE270" i="31"/>
  <c r="AF270" i="31"/>
  <c r="AE317" i="31"/>
  <c r="AM317" i="31"/>
  <c r="AD317" i="31"/>
  <c r="AL317" i="31"/>
  <c r="AF317" i="31"/>
  <c r="AL335" i="31"/>
  <c r="AE335" i="31"/>
  <c r="AM335" i="31"/>
  <c r="AD335" i="31"/>
  <c r="AF335" i="31"/>
  <c r="AF345" i="31"/>
  <c r="AE345" i="31"/>
  <c r="AM345" i="31"/>
  <c r="AD345" i="31"/>
  <c r="AL345" i="31"/>
  <c r="AE548" i="31"/>
  <c r="AM548" i="31"/>
  <c r="AD548" i="31"/>
  <c r="AL548" i="31"/>
  <c r="AF548" i="31"/>
  <c r="AE83" i="31"/>
  <c r="AL83" i="31"/>
  <c r="AD83" i="31"/>
  <c r="AM83" i="31"/>
  <c r="AF83" i="31"/>
  <c r="AF226" i="31"/>
  <c r="AM226" i="31"/>
  <c r="AL226" i="31"/>
  <c r="AE226" i="31"/>
  <c r="AD226" i="31"/>
  <c r="AH321" i="32"/>
  <c r="AG321" i="32"/>
  <c r="AG595" i="32"/>
  <c r="AH595" i="32"/>
  <c r="AF52" i="31"/>
  <c r="AE52" i="31"/>
  <c r="AM52" i="31"/>
  <c r="AD52" i="31"/>
  <c r="AL52" i="31"/>
  <c r="AX51" i="31" s="1"/>
  <c r="AY51" i="31" s="1"/>
  <c r="AM238" i="31"/>
  <c r="AL238" i="31"/>
  <c r="AE238" i="31"/>
  <c r="AD238" i="31"/>
  <c r="AF238" i="31"/>
  <c r="AE581" i="31"/>
  <c r="AD581" i="31"/>
  <c r="AM581" i="31"/>
  <c r="AL581" i="31"/>
  <c r="AF581" i="31"/>
  <c r="AH522" i="32"/>
  <c r="AG522" i="32"/>
  <c r="AH490" i="32"/>
  <c r="AG490" i="32"/>
  <c r="AG65" i="32"/>
  <c r="AH65" i="32"/>
  <c r="AH185" i="32"/>
  <c r="AG185" i="32"/>
  <c r="AH177" i="32"/>
  <c r="AG177" i="32"/>
  <c r="AG242" i="32"/>
  <c r="AH242" i="32"/>
  <c r="AG370" i="32"/>
  <c r="AH370" i="32"/>
  <c r="AG489" i="32"/>
  <c r="AH489" i="32"/>
  <c r="AH347" i="32"/>
  <c r="AG347" i="32"/>
  <c r="AG507" i="32"/>
  <c r="AH507" i="32"/>
  <c r="AL303" i="31"/>
  <c r="AE303" i="31"/>
  <c r="AM303" i="31"/>
  <c r="AD303" i="31"/>
  <c r="AF303" i="31"/>
  <c r="AF391" i="31"/>
  <c r="AE391" i="31"/>
  <c r="AD391" i="31"/>
  <c r="AM391" i="31"/>
  <c r="AL391" i="31"/>
  <c r="AF438" i="31"/>
  <c r="AL438" i="31"/>
  <c r="AD438" i="31"/>
  <c r="AE438" i="31"/>
  <c r="AM438" i="31"/>
  <c r="AD455" i="31"/>
  <c r="AM455" i="31"/>
  <c r="AL455" i="31"/>
  <c r="AE455" i="31"/>
  <c r="AF455" i="31"/>
  <c r="AF467" i="31"/>
  <c r="AD467" i="31"/>
  <c r="AM467" i="31"/>
  <c r="AL467" i="31"/>
  <c r="AE467" i="31"/>
  <c r="AF484" i="31"/>
  <c r="AD484" i="31"/>
  <c r="AL484" i="31"/>
  <c r="AM484" i="31"/>
  <c r="AE484" i="31"/>
  <c r="AM349" i="31"/>
  <c r="AE349" i="31"/>
  <c r="AD349" i="31"/>
  <c r="AL349" i="31"/>
  <c r="AF349" i="31"/>
  <c r="AE240" i="31"/>
  <c r="AD240" i="31"/>
  <c r="AM240" i="31"/>
  <c r="AL240" i="31"/>
  <c r="AF240" i="31"/>
  <c r="AG324" i="32"/>
  <c r="AH324" i="32"/>
  <c r="AH390" i="32"/>
  <c r="AG390" i="32"/>
  <c r="AH571" i="32"/>
  <c r="AG571" i="32"/>
  <c r="AG550" i="32"/>
  <c r="AH550" i="32"/>
  <c r="AH592" i="32"/>
  <c r="AG592" i="32"/>
  <c r="AH68" i="32"/>
  <c r="AG68" i="32"/>
  <c r="AG487" i="32"/>
  <c r="AH487" i="32"/>
  <c r="AH483" i="32"/>
  <c r="AG483" i="32"/>
  <c r="AG219" i="32"/>
  <c r="AH219" i="32"/>
  <c r="AM69" i="31"/>
  <c r="AL69" i="31"/>
  <c r="AE69" i="31"/>
  <c r="AD69" i="31"/>
  <c r="AF69" i="31"/>
  <c r="AD90" i="31"/>
  <c r="AM90" i="31"/>
  <c r="AL90" i="31"/>
  <c r="AE90" i="31"/>
  <c r="AF90" i="31"/>
  <c r="AF155" i="31"/>
  <c r="AD155" i="31"/>
  <c r="AM155" i="31"/>
  <c r="AL155" i="31"/>
  <c r="AE155" i="31"/>
  <c r="AF218" i="31"/>
  <c r="AL218" i="31"/>
  <c r="AD218" i="31"/>
  <c r="AE218" i="31"/>
  <c r="AM218" i="31"/>
  <c r="AE231" i="31"/>
  <c r="AL231" i="31"/>
  <c r="AM231" i="31"/>
  <c r="AD231" i="31"/>
  <c r="AF231" i="31"/>
  <c r="AM243" i="31"/>
  <c r="AL243" i="31"/>
  <c r="AE243" i="31"/>
  <c r="AD243" i="31"/>
  <c r="AF243" i="31"/>
  <c r="AE288" i="31"/>
  <c r="AM288" i="31"/>
  <c r="AD288" i="31"/>
  <c r="AL288" i="31"/>
  <c r="AF288" i="31"/>
  <c r="AF329" i="31"/>
  <c r="AE329" i="31"/>
  <c r="AM329" i="31"/>
  <c r="AL329" i="31"/>
  <c r="AD329" i="31"/>
  <c r="AD66" i="31"/>
  <c r="AM66" i="31"/>
  <c r="AE66" i="31"/>
  <c r="AL66" i="31"/>
  <c r="AX65" i="31" s="1"/>
  <c r="AY65" i="31" s="1"/>
  <c r="AF66" i="31"/>
  <c r="AE316" i="31"/>
  <c r="AD316" i="31"/>
  <c r="AM316" i="31"/>
  <c r="AL316" i="31"/>
  <c r="AF316" i="31"/>
  <c r="AE185" i="31"/>
  <c r="AM185" i="31"/>
  <c r="AD185" i="31"/>
  <c r="AL185" i="31"/>
  <c r="AF185" i="31"/>
  <c r="AD139" i="31"/>
  <c r="AE139" i="31"/>
  <c r="AM139" i="31"/>
  <c r="AL139" i="31"/>
  <c r="AF139" i="31"/>
  <c r="AL424" i="31"/>
  <c r="AE424" i="31"/>
  <c r="AD424" i="31"/>
  <c r="AM424" i="31"/>
  <c r="AF424" i="31"/>
  <c r="AH271" i="32"/>
  <c r="AG271" i="32"/>
  <c r="AE459" i="31"/>
  <c r="AD459" i="31"/>
  <c r="AM459" i="31"/>
  <c r="AL459" i="31"/>
  <c r="AF459" i="31"/>
  <c r="AG491" i="32"/>
  <c r="AH491" i="32"/>
  <c r="AG171" i="32"/>
  <c r="AH171" i="32"/>
  <c r="AD362" i="31"/>
  <c r="AM362" i="31"/>
  <c r="AL362" i="31"/>
  <c r="AE362" i="31"/>
  <c r="AF362" i="31"/>
  <c r="AH454" i="32"/>
  <c r="AG454" i="32"/>
  <c r="AG90" i="32"/>
  <c r="AH90" i="32"/>
  <c r="AE284" i="31"/>
  <c r="AM284" i="31"/>
  <c r="AD284" i="31"/>
  <c r="AL284" i="31"/>
  <c r="AF284" i="31"/>
  <c r="AF169" i="31"/>
  <c r="AE169" i="31"/>
  <c r="AD169" i="31"/>
  <c r="AM169" i="31"/>
  <c r="AL169" i="31"/>
  <c r="AD186" i="31"/>
  <c r="AM186" i="31"/>
  <c r="AL186" i="31"/>
  <c r="AE186" i="31"/>
  <c r="AF186" i="31"/>
  <c r="AG58" i="32"/>
  <c r="AH58" i="32"/>
  <c r="AF322" i="31"/>
  <c r="AM322" i="31"/>
  <c r="AL322" i="31"/>
  <c r="AE322" i="31"/>
  <c r="AD322" i="31"/>
  <c r="AH253" i="32"/>
  <c r="AG253" i="32"/>
  <c r="AH296" i="32"/>
  <c r="AG296" i="32"/>
  <c r="AF489" i="31"/>
  <c r="AL489" i="31"/>
  <c r="AE489" i="31"/>
  <c r="AM489" i="31"/>
  <c r="AD489" i="31"/>
  <c r="AH502" i="32"/>
  <c r="AG502" i="32"/>
  <c r="AG440" i="32"/>
  <c r="AH440" i="32"/>
  <c r="AL373" i="31"/>
  <c r="AM373" i="31"/>
  <c r="AE373" i="31"/>
  <c r="AD373" i="31"/>
  <c r="AF373" i="31"/>
  <c r="AM553" i="31"/>
  <c r="AL553" i="31"/>
  <c r="AD553" i="31"/>
  <c r="AE553" i="31"/>
  <c r="AF553" i="31"/>
  <c r="AG525" i="32"/>
  <c r="AH525" i="32"/>
  <c r="AG336" i="32"/>
  <c r="AH336" i="32"/>
  <c r="AG576" i="32"/>
  <c r="AH576" i="32"/>
  <c r="AM522" i="31"/>
  <c r="AL522" i="31"/>
  <c r="AE522" i="31"/>
  <c r="AD522" i="31"/>
  <c r="AF522" i="31"/>
  <c r="AF531" i="31"/>
  <c r="AE531" i="31"/>
  <c r="AD531" i="31"/>
  <c r="AM531" i="31"/>
  <c r="AL531" i="31"/>
  <c r="AX530" i="31" s="1"/>
  <c r="AY530" i="31" s="1"/>
  <c r="AH331" i="32"/>
  <c r="AG331" i="32"/>
  <c r="AG118" i="32"/>
  <c r="AH118" i="32"/>
  <c r="AF205" i="31"/>
  <c r="AL205" i="31"/>
  <c r="AD205" i="31"/>
  <c r="AE205" i="31"/>
  <c r="AM205" i="31"/>
  <c r="AG71" i="32"/>
  <c r="AH71" i="32"/>
  <c r="AH284" i="32"/>
  <c r="AG284" i="32"/>
  <c r="AH570" i="32"/>
  <c r="AG570" i="32"/>
  <c r="AH229" i="32"/>
  <c r="AG229" i="32"/>
  <c r="AF485" i="31"/>
  <c r="AE485" i="31"/>
  <c r="AM485" i="31"/>
  <c r="AD485" i="31"/>
  <c r="AL485" i="31"/>
  <c r="AD547" i="31"/>
  <c r="AL547" i="31"/>
  <c r="AM547" i="31"/>
  <c r="AE547" i="31"/>
  <c r="AF547" i="31"/>
  <c r="AM445" i="31"/>
  <c r="AL445" i="31"/>
  <c r="AE445" i="31"/>
  <c r="AD445" i="31"/>
  <c r="AF445" i="31"/>
  <c r="AM596" i="31"/>
  <c r="AE596" i="31"/>
  <c r="AL596" i="31"/>
  <c r="AD596" i="31"/>
  <c r="AF596" i="31"/>
  <c r="AF383" i="31"/>
  <c r="AE383" i="31"/>
  <c r="AM383" i="31"/>
  <c r="AD383" i="31"/>
  <c r="AL383" i="31"/>
  <c r="AG413" i="32"/>
  <c r="AH413" i="32"/>
  <c r="AG547" i="32"/>
  <c r="AH547" i="32"/>
  <c r="AG31" i="32"/>
  <c r="AH31" i="32"/>
  <c r="AH189" i="32"/>
  <c r="AG189" i="32"/>
  <c r="AG341" i="32"/>
  <c r="AH341" i="32"/>
  <c r="AH273" i="32"/>
  <c r="AG273" i="32"/>
  <c r="AG412" i="32"/>
  <c r="AH412" i="32"/>
  <c r="AG405" i="32"/>
  <c r="AH405" i="32"/>
  <c r="AH409" i="32"/>
  <c r="AG409" i="32"/>
  <c r="AH266" i="32"/>
  <c r="AG266" i="32"/>
  <c r="AH274" i="32"/>
  <c r="AG274" i="32"/>
  <c r="AH162" i="32"/>
  <c r="AG162" i="32"/>
  <c r="AH89" i="32"/>
  <c r="AG89" i="32"/>
  <c r="AD519" i="31"/>
  <c r="AM519" i="31"/>
  <c r="AL519" i="31"/>
  <c r="AE519" i="31"/>
  <c r="AF519" i="31"/>
  <c r="AD606" i="31"/>
  <c r="AL606" i="31"/>
  <c r="AM606" i="31"/>
  <c r="AE606" i="31"/>
  <c r="AF606" i="31"/>
  <c r="AE26" i="31"/>
  <c r="AM26" i="31"/>
  <c r="AD26" i="31"/>
  <c r="AL26" i="31"/>
  <c r="AF26" i="31"/>
  <c r="AE84" i="31"/>
  <c r="AD84" i="31"/>
  <c r="AM84" i="31"/>
  <c r="AL84" i="31"/>
  <c r="AF84" i="31"/>
  <c r="AD23" i="31"/>
  <c r="AL23" i="31"/>
  <c r="AE23" i="31"/>
  <c r="AM23" i="31"/>
  <c r="AF23" i="31"/>
  <c r="AM86" i="31"/>
  <c r="AL86" i="31"/>
  <c r="AE86" i="31"/>
  <c r="AD86" i="31"/>
  <c r="AF86" i="31"/>
  <c r="AM25" i="31"/>
  <c r="AE25" i="31"/>
  <c r="AL25" i="31"/>
  <c r="AD25" i="31"/>
  <c r="AF25" i="31"/>
  <c r="AE27" i="31"/>
  <c r="AD27" i="31"/>
  <c r="AM27" i="31"/>
  <c r="AL27" i="31"/>
  <c r="AF27" i="31"/>
  <c r="AE448" i="31"/>
  <c r="AD448" i="31"/>
  <c r="AM448" i="31"/>
  <c r="AL448" i="31"/>
  <c r="AF448" i="31"/>
  <c r="AE599" i="31"/>
  <c r="AM599" i="31"/>
  <c r="AL599" i="31"/>
  <c r="AD599" i="31"/>
  <c r="AF599" i="31"/>
  <c r="AG157" i="32"/>
  <c r="AH157" i="32"/>
  <c r="AF24" i="31"/>
  <c r="AM24" i="31"/>
  <c r="AL24" i="31"/>
  <c r="AD24" i="31"/>
  <c r="AE24" i="31"/>
  <c r="AF525" i="31"/>
  <c r="AE525" i="31"/>
  <c r="AD525" i="31"/>
  <c r="AM525" i="31"/>
  <c r="AL525" i="31"/>
  <c r="AH156" i="32"/>
  <c r="AG156" i="32"/>
  <c r="AG475" i="32"/>
  <c r="AH475" i="32"/>
  <c r="AH379" i="32"/>
  <c r="AG379" i="32"/>
  <c r="AH350" i="32"/>
  <c r="AG350" i="32"/>
  <c r="AG548" i="32"/>
  <c r="AH548" i="32"/>
  <c r="AH503" i="32"/>
  <c r="AG503" i="32"/>
  <c r="AH308" i="32"/>
  <c r="AG308" i="32"/>
  <c r="AH150" i="32"/>
  <c r="AG150" i="32"/>
  <c r="AH79" i="32"/>
  <c r="AG79" i="32"/>
  <c r="AE482" i="31"/>
  <c r="AM482" i="31"/>
  <c r="AL482" i="31"/>
  <c r="AD482" i="31"/>
  <c r="AF482" i="31"/>
  <c r="AD600" i="31"/>
  <c r="AM600" i="31"/>
  <c r="AL600" i="31"/>
  <c r="AX599" i="31" s="1"/>
  <c r="AY599" i="31" s="1"/>
  <c r="AE600" i="31"/>
  <c r="AF600" i="31"/>
  <c r="AD58" i="31"/>
  <c r="AM58" i="31"/>
  <c r="AE58" i="31"/>
  <c r="AL58" i="31"/>
  <c r="AF58" i="31"/>
  <c r="AE18" i="31"/>
  <c r="AD18" i="31"/>
  <c r="AM18" i="31"/>
  <c r="AL18" i="31"/>
  <c r="AF18" i="31"/>
  <c r="AM47" i="31"/>
  <c r="AL47" i="31"/>
  <c r="AE47" i="31"/>
  <c r="AD47" i="31"/>
  <c r="AF47" i="31"/>
  <c r="AE85" i="31"/>
  <c r="AD85" i="31"/>
  <c r="AM85" i="31"/>
  <c r="AL85" i="31"/>
  <c r="AF85" i="31"/>
  <c r="AL59" i="31"/>
  <c r="AD59" i="31"/>
  <c r="AE59" i="31"/>
  <c r="AM59" i="31"/>
  <c r="AF59" i="31"/>
  <c r="AE363" i="31"/>
  <c r="AD363" i="31"/>
  <c r="AM363" i="31"/>
  <c r="AL363" i="31"/>
  <c r="AF363" i="31"/>
  <c r="AM502" i="31"/>
  <c r="AD502" i="31"/>
  <c r="AL502" i="31"/>
  <c r="AE502" i="31"/>
  <c r="AF502" i="31"/>
  <c r="AM526" i="31"/>
  <c r="AE526" i="31"/>
  <c r="AD526" i="31"/>
  <c r="AL526" i="31"/>
  <c r="AF526" i="31"/>
  <c r="AH375" i="32"/>
  <c r="AG375" i="32"/>
  <c r="AG320" i="32"/>
  <c r="AH320" i="32"/>
  <c r="AD203" i="31"/>
  <c r="AM203" i="31"/>
  <c r="AL203" i="31"/>
  <c r="AE203" i="31"/>
  <c r="AF203" i="31"/>
  <c r="AE277" i="31"/>
  <c r="AD277" i="31"/>
  <c r="AM277" i="31"/>
  <c r="AL277" i="31"/>
  <c r="AX276" i="31" s="1"/>
  <c r="AY276" i="31" s="1"/>
  <c r="AF277" i="31"/>
  <c r="AG281" i="32"/>
  <c r="AH281" i="32"/>
  <c r="AH283" i="32"/>
  <c r="AG283" i="32"/>
  <c r="AG319" i="32"/>
  <c r="AH319" i="32"/>
  <c r="AG314" i="32"/>
  <c r="AH314" i="32"/>
  <c r="AH373" i="32"/>
  <c r="AG373" i="32"/>
  <c r="AH434" i="32"/>
  <c r="AG434" i="32"/>
  <c r="AG397" i="32"/>
  <c r="AH397" i="32"/>
  <c r="AG280" i="32"/>
  <c r="AH280" i="32"/>
  <c r="AH44" i="32"/>
  <c r="AG44" i="32"/>
  <c r="AF552" i="31"/>
  <c r="AL552" i="31"/>
  <c r="AE552" i="31"/>
  <c r="AM552" i="31"/>
  <c r="AD552" i="31"/>
  <c r="AE22" i="31"/>
  <c r="AD22" i="31"/>
  <c r="AM22" i="31"/>
  <c r="AL22" i="31"/>
  <c r="AF22" i="31"/>
  <c r="AD31" i="31"/>
  <c r="AM31" i="31"/>
  <c r="AL31" i="31"/>
  <c r="AE31" i="31"/>
  <c r="AF31" i="31"/>
  <c r="AM112" i="31"/>
  <c r="AE112" i="31"/>
  <c r="AD112" i="31"/>
  <c r="AL112" i="31"/>
  <c r="AF112" i="31"/>
  <c r="AE114" i="31"/>
  <c r="AD114" i="31"/>
  <c r="AM114" i="31"/>
  <c r="AL114" i="31"/>
  <c r="AF114" i="31"/>
  <c r="AF200" i="31"/>
  <c r="AE200" i="31"/>
  <c r="AM200" i="31"/>
  <c r="AD200" i="31"/>
  <c r="AL200" i="31"/>
  <c r="AG325" i="32"/>
  <c r="AH325" i="32"/>
  <c r="AE249" i="31"/>
  <c r="AM249" i="31"/>
  <c r="AL249" i="31"/>
  <c r="AD249" i="31"/>
  <c r="AF249" i="31"/>
  <c r="AH388" i="32"/>
  <c r="AG388" i="32"/>
  <c r="AH435" i="32"/>
  <c r="AG435" i="32"/>
  <c r="AG322" i="32"/>
  <c r="AH322" i="32"/>
  <c r="AG318" i="32"/>
  <c r="AH318" i="32"/>
  <c r="AH484" i="32"/>
  <c r="AG484" i="32"/>
  <c r="AG585" i="32"/>
  <c r="AH585" i="32"/>
  <c r="AG562" i="32"/>
  <c r="AH562" i="32"/>
  <c r="AH468" i="32"/>
  <c r="AG468" i="32"/>
  <c r="AH603" i="32"/>
  <c r="AG603" i="32"/>
  <c r="AL605" i="31"/>
  <c r="AD605" i="31"/>
  <c r="AE605" i="31"/>
  <c r="AM605" i="31"/>
  <c r="AF605" i="31"/>
  <c r="AE110" i="31"/>
  <c r="AM110" i="31"/>
  <c r="AL110" i="31"/>
  <c r="AD110" i="31"/>
  <c r="AF110" i="31"/>
  <c r="AL138" i="31"/>
  <c r="AD138" i="31"/>
  <c r="AM138" i="31"/>
  <c r="AE138" i="31"/>
  <c r="AF138" i="31"/>
  <c r="AM156" i="31"/>
  <c r="AL156" i="31"/>
  <c r="AE156" i="31"/>
  <c r="AD156" i="31"/>
  <c r="AF156" i="31"/>
  <c r="AL166" i="31"/>
  <c r="AX165" i="31" s="1"/>
  <c r="AY165" i="31" s="1"/>
  <c r="AD166" i="31"/>
  <c r="AE166" i="31"/>
  <c r="AM166" i="31"/>
  <c r="AF166" i="31"/>
  <c r="AF233" i="31"/>
  <c r="AM233" i="31"/>
  <c r="AL233" i="31"/>
  <c r="AX232" i="31" s="1"/>
  <c r="AY232" i="31" s="1"/>
  <c r="AE233" i="31"/>
  <c r="AD233" i="31"/>
  <c r="AE74" i="31"/>
  <c r="AL74" i="31"/>
  <c r="AM74" i="31"/>
  <c r="AD74" i="31"/>
  <c r="AF74" i="31"/>
  <c r="AF191" i="31"/>
  <c r="AL191" i="31"/>
  <c r="AD191" i="31"/>
  <c r="AM191" i="31"/>
  <c r="AE191" i="31"/>
  <c r="AE323" i="31"/>
  <c r="AD323" i="31"/>
  <c r="AM323" i="31"/>
  <c r="AL323" i="31"/>
  <c r="AF323" i="31"/>
  <c r="AE224" i="31"/>
  <c r="AD224" i="31"/>
  <c r="AM224" i="31"/>
  <c r="AL224" i="31"/>
  <c r="AF224" i="31"/>
  <c r="AE140" i="31"/>
  <c r="AD140" i="31"/>
  <c r="AM140" i="31"/>
  <c r="AL140" i="31"/>
  <c r="AF140" i="31"/>
  <c r="AL623" i="31"/>
  <c r="AE623" i="31"/>
  <c r="AM623" i="31"/>
  <c r="AD623" i="31"/>
  <c r="AF623" i="31"/>
  <c r="AG115" i="32"/>
  <c r="AH115" i="32"/>
  <c r="AH545" i="32"/>
  <c r="AG545" i="32"/>
  <c r="AM440" i="31"/>
  <c r="AL440" i="31"/>
  <c r="AE440" i="31"/>
  <c r="AD440" i="31"/>
  <c r="AF440" i="31"/>
  <c r="AH261" i="32"/>
  <c r="AG261" i="32"/>
  <c r="AG372" i="32"/>
  <c r="AH372" i="32"/>
  <c r="AH345" i="32"/>
  <c r="AG345" i="32"/>
  <c r="AG560" i="32"/>
  <c r="AH560" i="32"/>
  <c r="AG395" i="32"/>
  <c r="AH395" i="32"/>
  <c r="AH257" i="32"/>
  <c r="AG257" i="32"/>
  <c r="AH446" i="32"/>
  <c r="AG446" i="32"/>
  <c r="AG367" i="32"/>
  <c r="AH367" i="32"/>
  <c r="AH386" i="32"/>
  <c r="AG386" i="32"/>
  <c r="AF537" i="31"/>
  <c r="AM537" i="31"/>
  <c r="AE537" i="31"/>
  <c r="AL537" i="31"/>
  <c r="AD537" i="31"/>
  <c r="AL68" i="31"/>
  <c r="AD68" i="31"/>
  <c r="AM68" i="31"/>
  <c r="AE68" i="31"/>
  <c r="AF68" i="31"/>
  <c r="AM79" i="31"/>
  <c r="AL79" i="31"/>
  <c r="AD79" i="31"/>
  <c r="AE79" i="31"/>
  <c r="AF79" i="31"/>
  <c r="AE102" i="31"/>
  <c r="AD102" i="31"/>
  <c r="AM102" i="31"/>
  <c r="AL102" i="31"/>
  <c r="AF102" i="31"/>
  <c r="AM104" i="31"/>
  <c r="AL104" i="31"/>
  <c r="AX103" i="31" s="1"/>
  <c r="AY103" i="31" s="1"/>
  <c r="AE104" i="31"/>
  <c r="AD104" i="31"/>
  <c r="AF104" i="31"/>
  <c r="AE106" i="31"/>
  <c r="AD106" i="31"/>
  <c r="AM106" i="31"/>
  <c r="AL106" i="31"/>
  <c r="AF106" i="31"/>
  <c r="AD228" i="31"/>
  <c r="AM228" i="31"/>
  <c r="AL228" i="31"/>
  <c r="AX227" i="31" s="1"/>
  <c r="AY227" i="31" s="1"/>
  <c r="AE228" i="31"/>
  <c r="AF228" i="31"/>
  <c r="AD143" i="31"/>
  <c r="AM143" i="31"/>
  <c r="AL143" i="31"/>
  <c r="AE143" i="31"/>
  <c r="AF143" i="31"/>
  <c r="AE371" i="31"/>
  <c r="AD371" i="31"/>
  <c r="AM371" i="31"/>
  <c r="AL371" i="31"/>
  <c r="AF371" i="31"/>
  <c r="AH444" i="32"/>
  <c r="AG444" i="32"/>
  <c r="AG579" i="32"/>
  <c r="AH579" i="32"/>
  <c r="AH335" i="32"/>
  <c r="AG335" i="32"/>
  <c r="AE304" i="31"/>
  <c r="AD304" i="31"/>
  <c r="AL304" i="31"/>
  <c r="AM304" i="31"/>
  <c r="AF304" i="31"/>
  <c r="AD591" i="31"/>
  <c r="AL591" i="31"/>
  <c r="AM591" i="31"/>
  <c r="AE591" i="31"/>
  <c r="AF591" i="31"/>
  <c r="AH391" i="32"/>
  <c r="AG391" i="32"/>
  <c r="AH439" i="32"/>
  <c r="AG439" i="32"/>
  <c r="AH500" i="32"/>
  <c r="AG500" i="32"/>
  <c r="AH498" i="32"/>
  <c r="AG498" i="32"/>
  <c r="AG460" i="32"/>
  <c r="AH460" i="32"/>
  <c r="AH36" i="32"/>
  <c r="AG36" i="32"/>
  <c r="AH593" i="32"/>
  <c r="AG593" i="32"/>
  <c r="AG574" i="32"/>
  <c r="AH574" i="32"/>
  <c r="AG235" i="32"/>
  <c r="AH235" i="32"/>
  <c r="AE37" i="31"/>
  <c r="AD37" i="31"/>
  <c r="AM37" i="31"/>
  <c r="AL37" i="31"/>
  <c r="AF37" i="31"/>
  <c r="AE91" i="31"/>
  <c r="AD91" i="31"/>
  <c r="AL91" i="31"/>
  <c r="AM91" i="31"/>
  <c r="AF91" i="31"/>
  <c r="AF172" i="31"/>
  <c r="AD172" i="31"/>
  <c r="AL172" i="31"/>
  <c r="AM172" i="31"/>
  <c r="AE172" i="31"/>
  <c r="AM221" i="31"/>
  <c r="AL221" i="31"/>
  <c r="AE221" i="31"/>
  <c r="AD221" i="31"/>
  <c r="AF221" i="31"/>
  <c r="AD247" i="31"/>
  <c r="AL247" i="31"/>
  <c r="AX246" i="31" s="1"/>
  <c r="AY246" i="31" s="1"/>
  <c r="AM247" i="31"/>
  <c r="AE247" i="31"/>
  <c r="AF247" i="31"/>
  <c r="AL237" i="31"/>
  <c r="AM237" i="31"/>
  <c r="AE237" i="31"/>
  <c r="AD237" i="31"/>
  <c r="AF237" i="31"/>
  <c r="AM266" i="31"/>
  <c r="AL266" i="31"/>
  <c r="AE266" i="31"/>
  <c r="AD266" i="31"/>
  <c r="AF266" i="31"/>
  <c r="AF365" i="31"/>
  <c r="AM365" i="31"/>
  <c r="AL365" i="31"/>
  <c r="AE365" i="31"/>
  <c r="AD365" i="31"/>
  <c r="AG102" i="32"/>
  <c r="AH102" i="32"/>
  <c r="AG153" i="32"/>
  <c r="AH153" i="32"/>
  <c r="AG275" i="32"/>
  <c r="AH275" i="32"/>
  <c r="AH260" i="32"/>
  <c r="AG260" i="32"/>
  <c r="AH262" i="32"/>
  <c r="AG262" i="32"/>
  <c r="AH224" i="32"/>
  <c r="AG224" i="32"/>
  <c r="AG109" i="32"/>
  <c r="AH109" i="32"/>
  <c r="AG50" i="32"/>
  <c r="AH50" i="32"/>
  <c r="AG104" i="32"/>
  <c r="AH104" i="32"/>
  <c r="AE439" i="31"/>
  <c r="AD439" i="31"/>
  <c r="AM439" i="31"/>
  <c r="AL439" i="31"/>
  <c r="AX438" i="31" s="1"/>
  <c r="AY438" i="31" s="1"/>
  <c r="AF439" i="31"/>
  <c r="AF544" i="31"/>
  <c r="AD544" i="31"/>
  <c r="AM544" i="31"/>
  <c r="AL544" i="31"/>
  <c r="AE544" i="31"/>
  <c r="AE578" i="31"/>
  <c r="AD578" i="31"/>
  <c r="AM578" i="31"/>
  <c r="AL578" i="31"/>
  <c r="AF578" i="31"/>
  <c r="AD603" i="31"/>
  <c r="AM603" i="31"/>
  <c r="AL603" i="31"/>
  <c r="AE603" i="31"/>
  <c r="AF603" i="31"/>
  <c r="AD30" i="31"/>
  <c r="AM30" i="31"/>
  <c r="AL30" i="31"/>
  <c r="AE30" i="31"/>
  <c r="AF30" i="31"/>
  <c r="AD609" i="31"/>
  <c r="AL609" i="31"/>
  <c r="AX608" i="31" s="1"/>
  <c r="AY608" i="31" s="1"/>
  <c r="AE609" i="31"/>
  <c r="AM609" i="31"/>
  <c r="AF609" i="31"/>
  <c r="AF189" i="31"/>
  <c r="AL189" i="31"/>
  <c r="AX188" i="31" s="1"/>
  <c r="AY188" i="31" s="1"/>
  <c r="AE189" i="31"/>
  <c r="AD189" i="31"/>
  <c r="AM189" i="31"/>
  <c r="AF554" i="31"/>
  <c r="AL554" i="31"/>
  <c r="AD554" i="31"/>
  <c r="AM554" i="31"/>
  <c r="AE554" i="31"/>
  <c r="AF256" i="31"/>
  <c r="AE256" i="31"/>
  <c r="AD256" i="31"/>
  <c r="AM256" i="31"/>
  <c r="AL256" i="31"/>
  <c r="AM622" i="31"/>
  <c r="AD622" i="31"/>
  <c r="AL622" i="31"/>
  <c r="AE622" i="31"/>
  <c r="AF622" i="31"/>
  <c r="AM264" i="31"/>
  <c r="AD264" i="31"/>
  <c r="AL264" i="31"/>
  <c r="AE264" i="31"/>
  <c r="AF264" i="31"/>
  <c r="AF314" i="31"/>
  <c r="AL314" i="31"/>
  <c r="AX313" i="31" s="1"/>
  <c r="AY313" i="31" s="1"/>
  <c r="AD314" i="31"/>
  <c r="AM314" i="31"/>
  <c r="AE314" i="31"/>
  <c r="AH246" i="32"/>
  <c r="AG246" i="32"/>
  <c r="AE561" i="31"/>
  <c r="AD561" i="31"/>
  <c r="AL561" i="31"/>
  <c r="AX560" i="31" s="1"/>
  <c r="AY560" i="31" s="1"/>
  <c r="AM561" i="31"/>
  <c r="AF561" i="31"/>
  <c r="AF328" i="31"/>
  <c r="AE328" i="31"/>
  <c r="AD328" i="31"/>
  <c r="AM328" i="31"/>
  <c r="AL328" i="31"/>
  <c r="AG294" i="32"/>
  <c r="AH294" i="32"/>
  <c r="AE324" i="31"/>
  <c r="AD324" i="31"/>
  <c r="AL324" i="31"/>
  <c r="AM324" i="31"/>
  <c r="AF324" i="31"/>
  <c r="AE97" i="31"/>
  <c r="AL97" i="31"/>
  <c r="AD97" i="31"/>
  <c r="AM97" i="31"/>
  <c r="AF97" i="31"/>
  <c r="AH123" i="32"/>
  <c r="AG123" i="32"/>
  <c r="AE348" i="31"/>
  <c r="AD348" i="31"/>
  <c r="AM348" i="31"/>
  <c r="AL348" i="31"/>
  <c r="AF348" i="31"/>
  <c r="AE184" i="31"/>
  <c r="AD184" i="31"/>
  <c r="AM184" i="31"/>
  <c r="AL184" i="31"/>
  <c r="AF184" i="31"/>
  <c r="AF460" i="31"/>
  <c r="AE460" i="31"/>
  <c r="AM460" i="31"/>
  <c r="AD460" i="31"/>
  <c r="AL460" i="31"/>
  <c r="AH554" i="32"/>
  <c r="AG554" i="32"/>
  <c r="AH546" i="32"/>
  <c r="AG546" i="32"/>
  <c r="AM480" i="31"/>
  <c r="AE480" i="31"/>
  <c r="AL480" i="31"/>
  <c r="AD480" i="31"/>
  <c r="AF480" i="31"/>
  <c r="AL399" i="31"/>
  <c r="AD399" i="31"/>
  <c r="AE399" i="31"/>
  <c r="AM399" i="31"/>
  <c r="AF399" i="31"/>
  <c r="AG366" i="32"/>
  <c r="AH366" i="32"/>
  <c r="AG126" i="32"/>
  <c r="AH126" i="32"/>
  <c r="AF298" i="31"/>
  <c r="AL298" i="31"/>
  <c r="AD298" i="31"/>
  <c r="AM298" i="31"/>
  <c r="AE298" i="31"/>
  <c r="AE409" i="31"/>
  <c r="AD409" i="31"/>
  <c r="AM409" i="31"/>
  <c r="AL409" i="31"/>
  <c r="AF409" i="31"/>
  <c r="AH419" i="32"/>
  <c r="AG419" i="32"/>
  <c r="AH93" i="32"/>
  <c r="AG93" i="32"/>
  <c r="AH481" i="32"/>
  <c r="AG481" i="32"/>
  <c r="AF500" i="31"/>
  <c r="AM500" i="31"/>
  <c r="AE500" i="31"/>
  <c r="AD500" i="31"/>
  <c r="AL500" i="31"/>
  <c r="AH57" i="32"/>
  <c r="AG57" i="32"/>
  <c r="AH580" i="32"/>
  <c r="AG580" i="32"/>
  <c r="AG589" i="32"/>
  <c r="AH589" i="32"/>
  <c r="AH39" i="32"/>
  <c r="AG39" i="32"/>
  <c r="AG80" i="32"/>
  <c r="AH80" i="32"/>
  <c r="AH77" i="32"/>
  <c r="AG77" i="32"/>
  <c r="AH170" i="32"/>
  <c r="AG170" i="32"/>
  <c r="AH464" i="32"/>
  <c r="AG464" i="32"/>
  <c r="AH369" i="32"/>
  <c r="AG369" i="32"/>
  <c r="AG338" i="32"/>
  <c r="AH338" i="32"/>
  <c r="AG103" i="32"/>
  <c r="AH103" i="32"/>
  <c r="AE361" i="31"/>
  <c r="AD361" i="31"/>
  <c r="AL361" i="31"/>
  <c r="AM361" i="31"/>
  <c r="AF361" i="31"/>
  <c r="AE394" i="31"/>
  <c r="AM394" i="31"/>
  <c r="AD394" i="31"/>
  <c r="AL394" i="31"/>
  <c r="AF394" i="31"/>
  <c r="AM429" i="31"/>
  <c r="AL429" i="31"/>
  <c r="AX428" i="31" s="1"/>
  <c r="AY428" i="31" s="1"/>
  <c r="AE429" i="31"/>
  <c r="AD429" i="31"/>
  <c r="AF429" i="31"/>
  <c r="AM430" i="31"/>
  <c r="AE430" i="31"/>
  <c r="AL430" i="31"/>
  <c r="AD430" i="31"/>
  <c r="AF430" i="31"/>
  <c r="AE492" i="31"/>
  <c r="AD492" i="31"/>
  <c r="AM492" i="31"/>
  <c r="AL492" i="31"/>
  <c r="AF492" i="31"/>
  <c r="AL447" i="31"/>
  <c r="AD447" i="31"/>
  <c r="AM447" i="31"/>
  <c r="AE447" i="31"/>
  <c r="AF447" i="31"/>
  <c r="AM255" i="31"/>
  <c r="AL255" i="31"/>
  <c r="AE255" i="31"/>
  <c r="AD255" i="31"/>
  <c r="AF255" i="31"/>
  <c r="AE198" i="31"/>
  <c r="AD198" i="31"/>
  <c r="AM198" i="31"/>
  <c r="AL198" i="31"/>
  <c r="AF198" i="31"/>
  <c r="AD214" i="31"/>
  <c r="AL214" i="31"/>
  <c r="AM214" i="31"/>
  <c r="AE214" i="31"/>
  <c r="AF214" i="31"/>
  <c r="AF299" i="31"/>
  <c r="AE299" i="31"/>
  <c r="AM299" i="31"/>
  <c r="AD299" i="31"/>
  <c r="AL299" i="31"/>
  <c r="AG55" i="32"/>
  <c r="AH55" i="32"/>
  <c r="AF579" i="31"/>
  <c r="AE579" i="31"/>
  <c r="AM579" i="31"/>
  <c r="AD579" i="31"/>
  <c r="AL579" i="31"/>
  <c r="AG520" i="32"/>
  <c r="AH520" i="32"/>
  <c r="AH540" i="32"/>
  <c r="AG540" i="32"/>
  <c r="AH47" i="32"/>
  <c r="AG47" i="32"/>
  <c r="AH182" i="32"/>
  <c r="AG182" i="32"/>
  <c r="AG160" i="32"/>
  <c r="AH160" i="32"/>
  <c r="AG107" i="32"/>
  <c r="AH107" i="32"/>
  <c r="AH407" i="32"/>
  <c r="AG407" i="32"/>
  <c r="AG394" i="32"/>
  <c r="AH394" i="32"/>
  <c r="AG265" i="32"/>
  <c r="AH265" i="32"/>
  <c r="AH348" i="32"/>
  <c r="AG348" i="32"/>
  <c r="AF292" i="31"/>
  <c r="AE292" i="31"/>
  <c r="AL292" i="31"/>
  <c r="AM292" i="31"/>
  <c r="AD292" i="31"/>
  <c r="AM367" i="31"/>
  <c r="AL367" i="31"/>
  <c r="AX366" i="31" s="1"/>
  <c r="AY366" i="31" s="1"/>
  <c r="AD367" i="31"/>
  <c r="AE367" i="31"/>
  <c r="AF367" i="31"/>
  <c r="AL407" i="31"/>
  <c r="AX406" i="31" s="1"/>
  <c r="AY406" i="31" s="1"/>
  <c r="AE407" i="31"/>
  <c r="AD407" i="31"/>
  <c r="AM407" i="31"/>
  <c r="AF407" i="31"/>
  <c r="AE443" i="31"/>
  <c r="AM443" i="31"/>
  <c r="AD443" i="31"/>
  <c r="AL443" i="31"/>
  <c r="AF443" i="31"/>
  <c r="AD468" i="31"/>
  <c r="AE468" i="31"/>
  <c r="AM468" i="31"/>
  <c r="AL468" i="31"/>
  <c r="AX467" i="31" s="1"/>
  <c r="AY467" i="31" s="1"/>
  <c r="AF468" i="31"/>
  <c r="AF450" i="31"/>
  <c r="AD450" i="31"/>
  <c r="AM450" i="31"/>
  <c r="AL450" i="31"/>
  <c r="AX449" i="31" s="1"/>
  <c r="AY449" i="31" s="1"/>
  <c r="AE450" i="31"/>
  <c r="AF350" i="31"/>
  <c r="AL350" i="31"/>
  <c r="AE350" i="31"/>
  <c r="AM350" i="31"/>
  <c r="AD350" i="31"/>
  <c r="AF180" i="31"/>
  <c r="AM180" i="31"/>
  <c r="AL180" i="31"/>
  <c r="AE180" i="31"/>
  <c r="AD180" i="31"/>
  <c r="AF17" i="31"/>
  <c r="AL17" i="31"/>
  <c r="AD17" i="31"/>
  <c r="AE17" i="31"/>
  <c r="AM17" i="31"/>
  <c r="AD471" i="31"/>
  <c r="AL471" i="31"/>
  <c r="AE471" i="31"/>
  <c r="AM471" i="31"/>
  <c r="AF471" i="31"/>
  <c r="AH122" i="32"/>
  <c r="AG122" i="32"/>
  <c r="AL116" i="31"/>
  <c r="AD116" i="31"/>
  <c r="AE116" i="31"/>
  <c r="AM116" i="31"/>
  <c r="AF116" i="31"/>
  <c r="AD147" i="31"/>
  <c r="AM147" i="31"/>
  <c r="AL147" i="31"/>
  <c r="AX146" i="31" s="1"/>
  <c r="AY146" i="31" s="1"/>
  <c r="AE147" i="31"/>
  <c r="AF147" i="31"/>
  <c r="AH600" i="32"/>
  <c r="AG600" i="32"/>
  <c r="AH43" i="32"/>
  <c r="AG43" i="32"/>
  <c r="AH54" i="32"/>
  <c r="AG54" i="32"/>
  <c r="AH194" i="32"/>
  <c r="AG194" i="32"/>
  <c r="AG192" i="32"/>
  <c r="AH192" i="32"/>
  <c r="AH233" i="32"/>
  <c r="AG233" i="32"/>
  <c r="AG583" i="32"/>
  <c r="AH583" i="32"/>
  <c r="AH532" i="32"/>
  <c r="AG532" i="32"/>
  <c r="AH398" i="32"/>
  <c r="AG398" i="32"/>
  <c r="AG509" i="32"/>
  <c r="AH509" i="32"/>
  <c r="AD356" i="31"/>
  <c r="AM356" i="31"/>
  <c r="AL356" i="31"/>
  <c r="AE356" i="31"/>
  <c r="AF356" i="31"/>
  <c r="AE469" i="31"/>
  <c r="AD469" i="31"/>
  <c r="AL469" i="31"/>
  <c r="AM469" i="31"/>
  <c r="AF469" i="31"/>
  <c r="AE493" i="31"/>
  <c r="AM493" i="31"/>
  <c r="AL493" i="31"/>
  <c r="AD493" i="31"/>
  <c r="AF493" i="31"/>
  <c r="AE490" i="31"/>
  <c r="AD490" i="31"/>
  <c r="AM490" i="31"/>
  <c r="AL490" i="31"/>
  <c r="AF490" i="31"/>
  <c r="AM506" i="31"/>
  <c r="AL506" i="31"/>
  <c r="AD506" i="31"/>
  <c r="AE506" i="31"/>
  <c r="AF506" i="31"/>
  <c r="AE499" i="31"/>
  <c r="AD499" i="31"/>
  <c r="AL499" i="31"/>
  <c r="AX498" i="31" s="1"/>
  <c r="AY498" i="31" s="1"/>
  <c r="AM499" i="31"/>
  <c r="AF499" i="31"/>
  <c r="AG565" i="32"/>
  <c r="AH565" i="32"/>
  <c r="AD513" i="31"/>
  <c r="AM513" i="31"/>
  <c r="AL513" i="31"/>
  <c r="AE513" i="31"/>
  <c r="AF513" i="31"/>
  <c r="AG139" i="32"/>
  <c r="AH139" i="32"/>
  <c r="AG110" i="32"/>
  <c r="AH110" i="32"/>
  <c r="AG207" i="32"/>
  <c r="AH207" i="32"/>
  <c r="AG191" i="32"/>
  <c r="AH191" i="32"/>
  <c r="AH300" i="32"/>
  <c r="AG300" i="32"/>
  <c r="AG45" i="32"/>
  <c r="AH45" i="32"/>
  <c r="AG25" i="32"/>
  <c r="AH25" i="32"/>
  <c r="AH161" i="32"/>
  <c r="AG161" i="32"/>
  <c r="AH606" i="32"/>
  <c r="AG606" i="32"/>
  <c r="AF415" i="31"/>
  <c r="AM415" i="31"/>
  <c r="AE415" i="31"/>
  <c r="AL415" i="31"/>
  <c r="AD415" i="31"/>
  <c r="AF533" i="31"/>
  <c r="AL533" i="31"/>
  <c r="AD533" i="31"/>
  <c r="AE533" i="31"/>
  <c r="AM533" i="31"/>
  <c r="AE540" i="31"/>
  <c r="AD540" i="31"/>
  <c r="AM540" i="31"/>
  <c r="AL540" i="31"/>
  <c r="AF540" i="31"/>
  <c r="AE565" i="31"/>
  <c r="AM565" i="31"/>
  <c r="AL565" i="31"/>
  <c r="AD565" i="31"/>
  <c r="AF565" i="31"/>
  <c r="AM583" i="31"/>
  <c r="AL583" i="31"/>
  <c r="AD583" i="31"/>
  <c r="AE583" i="31"/>
  <c r="AF583" i="31"/>
  <c r="AE569" i="31"/>
  <c r="AD569" i="31"/>
  <c r="AM569" i="31"/>
  <c r="AL569" i="31"/>
  <c r="AF569" i="31"/>
  <c r="AM566" i="31"/>
  <c r="AL566" i="31"/>
  <c r="AE566" i="31"/>
  <c r="AD566" i="31"/>
  <c r="AF566" i="31"/>
  <c r="AL462" i="31"/>
  <c r="AX461" i="31" s="1"/>
  <c r="AY461" i="31" s="1"/>
  <c r="AD462" i="31"/>
  <c r="AE462" i="31"/>
  <c r="AM462" i="31"/>
  <c r="AF462" i="31"/>
  <c r="AE99" i="31"/>
  <c r="AD99" i="31"/>
  <c r="AL99" i="31"/>
  <c r="AM99" i="31"/>
  <c r="AF99" i="31"/>
  <c r="AF376" i="31"/>
  <c r="AE376" i="31"/>
  <c r="AD376" i="31"/>
  <c r="AL376" i="31"/>
  <c r="AM376" i="31"/>
  <c r="AH286" i="32"/>
  <c r="AG286" i="32"/>
  <c r="AG459" i="32"/>
  <c r="AH459" i="32"/>
  <c r="AE158" i="31"/>
  <c r="AM158" i="31"/>
  <c r="AD158" i="31"/>
  <c r="AL158" i="31"/>
  <c r="AF158" i="31"/>
  <c r="AG478" i="32"/>
  <c r="AH478" i="32"/>
  <c r="AH584" i="32"/>
  <c r="AG584" i="32"/>
  <c r="AH183" i="32"/>
  <c r="AG183" i="32"/>
  <c r="AG132" i="32"/>
  <c r="AH132" i="32"/>
  <c r="AH112" i="32"/>
  <c r="AG112" i="32"/>
  <c r="AG203" i="32"/>
  <c r="AH203" i="32"/>
  <c r="AG463" i="32"/>
  <c r="AH463" i="32"/>
  <c r="AH465" i="32"/>
  <c r="AG465" i="32"/>
  <c r="AH445" i="32"/>
  <c r="AG445" i="32"/>
  <c r="AG149" i="32"/>
  <c r="AH149" i="32"/>
  <c r="AF305" i="31"/>
  <c r="AE305" i="31"/>
  <c r="AD305" i="31"/>
  <c r="AM305" i="31"/>
  <c r="AL305" i="31"/>
  <c r="AL408" i="31"/>
  <c r="AE408" i="31"/>
  <c r="AD408" i="31"/>
  <c r="AM408" i="31"/>
  <c r="AF408" i="31"/>
  <c r="AD463" i="31"/>
  <c r="AM463" i="31"/>
  <c r="AE463" i="31"/>
  <c r="AL463" i="31"/>
  <c r="AF463" i="31"/>
  <c r="AF475" i="31"/>
  <c r="AD475" i="31"/>
  <c r="AL475" i="31"/>
  <c r="AX474" i="31" s="1"/>
  <c r="AY474" i="31" s="1"/>
  <c r="AE475" i="31"/>
  <c r="AM475" i="31"/>
  <c r="AE497" i="31"/>
  <c r="AM497" i="31"/>
  <c r="AD497" i="31"/>
  <c r="AL497" i="31"/>
  <c r="AX496" i="31" s="1"/>
  <c r="AY496" i="31" s="1"/>
  <c r="AF497" i="31"/>
  <c r="AL487" i="31"/>
  <c r="AE487" i="31"/>
  <c r="AD487" i="31"/>
  <c r="AM487" i="31"/>
  <c r="AF487" i="31"/>
  <c r="AE337" i="31"/>
  <c r="AD337" i="31"/>
  <c r="AM337" i="31"/>
  <c r="AL337" i="31"/>
  <c r="AX336" i="31" s="1"/>
  <c r="AY336" i="31" s="1"/>
  <c r="AF337" i="31"/>
  <c r="AL137" i="31"/>
  <c r="AE137" i="31"/>
  <c r="AD137" i="31"/>
  <c r="AM137" i="31"/>
  <c r="AF137" i="31"/>
  <c r="AH608" i="32"/>
  <c r="AG608" i="32"/>
  <c r="AH577" i="32"/>
  <c r="AG577" i="32"/>
  <c r="AH96" i="32"/>
  <c r="AG96" i="32"/>
  <c r="AM465" i="31"/>
  <c r="AE465" i="31"/>
  <c r="AL465" i="31"/>
  <c r="AD465" i="31"/>
  <c r="AF465" i="31"/>
  <c r="AF501" i="31"/>
  <c r="AE501" i="31"/>
  <c r="AD501" i="31"/>
  <c r="AM501" i="31"/>
  <c r="AL501" i="31"/>
  <c r="AG480" i="32"/>
  <c r="AH480" i="32"/>
  <c r="AH327" i="32"/>
  <c r="AG327" i="32"/>
  <c r="AH326" i="32"/>
  <c r="AG326" i="32"/>
  <c r="AH302" i="32"/>
  <c r="AG302" i="32"/>
  <c r="AG466" i="32"/>
  <c r="AH466" i="32"/>
  <c r="AH299" i="32"/>
  <c r="AG299" i="32"/>
  <c r="AG152" i="32"/>
  <c r="AH152" i="32"/>
  <c r="AG85" i="32"/>
  <c r="AH85" i="32"/>
  <c r="AG307" i="32"/>
  <c r="AH307" i="32"/>
  <c r="AE454" i="31"/>
  <c r="AD454" i="31"/>
  <c r="AM454" i="31"/>
  <c r="AL454" i="31"/>
  <c r="AF454" i="31"/>
  <c r="AD550" i="31"/>
  <c r="AM550" i="31"/>
  <c r="AL550" i="31"/>
  <c r="AE550" i="31"/>
  <c r="AF550" i="31"/>
  <c r="AM593" i="31"/>
  <c r="AE593" i="31"/>
  <c r="AL593" i="31"/>
  <c r="AD593" i="31"/>
  <c r="AF593" i="31"/>
  <c r="AF604" i="31"/>
  <c r="AD604" i="31"/>
  <c r="AM604" i="31"/>
  <c r="AL604" i="31"/>
  <c r="AE604" i="31"/>
  <c r="AE45" i="31"/>
  <c r="AM45" i="31"/>
  <c r="AL45" i="31"/>
  <c r="AD45" i="31"/>
  <c r="AF45" i="31"/>
  <c r="AE62" i="31"/>
  <c r="AD62" i="31"/>
  <c r="AM62" i="31"/>
  <c r="AL62" i="31"/>
  <c r="AX61" i="31" s="1"/>
  <c r="AY61" i="31" s="1"/>
  <c r="AF62" i="31"/>
  <c r="AD291" i="31"/>
  <c r="AL291" i="31"/>
  <c r="AX290" i="31" s="1"/>
  <c r="AY290" i="31" s="1"/>
  <c r="AM291" i="31"/>
  <c r="AE291" i="31"/>
  <c r="AF291" i="31"/>
  <c r="AF589" i="31"/>
  <c r="AE589" i="31"/>
  <c r="AD589" i="31"/>
  <c r="AM589" i="31"/>
  <c r="AL589" i="31"/>
  <c r="AG362" i="32"/>
  <c r="AH362" i="32"/>
  <c r="AG519" i="32"/>
  <c r="AH519" i="32"/>
  <c r="AH609" i="32"/>
  <c r="AG609" i="32"/>
  <c r="AG49" i="32"/>
  <c r="AH49" i="32"/>
  <c r="AH292" i="32"/>
  <c r="AG292" i="32"/>
  <c r="AH72" i="32"/>
  <c r="AG72" i="32"/>
  <c r="AG221" i="32"/>
  <c r="AH221" i="32"/>
  <c r="AH269" i="32"/>
  <c r="AG269" i="32"/>
  <c r="AG146" i="32"/>
  <c r="AH146" i="32"/>
  <c r="AG392" i="32"/>
  <c r="AH392" i="32"/>
  <c r="AE331" i="31"/>
  <c r="AD331" i="31"/>
  <c r="AM331" i="31"/>
  <c r="AL331" i="31"/>
  <c r="AF331" i="31"/>
  <c r="AE333" i="31"/>
  <c r="AM333" i="31"/>
  <c r="AL333" i="31"/>
  <c r="AD333" i="31"/>
  <c r="AF333" i="31"/>
  <c r="AF364" i="31"/>
  <c r="AD364" i="31"/>
  <c r="AL364" i="31"/>
  <c r="AM364" i="31"/>
  <c r="AE364" i="31"/>
  <c r="AM393" i="31"/>
  <c r="AL393" i="31"/>
  <c r="AE393" i="31"/>
  <c r="AD393" i="31"/>
  <c r="AF393" i="31"/>
  <c r="AE398" i="31"/>
  <c r="AD398" i="31"/>
  <c r="AM398" i="31"/>
  <c r="AL398" i="31"/>
  <c r="AX397" i="31" s="1"/>
  <c r="AY397" i="31" s="1"/>
  <c r="AF398" i="31"/>
  <c r="AF380" i="31"/>
  <c r="AD380" i="31"/>
  <c r="AL380" i="31"/>
  <c r="AM380" i="31"/>
  <c r="AE380" i="31"/>
  <c r="AM98" i="31"/>
  <c r="AL98" i="31"/>
  <c r="AE98" i="31"/>
  <c r="AD98" i="31"/>
  <c r="AF98" i="31"/>
  <c r="AE49" i="31"/>
  <c r="AD49" i="31"/>
  <c r="AM49" i="31"/>
  <c r="AL49" i="31"/>
  <c r="AX48" i="31" s="1"/>
  <c r="AY48" i="31" s="1"/>
  <c r="AF49" i="31"/>
  <c r="AF451" i="31"/>
  <c r="AM451" i="31"/>
  <c r="AE451" i="31"/>
  <c r="AL451" i="31"/>
  <c r="AD451" i="31"/>
  <c r="AE359" i="31"/>
  <c r="AD359" i="31"/>
  <c r="AL359" i="31"/>
  <c r="AM359" i="31"/>
  <c r="AF359" i="31"/>
  <c r="AH40" i="32"/>
  <c r="AG40" i="32"/>
  <c r="AF326" i="31"/>
  <c r="AM326" i="31"/>
  <c r="AE326" i="31"/>
  <c r="AL326" i="31"/>
  <c r="AD326" i="31"/>
  <c r="AD477" i="31"/>
  <c r="AM477" i="31"/>
  <c r="AE477" i="31"/>
  <c r="AL477" i="31"/>
  <c r="AX476" i="31" s="1"/>
  <c r="AY476" i="31" s="1"/>
  <c r="AF477" i="31"/>
  <c r="AG607" i="32"/>
  <c r="AH607" i="32"/>
  <c r="AG147" i="32"/>
  <c r="AH147" i="32"/>
  <c r="AM377" i="31"/>
  <c r="AE377" i="31"/>
  <c r="AD377" i="31"/>
  <c r="AL377" i="31"/>
  <c r="AF377" i="31"/>
  <c r="AD70" i="31"/>
  <c r="AM70" i="31"/>
  <c r="AL70" i="31"/>
  <c r="AE70" i="31"/>
  <c r="AF70" i="31"/>
  <c r="AG544" i="32"/>
  <c r="AH544" i="32"/>
  <c r="AF274" i="31"/>
  <c r="AE274" i="31"/>
  <c r="AM274" i="31"/>
  <c r="AL274" i="31"/>
  <c r="AD274" i="31"/>
  <c r="AH470" i="32"/>
  <c r="AG470" i="32"/>
  <c r="AG432" i="32"/>
  <c r="AH432" i="32"/>
  <c r="AM417" i="31"/>
  <c r="AL417" i="31"/>
  <c r="AX416" i="31" s="1"/>
  <c r="AY416" i="31" s="1"/>
  <c r="AE417" i="31"/>
  <c r="AD417" i="31"/>
  <c r="AF417" i="31"/>
  <c r="AH166" i="32"/>
  <c r="AG166" i="32"/>
  <c r="AF370" i="31"/>
  <c r="AE370" i="31"/>
  <c r="AD370" i="31"/>
  <c r="AM370" i="31"/>
  <c r="AL370" i="31"/>
  <c r="AF257" i="31"/>
  <c r="AE257" i="31"/>
  <c r="AD257" i="31"/>
  <c r="AL257" i="31"/>
  <c r="AM257" i="31"/>
  <c r="AG211" i="32"/>
  <c r="AH211" i="32"/>
  <c r="AH453" i="32"/>
  <c r="AG453" i="32"/>
  <c r="AH534" i="32"/>
  <c r="AG534" i="32"/>
  <c r="AG561" i="32"/>
  <c r="AH561" i="32"/>
  <c r="AH121" i="32"/>
  <c r="AG121" i="32"/>
  <c r="AE162" i="31"/>
  <c r="AD162" i="31"/>
  <c r="AM162" i="31"/>
  <c r="AL162" i="31"/>
  <c r="AF162" i="31"/>
  <c r="AH272" i="32"/>
  <c r="AG272" i="32"/>
  <c r="AG420" i="32"/>
  <c r="AH420" i="32"/>
  <c r="AH511" i="32"/>
  <c r="AG511" i="32"/>
  <c r="AH582" i="32"/>
  <c r="AG582" i="32"/>
  <c r="AG536" i="32"/>
  <c r="AH536" i="32"/>
  <c r="AG527" i="32"/>
  <c r="AH527" i="32"/>
  <c r="AG155" i="32"/>
  <c r="AH155" i="32"/>
  <c r="AF20" i="31"/>
  <c r="AE20" i="31"/>
  <c r="AM20" i="31"/>
  <c r="AD20" i="31"/>
  <c r="AL20" i="31"/>
  <c r="AM96" i="31"/>
  <c r="AL96" i="31"/>
  <c r="AD96" i="31"/>
  <c r="AE96" i="31"/>
  <c r="AF96" i="31"/>
  <c r="AF161" i="31"/>
  <c r="AE161" i="31"/>
  <c r="AM161" i="31"/>
  <c r="AD161" i="31"/>
  <c r="AL161" i="31"/>
  <c r="AX160" i="31" s="1"/>
  <c r="AY160" i="31" s="1"/>
  <c r="AE174" i="31"/>
  <c r="AD174" i="31"/>
  <c r="AM174" i="31"/>
  <c r="AL174" i="31"/>
  <c r="AX173" i="31" s="1"/>
  <c r="AY173" i="31" s="1"/>
  <c r="AF174" i="31"/>
  <c r="AE210" i="31"/>
  <c r="AL210" i="31"/>
  <c r="AM210" i="31"/>
  <c r="AD210" i="31"/>
  <c r="AF210" i="31"/>
  <c r="AE223" i="31"/>
  <c r="AM223" i="31"/>
  <c r="AL223" i="31"/>
  <c r="AD223" i="31"/>
  <c r="AF223" i="31"/>
  <c r="AE259" i="31"/>
  <c r="AD259" i="31"/>
  <c r="AM259" i="31"/>
  <c r="AL259" i="31"/>
  <c r="AX258" i="31" s="1"/>
  <c r="AY258" i="31" s="1"/>
  <c r="AF259" i="31"/>
  <c r="AE340" i="31"/>
  <c r="AM340" i="31"/>
  <c r="AD340" i="31"/>
  <c r="AL340" i="31"/>
  <c r="AX339" i="31" s="1"/>
  <c r="AY339" i="31" s="1"/>
  <c r="AF340" i="31"/>
  <c r="AE262" i="31"/>
  <c r="AM262" i="31"/>
  <c r="AD262" i="31"/>
  <c r="AL262" i="31"/>
  <c r="AF262" i="31"/>
  <c r="AM81" i="31"/>
  <c r="AE81" i="31"/>
  <c r="AL81" i="31"/>
  <c r="AX80" i="31" s="1"/>
  <c r="AY80" i="31" s="1"/>
  <c r="AD81" i="31"/>
  <c r="AF81" i="31"/>
  <c r="AE405" i="31"/>
  <c r="AM405" i="31"/>
  <c r="AD405" i="31"/>
  <c r="AL405" i="31"/>
  <c r="AF405" i="31"/>
  <c r="AH184" i="32"/>
  <c r="AG184" i="32"/>
  <c r="AE378" i="31"/>
  <c r="AM378" i="31"/>
  <c r="AD378" i="31"/>
  <c r="AL378" i="31"/>
  <c r="AF378" i="31"/>
  <c r="AE182" i="31"/>
  <c r="AD182" i="31"/>
  <c r="AM182" i="31"/>
  <c r="AL182" i="31"/>
  <c r="AF182" i="31"/>
  <c r="AF491" i="31"/>
  <c r="AE491" i="31"/>
  <c r="AM491" i="31"/>
  <c r="AD491" i="31"/>
  <c r="AL491" i="31"/>
  <c r="AH442" i="32"/>
  <c r="AG442" i="32"/>
  <c r="AH411" i="32"/>
  <c r="AG411" i="32"/>
  <c r="AH596" i="32"/>
  <c r="AG596" i="32"/>
  <c r="AH594" i="32"/>
  <c r="AG594" i="32"/>
  <c r="AH572" i="32"/>
  <c r="AG572" i="32"/>
  <c r="AH81" i="32"/>
  <c r="AG81" i="32"/>
  <c r="AH22" i="32"/>
  <c r="AG22" i="32"/>
  <c r="AG13" i="32"/>
  <c r="AH13" i="32"/>
  <c r="AG73" i="32"/>
  <c r="AH73" i="32"/>
  <c r="AM16" i="31"/>
  <c r="AE16" i="31"/>
  <c r="AL16" i="31"/>
  <c r="AD16" i="31"/>
  <c r="AF16" i="31"/>
  <c r="AM219" i="31"/>
  <c r="AL219" i="31"/>
  <c r="AE219" i="31"/>
  <c r="AD219" i="31"/>
  <c r="AF219" i="31"/>
  <c r="AM239" i="31"/>
  <c r="AL239" i="31"/>
  <c r="AD239" i="31"/>
  <c r="AE239" i="31"/>
  <c r="AF239" i="31"/>
  <c r="AM253" i="31"/>
  <c r="AL253" i="31"/>
  <c r="AE253" i="31"/>
  <c r="AD253" i="31"/>
  <c r="AF253" i="31"/>
  <c r="AF271" i="31"/>
  <c r="AM271" i="31"/>
  <c r="AL271" i="31"/>
  <c r="AE271" i="31"/>
  <c r="AD271" i="31"/>
  <c r="AE281" i="31"/>
  <c r="AD281" i="31"/>
  <c r="AL281" i="31"/>
  <c r="AM281" i="31"/>
  <c r="AF281" i="31"/>
  <c r="AG200" i="32"/>
  <c r="AH200" i="32"/>
  <c r="AE128" i="31"/>
  <c r="AD128" i="31"/>
  <c r="AM128" i="31"/>
  <c r="AL128" i="31"/>
  <c r="AF128" i="31"/>
  <c r="AE57" i="31"/>
  <c r="AD57" i="31"/>
  <c r="AM57" i="31"/>
  <c r="AL57" i="31"/>
  <c r="AF57" i="31"/>
  <c r="AG355" i="32"/>
  <c r="AH355" i="32"/>
  <c r="AH482" i="32"/>
  <c r="AG482" i="32"/>
  <c r="AH476" i="32"/>
  <c r="AG476" i="32"/>
  <c r="AG447" i="32"/>
  <c r="AH447" i="32"/>
  <c r="AG114" i="32"/>
  <c r="AH114" i="32"/>
  <c r="AG100" i="32"/>
  <c r="AH100" i="32"/>
  <c r="AH83" i="32"/>
  <c r="AG83" i="32"/>
  <c r="AG167" i="32"/>
  <c r="AH167" i="32"/>
  <c r="AG75" i="32"/>
  <c r="AH75" i="32"/>
  <c r="AG471" i="32"/>
  <c r="AH471" i="32"/>
  <c r="AD229" i="31"/>
  <c r="AL229" i="31"/>
  <c r="AM229" i="31"/>
  <c r="AE229" i="31"/>
  <c r="AF229" i="31"/>
  <c r="AE330" i="31"/>
  <c r="AM330" i="31"/>
  <c r="AL330" i="31"/>
  <c r="AD330" i="31"/>
  <c r="AF330" i="31"/>
  <c r="AF334" i="31"/>
  <c r="AM334" i="31"/>
  <c r="AE334" i="31"/>
  <c r="AL334" i="31"/>
  <c r="AD334" i="31"/>
  <c r="AD351" i="31"/>
  <c r="AM351" i="31"/>
  <c r="AL351" i="31"/>
  <c r="AE351" i="31"/>
  <c r="AF351" i="31"/>
  <c r="AF392" i="31"/>
  <c r="AE392" i="31"/>
  <c r="AM392" i="31"/>
  <c r="AL392" i="31"/>
  <c r="AD392" i="31"/>
  <c r="AE546" i="31"/>
  <c r="AD546" i="31"/>
  <c r="AM546" i="31"/>
  <c r="AL546" i="31"/>
  <c r="AF546" i="31"/>
  <c r="AE248" i="31"/>
  <c r="AD248" i="31"/>
  <c r="AL248" i="31"/>
  <c r="AM248" i="31"/>
  <c r="AF248" i="31"/>
  <c r="AM575" i="31"/>
  <c r="AL575" i="31"/>
  <c r="AE575" i="31"/>
  <c r="AD575" i="31"/>
  <c r="AF575" i="31"/>
  <c r="AD386" i="31"/>
  <c r="AM386" i="31"/>
  <c r="AL386" i="31"/>
  <c r="AE386" i="31"/>
  <c r="AF386" i="31"/>
  <c r="AL543" i="31"/>
  <c r="AX542" i="31" s="1"/>
  <c r="AY542" i="31" s="1"/>
  <c r="AE543" i="31"/>
  <c r="AD543" i="31"/>
  <c r="AM543" i="31"/>
  <c r="AF543" i="31"/>
  <c r="AH568" i="32"/>
  <c r="AG568" i="32"/>
  <c r="AH69" i="32"/>
  <c r="AG69" i="32"/>
  <c r="AD278" i="31"/>
  <c r="AM278" i="31"/>
  <c r="AL278" i="31"/>
  <c r="AE278" i="31"/>
  <c r="AF278" i="31"/>
  <c r="AD135" i="31"/>
  <c r="AL135" i="31"/>
  <c r="AE135" i="31"/>
  <c r="AM135" i="31"/>
  <c r="AF135" i="31"/>
  <c r="AH332" i="32"/>
  <c r="AG332" i="32"/>
  <c r="AG428" i="32"/>
  <c r="AH428" i="32"/>
  <c r="AH515" i="32"/>
  <c r="AG515" i="32"/>
  <c r="AH513" i="32"/>
  <c r="AG513" i="32"/>
  <c r="AG612" i="32"/>
  <c r="AH612" i="32"/>
  <c r="AG84" i="32"/>
  <c r="AH84" i="32"/>
  <c r="AG16" i="32"/>
  <c r="AH16" i="32"/>
  <c r="AM613" i="31"/>
  <c r="AL613" i="31"/>
  <c r="AE613" i="31"/>
  <c r="AD613" i="31"/>
  <c r="AF613" i="31"/>
  <c r="AG578" i="32"/>
  <c r="AH578" i="32"/>
  <c r="AG306" i="32"/>
  <c r="AH306" i="32"/>
  <c r="AF153" i="31"/>
  <c r="AE153" i="31"/>
  <c r="AM153" i="31"/>
  <c r="AD153" i="31"/>
  <c r="AL153" i="31"/>
  <c r="AE190" i="31"/>
  <c r="AD190" i="31"/>
  <c r="AM190" i="31"/>
  <c r="AL190" i="31"/>
  <c r="AF190" i="31"/>
  <c r="AF250" i="31"/>
  <c r="AE250" i="31"/>
  <c r="AM250" i="31"/>
  <c r="AL250" i="31"/>
  <c r="AD250" i="31"/>
  <c r="AD245" i="31"/>
  <c r="AE245" i="31"/>
  <c r="AM245" i="31"/>
  <c r="AL245" i="31"/>
  <c r="AF245" i="31"/>
  <c r="AM263" i="31"/>
  <c r="AL263" i="31"/>
  <c r="AE263" i="31"/>
  <c r="AD263" i="31"/>
  <c r="AF263" i="31"/>
  <c r="AE296" i="31"/>
  <c r="AD296" i="31"/>
  <c r="AM296" i="31"/>
  <c r="AL296" i="31"/>
  <c r="AF296" i="31"/>
  <c r="AE433" i="31"/>
  <c r="AD433" i="31"/>
  <c r="AM433" i="31"/>
  <c r="AL433" i="31"/>
  <c r="AF433" i="31"/>
  <c r="AL419" i="31"/>
  <c r="AD419" i="31"/>
  <c r="AE419" i="31"/>
  <c r="AM419" i="31"/>
  <c r="AF419" i="31"/>
  <c r="AG494" i="32"/>
  <c r="AH494" i="32"/>
  <c r="AG208" i="32"/>
  <c r="AH208" i="32"/>
  <c r="AH279" i="32"/>
  <c r="AG279" i="32"/>
  <c r="AE312" i="31"/>
  <c r="AD312" i="31"/>
  <c r="AM312" i="31"/>
  <c r="AL312" i="31"/>
  <c r="AF312" i="31"/>
  <c r="AD551" i="31"/>
  <c r="AL551" i="31"/>
  <c r="AM551" i="31"/>
  <c r="AE551" i="31"/>
  <c r="AF551" i="31"/>
  <c r="AF179" i="31"/>
  <c r="AD179" i="31"/>
  <c r="AM179" i="31"/>
  <c r="AL179" i="31"/>
  <c r="AX178" i="31" s="1"/>
  <c r="AY178" i="31" s="1"/>
  <c r="AE179" i="31"/>
  <c r="AH523" i="32"/>
  <c r="AG523" i="32"/>
  <c r="AH559" i="32"/>
  <c r="AG559" i="32"/>
  <c r="AG21" i="32"/>
  <c r="AH21" i="32"/>
  <c r="AH108" i="32"/>
  <c r="AG108" i="32"/>
  <c r="AH105" i="32"/>
  <c r="AG105" i="32"/>
  <c r="AH142" i="32"/>
  <c r="AG142" i="32"/>
  <c r="AH228" i="32"/>
  <c r="AG228" i="32"/>
  <c r="AG342" i="32"/>
  <c r="AH342" i="32"/>
  <c r="AG239" i="32"/>
  <c r="AH239" i="32"/>
  <c r="AH42" i="32"/>
  <c r="AG42" i="32"/>
  <c r="AE285" i="31"/>
  <c r="AD285" i="31"/>
  <c r="AM285" i="31"/>
  <c r="AL285" i="31"/>
  <c r="AF285" i="31"/>
  <c r="AL287" i="31"/>
  <c r="AX286" i="31" s="1"/>
  <c r="AY286" i="31" s="1"/>
  <c r="AE287" i="31"/>
  <c r="AD287" i="31"/>
  <c r="AM287" i="31"/>
  <c r="AF287" i="31"/>
  <c r="AE411" i="31"/>
  <c r="AD411" i="31"/>
  <c r="AM411" i="31"/>
  <c r="AL411" i="31"/>
  <c r="AX410" i="31" s="1"/>
  <c r="AY410" i="31" s="1"/>
  <c r="AF411" i="31"/>
  <c r="AF396" i="31"/>
  <c r="AM396" i="31"/>
  <c r="AL396" i="31"/>
  <c r="AE396" i="31"/>
  <c r="AD396" i="31"/>
  <c r="AD420" i="31"/>
  <c r="AM420" i="31"/>
  <c r="AL420" i="31"/>
  <c r="AE420" i="31"/>
  <c r="AF420" i="31"/>
  <c r="AL390" i="31"/>
  <c r="AD390" i="31"/>
  <c r="AE390" i="31"/>
  <c r="AM390" i="31"/>
  <c r="AF390" i="31"/>
  <c r="AF192" i="31"/>
  <c r="AD192" i="31"/>
  <c r="AM192" i="31"/>
  <c r="AL192" i="31"/>
  <c r="AE192" i="31"/>
  <c r="AE133" i="31"/>
  <c r="AD133" i="31"/>
  <c r="AM133" i="31"/>
  <c r="AL133" i="31"/>
  <c r="AF133" i="31"/>
  <c r="AH291" i="32"/>
  <c r="AG291" i="32"/>
  <c r="AH270" i="32"/>
  <c r="AG270" i="32"/>
  <c r="AH404" i="32"/>
  <c r="AG404" i="32"/>
  <c r="AG401" i="32"/>
  <c r="AH401" i="32"/>
  <c r="AH339" i="32"/>
  <c r="AG339" i="32"/>
  <c r="AG403" i="32"/>
  <c r="AH403" i="32"/>
  <c r="AH567" i="32"/>
  <c r="AG567" i="32"/>
  <c r="AG396" i="32"/>
  <c r="AH396" i="32"/>
  <c r="AG611" i="32"/>
  <c r="AH611" i="32"/>
  <c r="AL576" i="31"/>
  <c r="AD576" i="31"/>
  <c r="AE576" i="31"/>
  <c r="AM576" i="31"/>
  <c r="AF576" i="31"/>
  <c r="AE60" i="31"/>
  <c r="AD60" i="31"/>
  <c r="AM60" i="31"/>
  <c r="AL60" i="31"/>
  <c r="AF60" i="31"/>
  <c r="AE126" i="31"/>
  <c r="AD126" i="31"/>
  <c r="AL126" i="31"/>
  <c r="AX125" i="31" s="1"/>
  <c r="AY125" i="31" s="1"/>
  <c r="AM126" i="31"/>
  <c r="AF126" i="31"/>
  <c r="AL131" i="31"/>
  <c r="AD131" i="31"/>
  <c r="AE131" i="31"/>
  <c r="AM131" i="31"/>
  <c r="AF131" i="31"/>
  <c r="AF201" i="31"/>
  <c r="AM201" i="31"/>
  <c r="AE201" i="31"/>
  <c r="AD201" i="31"/>
  <c r="AL201" i="31"/>
  <c r="AL187" i="31"/>
  <c r="AX186" i="31" s="1"/>
  <c r="AY186" i="31" s="1"/>
  <c r="AE187" i="31"/>
  <c r="AD187" i="31"/>
  <c r="AM187" i="31"/>
  <c r="AF187" i="31"/>
  <c r="AL130" i="31"/>
  <c r="AD130" i="31"/>
  <c r="AE130" i="31"/>
  <c r="AM130" i="31"/>
  <c r="AF130" i="31"/>
  <c r="AF151" i="31"/>
  <c r="AM151" i="31"/>
  <c r="AL151" i="31"/>
  <c r="AE151" i="31"/>
  <c r="AD151" i="31"/>
  <c r="AE154" i="31"/>
  <c r="AD154" i="31"/>
  <c r="AM154" i="31"/>
  <c r="AL154" i="31"/>
  <c r="AF154" i="31"/>
  <c r="AF352" i="31"/>
  <c r="AL352" i="31"/>
  <c r="AE352" i="31"/>
  <c r="AD352" i="31"/>
  <c r="AM352" i="31"/>
  <c r="AF306" i="31"/>
  <c r="AM306" i="31"/>
  <c r="AL306" i="31"/>
  <c r="AE306" i="31"/>
  <c r="AD306" i="31"/>
  <c r="AD171" i="31"/>
  <c r="AL171" i="31"/>
  <c r="AM171" i="31"/>
  <c r="AE171" i="31"/>
  <c r="AF171" i="31"/>
  <c r="AE36" i="31"/>
  <c r="AD36" i="31"/>
  <c r="AM36" i="31"/>
  <c r="AL36" i="31"/>
  <c r="AF36" i="31"/>
  <c r="AD341" i="31"/>
  <c r="AL341" i="31"/>
  <c r="AE341" i="31"/>
  <c r="AM341" i="31"/>
  <c r="AF341" i="31"/>
  <c r="AG597" i="32"/>
  <c r="AH597" i="32"/>
  <c r="AG168" i="32"/>
  <c r="AH168" i="32"/>
  <c r="AE360" i="31"/>
  <c r="AD360" i="31"/>
  <c r="AM360" i="31"/>
  <c r="AL360" i="31"/>
  <c r="AF360" i="31"/>
  <c r="AH424" i="32"/>
  <c r="AG424" i="32"/>
  <c r="AH164" i="32"/>
  <c r="AG164" i="32"/>
  <c r="AE289" i="31"/>
  <c r="AD289" i="31"/>
  <c r="AM289" i="31"/>
  <c r="AL289" i="31"/>
  <c r="AX288" i="31" s="1"/>
  <c r="AY288" i="31" s="1"/>
  <c r="AF289" i="31"/>
  <c r="AE269" i="31"/>
  <c r="AD269" i="31"/>
  <c r="AM269" i="31"/>
  <c r="AL269" i="31"/>
  <c r="AF269" i="31"/>
  <c r="AH92" i="32"/>
  <c r="AG92" i="32"/>
  <c r="AG289" i="32"/>
  <c r="AH289" i="32"/>
  <c r="AF434" i="31"/>
  <c r="AE434" i="31"/>
  <c r="AD434" i="31"/>
  <c r="AM434" i="31"/>
  <c r="AL434" i="31"/>
  <c r="AH573" i="32"/>
  <c r="AG573" i="32"/>
  <c r="AF418" i="31"/>
  <c r="AL418" i="31"/>
  <c r="AX417" i="31" s="1"/>
  <c r="AY417" i="31" s="1"/>
  <c r="AD418" i="31"/>
  <c r="AE418" i="31"/>
  <c r="AM418" i="31"/>
  <c r="AH195" i="32"/>
  <c r="AG195" i="32"/>
  <c r="AH437" i="32"/>
  <c r="AG437" i="32"/>
  <c r="AH451" i="32"/>
  <c r="AG451" i="32"/>
  <c r="AG508" i="32"/>
  <c r="AH508" i="32"/>
  <c r="AH493" i="32"/>
  <c r="AG493" i="32"/>
  <c r="AH598" i="32"/>
  <c r="AG598" i="32"/>
  <c r="AL89" i="31"/>
  <c r="AD89" i="31"/>
  <c r="AE89" i="31"/>
  <c r="AM89" i="31"/>
  <c r="AF89" i="31"/>
  <c r="AF183" i="31"/>
  <c r="AE183" i="31"/>
  <c r="AD183" i="31"/>
  <c r="AM183" i="31"/>
  <c r="AL183" i="31"/>
  <c r="AD213" i="31"/>
  <c r="AL213" i="31"/>
  <c r="AM213" i="31"/>
  <c r="AE213" i="31"/>
  <c r="AF213" i="31"/>
  <c r="AL267" i="31"/>
  <c r="AD267" i="31"/>
  <c r="AM267" i="31"/>
  <c r="AE267" i="31"/>
  <c r="AF267" i="31"/>
  <c r="AE261" i="31"/>
  <c r="AD261" i="31"/>
  <c r="AM261" i="31"/>
  <c r="AL261" i="31"/>
  <c r="AF261" i="31"/>
  <c r="AL311" i="31"/>
  <c r="AE311" i="31"/>
  <c r="AM311" i="31"/>
  <c r="AD311" i="31"/>
  <c r="AF311" i="31"/>
  <c r="AD534" i="31"/>
  <c r="AM534" i="31"/>
  <c r="AL534" i="31"/>
  <c r="AE534" i="31"/>
  <c r="AF534" i="31"/>
  <c r="AE265" i="31"/>
  <c r="AD265" i="31"/>
  <c r="AL265" i="31"/>
  <c r="AM265" i="31"/>
  <c r="AF265" i="31"/>
  <c r="AH625" i="31"/>
  <c r="AI625" i="31" s="1"/>
  <c r="AG625" i="31"/>
  <c r="F635" i="31" s="1"/>
  <c r="AG599" i="32"/>
  <c r="AH599" i="32"/>
  <c r="AL211" i="31"/>
  <c r="AM211" i="31"/>
  <c r="AE211" i="31"/>
  <c r="AD211" i="31"/>
  <c r="AF211" i="31"/>
  <c r="AE319" i="31"/>
  <c r="AD319" i="31"/>
  <c r="AM319" i="31"/>
  <c r="AL319" i="31"/>
  <c r="AX318" i="31" s="1"/>
  <c r="AY318" i="31" s="1"/>
  <c r="AF319" i="31"/>
  <c r="AH374" i="32"/>
  <c r="AG374" i="32"/>
  <c r="AH415" i="32"/>
  <c r="AG415" i="32"/>
  <c r="AH427" i="32"/>
  <c r="AG427" i="32"/>
  <c r="AG82" i="32"/>
  <c r="AH82" i="32"/>
  <c r="AG232" i="32"/>
  <c r="AH232" i="32"/>
  <c r="AG216" i="32"/>
  <c r="AH216" i="32"/>
  <c r="AG297" i="32"/>
  <c r="AH297" i="32"/>
  <c r="AG140" i="32"/>
  <c r="AH140" i="32"/>
  <c r="AG145" i="32"/>
  <c r="AH145" i="32"/>
  <c r="AG37" i="32"/>
  <c r="AH37" i="32"/>
  <c r="AH51" i="32"/>
  <c r="AG51" i="32"/>
  <c r="AM453" i="31"/>
  <c r="AL453" i="31"/>
  <c r="AE453" i="31"/>
  <c r="AD453" i="31"/>
  <c r="AF453" i="31"/>
  <c r="AF509" i="31"/>
  <c r="AE509" i="31"/>
  <c r="AD509" i="31"/>
  <c r="AM509" i="31"/>
  <c r="AL509" i="31"/>
  <c r="AX508" i="31" s="1"/>
  <c r="AY508" i="31" s="1"/>
  <c r="AE573" i="31"/>
  <c r="AD573" i="31"/>
  <c r="AL573" i="31"/>
  <c r="AX572" i="31" s="1"/>
  <c r="AY572" i="31" s="1"/>
  <c r="AM573" i="31"/>
  <c r="AF573" i="31"/>
  <c r="AL585" i="31"/>
  <c r="AX584" i="31" s="1"/>
  <c r="AY584" i="31" s="1"/>
  <c r="AM585" i="31"/>
  <c r="AE585" i="31"/>
  <c r="AD585" i="31"/>
  <c r="AF585" i="31"/>
  <c r="AF610" i="31"/>
  <c r="AM610" i="31"/>
  <c r="AL610" i="31"/>
  <c r="AD610" i="31"/>
  <c r="AE610" i="31"/>
  <c r="AL602" i="31"/>
  <c r="AD602" i="31"/>
  <c r="AE602" i="31"/>
  <c r="AM602" i="31"/>
  <c r="AF602" i="31"/>
  <c r="AD136" i="31"/>
  <c r="AL136" i="31"/>
  <c r="AE136" i="31"/>
  <c r="AM136" i="31"/>
  <c r="AF136" i="31"/>
  <c r="AL527" i="31"/>
  <c r="AM527" i="31"/>
  <c r="AE527" i="31"/>
  <c r="AD527" i="31"/>
  <c r="AF527" i="31"/>
  <c r="AE107" i="31"/>
  <c r="AD107" i="31"/>
  <c r="AM107" i="31"/>
  <c r="AL107" i="31"/>
  <c r="AF107" i="31"/>
  <c r="AL119" i="31"/>
  <c r="AE119" i="31"/>
  <c r="AD119" i="31"/>
  <c r="AM119" i="31"/>
  <c r="AF119" i="31"/>
  <c r="AH591" i="32"/>
  <c r="AG591" i="32"/>
  <c r="AE216" i="31"/>
  <c r="AD216" i="31"/>
  <c r="AL216" i="31"/>
  <c r="AX215" i="31" s="1"/>
  <c r="AY215" i="31" s="1"/>
  <c r="AM216" i="31"/>
  <c r="AF216" i="31"/>
  <c r="AF282" i="31"/>
  <c r="AE282" i="31"/>
  <c r="AD282" i="31"/>
  <c r="AM282" i="31"/>
  <c r="AL282" i="31"/>
  <c r="AF483" i="31"/>
  <c r="AE483" i="31"/>
  <c r="AD483" i="31"/>
  <c r="AL483" i="31"/>
  <c r="AM483" i="31"/>
  <c r="AH163" i="32"/>
  <c r="AG163" i="32"/>
  <c r="AH222" i="32"/>
  <c r="AG222" i="32"/>
  <c r="AH357" i="32"/>
  <c r="AG357" i="32"/>
  <c r="AG340" i="32"/>
  <c r="AH340" i="32"/>
  <c r="AH237" i="32"/>
  <c r="AG237" i="32"/>
  <c r="AG14" i="32"/>
  <c r="AH14" i="32"/>
  <c r="AG52" i="32"/>
  <c r="AH52" i="32"/>
  <c r="AG23" i="32"/>
  <c r="AH23" i="32"/>
  <c r="AH106" i="32"/>
  <c r="AG106" i="32"/>
  <c r="AE435" i="31"/>
  <c r="AM435" i="31"/>
  <c r="AD435" i="31"/>
  <c r="AL435" i="31"/>
  <c r="AX434" i="31" s="1"/>
  <c r="AY434" i="31" s="1"/>
  <c r="AF435" i="31"/>
  <c r="AF507" i="31"/>
  <c r="AL507" i="31"/>
  <c r="AM507" i="31"/>
  <c r="AD507" i="31"/>
  <c r="AE507" i="31"/>
  <c r="AD558" i="31"/>
  <c r="AM558" i="31"/>
  <c r="AL558" i="31"/>
  <c r="AX557" i="31" s="1"/>
  <c r="AY557" i="31" s="1"/>
  <c r="AE558" i="31"/>
  <c r="AF558" i="31"/>
  <c r="AF570" i="31"/>
  <c r="AE570" i="31"/>
  <c r="AD570" i="31"/>
  <c r="AL570" i="31"/>
  <c r="AM570" i="31"/>
  <c r="AM595" i="31"/>
  <c r="AE595" i="31"/>
  <c r="AD595" i="31"/>
  <c r="AL595" i="31"/>
  <c r="AF595" i="31"/>
  <c r="AM592" i="31"/>
  <c r="AL592" i="31"/>
  <c r="AE592" i="31"/>
  <c r="AD592" i="31"/>
  <c r="AF592" i="31"/>
  <c r="AM14" i="31"/>
  <c r="AL14" i="31"/>
  <c r="AX13" i="31" s="1"/>
  <c r="AE14" i="31"/>
  <c r="AD14" i="31"/>
  <c r="AF14" i="31"/>
  <c r="AL512" i="31"/>
  <c r="AX511" i="31" s="1"/>
  <c r="AY511" i="31" s="1"/>
  <c r="AD512" i="31"/>
  <c r="AM512" i="31"/>
  <c r="AE512" i="31"/>
  <c r="AF512" i="31"/>
  <c r="AM207" i="31"/>
  <c r="AL207" i="31"/>
  <c r="AE207" i="31"/>
  <c r="AD207" i="31"/>
  <c r="AF207" i="31"/>
  <c r="AL628" i="31"/>
  <c r="AD628" i="31"/>
  <c r="AE628" i="31"/>
  <c r="AM628" i="31"/>
  <c r="AF628" i="31"/>
  <c r="AE100" i="31"/>
  <c r="AD100" i="31"/>
  <c r="AM100" i="31"/>
  <c r="AL100" i="31"/>
  <c r="AF100" i="31"/>
  <c r="AE404" i="31"/>
  <c r="AL404" i="31"/>
  <c r="AX403" i="31" s="1"/>
  <c r="AY403" i="31" s="1"/>
  <c r="AM404" i="31"/>
  <c r="AD404" i="31"/>
  <c r="AF404" i="31"/>
  <c r="AG215" i="32"/>
  <c r="AH215" i="32"/>
  <c r="AH201" i="32"/>
  <c r="AG201" i="32"/>
  <c r="AL344" i="31"/>
  <c r="AD344" i="31"/>
  <c r="AE344" i="31"/>
  <c r="AM344" i="31"/>
  <c r="AF344" i="31"/>
  <c r="AH86" i="32"/>
  <c r="AG86" i="32"/>
  <c r="AH236" i="32"/>
  <c r="AG236" i="32"/>
  <c r="AG304" i="32"/>
  <c r="AH304" i="32"/>
  <c r="AH277" i="32"/>
  <c r="AG277" i="32"/>
  <c r="AH417" i="32"/>
  <c r="AG417" i="32"/>
  <c r="AG174" i="32"/>
  <c r="AH174" i="32"/>
  <c r="AH290" i="32"/>
  <c r="AG290" i="32"/>
  <c r="AH190" i="32"/>
  <c r="AG190" i="32"/>
  <c r="AG53" i="32"/>
  <c r="AH53" i="32"/>
  <c r="AF488" i="31"/>
  <c r="AM488" i="31"/>
  <c r="AL488" i="31"/>
  <c r="AD488" i="31"/>
  <c r="AE488" i="31"/>
  <c r="AE590" i="31"/>
  <c r="AM590" i="31"/>
  <c r="AD590" i="31"/>
  <c r="AL590" i="31"/>
  <c r="AF590" i="31"/>
  <c r="AF19" i="31"/>
  <c r="AE19" i="31"/>
  <c r="AM19" i="31"/>
  <c r="AL19" i="31"/>
  <c r="AD19" i="31"/>
  <c r="AL50" i="31"/>
  <c r="AD50" i="31"/>
  <c r="AE50" i="31"/>
  <c r="AM50" i="31"/>
  <c r="AF50" i="31"/>
  <c r="AM40" i="31"/>
  <c r="AL40" i="31"/>
  <c r="AE40" i="31"/>
  <c r="AD40" i="31"/>
  <c r="AF40" i="31"/>
  <c r="AE42" i="31"/>
  <c r="AM42" i="31"/>
  <c r="AD42" i="31"/>
  <c r="AL42" i="31"/>
  <c r="AF42" i="31"/>
  <c r="AG101" i="32"/>
  <c r="AH101" i="32"/>
  <c r="AF414" i="31"/>
  <c r="AE414" i="31"/>
  <c r="AM414" i="31"/>
  <c r="AD414" i="31"/>
  <c r="AL414" i="31"/>
  <c r="AH205" i="32"/>
  <c r="AG205" i="32"/>
  <c r="AG243" i="32"/>
  <c r="AH243" i="32"/>
  <c r="AH426" i="32"/>
  <c r="AG426" i="32"/>
  <c r="AH414" i="32"/>
  <c r="AG414" i="32"/>
  <c r="AG479" i="32"/>
  <c r="AH479" i="32"/>
  <c r="AH449" i="32"/>
  <c r="AG449" i="32"/>
  <c r="AH181" i="32"/>
  <c r="AG181" i="32"/>
  <c r="AH295" i="32"/>
  <c r="AG295" i="32"/>
  <c r="AH469" i="32"/>
  <c r="AG469" i="32"/>
  <c r="AM555" i="31"/>
  <c r="AE555" i="31"/>
  <c r="AD555" i="31"/>
  <c r="AL555" i="31"/>
  <c r="AF555" i="31"/>
  <c r="AE38" i="31"/>
  <c r="AM38" i="31"/>
  <c r="AL38" i="31"/>
  <c r="AD38" i="31"/>
  <c r="AF38" i="31"/>
  <c r="AD55" i="31"/>
  <c r="AM55" i="31"/>
  <c r="AL55" i="31"/>
  <c r="AX54" i="31" s="1"/>
  <c r="AY54" i="31" s="1"/>
  <c r="AE55" i="31"/>
  <c r="AF55" i="31"/>
  <c r="AD111" i="31"/>
  <c r="AL111" i="31"/>
  <c r="AM111" i="31"/>
  <c r="AE111" i="31"/>
  <c r="AF111" i="31"/>
  <c r="AL105" i="31"/>
  <c r="AE105" i="31"/>
  <c r="AD105" i="31"/>
  <c r="AM105" i="31"/>
  <c r="AF105" i="31"/>
  <c r="AE115" i="31"/>
  <c r="AD115" i="31"/>
  <c r="AL115" i="31"/>
  <c r="AM115" i="31"/>
  <c r="AF115" i="31"/>
  <c r="AD41" i="31"/>
  <c r="AM41" i="31"/>
  <c r="AL41" i="31"/>
  <c r="AE41" i="31"/>
  <c r="AF41" i="31"/>
  <c r="AD82" i="31"/>
  <c r="AM82" i="31"/>
  <c r="AL82" i="31"/>
  <c r="AX81" i="31" s="1"/>
  <c r="AY81" i="31" s="1"/>
  <c r="AE82" i="31"/>
  <c r="AF82" i="31"/>
  <c r="AE109" i="31"/>
  <c r="AM109" i="31"/>
  <c r="AD109" i="31"/>
  <c r="AL109" i="31"/>
  <c r="AX108" i="31" s="1"/>
  <c r="AY108" i="31" s="1"/>
  <c r="AF109" i="31"/>
  <c r="AM144" i="31"/>
  <c r="AL144" i="31"/>
  <c r="AE144" i="31"/>
  <c r="AD144" i="31"/>
  <c r="AF144" i="31"/>
  <c r="AE629" i="31"/>
  <c r="AD629" i="31"/>
  <c r="AH518" i="32"/>
  <c r="AG518" i="32"/>
  <c r="AG66" i="32"/>
  <c r="AH66" i="32"/>
  <c r="AD28" i="31"/>
  <c r="AM28" i="31"/>
  <c r="AL28" i="31"/>
  <c r="AE28" i="31"/>
  <c r="AF28" i="31"/>
  <c r="AM342" i="31"/>
  <c r="AL342" i="31"/>
  <c r="AE342" i="31"/>
  <c r="AD342" i="31"/>
  <c r="AF342" i="31"/>
  <c r="AG144" i="32"/>
  <c r="AH144" i="32"/>
  <c r="AG256" i="32"/>
  <c r="AH256" i="32"/>
  <c r="AH245" i="32"/>
  <c r="AG245" i="32"/>
  <c r="AG240" i="32"/>
  <c r="AH240" i="32"/>
  <c r="AG473" i="32"/>
  <c r="AH473" i="32"/>
  <c r="AH116" i="32"/>
  <c r="AG116" i="32"/>
  <c r="AG226" i="32"/>
  <c r="AH226" i="32"/>
  <c r="AG95" i="32"/>
  <c r="AH95" i="32"/>
  <c r="AG425" i="32"/>
  <c r="AH425" i="32"/>
  <c r="AM458" i="31"/>
  <c r="AL458" i="31"/>
  <c r="AX457" i="31" s="1"/>
  <c r="AY457" i="31" s="1"/>
  <c r="AE458" i="31"/>
  <c r="AD458" i="31"/>
  <c r="AF458" i="31"/>
  <c r="AF559" i="31"/>
  <c r="AM559" i="31"/>
  <c r="AE559" i="31"/>
  <c r="AD559" i="31"/>
  <c r="AL559" i="31"/>
  <c r="AM612" i="31"/>
  <c r="AD612" i="31"/>
  <c r="AL612" i="31"/>
  <c r="AE612" i="31"/>
  <c r="AF612" i="31"/>
  <c r="AE75" i="31"/>
  <c r="AM75" i="31"/>
  <c r="AD75" i="31"/>
  <c r="AL75" i="31"/>
  <c r="AF75" i="31"/>
  <c r="AL33" i="31"/>
  <c r="AE33" i="31"/>
  <c r="AD33" i="31"/>
  <c r="AM33" i="31"/>
  <c r="AF33" i="31"/>
  <c r="AE35" i="31"/>
  <c r="AM35" i="31"/>
  <c r="AD35" i="31"/>
  <c r="AL35" i="31"/>
  <c r="AF35" i="31"/>
  <c r="AE355" i="31"/>
  <c r="AM355" i="31"/>
  <c r="AL355" i="31"/>
  <c r="AD355" i="31"/>
  <c r="AF355" i="31"/>
  <c r="AM209" i="31"/>
  <c r="AL209" i="31"/>
  <c r="AX208" i="31" s="1"/>
  <c r="AY208" i="31" s="1"/>
  <c r="AE209" i="31"/>
  <c r="AD209" i="31"/>
  <c r="AF209" i="31"/>
  <c r="AM56" i="31"/>
  <c r="AL56" i="31"/>
  <c r="AE56" i="31"/>
  <c r="AD56" i="31"/>
  <c r="AF56" i="31"/>
  <c r="AG365" i="32"/>
  <c r="AH365" i="32"/>
  <c r="AG204" i="32"/>
  <c r="AH204" i="32"/>
  <c r="AH193" i="32"/>
  <c r="AG193" i="32"/>
  <c r="AL611" i="31"/>
  <c r="AE611" i="31"/>
  <c r="AM611" i="31"/>
  <c r="AD611" i="31"/>
  <c r="AF611" i="31"/>
  <c r="AE425" i="31"/>
  <c r="AD425" i="31"/>
  <c r="AM425" i="31"/>
  <c r="AL425" i="31"/>
  <c r="AF425" i="31"/>
  <c r="AH377" i="32"/>
  <c r="AG377" i="32"/>
  <c r="AH188" i="32"/>
  <c r="AG188" i="32"/>
  <c r="AG316" i="32"/>
  <c r="AH316" i="32"/>
  <c r="AG501" i="32"/>
  <c r="AH501" i="32"/>
  <c r="AH408" i="32"/>
  <c r="AG408" i="32"/>
  <c r="AH337" i="32"/>
  <c r="AG337" i="32"/>
  <c r="AH360" i="32"/>
  <c r="AG360" i="32"/>
  <c r="AH423" i="32"/>
  <c r="AG423" i="32"/>
  <c r="AG227" i="32"/>
  <c r="AH227" i="32"/>
  <c r="AE601" i="31"/>
  <c r="AD601" i="31"/>
  <c r="AL601" i="31"/>
  <c r="AX600" i="31" s="1"/>
  <c r="AY600" i="31" s="1"/>
  <c r="AM601" i="31"/>
  <c r="AF601" i="31"/>
  <c r="AH87" i="32"/>
  <c r="AG87" i="32"/>
  <c r="AD127" i="31"/>
  <c r="AM127" i="31"/>
  <c r="AL127" i="31"/>
  <c r="AX126" i="31" s="1"/>
  <c r="AY126" i="31" s="1"/>
  <c r="AE127" i="31"/>
  <c r="AF127" i="31"/>
  <c r="AE235" i="31"/>
  <c r="AD235" i="31"/>
  <c r="AL235" i="31"/>
  <c r="AM235" i="31"/>
  <c r="AF235" i="31"/>
  <c r="AE202" i="31"/>
  <c r="AM202" i="31"/>
  <c r="AD202" i="31"/>
  <c r="AL202" i="31"/>
  <c r="AF202" i="31"/>
  <c r="AL149" i="31"/>
  <c r="AD149" i="31"/>
  <c r="AE149" i="31"/>
  <c r="AM149" i="31"/>
  <c r="AF149" i="31"/>
  <c r="AF145" i="31"/>
  <c r="AL145" i="31"/>
  <c r="AD145" i="31"/>
  <c r="AM145" i="31"/>
  <c r="AE145" i="31"/>
  <c r="AD220" i="31"/>
  <c r="AL220" i="31"/>
  <c r="AM220" i="31"/>
  <c r="AE220" i="31"/>
  <c r="AF220" i="31"/>
  <c r="AG521" i="32"/>
  <c r="AH521" i="32"/>
  <c r="AH127" i="32"/>
  <c r="AG127" i="32"/>
  <c r="AG151" i="32"/>
  <c r="AH151" i="32"/>
  <c r="AG217" i="32"/>
  <c r="AH217" i="32"/>
  <c r="AH210" i="32"/>
  <c r="AG210" i="32"/>
  <c r="AG238" i="32"/>
  <c r="AH238" i="32"/>
  <c r="AH506" i="32"/>
  <c r="AG506" i="32"/>
  <c r="AH538" i="32"/>
  <c r="AG538" i="32"/>
  <c r="AH450" i="32"/>
  <c r="AG450" i="32"/>
  <c r="AH97" i="32"/>
  <c r="AG97" i="32"/>
  <c r="AD395" i="31"/>
  <c r="AL395" i="31"/>
  <c r="AM395" i="31"/>
  <c r="AE395" i="31"/>
  <c r="AF395" i="31"/>
  <c r="AE518" i="31"/>
  <c r="AD518" i="31"/>
  <c r="AM518" i="31"/>
  <c r="AL518" i="31"/>
  <c r="AX517" i="31" s="1"/>
  <c r="AY517" i="31" s="1"/>
  <c r="AF518" i="31"/>
  <c r="AE504" i="31"/>
  <c r="AM504" i="31"/>
  <c r="AL504" i="31"/>
  <c r="AD504" i="31"/>
  <c r="AF504" i="31"/>
  <c r="AM524" i="31"/>
  <c r="AL524" i="31"/>
  <c r="AX523" i="31" s="1"/>
  <c r="AY523" i="31" s="1"/>
  <c r="AE524" i="31"/>
  <c r="AD524" i="31"/>
  <c r="AF524" i="31"/>
  <c r="AD539" i="31"/>
  <c r="AM539" i="31"/>
  <c r="AL539" i="31"/>
  <c r="AX538" i="31" s="1"/>
  <c r="AY538" i="31" s="1"/>
  <c r="AE539" i="31"/>
  <c r="AF539" i="31"/>
  <c r="AL535" i="31"/>
  <c r="AD535" i="31"/>
  <c r="AM535" i="31"/>
  <c r="AE535" i="31"/>
  <c r="AF535" i="31"/>
  <c r="AF464" i="31"/>
  <c r="AL464" i="31"/>
  <c r="AE464" i="31"/>
  <c r="AD464" i="31"/>
  <c r="AM464" i="31"/>
  <c r="AF357" i="31"/>
  <c r="AM357" i="31"/>
  <c r="AL357" i="31"/>
  <c r="AE357" i="31"/>
  <c r="AD357" i="31"/>
  <c r="AE549" i="31"/>
  <c r="AM549" i="31"/>
  <c r="AD549" i="31"/>
  <c r="AL549" i="31"/>
  <c r="AF549" i="31"/>
  <c r="AE307" i="31"/>
  <c r="AD307" i="31"/>
  <c r="AM307" i="31"/>
  <c r="AL307" i="31"/>
  <c r="AX306" i="31" s="1"/>
  <c r="AY306" i="31" s="1"/>
  <c r="AF307" i="31"/>
  <c r="AL197" i="31"/>
  <c r="AX196" i="31" s="1"/>
  <c r="AY196" i="31" s="1"/>
  <c r="AE197" i="31"/>
  <c r="AD197" i="31"/>
  <c r="AM197" i="31"/>
  <c r="AF197" i="31"/>
  <c r="AG400" i="32"/>
  <c r="AH400" i="32"/>
  <c r="AD181" i="31"/>
  <c r="AM181" i="31"/>
  <c r="AL181" i="31"/>
  <c r="AE181" i="31"/>
  <c r="AF181" i="31"/>
  <c r="AL150" i="31"/>
  <c r="AD150" i="31"/>
  <c r="AM150" i="31"/>
  <c r="AE150" i="31"/>
  <c r="AF150" i="31"/>
  <c r="AS132" i="20"/>
  <c r="AS145" i="20"/>
  <c r="AS140" i="20"/>
  <c r="AS135" i="20"/>
  <c r="AS104" i="20"/>
  <c r="AS200" i="20"/>
  <c r="AS106" i="20"/>
  <c r="AS198" i="20"/>
  <c r="AS149" i="20"/>
  <c r="AS148" i="20"/>
  <c r="AS147" i="20"/>
  <c r="AS89" i="20"/>
  <c r="AS207" i="20"/>
  <c r="AS111" i="20"/>
  <c r="AS191" i="20"/>
  <c r="AS79" i="20"/>
  <c r="AS78" i="20"/>
  <c r="AS80" i="20"/>
  <c r="Q16" i="8"/>
  <c r="R16" i="8" s="1"/>
  <c r="E220" i="2" s="1"/>
  <c r="AX582" i="31" l="1"/>
  <c r="AY582" i="31" s="1"/>
  <c r="AX142" i="31"/>
  <c r="AY142" i="31" s="1"/>
  <c r="AX155" i="31"/>
  <c r="AY155" i="31" s="1"/>
  <c r="AX204" i="31"/>
  <c r="AY204" i="31" s="1"/>
  <c r="AX356" i="31"/>
  <c r="AY356" i="31" s="1"/>
  <c r="AX148" i="31"/>
  <c r="AY148" i="31" s="1"/>
  <c r="AX234" i="31"/>
  <c r="AY234" i="31" s="1"/>
  <c r="AX295" i="31"/>
  <c r="AY295" i="31" s="1"/>
  <c r="AX152" i="31"/>
  <c r="AY152" i="31" s="1"/>
  <c r="AX423" i="31"/>
  <c r="AY423" i="31" s="1"/>
  <c r="AX503" i="31"/>
  <c r="AY503" i="31" s="1"/>
  <c r="AX32" i="31"/>
  <c r="AY32" i="31" s="1"/>
  <c r="AX506" i="31"/>
  <c r="AY506" i="31" s="1"/>
  <c r="AX385" i="31"/>
  <c r="AY385" i="31" s="1"/>
  <c r="AX325" i="31"/>
  <c r="AY325" i="31" s="1"/>
  <c r="AX67" i="31"/>
  <c r="AY67" i="31" s="1"/>
  <c r="AX272" i="31"/>
  <c r="AY272" i="31" s="1"/>
  <c r="AX78" i="31"/>
  <c r="AY78" i="31" s="1"/>
  <c r="AX394" i="31"/>
  <c r="AY394" i="31" s="1"/>
  <c r="AX490" i="31"/>
  <c r="AY490" i="31" s="1"/>
  <c r="AX157" i="31"/>
  <c r="AY157" i="31" s="1"/>
  <c r="AX254" i="31"/>
  <c r="AY254" i="31" s="1"/>
  <c r="AX347" i="31"/>
  <c r="AY347" i="31" s="1"/>
  <c r="AX21" i="31"/>
  <c r="AY21" i="31" s="1"/>
  <c r="AX481" i="31"/>
  <c r="AY481" i="31" s="1"/>
  <c r="AX372" i="31"/>
  <c r="AY372" i="31" s="1"/>
  <c r="AX321" i="31"/>
  <c r="AY321" i="31" s="1"/>
  <c r="AX283" i="31"/>
  <c r="AY283" i="31" s="1"/>
  <c r="AX217" i="31"/>
  <c r="AY217" i="31" s="1"/>
  <c r="AX63" i="31"/>
  <c r="AY63" i="31" s="1"/>
  <c r="AX375" i="31"/>
  <c r="AY375" i="31" s="1"/>
  <c r="AX212" i="31"/>
  <c r="AY212" i="31" s="1"/>
  <c r="AX268" i="31"/>
  <c r="AY268" i="31" s="1"/>
  <c r="AX238" i="31"/>
  <c r="AY238" i="31" s="1"/>
  <c r="AX369" i="31"/>
  <c r="AY369" i="31" s="1"/>
  <c r="AX327" i="31"/>
  <c r="AY327" i="31" s="1"/>
  <c r="AX168" i="31"/>
  <c r="AY168" i="31" s="1"/>
  <c r="AX132" i="31"/>
  <c r="AY132" i="31" s="1"/>
  <c r="AX379" i="31"/>
  <c r="AY379" i="31" s="1"/>
  <c r="AX118" i="31"/>
  <c r="AY118" i="31" s="1"/>
  <c r="AX310" i="31"/>
  <c r="AY310" i="31" s="1"/>
  <c r="AX249" i="31"/>
  <c r="AY249" i="31" s="1"/>
  <c r="AX134" i="31"/>
  <c r="AY134" i="31" s="1"/>
  <c r="AX574" i="31"/>
  <c r="AY574" i="31" s="1"/>
  <c r="AX69" i="31"/>
  <c r="AY69" i="31" s="1"/>
  <c r="AX598" i="31"/>
  <c r="AY598" i="31" s="1"/>
  <c r="AX244" i="31"/>
  <c r="AY244" i="31" s="1"/>
  <c r="AX264" i="31"/>
  <c r="AY264" i="31" s="1"/>
  <c r="AX548" i="31"/>
  <c r="AY548" i="31" s="1"/>
  <c r="AX354" i="31"/>
  <c r="AY354" i="31" s="1"/>
  <c r="AX273" i="31"/>
  <c r="AY273" i="31" s="1"/>
  <c r="AX329" i="31"/>
  <c r="AY329" i="31" s="1"/>
  <c r="AX120" i="31"/>
  <c r="AY120" i="31" s="1"/>
  <c r="AX122" i="31"/>
  <c r="AY122" i="31" s="1"/>
  <c r="AX182" i="31"/>
  <c r="AY182" i="31" s="1"/>
  <c r="AX500" i="31"/>
  <c r="AY500" i="31" s="1"/>
  <c r="AX343" i="31"/>
  <c r="AY343" i="31" s="1"/>
  <c r="AX413" i="31"/>
  <c r="AY413" i="31" s="1"/>
  <c r="AX487" i="31"/>
  <c r="AY487" i="31" s="1"/>
  <c r="AX280" i="31"/>
  <c r="AY280" i="31" s="1"/>
  <c r="AX199" i="31"/>
  <c r="AY199" i="31" s="1"/>
  <c r="AX93" i="31"/>
  <c r="AY93" i="31" s="1"/>
  <c r="AX495" i="31"/>
  <c r="AY495" i="31" s="1"/>
  <c r="AX340" i="31"/>
  <c r="AY340" i="31" s="1"/>
  <c r="AX589" i="31"/>
  <c r="AY589" i="31" s="1"/>
  <c r="AX550" i="31"/>
  <c r="AY550" i="31" s="1"/>
  <c r="AX358" i="31"/>
  <c r="AY358" i="31" s="1"/>
  <c r="AX46" i="31"/>
  <c r="AY46" i="31" s="1"/>
  <c r="AX389" i="31"/>
  <c r="AY389" i="31" s="1"/>
  <c r="AX350" i="31"/>
  <c r="AY350" i="31" s="1"/>
  <c r="AX479" i="31"/>
  <c r="AY479" i="31" s="1"/>
  <c r="AX123" i="31"/>
  <c r="AY123" i="31" s="1"/>
  <c r="AX384" i="31"/>
  <c r="AY384" i="31" s="1"/>
  <c r="AX437" i="31"/>
  <c r="AY437" i="31" s="1"/>
  <c r="AX309" i="31"/>
  <c r="AY309" i="31" s="1"/>
  <c r="AX359" i="31"/>
  <c r="AY359" i="31" s="1"/>
  <c r="AX463" i="31"/>
  <c r="AY463" i="31" s="1"/>
  <c r="AX180" i="31"/>
  <c r="AY180" i="31" s="1"/>
  <c r="AX568" i="31"/>
  <c r="AY568" i="31" s="1"/>
  <c r="AX201" i="31"/>
  <c r="AY201" i="31" s="1"/>
  <c r="AX242" i="31"/>
  <c r="AY242" i="31" s="1"/>
  <c r="AX110" i="31"/>
  <c r="AY110" i="31" s="1"/>
  <c r="AX526" i="31"/>
  <c r="AY526" i="31" s="1"/>
  <c r="AX74" i="31"/>
  <c r="AY74" i="31" s="1"/>
  <c r="AX39" i="31"/>
  <c r="AY39" i="31" s="1"/>
  <c r="AX533" i="31"/>
  <c r="AY533" i="31" s="1"/>
  <c r="AX279" i="31"/>
  <c r="AY279" i="31" s="1"/>
  <c r="AX419" i="31"/>
  <c r="AY419" i="31" s="1"/>
  <c r="AX206" i="31"/>
  <c r="AY206" i="31" s="1"/>
  <c r="AX236" i="31"/>
  <c r="AY236" i="31" s="1"/>
  <c r="AX53" i="31"/>
  <c r="AY53" i="31" s="1"/>
  <c r="AX363" i="31"/>
  <c r="AY363" i="31" s="1"/>
  <c r="AX564" i="31"/>
  <c r="AY564" i="31" s="1"/>
  <c r="AX442" i="31"/>
  <c r="AY442" i="31" s="1"/>
  <c r="AX101" i="31"/>
  <c r="AY101" i="31" s="1"/>
  <c r="AX95" i="31"/>
  <c r="AY95" i="31" s="1"/>
  <c r="AX44" i="31"/>
  <c r="AY44" i="31" s="1"/>
  <c r="AX444" i="31"/>
  <c r="AY444" i="31" s="1"/>
  <c r="AX27" i="31"/>
  <c r="AY27" i="31" s="1"/>
  <c r="AX266" i="31"/>
  <c r="AY266" i="31" s="1"/>
  <c r="AX59" i="31"/>
  <c r="AY59" i="31" s="1"/>
  <c r="AX382" i="31"/>
  <c r="AY382" i="31" s="1"/>
  <c r="AX424" i="31"/>
  <c r="AY424" i="31" s="1"/>
  <c r="AX515" i="31"/>
  <c r="AY515" i="31" s="1"/>
  <c r="AX129" i="31"/>
  <c r="AY129" i="31" s="1"/>
  <c r="AX432" i="31"/>
  <c r="AY432" i="31" s="1"/>
  <c r="AX571" i="31"/>
  <c r="AY571" i="31" s="1"/>
  <c r="AX149" i="31"/>
  <c r="AY149" i="31" s="1"/>
  <c r="AX281" i="31"/>
  <c r="AY281" i="31" s="1"/>
  <c r="AX262" i="31"/>
  <c r="AY262" i="31" s="1"/>
  <c r="AX545" i="31"/>
  <c r="AY545" i="31" s="1"/>
  <c r="AX587" i="31"/>
  <c r="AY587" i="31" s="1"/>
  <c r="AX284" i="31"/>
  <c r="AY284" i="31" s="1"/>
  <c r="AX34" i="31"/>
  <c r="AY34" i="31" s="1"/>
  <c r="AX170" i="31"/>
  <c r="AY170" i="31" s="1"/>
  <c r="AX332" i="31"/>
  <c r="AY332" i="31" s="1"/>
  <c r="AX29" i="31"/>
  <c r="AY29" i="31" s="1"/>
  <c r="AX37" i="31"/>
  <c r="AY37" i="31" s="1"/>
  <c r="AX492" i="31"/>
  <c r="AY492" i="31" s="1"/>
  <c r="AX470" i="31"/>
  <c r="AY470" i="31" s="1"/>
  <c r="AX577" i="31"/>
  <c r="AY577" i="31" s="1"/>
  <c r="AX225" i="31"/>
  <c r="AY225" i="31" s="1"/>
  <c r="AX610" i="31"/>
  <c r="AY610" i="31" s="1"/>
  <c r="AX18" i="31"/>
  <c r="AY18" i="31" s="1"/>
  <c r="AX482" i="31"/>
  <c r="AY482" i="31" s="1"/>
  <c r="AX452" i="31"/>
  <c r="AY452" i="31" s="1"/>
  <c r="AX218" i="31"/>
  <c r="AY218" i="31" s="1"/>
  <c r="AX303" i="31"/>
  <c r="AY303" i="31" s="1"/>
  <c r="AX472" i="31"/>
  <c r="AY472" i="31" s="1"/>
  <c r="AX594" i="31"/>
  <c r="AY594" i="31" s="1"/>
  <c r="AX534" i="31"/>
  <c r="AY534" i="31" s="1"/>
  <c r="AX210" i="31"/>
  <c r="AY210" i="31" s="1"/>
  <c r="AX189" i="31"/>
  <c r="AY189" i="31" s="1"/>
  <c r="AX489" i="31"/>
  <c r="AY489" i="31" s="1"/>
  <c r="AX322" i="31"/>
  <c r="AY322" i="31" s="1"/>
  <c r="AX194" i="31"/>
  <c r="AY194" i="31" s="1"/>
  <c r="AX597" i="31"/>
  <c r="AY597" i="31" s="1"/>
  <c r="AX374" i="31"/>
  <c r="AY374" i="31" s="1"/>
  <c r="AX64" i="31"/>
  <c r="AY64" i="31" s="1"/>
  <c r="AX529" i="31"/>
  <c r="AY529" i="31" s="1"/>
  <c r="AX55" i="31"/>
  <c r="AY55" i="31" s="1"/>
  <c r="AX333" i="31"/>
  <c r="AY333" i="31" s="1"/>
  <c r="AX439" i="31"/>
  <c r="AY439" i="31" s="1"/>
  <c r="AX400" i="31"/>
  <c r="AY400" i="31" s="1"/>
  <c r="AX161" i="31"/>
  <c r="AY161" i="31" s="1"/>
  <c r="AX376" i="31"/>
  <c r="AY376" i="31" s="1"/>
  <c r="AX167" i="31"/>
  <c r="AY167" i="31" s="1"/>
  <c r="AX114" i="31"/>
  <c r="AY114" i="31" s="1"/>
  <c r="AX554" i="31"/>
  <c r="AY554" i="31" s="1"/>
  <c r="AX302" i="31"/>
  <c r="AY302" i="31" s="1"/>
  <c r="AX72" i="31"/>
  <c r="AY72" i="31" s="1"/>
  <c r="AX163" i="31"/>
  <c r="AY163" i="31" s="1"/>
  <c r="AX97" i="31"/>
  <c r="AY97" i="31" s="1"/>
  <c r="AX505" i="31"/>
  <c r="AY505" i="31" s="1"/>
  <c r="AX466" i="31"/>
  <c r="AY466" i="31" s="1"/>
  <c r="AX144" i="31"/>
  <c r="AY144" i="31" s="1"/>
  <c r="AX130" i="31"/>
  <c r="AY130" i="31" s="1"/>
  <c r="AX191" i="31"/>
  <c r="AY191" i="31" s="1"/>
  <c r="AX256" i="31"/>
  <c r="AY256" i="31" s="1"/>
  <c r="AX58" i="31"/>
  <c r="AY58" i="31" s="1"/>
  <c r="AX23" i="31"/>
  <c r="AY23" i="31" s="1"/>
  <c r="AX26" i="31"/>
  <c r="AY26" i="31" s="1"/>
  <c r="AX427" i="31"/>
  <c r="AY427" i="31" s="1"/>
  <c r="AX558" i="31"/>
  <c r="AY558" i="31" s="1"/>
  <c r="AX41" i="31"/>
  <c r="AY41" i="31" s="1"/>
  <c r="AX433" i="31"/>
  <c r="AY433" i="31" s="1"/>
  <c r="AX150" i="31"/>
  <c r="AY150" i="31" s="1"/>
  <c r="AX391" i="31"/>
  <c r="AY391" i="31" s="1"/>
  <c r="AX298" i="31"/>
  <c r="AY298" i="31" s="1"/>
  <c r="AX446" i="31"/>
  <c r="AY446" i="31" s="1"/>
  <c r="AX84" i="31"/>
  <c r="AY84" i="31" s="1"/>
  <c r="AX87" i="31"/>
  <c r="AY87" i="31" s="1"/>
  <c r="AX77" i="31"/>
  <c r="AY77" i="31" s="1"/>
  <c r="AX219" i="31"/>
  <c r="AY219" i="31" s="1"/>
  <c r="AX591" i="31"/>
  <c r="AY591" i="31" s="1"/>
  <c r="AX569" i="31"/>
  <c r="AY569" i="31" s="1"/>
  <c r="AX588" i="31"/>
  <c r="AY588" i="31" s="1"/>
  <c r="AX536" i="31"/>
  <c r="AY536" i="31" s="1"/>
  <c r="AX521" i="31"/>
  <c r="AY521" i="31" s="1"/>
  <c r="AX185" i="31"/>
  <c r="AY185" i="31" s="1"/>
  <c r="AX346" i="31"/>
  <c r="AY346" i="31" s="1"/>
  <c r="AX539" i="31"/>
  <c r="AY539" i="31" s="1"/>
  <c r="AX138" i="31"/>
  <c r="AY138" i="31" s="1"/>
  <c r="AX334" i="31"/>
  <c r="AY334" i="31" s="1"/>
  <c r="AX269" i="31"/>
  <c r="AY269" i="31" s="1"/>
  <c r="AX380" i="31"/>
  <c r="AY380" i="31" s="1"/>
  <c r="AX229" i="31"/>
  <c r="AY229" i="31" s="1"/>
  <c r="AX499" i="31"/>
  <c r="AY499" i="31" s="1"/>
  <c r="AX525" i="31"/>
  <c r="AY525" i="31" s="1"/>
  <c r="AX377" i="31"/>
  <c r="AY377" i="31" s="1"/>
  <c r="AX19" i="31"/>
  <c r="AY19" i="31" s="1"/>
  <c r="AX98" i="31"/>
  <c r="AY98" i="31" s="1"/>
  <c r="AX393" i="31"/>
  <c r="AY393" i="31" s="1"/>
  <c r="AX484" i="31"/>
  <c r="AY484" i="31" s="1"/>
  <c r="AX261" i="31"/>
  <c r="AY261" i="31" s="1"/>
  <c r="AX592" i="31"/>
  <c r="AY592" i="31" s="1"/>
  <c r="AX291" i="31"/>
  <c r="AY291" i="31" s="1"/>
  <c r="AX105" i="31"/>
  <c r="AY105" i="31" s="1"/>
  <c r="AX30" i="31"/>
  <c r="AY30" i="31" s="1"/>
  <c r="AX24" i="31"/>
  <c r="AY24" i="31" s="1"/>
  <c r="AX35" i="31"/>
  <c r="AY35" i="31" s="1"/>
  <c r="AX408" i="31"/>
  <c r="AY408" i="31" s="1"/>
  <c r="AX605" i="31"/>
  <c r="AY605" i="31" s="1"/>
  <c r="AX454" i="31"/>
  <c r="AY454" i="31" s="1"/>
  <c r="AX547" i="31"/>
  <c r="AY547" i="31" s="1"/>
  <c r="AX412" i="31"/>
  <c r="AY412" i="31" s="1"/>
  <c r="AX71" i="31"/>
  <c r="AY71" i="31" s="1"/>
  <c r="AX552" i="31"/>
  <c r="AY552" i="31" s="1"/>
  <c r="AX361" i="31"/>
  <c r="AY361" i="31" s="1"/>
  <c r="AX328" i="31"/>
  <c r="AY328" i="31" s="1"/>
  <c r="AX233" i="31"/>
  <c r="AY233" i="31" s="1"/>
  <c r="AX337" i="31"/>
  <c r="AY337" i="31" s="1"/>
  <c r="AX324" i="31"/>
  <c r="AY324" i="31" s="1"/>
  <c r="AX448" i="31"/>
  <c r="AY448" i="31" s="1"/>
  <c r="AX456" i="31"/>
  <c r="AY456" i="31" s="1"/>
  <c r="AX522" i="31"/>
  <c r="AY522" i="31" s="1"/>
  <c r="AX294" i="31"/>
  <c r="AY294" i="31" s="1"/>
  <c r="AX94" i="31"/>
  <c r="AY94" i="31" s="1"/>
  <c r="AX425" i="31"/>
  <c r="AY425" i="31" s="1"/>
  <c r="AX352" i="31"/>
  <c r="AY352" i="31" s="1"/>
  <c r="AX221" i="31"/>
  <c r="AY221" i="31" s="1"/>
  <c r="AX14" i="31"/>
  <c r="AY14" i="31" s="1"/>
  <c r="AX296" i="31"/>
  <c r="AY296" i="31" s="1"/>
  <c r="AX579" i="31"/>
  <c r="AY579" i="31" s="1"/>
  <c r="AX562" i="31"/>
  <c r="AY562" i="31" s="1"/>
  <c r="AX251" i="31"/>
  <c r="AY251" i="31" s="1"/>
  <c r="AX259" i="31"/>
  <c r="AY259" i="31" s="1"/>
  <c r="AX531" i="31"/>
  <c r="AY531" i="31" s="1"/>
  <c r="AX112" i="31"/>
  <c r="AY112" i="31" s="1"/>
  <c r="AX510" i="31"/>
  <c r="AY510" i="31" s="1"/>
  <c r="AX485" i="31"/>
  <c r="AY485" i="31" s="1"/>
  <c r="AG518" i="31"/>
  <c r="AH518" i="31"/>
  <c r="AI518" i="31" s="1"/>
  <c r="AH352" i="31"/>
  <c r="AI352" i="31" s="1"/>
  <c r="AG352" i="31"/>
  <c r="AH179" i="31"/>
  <c r="AI179" i="31" s="1"/>
  <c r="AG179" i="31"/>
  <c r="AG337" i="31"/>
  <c r="AH337" i="31"/>
  <c r="AI337" i="31" s="1"/>
  <c r="AG356" i="31"/>
  <c r="AH356" i="31"/>
  <c r="AI356" i="31" s="1"/>
  <c r="AH480" i="31"/>
  <c r="AI480" i="31" s="1"/>
  <c r="AG480" i="31"/>
  <c r="AH609" i="31"/>
  <c r="AI609" i="31" s="1"/>
  <c r="AG609" i="31"/>
  <c r="AH448" i="31"/>
  <c r="AI448" i="31" s="1"/>
  <c r="AG448" i="31"/>
  <c r="AH467" i="31"/>
  <c r="AI467" i="31" s="1"/>
  <c r="AG467" i="31"/>
  <c r="AX82" i="31"/>
  <c r="AY82" i="31" s="1"/>
  <c r="AH142" i="31"/>
  <c r="AI142" i="31" s="1"/>
  <c r="AG142" i="31"/>
  <c r="AX158" i="31"/>
  <c r="AY158" i="31" s="1"/>
  <c r="AG400" i="31"/>
  <c r="AH400" i="31"/>
  <c r="AI400" i="31" s="1"/>
  <c r="AH358" i="31"/>
  <c r="AI358" i="31" s="1"/>
  <c r="AG358" i="31"/>
  <c r="AG251" i="31"/>
  <c r="AH251" i="31"/>
  <c r="AI251" i="31" s="1"/>
  <c r="AH141" i="31"/>
  <c r="AI141" i="31" s="1"/>
  <c r="AG141" i="31"/>
  <c r="AH523" i="31"/>
  <c r="AI523" i="31" s="1"/>
  <c r="AG523" i="31"/>
  <c r="AG572" i="31"/>
  <c r="AH572" i="31"/>
  <c r="AI572" i="31" s="1"/>
  <c r="AH64" i="31"/>
  <c r="AI64" i="31" s="1"/>
  <c r="AG64" i="31"/>
  <c r="AH516" i="31"/>
  <c r="AI516" i="31" s="1"/>
  <c r="AG516" i="31"/>
  <c r="AH366" i="31"/>
  <c r="AI366" i="31" s="1"/>
  <c r="AG366" i="31"/>
  <c r="AG441" i="31"/>
  <c r="AH441" i="31"/>
  <c r="AI441" i="31" s="1"/>
  <c r="AH474" i="31"/>
  <c r="AI474" i="31" s="1"/>
  <c r="AG474" i="31"/>
  <c r="AH327" i="31"/>
  <c r="AI327" i="31" s="1"/>
  <c r="AG327" i="31"/>
  <c r="AH129" i="31"/>
  <c r="AI129" i="31" s="1"/>
  <c r="AG129" i="31"/>
  <c r="AH437" i="31"/>
  <c r="AI437" i="31" s="1"/>
  <c r="AG437" i="31"/>
  <c r="AX235" i="31"/>
  <c r="AY235" i="31" s="1"/>
  <c r="AH178" i="31"/>
  <c r="AI178" i="31" s="1"/>
  <c r="AG178" i="31"/>
  <c r="AH557" i="31"/>
  <c r="AI557" i="31" s="1"/>
  <c r="AG557" i="31"/>
  <c r="AH515" i="31"/>
  <c r="AI515" i="31" s="1"/>
  <c r="AG515" i="31"/>
  <c r="AG582" i="31"/>
  <c r="AH582" i="31"/>
  <c r="AI582" i="31" s="1"/>
  <c r="AG529" i="31"/>
  <c r="AH529" i="31"/>
  <c r="AI529" i="31" s="1"/>
  <c r="AH276" i="31"/>
  <c r="AI276" i="31" s="1"/>
  <c r="AG276" i="31"/>
  <c r="AG627" i="31"/>
  <c r="AH627" i="31"/>
  <c r="AI627" i="31" s="1"/>
  <c r="AG539" i="31"/>
  <c r="AH539" i="31"/>
  <c r="AI539" i="31" s="1"/>
  <c r="AH33" i="31"/>
  <c r="AI33" i="31" s="1"/>
  <c r="AG33" i="31"/>
  <c r="AG28" i="31"/>
  <c r="AH28" i="31"/>
  <c r="AI28" i="31" s="1"/>
  <c r="AH109" i="31"/>
  <c r="AI109" i="31" s="1"/>
  <c r="AG109" i="31"/>
  <c r="AX104" i="31"/>
  <c r="AY104" i="31" s="1"/>
  <c r="AG555" i="31"/>
  <c r="AH555" i="31"/>
  <c r="AI555" i="31" s="1"/>
  <c r="AH50" i="31"/>
  <c r="AI50" i="31" s="1"/>
  <c r="AG50" i="31"/>
  <c r="AG14" i="31"/>
  <c r="AH14" i="31"/>
  <c r="AI14" i="31" s="1"/>
  <c r="AH527" i="31"/>
  <c r="AI527" i="31" s="1"/>
  <c r="AG527" i="31"/>
  <c r="AX135" i="31"/>
  <c r="AY135" i="31" s="1"/>
  <c r="AH267" i="31"/>
  <c r="AI267" i="31" s="1"/>
  <c r="AG267" i="31"/>
  <c r="AH269" i="31"/>
  <c r="AI269" i="31" s="1"/>
  <c r="AG269" i="31"/>
  <c r="AX305" i="31"/>
  <c r="AY305" i="31" s="1"/>
  <c r="AH154" i="31"/>
  <c r="AI154" i="31" s="1"/>
  <c r="AG154" i="31"/>
  <c r="AH201" i="31"/>
  <c r="AI201" i="31" s="1"/>
  <c r="AG201" i="31"/>
  <c r="AG576" i="31"/>
  <c r="AH576" i="31"/>
  <c r="AI576" i="31" s="1"/>
  <c r="AG192" i="31"/>
  <c r="AH192" i="31"/>
  <c r="AI192" i="31" s="1"/>
  <c r="AG411" i="31"/>
  <c r="AH411" i="31"/>
  <c r="AI411" i="31" s="1"/>
  <c r="AH551" i="31"/>
  <c r="AI551" i="31" s="1"/>
  <c r="AG551" i="31"/>
  <c r="AH419" i="31"/>
  <c r="AI419" i="31" s="1"/>
  <c r="AG419" i="31"/>
  <c r="AH128" i="31"/>
  <c r="AI128" i="31" s="1"/>
  <c r="AG128" i="31"/>
  <c r="AH271" i="31"/>
  <c r="AI271" i="31" s="1"/>
  <c r="AG271" i="31"/>
  <c r="AH16" i="31"/>
  <c r="AI16" i="31" s="1"/>
  <c r="AG16" i="31"/>
  <c r="AG405" i="31"/>
  <c r="AH405" i="31"/>
  <c r="AI405" i="31" s="1"/>
  <c r="AH257" i="31"/>
  <c r="AI257" i="31" s="1"/>
  <c r="AG257" i="31"/>
  <c r="AH417" i="31"/>
  <c r="AI417" i="31" s="1"/>
  <c r="AG417" i="31"/>
  <c r="AH70" i="31"/>
  <c r="AI70" i="31" s="1"/>
  <c r="AG70" i="31"/>
  <c r="AX450" i="31"/>
  <c r="AY450" i="31" s="1"/>
  <c r="AH393" i="31"/>
  <c r="AI393" i="31" s="1"/>
  <c r="AG393" i="31"/>
  <c r="AX330" i="31"/>
  <c r="AY330" i="31" s="1"/>
  <c r="AH604" i="31"/>
  <c r="AI604" i="31" s="1"/>
  <c r="AG604" i="31"/>
  <c r="AX549" i="31"/>
  <c r="AY549" i="31" s="1"/>
  <c r="AX486" i="31"/>
  <c r="AY486" i="31" s="1"/>
  <c r="AH408" i="31"/>
  <c r="AI408" i="31" s="1"/>
  <c r="AG408" i="31"/>
  <c r="AH99" i="31"/>
  <c r="AI99" i="31" s="1"/>
  <c r="AG99" i="31"/>
  <c r="AG490" i="31"/>
  <c r="AH490" i="31"/>
  <c r="AI490" i="31" s="1"/>
  <c r="AH147" i="31"/>
  <c r="AI147" i="31" s="1"/>
  <c r="AG147" i="31"/>
  <c r="AX179" i="31"/>
  <c r="AY179" i="31" s="1"/>
  <c r="AG255" i="31"/>
  <c r="AH255" i="31"/>
  <c r="AI255" i="31" s="1"/>
  <c r="AX360" i="31"/>
  <c r="AY360" i="31" s="1"/>
  <c r="AX459" i="31"/>
  <c r="AY459" i="31" s="1"/>
  <c r="AX323" i="31"/>
  <c r="AY323" i="31" s="1"/>
  <c r="AX263" i="31"/>
  <c r="AY263" i="31" s="1"/>
  <c r="AX255" i="31"/>
  <c r="AY255" i="31" s="1"/>
  <c r="AX553" i="31"/>
  <c r="AY553" i="31" s="1"/>
  <c r="AH439" i="31"/>
  <c r="AI439" i="31" s="1"/>
  <c r="AG439" i="31"/>
  <c r="AG247" i="31"/>
  <c r="AH247" i="31"/>
  <c r="AI247" i="31" s="1"/>
  <c r="AX220" i="31"/>
  <c r="AY220" i="31" s="1"/>
  <c r="AH304" i="31"/>
  <c r="AI304" i="31" s="1"/>
  <c r="AG304" i="31"/>
  <c r="AH143" i="31"/>
  <c r="AI143" i="31" s="1"/>
  <c r="AG143" i="31"/>
  <c r="AX223" i="31"/>
  <c r="AY223" i="31" s="1"/>
  <c r="AH166" i="31"/>
  <c r="AI166" i="31" s="1"/>
  <c r="AG166" i="31"/>
  <c r="AX604" i="31"/>
  <c r="AY604" i="31" s="1"/>
  <c r="AX113" i="31"/>
  <c r="AY113" i="31" s="1"/>
  <c r="AH526" i="31"/>
  <c r="AI526" i="31" s="1"/>
  <c r="AG526" i="31"/>
  <c r="AG18" i="31"/>
  <c r="AH18" i="31"/>
  <c r="AI18" i="31" s="1"/>
  <c r="AX447" i="31"/>
  <c r="AY447" i="31" s="1"/>
  <c r="AG84" i="31"/>
  <c r="AH84" i="31"/>
  <c r="AI84" i="31" s="1"/>
  <c r="AH445" i="31"/>
  <c r="AI445" i="31" s="1"/>
  <c r="AG445" i="31"/>
  <c r="AX546" i="31"/>
  <c r="AY546" i="31" s="1"/>
  <c r="AG553" i="31"/>
  <c r="AH553" i="31"/>
  <c r="AI553" i="31" s="1"/>
  <c r="AH284" i="31"/>
  <c r="AI284" i="31" s="1"/>
  <c r="AG284" i="31"/>
  <c r="AH316" i="31"/>
  <c r="AI316" i="31" s="1"/>
  <c r="AG316" i="31"/>
  <c r="AX287" i="31"/>
  <c r="AY287" i="31" s="1"/>
  <c r="AH90" i="31"/>
  <c r="AI90" i="31" s="1"/>
  <c r="AG90" i="31"/>
  <c r="AX68" i="31"/>
  <c r="AY68" i="31" s="1"/>
  <c r="AX483" i="31"/>
  <c r="AY483" i="31" s="1"/>
  <c r="AH455" i="31"/>
  <c r="AI455" i="31" s="1"/>
  <c r="AG455" i="31"/>
  <c r="AH581" i="31"/>
  <c r="AI581" i="31" s="1"/>
  <c r="AG581" i="31"/>
  <c r="AX237" i="31"/>
  <c r="AY237" i="31" s="1"/>
  <c r="AG317" i="31"/>
  <c r="AH317" i="31"/>
  <c r="AI317" i="31" s="1"/>
  <c r="AG44" i="31"/>
  <c r="AH44" i="31"/>
  <c r="AI44" i="31" s="1"/>
  <c r="AX141" i="31"/>
  <c r="AY141" i="31" s="1"/>
  <c r="AG588" i="31"/>
  <c r="AH588" i="31"/>
  <c r="AI588" i="31" s="1"/>
  <c r="AG442" i="31"/>
  <c r="AH442" i="31"/>
  <c r="AI442" i="31" s="1"/>
  <c r="AX399" i="31"/>
  <c r="AY399" i="31" s="1"/>
  <c r="AH315" i="31"/>
  <c r="AI315" i="31" s="1"/>
  <c r="AG315" i="31"/>
  <c r="AX250" i="31"/>
  <c r="AY250" i="31" s="1"/>
  <c r="AG275" i="31"/>
  <c r="AH275" i="31"/>
  <c r="AI275" i="31" s="1"/>
  <c r="AH382" i="31"/>
  <c r="AI382" i="31" s="1"/>
  <c r="AG382" i="31"/>
  <c r="AH222" i="31"/>
  <c r="AI222" i="31" s="1"/>
  <c r="AG222" i="31"/>
  <c r="AH505" i="31"/>
  <c r="AI505" i="31" s="1"/>
  <c r="AG505" i="31"/>
  <c r="AX289" i="31"/>
  <c r="AY289" i="31" s="1"/>
  <c r="AX278" i="31"/>
  <c r="AY278" i="31" s="1"/>
  <c r="AX203" i="31"/>
  <c r="AY203" i="31" s="1"/>
  <c r="AH508" i="31"/>
  <c r="AI508" i="31" s="1"/>
  <c r="AG508" i="31"/>
  <c r="AX559" i="31"/>
  <c r="AY559" i="31" s="1"/>
  <c r="AX405" i="31"/>
  <c r="AY405" i="31" s="1"/>
  <c r="AG325" i="31"/>
  <c r="AH325" i="31"/>
  <c r="AI325" i="31" s="1"/>
  <c r="AG449" i="31"/>
  <c r="AH449" i="31"/>
  <c r="AI449" i="31" s="1"/>
  <c r="AX211" i="31"/>
  <c r="AY211" i="31" s="1"/>
  <c r="AG15" i="31"/>
  <c r="AH15" i="31"/>
  <c r="AI15" i="31" s="1"/>
  <c r="AH92" i="31"/>
  <c r="AI92" i="31" s="1"/>
  <c r="AG92" i="31"/>
  <c r="AX47" i="31"/>
  <c r="AY47" i="31" s="1"/>
  <c r="AH538" i="31"/>
  <c r="AI538" i="31" s="1"/>
  <c r="AG538" i="31"/>
  <c r="AX409" i="31"/>
  <c r="AY409" i="31" s="1"/>
  <c r="AX460" i="31"/>
  <c r="AY460" i="31" s="1"/>
  <c r="AH43" i="31"/>
  <c r="AI43" i="31" s="1"/>
  <c r="AG43" i="31"/>
  <c r="AX50" i="31"/>
  <c r="AY50" i="31" s="1"/>
  <c r="AX477" i="31"/>
  <c r="AY477" i="31" s="1"/>
  <c r="AX411" i="31"/>
  <c r="AY411" i="31" s="1"/>
  <c r="AX455" i="31"/>
  <c r="AY455" i="31" s="1"/>
  <c r="AH217" i="31"/>
  <c r="AI217" i="31" s="1"/>
  <c r="AG217" i="31"/>
  <c r="AX541" i="31"/>
  <c r="AY541" i="31" s="1"/>
  <c r="AH571" i="31"/>
  <c r="AI571" i="31" s="1"/>
  <c r="AG571" i="31"/>
  <c r="AX365" i="31"/>
  <c r="AY365" i="31" s="1"/>
  <c r="AX497" i="31"/>
  <c r="AY497" i="31" s="1"/>
  <c r="AX440" i="31"/>
  <c r="AY440" i="31" s="1"/>
  <c r="AX473" i="31"/>
  <c r="AY473" i="31" s="1"/>
  <c r="AH427" i="31"/>
  <c r="AI427" i="31" s="1"/>
  <c r="AG427" i="31"/>
  <c r="AH608" i="31"/>
  <c r="AI608" i="31" s="1"/>
  <c r="AG608" i="31"/>
  <c r="AG629" i="31"/>
  <c r="AH629" i="31"/>
  <c r="AI629" i="31" s="1"/>
  <c r="AH87" i="31"/>
  <c r="AI87" i="31" s="1"/>
  <c r="AG87" i="31"/>
  <c r="AX60" i="31"/>
  <c r="AY60" i="31" s="1"/>
  <c r="AH294" i="31"/>
  <c r="AI294" i="31" s="1"/>
  <c r="AG294" i="31"/>
  <c r="AG13" i="31"/>
  <c r="AH13" i="31"/>
  <c r="AI13" i="31" s="1"/>
  <c r="AG117" i="31"/>
  <c r="AH117" i="31"/>
  <c r="AI117" i="31" s="1"/>
  <c r="AX436" i="31"/>
  <c r="AY436" i="31" s="1"/>
  <c r="AX198" i="31"/>
  <c r="AY198" i="31" s="1"/>
  <c r="AX45" i="31"/>
  <c r="AY45" i="31" s="1"/>
  <c r="AH431" i="31"/>
  <c r="AI431" i="31" s="1"/>
  <c r="AG431" i="31"/>
  <c r="AX177" i="31"/>
  <c r="AY177" i="31" s="1"/>
  <c r="AG108" i="31"/>
  <c r="AH108" i="31"/>
  <c r="AI108" i="31" s="1"/>
  <c r="AH188" i="31"/>
  <c r="AI188" i="31" s="1"/>
  <c r="AG188" i="31"/>
  <c r="AH122" i="31"/>
  <c r="AI122" i="31" s="1"/>
  <c r="AG122" i="31"/>
  <c r="AX581" i="31"/>
  <c r="AY581" i="31" s="1"/>
  <c r="AX494" i="31"/>
  <c r="AY494" i="31" s="1"/>
  <c r="AX583" i="31"/>
  <c r="AY583" i="31" s="1"/>
  <c r="AH318" i="31"/>
  <c r="AI318" i="31" s="1"/>
  <c r="AG318" i="31"/>
  <c r="AV317" i="31" s="1"/>
  <c r="AW317" i="31" s="1"/>
  <c r="AX299" i="31"/>
  <c r="AY299" i="31" s="1"/>
  <c r="AX275" i="31"/>
  <c r="AY275" i="31" s="1"/>
  <c r="AH196" i="31"/>
  <c r="AI196" i="31" s="1"/>
  <c r="AG196" i="31"/>
  <c r="AH517" i="31"/>
  <c r="AI517" i="31" s="1"/>
  <c r="AG517" i="31"/>
  <c r="AH404" i="31"/>
  <c r="AI404" i="31" s="1"/>
  <c r="AG404" i="31"/>
  <c r="AH216" i="31"/>
  <c r="AI216" i="31" s="1"/>
  <c r="AG216" i="31"/>
  <c r="AH89" i="31"/>
  <c r="AI89" i="31" s="1"/>
  <c r="AG89" i="31"/>
  <c r="AH575" i="31"/>
  <c r="AI575" i="31" s="1"/>
  <c r="AG575" i="31"/>
  <c r="AH281" i="31"/>
  <c r="AI281" i="31" s="1"/>
  <c r="AG281" i="31"/>
  <c r="AH340" i="31"/>
  <c r="AI340" i="31" s="1"/>
  <c r="AG340" i="31"/>
  <c r="AG533" i="31"/>
  <c r="AH533" i="31"/>
  <c r="AI533" i="31" s="1"/>
  <c r="AG224" i="31"/>
  <c r="AH224" i="31"/>
  <c r="AI224" i="31" s="1"/>
  <c r="AH169" i="31"/>
  <c r="AI169" i="31" s="1"/>
  <c r="AG169" i="31"/>
  <c r="AG303" i="31"/>
  <c r="AH303" i="31"/>
  <c r="AI303" i="31" s="1"/>
  <c r="AH54" i="31"/>
  <c r="AI54" i="31" s="1"/>
  <c r="AG54" i="31"/>
  <c r="AH254" i="31"/>
  <c r="AI254" i="31" s="1"/>
  <c r="AG254" i="31"/>
  <c r="AG586" i="31"/>
  <c r="AH586" i="31"/>
  <c r="AI586" i="31" s="1"/>
  <c r="AH626" i="31"/>
  <c r="AI626" i="31" s="1"/>
  <c r="AG626" i="31"/>
  <c r="F636" i="31" s="1"/>
  <c r="AX367" i="31"/>
  <c r="AY367" i="31" s="1"/>
  <c r="AG346" i="31"/>
  <c r="AH346" i="31"/>
  <c r="AI346" i="31" s="1"/>
  <c r="AG457" i="31"/>
  <c r="AH457" i="31"/>
  <c r="AI457" i="31" s="1"/>
  <c r="AG478" i="31"/>
  <c r="AH478" i="31"/>
  <c r="AI478" i="31" s="1"/>
  <c r="AG295" i="31"/>
  <c r="AH295" i="31"/>
  <c r="AI295" i="31" s="1"/>
  <c r="AH387" i="31"/>
  <c r="AI387" i="31" s="1"/>
  <c r="AG387" i="31"/>
  <c r="AH72" i="31"/>
  <c r="AI72" i="31" s="1"/>
  <c r="AG72" i="31"/>
  <c r="AG235" i="31"/>
  <c r="AH235" i="31"/>
  <c r="AI235" i="31" s="1"/>
  <c r="AG611" i="31"/>
  <c r="AH611" i="31"/>
  <c r="AI611" i="31" s="1"/>
  <c r="AH209" i="31"/>
  <c r="AI209" i="31" s="1"/>
  <c r="AG209" i="31"/>
  <c r="AG111" i="31"/>
  <c r="AH111" i="31"/>
  <c r="AI111" i="31" s="1"/>
  <c r="AH19" i="31"/>
  <c r="AI19" i="31" s="1"/>
  <c r="AG19" i="31"/>
  <c r="AG628" i="31"/>
  <c r="F637" i="31" s="1"/>
  <c r="AH628" i="31"/>
  <c r="AI628" i="31" s="1"/>
  <c r="AH483" i="31"/>
  <c r="AI483" i="31" s="1"/>
  <c r="AG483" i="31"/>
  <c r="AX609" i="31"/>
  <c r="AY609" i="31" s="1"/>
  <c r="AH573" i="31"/>
  <c r="AI573" i="31" s="1"/>
  <c r="AG573" i="31"/>
  <c r="AG534" i="31"/>
  <c r="AH534" i="31"/>
  <c r="AI534" i="31" s="1"/>
  <c r="AH171" i="31"/>
  <c r="AI171" i="31" s="1"/>
  <c r="AG171" i="31"/>
  <c r="AX153" i="31"/>
  <c r="AY153" i="31" s="1"/>
  <c r="AG151" i="31"/>
  <c r="AH151" i="31"/>
  <c r="AI151" i="31" s="1"/>
  <c r="AH131" i="31"/>
  <c r="AI131" i="31" s="1"/>
  <c r="AG131" i="31"/>
  <c r="AH390" i="31"/>
  <c r="AI390" i="31" s="1"/>
  <c r="AG390" i="31"/>
  <c r="AG546" i="31"/>
  <c r="AH546" i="31"/>
  <c r="AI546" i="31" s="1"/>
  <c r="AX127" i="31"/>
  <c r="AY127" i="31" s="1"/>
  <c r="AH253" i="31"/>
  <c r="AI253" i="31" s="1"/>
  <c r="AG253" i="31"/>
  <c r="AG378" i="31"/>
  <c r="AH378" i="31"/>
  <c r="AI378" i="31" s="1"/>
  <c r="AX404" i="31"/>
  <c r="AY404" i="31" s="1"/>
  <c r="AH223" i="31"/>
  <c r="AI223" i="31" s="1"/>
  <c r="AG223" i="31"/>
  <c r="AX209" i="31"/>
  <c r="AY209" i="31" s="1"/>
  <c r="AG98" i="31"/>
  <c r="AH98" i="31"/>
  <c r="AI98" i="31" s="1"/>
  <c r="AH364" i="31"/>
  <c r="AI364" i="31" s="1"/>
  <c r="AG364" i="31"/>
  <c r="AG593" i="31"/>
  <c r="AH593" i="31"/>
  <c r="AI593" i="31" s="1"/>
  <c r="AX464" i="31"/>
  <c r="AY464" i="31" s="1"/>
  <c r="AH497" i="31"/>
  <c r="AI497" i="31" s="1"/>
  <c r="AG497" i="31"/>
  <c r="AH305" i="31"/>
  <c r="AI305" i="31" s="1"/>
  <c r="AG305" i="31"/>
  <c r="AH565" i="31"/>
  <c r="AI565" i="31" s="1"/>
  <c r="AG565" i="31"/>
  <c r="AX414" i="31"/>
  <c r="AY414" i="31" s="1"/>
  <c r="AX512" i="31"/>
  <c r="AY512" i="31" s="1"/>
  <c r="AX355" i="31"/>
  <c r="AY355" i="31" s="1"/>
  <c r="AX115" i="31"/>
  <c r="AY115" i="31" s="1"/>
  <c r="AX213" i="31"/>
  <c r="AY213" i="31" s="1"/>
  <c r="AX429" i="31"/>
  <c r="AY429" i="31" s="1"/>
  <c r="AH394" i="31"/>
  <c r="AI394" i="31" s="1"/>
  <c r="AG394" i="31"/>
  <c r="AH97" i="31"/>
  <c r="AI97" i="31" s="1"/>
  <c r="AG97" i="31"/>
  <c r="AH328" i="31"/>
  <c r="AI328" i="31" s="1"/>
  <c r="AG328" i="31"/>
  <c r="AH554" i="31"/>
  <c r="AI554" i="31" s="1"/>
  <c r="AG554" i="31"/>
  <c r="AH603" i="31"/>
  <c r="AI603" i="31" s="1"/>
  <c r="AG603" i="31"/>
  <c r="AX265" i="31"/>
  <c r="AY265" i="31" s="1"/>
  <c r="AX90" i="31"/>
  <c r="AY90" i="31" s="1"/>
  <c r="AG79" i="31"/>
  <c r="AH79" i="31"/>
  <c r="AI79" i="31" s="1"/>
  <c r="AX73" i="31"/>
  <c r="AY73" i="31" s="1"/>
  <c r="AX109" i="31"/>
  <c r="AY109" i="31" s="1"/>
  <c r="AH31" i="31"/>
  <c r="AI31" i="31" s="1"/>
  <c r="AG31" i="31"/>
  <c r="AX202" i="31"/>
  <c r="AY202" i="31" s="1"/>
  <c r="AX501" i="31"/>
  <c r="AY501" i="31" s="1"/>
  <c r="AH59" i="31"/>
  <c r="AI59" i="31" s="1"/>
  <c r="AG59" i="31"/>
  <c r="AX17" i="31"/>
  <c r="AY17" i="31" s="1"/>
  <c r="AG25" i="31"/>
  <c r="AH25" i="31"/>
  <c r="AI25" i="31" s="1"/>
  <c r="AX85" i="31"/>
  <c r="AY85" i="31" s="1"/>
  <c r="AX83" i="31"/>
  <c r="AY83" i="31" s="1"/>
  <c r="AX518" i="31"/>
  <c r="AY518" i="31" s="1"/>
  <c r="AX488" i="31"/>
  <c r="AY488" i="31" s="1"/>
  <c r="AG362" i="31"/>
  <c r="AH362" i="31"/>
  <c r="AI362" i="31" s="1"/>
  <c r="AH424" i="31"/>
  <c r="AI424" i="31" s="1"/>
  <c r="AG424" i="31"/>
  <c r="AX315" i="31"/>
  <c r="AY315" i="31" s="1"/>
  <c r="AH231" i="31"/>
  <c r="AI231" i="31" s="1"/>
  <c r="AG231" i="31"/>
  <c r="AH349" i="31"/>
  <c r="AI349" i="31" s="1"/>
  <c r="AG349" i="31"/>
  <c r="AH438" i="31"/>
  <c r="AI438" i="31" s="1"/>
  <c r="AG438" i="31"/>
  <c r="AX580" i="31"/>
  <c r="AY580" i="31" s="1"/>
  <c r="AH548" i="31"/>
  <c r="AI548" i="31" s="1"/>
  <c r="AG548" i="31"/>
  <c r="AX316" i="31"/>
  <c r="AY316" i="31" s="1"/>
  <c r="AH230" i="31"/>
  <c r="AI230" i="31" s="1"/>
  <c r="AG230" i="31"/>
  <c r="AX566" i="31"/>
  <c r="AY566" i="31" s="1"/>
  <c r="AG541" i="31"/>
  <c r="AH541" i="31"/>
  <c r="AI541" i="31" s="1"/>
  <c r="AG338" i="31"/>
  <c r="AH338" i="31"/>
  <c r="AI338" i="31" s="1"/>
  <c r="AX381" i="31"/>
  <c r="AY381" i="31" s="1"/>
  <c r="AX415" i="31"/>
  <c r="AY415" i="31" s="1"/>
  <c r="AG232" i="31"/>
  <c r="AH232" i="31"/>
  <c r="AI232" i="31" s="1"/>
  <c r="AH514" i="31"/>
  <c r="AI514" i="31" s="1"/>
  <c r="AG514" i="31"/>
  <c r="AH372" i="31"/>
  <c r="AI372" i="31" s="1"/>
  <c r="AG372" i="31"/>
  <c r="AX345" i="31"/>
  <c r="AY345" i="31" s="1"/>
  <c r="AG39" i="31"/>
  <c r="AH39" i="31"/>
  <c r="AI39" i="31" s="1"/>
  <c r="AX91" i="31"/>
  <c r="AY91" i="31" s="1"/>
  <c r="AG564" i="31"/>
  <c r="AH564" i="31"/>
  <c r="AI564" i="31" s="1"/>
  <c r="AG510" i="31"/>
  <c r="AH510" i="31"/>
  <c r="AI510" i="31" s="1"/>
  <c r="AG32" i="31"/>
  <c r="AH32" i="31"/>
  <c r="AI32" i="31" s="1"/>
  <c r="AX42" i="31"/>
  <c r="AY42" i="31" s="1"/>
  <c r="AH577" i="31"/>
  <c r="AI577" i="31" s="1"/>
  <c r="AG577" i="31"/>
  <c r="AH520" i="31"/>
  <c r="AI520" i="31" s="1"/>
  <c r="AG520" i="31"/>
  <c r="AH397" i="31"/>
  <c r="AI397" i="31" s="1"/>
  <c r="AG397" i="31"/>
  <c r="AH423" i="31"/>
  <c r="AI423" i="31" s="1"/>
  <c r="AG423" i="31"/>
  <c r="AX570" i="31"/>
  <c r="AY570" i="31" s="1"/>
  <c r="AX386" i="31"/>
  <c r="AY386" i="31" s="1"/>
  <c r="AH152" i="31"/>
  <c r="AI152" i="31" s="1"/>
  <c r="AG152" i="31"/>
  <c r="AH124" i="31"/>
  <c r="AI124" i="31" s="1"/>
  <c r="AG124" i="31"/>
  <c r="AG134" i="31"/>
  <c r="AH134" i="31"/>
  <c r="AI134" i="31" s="1"/>
  <c r="AX555" i="31"/>
  <c r="AY555" i="31" s="1"/>
  <c r="AH521" i="31"/>
  <c r="AI521" i="31" s="1"/>
  <c r="AG521" i="31"/>
  <c r="AX293" i="31"/>
  <c r="AY293" i="31" s="1"/>
  <c r="AH258" i="31"/>
  <c r="AI258" i="31" s="1"/>
  <c r="AG258" i="31"/>
  <c r="AH320" i="31"/>
  <c r="AI320" i="31" s="1"/>
  <c r="AG320" i="31"/>
  <c r="AX166" i="31"/>
  <c r="AY166" i="31" s="1"/>
  <c r="AG598" i="31"/>
  <c r="AH598" i="31"/>
  <c r="AI598" i="31" s="1"/>
  <c r="AX586" i="31"/>
  <c r="AY586" i="31" s="1"/>
  <c r="AX224" i="31"/>
  <c r="AY224" i="31" s="1"/>
  <c r="AX214" i="31"/>
  <c r="AY214" i="31" s="1"/>
  <c r="AG272" i="31"/>
  <c r="AH272" i="31"/>
  <c r="AI272" i="31" s="1"/>
  <c r="AH236" i="31"/>
  <c r="AI236" i="31" s="1"/>
  <c r="AG236" i="31"/>
  <c r="AH103" i="31"/>
  <c r="AI103" i="31" s="1"/>
  <c r="AG103" i="31"/>
  <c r="AX567" i="31"/>
  <c r="AY567" i="31" s="1"/>
  <c r="AG193" i="31"/>
  <c r="AH193" i="31"/>
  <c r="AI193" i="31" s="1"/>
  <c r="AX107" i="31"/>
  <c r="AY107" i="31" s="1"/>
  <c r="AX241" i="31"/>
  <c r="AY241" i="31" s="1"/>
  <c r="AH120" i="31"/>
  <c r="AI120" i="31" s="1"/>
  <c r="AG120" i="31"/>
  <c r="AX193" i="31"/>
  <c r="AY193" i="31" s="1"/>
  <c r="AH339" i="31"/>
  <c r="AI339" i="31" s="1"/>
  <c r="AG339" i="31"/>
  <c r="AX596" i="31"/>
  <c r="AY596" i="31" s="1"/>
  <c r="AH115" i="31"/>
  <c r="AI115" i="31" s="1"/>
  <c r="AG115" i="31"/>
  <c r="AH187" i="31"/>
  <c r="AI187" i="31" s="1"/>
  <c r="AG187" i="31"/>
  <c r="AX612" i="31"/>
  <c r="AY612" i="31" s="1"/>
  <c r="AX613" i="31"/>
  <c r="AY613" i="31" s="1"/>
  <c r="AH331" i="31"/>
  <c r="AI331" i="31" s="1"/>
  <c r="AG331" i="31"/>
  <c r="AH513" i="31"/>
  <c r="AI513" i="31" s="1"/>
  <c r="AG513" i="31"/>
  <c r="AH91" i="31"/>
  <c r="AI91" i="31" s="1"/>
  <c r="AG91" i="31"/>
  <c r="AH114" i="31"/>
  <c r="AI114" i="31" s="1"/>
  <c r="AG114" i="31"/>
  <c r="AG502" i="31"/>
  <c r="AH502" i="31"/>
  <c r="AI502" i="31" s="1"/>
  <c r="AH24" i="31"/>
  <c r="AI24" i="31" s="1"/>
  <c r="AG24" i="31"/>
  <c r="AG197" i="31"/>
  <c r="AH197" i="31"/>
  <c r="AI197" i="31" s="1"/>
  <c r="AH41" i="31"/>
  <c r="AI41" i="31" s="1"/>
  <c r="AG41" i="31"/>
  <c r="AH380" i="31"/>
  <c r="AI380" i="31" s="1"/>
  <c r="AG380" i="31"/>
  <c r="AH62" i="31"/>
  <c r="AI62" i="31" s="1"/>
  <c r="AG62" i="31"/>
  <c r="AG137" i="31"/>
  <c r="AH137" i="31"/>
  <c r="AI137" i="31" s="1"/>
  <c r="AG475" i="31"/>
  <c r="AH475" i="31"/>
  <c r="AI475" i="31" s="1"/>
  <c r="AG566" i="31"/>
  <c r="AH566" i="31"/>
  <c r="AI566" i="31" s="1"/>
  <c r="AG469" i="31"/>
  <c r="AH469" i="31"/>
  <c r="AI469" i="31" s="1"/>
  <c r="AH180" i="31"/>
  <c r="AI180" i="31" s="1"/>
  <c r="AG180" i="31"/>
  <c r="AH443" i="31"/>
  <c r="AI443" i="31" s="1"/>
  <c r="AG443" i="31"/>
  <c r="AX578" i="31"/>
  <c r="AY578" i="31" s="1"/>
  <c r="AG492" i="31"/>
  <c r="AH492" i="31"/>
  <c r="AI492" i="31" s="1"/>
  <c r="AG399" i="31"/>
  <c r="AH399" i="31"/>
  <c r="AI399" i="31" s="1"/>
  <c r="AH348" i="31"/>
  <c r="AI348" i="31" s="1"/>
  <c r="AG348" i="31"/>
  <c r="AH561" i="31"/>
  <c r="AI561" i="31" s="1"/>
  <c r="AG561" i="31"/>
  <c r="AH106" i="31"/>
  <c r="AI106" i="31" s="1"/>
  <c r="AG106" i="31"/>
  <c r="AG140" i="31"/>
  <c r="AH140" i="31"/>
  <c r="AI140" i="31" s="1"/>
  <c r="AH138" i="31"/>
  <c r="AI138" i="31" s="1"/>
  <c r="AG138" i="31"/>
  <c r="AH277" i="31"/>
  <c r="AI277" i="31" s="1"/>
  <c r="AG277" i="31"/>
  <c r="AH600" i="31"/>
  <c r="AI600" i="31" s="1"/>
  <c r="AG600" i="31"/>
  <c r="AH525" i="31"/>
  <c r="AI525" i="31" s="1"/>
  <c r="AG525" i="31"/>
  <c r="AH599" i="31"/>
  <c r="AI599" i="31" s="1"/>
  <c r="AG599" i="31"/>
  <c r="AH606" i="31"/>
  <c r="AI606" i="31" s="1"/>
  <c r="AG606" i="31"/>
  <c r="AH383" i="31"/>
  <c r="AI383" i="31" s="1"/>
  <c r="AG383" i="31"/>
  <c r="AG489" i="31"/>
  <c r="AH489" i="31"/>
  <c r="AI489" i="31" s="1"/>
  <c r="AH459" i="31"/>
  <c r="AI459" i="31" s="1"/>
  <c r="AG459" i="31"/>
  <c r="AG218" i="31"/>
  <c r="AH218" i="31"/>
  <c r="AI218" i="31" s="1"/>
  <c r="AX89" i="31"/>
  <c r="AY89" i="31" s="1"/>
  <c r="AX348" i="31"/>
  <c r="AY348" i="31" s="1"/>
  <c r="AG484" i="31"/>
  <c r="AH484" i="31"/>
  <c r="AI484" i="31" s="1"/>
  <c r="AX390" i="31"/>
  <c r="AY390" i="31" s="1"/>
  <c r="AH345" i="31"/>
  <c r="AI345" i="31" s="1"/>
  <c r="AG345" i="31"/>
  <c r="AG234" i="31"/>
  <c r="AH234" i="31"/>
  <c r="AI234" i="31" s="1"/>
  <c r="AG159" i="31"/>
  <c r="AH159" i="31"/>
  <c r="AI159" i="31" s="1"/>
  <c r="AH375" i="31"/>
  <c r="AI375" i="31" s="1"/>
  <c r="AG375" i="31"/>
  <c r="AH567" i="31"/>
  <c r="AI567" i="31" s="1"/>
  <c r="AG567" i="31"/>
  <c r="AX353" i="31"/>
  <c r="AY353" i="31" s="1"/>
  <c r="AG369" i="31"/>
  <c r="AH369" i="31"/>
  <c r="AI369" i="31" s="1"/>
  <c r="AH280" i="31"/>
  <c r="AI280" i="31" s="1"/>
  <c r="AG280" i="31"/>
  <c r="AX585" i="31"/>
  <c r="AY585" i="31" s="1"/>
  <c r="AX243" i="31"/>
  <c r="AY243" i="31" s="1"/>
  <c r="AX504" i="31"/>
  <c r="AY504" i="31" s="1"/>
  <c r="AH301" i="31"/>
  <c r="AI301" i="31" s="1"/>
  <c r="AG301" i="31"/>
  <c r="AG402" i="31"/>
  <c r="AH402" i="31"/>
  <c r="AI402" i="31" s="1"/>
  <c r="AX465" i="31"/>
  <c r="AY465" i="31" s="1"/>
  <c r="AG65" i="31"/>
  <c r="AH65" i="31"/>
  <c r="AI65" i="31" s="1"/>
  <c r="AH530" i="31"/>
  <c r="AI530" i="31" s="1"/>
  <c r="AG530" i="31"/>
  <c r="AH177" i="31"/>
  <c r="AI177" i="31" s="1"/>
  <c r="AG177" i="31"/>
  <c r="AH470" i="31"/>
  <c r="AI470" i="31" s="1"/>
  <c r="AG470" i="31"/>
  <c r="AX435" i="31"/>
  <c r="AY435" i="31" s="1"/>
  <c r="AH29" i="31"/>
  <c r="AI29" i="31" s="1"/>
  <c r="AG29" i="31"/>
  <c r="AH297" i="31"/>
  <c r="AI297" i="31" s="1"/>
  <c r="AG297" i="31"/>
  <c r="AG132" i="31"/>
  <c r="AH132" i="31"/>
  <c r="AI132" i="31" s="1"/>
  <c r="AH562" i="31"/>
  <c r="AI562" i="31" s="1"/>
  <c r="AG562" i="31"/>
  <c r="AX509" i="31"/>
  <c r="AY509" i="31" s="1"/>
  <c r="AG95" i="31"/>
  <c r="AH95" i="31"/>
  <c r="AI95" i="31" s="1"/>
  <c r="AH574" i="31"/>
  <c r="AI574" i="31" s="1"/>
  <c r="AG574" i="31"/>
  <c r="AX519" i="31"/>
  <c r="AY519" i="31" s="1"/>
  <c r="AH428" i="31"/>
  <c r="AI428" i="31" s="1"/>
  <c r="AG428" i="31"/>
  <c r="AV427" i="31" s="1"/>
  <c r="AW427" i="31" s="1"/>
  <c r="AX396" i="31"/>
  <c r="AY396" i="31" s="1"/>
  <c r="AG452" i="31"/>
  <c r="AH452" i="31"/>
  <c r="AI452" i="31" s="1"/>
  <c r="AH321" i="31"/>
  <c r="AI321" i="31" s="1"/>
  <c r="AG321" i="31"/>
  <c r="AX445" i="31"/>
  <c r="AY445" i="31" s="1"/>
  <c r="AH78" i="31"/>
  <c r="AI78" i="31" s="1"/>
  <c r="AG78" i="31"/>
  <c r="AX426" i="31"/>
  <c r="AY426" i="31" s="1"/>
  <c r="AX133" i="31"/>
  <c r="AY133" i="31" s="1"/>
  <c r="AX86" i="31"/>
  <c r="AY86" i="31" s="1"/>
  <c r="AX520" i="31"/>
  <c r="AY520" i="31" s="1"/>
  <c r="AH472" i="31"/>
  <c r="AI472" i="31" s="1"/>
  <c r="AG472" i="31"/>
  <c r="AX79" i="31"/>
  <c r="AY79" i="31" s="1"/>
  <c r="AG168" i="31"/>
  <c r="AH168" i="31"/>
  <c r="AI168" i="31" s="1"/>
  <c r="AX319" i="31"/>
  <c r="AY319" i="31" s="1"/>
  <c r="AG241" i="31"/>
  <c r="AH241" i="31"/>
  <c r="AI241" i="31" s="1"/>
  <c r="AH379" i="31"/>
  <c r="AI379" i="31" s="1"/>
  <c r="AG379" i="31"/>
  <c r="AX245" i="31"/>
  <c r="AY245" i="31" s="1"/>
  <c r="AX226" i="31"/>
  <c r="AY226" i="31" s="1"/>
  <c r="AG175" i="31"/>
  <c r="AH175" i="31"/>
  <c r="AI175" i="31" s="1"/>
  <c r="AX164" i="31"/>
  <c r="AY164" i="31" s="1"/>
  <c r="AH336" i="31"/>
  <c r="AI336" i="31" s="1"/>
  <c r="AG336" i="31"/>
  <c r="AX430" i="31"/>
  <c r="AY430" i="31" s="1"/>
  <c r="AX192" i="31"/>
  <c r="AY192" i="31" s="1"/>
  <c r="AX556" i="31"/>
  <c r="AY556" i="31" s="1"/>
  <c r="AG503" i="31"/>
  <c r="AH503" i="31"/>
  <c r="AI503" i="31" s="1"/>
  <c r="AX119" i="31"/>
  <c r="AY119" i="31" s="1"/>
  <c r="AX121" i="31"/>
  <c r="AY121" i="31" s="1"/>
  <c r="AH77" i="31"/>
  <c r="AI77" i="31" s="1"/>
  <c r="AG77" i="31"/>
  <c r="AG286" i="31"/>
  <c r="AH286" i="31"/>
  <c r="AI286" i="31" s="1"/>
  <c r="AH528" i="31"/>
  <c r="AI528" i="31" s="1"/>
  <c r="AG528" i="31"/>
  <c r="AV527" i="31" s="1"/>
  <c r="AW527" i="31" s="1"/>
  <c r="AX195" i="31"/>
  <c r="AY195" i="31" s="1"/>
  <c r="AX383" i="31"/>
  <c r="AY383" i="31" s="1"/>
  <c r="AX387" i="31"/>
  <c r="AY387" i="31" s="1"/>
  <c r="AH133" i="31"/>
  <c r="AI133" i="31" s="1"/>
  <c r="AG133" i="31"/>
  <c r="AH326" i="31"/>
  <c r="AI326" i="31" s="1"/>
  <c r="AG326" i="31"/>
  <c r="AG407" i="31"/>
  <c r="AH407" i="31"/>
  <c r="AI407" i="31" s="1"/>
  <c r="AG537" i="31"/>
  <c r="AH537" i="31"/>
  <c r="AI537" i="31" s="1"/>
  <c r="AH203" i="31"/>
  <c r="AI203" i="31" s="1"/>
  <c r="AG203" i="31"/>
  <c r="AH519" i="31"/>
  <c r="AI519" i="31" s="1"/>
  <c r="AG519" i="31"/>
  <c r="AV518" i="31" s="1"/>
  <c r="AW518" i="31" s="1"/>
  <c r="AG612" i="31"/>
  <c r="AH612" i="31"/>
  <c r="AI612" i="31" s="1"/>
  <c r="AG590" i="31"/>
  <c r="AH590" i="31"/>
  <c r="AI590" i="31" s="1"/>
  <c r="AG595" i="31"/>
  <c r="AH595" i="31"/>
  <c r="AI595" i="31" s="1"/>
  <c r="AH509" i="31"/>
  <c r="AI509" i="31" s="1"/>
  <c r="AG509" i="31"/>
  <c r="AG386" i="31"/>
  <c r="AH386" i="31"/>
  <c r="AI386" i="31" s="1"/>
  <c r="AG35" i="31"/>
  <c r="AH35" i="31"/>
  <c r="AI35" i="31" s="1"/>
  <c r="AH342" i="31"/>
  <c r="AI342" i="31" s="1"/>
  <c r="AG342" i="31"/>
  <c r="AH38" i="31"/>
  <c r="AI38" i="31" s="1"/>
  <c r="AG38" i="31"/>
  <c r="AG40" i="31"/>
  <c r="AH40" i="31"/>
  <c r="AI40" i="31" s="1"/>
  <c r="AH512" i="31"/>
  <c r="AI512" i="31" s="1"/>
  <c r="AG512" i="31"/>
  <c r="AG570" i="31"/>
  <c r="AH570" i="31"/>
  <c r="AI570" i="31" s="1"/>
  <c r="AH610" i="31"/>
  <c r="AI610" i="31" s="1"/>
  <c r="AG610" i="31"/>
  <c r="AH57" i="31"/>
  <c r="AI57" i="31" s="1"/>
  <c r="AG57" i="31"/>
  <c r="AG219" i="31"/>
  <c r="AH219" i="31"/>
  <c r="AI219" i="31" s="1"/>
  <c r="AG491" i="31"/>
  <c r="AH491" i="31"/>
  <c r="AI491" i="31" s="1"/>
  <c r="AH174" i="31"/>
  <c r="AI174" i="31" s="1"/>
  <c r="AG174" i="31"/>
  <c r="AH398" i="31"/>
  <c r="AI398" i="31" s="1"/>
  <c r="AG398" i="31"/>
  <c r="AH454" i="31"/>
  <c r="AI454" i="31" s="1"/>
  <c r="AG454" i="31"/>
  <c r="AH463" i="31"/>
  <c r="AI463" i="31" s="1"/>
  <c r="AG463" i="31"/>
  <c r="AG376" i="31"/>
  <c r="AH376" i="31"/>
  <c r="AI376" i="31" s="1"/>
  <c r="AX491" i="31"/>
  <c r="AY491" i="31" s="1"/>
  <c r="AH622" i="31"/>
  <c r="AI622" i="31" s="1"/>
  <c r="AG622" i="31"/>
  <c r="F632" i="31" s="1"/>
  <c r="AX602" i="31"/>
  <c r="AY602" i="31" s="1"/>
  <c r="AX364" i="31"/>
  <c r="AY364" i="31" s="1"/>
  <c r="AH237" i="31"/>
  <c r="AI237" i="31" s="1"/>
  <c r="AG237" i="31"/>
  <c r="AH591" i="31"/>
  <c r="AI591" i="31" s="1"/>
  <c r="AG591" i="31"/>
  <c r="AH371" i="31"/>
  <c r="AI371" i="31" s="1"/>
  <c r="AG371" i="31"/>
  <c r="AX139" i="31"/>
  <c r="AY139" i="31" s="1"/>
  <c r="AG249" i="31"/>
  <c r="AH249" i="31"/>
  <c r="AI249" i="31" s="1"/>
  <c r="AH47" i="31"/>
  <c r="AI47" i="31" s="1"/>
  <c r="AG47" i="31"/>
  <c r="AH23" i="31"/>
  <c r="AI23" i="31" s="1"/>
  <c r="AG23" i="31"/>
  <c r="AH596" i="31"/>
  <c r="AI596" i="31" s="1"/>
  <c r="AG596" i="31"/>
  <c r="AH205" i="31"/>
  <c r="AI205" i="31" s="1"/>
  <c r="AG205" i="31"/>
  <c r="AG322" i="31"/>
  <c r="AH322" i="31"/>
  <c r="AI322" i="31" s="1"/>
  <c r="AX458" i="31"/>
  <c r="AY458" i="31" s="1"/>
  <c r="AH185" i="31"/>
  <c r="AI185" i="31" s="1"/>
  <c r="AG185" i="31"/>
  <c r="AH226" i="31"/>
  <c r="AI226" i="31" s="1"/>
  <c r="AG226" i="31"/>
  <c r="AG335" i="31"/>
  <c r="AH335" i="31"/>
  <c r="AI335" i="31" s="1"/>
  <c r="AG381" i="31"/>
  <c r="AH381" i="31"/>
  <c r="AI381" i="31" s="1"/>
  <c r="AH401" i="31"/>
  <c r="AI401" i="31" s="1"/>
  <c r="AG401" i="31"/>
  <c r="AX274" i="31"/>
  <c r="AY274" i="31" s="1"/>
  <c r="AG479" i="31"/>
  <c r="AV478" i="31" s="1"/>
  <c r="AW478" i="31" s="1"/>
  <c r="AH479" i="31"/>
  <c r="AI479" i="31" s="1"/>
  <c r="AX253" i="31"/>
  <c r="AY253" i="31" s="1"/>
  <c r="AH347" i="31"/>
  <c r="AI347" i="31" s="1"/>
  <c r="AG347" i="31"/>
  <c r="AV346" i="31" s="1"/>
  <c r="AW346" i="31" s="1"/>
  <c r="AG290" i="31"/>
  <c r="AH290" i="31"/>
  <c r="AI290" i="31" s="1"/>
  <c r="AG53" i="31"/>
  <c r="AH53" i="31"/>
  <c r="AI53" i="31" s="1"/>
  <c r="AG21" i="31"/>
  <c r="AH21" i="31"/>
  <c r="AI21" i="31" s="1"/>
  <c r="AG406" i="31"/>
  <c r="AH406" i="31"/>
  <c r="AI406" i="31" s="1"/>
  <c r="AX140" i="31"/>
  <c r="AY140" i="31" s="1"/>
  <c r="AH308" i="31"/>
  <c r="AI308" i="31" s="1"/>
  <c r="AG308" i="31"/>
  <c r="AX147" i="31"/>
  <c r="AY147" i="31" s="1"/>
  <c r="AH163" i="31"/>
  <c r="AI163" i="31" s="1"/>
  <c r="AG163" i="31"/>
  <c r="AX469" i="31"/>
  <c r="AY469" i="31" s="1"/>
  <c r="AH302" i="31"/>
  <c r="AI302" i="31" s="1"/>
  <c r="AG302" i="31"/>
  <c r="AX38" i="31"/>
  <c r="AY38" i="31" s="1"/>
  <c r="AG94" i="31"/>
  <c r="AH94" i="31"/>
  <c r="AI94" i="31" s="1"/>
  <c r="AX28" i="31"/>
  <c r="AY28" i="31" s="1"/>
  <c r="AG101" i="31"/>
  <c r="AH101" i="31"/>
  <c r="AI101" i="31" s="1"/>
  <c r="AH444" i="31"/>
  <c r="AI444" i="31" s="1"/>
  <c r="AG444" i="31"/>
  <c r="AX561" i="31"/>
  <c r="AY561" i="31" s="1"/>
  <c r="AG293" i="31"/>
  <c r="AH293" i="31"/>
  <c r="AI293" i="31" s="1"/>
  <c r="AX31" i="31"/>
  <c r="AY31" i="31" s="1"/>
  <c r="AH580" i="31"/>
  <c r="AI580" i="31" s="1"/>
  <c r="AG580" i="31"/>
  <c r="AG76" i="31"/>
  <c r="AH76" i="31"/>
  <c r="AI76" i="31" s="1"/>
  <c r="AX66" i="31"/>
  <c r="AY66" i="31" s="1"/>
  <c r="AX422" i="31"/>
  <c r="AY422" i="31" s="1"/>
  <c r="AH498" i="31"/>
  <c r="AI498" i="31" s="1"/>
  <c r="AG498" i="31"/>
  <c r="AX151" i="31"/>
  <c r="AY151" i="31" s="1"/>
  <c r="AH63" i="31"/>
  <c r="AI63" i="31" s="1"/>
  <c r="AG63" i="31"/>
  <c r="AX326" i="31"/>
  <c r="AY326" i="31" s="1"/>
  <c r="AX257" i="31"/>
  <c r="AY257" i="31" s="1"/>
  <c r="AG206" i="31"/>
  <c r="AH206" i="31"/>
  <c r="AI206" i="31" s="1"/>
  <c r="AH173" i="31"/>
  <c r="AI173" i="31" s="1"/>
  <c r="AG173" i="31"/>
  <c r="AX128" i="31"/>
  <c r="AY128" i="31" s="1"/>
  <c r="AH268" i="31"/>
  <c r="AI268" i="31" s="1"/>
  <c r="AG268" i="31"/>
  <c r="AX174" i="31"/>
  <c r="AY174" i="31" s="1"/>
  <c r="AH165" i="31"/>
  <c r="AI165" i="31" s="1"/>
  <c r="AG165" i="31"/>
  <c r="AG532" i="31"/>
  <c r="AH532" i="31"/>
  <c r="AI532" i="31" s="1"/>
  <c r="AG113" i="31"/>
  <c r="AH113" i="31"/>
  <c r="AI113" i="31" s="1"/>
  <c r="AH421" i="31"/>
  <c r="AI421" i="31" s="1"/>
  <c r="AG421" i="31"/>
  <c r="AX514" i="31"/>
  <c r="AY514" i="31" s="1"/>
  <c r="AG208" i="31"/>
  <c r="AH208" i="31"/>
  <c r="AI208" i="31" s="1"/>
  <c r="AX528" i="31"/>
  <c r="AY528" i="31" s="1"/>
  <c r="AX317" i="31"/>
  <c r="AY317" i="31" s="1"/>
  <c r="AH307" i="31"/>
  <c r="AI307" i="31" s="1"/>
  <c r="AG307" i="31"/>
  <c r="AH149" i="31"/>
  <c r="AI149" i="31" s="1"/>
  <c r="AG149" i="31"/>
  <c r="AH341" i="31"/>
  <c r="AI341" i="31" s="1"/>
  <c r="AG341" i="31"/>
  <c r="AG135" i="31"/>
  <c r="AH135" i="31"/>
  <c r="AI135" i="31" s="1"/>
  <c r="AH350" i="31"/>
  <c r="AI350" i="31" s="1"/>
  <c r="AG350" i="31"/>
  <c r="AH430" i="31"/>
  <c r="AI430" i="31" s="1"/>
  <c r="AG430" i="31"/>
  <c r="AG482" i="31"/>
  <c r="AH482" i="31"/>
  <c r="AI482" i="31" s="1"/>
  <c r="AG306" i="31"/>
  <c r="AH306" i="31"/>
  <c r="AI306" i="31" s="1"/>
  <c r="AH285" i="31"/>
  <c r="AI285" i="31" s="1"/>
  <c r="AG285" i="31"/>
  <c r="AH296" i="31"/>
  <c r="AI296" i="31" s="1"/>
  <c r="AG296" i="31"/>
  <c r="AH229" i="31"/>
  <c r="AI229" i="31" s="1"/>
  <c r="AG229" i="31"/>
  <c r="AH359" i="31"/>
  <c r="AI359" i="31" s="1"/>
  <c r="AG359" i="31"/>
  <c r="AG333" i="31"/>
  <c r="AH333" i="31"/>
  <c r="AI333" i="31" s="1"/>
  <c r="AG559" i="31"/>
  <c r="AH559" i="31"/>
  <c r="AI559" i="31" s="1"/>
  <c r="AH144" i="31"/>
  <c r="AI144" i="31" s="1"/>
  <c r="AG144" i="31"/>
  <c r="AG414" i="31"/>
  <c r="AH414" i="31"/>
  <c r="AI414" i="31" s="1"/>
  <c r="AH488" i="31"/>
  <c r="AI488" i="31" s="1"/>
  <c r="AG488" i="31"/>
  <c r="AY13" i="31"/>
  <c r="AH107" i="31"/>
  <c r="AI107" i="31" s="1"/>
  <c r="AG107" i="31"/>
  <c r="AG453" i="31"/>
  <c r="AH453" i="31"/>
  <c r="AI453" i="31" s="1"/>
  <c r="AG211" i="31"/>
  <c r="AH211" i="31"/>
  <c r="AI211" i="31" s="1"/>
  <c r="AG261" i="31"/>
  <c r="AH261" i="31"/>
  <c r="AI261" i="31" s="1"/>
  <c r="AX88" i="31"/>
  <c r="AY88" i="31" s="1"/>
  <c r="AG434" i="31"/>
  <c r="AH434" i="31"/>
  <c r="AI434" i="31" s="1"/>
  <c r="AH60" i="31"/>
  <c r="AI60" i="31" s="1"/>
  <c r="AG60" i="31"/>
  <c r="AG351" i="31"/>
  <c r="AH351" i="31"/>
  <c r="AI351" i="31" s="1"/>
  <c r="AX222" i="31"/>
  <c r="AY222" i="31" s="1"/>
  <c r="AH451" i="31"/>
  <c r="AI451" i="31" s="1"/>
  <c r="AG451" i="31"/>
  <c r="AX392" i="31"/>
  <c r="AY392" i="31" s="1"/>
  <c r="AG506" i="31"/>
  <c r="AH506" i="31"/>
  <c r="AI506" i="31" s="1"/>
  <c r="AH198" i="31"/>
  <c r="AI198" i="31" s="1"/>
  <c r="AG198" i="31"/>
  <c r="AH549" i="31"/>
  <c r="AI549" i="31" s="1"/>
  <c r="AG549" i="31"/>
  <c r="AH395" i="31"/>
  <c r="AI395" i="31" s="1"/>
  <c r="AG395" i="31"/>
  <c r="AH202" i="31"/>
  <c r="AI202" i="31" s="1"/>
  <c r="AG202" i="31"/>
  <c r="AG425" i="31"/>
  <c r="AH425" i="31"/>
  <c r="AI425" i="31" s="1"/>
  <c r="AH56" i="31"/>
  <c r="AI56" i="31" s="1"/>
  <c r="AG56" i="31"/>
  <c r="AX611" i="31"/>
  <c r="AY611" i="31" s="1"/>
  <c r="AH458" i="31"/>
  <c r="AI458" i="31" s="1"/>
  <c r="AG458" i="31"/>
  <c r="AX40" i="31"/>
  <c r="AY40" i="31" s="1"/>
  <c r="AH105" i="31"/>
  <c r="AI105" i="31" s="1"/>
  <c r="AG105" i="31"/>
  <c r="AX49" i="31"/>
  <c r="AY49" i="31" s="1"/>
  <c r="AG100" i="31"/>
  <c r="AH100" i="31"/>
  <c r="AI100" i="31" s="1"/>
  <c r="AH558" i="31"/>
  <c r="AI558" i="31" s="1"/>
  <c r="AG558" i="31"/>
  <c r="AX106" i="31"/>
  <c r="AY106" i="31" s="1"/>
  <c r="AG585" i="31"/>
  <c r="AH585" i="31"/>
  <c r="AI585" i="31" s="1"/>
  <c r="AH265" i="31"/>
  <c r="AI265" i="31" s="1"/>
  <c r="AG265" i="31"/>
  <c r="AX260" i="31"/>
  <c r="AY260" i="31" s="1"/>
  <c r="AG418" i="31"/>
  <c r="AH418" i="31"/>
  <c r="AI418" i="31" s="1"/>
  <c r="AG36" i="31"/>
  <c r="AH36" i="31"/>
  <c r="AI36" i="31" s="1"/>
  <c r="AX200" i="31"/>
  <c r="AY200" i="31" s="1"/>
  <c r="AX575" i="31"/>
  <c r="AY575" i="31" s="1"/>
  <c r="AX418" i="31"/>
  <c r="AY418" i="31" s="1"/>
  <c r="AH245" i="31"/>
  <c r="AI245" i="31" s="1"/>
  <c r="AG245" i="31"/>
  <c r="AH613" i="31"/>
  <c r="AI613" i="31" s="1"/>
  <c r="AG613" i="31"/>
  <c r="AH278" i="31"/>
  <c r="AI278" i="31" s="1"/>
  <c r="AG278" i="31"/>
  <c r="AV277" i="31" s="1"/>
  <c r="AW277" i="31" s="1"/>
  <c r="AH248" i="31"/>
  <c r="AI248" i="31" s="1"/>
  <c r="AG248" i="31"/>
  <c r="AG334" i="31"/>
  <c r="AH334" i="31"/>
  <c r="AI334" i="31" s="1"/>
  <c r="AX56" i="31"/>
  <c r="AY56" i="31" s="1"/>
  <c r="AX252" i="31"/>
  <c r="AY252" i="31" s="1"/>
  <c r="AH182" i="31"/>
  <c r="AI182" i="31" s="1"/>
  <c r="AG182" i="31"/>
  <c r="AG259" i="31"/>
  <c r="AH259" i="31"/>
  <c r="AI259" i="31" s="1"/>
  <c r="AH161" i="31"/>
  <c r="AI161" i="31" s="1"/>
  <c r="AG161" i="31"/>
  <c r="AH49" i="31"/>
  <c r="AI49" i="31" s="1"/>
  <c r="AG49" i="31"/>
  <c r="AG589" i="31"/>
  <c r="AH589" i="31"/>
  <c r="AI589" i="31" s="1"/>
  <c r="AX453" i="31"/>
  <c r="AY453" i="31" s="1"/>
  <c r="AH487" i="31"/>
  <c r="AI487" i="31" s="1"/>
  <c r="AG487" i="31"/>
  <c r="AX462" i="31"/>
  <c r="AY462" i="31" s="1"/>
  <c r="AX407" i="31"/>
  <c r="AY407" i="31" s="1"/>
  <c r="AG583" i="31"/>
  <c r="AH583" i="31"/>
  <c r="AI583" i="31" s="1"/>
  <c r="AH415" i="31"/>
  <c r="AI415" i="31" s="1"/>
  <c r="AG415" i="31"/>
  <c r="AX468" i="31"/>
  <c r="AY468" i="31" s="1"/>
  <c r="AH471" i="31"/>
  <c r="AI471" i="31" s="1"/>
  <c r="AG471" i="31"/>
  <c r="AX16" i="31"/>
  <c r="AY16" i="31" s="1"/>
  <c r="AG450" i="31"/>
  <c r="AH450" i="31"/>
  <c r="AI450" i="31" s="1"/>
  <c r="AH367" i="31"/>
  <c r="AI367" i="31" s="1"/>
  <c r="AG367" i="31"/>
  <c r="AX197" i="31"/>
  <c r="AY197" i="31" s="1"/>
  <c r="AH429" i="31"/>
  <c r="AI429" i="31" s="1"/>
  <c r="AG429" i="31"/>
  <c r="AH409" i="31"/>
  <c r="AI409" i="31" s="1"/>
  <c r="AG409" i="31"/>
  <c r="AX297" i="31"/>
  <c r="AY297" i="31" s="1"/>
  <c r="AG460" i="31"/>
  <c r="AH460" i="31"/>
  <c r="AI460" i="31" s="1"/>
  <c r="AX96" i="31"/>
  <c r="AY96" i="31" s="1"/>
  <c r="AG256" i="31"/>
  <c r="AV255" i="31" s="1"/>
  <c r="AW255" i="31" s="1"/>
  <c r="AH256" i="31"/>
  <c r="AI256" i="31" s="1"/>
  <c r="AH30" i="31"/>
  <c r="AI30" i="31" s="1"/>
  <c r="AG30" i="31"/>
  <c r="AX543" i="31"/>
  <c r="AY543" i="31" s="1"/>
  <c r="AX171" i="31"/>
  <c r="AY171" i="31" s="1"/>
  <c r="AH37" i="31"/>
  <c r="AI37" i="31" s="1"/>
  <c r="AG37" i="31"/>
  <c r="AX370" i="31"/>
  <c r="AY370" i="31" s="1"/>
  <c r="AG102" i="31"/>
  <c r="AH102" i="31"/>
  <c r="AI102" i="31" s="1"/>
  <c r="AH440" i="31"/>
  <c r="AI440" i="31" s="1"/>
  <c r="AG440" i="31"/>
  <c r="AG323" i="31"/>
  <c r="AH323" i="31"/>
  <c r="AI323" i="31" s="1"/>
  <c r="AX190" i="31"/>
  <c r="AY190" i="31" s="1"/>
  <c r="AH605" i="31"/>
  <c r="AI605" i="31" s="1"/>
  <c r="AG605" i="31"/>
  <c r="AG112" i="31"/>
  <c r="AH112" i="31"/>
  <c r="AI112" i="31" s="1"/>
  <c r="AG363" i="31"/>
  <c r="AH363" i="31"/>
  <c r="AI363" i="31" s="1"/>
  <c r="AH27" i="31"/>
  <c r="AI27" i="31" s="1"/>
  <c r="AG27" i="31"/>
  <c r="AH531" i="31"/>
  <c r="AI531" i="31" s="1"/>
  <c r="AG531" i="31"/>
  <c r="AX184" i="31"/>
  <c r="AY184" i="31" s="1"/>
  <c r="AH243" i="31"/>
  <c r="AI243" i="31" s="1"/>
  <c r="AG243" i="31"/>
  <c r="AX230" i="31"/>
  <c r="AY230" i="31" s="1"/>
  <c r="AX154" i="31"/>
  <c r="AY154" i="31" s="1"/>
  <c r="AG240" i="31"/>
  <c r="AH240" i="31"/>
  <c r="AI240" i="31" s="1"/>
  <c r="AH83" i="31"/>
  <c r="AI83" i="31" s="1"/>
  <c r="AG83" i="31"/>
  <c r="AH354" i="31"/>
  <c r="AI354" i="31" s="1"/>
  <c r="AG354" i="31"/>
  <c r="AX368" i="31"/>
  <c r="AY368" i="31" s="1"/>
  <c r="AH332" i="31"/>
  <c r="AI332" i="31" s="1"/>
  <c r="AG332" i="31"/>
  <c r="AG279" i="31"/>
  <c r="AH279" i="31"/>
  <c r="AI279" i="31" s="1"/>
  <c r="AX231" i="31"/>
  <c r="AY231" i="31" s="1"/>
  <c r="AX52" i="31"/>
  <c r="AY52" i="31" s="1"/>
  <c r="AX507" i="31"/>
  <c r="AY507" i="31" s="1"/>
  <c r="AX513" i="31"/>
  <c r="AY513" i="31" s="1"/>
  <c r="AX20" i="31"/>
  <c r="AY20" i="31" s="1"/>
  <c r="AG560" i="31"/>
  <c r="AH560" i="31"/>
  <c r="AI560" i="31" s="1"/>
  <c r="AX371" i="31"/>
  <c r="AY371" i="31" s="1"/>
  <c r="AX176" i="31"/>
  <c r="AY176" i="31" s="1"/>
  <c r="AH212" i="31"/>
  <c r="AI212" i="31" s="1"/>
  <c r="AG212" i="31"/>
  <c r="AH432" i="31"/>
  <c r="AI432" i="31" s="1"/>
  <c r="AG432" i="31"/>
  <c r="AX537" i="31"/>
  <c r="AY537" i="31" s="1"/>
  <c r="AH536" i="31"/>
  <c r="AI536" i="31" s="1"/>
  <c r="AG536" i="31"/>
  <c r="AH410" i="31"/>
  <c r="AI410" i="31" s="1"/>
  <c r="AG410" i="31"/>
  <c r="AX573" i="31"/>
  <c r="AY573" i="31" s="1"/>
  <c r="AX606" i="31"/>
  <c r="AY606" i="31" s="1"/>
  <c r="AH545" i="31"/>
  <c r="AI545" i="31" s="1"/>
  <c r="AG545" i="31"/>
  <c r="AX75" i="31"/>
  <c r="AY75" i="31" s="1"/>
  <c r="AH67" i="31"/>
  <c r="AI67" i="31" s="1"/>
  <c r="AG67" i="31"/>
  <c r="AX216" i="31"/>
  <c r="AY216" i="31" s="1"/>
  <c r="AX480" i="31"/>
  <c r="AY480" i="31" s="1"/>
  <c r="AH34" i="31"/>
  <c r="AI34" i="31" s="1"/>
  <c r="AG34" i="31"/>
  <c r="AH446" i="31"/>
  <c r="AI446" i="31" s="1"/>
  <c r="AG446" i="31"/>
  <c r="AH374" i="31"/>
  <c r="AI374" i="31" s="1"/>
  <c r="AG374" i="31"/>
  <c r="AX607" i="31"/>
  <c r="AY607" i="31" s="1"/>
  <c r="AG170" i="31"/>
  <c r="AH170" i="31"/>
  <c r="AI170" i="31" s="1"/>
  <c r="AX62" i="31"/>
  <c r="AY62" i="31" s="1"/>
  <c r="AX70" i="31"/>
  <c r="AY70" i="31" s="1"/>
  <c r="AG61" i="31"/>
  <c r="AH61" i="31"/>
  <c r="AI61" i="31" s="1"/>
  <c r="AH309" i="31"/>
  <c r="AI309" i="31" s="1"/>
  <c r="AG309" i="31"/>
  <c r="AX172" i="31"/>
  <c r="AY172" i="31" s="1"/>
  <c r="AH167" i="31"/>
  <c r="AI167" i="31" s="1"/>
  <c r="AG167" i="31"/>
  <c r="AX116" i="31"/>
  <c r="AY116" i="31" s="1"/>
  <c r="AH587" i="31"/>
  <c r="AI587" i="31" s="1"/>
  <c r="AG587" i="31"/>
  <c r="AH225" i="31"/>
  <c r="AI225" i="31" s="1"/>
  <c r="AG225" i="31"/>
  <c r="AG385" i="31"/>
  <c r="AH385" i="31"/>
  <c r="AI385" i="31" s="1"/>
  <c r="AH199" i="31"/>
  <c r="AI199" i="31" s="1"/>
  <c r="AG199" i="31"/>
  <c r="AG160" i="31"/>
  <c r="AH160" i="31"/>
  <c r="AI160" i="31" s="1"/>
  <c r="AX102" i="31"/>
  <c r="AY102" i="31" s="1"/>
  <c r="AX335" i="31"/>
  <c r="AY335" i="31" s="1"/>
  <c r="AG118" i="31"/>
  <c r="AH118" i="31"/>
  <c r="AI118" i="31" s="1"/>
  <c r="AX207" i="31"/>
  <c r="AY207" i="31" s="1"/>
  <c r="AX76" i="31"/>
  <c r="AY76" i="31" s="1"/>
  <c r="AH511" i="31"/>
  <c r="AI511" i="31" s="1"/>
  <c r="AG511" i="31"/>
  <c r="AX338" i="31"/>
  <c r="AY338" i="31" s="1"/>
  <c r="AX285" i="31"/>
  <c r="AY285" i="31" s="1"/>
  <c r="AX527" i="31"/>
  <c r="AY527" i="31" s="1"/>
  <c r="AH384" i="31"/>
  <c r="AI384" i="31" s="1"/>
  <c r="AG384" i="31"/>
  <c r="AX516" i="31"/>
  <c r="AY516" i="31" s="1"/>
  <c r="AH388" i="31"/>
  <c r="AI388" i="31" s="1"/>
  <c r="AG388" i="31"/>
  <c r="AH396" i="31"/>
  <c r="AI396" i="31" s="1"/>
  <c r="AG396" i="31"/>
  <c r="AH153" i="31"/>
  <c r="AI153" i="31" s="1"/>
  <c r="AG153" i="31"/>
  <c r="AH465" i="31"/>
  <c r="AI465" i="31" s="1"/>
  <c r="AG465" i="31"/>
  <c r="AG233" i="31"/>
  <c r="AH233" i="31"/>
  <c r="AI233" i="31" s="1"/>
  <c r="AG552" i="31"/>
  <c r="AH552" i="31"/>
  <c r="AI552" i="31" s="1"/>
  <c r="AH288" i="31"/>
  <c r="AI288" i="31" s="1"/>
  <c r="AG288" i="31"/>
  <c r="AG504" i="31"/>
  <c r="AH504" i="31"/>
  <c r="AI504" i="31" s="1"/>
  <c r="AH602" i="31"/>
  <c r="AI602" i="31" s="1"/>
  <c r="AG602" i="31"/>
  <c r="AH130" i="31"/>
  <c r="AI130" i="31" s="1"/>
  <c r="AG130" i="31"/>
  <c r="AG392" i="31"/>
  <c r="AH392" i="31"/>
  <c r="AI392" i="31" s="1"/>
  <c r="AH535" i="31"/>
  <c r="AI535" i="31" s="1"/>
  <c r="AG535" i="31"/>
  <c r="AG524" i="31"/>
  <c r="AH524" i="31"/>
  <c r="AI524" i="31" s="1"/>
  <c r="AH220" i="31"/>
  <c r="AI220" i="31" s="1"/>
  <c r="AG220" i="31"/>
  <c r="AH75" i="31"/>
  <c r="AI75" i="31" s="1"/>
  <c r="AG75" i="31"/>
  <c r="AG82" i="31"/>
  <c r="AH82" i="31"/>
  <c r="AI82" i="31" s="1"/>
  <c r="AX99" i="31"/>
  <c r="AY99" i="31" s="1"/>
  <c r="AH592" i="31"/>
  <c r="AI592" i="31" s="1"/>
  <c r="AG592" i="31"/>
  <c r="AH507" i="31"/>
  <c r="AI507" i="31" s="1"/>
  <c r="AG507" i="31"/>
  <c r="AG136" i="31"/>
  <c r="AH136" i="31"/>
  <c r="AI136" i="31" s="1"/>
  <c r="AH213" i="31"/>
  <c r="AI213" i="31" s="1"/>
  <c r="AG213" i="31"/>
  <c r="AH289" i="31"/>
  <c r="AI289" i="31" s="1"/>
  <c r="AG289" i="31"/>
  <c r="AX395" i="31"/>
  <c r="AY395" i="31" s="1"/>
  <c r="AH287" i="31"/>
  <c r="AI287" i="31" s="1"/>
  <c r="AG287" i="31"/>
  <c r="AH312" i="31"/>
  <c r="AI312" i="31" s="1"/>
  <c r="AG312" i="31"/>
  <c r="AG433" i="31"/>
  <c r="AH433" i="31"/>
  <c r="AI433" i="31" s="1"/>
  <c r="AG250" i="31"/>
  <c r="AH250" i="31"/>
  <c r="AI250" i="31" s="1"/>
  <c r="AG543" i="31"/>
  <c r="AH543" i="31"/>
  <c r="AI543" i="31" s="1"/>
  <c r="AG330" i="31"/>
  <c r="AH330" i="31"/>
  <c r="AI330" i="31" s="1"/>
  <c r="AX228" i="31"/>
  <c r="AY228" i="31" s="1"/>
  <c r="AX181" i="31"/>
  <c r="AY181" i="31" s="1"/>
  <c r="AH81" i="31"/>
  <c r="AI81" i="31" s="1"/>
  <c r="AG81" i="31"/>
  <c r="AH96" i="31"/>
  <c r="AI96" i="31" s="1"/>
  <c r="AG96" i="31"/>
  <c r="AH162" i="31"/>
  <c r="AI162" i="31" s="1"/>
  <c r="AG162" i="31"/>
  <c r="AH370" i="31"/>
  <c r="AI370" i="31" s="1"/>
  <c r="AG370" i="31"/>
  <c r="AH274" i="31"/>
  <c r="AI274" i="31" s="1"/>
  <c r="AG274" i="31"/>
  <c r="AH377" i="31"/>
  <c r="AI377" i="31" s="1"/>
  <c r="AG377" i="31"/>
  <c r="AH291" i="31"/>
  <c r="AI291" i="31" s="1"/>
  <c r="AG291" i="31"/>
  <c r="AX603" i="31"/>
  <c r="AY603" i="31" s="1"/>
  <c r="AX304" i="31"/>
  <c r="AY304" i="31" s="1"/>
  <c r="AG462" i="31"/>
  <c r="AH462" i="31"/>
  <c r="AI462" i="31" s="1"/>
  <c r="AX565" i="31"/>
  <c r="AY565" i="31" s="1"/>
  <c r="AH493" i="31"/>
  <c r="AI493" i="31" s="1"/>
  <c r="AG493" i="31"/>
  <c r="AV492" i="31" s="1"/>
  <c r="AW492" i="31" s="1"/>
  <c r="AH116" i="31"/>
  <c r="AI116" i="31" s="1"/>
  <c r="AG116" i="31"/>
  <c r="AV115" i="31" s="1"/>
  <c r="AW115" i="31" s="1"/>
  <c r="AH17" i="31"/>
  <c r="AI17" i="31" s="1"/>
  <c r="AG17" i="31"/>
  <c r="AH468" i="31"/>
  <c r="AI468" i="31" s="1"/>
  <c r="AG468" i="31"/>
  <c r="AV467" i="31" s="1"/>
  <c r="AW467" i="31" s="1"/>
  <c r="AG292" i="31"/>
  <c r="AH292" i="31"/>
  <c r="AI292" i="31" s="1"/>
  <c r="AH299" i="31"/>
  <c r="AI299" i="31" s="1"/>
  <c r="AG299" i="31"/>
  <c r="AG447" i="31"/>
  <c r="AH447" i="31"/>
  <c r="AI447" i="31" s="1"/>
  <c r="AH500" i="31"/>
  <c r="AI500" i="31" s="1"/>
  <c r="AG500" i="31"/>
  <c r="AG298" i="31"/>
  <c r="AH298" i="31"/>
  <c r="AI298" i="31" s="1"/>
  <c r="AG184" i="31"/>
  <c r="AH184" i="31"/>
  <c r="AI184" i="31" s="1"/>
  <c r="AG314" i="31"/>
  <c r="AH314" i="31"/>
  <c r="AI314" i="31" s="1"/>
  <c r="AH365" i="31"/>
  <c r="AI365" i="31" s="1"/>
  <c r="AG365" i="31"/>
  <c r="AG221" i="31"/>
  <c r="AH221" i="31"/>
  <c r="AI221" i="31" s="1"/>
  <c r="AX36" i="31"/>
  <c r="AY36" i="31" s="1"/>
  <c r="AG228" i="31"/>
  <c r="AH228" i="31"/>
  <c r="AI228" i="31" s="1"/>
  <c r="AG623" i="31"/>
  <c r="F633" i="31" s="1"/>
  <c r="AH623" i="31"/>
  <c r="AI623" i="31" s="1"/>
  <c r="AG191" i="31"/>
  <c r="AH191" i="31"/>
  <c r="AI191" i="31" s="1"/>
  <c r="AH156" i="31"/>
  <c r="AI156" i="31" s="1"/>
  <c r="AG156" i="31"/>
  <c r="AX248" i="31"/>
  <c r="AY248" i="31" s="1"/>
  <c r="AX111" i="31"/>
  <c r="AY111" i="31" s="1"/>
  <c r="AX362" i="31"/>
  <c r="AY362" i="31" s="1"/>
  <c r="AH58" i="31"/>
  <c r="AI58" i="31" s="1"/>
  <c r="AG58" i="31"/>
  <c r="AH26" i="31"/>
  <c r="AI26" i="31" s="1"/>
  <c r="AG26" i="31"/>
  <c r="AX595" i="31"/>
  <c r="AY595" i="31" s="1"/>
  <c r="AH547" i="31"/>
  <c r="AI547" i="31" s="1"/>
  <c r="AG547" i="31"/>
  <c r="AH522" i="31"/>
  <c r="AI522" i="31" s="1"/>
  <c r="AG522" i="31"/>
  <c r="AH373" i="31"/>
  <c r="AI373" i="31" s="1"/>
  <c r="AG373" i="31"/>
  <c r="AG66" i="31"/>
  <c r="AH66" i="31"/>
  <c r="AI66" i="31" s="1"/>
  <c r="AH69" i="31"/>
  <c r="AI69" i="31" s="1"/>
  <c r="AG69" i="31"/>
  <c r="AX239" i="31"/>
  <c r="AY239" i="31" s="1"/>
  <c r="AH238" i="31"/>
  <c r="AI238" i="31" s="1"/>
  <c r="AG238" i="31"/>
  <c r="AG270" i="31"/>
  <c r="AH270" i="31"/>
  <c r="AI270" i="31" s="1"/>
  <c r="AG176" i="31"/>
  <c r="AH176" i="31"/>
  <c r="AI176" i="31" s="1"/>
  <c r="AG422" i="31"/>
  <c r="AH422" i="31"/>
  <c r="AI422" i="31" s="1"/>
  <c r="AX314" i="31"/>
  <c r="AY314" i="31" s="1"/>
  <c r="AX593" i="31"/>
  <c r="AY593" i="31" s="1"/>
  <c r="AH343" i="31"/>
  <c r="AI343" i="31" s="1"/>
  <c r="AG343" i="31"/>
  <c r="AX540" i="31"/>
  <c r="AY540" i="31" s="1"/>
  <c r="AX331" i="31"/>
  <c r="AY331" i="31" s="1"/>
  <c r="AG353" i="31"/>
  <c r="AH353" i="31"/>
  <c r="AI353" i="31" s="1"/>
  <c r="AH195" i="31"/>
  <c r="AI195" i="31" s="1"/>
  <c r="AG195" i="31"/>
  <c r="AH416" i="31"/>
  <c r="AI416" i="31" s="1"/>
  <c r="AG416" i="31"/>
  <c r="AH466" i="31"/>
  <c r="AI466" i="31" s="1"/>
  <c r="AG466" i="31"/>
  <c r="AH73" i="31"/>
  <c r="AI73" i="31" s="1"/>
  <c r="AG73" i="31"/>
  <c r="AX307" i="31"/>
  <c r="AY307" i="31" s="1"/>
  <c r="AX162" i="31"/>
  <c r="AY162" i="31" s="1"/>
  <c r="AG273" i="31"/>
  <c r="AH273" i="31"/>
  <c r="AI273" i="31" s="1"/>
  <c r="AH436" i="31"/>
  <c r="AI436" i="31" s="1"/>
  <c r="AG436" i="31"/>
  <c r="AG48" i="31"/>
  <c r="AH48" i="31"/>
  <c r="AI48" i="31" s="1"/>
  <c r="AX100" i="31"/>
  <c r="AY100" i="31" s="1"/>
  <c r="AX443" i="31"/>
  <c r="AY443" i="31" s="1"/>
  <c r="AX563" i="31"/>
  <c r="AY563" i="31" s="1"/>
  <c r="AG310" i="31"/>
  <c r="AH310" i="31"/>
  <c r="AI310" i="31" s="1"/>
  <c r="AH51" i="31"/>
  <c r="AI51" i="31" s="1"/>
  <c r="AG51" i="31"/>
  <c r="AX576" i="31"/>
  <c r="AY576" i="31" s="1"/>
  <c r="AX544" i="31"/>
  <c r="AY544" i="31" s="1"/>
  <c r="AH456" i="31"/>
  <c r="AI456" i="31" s="1"/>
  <c r="AG456" i="31"/>
  <c r="AX33" i="31"/>
  <c r="AY33" i="31" s="1"/>
  <c r="AH496" i="31"/>
  <c r="AI496" i="31" s="1"/>
  <c r="AG496" i="31"/>
  <c r="AX451" i="31"/>
  <c r="AY451" i="31" s="1"/>
  <c r="AX373" i="31"/>
  <c r="AY373" i="31" s="1"/>
  <c r="AH403" i="31"/>
  <c r="AI403" i="31" s="1"/>
  <c r="AG403" i="31"/>
  <c r="AX169" i="31"/>
  <c r="AY169" i="31" s="1"/>
  <c r="AH93" i="31"/>
  <c r="AI93" i="31" s="1"/>
  <c r="AG93" i="31"/>
  <c r="AG563" i="31"/>
  <c r="AH563" i="31"/>
  <c r="AI563" i="31" s="1"/>
  <c r="AX471" i="31"/>
  <c r="AY471" i="31" s="1"/>
  <c r="AX205" i="31"/>
  <c r="AY205" i="31" s="1"/>
  <c r="AG80" i="31"/>
  <c r="AH80" i="31"/>
  <c r="AI80" i="31" s="1"/>
  <c r="AH157" i="31"/>
  <c r="AI157" i="31" s="1"/>
  <c r="AG157" i="31"/>
  <c r="AV156" i="31" s="1"/>
  <c r="AW156" i="31" s="1"/>
  <c r="AH494" i="31"/>
  <c r="AI494" i="31" s="1"/>
  <c r="AG494" i="31"/>
  <c r="AH215" i="31"/>
  <c r="AI215" i="31" s="1"/>
  <c r="AG215" i="31"/>
  <c r="AX271" i="31"/>
  <c r="AY271" i="31" s="1"/>
  <c r="AX267" i="31"/>
  <c r="AY267" i="31" s="1"/>
  <c r="AH146" i="31"/>
  <c r="AI146" i="31" s="1"/>
  <c r="AG146" i="31"/>
  <c r="AX159" i="31"/>
  <c r="AY159" i="31" s="1"/>
  <c r="AH568" i="31"/>
  <c r="AI568" i="31" s="1"/>
  <c r="AG568" i="31"/>
  <c r="AG283" i="31"/>
  <c r="AH283" i="31"/>
  <c r="AI283" i="31" s="1"/>
  <c r="AX502" i="31"/>
  <c r="AY502" i="31" s="1"/>
  <c r="AG125" i="31"/>
  <c r="AH125" i="31"/>
  <c r="AI125" i="31" s="1"/>
  <c r="AG584" i="31"/>
  <c r="AH584" i="31"/>
  <c r="AI584" i="31" s="1"/>
  <c r="AG300" i="31"/>
  <c r="AH300" i="31"/>
  <c r="AI300" i="31" s="1"/>
  <c r="AH313" i="31"/>
  <c r="AI313" i="31" s="1"/>
  <c r="AG313" i="31"/>
  <c r="AG476" i="31"/>
  <c r="AH476" i="31"/>
  <c r="AI476" i="31" s="1"/>
  <c r="AG597" i="31"/>
  <c r="AH597" i="31"/>
  <c r="AI597" i="31" s="1"/>
  <c r="AH263" i="31"/>
  <c r="AI263" i="31" s="1"/>
  <c r="AG263" i="31"/>
  <c r="AH45" i="31"/>
  <c r="AI45" i="31" s="1"/>
  <c r="AG45" i="31"/>
  <c r="AH569" i="31"/>
  <c r="AI569" i="31" s="1"/>
  <c r="AG569" i="31"/>
  <c r="AH544" i="31"/>
  <c r="AI544" i="31" s="1"/>
  <c r="AG544" i="31"/>
  <c r="AH104" i="31"/>
  <c r="AI104" i="31" s="1"/>
  <c r="AG104" i="31"/>
  <c r="AV103" i="31" s="1"/>
  <c r="AW103" i="31" s="1"/>
  <c r="AG110" i="31"/>
  <c r="AH110" i="31"/>
  <c r="AI110" i="31" s="1"/>
  <c r="AH155" i="31"/>
  <c r="AI155" i="31" s="1"/>
  <c r="AG155" i="31"/>
  <c r="AH464" i="31"/>
  <c r="AI464" i="31" s="1"/>
  <c r="AG464" i="31"/>
  <c r="AX15" i="31"/>
  <c r="AY15" i="31" s="1"/>
  <c r="AH262" i="31"/>
  <c r="AI262" i="31" s="1"/>
  <c r="AG262" i="31"/>
  <c r="AH181" i="31"/>
  <c r="AI181" i="31" s="1"/>
  <c r="AG181" i="31"/>
  <c r="AH357" i="31"/>
  <c r="AI357" i="31" s="1"/>
  <c r="AG357" i="31"/>
  <c r="AH601" i="31"/>
  <c r="AI601" i="31" s="1"/>
  <c r="AG601" i="31"/>
  <c r="AH150" i="31"/>
  <c r="AI150" i="31" s="1"/>
  <c r="AG150" i="31"/>
  <c r="AG145" i="31"/>
  <c r="AH145" i="31"/>
  <c r="AI145" i="31" s="1"/>
  <c r="AH127" i="31"/>
  <c r="AI127" i="31" s="1"/>
  <c r="AG127" i="31"/>
  <c r="AH355" i="31"/>
  <c r="AI355" i="31" s="1"/>
  <c r="AG355" i="31"/>
  <c r="AX341" i="31"/>
  <c r="AY341" i="31" s="1"/>
  <c r="AX143" i="31"/>
  <c r="AY143" i="31" s="1"/>
  <c r="AH55" i="31"/>
  <c r="AI55" i="31" s="1"/>
  <c r="AG55" i="31"/>
  <c r="AH42" i="31"/>
  <c r="AI42" i="31" s="1"/>
  <c r="AG42" i="31"/>
  <c r="AH344" i="31"/>
  <c r="AI344" i="31" s="1"/>
  <c r="AG344" i="31"/>
  <c r="AG207" i="31"/>
  <c r="AH207" i="31"/>
  <c r="AI207" i="31" s="1"/>
  <c r="AH435" i="31"/>
  <c r="AI435" i="31" s="1"/>
  <c r="AG435" i="31"/>
  <c r="AH282" i="31"/>
  <c r="AI282" i="31" s="1"/>
  <c r="AG282" i="31"/>
  <c r="AV281" i="31" s="1"/>
  <c r="AW281" i="31" s="1"/>
  <c r="AH119" i="31"/>
  <c r="AI119" i="31" s="1"/>
  <c r="AG119" i="31"/>
  <c r="AX601" i="31"/>
  <c r="AY601" i="31" s="1"/>
  <c r="AH319" i="31"/>
  <c r="AI319" i="31" s="1"/>
  <c r="AG319" i="31"/>
  <c r="AH311" i="31"/>
  <c r="AI311" i="31" s="1"/>
  <c r="AG311" i="31"/>
  <c r="AH183" i="31"/>
  <c r="AI183" i="31" s="1"/>
  <c r="AG183" i="31"/>
  <c r="AG360" i="31"/>
  <c r="AH360" i="31"/>
  <c r="AI360" i="31" s="1"/>
  <c r="AX351" i="31"/>
  <c r="AY351" i="31" s="1"/>
  <c r="AH126" i="31"/>
  <c r="AI126" i="31" s="1"/>
  <c r="AG126" i="31"/>
  <c r="AG420" i="31"/>
  <c r="AH420" i="31"/>
  <c r="AI420" i="31" s="1"/>
  <c r="AX311" i="31"/>
  <c r="AY311" i="31" s="1"/>
  <c r="AH190" i="31"/>
  <c r="AI190" i="31" s="1"/>
  <c r="AG190" i="31"/>
  <c r="AX277" i="31"/>
  <c r="AY277" i="31" s="1"/>
  <c r="AX247" i="31"/>
  <c r="AY247" i="31" s="1"/>
  <c r="AX270" i="31"/>
  <c r="AY270" i="31" s="1"/>
  <c r="AG239" i="31"/>
  <c r="AH239" i="31"/>
  <c r="AI239" i="31" s="1"/>
  <c r="AH210" i="31"/>
  <c r="AI210" i="31" s="1"/>
  <c r="AG210" i="31"/>
  <c r="AG20" i="31"/>
  <c r="AH20" i="31"/>
  <c r="AI20" i="31" s="1"/>
  <c r="AH477" i="31"/>
  <c r="AI477" i="31" s="1"/>
  <c r="AG477" i="31"/>
  <c r="AH550" i="31"/>
  <c r="AI550" i="31" s="1"/>
  <c r="AG550" i="31"/>
  <c r="AH501" i="31"/>
  <c r="AI501" i="31" s="1"/>
  <c r="AG501" i="31"/>
  <c r="AX136" i="31"/>
  <c r="AY136" i="31" s="1"/>
  <c r="AG158" i="31"/>
  <c r="AH158" i="31"/>
  <c r="AI158" i="31" s="1"/>
  <c r="AH540" i="31"/>
  <c r="AI540" i="31" s="1"/>
  <c r="AG540" i="31"/>
  <c r="AX532" i="31"/>
  <c r="AY532" i="31" s="1"/>
  <c r="AH499" i="31"/>
  <c r="AI499" i="31" s="1"/>
  <c r="AG499" i="31"/>
  <c r="AX349" i="31"/>
  <c r="AY349" i="31" s="1"/>
  <c r="AG579" i="31"/>
  <c r="AH579" i="31"/>
  <c r="AI579" i="31" s="1"/>
  <c r="AH214" i="31"/>
  <c r="AI214" i="31" s="1"/>
  <c r="AG214" i="31"/>
  <c r="AG361" i="31"/>
  <c r="AH361" i="31"/>
  <c r="AI361" i="31" s="1"/>
  <c r="AX398" i="31"/>
  <c r="AY398" i="31" s="1"/>
  <c r="AX183" i="31"/>
  <c r="AY183" i="31" s="1"/>
  <c r="AH324" i="31"/>
  <c r="AI324" i="31" s="1"/>
  <c r="AG324" i="31"/>
  <c r="AH264" i="31"/>
  <c r="AI264" i="31" s="1"/>
  <c r="AG264" i="31"/>
  <c r="AH189" i="31"/>
  <c r="AI189" i="31" s="1"/>
  <c r="AG189" i="31"/>
  <c r="AH578" i="31"/>
  <c r="AI578" i="31" s="1"/>
  <c r="AG578" i="31"/>
  <c r="AH266" i="31"/>
  <c r="AI266" i="31" s="1"/>
  <c r="AG266" i="31"/>
  <c r="AH172" i="31"/>
  <c r="AI172" i="31" s="1"/>
  <c r="AG172" i="31"/>
  <c r="AX590" i="31"/>
  <c r="AY590" i="31" s="1"/>
  <c r="AH68" i="31"/>
  <c r="AI68" i="31" s="1"/>
  <c r="AG68" i="31"/>
  <c r="AH74" i="31"/>
  <c r="AI74" i="31" s="1"/>
  <c r="AG74" i="31"/>
  <c r="AX137" i="31"/>
  <c r="AY137" i="31" s="1"/>
  <c r="AG200" i="31"/>
  <c r="AH200" i="31"/>
  <c r="AI200" i="31" s="1"/>
  <c r="AH22" i="31"/>
  <c r="AI22" i="31" s="1"/>
  <c r="AG22" i="31"/>
  <c r="AV21" i="31" s="1"/>
  <c r="AW21" i="31" s="1"/>
  <c r="AX551" i="31"/>
  <c r="AY551" i="31" s="1"/>
  <c r="AG85" i="31"/>
  <c r="AV84" i="31" s="1"/>
  <c r="AW84" i="31" s="1"/>
  <c r="AH85" i="31"/>
  <c r="AI85" i="31" s="1"/>
  <c r="AX57" i="31"/>
  <c r="AY57" i="31" s="1"/>
  <c r="AX524" i="31"/>
  <c r="AY524" i="31" s="1"/>
  <c r="AH86" i="31"/>
  <c r="AI86" i="31" s="1"/>
  <c r="AG86" i="31"/>
  <c r="AX22" i="31"/>
  <c r="AY22" i="31" s="1"/>
  <c r="AX25" i="31"/>
  <c r="AY25" i="31" s="1"/>
  <c r="AH485" i="31"/>
  <c r="AI485" i="31" s="1"/>
  <c r="AG485" i="31"/>
  <c r="AH186" i="31"/>
  <c r="AI186" i="31" s="1"/>
  <c r="AG186" i="31"/>
  <c r="AV185" i="31" s="1"/>
  <c r="AW185" i="31" s="1"/>
  <c r="AH139" i="31"/>
  <c r="AI139" i="31" s="1"/>
  <c r="AG139" i="31"/>
  <c r="AH329" i="31"/>
  <c r="AI329" i="31" s="1"/>
  <c r="AG329" i="31"/>
  <c r="AH391" i="31"/>
  <c r="AI391" i="31" s="1"/>
  <c r="AG391" i="31"/>
  <c r="AG52" i="31"/>
  <c r="AH52" i="31"/>
  <c r="AI52" i="31" s="1"/>
  <c r="AX344" i="31"/>
  <c r="AY344" i="31" s="1"/>
  <c r="AG594" i="31"/>
  <c r="AH594" i="31"/>
  <c r="AI594" i="31" s="1"/>
  <c r="AX357" i="31"/>
  <c r="AY357" i="31" s="1"/>
  <c r="AX342" i="31"/>
  <c r="AY342" i="31" s="1"/>
  <c r="AG426" i="31"/>
  <c r="AH426" i="31"/>
  <c r="AI426" i="31" s="1"/>
  <c r="AH473" i="31"/>
  <c r="AI473" i="31" s="1"/>
  <c r="AG473" i="31"/>
  <c r="AG244" i="31"/>
  <c r="AH244" i="31"/>
  <c r="AI244" i="31" s="1"/>
  <c r="AH204" i="31"/>
  <c r="AI204" i="31" s="1"/>
  <c r="AG204" i="31"/>
  <c r="AX401" i="31"/>
  <c r="AY401" i="31" s="1"/>
  <c r="AG368" i="31"/>
  <c r="AH368" i="31"/>
  <c r="AI368" i="31" s="1"/>
  <c r="AG164" i="31"/>
  <c r="AH164" i="31"/>
  <c r="AI164" i="31" s="1"/>
  <c r="AG148" i="31"/>
  <c r="AH148" i="31"/>
  <c r="AI148" i="31" s="1"/>
  <c r="AH389" i="31"/>
  <c r="AI389" i="31" s="1"/>
  <c r="AG389" i="31"/>
  <c r="AX301" i="31"/>
  <c r="AY301" i="31" s="1"/>
  <c r="AH88" i="31"/>
  <c r="AI88" i="31" s="1"/>
  <c r="AG88" i="31"/>
  <c r="AX131" i="31"/>
  <c r="AY131" i="31" s="1"/>
  <c r="AX535" i="31"/>
  <c r="AY535" i="31" s="1"/>
  <c r="AH413" i="31"/>
  <c r="AI413" i="31" s="1"/>
  <c r="AG413" i="31"/>
  <c r="AX292" i="31"/>
  <c r="AY292" i="31" s="1"/>
  <c r="AH461" i="31"/>
  <c r="AI461" i="31" s="1"/>
  <c r="AG461" i="31"/>
  <c r="AH412" i="31"/>
  <c r="AI412" i="31" s="1"/>
  <c r="AG412" i="31"/>
  <c r="AH607" i="31"/>
  <c r="AI607" i="31" s="1"/>
  <c r="AG607" i="31"/>
  <c r="AH481" i="31"/>
  <c r="AI481" i="31" s="1"/>
  <c r="AG481" i="31"/>
  <c r="AH542" i="31"/>
  <c r="AI542" i="31" s="1"/>
  <c r="AG542" i="31"/>
  <c r="AX402" i="31"/>
  <c r="AY402" i="31" s="1"/>
  <c r="AH556" i="31"/>
  <c r="AI556" i="31" s="1"/>
  <c r="AG556" i="31"/>
  <c r="AX92" i="31"/>
  <c r="AY92" i="31" s="1"/>
  <c r="AH71" i="31"/>
  <c r="AI71" i="31" s="1"/>
  <c r="AG71" i="31"/>
  <c r="AX308" i="31"/>
  <c r="AY308" i="31" s="1"/>
  <c r="AG252" i="31"/>
  <c r="AH252" i="31"/>
  <c r="AI252" i="31" s="1"/>
  <c r="AH260" i="31"/>
  <c r="AI260" i="31" s="1"/>
  <c r="AG260" i="31"/>
  <c r="AX156" i="31"/>
  <c r="AY156" i="31" s="1"/>
  <c r="AX240" i="31"/>
  <c r="AY240" i="31" s="1"/>
  <c r="AX493" i="31"/>
  <c r="AY493" i="31" s="1"/>
  <c r="AX378" i="31"/>
  <c r="AY378" i="31" s="1"/>
  <c r="AH246" i="31"/>
  <c r="AI246" i="31" s="1"/>
  <c r="AG246" i="31"/>
  <c r="AX145" i="31"/>
  <c r="AY145" i="31" s="1"/>
  <c r="AH227" i="31"/>
  <c r="AI227" i="31" s="1"/>
  <c r="AG227" i="31"/>
  <c r="AH46" i="31"/>
  <c r="AI46" i="31" s="1"/>
  <c r="AG46" i="31"/>
  <c r="AX282" i="31"/>
  <c r="AY282" i="31" s="1"/>
  <c r="AH121" i="31"/>
  <c r="AI121" i="31" s="1"/>
  <c r="AG121" i="31"/>
  <c r="AX117" i="31"/>
  <c r="AY117" i="31" s="1"/>
  <c r="AH123" i="31"/>
  <c r="AI123" i="31" s="1"/>
  <c r="AG123" i="31"/>
  <c r="AH242" i="31"/>
  <c r="AI242" i="31" s="1"/>
  <c r="AG242" i="31"/>
  <c r="AX420" i="31"/>
  <c r="AY420" i="31" s="1"/>
  <c r="AX187" i="31"/>
  <c r="AY187" i="31" s="1"/>
  <c r="AH194" i="31"/>
  <c r="AI194" i="31" s="1"/>
  <c r="AG194" i="31"/>
  <c r="AX124" i="31"/>
  <c r="AY124" i="31" s="1"/>
  <c r="AH495" i="31"/>
  <c r="AI495" i="31" s="1"/>
  <c r="AG495" i="31"/>
  <c r="AH486" i="31"/>
  <c r="AI486" i="31" s="1"/>
  <c r="AG486" i="31"/>
  <c r="AX312" i="31"/>
  <c r="AY312" i="31" s="1"/>
  <c r="AX475" i="31"/>
  <c r="AY475" i="31" s="1"/>
  <c r="Q17" i="8"/>
  <c r="R17" i="8" s="1"/>
  <c r="E221" i="2" s="1"/>
  <c r="G220" i="2"/>
  <c r="E67" i="1" s="1"/>
  <c r="H220" i="2"/>
  <c r="AV555" i="31" l="1"/>
  <c r="AW555" i="31" s="1"/>
  <c r="AV582" i="31"/>
  <c r="AW582" i="31" s="1"/>
  <c r="AV505" i="31"/>
  <c r="AW505" i="31" s="1"/>
  <c r="AV358" i="31"/>
  <c r="AW358" i="31" s="1"/>
  <c r="AV50" i="31"/>
  <c r="AW50" i="31" s="1"/>
  <c r="AV546" i="31"/>
  <c r="AW546" i="31" s="1"/>
  <c r="AV604" i="31"/>
  <c r="AW604" i="31" s="1"/>
  <c r="AV417" i="31"/>
  <c r="AW417" i="31" s="1"/>
  <c r="AV171" i="31"/>
  <c r="AW171" i="31" s="1"/>
  <c r="AV539" i="31"/>
  <c r="AW539" i="31" s="1"/>
  <c r="AV154" i="31"/>
  <c r="AW154" i="31" s="1"/>
  <c r="AV92" i="31"/>
  <c r="AW92" i="31" s="1"/>
  <c r="AV54" i="31"/>
  <c r="AW54" i="31" s="1"/>
  <c r="AV455" i="31"/>
  <c r="AW455" i="31" s="1"/>
  <c r="AV143" i="31"/>
  <c r="AW143" i="31" s="1"/>
  <c r="AV553" i="31"/>
  <c r="AW553" i="31" s="1"/>
  <c r="AV33" i="31"/>
  <c r="AW33" i="31" s="1"/>
  <c r="AV328" i="31"/>
  <c r="AW328" i="31" s="1"/>
  <c r="AV72" i="31"/>
  <c r="AW72" i="31" s="1"/>
  <c r="AV402" i="31"/>
  <c r="AW402" i="31" s="1"/>
  <c r="AV362" i="31"/>
  <c r="AW362" i="31" s="1"/>
  <c r="AV251" i="31"/>
  <c r="AW251" i="31" s="1"/>
  <c r="AV124" i="31"/>
  <c r="AW124" i="31" s="1"/>
  <c r="AV258" i="31"/>
  <c r="AW258" i="31" s="1"/>
  <c r="B224" i="2"/>
  <c r="B223" i="2"/>
  <c r="AV241" i="31"/>
  <c r="AW241" i="31" s="1"/>
  <c r="AV70" i="31"/>
  <c r="AW70" i="31" s="1"/>
  <c r="AV480" i="31"/>
  <c r="AW480" i="31" s="1"/>
  <c r="AV261" i="31"/>
  <c r="AW261" i="31" s="1"/>
  <c r="AV79" i="31"/>
  <c r="AW79" i="31" s="1"/>
  <c r="AV117" i="31"/>
  <c r="AW117" i="31" s="1"/>
  <c r="AV588" i="31"/>
  <c r="AW588" i="31" s="1"/>
  <c r="AV224" i="31"/>
  <c r="AW224" i="31" s="1"/>
  <c r="AV449" i="31"/>
  <c r="AW449" i="31" s="1"/>
  <c r="AV201" i="31"/>
  <c r="AW201" i="31" s="1"/>
  <c r="AV474" i="31"/>
  <c r="AW474" i="31" s="1"/>
  <c r="AV367" i="31"/>
  <c r="AW367" i="31" s="1"/>
  <c r="AV606" i="31"/>
  <c r="AW606" i="31" s="1"/>
  <c r="AV209" i="31"/>
  <c r="AW209" i="31" s="1"/>
  <c r="AV551" i="31"/>
  <c r="AW551" i="31" s="1"/>
  <c r="AV111" i="31"/>
  <c r="AW111" i="31" s="1"/>
  <c r="AV457" i="31"/>
  <c r="AW457" i="31" s="1"/>
  <c r="AV134" i="31"/>
  <c r="AW134" i="31" s="1"/>
  <c r="AV64" i="31"/>
  <c r="AW64" i="31" s="1"/>
  <c r="AV259" i="31"/>
  <c r="AW259" i="31" s="1"/>
  <c r="AV147" i="31"/>
  <c r="AW147" i="31" s="1"/>
  <c r="AV352" i="31"/>
  <c r="AW352" i="31" s="1"/>
  <c r="AV530" i="31"/>
  <c r="AW530" i="31" s="1"/>
  <c r="AV272" i="31"/>
  <c r="AW272" i="31" s="1"/>
  <c r="AV297" i="31"/>
  <c r="AW297" i="31" s="1"/>
  <c r="AV483" i="31"/>
  <c r="AW483" i="31" s="1"/>
  <c r="AV372" i="31"/>
  <c r="AW372" i="31" s="1"/>
  <c r="AV343" i="31"/>
  <c r="AW343" i="31" s="1"/>
  <c r="AV567" i="31"/>
  <c r="AW567" i="31" s="1"/>
  <c r="AV59" i="31"/>
  <c r="AW59" i="31" s="1"/>
  <c r="AV405" i="31"/>
  <c r="AW405" i="31" s="1"/>
  <c r="AV600" i="31"/>
  <c r="AW600" i="31" s="1"/>
  <c r="AV586" i="31"/>
  <c r="AW586" i="31" s="1"/>
  <c r="AV452" i="31"/>
  <c r="AW452" i="31" s="1"/>
  <c r="AV576" i="31"/>
  <c r="AW576" i="31" s="1"/>
  <c r="AV437" i="31"/>
  <c r="AW437" i="31" s="1"/>
  <c r="AV149" i="31"/>
  <c r="AW149" i="31" s="1"/>
  <c r="AV596" i="31"/>
  <c r="AW596" i="31" s="1"/>
  <c r="AV232" i="31"/>
  <c r="AW232" i="31" s="1"/>
  <c r="AV159" i="31"/>
  <c r="AW159" i="31" s="1"/>
  <c r="AV106" i="31"/>
  <c r="AW106" i="31" s="1"/>
  <c r="AV142" i="31"/>
  <c r="AW142" i="31" s="1"/>
  <c r="AV199" i="31"/>
  <c r="AW199" i="31" s="1"/>
  <c r="AV271" i="31"/>
  <c r="AW271" i="31" s="1"/>
  <c r="AV95" i="31"/>
  <c r="AW95" i="31" s="1"/>
  <c r="AV267" i="31"/>
  <c r="AW267" i="31" s="1"/>
  <c r="AV19" i="31"/>
  <c r="AW19" i="31" s="1"/>
  <c r="AV508" i="31"/>
  <c r="AW508" i="31" s="1"/>
  <c r="AV337" i="31"/>
  <c r="AW337" i="31" s="1"/>
  <c r="AV393" i="31"/>
  <c r="AW393" i="31" s="1"/>
  <c r="AV305" i="31"/>
  <c r="AW305" i="31" s="1"/>
  <c r="AV179" i="31"/>
  <c r="AW179" i="31" s="1"/>
  <c r="AV87" i="31"/>
  <c r="AW87" i="31" s="1"/>
  <c r="AV419" i="31"/>
  <c r="AW419" i="31" s="1"/>
  <c r="AV534" i="31"/>
  <c r="AW534" i="31" s="1"/>
  <c r="AV434" i="31"/>
  <c r="AW434" i="31" s="1"/>
  <c r="AV25" i="31"/>
  <c r="AW25" i="31" s="1"/>
  <c r="AV400" i="31"/>
  <c r="AW400" i="31" s="1"/>
  <c r="AV516" i="31"/>
  <c r="AW516" i="31" s="1"/>
  <c r="AV144" i="31"/>
  <c r="AW144" i="31" s="1"/>
  <c r="AV269" i="31"/>
  <c r="AW269" i="31" s="1"/>
  <c r="AV276" i="31"/>
  <c r="AW276" i="31" s="1"/>
  <c r="AV541" i="31"/>
  <c r="AW541" i="31" s="1"/>
  <c r="AV484" i="31"/>
  <c r="AW484" i="31" s="1"/>
  <c r="AV169" i="31"/>
  <c r="AW169" i="31" s="1"/>
  <c r="AV439" i="31"/>
  <c r="AW439" i="31" s="1"/>
  <c r="AV62" i="31"/>
  <c r="AW62" i="31" s="1"/>
  <c r="AV28" i="31"/>
  <c r="AW28" i="31" s="1"/>
  <c r="AV217" i="31"/>
  <c r="AW217" i="31" s="1"/>
  <c r="AV35" i="31"/>
  <c r="AW35" i="31" s="1"/>
  <c r="AV18" i="31"/>
  <c r="AW18" i="31" s="1"/>
  <c r="AV213" i="31"/>
  <c r="AW213" i="31" s="1"/>
  <c r="AV548" i="31"/>
  <c r="AW548" i="31" s="1"/>
  <c r="AV131" i="31"/>
  <c r="AW131" i="31" s="1"/>
  <c r="AV382" i="31"/>
  <c r="AW382" i="31" s="1"/>
  <c r="AV118" i="31"/>
  <c r="AW118" i="31" s="1"/>
  <c r="AV364" i="31"/>
  <c r="AW364" i="31" s="1"/>
  <c r="AV611" i="31"/>
  <c r="AW611" i="31" s="1"/>
  <c r="AV521" i="31"/>
  <c r="AW521" i="31" s="1"/>
  <c r="AV129" i="31"/>
  <c r="AW129" i="31" s="1"/>
  <c r="AV562" i="31"/>
  <c r="AW562" i="31" s="1"/>
  <c r="AV523" i="31"/>
  <c r="AW523" i="31" s="1"/>
  <c r="AV120" i="31"/>
  <c r="AW120" i="31" s="1"/>
  <c r="AV163" i="31"/>
  <c r="AW163" i="31" s="1"/>
  <c r="AV99" i="31"/>
  <c r="AW99" i="31" s="1"/>
  <c r="AV65" i="31"/>
  <c r="AW65" i="31" s="1"/>
  <c r="AV366" i="31"/>
  <c r="AW366" i="31" s="1"/>
  <c r="AV135" i="31"/>
  <c r="AW135" i="31" s="1"/>
  <c r="AV284" i="31"/>
  <c r="AW284" i="31" s="1"/>
  <c r="AV109" i="31"/>
  <c r="AW109" i="31" s="1"/>
  <c r="AV122" i="31"/>
  <c r="AW122" i="31" s="1"/>
  <c r="AV394" i="31"/>
  <c r="AW394" i="31" s="1"/>
  <c r="AV411" i="31"/>
  <c r="AW411" i="31" s="1"/>
  <c r="AV593" i="31"/>
  <c r="AW593" i="31" s="1"/>
  <c r="AV356" i="31"/>
  <c r="AW356" i="31" s="1"/>
  <c r="AV572" i="31"/>
  <c r="AW572" i="31" s="1"/>
  <c r="AV166" i="31"/>
  <c r="AW166" i="31" s="1"/>
  <c r="AV101" i="31"/>
  <c r="AW101" i="31" s="1"/>
  <c r="AV132" i="31"/>
  <c r="AW132" i="31" s="1"/>
  <c r="AV212" i="31"/>
  <c r="AW212" i="31" s="1"/>
  <c r="AV333" i="31"/>
  <c r="AW333" i="31" s="1"/>
  <c r="AV137" i="31"/>
  <c r="AW137" i="31" s="1"/>
  <c r="AV414" i="31"/>
  <c r="AW414" i="31" s="1"/>
  <c r="AV161" i="31"/>
  <c r="AW161" i="31" s="1"/>
  <c r="AV338" i="31"/>
  <c r="AW338" i="31" s="1"/>
  <c r="AV500" i="31"/>
  <c r="AW500" i="31" s="1"/>
  <c r="AV299" i="31"/>
  <c r="AW299" i="31" s="1"/>
  <c r="AV218" i="31"/>
  <c r="AW218" i="31" s="1"/>
  <c r="AV476" i="31"/>
  <c r="AW476" i="31" s="1"/>
  <c r="AV506" i="31"/>
  <c r="AW506" i="31" s="1"/>
  <c r="AV294" i="31"/>
  <c r="AW294" i="31" s="1"/>
  <c r="AV359" i="31"/>
  <c r="AW359" i="31" s="1"/>
  <c r="AV510" i="31"/>
  <c r="AW510" i="31" s="1"/>
  <c r="AV497" i="31"/>
  <c r="AW497" i="31" s="1"/>
  <c r="AV192" i="31"/>
  <c r="AW192" i="31" s="1"/>
  <c r="AV441" i="31"/>
  <c r="AW441" i="31" s="1"/>
  <c r="AV475" i="31"/>
  <c r="AW475" i="31" s="1"/>
  <c r="AV342" i="31"/>
  <c r="AW342" i="31" s="1"/>
  <c r="AV245" i="31"/>
  <c r="AW245" i="31" s="1"/>
  <c r="AV577" i="31"/>
  <c r="AW577" i="31" s="1"/>
  <c r="AV286" i="31"/>
  <c r="AW286" i="31" s="1"/>
  <c r="AV383" i="31"/>
  <c r="AW383" i="31" s="1"/>
  <c r="AV490" i="31"/>
  <c r="AW490" i="31" s="1"/>
  <c r="AV203" i="31"/>
  <c r="AW203" i="31" s="1"/>
  <c r="AV188" i="31"/>
  <c r="AW188" i="31" s="1"/>
  <c r="AV206" i="31"/>
  <c r="AW206" i="31" s="1"/>
  <c r="AV152" i="31"/>
  <c r="AW152" i="31" s="1"/>
  <c r="AV397" i="31"/>
  <c r="AW397" i="31" s="1"/>
  <c r="AV598" i="31"/>
  <c r="AW598" i="31" s="1"/>
  <c r="AV595" i="31"/>
  <c r="AW595" i="31" s="1"/>
  <c r="AV460" i="31"/>
  <c r="AW460" i="31" s="1"/>
  <c r="AV498" i="31"/>
  <c r="AW498" i="31" s="1"/>
  <c r="AV503" i="31"/>
  <c r="AW503" i="31" s="1"/>
  <c r="AV384" i="31"/>
  <c r="AW384" i="31" s="1"/>
  <c r="AV236" i="31"/>
  <c r="AW236" i="31" s="1"/>
  <c r="AV494" i="31"/>
  <c r="AW494" i="31" s="1"/>
  <c r="AV265" i="31"/>
  <c r="AW265" i="31" s="1"/>
  <c r="AV175" i="31"/>
  <c r="AW175" i="31" s="1"/>
  <c r="AV395" i="31"/>
  <c r="AW395" i="31" s="1"/>
  <c r="AV320" i="31"/>
  <c r="AW320" i="31" s="1"/>
  <c r="AV442" i="31"/>
  <c r="AW442" i="31" s="1"/>
  <c r="AV193" i="31"/>
  <c r="AW193" i="31" s="1"/>
  <c r="AV138" i="31"/>
  <c r="AW138" i="31" s="1"/>
  <c r="AV45" i="31"/>
  <c r="AW45" i="31" s="1"/>
  <c r="AV390" i="31"/>
  <c r="AW390" i="31" s="1"/>
  <c r="AV583" i="31"/>
  <c r="AW583" i="31" s="1"/>
  <c r="AV561" i="31"/>
  <c r="AW561" i="31" s="1"/>
  <c r="AV463" i="31"/>
  <c r="AW463" i="31" s="1"/>
  <c r="AV220" i="31"/>
  <c r="AW220" i="31" s="1"/>
  <c r="AV290" i="31"/>
  <c r="AW290" i="31" s="1"/>
  <c r="AV197" i="31"/>
  <c r="AW197" i="31" s="1"/>
  <c r="AV349" i="31"/>
  <c r="AW349" i="31" s="1"/>
  <c r="AV321" i="31"/>
  <c r="AW321" i="31" s="1"/>
  <c r="AV323" i="31"/>
  <c r="AW323" i="31" s="1"/>
  <c r="AV388" i="31"/>
  <c r="AW388" i="31" s="1"/>
  <c r="AV51" i="31"/>
  <c r="AW51" i="31" s="1"/>
  <c r="AV182" i="31"/>
  <c r="AW182" i="31" s="1"/>
  <c r="AV198" i="31"/>
  <c r="AW198" i="31" s="1"/>
  <c r="AV469" i="31"/>
  <c r="AW469" i="31" s="1"/>
  <c r="AV533" i="31"/>
  <c r="AW533" i="31" s="1"/>
  <c r="AV329" i="31"/>
  <c r="AW329" i="31" s="1"/>
  <c r="AV432" i="31"/>
  <c r="AW432" i="31" s="1"/>
  <c r="AV373" i="31"/>
  <c r="AW373" i="31" s="1"/>
  <c r="AV375" i="31"/>
  <c r="AW375" i="31" s="1"/>
  <c r="AV226" i="31"/>
  <c r="AW226" i="31" s="1"/>
  <c r="AV369" i="31"/>
  <c r="AW369" i="31" s="1"/>
  <c r="AV428" i="31"/>
  <c r="AW428" i="31" s="1"/>
  <c r="AV340" i="31"/>
  <c r="AW340" i="31" s="1"/>
  <c r="AV472" i="31"/>
  <c r="AW472" i="31" s="1"/>
  <c r="AV446" i="31"/>
  <c r="AW446" i="31" s="1"/>
  <c r="AV291" i="31"/>
  <c r="AW291" i="31" s="1"/>
  <c r="AV559" i="31"/>
  <c r="AW559" i="31" s="1"/>
  <c r="AV443" i="31"/>
  <c r="AW443" i="31" s="1"/>
  <c r="AV196" i="31"/>
  <c r="AW196" i="31" s="1"/>
  <c r="AV39" i="31"/>
  <c r="AW39" i="31" s="1"/>
  <c r="AV331" i="31"/>
  <c r="AW331" i="31" s="1"/>
  <c r="AV67" i="31"/>
  <c r="AW67" i="31" s="1"/>
  <c r="AV360" i="31"/>
  <c r="AW360" i="31" s="1"/>
  <c r="AV354" i="31"/>
  <c r="AW354" i="31" s="1"/>
  <c r="AV249" i="31"/>
  <c r="AW249" i="31" s="1"/>
  <c r="AV322" i="31"/>
  <c r="AW322" i="31" s="1"/>
  <c r="AV573" i="31"/>
  <c r="AW573" i="31" s="1"/>
  <c r="AV31" i="31"/>
  <c r="AW31" i="31" s="1"/>
  <c r="AV189" i="31"/>
  <c r="AW189" i="31" s="1"/>
  <c r="AV318" i="31"/>
  <c r="AW318" i="31" s="1"/>
  <c r="AV247" i="31"/>
  <c r="AW247" i="31" s="1"/>
  <c r="AV205" i="31"/>
  <c r="AW205" i="31" s="1"/>
  <c r="AV68" i="31"/>
  <c r="AW68" i="31" s="1"/>
  <c r="AV408" i="31"/>
  <c r="AW408" i="31" s="1"/>
  <c r="AV380" i="31"/>
  <c r="AW380" i="31" s="1"/>
  <c r="AV325" i="31"/>
  <c r="AW325" i="31" s="1"/>
  <c r="AV486" i="31"/>
  <c r="AW486" i="31" s="1"/>
  <c r="AV332" i="31"/>
  <c r="AW332" i="31" s="1"/>
  <c r="AV589" i="31"/>
  <c r="AW589" i="31" s="1"/>
  <c r="AV300" i="31"/>
  <c r="AW300" i="31" s="1"/>
  <c r="AV40" i="31"/>
  <c r="AW40" i="31" s="1"/>
  <c r="AV113" i="31"/>
  <c r="AW113" i="31" s="1"/>
  <c r="AV234" i="31"/>
  <c r="AW234" i="31" s="1"/>
  <c r="AV253" i="31"/>
  <c r="AW253" i="31" s="1"/>
  <c r="AV430" i="31"/>
  <c r="AW430" i="31" s="1"/>
  <c r="AV324" i="31"/>
  <c r="AW324" i="31" s="1"/>
  <c r="AV221" i="31"/>
  <c r="AW221" i="31" s="1"/>
  <c r="AV43" i="31"/>
  <c r="AW43" i="31" s="1"/>
  <c r="AV89" i="31"/>
  <c r="AW89" i="31" s="1"/>
  <c r="AV407" i="31"/>
  <c r="AW407" i="31" s="1"/>
  <c r="AV15" i="31"/>
  <c r="AW15" i="31" s="1"/>
  <c r="AV528" i="31"/>
  <c r="AW528" i="31" s="1"/>
  <c r="AV515" i="31"/>
  <c r="AW515" i="31" s="1"/>
  <c r="AV263" i="31"/>
  <c r="AW263" i="31" s="1"/>
  <c r="AV214" i="31"/>
  <c r="AW214" i="31" s="1"/>
  <c r="AV183" i="31"/>
  <c r="AW183" i="31" s="1"/>
  <c r="AV311" i="31"/>
  <c r="AW311" i="31" s="1"/>
  <c r="AV601" i="31"/>
  <c r="AW601" i="31" s="1"/>
  <c r="AV464" i="31"/>
  <c r="AW464" i="31" s="1"/>
  <c r="AV244" i="31"/>
  <c r="AW244" i="31" s="1"/>
  <c r="AV260" i="31"/>
  <c r="AW260" i="31" s="1"/>
  <c r="AV230" i="31"/>
  <c r="AW230" i="31" s="1"/>
  <c r="AV435" i="31"/>
  <c r="AW435" i="31" s="1"/>
  <c r="AV315" i="31"/>
  <c r="AW315" i="31" s="1"/>
  <c r="AV162" i="31"/>
  <c r="AW162" i="31" s="1"/>
  <c r="AV536" i="31"/>
  <c r="AW536" i="31" s="1"/>
  <c r="AV77" i="31"/>
  <c r="AW77" i="31" s="1"/>
  <c r="AV94" i="31"/>
  <c r="AW94" i="31" s="1"/>
  <c r="AV296" i="31"/>
  <c r="AW296" i="31" s="1"/>
  <c r="AV61" i="31"/>
  <c r="AW61" i="31" s="1"/>
  <c r="AV547" i="31"/>
  <c r="AW547" i="31" s="1"/>
  <c r="AV280" i="31"/>
  <c r="AW280" i="31" s="1"/>
  <c r="AV98" i="31"/>
  <c r="AW98" i="31" s="1"/>
  <c r="AV526" i="31"/>
  <c r="AW526" i="31" s="1"/>
  <c r="AV538" i="31"/>
  <c r="AW538" i="31" s="1"/>
  <c r="AV450" i="31"/>
  <c r="AW450" i="31" s="1"/>
  <c r="AV148" i="31"/>
  <c r="AW148" i="31" s="1"/>
  <c r="AV579" i="31"/>
  <c r="AW579" i="31" s="1"/>
  <c r="AV307" i="31"/>
  <c r="AW307" i="31" s="1"/>
  <c r="AV20" i="31"/>
  <c r="AW20" i="31" s="1"/>
  <c r="AV46" i="31"/>
  <c r="AW46" i="31" s="1"/>
  <c r="AV511" i="31"/>
  <c r="AW511" i="31" s="1"/>
  <c r="AV37" i="31"/>
  <c r="AW37" i="31" s="1"/>
  <c r="AV335" i="31"/>
  <c r="AW335" i="31" s="1"/>
  <c r="AY9" i="31"/>
  <c r="AV150" i="31"/>
  <c r="AW150" i="31" s="1"/>
  <c r="AV110" i="31"/>
  <c r="AW110" i="31" s="1"/>
  <c r="AV580" i="31"/>
  <c r="AW580" i="31" s="1"/>
  <c r="AV246" i="31"/>
  <c r="AW246" i="31" s="1"/>
  <c r="AV326" i="31"/>
  <c r="AW326" i="31" s="1"/>
  <c r="AV578" i="31"/>
  <c r="AW578" i="31" s="1"/>
  <c r="AV550" i="31"/>
  <c r="AW550" i="31" s="1"/>
  <c r="AV549" i="31"/>
  <c r="AW549" i="31" s="1"/>
  <c r="AV41" i="31"/>
  <c r="AW41" i="31" s="1"/>
  <c r="AV126" i="31"/>
  <c r="AW126" i="31" s="1"/>
  <c r="AV495" i="31"/>
  <c r="AW495" i="31" s="1"/>
  <c r="AV309" i="31"/>
  <c r="AW309" i="31" s="1"/>
  <c r="AV415" i="31"/>
  <c r="AW415" i="31" s="1"/>
  <c r="AV194" i="31"/>
  <c r="AW194" i="31" s="1"/>
  <c r="AV543" i="31"/>
  <c r="AW543" i="31" s="1"/>
  <c r="AV542" i="31"/>
  <c r="AW542" i="31" s="1"/>
  <c r="AV591" i="31"/>
  <c r="AW591" i="31" s="1"/>
  <c r="AV60" i="31"/>
  <c r="AW60" i="31" s="1"/>
  <c r="AV66" i="31"/>
  <c r="AW66" i="31" s="1"/>
  <c r="AV431" i="31"/>
  <c r="AW431" i="31" s="1"/>
  <c r="AV353" i="31"/>
  <c r="AW353" i="31" s="1"/>
  <c r="AV584" i="31"/>
  <c r="AW584" i="31" s="1"/>
  <c r="AV558" i="31"/>
  <c r="AW558" i="31" s="1"/>
  <c r="AV557" i="31"/>
  <c r="AW557" i="31" s="1"/>
  <c r="AV487" i="31"/>
  <c r="AW487" i="31" s="1"/>
  <c r="AV306" i="31"/>
  <c r="AW306" i="31" s="1"/>
  <c r="AV301" i="31"/>
  <c r="AW301" i="31" s="1"/>
  <c r="AV52" i="31"/>
  <c r="AW52" i="31" s="1"/>
  <c r="AV334" i="31"/>
  <c r="AW334" i="31" s="1"/>
  <c r="AV57" i="31"/>
  <c r="AW57" i="31" s="1"/>
  <c r="AV56" i="31"/>
  <c r="AW56" i="31" s="1"/>
  <c r="AV341" i="31"/>
  <c r="AW341" i="31" s="1"/>
  <c r="AV202" i="31"/>
  <c r="AW202" i="31" s="1"/>
  <c r="AV285" i="31"/>
  <c r="AW285" i="31" s="1"/>
  <c r="AV240" i="31"/>
  <c r="AW240" i="31" s="1"/>
  <c r="AV176" i="31"/>
  <c r="AW176" i="31" s="1"/>
  <c r="AV524" i="31"/>
  <c r="AW524" i="31" s="1"/>
  <c r="AV468" i="31"/>
  <c r="AW468" i="31" s="1"/>
  <c r="AV102" i="31"/>
  <c r="AW102" i="31" s="1"/>
  <c r="AV597" i="31"/>
  <c r="AW597" i="31" s="1"/>
  <c r="AV151" i="31"/>
  <c r="AW151" i="31" s="1"/>
  <c r="AV396" i="31"/>
  <c r="AW396" i="31" s="1"/>
  <c r="AV509" i="31"/>
  <c r="AW509" i="31" s="1"/>
  <c r="AV602" i="31"/>
  <c r="AW602" i="31" s="1"/>
  <c r="AV496" i="31"/>
  <c r="AW496" i="31" s="1"/>
  <c r="AV223" i="31"/>
  <c r="AW223" i="31" s="1"/>
  <c r="AV187" i="31"/>
  <c r="AW187" i="31" s="1"/>
  <c r="AV293" i="31"/>
  <c r="AW293" i="31" s="1"/>
  <c r="AV83" i="31"/>
  <c r="AW83" i="31" s="1"/>
  <c r="AV165" i="31"/>
  <c r="AW165" i="31" s="1"/>
  <c r="AV489" i="31"/>
  <c r="AW489" i="31" s="1"/>
  <c r="AV191" i="31"/>
  <c r="AW191" i="31" s="1"/>
  <c r="AV268" i="31"/>
  <c r="AW268" i="31" s="1"/>
  <c r="AV13" i="31"/>
  <c r="AW13" i="31" s="1"/>
  <c r="AV440" i="31"/>
  <c r="AW440" i="31" s="1"/>
  <c r="AV571" i="31"/>
  <c r="AW571" i="31" s="1"/>
  <c r="AV399" i="31"/>
  <c r="AW399" i="31" s="1"/>
  <c r="AV155" i="31"/>
  <c r="AW155" i="31" s="1"/>
  <c r="AV398" i="31"/>
  <c r="AW398" i="31" s="1"/>
  <c r="AV304" i="31"/>
  <c r="AW304" i="31" s="1"/>
  <c r="AV303" i="31"/>
  <c r="AW303" i="31" s="1"/>
  <c r="AV256" i="31"/>
  <c r="AW256" i="31" s="1"/>
  <c r="AV609" i="31"/>
  <c r="AW609" i="31" s="1"/>
  <c r="AV608" i="31"/>
  <c r="AW608" i="31" s="1"/>
  <c r="AV425" i="31"/>
  <c r="AW425" i="31" s="1"/>
  <c r="AV44" i="31"/>
  <c r="AW44" i="31" s="1"/>
  <c r="AV493" i="31"/>
  <c r="AW493" i="31" s="1"/>
  <c r="AV376" i="31"/>
  <c r="AW376" i="31" s="1"/>
  <c r="AV219" i="31"/>
  <c r="AW219" i="31" s="1"/>
  <c r="AV288" i="31"/>
  <c r="AW288" i="31" s="1"/>
  <c r="AV287" i="31"/>
  <c r="AW287" i="31" s="1"/>
  <c r="AV535" i="31"/>
  <c r="AW535" i="31" s="1"/>
  <c r="AV239" i="31"/>
  <c r="AW239" i="31" s="1"/>
  <c r="AV26" i="31"/>
  <c r="AW26" i="31" s="1"/>
  <c r="AV48" i="31"/>
  <c r="AW48" i="31" s="1"/>
  <c r="AV160" i="31"/>
  <c r="AW160" i="31" s="1"/>
  <c r="AV264" i="31"/>
  <c r="AW264" i="31" s="1"/>
  <c r="AV211" i="31"/>
  <c r="AW211" i="31" s="1"/>
  <c r="AV210" i="31"/>
  <c r="AW210" i="31" s="1"/>
  <c r="AV207" i="31"/>
  <c r="AW207" i="31" s="1"/>
  <c r="AV172" i="31"/>
  <c r="AW172" i="31" s="1"/>
  <c r="AV225" i="31"/>
  <c r="AW225" i="31" s="1"/>
  <c r="AV248" i="31"/>
  <c r="AW248" i="31" s="1"/>
  <c r="AV370" i="31"/>
  <c r="AW370" i="31" s="1"/>
  <c r="AV385" i="31"/>
  <c r="AW385" i="31" s="1"/>
  <c r="AV406" i="31"/>
  <c r="AW406" i="31" s="1"/>
  <c r="AV368" i="31"/>
  <c r="AW368" i="31" s="1"/>
  <c r="AV374" i="31"/>
  <c r="AW374" i="31" s="1"/>
  <c r="AV488" i="31"/>
  <c r="AW488" i="31" s="1"/>
  <c r="AV90" i="31"/>
  <c r="AW90" i="31" s="1"/>
  <c r="AV330" i="31"/>
  <c r="AW330" i="31" s="1"/>
  <c r="AV119" i="31"/>
  <c r="AW119" i="31" s="1"/>
  <c r="AV520" i="31"/>
  <c r="AW520" i="31" s="1"/>
  <c r="AV38" i="31"/>
  <c r="AW38" i="31" s="1"/>
  <c r="AV371" i="31"/>
  <c r="AW371" i="31" s="1"/>
  <c r="AV363" i="31"/>
  <c r="AW363" i="31" s="1"/>
  <c r="AV170" i="31"/>
  <c r="AW170" i="31" s="1"/>
  <c r="AV610" i="31"/>
  <c r="AW610" i="31" s="1"/>
  <c r="AV168" i="31"/>
  <c r="AW168" i="31" s="1"/>
  <c r="AV339" i="31"/>
  <c r="AW339" i="31" s="1"/>
  <c r="AV88" i="31"/>
  <c r="AW88" i="31" s="1"/>
  <c r="AV195" i="31"/>
  <c r="AW195" i="31" s="1"/>
  <c r="AV116" i="31"/>
  <c r="AW116" i="31" s="1"/>
  <c r="AV607" i="31"/>
  <c r="AW607" i="31" s="1"/>
  <c r="AV570" i="31"/>
  <c r="AW570" i="31" s="1"/>
  <c r="AV91" i="31"/>
  <c r="AW91" i="31" s="1"/>
  <c r="AV381" i="31"/>
  <c r="AW381" i="31" s="1"/>
  <c r="AV445" i="31"/>
  <c r="AW445" i="31" s="1"/>
  <c r="AV444" i="31"/>
  <c r="AW444" i="31" s="1"/>
  <c r="AV603" i="31"/>
  <c r="AW603" i="31" s="1"/>
  <c r="AV69" i="31"/>
  <c r="AW69" i="31" s="1"/>
  <c r="AV270" i="31"/>
  <c r="AW270" i="31" s="1"/>
  <c r="AV27" i="31"/>
  <c r="AW27" i="31" s="1"/>
  <c r="AV128" i="31"/>
  <c r="AW128" i="31" s="1"/>
  <c r="AV140" i="31"/>
  <c r="AW140" i="31" s="1"/>
  <c r="AV466" i="31"/>
  <c r="AW466" i="31" s="1"/>
  <c r="AV479" i="31"/>
  <c r="AW479" i="31" s="1"/>
  <c r="AV569" i="31"/>
  <c r="AW569" i="31" s="1"/>
  <c r="AV568" i="31"/>
  <c r="AW568" i="31" s="1"/>
  <c r="AV471" i="31"/>
  <c r="AW471" i="31" s="1"/>
  <c r="AV470" i="31"/>
  <c r="AW470" i="31" s="1"/>
  <c r="AV164" i="31"/>
  <c r="AW164" i="31" s="1"/>
  <c r="AV243" i="31"/>
  <c r="AW243" i="31" s="1"/>
  <c r="AV74" i="31"/>
  <c r="AW74" i="31" s="1"/>
  <c r="AV73" i="31"/>
  <c r="AW73" i="31" s="1"/>
  <c r="AV85" i="31"/>
  <c r="AW85" i="31" s="1"/>
  <c r="AV157" i="31"/>
  <c r="AW157" i="31" s="1"/>
  <c r="AV180" i="31"/>
  <c r="AW180" i="31" s="1"/>
  <c r="AV465" i="31"/>
  <c r="AW465" i="31" s="1"/>
  <c r="AV190" i="31"/>
  <c r="AW190" i="31" s="1"/>
  <c r="AV227" i="31"/>
  <c r="AW227" i="31" s="1"/>
  <c r="AV298" i="31"/>
  <c r="AW298" i="31" s="1"/>
  <c r="AV461" i="31"/>
  <c r="AW461" i="31" s="1"/>
  <c r="AV81" i="31"/>
  <c r="AW81" i="31" s="1"/>
  <c r="AV391" i="31"/>
  <c r="AW391" i="31" s="1"/>
  <c r="AV278" i="31"/>
  <c r="AW278" i="31" s="1"/>
  <c r="AV82" i="31"/>
  <c r="AW82" i="31" s="1"/>
  <c r="AV295" i="31"/>
  <c r="AW295" i="31" s="1"/>
  <c r="AV112" i="31"/>
  <c r="AW112" i="31" s="1"/>
  <c r="AV93" i="31"/>
  <c r="AW93" i="31" s="1"/>
  <c r="AV289" i="31"/>
  <c r="AW289" i="31" s="1"/>
  <c r="AV204" i="31"/>
  <c r="AW204" i="31" s="1"/>
  <c r="AV23" i="31"/>
  <c r="AW23" i="31" s="1"/>
  <c r="AV22" i="31"/>
  <c r="AW22" i="31" s="1"/>
  <c r="AV462" i="31"/>
  <c r="AW462" i="31" s="1"/>
  <c r="AV173" i="31"/>
  <c r="AW173" i="31" s="1"/>
  <c r="AV502" i="31"/>
  <c r="AW502" i="31" s="1"/>
  <c r="AV174" i="31"/>
  <c r="AW174" i="31" s="1"/>
  <c r="AV233" i="31"/>
  <c r="AW233" i="31" s="1"/>
  <c r="AV560" i="31"/>
  <c r="AW560" i="31" s="1"/>
  <c r="AV566" i="31"/>
  <c r="AW566" i="31" s="1"/>
  <c r="AV565" i="31"/>
  <c r="AW565" i="31" s="1"/>
  <c r="AV136" i="31"/>
  <c r="AW136" i="31" s="1"/>
  <c r="AV235" i="31"/>
  <c r="AW235" i="31" s="1"/>
  <c r="AV319" i="31"/>
  <c r="AW319" i="31" s="1"/>
  <c r="AV563" i="31"/>
  <c r="AW563" i="31" s="1"/>
  <c r="AV348" i="31"/>
  <c r="AW348" i="31" s="1"/>
  <c r="AV564" i="31"/>
  <c r="AW564" i="31" s="1"/>
  <c r="AV377" i="31"/>
  <c r="AW377" i="31" s="1"/>
  <c r="AV389" i="31"/>
  <c r="AW389" i="31" s="1"/>
  <c r="AV387" i="31"/>
  <c r="AW387" i="31" s="1"/>
  <c r="AV386" i="31"/>
  <c r="AW386" i="31" s="1"/>
  <c r="AV283" i="31"/>
  <c r="AW283" i="31" s="1"/>
  <c r="AV438" i="31"/>
  <c r="AW438" i="31" s="1"/>
  <c r="AV575" i="31"/>
  <c r="AW575" i="31" s="1"/>
  <c r="AV554" i="31"/>
  <c r="AW554" i="31" s="1"/>
  <c r="AV556" i="31"/>
  <c r="AW556" i="31" s="1"/>
  <c r="AV141" i="31"/>
  <c r="AW141" i="31" s="1"/>
  <c r="AV242" i="31"/>
  <c r="AW242" i="31" s="1"/>
  <c r="AV413" i="31"/>
  <c r="AW413" i="31" s="1"/>
  <c r="AV412" i="31"/>
  <c r="AW412" i="31" s="1"/>
  <c r="AV273" i="31"/>
  <c r="AW273" i="31" s="1"/>
  <c r="AV29" i="31"/>
  <c r="AW29" i="31" s="1"/>
  <c r="AV590" i="31"/>
  <c r="AW590" i="31" s="1"/>
  <c r="AV379" i="31"/>
  <c r="AW379" i="31" s="1"/>
  <c r="AV378" i="31"/>
  <c r="AW378" i="31" s="1"/>
  <c r="AV167" i="31"/>
  <c r="AW167" i="31" s="1"/>
  <c r="AV344" i="31"/>
  <c r="AW344" i="31" s="1"/>
  <c r="AV186" i="31"/>
  <c r="AW186" i="31" s="1"/>
  <c r="AV424" i="31"/>
  <c r="AW424" i="31" s="1"/>
  <c r="AV423" i="31"/>
  <c r="AW423" i="31" s="1"/>
  <c r="AV252" i="31"/>
  <c r="AW252" i="31" s="1"/>
  <c r="AV477" i="31"/>
  <c r="AW477" i="31" s="1"/>
  <c r="AV456" i="31"/>
  <c r="AW456" i="31" s="1"/>
  <c r="AV215" i="31"/>
  <c r="AW215" i="31" s="1"/>
  <c r="AV504" i="31"/>
  <c r="AW504" i="31" s="1"/>
  <c r="AV454" i="31"/>
  <c r="AW454" i="31" s="1"/>
  <c r="AV127" i="31"/>
  <c r="AW127" i="31" s="1"/>
  <c r="AV418" i="31"/>
  <c r="AW418" i="31" s="1"/>
  <c r="AV200" i="31"/>
  <c r="AW200" i="31" s="1"/>
  <c r="AV49" i="31"/>
  <c r="AW49" i="31" s="1"/>
  <c r="AV522" i="31"/>
  <c r="AW522" i="31" s="1"/>
  <c r="AV447" i="31"/>
  <c r="AW447" i="31" s="1"/>
  <c r="AV145" i="31"/>
  <c r="AW145" i="31" s="1"/>
  <c r="AV55" i="31"/>
  <c r="AW55" i="31" s="1"/>
  <c r="AV125" i="31"/>
  <c r="AW125" i="31" s="1"/>
  <c r="AV237" i="31"/>
  <c r="AW237" i="31" s="1"/>
  <c r="AV499" i="31"/>
  <c r="AW499" i="31" s="1"/>
  <c r="AV16" i="31"/>
  <c r="AW16" i="31" s="1"/>
  <c r="AV350" i="31"/>
  <c r="AW350" i="31" s="1"/>
  <c r="AV433" i="31"/>
  <c r="AW433" i="31" s="1"/>
  <c r="AV429" i="31"/>
  <c r="AW429" i="31" s="1"/>
  <c r="AV531" i="31"/>
  <c r="AW531" i="31" s="1"/>
  <c r="AV292" i="31"/>
  <c r="AW292" i="31" s="1"/>
  <c r="AV453" i="31"/>
  <c r="AW453" i="31" s="1"/>
  <c r="AV529" i="31"/>
  <c r="AW529" i="31" s="1"/>
  <c r="AV401" i="31"/>
  <c r="AW401" i="31" s="1"/>
  <c r="AV279" i="31"/>
  <c r="AW279" i="31" s="1"/>
  <c r="AV158" i="31"/>
  <c r="AW158" i="31" s="1"/>
  <c r="AV605" i="31"/>
  <c r="AW605" i="31" s="1"/>
  <c r="AV599" i="31"/>
  <c r="AW599" i="31" s="1"/>
  <c r="AV105" i="31"/>
  <c r="AW105" i="31" s="1"/>
  <c r="AV347" i="31"/>
  <c r="AW347" i="31" s="1"/>
  <c r="AV257" i="31"/>
  <c r="AW257" i="31" s="1"/>
  <c r="AV231" i="31"/>
  <c r="AW231" i="31" s="1"/>
  <c r="AV58" i="31"/>
  <c r="AW58" i="31" s="1"/>
  <c r="AV30" i="31"/>
  <c r="AW30" i="31" s="1"/>
  <c r="AV327" i="31"/>
  <c r="AW327" i="31" s="1"/>
  <c r="AV97" i="31"/>
  <c r="AW97" i="31" s="1"/>
  <c r="AV130" i="31"/>
  <c r="AW130" i="31" s="1"/>
  <c r="AV482" i="31"/>
  <c r="AW482" i="31" s="1"/>
  <c r="AV71" i="31"/>
  <c r="AW71" i="31" s="1"/>
  <c r="AV216" i="31"/>
  <c r="AW216" i="31" s="1"/>
  <c r="AV42" i="31"/>
  <c r="AW42" i="31" s="1"/>
  <c r="AV537" i="31"/>
  <c r="AW537" i="31" s="1"/>
  <c r="AV14" i="31"/>
  <c r="AW14" i="31" s="1"/>
  <c r="AV274" i="31"/>
  <c r="AW274" i="31" s="1"/>
  <c r="AV587" i="31"/>
  <c r="AW587" i="31" s="1"/>
  <c r="AV404" i="31"/>
  <c r="AW404" i="31" s="1"/>
  <c r="AV266" i="31"/>
  <c r="AW266" i="31" s="1"/>
  <c r="AV108" i="31"/>
  <c r="AW108" i="31" s="1"/>
  <c r="AV32" i="31"/>
  <c r="AW32" i="31" s="1"/>
  <c r="AV275" i="31"/>
  <c r="AW275" i="31" s="1"/>
  <c r="AV178" i="31"/>
  <c r="AW178" i="31" s="1"/>
  <c r="AV177" i="31"/>
  <c r="AW177" i="31" s="1"/>
  <c r="AV250" i="31"/>
  <c r="AW250" i="31" s="1"/>
  <c r="AV355" i="31"/>
  <c r="AW355" i="31" s="1"/>
  <c r="AV262" i="31"/>
  <c r="AW262" i="31" s="1"/>
  <c r="AV308" i="31"/>
  <c r="AW308" i="31" s="1"/>
  <c r="AV481" i="31"/>
  <c r="AW481" i="31" s="1"/>
  <c r="AV420" i="31"/>
  <c r="AW420" i="31" s="1"/>
  <c r="AV485" i="31"/>
  <c r="AW485" i="31" s="1"/>
  <c r="AV238" i="31"/>
  <c r="AW238" i="31" s="1"/>
  <c r="AV310" i="31"/>
  <c r="AW310" i="31" s="1"/>
  <c r="AV312" i="31"/>
  <c r="AW312" i="31" s="1"/>
  <c r="AV282" i="31"/>
  <c r="AW282" i="31" s="1"/>
  <c r="AV47" i="31"/>
  <c r="AW47" i="31" s="1"/>
  <c r="AV421" i="31"/>
  <c r="AW421" i="31" s="1"/>
  <c r="AV313" i="31"/>
  <c r="AW313" i="31" s="1"/>
  <c r="AV80" i="31"/>
  <c r="AW80" i="31" s="1"/>
  <c r="AV544" i="31"/>
  <c r="AW544" i="31" s="1"/>
  <c r="AV409" i="31"/>
  <c r="AW409" i="31" s="1"/>
  <c r="AV36" i="31"/>
  <c r="AW36" i="31" s="1"/>
  <c r="AV181" i="31"/>
  <c r="AW181" i="31" s="1"/>
  <c r="AV613" i="31"/>
  <c r="AV612" i="31"/>
  <c r="AV104" i="31"/>
  <c r="AW104" i="31" s="1"/>
  <c r="AV75" i="31"/>
  <c r="AW75" i="31" s="1"/>
  <c r="AV100" i="31"/>
  <c r="AW100" i="31" s="1"/>
  <c r="AV184" i="31"/>
  <c r="AW184" i="31" s="1"/>
  <c r="AV34" i="31"/>
  <c r="AW34" i="31" s="1"/>
  <c r="AV594" i="31"/>
  <c r="AW594" i="31" s="1"/>
  <c r="AV76" i="31"/>
  <c r="AW76" i="31" s="1"/>
  <c r="AV451" i="31"/>
  <c r="AW451" i="31" s="1"/>
  <c r="AV139" i="31"/>
  <c r="AW139" i="31" s="1"/>
  <c r="AV491" i="31"/>
  <c r="AW491" i="31" s="1"/>
  <c r="AV512" i="31"/>
  <c r="AW512" i="31" s="1"/>
  <c r="AV114" i="31"/>
  <c r="AW114" i="31" s="1"/>
  <c r="AV133" i="31"/>
  <c r="AW133" i="31" s="1"/>
  <c r="AV513" i="31"/>
  <c r="AW513" i="31" s="1"/>
  <c r="AV78" i="31"/>
  <c r="AW78" i="31" s="1"/>
  <c r="AV545" i="31"/>
  <c r="AW545" i="31" s="1"/>
  <c r="AV345" i="31"/>
  <c r="AW345" i="31" s="1"/>
  <c r="AV53" i="31"/>
  <c r="AW53" i="31" s="1"/>
  <c r="AV574" i="31"/>
  <c r="AW574" i="31" s="1"/>
  <c r="AV403" i="31"/>
  <c r="AW403" i="31" s="1"/>
  <c r="AV107" i="31"/>
  <c r="AW107" i="31" s="1"/>
  <c r="AV86" i="31"/>
  <c r="AW86" i="31" s="1"/>
  <c r="AV426" i="31"/>
  <c r="AW426" i="31" s="1"/>
  <c r="AV448" i="31"/>
  <c r="AW448" i="31" s="1"/>
  <c r="AV316" i="31"/>
  <c r="AW316" i="31" s="1"/>
  <c r="AV552" i="31"/>
  <c r="AW552" i="31" s="1"/>
  <c r="AV17" i="31"/>
  <c r="AW17" i="31" s="1"/>
  <c r="AV254" i="31"/>
  <c r="AW254" i="31" s="1"/>
  <c r="AV146" i="31"/>
  <c r="AW146" i="31" s="1"/>
  <c r="AV416" i="31"/>
  <c r="AW416" i="31" s="1"/>
  <c r="AV153" i="31"/>
  <c r="AW153" i="31" s="1"/>
  <c r="AV581" i="31"/>
  <c r="AW581" i="31" s="1"/>
  <c r="AV436" i="31"/>
  <c r="AW436" i="31" s="1"/>
  <c r="AV473" i="31"/>
  <c r="AW473" i="31" s="1"/>
  <c r="AV365" i="31"/>
  <c r="AW365" i="31" s="1"/>
  <c r="AV63" i="31"/>
  <c r="AW63" i="31" s="1"/>
  <c r="AV357" i="31"/>
  <c r="AW357" i="31" s="1"/>
  <c r="AV351" i="31"/>
  <c r="AW351" i="31" s="1"/>
  <c r="AY8" i="31"/>
  <c r="AV229" i="31"/>
  <c r="AW229" i="31" s="1"/>
  <c r="AV228" i="31"/>
  <c r="AW228" i="31" s="1"/>
  <c r="AV459" i="31"/>
  <c r="AW459" i="31" s="1"/>
  <c r="AV458" i="31"/>
  <c r="AW458" i="31" s="1"/>
  <c r="AV501" i="31"/>
  <c r="AW501" i="31" s="1"/>
  <c r="AV123" i="31"/>
  <c r="AW123" i="31" s="1"/>
  <c r="AV422" i="31"/>
  <c r="AW422" i="31" s="1"/>
  <c r="AV519" i="31"/>
  <c r="AW519" i="31" s="1"/>
  <c r="AV540" i="31"/>
  <c r="AW540" i="31" s="1"/>
  <c r="AV361" i="31"/>
  <c r="AW361" i="31" s="1"/>
  <c r="AV24" i="31"/>
  <c r="AW24" i="31" s="1"/>
  <c r="AV96" i="31"/>
  <c r="AW96" i="31" s="1"/>
  <c r="AV592" i="31"/>
  <c r="AW592" i="31" s="1"/>
  <c r="AV222" i="31"/>
  <c r="AW222" i="31" s="1"/>
  <c r="AV208" i="31"/>
  <c r="AW208" i="31" s="1"/>
  <c r="AV585" i="31"/>
  <c r="AW585" i="31" s="1"/>
  <c r="AV302" i="31"/>
  <c r="AW302" i="31" s="1"/>
  <c r="AV532" i="31"/>
  <c r="AW532" i="31" s="1"/>
  <c r="AV121" i="31"/>
  <c r="AW121" i="31" s="1"/>
  <c r="AV507" i="31"/>
  <c r="AW507" i="31" s="1"/>
  <c r="AV314" i="31"/>
  <c r="AW314" i="31" s="1"/>
  <c r="AV525" i="31"/>
  <c r="AW525" i="31" s="1"/>
  <c r="AV392" i="31"/>
  <c r="AW392" i="31" s="1"/>
  <c r="AV410" i="31"/>
  <c r="AW410" i="31" s="1"/>
  <c r="AV514" i="31"/>
  <c r="AW514" i="31" s="1"/>
  <c r="AV336" i="31"/>
  <c r="AW336" i="31" s="1"/>
  <c r="AV517" i="31"/>
  <c r="AW517" i="31" s="1"/>
  <c r="G221" i="2"/>
  <c r="E68" i="1" s="1"/>
  <c r="B476" i="2" s="1"/>
  <c r="H221" i="2"/>
  <c r="C73" i="16" l="1"/>
  <c r="D73" i="16" s="1"/>
  <c r="A476" i="2"/>
  <c r="M78" i="30"/>
  <c r="W18" i="30"/>
  <c r="M43" i="30"/>
  <c r="M35" i="30"/>
  <c r="M59" i="30"/>
  <c r="B3" i="30"/>
  <c r="N4" i="30" s="1"/>
  <c r="N2" i="30" l="1"/>
  <c r="N5" i="30" s="1"/>
  <c r="P3" i="30" l="1"/>
  <c r="P4" i="30" s="1"/>
  <c r="P9" i="30" s="1"/>
  <c r="F2" i="30" s="1"/>
  <c r="T3" i="30"/>
  <c r="R3" i="30"/>
  <c r="R4" i="30" s="1"/>
  <c r="R9" i="30" s="1"/>
  <c r="R2" i="30"/>
  <c r="R8" i="30" s="1"/>
  <c r="F4" i="30" s="1"/>
  <c r="P2" i="30"/>
  <c r="P8" i="30" s="1"/>
  <c r="T2" i="30"/>
  <c r="N6" i="30"/>
  <c r="T5" i="30"/>
  <c r="B45" i="2" l="1"/>
  <c r="E22" i="33"/>
  <c r="AD25" i="30"/>
  <c r="AA27" i="30"/>
  <c r="B46" i="2"/>
  <c r="E20" i="33"/>
  <c r="AE25" i="30"/>
  <c r="AA28" i="30"/>
  <c r="T4" i="30"/>
  <c r="H10" i="30" s="1"/>
  <c r="H16" i="30" s="1"/>
  <c r="H9" i="30"/>
  <c r="H15" i="30" s="1"/>
  <c r="T6" i="30"/>
  <c r="T9" i="30" s="1"/>
  <c r="F3" i="30" s="1"/>
  <c r="H11" i="30"/>
  <c r="H17" i="30" s="1"/>
  <c r="G11" i="30"/>
  <c r="G17" i="30" s="1"/>
  <c r="G9" i="30"/>
  <c r="G15" i="30" s="1"/>
  <c r="AE26" i="30" l="1"/>
  <c r="B47" i="2"/>
  <c r="E21" i="33"/>
  <c r="AA29" i="30"/>
  <c r="AF25" i="30"/>
  <c r="F9" i="30"/>
  <c r="F15" i="30" s="1"/>
  <c r="F11" i="30"/>
  <c r="F10" i="30"/>
  <c r="F16" i="30" s="1"/>
  <c r="G10" i="30"/>
  <c r="G16" i="30" s="1"/>
  <c r="T8" i="30"/>
  <c r="F5" i="30" s="1"/>
  <c r="B44" i="2" l="1"/>
  <c r="B10" i="2" s="1"/>
  <c r="E23" i="33"/>
  <c r="AC25" i="30"/>
  <c r="AA26" i="30"/>
  <c r="AF26" i="30"/>
  <c r="AG26" i="30"/>
  <c r="I80" i="21"/>
  <c r="J80" i="21" s="1"/>
  <c r="AZ80" i="21" s="1"/>
  <c r="I108" i="21"/>
  <c r="J108" i="21" s="1"/>
  <c r="AZ108" i="21" s="1"/>
  <c r="I81" i="21"/>
  <c r="J81" i="21" s="1"/>
  <c r="I50" i="21"/>
  <c r="J50" i="21" s="1"/>
  <c r="I10" i="21"/>
  <c r="J10" i="21" s="1"/>
  <c r="I77" i="21"/>
  <c r="J77" i="21" s="1"/>
  <c r="I106" i="21"/>
  <c r="J106" i="21" s="1"/>
  <c r="I70" i="21"/>
  <c r="J70" i="21" s="1"/>
  <c r="I43" i="21"/>
  <c r="J43" i="21" s="1"/>
  <c r="AZ43" i="21" s="1"/>
  <c r="I87" i="21"/>
  <c r="J87" i="21" s="1"/>
  <c r="I69" i="21"/>
  <c r="J69" i="21" s="1"/>
  <c r="I79" i="21"/>
  <c r="J79" i="21" s="1"/>
  <c r="I105" i="21"/>
  <c r="J105" i="21" s="1"/>
  <c r="I21" i="21"/>
  <c r="J21" i="21" s="1"/>
  <c r="I60" i="21"/>
  <c r="J60" i="21" s="1"/>
  <c r="I16" i="21"/>
  <c r="J16" i="21" s="1"/>
  <c r="BB16" i="21" s="1"/>
  <c r="I39" i="21"/>
  <c r="J39" i="21" s="1"/>
  <c r="BB39" i="21" s="1"/>
  <c r="I57" i="21"/>
  <c r="J57" i="21" s="1"/>
  <c r="I12" i="21"/>
  <c r="J12" i="21" s="1"/>
  <c r="I109" i="21"/>
  <c r="J109" i="21" s="1"/>
  <c r="I75" i="21"/>
  <c r="J75" i="21" s="1"/>
  <c r="I74" i="21"/>
  <c r="J74" i="21" s="1"/>
  <c r="AZ74" i="21" s="1"/>
  <c r="I19" i="21"/>
  <c r="J19" i="21" s="1"/>
  <c r="I90" i="21"/>
  <c r="J90" i="21" s="1"/>
  <c r="I59" i="21"/>
  <c r="J59" i="21" s="1"/>
  <c r="AR59" i="21" s="1"/>
  <c r="I20" i="21"/>
  <c r="J20" i="21" s="1"/>
  <c r="BF20" i="21" s="1"/>
  <c r="BH20" i="21" s="1"/>
  <c r="I32" i="21"/>
  <c r="J32" i="21" s="1"/>
  <c r="I92" i="21"/>
  <c r="J92" i="21" s="1"/>
  <c r="I65" i="21"/>
  <c r="J65" i="21" s="1"/>
  <c r="I103" i="21"/>
  <c r="J103" i="21" s="1"/>
  <c r="I63" i="21"/>
  <c r="J63" i="21" s="1"/>
  <c r="I61" i="21"/>
  <c r="J61" i="21" s="1"/>
  <c r="I58" i="21"/>
  <c r="J58" i="21" s="1"/>
  <c r="AZ58" i="21" s="1"/>
  <c r="I54" i="21"/>
  <c r="J54" i="21" s="1"/>
  <c r="I27" i="21"/>
  <c r="J27" i="21" s="1"/>
  <c r="AR27" i="21" s="1"/>
  <c r="I71" i="21"/>
  <c r="J71" i="21" s="1"/>
  <c r="I37" i="21"/>
  <c r="J37" i="21" s="1"/>
  <c r="I72" i="21"/>
  <c r="J72" i="21" s="1"/>
  <c r="I89" i="21"/>
  <c r="J89" i="21" s="1"/>
  <c r="I85" i="21"/>
  <c r="J85" i="21" s="1"/>
  <c r="I76" i="21"/>
  <c r="J76" i="21" s="1"/>
  <c r="BF76" i="21" s="1"/>
  <c r="BH76" i="21" s="1"/>
  <c r="I49" i="21"/>
  <c r="J49" i="21" s="1"/>
  <c r="AZ49" i="21" s="1"/>
  <c r="I64" i="21"/>
  <c r="J64" i="21" s="1"/>
  <c r="I104" i="21"/>
  <c r="J104" i="21" s="1"/>
  <c r="BB104" i="21" s="1"/>
  <c r="I45" i="21"/>
  <c r="J45" i="21" s="1"/>
  <c r="BF45" i="21" s="1"/>
  <c r="BH45" i="21" s="1"/>
  <c r="I95" i="21"/>
  <c r="J95" i="21" s="1"/>
  <c r="I38" i="21"/>
  <c r="J38" i="21" s="1"/>
  <c r="I11" i="21"/>
  <c r="J11" i="21" s="1"/>
  <c r="I55" i="21"/>
  <c r="J55" i="21" s="1"/>
  <c r="BF55" i="21" s="1"/>
  <c r="BH55" i="21" s="1"/>
  <c r="I94" i="21"/>
  <c r="J94" i="21" s="1"/>
  <c r="AZ94" i="21" s="1"/>
  <c r="I100" i="21"/>
  <c r="J100" i="21" s="1"/>
  <c r="I73" i="21"/>
  <c r="J73" i="21" s="1"/>
  <c r="BF73" i="21" s="1"/>
  <c r="BH73" i="21" s="1"/>
  <c r="I33" i="21"/>
  <c r="J33" i="21" s="1"/>
  <c r="I56" i="21"/>
  <c r="J56" i="21" s="1"/>
  <c r="I29" i="21"/>
  <c r="J29" i="21" s="1"/>
  <c r="BF29" i="21" s="1"/>
  <c r="BH29" i="21" s="1"/>
  <c r="I47" i="21"/>
  <c r="J47" i="21" s="1"/>
  <c r="AZ47" i="21" s="1"/>
  <c r="I22" i="21"/>
  <c r="J22" i="21" s="1"/>
  <c r="BF22" i="21" s="1"/>
  <c r="BH22" i="21" s="1"/>
  <c r="I62" i="21"/>
  <c r="J62" i="21" s="1"/>
  <c r="BF62" i="21" s="1"/>
  <c r="BH62" i="21" s="1"/>
  <c r="I84" i="21"/>
  <c r="J84" i="21" s="1"/>
  <c r="AZ84" i="21" s="1"/>
  <c r="I83" i="21"/>
  <c r="J83" i="21" s="1"/>
  <c r="AR83" i="21" s="1"/>
  <c r="I102" i="21"/>
  <c r="J102" i="21" s="1"/>
  <c r="BF102" i="21" s="1"/>
  <c r="BH102" i="21" s="1"/>
  <c r="I48" i="21"/>
  <c r="J48" i="21" s="1"/>
  <c r="I82" i="21"/>
  <c r="J82" i="21" s="1"/>
  <c r="BF82" i="21" s="1"/>
  <c r="BH82" i="21" s="1"/>
  <c r="I67" i="21"/>
  <c r="J67" i="21" s="1"/>
  <c r="I18" i="21"/>
  <c r="J18" i="21" s="1"/>
  <c r="AZ18" i="21" s="1"/>
  <c r="I26" i="21"/>
  <c r="J26" i="21" s="1"/>
  <c r="BF26" i="21" s="1"/>
  <c r="BH26" i="21" s="1"/>
  <c r="I46" i="21"/>
  <c r="J46" i="21" s="1"/>
  <c r="I44" i="21"/>
  <c r="J44" i="21" s="1"/>
  <c r="I17" i="21"/>
  <c r="J17" i="21" s="1"/>
  <c r="BB17" i="21" s="1"/>
  <c r="I53" i="21"/>
  <c r="J53" i="21" s="1"/>
  <c r="I40" i="21"/>
  <c r="J40" i="21" s="1"/>
  <c r="AR40" i="21" s="1"/>
  <c r="I13" i="21"/>
  <c r="J13" i="21" s="1"/>
  <c r="BF13" i="21" s="1"/>
  <c r="BH13" i="21" s="1"/>
  <c r="I15" i="21"/>
  <c r="J15" i="21" s="1"/>
  <c r="I107" i="21"/>
  <c r="J107" i="21" s="1"/>
  <c r="AR107" i="21" s="1"/>
  <c r="I98" i="21"/>
  <c r="J98" i="21" s="1"/>
  <c r="I23" i="21"/>
  <c r="J23" i="21" s="1"/>
  <c r="I14" i="21"/>
  <c r="J14" i="21" s="1"/>
  <c r="BF14" i="21" s="1"/>
  <c r="BH14" i="21" s="1"/>
  <c r="I68" i="21"/>
  <c r="J68" i="21" s="1"/>
  <c r="I41" i="21"/>
  <c r="J41" i="21" s="1"/>
  <c r="AZ41" i="21" s="1"/>
  <c r="I35" i="21"/>
  <c r="J35" i="21" s="1"/>
  <c r="I31" i="21"/>
  <c r="J31" i="21" s="1"/>
  <c r="I30" i="21"/>
  <c r="J30" i="21" s="1"/>
  <c r="BB30" i="21" s="1"/>
  <c r="I34" i="21"/>
  <c r="J34" i="21" s="1"/>
  <c r="AZ34" i="21" s="1"/>
  <c r="I36" i="21"/>
  <c r="J36" i="21" s="1"/>
  <c r="BF36" i="21" s="1"/>
  <c r="BH36" i="21" s="1"/>
  <c r="I97" i="21"/>
  <c r="J97" i="21" s="1"/>
  <c r="BB97" i="21" s="1"/>
  <c r="I93" i="21"/>
  <c r="J93" i="21" s="1"/>
  <c r="I86" i="21"/>
  <c r="J86" i="21" s="1"/>
  <c r="BB86" i="21" s="1"/>
  <c r="I101" i="21"/>
  <c r="J101" i="21" s="1"/>
  <c r="BB101" i="21" s="1"/>
  <c r="I99" i="21"/>
  <c r="J99" i="21" s="1"/>
  <c r="AZ99" i="21" s="1"/>
  <c r="I28" i="21"/>
  <c r="J28" i="21" s="1"/>
  <c r="AZ28" i="21" s="1"/>
  <c r="I42" i="21"/>
  <c r="J42" i="21" s="1"/>
  <c r="I9" i="21"/>
  <c r="J9" i="21" s="1"/>
  <c r="AR9" i="21" s="1"/>
  <c r="I24" i="21"/>
  <c r="J24" i="21" s="1"/>
  <c r="BB24" i="21" s="1"/>
  <c r="I78" i="21"/>
  <c r="J78" i="21" s="1"/>
  <c r="I88" i="21"/>
  <c r="J88" i="21" s="1"/>
  <c r="BB88" i="21" s="1"/>
  <c r="I91" i="21"/>
  <c r="J91" i="21" s="1"/>
  <c r="BB91" i="21" s="1"/>
  <c r="I66" i="21"/>
  <c r="J66" i="21" s="1"/>
  <c r="AR66" i="21" s="1"/>
  <c r="I96" i="21"/>
  <c r="J96" i="21" s="1"/>
  <c r="I51" i="21"/>
  <c r="J51" i="21" s="1"/>
  <c r="I52" i="21"/>
  <c r="J52" i="21" s="1"/>
  <c r="I25" i="21"/>
  <c r="J25" i="21" s="1"/>
  <c r="AZ25" i="21" s="1"/>
  <c r="I209" i="20"/>
  <c r="J209" i="20" s="1"/>
  <c r="I119" i="20"/>
  <c r="J119" i="20" s="1"/>
  <c r="R119" i="20" s="1"/>
  <c r="I101" i="20"/>
  <c r="J101" i="20" s="1"/>
  <c r="BF101" i="20" s="1"/>
  <c r="BH101" i="20" s="1"/>
  <c r="I43" i="20"/>
  <c r="J43" i="20" s="1"/>
  <c r="I199" i="20"/>
  <c r="J199" i="20" s="1"/>
  <c r="I157" i="20"/>
  <c r="J157" i="20" s="1"/>
  <c r="I99" i="20"/>
  <c r="J99" i="20" s="1"/>
  <c r="I32" i="20"/>
  <c r="J32" i="20" s="1"/>
  <c r="I166" i="20"/>
  <c r="J166" i="20" s="1"/>
  <c r="AP166" i="20" s="1"/>
  <c r="I155" i="20"/>
  <c r="J155" i="20" s="1"/>
  <c r="BF155" i="20" s="1"/>
  <c r="BH155" i="20" s="1"/>
  <c r="I88" i="20"/>
  <c r="J88" i="20" s="1"/>
  <c r="AR88" i="20" s="1"/>
  <c r="I208" i="20"/>
  <c r="J208" i="20" s="1"/>
  <c r="R208" i="20" s="1"/>
  <c r="I148" i="20"/>
  <c r="J148" i="20" s="1"/>
  <c r="AR148" i="20" s="1"/>
  <c r="I98" i="20"/>
  <c r="J98" i="20" s="1"/>
  <c r="I86" i="20"/>
  <c r="J86" i="20" s="1"/>
  <c r="I52" i="20"/>
  <c r="J52" i="20" s="1"/>
  <c r="I105" i="20"/>
  <c r="J105" i="20" s="1"/>
  <c r="I15" i="20"/>
  <c r="J15" i="20" s="1"/>
  <c r="AZ15" i="20" s="1"/>
  <c r="I138" i="20"/>
  <c r="J138" i="20" s="1"/>
  <c r="I161" i="20"/>
  <c r="J161" i="20" s="1"/>
  <c r="AR161" i="20" s="1"/>
  <c r="I71" i="20"/>
  <c r="J71" i="20" s="1"/>
  <c r="BF71" i="20" s="1"/>
  <c r="BH71" i="20" s="1"/>
  <c r="I53" i="20"/>
  <c r="J53" i="20" s="1"/>
  <c r="I56" i="20"/>
  <c r="J56" i="20" s="1"/>
  <c r="I198" i="20"/>
  <c r="J198" i="20" s="1"/>
  <c r="I179" i="20"/>
  <c r="J179" i="20" s="1"/>
  <c r="I145" i="20"/>
  <c r="J145" i="20" s="1"/>
  <c r="AP145" i="20" s="1"/>
  <c r="I55" i="20"/>
  <c r="J55" i="20" s="1"/>
  <c r="AZ55" i="20" s="1"/>
  <c r="I37" i="20"/>
  <c r="J37" i="20" s="1"/>
  <c r="I201" i="20"/>
  <c r="J201" i="20" s="1"/>
  <c r="AP201" i="20" s="1"/>
  <c r="I111" i="20"/>
  <c r="J111" i="20" s="1"/>
  <c r="I93" i="20"/>
  <c r="J93" i="20" s="1"/>
  <c r="I35" i="20"/>
  <c r="J35" i="20" s="1"/>
  <c r="I175" i="20"/>
  <c r="J175" i="20" s="1"/>
  <c r="AP175" i="20" s="1"/>
  <c r="I149" i="20"/>
  <c r="J149" i="20" s="1"/>
  <c r="AZ149" i="20" s="1"/>
  <c r="I91" i="20"/>
  <c r="J91" i="20" s="1"/>
  <c r="AR91" i="20" s="1"/>
  <c r="I24" i="20"/>
  <c r="J24" i="20" s="1"/>
  <c r="R24" i="20" s="1"/>
  <c r="I205" i="20"/>
  <c r="J205" i="20" s="1"/>
  <c r="I147" i="20"/>
  <c r="J147" i="20" s="1"/>
  <c r="I144" i="20"/>
  <c r="J144" i="20" s="1"/>
  <c r="I22" i="20"/>
  <c r="J22" i="20" s="1"/>
  <c r="I82" i="20"/>
  <c r="J82" i="20" s="1"/>
  <c r="I41" i="20"/>
  <c r="J41" i="20" s="1"/>
  <c r="AR41" i="20" s="1"/>
  <c r="I142" i="20"/>
  <c r="J142" i="20" s="1"/>
  <c r="AW142" i="20" s="1"/>
  <c r="I108" i="20"/>
  <c r="J108" i="20" s="1"/>
  <c r="I97" i="20"/>
  <c r="J97" i="20" s="1"/>
  <c r="I50" i="20"/>
  <c r="J50" i="20" s="1"/>
  <c r="I58" i="20"/>
  <c r="J58" i="20" s="1"/>
  <c r="I90" i="20"/>
  <c r="J90" i="20" s="1"/>
  <c r="I173" i="20"/>
  <c r="J173" i="20" s="1"/>
  <c r="AP173" i="20" s="1"/>
  <c r="I115" i="20"/>
  <c r="J115" i="20" s="1"/>
  <c r="AI115" i="20" s="1"/>
  <c r="I81" i="20"/>
  <c r="J81" i="20" s="1"/>
  <c r="I207" i="20"/>
  <c r="J207" i="20" s="1"/>
  <c r="AZ207" i="20" s="1"/>
  <c r="I156" i="20"/>
  <c r="J156" i="20" s="1"/>
  <c r="R156" i="20" s="1"/>
  <c r="I137" i="20"/>
  <c r="J137" i="20" s="1"/>
  <c r="AR137" i="20" s="1"/>
  <c r="I47" i="20"/>
  <c r="J47" i="20" s="1"/>
  <c r="I29" i="20"/>
  <c r="J29" i="20" s="1"/>
  <c r="I193" i="20"/>
  <c r="J193" i="20" s="1"/>
  <c r="R193" i="20" s="1"/>
  <c r="I103" i="20"/>
  <c r="J103" i="20" s="1"/>
  <c r="BF103" i="20" s="1"/>
  <c r="BH103" i="20" s="1"/>
  <c r="I85" i="20"/>
  <c r="J85" i="20" s="1"/>
  <c r="I27" i="20"/>
  <c r="J27" i="20" s="1"/>
  <c r="I159" i="20"/>
  <c r="J159" i="20" s="1"/>
  <c r="AP159" i="20" s="1"/>
  <c r="I141" i="20"/>
  <c r="J141" i="20" s="1"/>
  <c r="R141" i="20" s="1"/>
  <c r="I83" i="20"/>
  <c r="J83" i="20" s="1"/>
  <c r="I80" i="20"/>
  <c r="J80" i="20" s="1"/>
  <c r="I191" i="20"/>
  <c r="J191" i="20" s="1"/>
  <c r="I203" i="20"/>
  <c r="J203" i="20" s="1"/>
  <c r="AR203" i="20" s="1"/>
  <c r="I42" i="20"/>
  <c r="J42" i="20" s="1"/>
  <c r="I78" i="20"/>
  <c r="J78" i="20" s="1"/>
  <c r="BF78" i="20" s="1"/>
  <c r="BH78" i="20" s="1"/>
  <c r="I44" i="20"/>
  <c r="J44" i="20" s="1"/>
  <c r="AR44" i="20" s="1"/>
  <c r="I33" i="20"/>
  <c r="J33" i="20" s="1"/>
  <c r="I134" i="20"/>
  <c r="J134" i="20" s="1"/>
  <c r="AP134" i="20" s="1"/>
  <c r="I100" i="20"/>
  <c r="J100" i="20" s="1"/>
  <c r="I26" i="20"/>
  <c r="J26" i="20" s="1"/>
  <c r="R26" i="20" s="1"/>
  <c r="I127" i="20"/>
  <c r="J127" i="20" s="1"/>
  <c r="AI127" i="20" s="1"/>
  <c r="I109" i="20"/>
  <c r="J109" i="20" s="1"/>
  <c r="BF109" i="20" s="1"/>
  <c r="BH109" i="20" s="1"/>
  <c r="I51" i="20"/>
  <c r="J51" i="20" s="1"/>
  <c r="AZ51" i="20" s="1"/>
  <c r="I17" i="20"/>
  <c r="J17" i="20" s="1"/>
  <c r="I118" i="20"/>
  <c r="J118" i="20" s="1"/>
  <c r="I84" i="20"/>
  <c r="J84" i="20" s="1"/>
  <c r="I73" i="20"/>
  <c r="J73" i="20" s="1"/>
  <c r="I206" i="20"/>
  <c r="J206" i="20" s="1"/>
  <c r="R206" i="20" s="1"/>
  <c r="I140" i="20"/>
  <c r="J140" i="20" s="1"/>
  <c r="BF140" i="20" s="1"/>
  <c r="BH140" i="20" s="1"/>
  <c r="I129" i="20"/>
  <c r="J129" i="20" s="1"/>
  <c r="AZ129" i="20" s="1"/>
  <c r="I39" i="20"/>
  <c r="J39" i="20" s="1"/>
  <c r="I21" i="20"/>
  <c r="J21" i="20" s="1"/>
  <c r="I185" i="20"/>
  <c r="J185" i="20" s="1"/>
  <c r="I95" i="20"/>
  <c r="J95" i="20" s="1"/>
  <c r="BF95" i="20" s="1"/>
  <c r="BH95" i="20" s="1"/>
  <c r="I77" i="20"/>
  <c r="J77" i="20" s="1"/>
  <c r="I19" i="20"/>
  <c r="J19" i="20" s="1"/>
  <c r="AZ19" i="20" s="1"/>
  <c r="I16" i="20"/>
  <c r="J16" i="20" s="1"/>
  <c r="R16" i="20" s="1"/>
  <c r="I197" i="20"/>
  <c r="J197" i="20" s="1"/>
  <c r="AR197" i="20" s="1"/>
  <c r="I139" i="20"/>
  <c r="J139" i="20" s="1"/>
  <c r="BF139" i="20" s="1"/>
  <c r="BH139" i="20" s="1"/>
  <c r="I136" i="20"/>
  <c r="J136" i="20" s="1"/>
  <c r="AI136" i="20" s="1"/>
  <c r="I14" i="20"/>
  <c r="J14" i="20" s="1"/>
  <c r="I18" i="20"/>
  <c r="J18" i="20" s="1"/>
  <c r="R18" i="20" s="1"/>
  <c r="I192" i="20"/>
  <c r="J192" i="20" s="1"/>
  <c r="R192" i="20" s="1"/>
  <c r="I70" i="20"/>
  <c r="J70" i="20" s="1"/>
  <c r="I36" i="20"/>
  <c r="J36" i="20" s="1"/>
  <c r="BF36" i="20" s="1"/>
  <c r="BH36" i="20" s="1"/>
  <c r="I153" i="20"/>
  <c r="J153" i="20" s="1"/>
  <c r="AI153" i="20" s="1"/>
  <c r="I63" i="20"/>
  <c r="J63" i="20" s="1"/>
  <c r="I45" i="20"/>
  <c r="J45" i="20" s="1"/>
  <c r="I176" i="20"/>
  <c r="J176" i="20" s="1"/>
  <c r="R176" i="20" s="1"/>
  <c r="I54" i="20"/>
  <c r="J54" i="20" s="1"/>
  <c r="I20" i="20"/>
  <c r="J20" i="20" s="1"/>
  <c r="I9" i="20"/>
  <c r="J9" i="20" s="1"/>
  <c r="R9" i="20" s="1"/>
  <c r="I110" i="20"/>
  <c r="J110" i="20" s="1"/>
  <c r="AR110" i="20" s="1"/>
  <c r="I76" i="20"/>
  <c r="J76" i="20" s="1"/>
  <c r="I65" i="20"/>
  <c r="J65" i="20" s="1"/>
  <c r="AZ65" i="20" s="1"/>
  <c r="I174" i="20"/>
  <c r="J174" i="20" s="1"/>
  <c r="BF174" i="20" s="1"/>
  <c r="BH174" i="20" s="1"/>
  <c r="I132" i="20"/>
  <c r="J132" i="20" s="1"/>
  <c r="AW132" i="20" s="1"/>
  <c r="I121" i="20"/>
  <c r="J121" i="20" s="1"/>
  <c r="R121" i="20" s="1"/>
  <c r="I31" i="20"/>
  <c r="J31" i="20" s="1"/>
  <c r="R31" i="20" s="1"/>
  <c r="I13" i="20"/>
  <c r="J13" i="20" s="1"/>
  <c r="R13" i="20" s="1"/>
  <c r="I154" i="20"/>
  <c r="J154" i="20" s="1"/>
  <c r="R154" i="20" s="1"/>
  <c r="I151" i="20"/>
  <c r="J151" i="20" s="1"/>
  <c r="AI151" i="20" s="1"/>
  <c r="I133" i="20"/>
  <c r="J133" i="20" s="1"/>
  <c r="AR133" i="20" s="1"/>
  <c r="I75" i="20"/>
  <c r="J75" i="20" s="1"/>
  <c r="AZ75" i="20" s="1"/>
  <c r="I72" i="20"/>
  <c r="J72" i="20" s="1"/>
  <c r="I183" i="20"/>
  <c r="J183" i="20" s="1"/>
  <c r="R183" i="20" s="1"/>
  <c r="I195" i="20"/>
  <c r="J195" i="20" s="1"/>
  <c r="AP195" i="20" s="1"/>
  <c r="I128" i="20"/>
  <c r="J128" i="20" s="1"/>
  <c r="AP128" i="20" s="1"/>
  <c r="I194" i="20"/>
  <c r="J194" i="20" s="1"/>
  <c r="R194" i="20" s="1"/>
  <c r="I204" i="20"/>
  <c r="J204" i="20" s="1"/>
  <c r="AZ204" i="20" s="1"/>
  <c r="I89" i="20"/>
  <c r="J89" i="20" s="1"/>
  <c r="BF89" i="20" s="1"/>
  <c r="BH89" i="20" s="1"/>
  <c r="I200" i="20"/>
  <c r="J200" i="20" s="1"/>
  <c r="AP200" i="20" s="1"/>
  <c r="I180" i="20"/>
  <c r="J180" i="20" s="1"/>
  <c r="AR180" i="20" s="1"/>
  <c r="I112" i="20"/>
  <c r="J112" i="20" s="1"/>
  <c r="I114" i="20"/>
  <c r="J114" i="20" s="1"/>
  <c r="AP114" i="20" s="1"/>
  <c r="I188" i="20"/>
  <c r="J188" i="20" s="1"/>
  <c r="R188" i="20" s="1"/>
  <c r="I168" i="20"/>
  <c r="J168" i="20" s="1"/>
  <c r="R168" i="20" s="1"/>
  <c r="I46" i="20"/>
  <c r="J46" i="20" s="1"/>
  <c r="AZ46" i="20" s="1"/>
  <c r="I12" i="20"/>
  <c r="J12" i="20" s="1"/>
  <c r="I186" i="20"/>
  <c r="J186" i="20" s="1"/>
  <c r="AR186" i="20" s="1"/>
  <c r="I102" i="20"/>
  <c r="J102" i="20" s="1"/>
  <c r="BF102" i="20" s="1"/>
  <c r="BH102" i="20" s="1"/>
  <c r="I68" i="20"/>
  <c r="J68" i="20" s="1"/>
  <c r="I57" i="20"/>
  <c r="J57" i="20" s="1"/>
  <c r="I158" i="20"/>
  <c r="J158" i="20" s="1"/>
  <c r="I124" i="20"/>
  <c r="J124" i="20" s="1"/>
  <c r="AZ124" i="20" s="1"/>
  <c r="I177" i="20"/>
  <c r="J177" i="20" s="1"/>
  <c r="AI177" i="20" s="1"/>
  <c r="I87" i="20"/>
  <c r="J87" i="20" s="1"/>
  <c r="I69" i="20"/>
  <c r="J69" i="20" s="1"/>
  <c r="AZ69" i="20" s="1"/>
  <c r="I11" i="20"/>
  <c r="J11" i="20" s="1"/>
  <c r="R11" i="20" s="1"/>
  <c r="I178" i="20"/>
  <c r="J178" i="20" s="1"/>
  <c r="R178" i="20" s="1"/>
  <c r="I189" i="20"/>
  <c r="J189" i="20" s="1"/>
  <c r="AP189" i="20" s="1"/>
  <c r="I131" i="20"/>
  <c r="J131" i="20" s="1"/>
  <c r="AP131" i="20" s="1"/>
  <c r="I64" i="20"/>
  <c r="J64" i="20" s="1"/>
  <c r="AZ64" i="20" s="1"/>
  <c r="I167" i="20"/>
  <c r="J167" i="20" s="1"/>
  <c r="AI167" i="20" s="1"/>
  <c r="I187" i="20"/>
  <c r="J187" i="20" s="1"/>
  <c r="AR187" i="20" s="1"/>
  <c r="I25" i="20"/>
  <c r="J25" i="20" s="1"/>
  <c r="I126" i="20"/>
  <c r="J126" i="20" s="1"/>
  <c r="R126" i="20" s="1"/>
  <c r="I92" i="20"/>
  <c r="J92" i="20" s="1"/>
  <c r="I48" i="20"/>
  <c r="J48" i="20" s="1"/>
  <c r="I190" i="20"/>
  <c r="J190" i="20" s="1"/>
  <c r="R190" i="20" s="1"/>
  <c r="I171" i="20"/>
  <c r="J171" i="20" s="1"/>
  <c r="AR171" i="20" s="1"/>
  <c r="I104" i="20"/>
  <c r="J104" i="20" s="1"/>
  <c r="AZ104" i="20" s="1"/>
  <c r="I74" i="20"/>
  <c r="J74" i="20" s="1"/>
  <c r="I172" i="20"/>
  <c r="J172" i="20" s="1"/>
  <c r="R172" i="20" s="1"/>
  <c r="I160" i="20"/>
  <c r="J160" i="20" s="1"/>
  <c r="AI160" i="20" s="1"/>
  <c r="I38" i="20"/>
  <c r="J38" i="20" s="1"/>
  <c r="I170" i="20"/>
  <c r="J170" i="20" s="1"/>
  <c r="AP170" i="20" s="1"/>
  <c r="I146" i="20"/>
  <c r="J146" i="20" s="1"/>
  <c r="AP146" i="20" s="1"/>
  <c r="I94" i="20"/>
  <c r="J94" i="20" s="1"/>
  <c r="AR94" i="20" s="1"/>
  <c r="I60" i="20"/>
  <c r="J60" i="20" s="1"/>
  <c r="AR60" i="20" s="1"/>
  <c r="I113" i="20"/>
  <c r="J113" i="20" s="1"/>
  <c r="I23" i="20"/>
  <c r="J23" i="20" s="1"/>
  <c r="R23" i="20" s="1"/>
  <c r="I202" i="20"/>
  <c r="J202" i="20" s="1"/>
  <c r="R202" i="20" s="1"/>
  <c r="I106" i="20"/>
  <c r="J106" i="20" s="1"/>
  <c r="I143" i="20"/>
  <c r="J143" i="20" s="1"/>
  <c r="R143" i="20" s="1"/>
  <c r="I125" i="20"/>
  <c r="J125" i="20" s="1"/>
  <c r="AP125" i="20" s="1"/>
  <c r="I67" i="20"/>
  <c r="J67" i="20" s="1"/>
  <c r="AZ67" i="20" s="1"/>
  <c r="I130" i="20"/>
  <c r="J130" i="20" s="1"/>
  <c r="I181" i="20"/>
  <c r="J181" i="20" s="1"/>
  <c r="AZ181" i="20" s="1"/>
  <c r="I123" i="20"/>
  <c r="J123" i="20" s="1"/>
  <c r="AR123" i="20" s="1"/>
  <c r="I184" i="20"/>
  <c r="J184" i="20" s="1"/>
  <c r="R184" i="20" s="1"/>
  <c r="I62" i="20"/>
  <c r="J62" i="20" s="1"/>
  <c r="I28" i="20"/>
  <c r="J28" i="20" s="1"/>
  <c r="R28" i="20" s="1"/>
  <c r="I34" i="20"/>
  <c r="J34" i="20" s="1"/>
  <c r="I165" i="20"/>
  <c r="J165" i="20" s="1"/>
  <c r="AP165" i="20" s="1"/>
  <c r="I107" i="20"/>
  <c r="J107" i="20" s="1"/>
  <c r="AZ107" i="20" s="1"/>
  <c r="I40" i="20"/>
  <c r="J40" i="20" s="1"/>
  <c r="I182" i="20"/>
  <c r="J182" i="20" s="1"/>
  <c r="I163" i="20"/>
  <c r="J163" i="20" s="1"/>
  <c r="R163" i="20" s="1"/>
  <c r="I96" i="20"/>
  <c r="J96" i="20" s="1"/>
  <c r="I10" i="20"/>
  <c r="J10" i="20" s="1"/>
  <c r="BF10" i="20" s="1"/>
  <c r="BH10" i="20" s="1"/>
  <c r="I164" i="20"/>
  <c r="J164" i="20" s="1"/>
  <c r="AP164" i="20" s="1"/>
  <c r="I152" i="20"/>
  <c r="J152" i="20" s="1"/>
  <c r="AR152" i="20" s="1"/>
  <c r="I30" i="20"/>
  <c r="J30" i="20" s="1"/>
  <c r="AR30" i="20" s="1"/>
  <c r="I122" i="20"/>
  <c r="J122" i="20" s="1"/>
  <c r="AP122" i="20" s="1"/>
  <c r="I49" i="20"/>
  <c r="J49" i="20" s="1"/>
  <c r="AZ49" i="20" s="1"/>
  <c r="I150" i="20"/>
  <c r="J150" i="20" s="1"/>
  <c r="AW150" i="20" s="1"/>
  <c r="I116" i="20"/>
  <c r="J116" i="20" s="1"/>
  <c r="R116" i="20" s="1"/>
  <c r="I169" i="20"/>
  <c r="J169" i="20" s="1"/>
  <c r="R169" i="20" s="1"/>
  <c r="I79" i="20"/>
  <c r="J79" i="20" s="1"/>
  <c r="I61" i="20"/>
  <c r="J61" i="20" s="1"/>
  <c r="AZ61" i="20" s="1"/>
  <c r="I66" i="20"/>
  <c r="J66" i="20" s="1"/>
  <c r="I135" i="20"/>
  <c r="J135" i="20" s="1"/>
  <c r="AW135" i="20" s="1"/>
  <c r="I117" i="20"/>
  <c r="J117" i="20" s="1"/>
  <c r="AW117" i="20" s="1"/>
  <c r="I59" i="20"/>
  <c r="J59" i="20" s="1"/>
  <c r="AR59" i="20" s="1"/>
  <c r="I120" i="20"/>
  <c r="J120" i="20" s="1"/>
  <c r="R120" i="20" s="1"/>
  <c r="I162" i="20"/>
  <c r="J162" i="20" s="1"/>
  <c r="AP162" i="20" s="1"/>
  <c r="I196" i="20"/>
  <c r="J196" i="20" s="1"/>
  <c r="AP196" i="20" s="1"/>
  <c r="R157" i="20"/>
  <c r="AP157" i="20"/>
  <c r="R14" i="20"/>
  <c r="R134" i="20"/>
  <c r="R137" i="20"/>
  <c r="AP137" i="20"/>
  <c r="R19" i="20"/>
  <c r="R209" i="20"/>
  <c r="AP209" i="20"/>
  <c r="R166" i="20"/>
  <c r="R203" i="20"/>
  <c r="R173" i="20"/>
  <c r="R185" i="20"/>
  <c r="AP185" i="20"/>
  <c r="R29" i="20"/>
  <c r="R198" i="20"/>
  <c r="AP198" i="20"/>
  <c r="R132" i="20"/>
  <c r="AP132" i="20"/>
  <c r="AP193" i="20"/>
  <c r="R195" i="20"/>
  <c r="AP141" i="20"/>
  <c r="R158" i="20"/>
  <c r="AP158" i="20"/>
  <c r="R175" i="20"/>
  <c r="R33" i="20"/>
  <c r="AP126" i="20"/>
  <c r="R32" i="20"/>
  <c r="R15" i="20"/>
  <c r="R189" i="20"/>
  <c r="R144" i="20"/>
  <c r="AP144" i="20"/>
  <c r="R20" i="20"/>
  <c r="AP206" i="20"/>
  <c r="R147" i="20"/>
  <c r="AP147" i="20"/>
  <c r="AP176" i="20"/>
  <c r="R118" i="20"/>
  <c r="AP118" i="20"/>
  <c r="R131" i="20"/>
  <c r="R191" i="20"/>
  <c r="AP191" i="20"/>
  <c r="R22" i="20"/>
  <c r="R179" i="20"/>
  <c r="AP179" i="20"/>
  <c r="AP169" i="20"/>
  <c r="AP127" i="20"/>
  <c r="BF27" i="21"/>
  <c r="BH27" i="21" s="1"/>
  <c r="BF74" i="21"/>
  <c r="BH74" i="21" s="1"/>
  <c r="AR74" i="21"/>
  <c r="BB74" i="21"/>
  <c r="BF137" i="20"/>
  <c r="BH137" i="20" s="1"/>
  <c r="AZ137" i="20"/>
  <c r="AW137" i="20"/>
  <c r="AZ95" i="20"/>
  <c r="AR95" i="20"/>
  <c r="AZ29" i="20"/>
  <c r="BF29" i="20"/>
  <c r="BH29" i="20" s="1"/>
  <c r="AR29" i="20"/>
  <c r="AZ75" i="21"/>
  <c r="BB75" i="21"/>
  <c r="BF75" i="21"/>
  <c r="BH75" i="21" s="1"/>
  <c r="AR75" i="21"/>
  <c r="AI10" i="20"/>
  <c r="BF19" i="20"/>
  <c r="BH19" i="20" s="1"/>
  <c r="AR19" i="20"/>
  <c r="AR209" i="20"/>
  <c r="AI209" i="20"/>
  <c r="BF209" i="20"/>
  <c r="BH209" i="20" s="1"/>
  <c r="AZ209" i="20"/>
  <c r="AW209" i="20"/>
  <c r="AR45" i="21"/>
  <c r="BB45" i="21"/>
  <c r="AZ45" i="21"/>
  <c r="BF104" i="21"/>
  <c r="BH104" i="21" s="1"/>
  <c r="AZ166" i="20"/>
  <c r="AR166" i="20"/>
  <c r="AI166" i="20"/>
  <c r="BF166" i="20"/>
  <c r="BH166" i="20" s="1"/>
  <c r="AR100" i="20"/>
  <c r="AZ100" i="20"/>
  <c r="BF100" i="20"/>
  <c r="BH100" i="20" s="1"/>
  <c r="BB40" i="21"/>
  <c r="AR82" i="21"/>
  <c r="BF119" i="20"/>
  <c r="BH119" i="20" s="1"/>
  <c r="AW119" i="20"/>
  <c r="AZ53" i="20"/>
  <c r="BF53" i="20"/>
  <c r="BH53" i="20" s="1"/>
  <c r="AR53" i="20"/>
  <c r="BF34" i="20"/>
  <c r="BH34" i="20" s="1"/>
  <c r="AZ34" i="20"/>
  <c r="BF203" i="20"/>
  <c r="BH203" i="20" s="1"/>
  <c r="AZ203" i="20"/>
  <c r="AI173" i="20"/>
  <c r="BF173" i="20"/>
  <c r="BH173" i="20" s="1"/>
  <c r="AZ173" i="20"/>
  <c r="AR173" i="20"/>
  <c r="AW173" i="20"/>
  <c r="AR102" i="21"/>
  <c r="BB102" i="21"/>
  <c r="AZ102" i="21"/>
  <c r="AW164" i="20"/>
  <c r="AZ72" i="20"/>
  <c r="BF72" i="20"/>
  <c r="BH72" i="20" s="1"/>
  <c r="AR72" i="20"/>
  <c r="BF198" i="20"/>
  <c r="BH198" i="20" s="1"/>
  <c r="AZ198" i="20"/>
  <c r="AR198" i="20"/>
  <c r="AI198" i="20"/>
  <c r="AW198" i="20"/>
  <c r="BF132" i="20"/>
  <c r="BH132" i="20" s="1"/>
  <c r="AZ132" i="20"/>
  <c r="AR132" i="20"/>
  <c r="AI132" i="20"/>
  <c r="AZ10" i="21"/>
  <c r="BF10" i="21"/>
  <c r="BH10" i="21" s="1"/>
  <c r="AR10" i="21"/>
  <c r="BB10" i="21"/>
  <c r="BF31" i="20"/>
  <c r="BH31" i="20" s="1"/>
  <c r="AR31" i="20"/>
  <c r="AZ31" i="20"/>
  <c r="BB84" i="21"/>
  <c r="AR84" i="21"/>
  <c r="AZ193" i="20"/>
  <c r="AR193" i="20"/>
  <c r="AI193" i="20"/>
  <c r="BF193" i="20"/>
  <c r="BH193" i="20" s="1"/>
  <c r="AW193" i="20"/>
  <c r="AI195" i="20"/>
  <c r="BF195" i="20"/>
  <c r="BH195" i="20" s="1"/>
  <c r="AR195" i="20"/>
  <c r="AZ195" i="20"/>
  <c r="AW195" i="20"/>
  <c r="AI141" i="20"/>
  <c r="BF141" i="20"/>
  <c r="BH141" i="20" s="1"/>
  <c r="AZ141" i="20"/>
  <c r="AR141" i="20"/>
  <c r="AW141" i="20"/>
  <c r="AR21" i="21"/>
  <c r="AZ21" i="21"/>
  <c r="BB21" i="21"/>
  <c r="BF21" i="21"/>
  <c r="BH21" i="21" s="1"/>
  <c r="AR160" i="20"/>
  <c r="AZ36" i="20"/>
  <c r="AZ65" i="21"/>
  <c r="BB65" i="21"/>
  <c r="BF65" i="21"/>
  <c r="BH65" i="21" s="1"/>
  <c r="AR65" i="21"/>
  <c r="AZ158" i="20"/>
  <c r="AR158" i="20"/>
  <c r="AI158" i="20"/>
  <c r="BF158" i="20"/>
  <c r="BH158" i="20" s="1"/>
  <c r="AW158" i="20"/>
  <c r="AZ68" i="21"/>
  <c r="BF68" i="21"/>
  <c r="BH68" i="21" s="1"/>
  <c r="AR68" i="21"/>
  <c r="BB68" i="21"/>
  <c r="BF55" i="20"/>
  <c r="BH55" i="20" s="1"/>
  <c r="AZ50" i="21"/>
  <c r="BB50" i="21"/>
  <c r="BF50" i="21"/>
  <c r="BH50" i="21" s="1"/>
  <c r="AR50" i="21"/>
  <c r="BF35" i="20"/>
  <c r="BH35" i="20" s="1"/>
  <c r="AR35" i="20"/>
  <c r="AZ35" i="20"/>
  <c r="AI175" i="20"/>
  <c r="BF175" i="20"/>
  <c r="BH175" i="20" s="1"/>
  <c r="AZ175" i="20"/>
  <c r="AR175" i="20"/>
  <c r="AW175" i="20"/>
  <c r="AZ192" i="20"/>
  <c r="AR192" i="20"/>
  <c r="AI192" i="20"/>
  <c r="BF192" i="20"/>
  <c r="BH192" i="20" s="1"/>
  <c r="AW192" i="20"/>
  <c r="AZ134" i="20"/>
  <c r="AR134" i="20"/>
  <c r="AI134" i="20"/>
  <c r="BF134" i="20"/>
  <c r="BH134" i="20" s="1"/>
  <c r="AZ68" i="20"/>
  <c r="BF68" i="20"/>
  <c r="BH68" i="20" s="1"/>
  <c r="AR68" i="20"/>
  <c r="BF78" i="21"/>
  <c r="BH78" i="21" s="1"/>
  <c r="AR78" i="21"/>
  <c r="AZ78" i="21"/>
  <c r="BB78" i="21"/>
  <c r="BF9" i="20"/>
  <c r="BH9" i="20" s="1"/>
  <c r="B75" i="20" s="1"/>
  <c r="B76" i="20" s="1"/>
  <c r="AR9" i="20"/>
  <c r="AZ9" i="20"/>
  <c r="AI9" i="20"/>
  <c r="AR190" i="20"/>
  <c r="AI190" i="20"/>
  <c r="BF190" i="20"/>
  <c r="BH190" i="20" s="1"/>
  <c r="AZ190" i="20"/>
  <c r="AW190" i="20"/>
  <c r="AI124" i="20"/>
  <c r="BF124" i="20"/>
  <c r="BH124" i="20" s="1"/>
  <c r="AZ72" i="21"/>
  <c r="BB72" i="21"/>
  <c r="BF72" i="21"/>
  <c r="BH72" i="21" s="1"/>
  <c r="AR72" i="21"/>
  <c r="AZ21" i="20"/>
  <c r="AR56" i="21"/>
  <c r="BB56" i="21"/>
  <c r="AZ56" i="21"/>
  <c r="BF56" i="21"/>
  <c r="BH56" i="21" s="1"/>
  <c r="BF185" i="20"/>
  <c r="BH185" i="20" s="1"/>
  <c r="AZ185" i="20"/>
  <c r="AR185" i="20"/>
  <c r="AI185" i="20"/>
  <c r="AW185" i="20"/>
  <c r="BF143" i="20"/>
  <c r="BH143" i="20" s="1"/>
  <c r="AZ143" i="20"/>
  <c r="AR143" i="20"/>
  <c r="AI143" i="20"/>
  <c r="AW143" i="20"/>
  <c r="AR77" i="20"/>
  <c r="AZ77" i="20"/>
  <c r="BF77" i="20"/>
  <c r="BH77" i="20" s="1"/>
  <c r="BF96" i="20"/>
  <c r="BH96" i="20" s="1"/>
  <c r="AR96" i="20"/>
  <c r="AZ96" i="20"/>
  <c r="BF38" i="20"/>
  <c r="BH38" i="20" s="1"/>
  <c r="AR38" i="20"/>
  <c r="AZ38" i="20"/>
  <c r="BF77" i="21"/>
  <c r="BH77" i="21" s="1"/>
  <c r="AR77" i="21"/>
  <c r="BB77" i="21"/>
  <c r="AZ77" i="21"/>
  <c r="AZ105" i="21"/>
  <c r="BF105" i="21"/>
  <c r="BH105" i="21" s="1"/>
  <c r="AR105" i="21"/>
  <c r="BB105" i="21"/>
  <c r="AR178" i="20"/>
  <c r="AI178" i="20"/>
  <c r="BF178" i="20"/>
  <c r="BH178" i="20" s="1"/>
  <c r="AZ178" i="20"/>
  <c r="AW178" i="20"/>
  <c r="BF28" i="20"/>
  <c r="BH28" i="20" s="1"/>
  <c r="AR28" i="20"/>
  <c r="AZ28" i="20"/>
  <c r="BF95" i="21"/>
  <c r="BH95" i="21" s="1"/>
  <c r="AR95" i="21"/>
  <c r="BB95" i="21"/>
  <c r="AZ95" i="21"/>
  <c r="AZ89" i="21"/>
  <c r="BB89" i="21"/>
  <c r="BF89" i="21"/>
  <c r="BH89" i="21" s="1"/>
  <c r="AR89" i="21"/>
  <c r="BF33" i="20"/>
  <c r="BH33" i="20" s="1"/>
  <c r="AR33" i="20"/>
  <c r="AZ33" i="20"/>
  <c r="AR60" i="21"/>
  <c r="BB60" i="21"/>
  <c r="AZ60" i="21"/>
  <c r="BF60" i="21"/>
  <c r="BH60" i="21" s="1"/>
  <c r="BB9" i="21"/>
  <c r="BF111" i="20"/>
  <c r="BH111" i="20" s="1"/>
  <c r="AZ111" i="20"/>
  <c r="AR111" i="20"/>
  <c r="BF14" i="20"/>
  <c r="BH14" i="20" s="1"/>
  <c r="AR14" i="20"/>
  <c r="AZ14" i="20"/>
  <c r="BF92" i="21"/>
  <c r="BH92" i="21" s="1"/>
  <c r="AR92" i="21"/>
  <c r="AZ92" i="21"/>
  <c r="BB92" i="21"/>
  <c r="BF73" i="20"/>
  <c r="BH73" i="20" s="1"/>
  <c r="AR73" i="20"/>
  <c r="AZ73" i="20"/>
  <c r="AZ188" i="20"/>
  <c r="AR188" i="20"/>
  <c r="AI188" i="20"/>
  <c r="BF188" i="20"/>
  <c r="BH188" i="20" s="1"/>
  <c r="AW188" i="20"/>
  <c r="BF32" i="21"/>
  <c r="BH32" i="21" s="1"/>
  <c r="AR32" i="21"/>
  <c r="AZ32" i="21"/>
  <c r="BB32" i="21"/>
  <c r="AR102" i="20"/>
  <c r="AZ19" i="21"/>
  <c r="BF19" i="21"/>
  <c r="BH19" i="21" s="1"/>
  <c r="AR19" i="21"/>
  <c r="BB19" i="21"/>
  <c r="AZ92" i="20"/>
  <c r="BF92" i="20"/>
  <c r="BH92" i="20" s="1"/>
  <c r="AR92" i="20"/>
  <c r="AZ128" i="20"/>
  <c r="AR128" i="20"/>
  <c r="AI128" i="20"/>
  <c r="BF128" i="20"/>
  <c r="BH128" i="20" s="1"/>
  <c r="AW128" i="20"/>
  <c r="AZ70" i="20"/>
  <c r="BF70" i="20"/>
  <c r="BH70" i="20" s="1"/>
  <c r="AR70" i="20"/>
  <c r="AR81" i="21"/>
  <c r="BB81" i="21"/>
  <c r="AZ81" i="21"/>
  <c r="BF81" i="21"/>
  <c r="BH81" i="21" s="1"/>
  <c r="AR71" i="21"/>
  <c r="BB71" i="21"/>
  <c r="AZ71" i="21"/>
  <c r="BF71" i="21"/>
  <c r="BH71" i="21" s="1"/>
  <c r="AZ59" i="20"/>
  <c r="BF59" i="20"/>
  <c r="BH59" i="20" s="1"/>
  <c r="BF184" i="20"/>
  <c r="BH184" i="20" s="1"/>
  <c r="AZ184" i="20"/>
  <c r="AR184" i="20"/>
  <c r="AI184" i="20"/>
  <c r="BF126" i="20"/>
  <c r="BH126" i="20" s="1"/>
  <c r="AZ126" i="20"/>
  <c r="AR126" i="20"/>
  <c r="AW126" i="20"/>
  <c r="AR65" i="20"/>
  <c r="AZ180" i="20"/>
  <c r="BF180" i="20"/>
  <c r="BH180" i="20" s="1"/>
  <c r="AW180" i="20"/>
  <c r="BB46" i="21"/>
  <c r="BF46" i="21"/>
  <c r="BH46" i="21" s="1"/>
  <c r="AR46" i="21"/>
  <c r="AZ46" i="21"/>
  <c r="BB34" i="21"/>
  <c r="AR34" i="21"/>
  <c r="AZ121" i="20"/>
  <c r="AR121" i="20"/>
  <c r="AI121" i="20"/>
  <c r="BF121" i="20"/>
  <c r="BH121" i="20" s="1"/>
  <c r="AW121" i="20"/>
  <c r="AZ79" i="20"/>
  <c r="BF79" i="20"/>
  <c r="BH79" i="20" s="1"/>
  <c r="AR79" i="20"/>
  <c r="AZ13" i="20"/>
  <c r="BF13" i="20"/>
  <c r="BH13" i="20" s="1"/>
  <c r="AR13" i="20"/>
  <c r="BF109" i="21"/>
  <c r="BH109" i="21" s="1"/>
  <c r="AR109" i="21"/>
  <c r="AZ109" i="21"/>
  <c r="BB109" i="21"/>
  <c r="BF58" i="20"/>
  <c r="BH58" i="20" s="1"/>
  <c r="AR58" i="20"/>
  <c r="AZ58" i="20"/>
  <c r="BF32" i="20"/>
  <c r="BH32" i="20" s="1"/>
  <c r="AR32" i="20"/>
  <c r="AZ32" i="20"/>
  <c r="BF37" i="21"/>
  <c r="BH37" i="21" s="1"/>
  <c r="AR37" i="21"/>
  <c r="AZ37" i="21"/>
  <c r="BB37" i="21"/>
  <c r="AI114" i="20"/>
  <c r="BF114" i="20"/>
  <c r="BH114" i="20" s="1"/>
  <c r="AZ114" i="20"/>
  <c r="AR114" i="20"/>
  <c r="AW114" i="20"/>
  <c r="AZ88" i="21"/>
  <c r="BF44" i="21"/>
  <c r="BH44" i="21" s="1"/>
  <c r="AR44" i="21"/>
  <c r="AZ44" i="21"/>
  <c r="BB44" i="21"/>
  <c r="AI150" i="20"/>
  <c r="BF150" i="20"/>
  <c r="BH150" i="20" s="1"/>
  <c r="AZ150" i="20"/>
  <c r="AR150" i="20"/>
  <c r="BF84" i="20"/>
  <c r="BH84" i="20" s="1"/>
  <c r="AR84" i="20"/>
  <c r="AZ84" i="20"/>
  <c r="AZ23" i="21"/>
  <c r="BB23" i="21"/>
  <c r="BF23" i="21"/>
  <c r="BH23" i="21" s="1"/>
  <c r="AR23" i="21"/>
  <c r="AZ89" i="20"/>
  <c r="AR47" i="20"/>
  <c r="AZ47" i="20"/>
  <c r="BF47" i="20"/>
  <c r="BH47" i="20" s="1"/>
  <c r="AZ93" i="20"/>
  <c r="BF93" i="20"/>
  <c r="BH93" i="20" s="1"/>
  <c r="AR93" i="20"/>
  <c r="AR48" i="20"/>
  <c r="AZ48" i="20"/>
  <c r="BF48" i="20"/>
  <c r="BH48" i="20" s="1"/>
  <c r="AZ63" i="20"/>
  <c r="B136" i="2"/>
  <c r="K141" i="2" s="1"/>
  <c r="M141" i="2" s="1"/>
  <c r="D141" i="2"/>
  <c r="D136" i="2"/>
  <c r="D158" i="2"/>
  <c r="B158" i="2" s="1"/>
  <c r="B141" i="2"/>
  <c r="D187" i="2"/>
  <c r="B187" i="2" s="1"/>
  <c r="B189" i="2" s="1"/>
  <c r="E58" i="1" s="1"/>
  <c r="D169" i="2"/>
  <c r="B169" i="2" s="1"/>
  <c r="B171" i="2" s="1"/>
  <c r="E49" i="1" s="1"/>
  <c r="AZ57" i="20"/>
  <c r="BF57" i="20"/>
  <c r="BH57" i="20" s="1"/>
  <c r="AR57" i="20"/>
  <c r="BF15" i="20"/>
  <c r="BH15" i="20" s="1"/>
  <c r="AR15" i="20"/>
  <c r="BF63" i="21"/>
  <c r="BH63" i="21" s="1"/>
  <c r="AR63" i="21"/>
  <c r="BB63" i="21"/>
  <c r="AZ63" i="21"/>
  <c r="BF50" i="20"/>
  <c r="BH50" i="20" s="1"/>
  <c r="AR50" i="20"/>
  <c r="AZ50" i="20"/>
  <c r="AI189" i="20"/>
  <c r="BF189" i="20"/>
  <c r="BH189" i="20" s="1"/>
  <c r="AZ189" i="20"/>
  <c r="AR189" i="20"/>
  <c r="AW189" i="20"/>
  <c r="AZ90" i="20"/>
  <c r="BF90" i="20"/>
  <c r="BH90" i="20" s="1"/>
  <c r="AR90" i="20"/>
  <c r="BB52" i="21"/>
  <c r="AZ52" i="21"/>
  <c r="BF52" i="21"/>
  <c r="BH52" i="21" s="1"/>
  <c r="AR52" i="21"/>
  <c r="AI170" i="20"/>
  <c r="BF170" i="20"/>
  <c r="BH170" i="20" s="1"/>
  <c r="AR170" i="20"/>
  <c r="AZ170" i="20"/>
  <c r="AW170" i="20"/>
  <c r="AI144" i="20"/>
  <c r="BF144" i="20"/>
  <c r="BH144" i="20" s="1"/>
  <c r="AZ144" i="20"/>
  <c r="AR144" i="20"/>
  <c r="AW144" i="20"/>
  <c r="BF86" i="20"/>
  <c r="BH86" i="20" s="1"/>
  <c r="AR86" i="20"/>
  <c r="AZ86" i="20"/>
  <c r="BF20" i="20"/>
  <c r="BH20" i="20" s="1"/>
  <c r="AR20" i="20"/>
  <c r="AZ20" i="20"/>
  <c r="BB106" i="21"/>
  <c r="AZ106" i="21"/>
  <c r="BF106" i="21"/>
  <c r="BH106" i="21" s="1"/>
  <c r="AR106" i="21"/>
  <c r="AZ206" i="20"/>
  <c r="AR206" i="20"/>
  <c r="AI206" i="20"/>
  <c r="BF206" i="20"/>
  <c r="BH206" i="20" s="1"/>
  <c r="AW206" i="20"/>
  <c r="AZ105" i="20"/>
  <c r="AR105" i="20"/>
  <c r="BF105" i="20"/>
  <c r="BH105" i="20" s="1"/>
  <c r="AZ93" i="21"/>
  <c r="BB93" i="21"/>
  <c r="BF93" i="21"/>
  <c r="BH93" i="21" s="1"/>
  <c r="AR93" i="21"/>
  <c r="BF64" i="20"/>
  <c r="BH64" i="20" s="1"/>
  <c r="AR64" i="20"/>
  <c r="AR146" i="20"/>
  <c r="AZ146" i="20"/>
  <c r="AI146" i="20"/>
  <c r="BF146" i="20"/>
  <c r="BH146" i="20" s="1"/>
  <c r="AW146" i="20"/>
  <c r="BF62" i="20"/>
  <c r="BH62" i="20" s="1"/>
  <c r="AR62" i="20"/>
  <c r="AZ62" i="20"/>
  <c r="AR24" i="21"/>
  <c r="AR116" i="20"/>
  <c r="AI116" i="20"/>
  <c r="BF116" i="20"/>
  <c r="BH116" i="20" s="1"/>
  <c r="AZ116" i="20"/>
  <c r="AW116" i="20"/>
  <c r="AR147" i="20"/>
  <c r="AZ147" i="20"/>
  <c r="AI147" i="20"/>
  <c r="BF147" i="20"/>
  <c r="BH147" i="20" s="1"/>
  <c r="AW147" i="20"/>
  <c r="AR56" i="20"/>
  <c r="AZ56" i="20"/>
  <c r="BF56" i="20"/>
  <c r="BH56" i="20" s="1"/>
  <c r="BF52" i="20"/>
  <c r="BH52" i="20" s="1"/>
  <c r="AR52" i="20"/>
  <c r="AZ52" i="20"/>
  <c r="BF125" i="20"/>
  <c r="BH125" i="20" s="1"/>
  <c r="AZ125" i="20"/>
  <c r="AR125" i="20"/>
  <c r="AI125" i="20"/>
  <c r="AW125" i="20"/>
  <c r="AZ69" i="21"/>
  <c r="BB69" i="21"/>
  <c r="BF69" i="21"/>
  <c r="BH69" i="21" s="1"/>
  <c r="AR69" i="21"/>
  <c r="BF106" i="20"/>
  <c r="BH106" i="20" s="1"/>
  <c r="AR106" i="20"/>
  <c r="AZ106" i="20"/>
  <c r="AR80" i="20"/>
  <c r="AZ80" i="20"/>
  <c r="BF80" i="20"/>
  <c r="BH80" i="20" s="1"/>
  <c r="AR22" i="20"/>
  <c r="AZ22" i="20"/>
  <c r="BF22" i="20"/>
  <c r="BH22" i="20" s="1"/>
  <c r="AZ100" i="21"/>
  <c r="BF100" i="21"/>
  <c r="BH100" i="21" s="1"/>
  <c r="AR100" i="21"/>
  <c r="BB100" i="21"/>
  <c r="AZ179" i="20"/>
  <c r="AR179" i="20"/>
  <c r="AI179" i="20"/>
  <c r="BF179" i="20"/>
  <c r="BH179" i="20" s="1"/>
  <c r="AW179" i="20"/>
  <c r="BF37" i="20"/>
  <c r="BH37" i="20" s="1"/>
  <c r="AR11" i="20"/>
  <c r="AZ11" i="20"/>
  <c r="BF11" i="20"/>
  <c r="BH11" i="20" s="1"/>
  <c r="AI11" i="20"/>
  <c r="AZ64" i="21"/>
  <c r="BB64" i="21"/>
  <c r="BF64" i="21"/>
  <c r="BH64" i="21" s="1"/>
  <c r="AR64" i="21"/>
  <c r="BB103" i="21"/>
  <c r="AZ103" i="21"/>
  <c r="BF103" i="21"/>
  <c r="BH103" i="21" s="1"/>
  <c r="AR103" i="21"/>
  <c r="AZ183" i="20"/>
  <c r="AR183" i="20"/>
  <c r="AI183" i="20"/>
  <c r="BF183" i="20"/>
  <c r="BH183" i="20" s="1"/>
  <c r="AW183" i="20"/>
  <c r="AZ98" i="20"/>
  <c r="BF98" i="20"/>
  <c r="BH98" i="20" s="1"/>
  <c r="AR98" i="20"/>
  <c r="BB51" i="21"/>
  <c r="AZ51" i="21"/>
  <c r="BF51" i="21"/>
  <c r="BH51" i="21" s="1"/>
  <c r="AR51" i="21"/>
  <c r="BF120" i="20"/>
  <c r="BH120" i="20" s="1"/>
  <c r="AZ120" i="20"/>
  <c r="AR120" i="20"/>
  <c r="AI120" i="20"/>
  <c r="AW120" i="20"/>
  <c r="BB48" i="21"/>
  <c r="BF48" i="21"/>
  <c r="BH48" i="21" s="1"/>
  <c r="AR48" i="21"/>
  <c r="AZ48" i="21"/>
  <c r="BB53" i="21"/>
  <c r="AZ53" i="21"/>
  <c r="BF53" i="21"/>
  <c r="BH53" i="21" s="1"/>
  <c r="AR53" i="21"/>
  <c r="AR165" i="20"/>
  <c r="AZ165" i="20"/>
  <c r="AZ82" i="20"/>
  <c r="BF82" i="20"/>
  <c r="BH82" i="20" s="1"/>
  <c r="AR82" i="20"/>
  <c r="AI202" i="20"/>
  <c r="BF202" i="20"/>
  <c r="BH202" i="20" s="1"/>
  <c r="AZ202" i="20"/>
  <c r="AR202" i="20"/>
  <c r="AW202" i="20"/>
  <c r="AI176" i="20"/>
  <c r="BF176" i="20"/>
  <c r="BH176" i="20" s="1"/>
  <c r="AZ176" i="20"/>
  <c r="AR176" i="20"/>
  <c r="AW176" i="20"/>
  <c r="AI118" i="20"/>
  <c r="BF118" i="20"/>
  <c r="BH118" i="20" s="1"/>
  <c r="AZ118" i="20"/>
  <c r="AR118" i="20"/>
  <c r="AW118" i="20"/>
  <c r="AZ79" i="21"/>
  <c r="BF79" i="21"/>
  <c r="BH79" i="21" s="1"/>
  <c r="AR79" i="21"/>
  <c r="BB79" i="21"/>
  <c r="AR131" i="20"/>
  <c r="AZ131" i="20"/>
  <c r="AI131" i="20"/>
  <c r="BF131" i="20"/>
  <c r="BH131" i="20" s="1"/>
  <c r="AW131" i="20"/>
  <c r="BB12" i="21"/>
  <c r="AZ12" i="21"/>
  <c r="BF12" i="21"/>
  <c r="BH12" i="21" s="1"/>
  <c r="AR12" i="21"/>
  <c r="BF33" i="21"/>
  <c r="BH33" i="21" s="1"/>
  <c r="AR33" i="21"/>
  <c r="AZ33" i="21"/>
  <c r="BB33" i="21"/>
  <c r="BF99" i="20"/>
  <c r="BH99" i="20" s="1"/>
  <c r="AR99" i="20"/>
  <c r="AZ99" i="20"/>
  <c r="BF191" i="20"/>
  <c r="BH191" i="20" s="1"/>
  <c r="AZ191" i="20"/>
  <c r="AR191" i="20"/>
  <c r="AI191" i="20"/>
  <c r="AW191" i="20"/>
  <c r="AZ26" i="20"/>
  <c r="BF26" i="20"/>
  <c r="BH26" i="20" s="1"/>
  <c r="AR26" i="20"/>
  <c r="AZ18" i="20"/>
  <c r="BF18" i="20"/>
  <c r="BH18" i="20" s="1"/>
  <c r="AR18" i="20"/>
  <c r="AZ83" i="20"/>
  <c r="BF83" i="20"/>
  <c r="BH83" i="20" s="1"/>
  <c r="AR83" i="20"/>
  <c r="AZ157" i="20"/>
  <c r="AR157" i="20"/>
  <c r="AI157" i="20"/>
  <c r="BF157" i="20"/>
  <c r="BH157" i="20" s="1"/>
  <c r="AW157" i="20"/>
  <c r="AW145" i="20"/>
  <c r="BF86" i="21"/>
  <c r="BH86" i="21" s="1"/>
  <c r="BF112" i="20"/>
  <c r="BH112" i="20" s="1"/>
  <c r="AZ112" i="20"/>
  <c r="AR112" i="20"/>
  <c r="BF54" i="20"/>
  <c r="BH54" i="20" s="1"/>
  <c r="AR54" i="20"/>
  <c r="AZ54" i="20"/>
  <c r="AZ98" i="21"/>
  <c r="BB98" i="21"/>
  <c r="BF98" i="21"/>
  <c r="BH98" i="21" s="1"/>
  <c r="AR98" i="21"/>
  <c r="AZ194" i="20"/>
  <c r="AI194" i="20"/>
  <c r="AW168" i="20"/>
  <c r="AZ110" i="20"/>
  <c r="AZ113" i="20"/>
  <c r="AZ163" i="20"/>
  <c r="AR163" i="20"/>
  <c r="AI163" i="20"/>
  <c r="BF163" i="20"/>
  <c r="BH163" i="20" s="1"/>
  <c r="AW163" i="20"/>
  <c r="AZ169" i="20"/>
  <c r="AR169" i="20"/>
  <c r="AI169" i="20"/>
  <c r="BF169" i="20"/>
  <c r="BH169" i="20" s="1"/>
  <c r="BF61" i="20"/>
  <c r="BH61" i="20" s="1"/>
  <c r="AR61" i="20"/>
  <c r="BB14" i="21"/>
  <c r="AZ42" i="21"/>
  <c r="BB42" i="21"/>
  <c r="BF42" i="21"/>
  <c r="BH42" i="21" s="1"/>
  <c r="AR42" i="21"/>
  <c r="BF16" i="20"/>
  <c r="BH16" i="20" s="1"/>
  <c r="AR16" i="20"/>
  <c r="BF181" i="20"/>
  <c r="BH181" i="20" s="1"/>
  <c r="BF38" i="21"/>
  <c r="BH38" i="21" s="1"/>
  <c r="AR38" i="21"/>
  <c r="BB38" i="21"/>
  <c r="AZ38" i="21"/>
  <c r="AZ162" i="20"/>
  <c r="AR162" i="20"/>
  <c r="AI162" i="20"/>
  <c r="BF162" i="20"/>
  <c r="BH162" i="20" s="1"/>
  <c r="AW162" i="20"/>
  <c r="AZ78" i="20"/>
  <c r="M75" i="30"/>
  <c r="M32" i="30"/>
  <c r="M56" i="30"/>
  <c r="W15" i="30"/>
  <c r="F17" i="30"/>
  <c r="M40" i="30"/>
  <c r="AZ196" i="20" l="1"/>
  <c r="R162" i="20"/>
  <c r="AZ10" i="20"/>
  <c r="R146" i="20"/>
  <c r="AW196" i="20"/>
  <c r="R125" i="20"/>
  <c r="R114" i="20"/>
  <c r="BF41" i="21"/>
  <c r="BH41" i="21" s="1"/>
  <c r="AR154" i="20"/>
  <c r="AR127" i="20"/>
  <c r="BF110" i="20"/>
  <c r="BH110" i="20" s="1"/>
  <c r="AW194" i="20"/>
  <c r="AZ86" i="21"/>
  <c r="AZ171" i="20"/>
  <c r="AR140" i="20"/>
  <c r="BB29" i="21"/>
  <c r="BF94" i="20"/>
  <c r="BH94" i="20" s="1"/>
  <c r="AR36" i="20"/>
  <c r="BF164" i="20"/>
  <c r="BH164" i="20" s="1"/>
  <c r="BF41" i="20"/>
  <c r="BH41" i="20" s="1"/>
  <c r="AR10" i="20"/>
  <c r="AZ155" i="20"/>
  <c r="R170" i="20"/>
  <c r="R128" i="20"/>
  <c r="R145" i="20"/>
  <c r="AI168" i="20"/>
  <c r="AZ145" i="20"/>
  <c r="AZ127" i="20"/>
  <c r="BF194" i="20"/>
  <c r="BH194" i="20" s="1"/>
  <c r="AR86" i="21"/>
  <c r="AW165" i="20"/>
  <c r="AZ140" i="20"/>
  <c r="AZ29" i="21"/>
  <c r="AR88" i="21"/>
  <c r="AR164" i="20"/>
  <c r="AZ41" i="20"/>
  <c r="AP203" i="20"/>
  <c r="AW154" i="20"/>
  <c r="AZ16" i="20"/>
  <c r="AR41" i="21"/>
  <c r="BF168" i="20"/>
  <c r="BH168" i="20" s="1"/>
  <c r="AR194" i="20"/>
  <c r="AR145" i="20"/>
  <c r="AR103" i="20"/>
  <c r="AR124" i="20"/>
  <c r="AW115" i="20"/>
  <c r="AI203" i="20"/>
  <c r="AI119" i="20"/>
  <c r="BF40" i="21"/>
  <c r="BH40" i="21" s="1"/>
  <c r="R127" i="20"/>
  <c r="AP115" i="20"/>
  <c r="AZ103" i="20"/>
  <c r="AR115" i="20"/>
  <c r="AR119" i="20"/>
  <c r="BF149" i="20"/>
  <c r="BH149" i="20" s="1"/>
  <c r="R115" i="20"/>
  <c r="R129" i="20"/>
  <c r="AW127" i="20"/>
  <c r="AW171" i="20"/>
  <c r="AZ154" i="20"/>
  <c r="BF127" i="20"/>
  <c r="BH127" i="20" s="1"/>
  <c r="BB41" i="21"/>
  <c r="AR168" i="20"/>
  <c r="BF145" i="20"/>
  <c r="BH145" i="20" s="1"/>
  <c r="BF171" i="20"/>
  <c r="BH171" i="20" s="1"/>
  <c r="AR29" i="21"/>
  <c r="AZ94" i="20"/>
  <c r="AZ115" i="20"/>
  <c r="AZ119" i="20"/>
  <c r="AI155" i="20"/>
  <c r="AP149" i="20"/>
  <c r="AP155" i="20"/>
  <c r="BF154" i="20"/>
  <c r="BH154" i="20" s="1"/>
  <c r="AI154" i="20"/>
  <c r="AZ168" i="20"/>
  <c r="AI145" i="20"/>
  <c r="AI171" i="20"/>
  <c r="AW140" i="20"/>
  <c r="AR155" i="20"/>
  <c r="R155" i="20"/>
  <c r="AP163" i="20"/>
  <c r="AP150" i="20"/>
  <c r="R165" i="20"/>
  <c r="AP121" i="20"/>
  <c r="R160" i="20"/>
  <c r="R180" i="20"/>
  <c r="AR18" i="21"/>
  <c r="AP124" i="20"/>
  <c r="R171" i="20"/>
  <c r="AR67" i="20"/>
  <c r="AP194" i="20"/>
  <c r="AP140" i="20"/>
  <c r="AW152" i="20"/>
  <c r="AZ152" i="20"/>
  <c r="AP154" i="20"/>
  <c r="BF25" i="21"/>
  <c r="BH25" i="21" s="1"/>
  <c r="AZ97" i="21"/>
  <c r="AZ14" i="21"/>
  <c r="AZ24" i="21"/>
  <c r="AR97" i="21"/>
  <c r="AR14" i="21"/>
  <c r="BF24" i="21"/>
  <c r="BH24" i="21" s="1"/>
  <c r="AR25" i="21"/>
  <c r="AR17" i="21"/>
  <c r="BF97" i="21"/>
  <c r="BH97" i="21" s="1"/>
  <c r="BB25" i="21"/>
  <c r="BF17" i="21"/>
  <c r="BH17" i="21" s="1"/>
  <c r="BB18" i="21"/>
  <c r="BF66" i="21"/>
  <c r="BH66" i="21" s="1"/>
  <c r="BB66" i="21"/>
  <c r="BB55" i="21"/>
  <c r="BF34" i="21"/>
  <c r="BH34" i="21" s="1"/>
  <c r="AZ40" i="21"/>
  <c r="AR104" i="21"/>
  <c r="AZ73" i="21"/>
  <c r="BF88" i="21"/>
  <c r="BH88" i="21" s="1"/>
  <c r="BF84" i="21"/>
  <c r="BH84" i="21" s="1"/>
  <c r="BB82" i="21"/>
  <c r="BB27" i="21"/>
  <c r="AZ82" i="21"/>
  <c r="AZ27" i="21"/>
  <c r="BB36" i="21"/>
  <c r="AR73" i="21"/>
  <c r="AZ36" i="21"/>
  <c r="AZ83" i="21"/>
  <c r="BF83" i="21"/>
  <c r="BH83" i="21" s="1"/>
  <c r="BF9" i="21"/>
  <c r="BH9" i="21" s="1"/>
  <c r="B75" i="21" s="1"/>
  <c r="B76" i="21" s="1"/>
  <c r="BB83" i="21"/>
  <c r="AZ9" i="21"/>
  <c r="AZ104" i="21"/>
  <c r="AZ17" i="21"/>
  <c r="AR36" i="21"/>
  <c r="BB73" i="21"/>
  <c r="R152" i="20"/>
  <c r="AP171" i="20"/>
  <c r="AP180" i="20"/>
  <c r="AP160" i="20"/>
  <c r="AP152" i="20"/>
  <c r="BF142" i="20"/>
  <c r="BH142" i="20" s="1"/>
  <c r="BF167" i="20"/>
  <c r="BH167" i="20" s="1"/>
  <c r="BF165" i="20"/>
  <c r="BH165" i="20" s="1"/>
  <c r="AI140" i="20"/>
  <c r="AI180" i="20"/>
  <c r="AI126" i="20"/>
  <c r="AZ102" i="20"/>
  <c r="BF152" i="20"/>
  <c r="BH152" i="20" s="1"/>
  <c r="AZ160" i="20"/>
  <c r="BF115" i="20"/>
  <c r="BH115" i="20" s="1"/>
  <c r="AW203" i="20"/>
  <c r="BF67" i="20"/>
  <c r="BH67" i="20" s="1"/>
  <c r="AI149" i="20"/>
  <c r="AI137" i="20"/>
  <c r="AW155" i="20"/>
  <c r="R140" i="20"/>
  <c r="R150" i="20"/>
  <c r="AP119" i="20"/>
  <c r="R149" i="20"/>
  <c r="R124" i="20"/>
  <c r="AI165" i="20"/>
  <c r="AW184" i="20"/>
  <c r="AI152" i="20"/>
  <c r="AW124" i="20"/>
  <c r="BF160" i="20"/>
  <c r="BH160" i="20" s="1"/>
  <c r="AR149" i="20"/>
  <c r="AP168" i="20"/>
  <c r="AP202" i="20"/>
  <c r="AP184" i="20"/>
  <c r="AZ201" i="20"/>
  <c r="BF65" i="20"/>
  <c r="BH65" i="20" s="1"/>
  <c r="AR122" i="20"/>
  <c r="AI187" i="20"/>
  <c r="AR117" i="20"/>
  <c r="AW207" i="20"/>
  <c r="BF75" i="20"/>
  <c r="BH75" i="20" s="1"/>
  <c r="AZ148" i="20"/>
  <c r="AP188" i="20"/>
  <c r="BF91" i="20"/>
  <c r="BH91" i="20" s="1"/>
  <c r="AW204" i="20"/>
  <c r="AW151" i="20"/>
  <c r="AZ42" i="20"/>
  <c r="AZ91" i="20"/>
  <c r="AZ109" i="20"/>
  <c r="AR55" i="20"/>
  <c r="AP129" i="20"/>
  <c r="AR13" i="21"/>
  <c r="AI129" i="20"/>
  <c r="AZ16" i="21"/>
  <c r="AR129" i="20"/>
  <c r="AR196" i="20"/>
  <c r="R164" i="20"/>
  <c r="BF104" i="20"/>
  <c r="BH104" i="20" s="1"/>
  <c r="AZ91" i="21"/>
  <c r="AI196" i="20"/>
  <c r="AR182" i="20"/>
  <c r="AI182" i="20"/>
  <c r="BF182" i="20"/>
  <c r="BH182" i="20" s="1"/>
  <c r="R182" i="20"/>
  <c r="AP182" i="20"/>
  <c r="AW182" i="20"/>
  <c r="R25" i="20"/>
  <c r="BF25" i="20"/>
  <c r="BH25" i="20" s="1"/>
  <c r="AI186" i="20"/>
  <c r="BF186" i="20"/>
  <c r="BH186" i="20" s="1"/>
  <c r="AZ186" i="20"/>
  <c r="AR45" i="20"/>
  <c r="AZ45" i="20"/>
  <c r="R17" i="20"/>
  <c r="AI205" i="20"/>
  <c r="BF205" i="20"/>
  <c r="BH205" i="20" s="1"/>
  <c r="AZ205" i="20"/>
  <c r="AR205" i="20"/>
  <c r="AW199" i="20"/>
  <c r="R199" i="20"/>
  <c r="AP199" i="20"/>
  <c r="BF199" i="20"/>
  <c r="BH199" i="20" s="1"/>
  <c r="AZ54" i="21"/>
  <c r="BF54" i="21"/>
  <c r="BH54" i="21" s="1"/>
  <c r="AR54" i="21"/>
  <c r="R135" i="20"/>
  <c r="AP135" i="20"/>
  <c r="AR135" i="20"/>
  <c r="BF74" i="20"/>
  <c r="BH74" i="20" s="1"/>
  <c r="AR74" i="20"/>
  <c r="AZ12" i="20"/>
  <c r="R12" i="20"/>
  <c r="AI12" i="20"/>
  <c r="BF12" i="20"/>
  <c r="BH12" i="20" s="1"/>
  <c r="BF63" i="20"/>
  <c r="BH63" i="20" s="1"/>
  <c r="AR63" i="20"/>
  <c r="BF24" i="20"/>
  <c r="BH24" i="20" s="1"/>
  <c r="AR24" i="20"/>
  <c r="AI24" i="20"/>
  <c r="BB80" i="21"/>
  <c r="AR80" i="21"/>
  <c r="BF80" i="21"/>
  <c r="BH80" i="21" s="1"/>
  <c r="BF18" i="21"/>
  <c r="BH18" i="21" s="1"/>
  <c r="AZ30" i="20"/>
  <c r="AP167" i="20"/>
  <c r="AZ167" i="20"/>
  <c r="AW167" i="20"/>
  <c r="BF177" i="20"/>
  <c r="BH177" i="20" s="1"/>
  <c r="R177" i="20"/>
  <c r="AW177" i="20"/>
  <c r="AP177" i="20"/>
  <c r="AZ76" i="20"/>
  <c r="BF76" i="20"/>
  <c r="BH76" i="20" s="1"/>
  <c r="AR76" i="20"/>
  <c r="AP197" i="20"/>
  <c r="BF197" i="20"/>
  <c r="BH197" i="20" s="1"/>
  <c r="AZ197" i="20"/>
  <c r="AI197" i="20"/>
  <c r="AW197" i="20"/>
  <c r="AR109" i="20"/>
  <c r="AZ85" i="20"/>
  <c r="BF85" i="20"/>
  <c r="BH85" i="20" s="1"/>
  <c r="AR85" i="20"/>
  <c r="AP142" i="20"/>
  <c r="AR142" i="20"/>
  <c r="AI138" i="20"/>
  <c r="AZ138" i="20"/>
  <c r="AR101" i="20"/>
  <c r="AZ101" i="20"/>
  <c r="BF101" i="21"/>
  <c r="BH101" i="21" s="1"/>
  <c r="AR101" i="21"/>
  <c r="AZ101" i="21"/>
  <c r="AR47" i="21"/>
  <c r="BB47" i="21"/>
  <c r="BF47" i="21"/>
  <c r="BH47" i="21" s="1"/>
  <c r="BB85" i="21"/>
  <c r="BF85" i="21"/>
  <c r="BH85" i="21" s="1"/>
  <c r="AR85" i="21"/>
  <c r="BF16" i="21"/>
  <c r="BH16" i="21" s="1"/>
  <c r="AR16" i="21"/>
  <c r="AW138" i="20"/>
  <c r="AR167" i="20"/>
  <c r="AR177" i="20"/>
  <c r="AR108" i="20"/>
  <c r="AI142" i="20"/>
  <c r="AI135" i="20"/>
  <c r="AZ76" i="21"/>
  <c r="BF49" i="20"/>
  <c r="BH49" i="20" s="1"/>
  <c r="BF30" i="20"/>
  <c r="BH30" i="20" s="1"/>
  <c r="BB107" i="21"/>
  <c r="AR17" i="20"/>
  <c r="AR26" i="21"/>
  <c r="BB59" i="21"/>
  <c r="R142" i="20"/>
  <c r="R197" i="20"/>
  <c r="AP208" i="20"/>
  <c r="R205" i="20"/>
  <c r="AP138" i="20"/>
  <c r="AR57" i="21"/>
  <c r="BB57" i="21"/>
  <c r="BF35" i="21"/>
  <c r="BH35" i="21" s="1"/>
  <c r="AR35" i="21"/>
  <c r="AZ67" i="21"/>
  <c r="BF67" i="21"/>
  <c r="BH67" i="21" s="1"/>
  <c r="AZ11" i="21"/>
  <c r="AR11" i="21"/>
  <c r="BF61" i="21"/>
  <c r="BH61" i="21" s="1"/>
  <c r="AR61" i="21"/>
  <c r="AZ61" i="21"/>
  <c r="BF70" i="21"/>
  <c r="BH70" i="21" s="1"/>
  <c r="AR70" i="21"/>
  <c r="BB70" i="21"/>
  <c r="AZ70" i="21"/>
  <c r="BB35" i="21"/>
  <c r="AR138" i="20"/>
  <c r="AZ177" i="20"/>
  <c r="BF159" i="20"/>
  <c r="BH159" i="20" s="1"/>
  <c r="AZ142" i="20"/>
  <c r="AR94" i="21"/>
  <c r="AZ135" i="20"/>
  <c r="BB22" i="21"/>
  <c r="AI199" i="20"/>
  <c r="BB67" i="21"/>
  <c r="AZ88" i="20"/>
  <c r="AZ107" i="21"/>
  <c r="AR46" i="20"/>
  <c r="AW205" i="20"/>
  <c r="R161" i="20"/>
  <c r="R167" i="20"/>
  <c r="AP117" i="20"/>
  <c r="R138" i="20"/>
  <c r="AP172" i="20"/>
  <c r="AI172" i="20"/>
  <c r="BF172" i="20"/>
  <c r="BH172" i="20" s="1"/>
  <c r="AW172" i="20"/>
  <c r="AI200" i="20"/>
  <c r="BF200" i="20"/>
  <c r="BH200" i="20" s="1"/>
  <c r="AW200" i="20"/>
  <c r="AI201" i="20"/>
  <c r="BF201" i="20"/>
  <c r="BH201" i="20" s="1"/>
  <c r="AW201" i="20"/>
  <c r="R201" i="20"/>
  <c r="BB96" i="21"/>
  <c r="AZ96" i="21"/>
  <c r="BF96" i="21"/>
  <c r="BH96" i="21" s="1"/>
  <c r="AZ30" i="21"/>
  <c r="BF30" i="21"/>
  <c r="BH30" i="21" s="1"/>
  <c r="BB62" i="21"/>
  <c r="AZ62" i="21"/>
  <c r="AR62" i="21"/>
  <c r="AZ20" i="21"/>
  <c r="BB20" i="21"/>
  <c r="AR20" i="21"/>
  <c r="R139" i="20"/>
  <c r="AZ139" i="20"/>
  <c r="AP139" i="20"/>
  <c r="AR139" i="20"/>
  <c r="AI139" i="20"/>
  <c r="R207" i="20"/>
  <c r="AP207" i="20"/>
  <c r="BF207" i="20"/>
  <c r="BH207" i="20" s="1"/>
  <c r="AR207" i="20"/>
  <c r="AZ208" i="20"/>
  <c r="AR208" i="20"/>
  <c r="AW208" i="20"/>
  <c r="BF99" i="21"/>
  <c r="BH99" i="21" s="1"/>
  <c r="AR99" i="21"/>
  <c r="BF43" i="21"/>
  <c r="BH43" i="21" s="1"/>
  <c r="AR43" i="21"/>
  <c r="AZ182" i="20"/>
  <c r="BF107" i="21"/>
  <c r="BH107" i="21" s="1"/>
  <c r="BF45" i="20"/>
  <c r="BH45" i="20" s="1"/>
  <c r="AP130" i="20"/>
  <c r="AZ130" i="20"/>
  <c r="AI130" i="20"/>
  <c r="R130" i="20"/>
  <c r="BF130" i="20"/>
  <c r="BH130" i="20" s="1"/>
  <c r="AR130" i="20"/>
  <c r="AW130" i="20"/>
  <c r="AR200" i="20"/>
  <c r="BF94" i="21"/>
  <c r="BH94" i="21" s="1"/>
  <c r="AR22" i="21"/>
  <c r="AR199" i="20"/>
  <c r="AR172" i="20"/>
  <c r="BF58" i="21"/>
  <c r="BH58" i="21" s="1"/>
  <c r="AR67" i="21"/>
  <c r="BF88" i="20"/>
  <c r="BH88" i="20" s="1"/>
  <c r="BB43" i="21"/>
  <c r="BF46" i="20"/>
  <c r="BH46" i="20" s="1"/>
  <c r="AW156" i="20"/>
  <c r="AZ40" i="20"/>
  <c r="AZ85" i="21"/>
  <c r="R136" i="20"/>
  <c r="R200" i="20"/>
  <c r="R30" i="20"/>
  <c r="AP156" i="20"/>
  <c r="BF23" i="20"/>
  <c r="BH23" i="20" s="1"/>
  <c r="AR23" i="20"/>
  <c r="AR69" i="20"/>
  <c r="BF69" i="20"/>
  <c r="BH69" i="20" s="1"/>
  <c r="AZ174" i="20"/>
  <c r="AR174" i="20"/>
  <c r="AI174" i="20"/>
  <c r="AW174" i="20"/>
  <c r="R21" i="20"/>
  <c r="AZ97" i="20"/>
  <c r="BF97" i="20"/>
  <c r="BH97" i="20" s="1"/>
  <c r="AR97" i="20"/>
  <c r="AI148" i="20"/>
  <c r="R148" i="20"/>
  <c r="BF148" i="20"/>
  <c r="BH148" i="20" s="1"/>
  <c r="AP148" i="20"/>
  <c r="AW148" i="20"/>
  <c r="AZ87" i="21"/>
  <c r="BF87" i="21"/>
  <c r="BH87" i="21" s="1"/>
  <c r="AR87" i="21"/>
  <c r="BB87" i="21"/>
  <c r="BF17" i="20"/>
  <c r="BH17" i="20" s="1"/>
  <c r="R122" i="20"/>
  <c r="AI122" i="20"/>
  <c r="BF122" i="20"/>
  <c r="BH122" i="20" s="1"/>
  <c r="AZ122" i="20"/>
  <c r="BF113" i="20"/>
  <c r="BH113" i="20" s="1"/>
  <c r="AZ87" i="20"/>
  <c r="BF87" i="20"/>
  <c r="BH87" i="20" s="1"/>
  <c r="AR87" i="20"/>
  <c r="BF133" i="20"/>
  <c r="BH133" i="20" s="1"/>
  <c r="AZ133" i="20"/>
  <c r="R133" i="20"/>
  <c r="AI133" i="20"/>
  <c r="BF51" i="20"/>
  <c r="BH51" i="20" s="1"/>
  <c r="AR51" i="20"/>
  <c r="BF108" i="20"/>
  <c r="BH108" i="20" s="1"/>
  <c r="AP161" i="20"/>
  <c r="AI161" i="20"/>
  <c r="BF161" i="20"/>
  <c r="BH161" i="20" s="1"/>
  <c r="AW161" i="20"/>
  <c r="AR31" i="21"/>
  <c r="BB31" i="21"/>
  <c r="BF15" i="21"/>
  <c r="BH15" i="21" s="1"/>
  <c r="AR15" i="21"/>
  <c r="BB15" i="21"/>
  <c r="AZ15" i="21"/>
  <c r="BB76" i="21"/>
  <c r="AR76" i="21"/>
  <c r="AR39" i="21"/>
  <c r="AZ39" i="21"/>
  <c r="BF39" i="21"/>
  <c r="BH39" i="21" s="1"/>
  <c r="BF135" i="20"/>
  <c r="BH135" i="20" s="1"/>
  <c r="AZ25" i="20"/>
  <c r="AW133" i="20"/>
  <c r="AR30" i="21"/>
  <c r="AI207" i="20"/>
  <c r="AZ17" i="20"/>
  <c r="AZ74" i="20"/>
  <c r="BF66" i="20"/>
  <c r="BH66" i="20" s="1"/>
  <c r="AR66" i="20"/>
  <c r="AZ66" i="20"/>
  <c r="AR107" i="20"/>
  <c r="AR104" i="20"/>
  <c r="AZ151" i="20"/>
  <c r="AR151" i="20"/>
  <c r="BF151" i="20"/>
  <c r="BH151" i="20" s="1"/>
  <c r="AZ153" i="20"/>
  <c r="BF153" i="20"/>
  <c r="BH153" i="20" s="1"/>
  <c r="R153" i="20"/>
  <c r="AP153" i="20"/>
  <c r="AR153" i="20"/>
  <c r="BF129" i="20"/>
  <c r="BH129" i="20" s="1"/>
  <c r="AW129" i="20"/>
  <c r="AR42" i="20"/>
  <c r="BF81" i="20"/>
  <c r="BH81" i="20" s="1"/>
  <c r="AR81" i="20"/>
  <c r="AZ81" i="20"/>
  <c r="AZ90" i="21"/>
  <c r="BF90" i="21"/>
  <c r="BH90" i="21" s="1"/>
  <c r="AR90" i="21"/>
  <c r="AR12" i="20"/>
  <c r="AZ35" i="21"/>
  <c r="BF44" i="20"/>
  <c r="BH44" i="20" s="1"/>
  <c r="BF138" i="20"/>
  <c r="BH138" i="20" s="1"/>
  <c r="AR78" i="20"/>
  <c r="BF42" i="20"/>
  <c r="BH42" i="20" s="1"/>
  <c r="BF31" i="21"/>
  <c r="BH31" i="21" s="1"/>
  <c r="AZ44" i="20"/>
  <c r="AZ55" i="21"/>
  <c r="AZ200" i="20"/>
  <c r="BB94" i="21"/>
  <c r="AZ13" i="21"/>
  <c r="AZ22" i="21"/>
  <c r="AZ24" i="20"/>
  <c r="AZ199" i="20"/>
  <c r="AZ172" i="20"/>
  <c r="AR91" i="21"/>
  <c r="BF208" i="20"/>
  <c r="BH208" i="20" s="1"/>
  <c r="AZ60" i="20"/>
  <c r="BB11" i="21"/>
  <c r="AR21" i="20"/>
  <c r="AZ161" i="20"/>
  <c r="BF107" i="20"/>
  <c r="BH107" i="20" s="1"/>
  <c r="AR40" i="20"/>
  <c r="AP174" i="20"/>
  <c r="AP151" i="20"/>
  <c r="BF57" i="21"/>
  <c r="BH57" i="21" s="1"/>
  <c r="R117" i="20"/>
  <c r="AZ117" i="20"/>
  <c r="AI117" i="20"/>
  <c r="AP123" i="20"/>
  <c r="BF123" i="20"/>
  <c r="BH123" i="20" s="1"/>
  <c r="AW123" i="20"/>
  <c r="R123" i="20"/>
  <c r="AP136" i="20"/>
  <c r="AZ136" i="20"/>
  <c r="AR136" i="20"/>
  <c r="BF136" i="20"/>
  <c r="BH136" i="20" s="1"/>
  <c r="AZ159" i="20"/>
  <c r="AR159" i="20"/>
  <c r="AI159" i="20"/>
  <c r="AW159" i="20"/>
  <c r="AZ156" i="20"/>
  <c r="AR156" i="20"/>
  <c r="AI156" i="20"/>
  <c r="BF156" i="20"/>
  <c r="BH156" i="20" s="1"/>
  <c r="AZ71" i="20"/>
  <c r="AR71" i="20"/>
  <c r="BB28" i="21"/>
  <c r="BF28" i="21"/>
  <c r="BH28" i="21" s="1"/>
  <c r="AR28" i="21"/>
  <c r="BB26" i="21"/>
  <c r="AZ26" i="21"/>
  <c r="BF49" i="21"/>
  <c r="BH49" i="21" s="1"/>
  <c r="AR49" i="21"/>
  <c r="BB108" i="21"/>
  <c r="BF108" i="21"/>
  <c r="BH108" i="21" s="1"/>
  <c r="AR108" i="21"/>
  <c r="AR25" i="20"/>
  <c r="BB54" i="21"/>
  <c r="AZ123" i="20"/>
  <c r="AZ57" i="21"/>
  <c r="AP186" i="20"/>
  <c r="AP181" i="20"/>
  <c r="AI181" i="20"/>
  <c r="AR181" i="20"/>
  <c r="AW181" i="20"/>
  <c r="R181" i="20"/>
  <c r="BF187" i="20"/>
  <c r="BH187" i="20" s="1"/>
  <c r="R187" i="20"/>
  <c r="AZ187" i="20"/>
  <c r="AP187" i="20"/>
  <c r="AW187" i="20"/>
  <c r="BF39" i="20"/>
  <c r="BH39" i="20" s="1"/>
  <c r="AR39" i="20"/>
  <c r="AZ39" i="20"/>
  <c r="AZ27" i="20"/>
  <c r="BF27" i="20"/>
  <c r="BH27" i="20" s="1"/>
  <c r="R27" i="20"/>
  <c r="AR27" i="20"/>
  <c r="AR37" i="20"/>
  <c r="AZ43" i="20"/>
  <c r="BF43" i="20"/>
  <c r="BH43" i="20" s="1"/>
  <c r="AR43" i="20"/>
  <c r="AR58" i="21"/>
  <c r="BB58" i="21"/>
  <c r="AZ59" i="21"/>
  <c r="BF59" i="21"/>
  <c r="BH59" i="21" s="1"/>
  <c r="AZ108" i="20"/>
  <c r="AR49" i="20"/>
  <c r="AZ66" i="21"/>
  <c r="AP133" i="20"/>
  <c r="R186" i="20"/>
  <c r="AP205" i="20"/>
  <c r="AR204" i="20"/>
  <c r="R204" i="20"/>
  <c r="AI204" i="20"/>
  <c r="AP204" i="20"/>
  <c r="BF204" i="20"/>
  <c r="BH204" i="20" s="1"/>
  <c r="AZ31" i="21"/>
  <c r="AR113" i="20"/>
  <c r="AR55" i="21"/>
  <c r="BB49" i="21"/>
  <c r="AZ37" i="20"/>
  <c r="BB13" i="21"/>
  <c r="AR201" i="20"/>
  <c r="AW139" i="20"/>
  <c r="BF91" i="21"/>
  <c r="BH91" i="21" s="1"/>
  <c r="BF117" i="20"/>
  <c r="BH117" i="20" s="1"/>
  <c r="AR89" i="20"/>
  <c r="AI208" i="20"/>
  <c r="AI123" i="20"/>
  <c r="AZ23" i="20"/>
  <c r="BF60" i="20"/>
  <c r="BH60" i="20" s="1"/>
  <c r="AW186" i="20"/>
  <c r="BF11" i="21"/>
  <c r="BH11" i="21" s="1"/>
  <c r="AW153" i="20"/>
  <c r="AW122" i="20"/>
  <c r="BF21" i="20"/>
  <c r="BH21" i="20" s="1"/>
  <c r="BB61" i="21"/>
  <c r="AR96" i="21"/>
  <c r="BB99" i="21"/>
  <c r="AR75" i="20"/>
  <c r="BB90" i="21"/>
  <c r="BF40" i="20"/>
  <c r="BH40" i="20" s="1"/>
  <c r="R174" i="20"/>
  <c r="R151" i="20"/>
  <c r="R159" i="20"/>
  <c r="AI164" i="20"/>
  <c r="AR34" i="20"/>
  <c r="BF196" i="20"/>
  <c r="BH196" i="20" s="1"/>
  <c r="R10" i="20"/>
  <c r="AZ164" i="20"/>
  <c r="AP190" i="20"/>
  <c r="R196" i="20"/>
  <c r="AP178" i="20"/>
  <c r="AP120" i="20"/>
  <c r="AP116" i="20"/>
  <c r="AP183" i="20"/>
  <c r="U117" i="20"/>
  <c r="T117" i="20"/>
  <c r="BA117" i="20"/>
  <c r="BB117" i="20"/>
  <c r="M117" i="20"/>
  <c r="BA49" i="20"/>
  <c r="BB49" i="20"/>
  <c r="M49" i="20"/>
  <c r="N49" i="20" s="1"/>
  <c r="O49" i="20" s="1"/>
  <c r="U182" i="20"/>
  <c r="T182" i="20"/>
  <c r="BA182" i="20"/>
  <c r="BB182" i="20"/>
  <c r="M182" i="20"/>
  <c r="N182" i="20" s="1"/>
  <c r="U123" i="20"/>
  <c r="T123" i="20"/>
  <c r="BA123" i="20"/>
  <c r="BB123" i="20"/>
  <c r="M123" i="20"/>
  <c r="U23" i="20"/>
  <c r="T23" i="20"/>
  <c r="BA23" i="20"/>
  <c r="BB23" i="20"/>
  <c r="M23" i="20"/>
  <c r="N23" i="20" s="1"/>
  <c r="O23" i="20" s="1"/>
  <c r="U172" i="20"/>
  <c r="T172" i="20"/>
  <c r="BA172" i="20"/>
  <c r="BB172" i="20"/>
  <c r="M172" i="20"/>
  <c r="N172" i="20" s="1"/>
  <c r="O172" i="20" s="1"/>
  <c r="U25" i="20"/>
  <c r="T25" i="20"/>
  <c r="BA25" i="20"/>
  <c r="BB25" i="20"/>
  <c r="M25" i="20"/>
  <c r="P25" i="20" s="1"/>
  <c r="Q25" i="20" s="1"/>
  <c r="BA69" i="20"/>
  <c r="BB69" i="20"/>
  <c r="M69" i="20"/>
  <c r="N69" i="20" s="1"/>
  <c r="T69" i="20" s="1"/>
  <c r="U186" i="20"/>
  <c r="T186" i="20"/>
  <c r="BA186" i="20"/>
  <c r="BB186" i="20"/>
  <c r="M186" i="20"/>
  <c r="N186" i="20" s="1"/>
  <c r="U200" i="20"/>
  <c r="T200" i="20"/>
  <c r="BB200" i="20"/>
  <c r="BA200" i="20"/>
  <c r="M200" i="20"/>
  <c r="N200" i="20" s="1"/>
  <c r="O200" i="20" s="1"/>
  <c r="BA75" i="20"/>
  <c r="BB75" i="20"/>
  <c r="M75" i="20"/>
  <c r="U174" i="20"/>
  <c r="T174" i="20"/>
  <c r="BA174" i="20"/>
  <c r="BB174" i="20"/>
  <c r="M174" i="20"/>
  <c r="P174" i="20" s="1"/>
  <c r="Q174" i="20" s="1"/>
  <c r="BA45" i="20"/>
  <c r="BB45" i="20"/>
  <c r="M45" i="20"/>
  <c r="U136" i="20"/>
  <c r="T136" i="20"/>
  <c r="BB136" i="20"/>
  <c r="BA136" i="20"/>
  <c r="M136" i="20"/>
  <c r="N136" i="20" s="1"/>
  <c r="U21" i="20"/>
  <c r="T21" i="20"/>
  <c r="BA21" i="20"/>
  <c r="BB21" i="20"/>
  <c r="M21" i="20"/>
  <c r="P21" i="20" s="1"/>
  <c r="Q21" i="20" s="1"/>
  <c r="U17" i="20"/>
  <c r="T17" i="20"/>
  <c r="BA17" i="20"/>
  <c r="BB17" i="20"/>
  <c r="M17" i="20"/>
  <c r="BA44" i="20"/>
  <c r="BB44" i="20"/>
  <c r="M44" i="20"/>
  <c r="U159" i="20"/>
  <c r="T159" i="20"/>
  <c r="BA159" i="20"/>
  <c r="BB159" i="20"/>
  <c r="M159" i="20"/>
  <c r="U156" i="20"/>
  <c r="T156" i="20"/>
  <c r="BA156" i="20"/>
  <c r="BB156" i="20"/>
  <c r="M156" i="20"/>
  <c r="N156" i="20" s="1"/>
  <c r="BA97" i="20"/>
  <c r="BB97" i="20"/>
  <c r="M97" i="20"/>
  <c r="U205" i="20"/>
  <c r="T205" i="20"/>
  <c r="BA205" i="20"/>
  <c r="BB205" i="20"/>
  <c r="M205" i="20"/>
  <c r="N205" i="20" s="1"/>
  <c r="O205" i="20" s="1"/>
  <c r="U201" i="20"/>
  <c r="T201" i="20"/>
  <c r="BA201" i="20"/>
  <c r="BB201" i="20"/>
  <c r="M201" i="20"/>
  <c r="N201" i="20" s="1"/>
  <c r="BA71" i="20"/>
  <c r="BB71" i="20"/>
  <c r="M71" i="20"/>
  <c r="U148" i="20"/>
  <c r="T148" i="20"/>
  <c r="BA148" i="20"/>
  <c r="BB148" i="20"/>
  <c r="M148" i="20"/>
  <c r="U199" i="20"/>
  <c r="T199" i="20"/>
  <c r="BA199" i="20"/>
  <c r="BB199" i="20"/>
  <c r="M199" i="20"/>
  <c r="BA96" i="21"/>
  <c r="M96" i="21"/>
  <c r="N96" i="21" s="1"/>
  <c r="T96" i="21" s="1"/>
  <c r="BA28" i="21"/>
  <c r="M28" i="21"/>
  <c r="N28" i="21" s="1"/>
  <c r="BA30" i="21"/>
  <c r="M30" i="21"/>
  <c r="N30" i="21" s="1"/>
  <c r="T30" i="21" s="1"/>
  <c r="BA107" i="21"/>
  <c r="M107" i="21"/>
  <c r="BA26" i="21"/>
  <c r="M26" i="21"/>
  <c r="N26" i="21" s="1"/>
  <c r="T26" i="21" s="1"/>
  <c r="BA62" i="21"/>
  <c r="M62" i="21"/>
  <c r="N62" i="21" s="1"/>
  <c r="BA94" i="21"/>
  <c r="M94" i="21"/>
  <c r="N94" i="21" s="1"/>
  <c r="T94" i="21" s="1"/>
  <c r="BA49" i="21"/>
  <c r="M49" i="21"/>
  <c r="BA54" i="21"/>
  <c r="M54" i="21"/>
  <c r="N54" i="21" s="1"/>
  <c r="T54" i="21" s="1"/>
  <c r="BA20" i="21"/>
  <c r="M20" i="21"/>
  <c r="BA57" i="21"/>
  <c r="M57" i="21"/>
  <c r="N57" i="21" s="1"/>
  <c r="T57" i="21" s="1"/>
  <c r="BA87" i="21"/>
  <c r="M87" i="21"/>
  <c r="BA108" i="21"/>
  <c r="M108" i="21"/>
  <c r="N108" i="21" s="1"/>
  <c r="T108" i="21" s="1"/>
  <c r="AP192" i="20"/>
  <c r="U135" i="20"/>
  <c r="T135" i="20"/>
  <c r="BA135" i="20"/>
  <c r="BB135" i="20"/>
  <c r="M135" i="20"/>
  <c r="U122" i="20"/>
  <c r="T122" i="20"/>
  <c r="BA122" i="20"/>
  <c r="BB122" i="20"/>
  <c r="M122" i="20"/>
  <c r="N122" i="20" s="1"/>
  <c r="BB40" i="20"/>
  <c r="BA40" i="20"/>
  <c r="M40" i="20"/>
  <c r="N40" i="20" s="1"/>
  <c r="O40" i="20" s="1"/>
  <c r="U181" i="20"/>
  <c r="T181" i="20"/>
  <c r="BA181" i="20"/>
  <c r="BB181" i="20"/>
  <c r="M181" i="20"/>
  <c r="P181" i="20" s="1"/>
  <c r="Q181" i="20" s="1"/>
  <c r="BA113" i="20"/>
  <c r="BB113" i="20"/>
  <c r="M113" i="20"/>
  <c r="BA74" i="20"/>
  <c r="BB74" i="20"/>
  <c r="M74" i="20"/>
  <c r="U187" i="20"/>
  <c r="T187" i="20"/>
  <c r="BA187" i="20"/>
  <c r="BB187" i="20"/>
  <c r="M187" i="20"/>
  <c r="N187" i="20" s="1"/>
  <c r="BA87" i="20"/>
  <c r="BB87" i="20"/>
  <c r="M87" i="20"/>
  <c r="U12" i="20"/>
  <c r="T12" i="20"/>
  <c r="BA12" i="20"/>
  <c r="BB12" i="20"/>
  <c r="M12" i="20"/>
  <c r="N12" i="20" s="1"/>
  <c r="BA89" i="20"/>
  <c r="BB89" i="20"/>
  <c r="M89" i="20"/>
  <c r="U133" i="20"/>
  <c r="T133" i="20"/>
  <c r="BA133" i="20"/>
  <c r="BB133" i="20"/>
  <c r="M133" i="20"/>
  <c r="P133" i="20" s="1"/>
  <c r="Q133" i="20" s="1"/>
  <c r="BA65" i="20"/>
  <c r="BB65" i="20"/>
  <c r="M65" i="20"/>
  <c r="BA63" i="20"/>
  <c r="BB63" i="20"/>
  <c r="M63" i="20"/>
  <c r="U139" i="20"/>
  <c r="T139" i="20"/>
  <c r="BA139" i="20"/>
  <c r="BB139" i="20"/>
  <c r="M139" i="20"/>
  <c r="BA39" i="20"/>
  <c r="BB39" i="20"/>
  <c r="M39" i="20"/>
  <c r="N39" i="20" s="1"/>
  <c r="T39" i="20" s="1"/>
  <c r="BA51" i="20"/>
  <c r="BB51" i="20"/>
  <c r="M51" i="20"/>
  <c r="BA78" i="20"/>
  <c r="BB78" i="20"/>
  <c r="M78" i="20"/>
  <c r="T27" i="20"/>
  <c r="U27" i="20"/>
  <c r="BA27" i="20"/>
  <c r="BB27" i="20"/>
  <c r="M27" i="20"/>
  <c r="P27" i="20" s="1"/>
  <c r="Q27" i="20" s="1"/>
  <c r="T207" i="20"/>
  <c r="U207" i="20"/>
  <c r="BA207" i="20"/>
  <c r="BB207" i="20"/>
  <c r="M207" i="20"/>
  <c r="N207" i="20" s="1"/>
  <c r="O207" i="20" s="1"/>
  <c r="BA108" i="20"/>
  <c r="BB108" i="20"/>
  <c r="M108" i="20"/>
  <c r="N108" i="20" s="1"/>
  <c r="T108" i="20" s="1"/>
  <c r="U24" i="20"/>
  <c r="T24" i="20"/>
  <c r="BB24" i="20"/>
  <c r="BA24" i="20"/>
  <c r="M24" i="20"/>
  <c r="P24" i="20" s="1"/>
  <c r="Q24" i="20" s="1"/>
  <c r="AP24" i="20" s="1"/>
  <c r="BA37" i="20"/>
  <c r="BB37" i="20"/>
  <c r="M37" i="20"/>
  <c r="U161" i="20"/>
  <c r="T161" i="20"/>
  <c r="BA161" i="20"/>
  <c r="BB161" i="20"/>
  <c r="M161" i="20"/>
  <c r="N161" i="20" s="1"/>
  <c r="O161" i="20" s="1"/>
  <c r="U208" i="20"/>
  <c r="T208" i="20"/>
  <c r="BB208" i="20"/>
  <c r="BA208" i="20"/>
  <c r="M208" i="20"/>
  <c r="N208" i="20" s="1"/>
  <c r="BA43" i="20"/>
  <c r="BB43" i="20"/>
  <c r="M43" i="20"/>
  <c r="N43" i="20" s="1"/>
  <c r="T43" i="20" s="1"/>
  <c r="BA66" i="21"/>
  <c r="M66" i="21"/>
  <c r="BA99" i="21"/>
  <c r="M99" i="21"/>
  <c r="N99" i="21" s="1"/>
  <c r="T99" i="21" s="1"/>
  <c r="BA31" i="21"/>
  <c r="M31" i="21"/>
  <c r="N31" i="21" s="1"/>
  <c r="BA15" i="21"/>
  <c r="M15" i="21"/>
  <c r="N15" i="21" s="1"/>
  <c r="T15" i="21" s="1"/>
  <c r="BA18" i="21"/>
  <c r="M18" i="21"/>
  <c r="BA22" i="21"/>
  <c r="M22" i="21"/>
  <c r="N22" i="21" s="1"/>
  <c r="T22" i="21" s="1"/>
  <c r="BA55" i="21"/>
  <c r="M55" i="21"/>
  <c r="N55" i="21" s="1"/>
  <c r="BA76" i="21"/>
  <c r="M76" i="21"/>
  <c r="N76" i="21" s="1"/>
  <c r="T76" i="21" s="1"/>
  <c r="BA58" i="21"/>
  <c r="M58" i="21"/>
  <c r="BA59" i="21"/>
  <c r="M59" i="21"/>
  <c r="N59" i="21" s="1"/>
  <c r="T59" i="21" s="1"/>
  <c r="BA39" i="21"/>
  <c r="M39" i="21"/>
  <c r="N39" i="21" s="1"/>
  <c r="T39" i="21" s="1"/>
  <c r="BA43" i="21"/>
  <c r="M43" i="21"/>
  <c r="N43" i="21" s="1"/>
  <c r="T43" i="21" s="1"/>
  <c r="BA80" i="21"/>
  <c r="M80" i="21"/>
  <c r="N80" i="21" s="1"/>
  <c r="T80" i="21" s="1"/>
  <c r="BA66" i="20"/>
  <c r="BB66" i="20"/>
  <c r="M66" i="20"/>
  <c r="U30" i="20"/>
  <c r="T30" i="20"/>
  <c r="BA30" i="20"/>
  <c r="BB30" i="20"/>
  <c r="M30" i="20"/>
  <c r="P30" i="20" s="1"/>
  <c r="Q30" i="20" s="1"/>
  <c r="BA107" i="20"/>
  <c r="BB107" i="20"/>
  <c r="M107" i="20"/>
  <c r="U130" i="20"/>
  <c r="T130" i="20"/>
  <c r="BA130" i="20"/>
  <c r="BB130" i="20"/>
  <c r="M130" i="20"/>
  <c r="N130" i="20" s="1"/>
  <c r="BA60" i="20"/>
  <c r="BB60" i="20"/>
  <c r="M60" i="20"/>
  <c r="BB104" i="20"/>
  <c r="BA104" i="20"/>
  <c r="M104" i="20"/>
  <c r="N104" i="20" s="1"/>
  <c r="U167" i="20"/>
  <c r="T167" i="20"/>
  <c r="BA167" i="20"/>
  <c r="BB167" i="20"/>
  <c r="M167" i="20"/>
  <c r="U177" i="20"/>
  <c r="T177" i="20"/>
  <c r="BA177" i="20"/>
  <c r="BB177" i="20"/>
  <c r="M177" i="20"/>
  <c r="P177" i="20" s="1"/>
  <c r="Q177" i="20" s="1"/>
  <c r="T46" i="20"/>
  <c r="BA46" i="20"/>
  <c r="BB46" i="20"/>
  <c r="M46" i="20"/>
  <c r="N46" i="20" s="1"/>
  <c r="O46" i="20" s="1"/>
  <c r="U204" i="20"/>
  <c r="T204" i="20"/>
  <c r="BA204" i="20"/>
  <c r="BB204" i="20"/>
  <c r="M204" i="20"/>
  <c r="U151" i="20"/>
  <c r="T151" i="20"/>
  <c r="BA151" i="20"/>
  <c r="BB151" i="20"/>
  <c r="M151" i="20"/>
  <c r="N151" i="20" s="1"/>
  <c r="BA76" i="20"/>
  <c r="BB76" i="20"/>
  <c r="M76" i="20"/>
  <c r="U153" i="20"/>
  <c r="T153" i="20"/>
  <c r="BA153" i="20"/>
  <c r="BB153" i="20"/>
  <c r="M153" i="20"/>
  <c r="P153" i="20" s="1"/>
  <c r="Q153" i="20" s="1"/>
  <c r="T197" i="20"/>
  <c r="U197" i="20"/>
  <c r="BA197" i="20"/>
  <c r="BB197" i="20"/>
  <c r="M197" i="20"/>
  <c r="P197" i="20" s="1"/>
  <c r="Q197" i="20" s="1"/>
  <c r="U129" i="20"/>
  <c r="T129" i="20"/>
  <c r="BA129" i="20"/>
  <c r="BB129" i="20"/>
  <c r="M129" i="20"/>
  <c r="BA109" i="20"/>
  <c r="BB109" i="20"/>
  <c r="M109" i="20"/>
  <c r="BA42" i="20"/>
  <c r="BB42" i="20"/>
  <c r="M42" i="20"/>
  <c r="BA85" i="20"/>
  <c r="BB85" i="20"/>
  <c r="M85" i="20"/>
  <c r="BA81" i="20"/>
  <c r="BB81" i="20"/>
  <c r="M81" i="20"/>
  <c r="U142" i="20"/>
  <c r="T142" i="20"/>
  <c r="BA142" i="20"/>
  <c r="BB142" i="20"/>
  <c r="M142" i="20"/>
  <c r="N142" i="20" s="1"/>
  <c r="BA91" i="20"/>
  <c r="BB91" i="20"/>
  <c r="M91" i="20"/>
  <c r="BA55" i="20"/>
  <c r="BB55" i="20"/>
  <c r="M55" i="20"/>
  <c r="U138" i="20"/>
  <c r="T138" i="20"/>
  <c r="BA138" i="20"/>
  <c r="BB138" i="20"/>
  <c r="M138" i="20"/>
  <c r="P138" i="20" s="1"/>
  <c r="Q138" i="20" s="1"/>
  <c r="BB88" i="20"/>
  <c r="BA88" i="20"/>
  <c r="M88" i="20"/>
  <c r="BA101" i="20"/>
  <c r="BB101" i="20"/>
  <c r="M101" i="20"/>
  <c r="BA91" i="21"/>
  <c r="M91" i="21"/>
  <c r="BA101" i="21"/>
  <c r="M101" i="21"/>
  <c r="N101" i="21" s="1"/>
  <c r="T101" i="21" s="1"/>
  <c r="BA35" i="21"/>
  <c r="M35" i="21"/>
  <c r="BA13" i="21"/>
  <c r="M13" i="21"/>
  <c r="N13" i="21" s="1"/>
  <c r="T13" i="21" s="1"/>
  <c r="BA67" i="21"/>
  <c r="M67" i="21"/>
  <c r="BA47" i="21"/>
  <c r="M47" i="21"/>
  <c r="N47" i="21" s="1"/>
  <c r="T47" i="21" s="1"/>
  <c r="BA11" i="21"/>
  <c r="M11" i="21"/>
  <c r="BA85" i="21"/>
  <c r="M85" i="21"/>
  <c r="N85" i="21" s="1"/>
  <c r="T85" i="21" s="1"/>
  <c r="BA61" i="21"/>
  <c r="M61" i="21"/>
  <c r="N61" i="21" s="1"/>
  <c r="BA90" i="21"/>
  <c r="M90" i="21"/>
  <c r="N90" i="21" s="1"/>
  <c r="T90" i="21" s="1"/>
  <c r="BA16" i="21"/>
  <c r="M16" i="21"/>
  <c r="BA70" i="21"/>
  <c r="M70" i="21"/>
  <c r="N70" i="21" s="1"/>
  <c r="AP143" i="20"/>
  <c r="BA61" i="20"/>
  <c r="BB61" i="20"/>
  <c r="M61" i="20"/>
  <c r="U152" i="20"/>
  <c r="T152" i="20"/>
  <c r="BB152" i="20"/>
  <c r="BA152" i="20"/>
  <c r="M152" i="20"/>
  <c r="N152" i="20" s="1"/>
  <c r="U165" i="20"/>
  <c r="T165" i="20"/>
  <c r="BA165" i="20"/>
  <c r="BB165" i="20"/>
  <c r="M165" i="20"/>
  <c r="P165" i="20" s="1"/>
  <c r="Q165" i="20" s="1"/>
  <c r="BA67" i="20"/>
  <c r="BB67" i="20"/>
  <c r="M67" i="20"/>
  <c r="BA94" i="20"/>
  <c r="BB94" i="20"/>
  <c r="M94" i="20"/>
  <c r="U171" i="20"/>
  <c r="T171" i="20"/>
  <c r="BA171" i="20"/>
  <c r="BB171" i="20"/>
  <c r="M171" i="20"/>
  <c r="N171" i="20" s="1"/>
  <c r="BB64" i="20"/>
  <c r="BA64" i="20"/>
  <c r="M64" i="20"/>
  <c r="U124" i="20"/>
  <c r="T124" i="20"/>
  <c r="BA124" i="20"/>
  <c r="BB124" i="20"/>
  <c r="M124" i="20"/>
  <c r="N124" i="20" s="1"/>
  <c r="O124" i="20" s="1"/>
  <c r="U168" i="20"/>
  <c r="T168" i="20"/>
  <c r="BB168" i="20"/>
  <c r="BA168" i="20"/>
  <c r="M168" i="20"/>
  <c r="P168" i="20" s="1"/>
  <c r="Q168" i="20" s="1"/>
  <c r="U194" i="20"/>
  <c r="T194" i="20"/>
  <c r="BA194" i="20"/>
  <c r="BB194" i="20"/>
  <c r="M194" i="20"/>
  <c r="P194" i="20" s="1"/>
  <c r="Q194" i="20" s="1"/>
  <c r="U154" i="20"/>
  <c r="T154" i="20"/>
  <c r="BA154" i="20"/>
  <c r="BB154" i="20"/>
  <c r="M154" i="20"/>
  <c r="P154" i="20" s="1"/>
  <c r="Q154" i="20" s="1"/>
  <c r="BA110" i="20"/>
  <c r="BB110" i="20"/>
  <c r="M110" i="20"/>
  <c r="N110" i="20" s="1"/>
  <c r="BA36" i="20"/>
  <c r="BB36" i="20"/>
  <c r="M36" i="20"/>
  <c r="U16" i="20"/>
  <c r="T16" i="20"/>
  <c r="BB16" i="20"/>
  <c r="BA16" i="20"/>
  <c r="M16" i="20"/>
  <c r="N16" i="20" s="1"/>
  <c r="U140" i="20"/>
  <c r="T140" i="20"/>
  <c r="BA140" i="20"/>
  <c r="BB140" i="20"/>
  <c r="M140" i="20"/>
  <c r="P140" i="20" s="1"/>
  <c r="Q140" i="20" s="1"/>
  <c r="U127" i="20"/>
  <c r="T127" i="20"/>
  <c r="BA127" i="20"/>
  <c r="BB127" i="20"/>
  <c r="M127" i="20"/>
  <c r="P127" i="20" s="1"/>
  <c r="Q127" i="20" s="1"/>
  <c r="U203" i="20"/>
  <c r="T203" i="20"/>
  <c r="BA203" i="20"/>
  <c r="BB203" i="20"/>
  <c r="M203" i="20"/>
  <c r="P203" i="20" s="1"/>
  <c r="Q203" i="20" s="1"/>
  <c r="BA103" i="20"/>
  <c r="BB103" i="20"/>
  <c r="M103" i="20"/>
  <c r="N103" i="20" s="1"/>
  <c r="U115" i="20"/>
  <c r="T115" i="20"/>
  <c r="BA115" i="20"/>
  <c r="BB115" i="20"/>
  <c r="M115" i="20"/>
  <c r="N115" i="20" s="1"/>
  <c r="BA41" i="20"/>
  <c r="BB41" i="20"/>
  <c r="M41" i="20"/>
  <c r="U149" i="20"/>
  <c r="T149" i="20"/>
  <c r="BA149" i="20"/>
  <c r="BB149" i="20"/>
  <c r="M149" i="20"/>
  <c r="U145" i="20"/>
  <c r="T145" i="20"/>
  <c r="BA145" i="20"/>
  <c r="BB145" i="20"/>
  <c r="M145" i="20"/>
  <c r="N145" i="20" s="1"/>
  <c r="O145" i="20" s="1"/>
  <c r="U15" i="20"/>
  <c r="T15" i="20"/>
  <c r="BA15" i="20"/>
  <c r="BB15" i="20"/>
  <c r="M15" i="20"/>
  <c r="U155" i="20"/>
  <c r="T155" i="20"/>
  <c r="BA155" i="20"/>
  <c r="BB155" i="20"/>
  <c r="M155" i="20"/>
  <c r="P155" i="20" s="1"/>
  <c r="Q155" i="20" s="1"/>
  <c r="U119" i="20"/>
  <c r="T119" i="20"/>
  <c r="BA119" i="20"/>
  <c r="BB119" i="20"/>
  <c r="M119" i="20"/>
  <c r="N119" i="20" s="1"/>
  <c r="O119" i="20" s="1"/>
  <c r="BA88" i="21"/>
  <c r="M88" i="21"/>
  <c r="BA86" i="21"/>
  <c r="M86" i="21"/>
  <c r="N86" i="21" s="1"/>
  <c r="T86" i="21" s="1"/>
  <c r="BA41" i="21"/>
  <c r="M41" i="21"/>
  <c r="BA40" i="21"/>
  <c r="M40" i="21"/>
  <c r="N40" i="21" s="1"/>
  <c r="T40" i="21" s="1"/>
  <c r="BA82" i="21"/>
  <c r="M82" i="21"/>
  <c r="BA29" i="21"/>
  <c r="M29" i="21"/>
  <c r="N29" i="21" s="1"/>
  <c r="T29" i="21" s="1"/>
  <c r="BA38" i="21"/>
  <c r="M38" i="21"/>
  <c r="N38" i="21" s="1"/>
  <c r="T38" i="21" s="1"/>
  <c r="BA89" i="21"/>
  <c r="M89" i="21"/>
  <c r="N89" i="21" s="1"/>
  <c r="T89" i="21" s="1"/>
  <c r="BA63" i="21"/>
  <c r="M63" i="21"/>
  <c r="BA19" i="21"/>
  <c r="M19" i="21"/>
  <c r="N19" i="21" s="1"/>
  <c r="T19" i="21" s="1"/>
  <c r="BA60" i="21"/>
  <c r="M60" i="21"/>
  <c r="N60" i="21" s="1"/>
  <c r="T60" i="21" s="1"/>
  <c r="BA106" i="21"/>
  <c r="M106" i="21"/>
  <c r="N106" i="21" s="1"/>
  <c r="T106" i="21" s="1"/>
  <c r="U196" i="20"/>
  <c r="T196" i="20"/>
  <c r="BA196" i="20"/>
  <c r="BB196" i="20"/>
  <c r="M196" i="20"/>
  <c r="N196" i="20" s="1"/>
  <c r="BA79" i="20"/>
  <c r="BB79" i="20"/>
  <c r="M79" i="20"/>
  <c r="U164" i="20"/>
  <c r="T164" i="20"/>
  <c r="BA164" i="20"/>
  <c r="BB164" i="20"/>
  <c r="M164" i="20"/>
  <c r="P164" i="20" s="1"/>
  <c r="Q164" i="20" s="1"/>
  <c r="T34" i="20"/>
  <c r="BA34" i="20"/>
  <c r="BB34" i="20"/>
  <c r="M34" i="20"/>
  <c r="N34" i="20" s="1"/>
  <c r="O34" i="20" s="1"/>
  <c r="U125" i="20"/>
  <c r="T125" i="20"/>
  <c r="BA125" i="20"/>
  <c r="BB125" i="20"/>
  <c r="M125" i="20"/>
  <c r="N125" i="20" s="1"/>
  <c r="U146" i="20"/>
  <c r="T146" i="20"/>
  <c r="BA146" i="20"/>
  <c r="BB146" i="20"/>
  <c r="M146" i="20"/>
  <c r="N146" i="20" s="1"/>
  <c r="O146" i="20" s="1"/>
  <c r="T190" i="20"/>
  <c r="U190" i="20"/>
  <c r="BA190" i="20"/>
  <c r="BB190" i="20"/>
  <c r="M190" i="20"/>
  <c r="P190" i="20" s="1"/>
  <c r="Q190" i="20" s="1"/>
  <c r="U131" i="20"/>
  <c r="T131" i="20"/>
  <c r="BA131" i="20"/>
  <c r="BB131" i="20"/>
  <c r="M131" i="20"/>
  <c r="P131" i="20" s="1"/>
  <c r="Q131" i="20" s="1"/>
  <c r="AG131" i="20" s="1"/>
  <c r="U158" i="20"/>
  <c r="T158" i="20"/>
  <c r="BA158" i="20"/>
  <c r="BB158" i="20"/>
  <c r="M158" i="20"/>
  <c r="P158" i="20" s="1"/>
  <c r="Q158" i="20" s="1"/>
  <c r="U188" i="20"/>
  <c r="T188" i="20"/>
  <c r="BA188" i="20"/>
  <c r="BB188" i="20"/>
  <c r="M188" i="20"/>
  <c r="N188" i="20" s="1"/>
  <c r="U128" i="20"/>
  <c r="T128" i="20"/>
  <c r="BB128" i="20"/>
  <c r="BA128" i="20"/>
  <c r="M128" i="20"/>
  <c r="U13" i="20"/>
  <c r="T13" i="20"/>
  <c r="BA13" i="20"/>
  <c r="BB13" i="20"/>
  <c r="M13" i="20"/>
  <c r="P13" i="20" s="1"/>
  <c r="Q13" i="20" s="1"/>
  <c r="T9" i="20"/>
  <c r="U9" i="20"/>
  <c r="BA9" i="20"/>
  <c r="BB9" i="20"/>
  <c r="M9" i="20"/>
  <c r="N9" i="20" s="1"/>
  <c r="BA70" i="20"/>
  <c r="BB70" i="20"/>
  <c r="M70" i="20"/>
  <c r="T19" i="20"/>
  <c r="U19" i="20"/>
  <c r="BA19" i="20"/>
  <c r="BB19" i="20"/>
  <c r="M19" i="20"/>
  <c r="P19" i="20" s="1"/>
  <c r="Q19" i="20" s="1"/>
  <c r="U206" i="20"/>
  <c r="T206" i="20"/>
  <c r="BA206" i="20"/>
  <c r="BB206" i="20"/>
  <c r="M206" i="20"/>
  <c r="N206" i="20" s="1"/>
  <c r="U26" i="20"/>
  <c r="T26" i="20"/>
  <c r="BA26" i="20"/>
  <c r="BB26" i="20"/>
  <c r="M26" i="20"/>
  <c r="N26" i="20" s="1"/>
  <c r="T191" i="20"/>
  <c r="U191" i="20"/>
  <c r="BA191" i="20"/>
  <c r="BB191" i="20"/>
  <c r="M191" i="20"/>
  <c r="P191" i="20" s="1"/>
  <c r="Q191" i="20" s="1"/>
  <c r="U193" i="20"/>
  <c r="T193" i="20"/>
  <c r="BA193" i="20"/>
  <c r="BB193" i="20"/>
  <c r="M193" i="20"/>
  <c r="P193" i="20" s="1"/>
  <c r="Q193" i="20" s="1"/>
  <c r="U173" i="20"/>
  <c r="T173" i="20"/>
  <c r="BA173" i="20"/>
  <c r="BB173" i="20"/>
  <c r="M173" i="20"/>
  <c r="N173" i="20" s="1"/>
  <c r="BA82" i="20"/>
  <c r="BB82" i="20"/>
  <c r="M82" i="20"/>
  <c r="U175" i="20"/>
  <c r="T175" i="20"/>
  <c r="BA175" i="20"/>
  <c r="BB175" i="20"/>
  <c r="M175" i="20"/>
  <c r="N175" i="20" s="1"/>
  <c r="U179" i="20"/>
  <c r="T179" i="20"/>
  <c r="BA179" i="20"/>
  <c r="BB179" i="20"/>
  <c r="M179" i="20"/>
  <c r="BA105" i="20"/>
  <c r="BB105" i="20"/>
  <c r="M105" i="20"/>
  <c r="U166" i="20"/>
  <c r="T166" i="20"/>
  <c r="BA166" i="20"/>
  <c r="BB166" i="20"/>
  <c r="M166" i="20"/>
  <c r="P166" i="20" s="1"/>
  <c r="Q166" i="20" s="1"/>
  <c r="AG166" i="20" s="1"/>
  <c r="U209" i="20"/>
  <c r="T209" i="20"/>
  <c r="BA209" i="20"/>
  <c r="BB209" i="20"/>
  <c r="M209" i="20"/>
  <c r="P209" i="20" s="1"/>
  <c r="Q209" i="20" s="1"/>
  <c r="BA78" i="21"/>
  <c r="M78" i="21"/>
  <c r="N78" i="21" s="1"/>
  <c r="T78" i="21" s="1"/>
  <c r="BA93" i="21"/>
  <c r="M93" i="21"/>
  <c r="N93" i="21" s="1"/>
  <c r="T93" i="21" s="1"/>
  <c r="BA68" i="21"/>
  <c r="M68" i="21"/>
  <c r="N68" i="21" s="1"/>
  <c r="T68" i="21" s="1"/>
  <c r="BA53" i="21"/>
  <c r="M53" i="21"/>
  <c r="N53" i="21" s="1"/>
  <c r="T53" i="21" s="1"/>
  <c r="BA48" i="21"/>
  <c r="M48" i="21"/>
  <c r="N48" i="21" s="1"/>
  <c r="T48" i="21" s="1"/>
  <c r="BA56" i="21"/>
  <c r="M56" i="21"/>
  <c r="N56" i="21" s="1"/>
  <c r="T56" i="21" s="1"/>
  <c r="BA95" i="21"/>
  <c r="M95" i="21"/>
  <c r="N95" i="21" s="1"/>
  <c r="T95" i="21" s="1"/>
  <c r="BA72" i="21"/>
  <c r="M72" i="21"/>
  <c r="N72" i="21" s="1"/>
  <c r="T72" i="21" s="1"/>
  <c r="BA103" i="21"/>
  <c r="M103" i="21"/>
  <c r="N103" i="21" s="1"/>
  <c r="T103" i="21" s="1"/>
  <c r="BA74" i="21"/>
  <c r="M74" i="21"/>
  <c r="N74" i="21" s="1"/>
  <c r="T74" i="21" s="1"/>
  <c r="BA21" i="21"/>
  <c r="M21" i="21"/>
  <c r="N21" i="21" s="1"/>
  <c r="T21" i="21" s="1"/>
  <c r="BA77" i="21"/>
  <c r="M77" i="21"/>
  <c r="N77" i="21" s="1"/>
  <c r="T77" i="21" s="1"/>
  <c r="U162" i="20"/>
  <c r="T162" i="20"/>
  <c r="BA162" i="20"/>
  <c r="BB162" i="20"/>
  <c r="M162" i="20"/>
  <c r="N162" i="20" s="1"/>
  <c r="U169" i="20"/>
  <c r="T169" i="20"/>
  <c r="BA169" i="20"/>
  <c r="BB169" i="20"/>
  <c r="M169" i="20"/>
  <c r="N169" i="20" s="1"/>
  <c r="T10" i="20"/>
  <c r="U10" i="20"/>
  <c r="BA10" i="20"/>
  <c r="BB10" i="20"/>
  <c r="M10" i="20"/>
  <c r="P10" i="20" s="1"/>
  <c r="Q10" i="20" s="1"/>
  <c r="AP10" i="20" s="1"/>
  <c r="U28" i="20"/>
  <c r="T28" i="20"/>
  <c r="BA28" i="20"/>
  <c r="BB28" i="20"/>
  <c r="M28" i="20"/>
  <c r="N28" i="20" s="1"/>
  <c r="U143" i="20"/>
  <c r="T143" i="20"/>
  <c r="BA143" i="20"/>
  <c r="BB143" i="20"/>
  <c r="M143" i="20"/>
  <c r="N143" i="20" s="1"/>
  <c r="U170" i="20"/>
  <c r="T170" i="20"/>
  <c r="BA170" i="20"/>
  <c r="BB170" i="20"/>
  <c r="M170" i="20"/>
  <c r="N170" i="20" s="1"/>
  <c r="BB48" i="20"/>
  <c r="BA48" i="20"/>
  <c r="M48" i="20"/>
  <c r="N48" i="20" s="1"/>
  <c r="T48" i="20" s="1"/>
  <c r="T189" i="20"/>
  <c r="U189" i="20"/>
  <c r="BA189" i="20"/>
  <c r="BB189" i="20"/>
  <c r="M189" i="20"/>
  <c r="N189" i="20" s="1"/>
  <c r="BA57" i="20"/>
  <c r="BB57" i="20"/>
  <c r="M57" i="20"/>
  <c r="N57" i="20" s="1"/>
  <c r="U114" i="20"/>
  <c r="T114" i="20"/>
  <c r="BA114" i="20"/>
  <c r="BB114" i="20"/>
  <c r="M114" i="20"/>
  <c r="N114" i="20" s="1"/>
  <c r="U195" i="20"/>
  <c r="T195" i="20"/>
  <c r="BA195" i="20"/>
  <c r="BB195" i="20"/>
  <c r="M195" i="20"/>
  <c r="P195" i="20" s="1"/>
  <c r="Q195" i="20" s="1"/>
  <c r="U31" i="20"/>
  <c r="T31" i="20"/>
  <c r="BA31" i="20"/>
  <c r="BB31" i="20"/>
  <c r="M31" i="20"/>
  <c r="U20" i="20"/>
  <c r="T20" i="20"/>
  <c r="BA20" i="20"/>
  <c r="BB20" i="20"/>
  <c r="M20" i="20"/>
  <c r="N20" i="20" s="1"/>
  <c r="U192" i="20"/>
  <c r="T192" i="20"/>
  <c r="BB192" i="20"/>
  <c r="BA192" i="20"/>
  <c r="M192" i="20"/>
  <c r="N192" i="20" s="1"/>
  <c r="BA77" i="20"/>
  <c r="BB77" i="20"/>
  <c r="M77" i="20"/>
  <c r="N77" i="20" s="1"/>
  <c r="BA73" i="20"/>
  <c r="BB73" i="20"/>
  <c r="M73" i="20"/>
  <c r="BA100" i="20"/>
  <c r="BB100" i="20"/>
  <c r="M100" i="20"/>
  <c r="BB80" i="20"/>
  <c r="BA80" i="20"/>
  <c r="M80" i="20"/>
  <c r="N80" i="20" s="1"/>
  <c r="U29" i="20"/>
  <c r="T29" i="20"/>
  <c r="BA29" i="20"/>
  <c r="BB29" i="20"/>
  <c r="M29" i="20"/>
  <c r="N29" i="20" s="1"/>
  <c r="BA90" i="20"/>
  <c r="BB90" i="20"/>
  <c r="M90" i="20"/>
  <c r="N90" i="20" s="1"/>
  <c r="U22" i="20"/>
  <c r="T22" i="20"/>
  <c r="BA22" i="20"/>
  <c r="BB22" i="20"/>
  <c r="M22" i="20"/>
  <c r="N22" i="20" s="1"/>
  <c r="BA35" i="20"/>
  <c r="BB35" i="20"/>
  <c r="M35" i="20"/>
  <c r="T198" i="20"/>
  <c r="U198" i="20"/>
  <c r="BA198" i="20"/>
  <c r="BB198" i="20"/>
  <c r="M198" i="20"/>
  <c r="P198" i="20" s="1"/>
  <c r="Q198" i="20" s="1"/>
  <c r="BA52" i="20"/>
  <c r="BB52" i="20"/>
  <c r="M52" i="20"/>
  <c r="N52" i="20" s="1"/>
  <c r="T52" i="20" s="1"/>
  <c r="U32" i="20"/>
  <c r="T32" i="20"/>
  <c r="BB32" i="20"/>
  <c r="BA32" i="20"/>
  <c r="M32" i="20"/>
  <c r="N32" i="20" s="1"/>
  <c r="BA25" i="21"/>
  <c r="M25" i="21"/>
  <c r="N25" i="21" s="1"/>
  <c r="T25" i="21" s="1"/>
  <c r="BA24" i="21"/>
  <c r="M24" i="21"/>
  <c r="N24" i="21" s="1"/>
  <c r="T24" i="21" s="1"/>
  <c r="BA97" i="21"/>
  <c r="M97" i="21"/>
  <c r="N97" i="21" s="1"/>
  <c r="T97" i="21" s="1"/>
  <c r="BA14" i="21"/>
  <c r="M14" i="21"/>
  <c r="N14" i="21" s="1"/>
  <c r="T14" i="21" s="1"/>
  <c r="BA17" i="21"/>
  <c r="M17" i="21"/>
  <c r="N17" i="21" s="1"/>
  <c r="T17" i="21" s="1"/>
  <c r="BA102" i="21"/>
  <c r="M102" i="21"/>
  <c r="N102" i="21" s="1"/>
  <c r="T102" i="21" s="1"/>
  <c r="BA33" i="21"/>
  <c r="M33" i="21"/>
  <c r="N33" i="21" s="1"/>
  <c r="T33" i="21" s="1"/>
  <c r="BA45" i="21"/>
  <c r="M45" i="21"/>
  <c r="N45" i="21" s="1"/>
  <c r="T45" i="21" s="1"/>
  <c r="BA37" i="21"/>
  <c r="M37" i="21"/>
  <c r="N37" i="21" s="1"/>
  <c r="T37" i="21" s="1"/>
  <c r="BA65" i="21"/>
  <c r="M65" i="21"/>
  <c r="N65" i="21" s="1"/>
  <c r="T65" i="21" s="1"/>
  <c r="BA75" i="21"/>
  <c r="M75" i="21"/>
  <c r="N75" i="21" s="1"/>
  <c r="T75" i="21" s="1"/>
  <c r="BA105" i="21"/>
  <c r="M105" i="21"/>
  <c r="N105" i="21" s="1"/>
  <c r="T105" i="21" s="1"/>
  <c r="BA10" i="21"/>
  <c r="M10" i="21"/>
  <c r="N10" i="21" s="1"/>
  <c r="T10" i="21" s="1"/>
  <c r="AC26" i="30"/>
  <c r="AD26" i="30"/>
  <c r="U120" i="20"/>
  <c r="T120" i="20"/>
  <c r="BB120" i="20"/>
  <c r="BA120" i="20"/>
  <c r="M120" i="20"/>
  <c r="P120" i="20" s="1"/>
  <c r="Q120" i="20" s="1"/>
  <c r="U116" i="20"/>
  <c r="T116" i="20"/>
  <c r="BA116" i="20"/>
  <c r="BB116" i="20"/>
  <c r="M116" i="20"/>
  <c r="N116" i="20" s="1"/>
  <c r="BB96" i="20"/>
  <c r="BA96" i="20"/>
  <c r="M96" i="20"/>
  <c r="N96" i="20" s="1"/>
  <c r="BA62" i="20"/>
  <c r="BB62" i="20"/>
  <c r="M62" i="20"/>
  <c r="BA106" i="20"/>
  <c r="BB106" i="20"/>
  <c r="M106" i="20"/>
  <c r="N106" i="20" s="1"/>
  <c r="T106" i="20" s="1"/>
  <c r="BA38" i="20"/>
  <c r="BB38" i="20"/>
  <c r="M38" i="20"/>
  <c r="N38" i="20" s="1"/>
  <c r="P38" i="20" s="1"/>
  <c r="Q38" i="20" s="1"/>
  <c r="R38" i="20" s="1"/>
  <c r="BA92" i="20"/>
  <c r="BB92" i="20"/>
  <c r="M92" i="20"/>
  <c r="U178" i="20"/>
  <c r="T178" i="20"/>
  <c r="BA178" i="20"/>
  <c r="BB178" i="20"/>
  <c r="M178" i="20"/>
  <c r="P178" i="20" s="1"/>
  <c r="Q178" i="20" s="1"/>
  <c r="BA68" i="20"/>
  <c r="BB68" i="20"/>
  <c r="M68" i="20"/>
  <c r="BB112" i="20"/>
  <c r="BA112" i="20"/>
  <c r="M112" i="20"/>
  <c r="T183" i="20"/>
  <c r="U183" i="20"/>
  <c r="BA183" i="20"/>
  <c r="BB183" i="20"/>
  <c r="M183" i="20"/>
  <c r="N183" i="20" s="1"/>
  <c r="O183" i="20" s="1"/>
  <c r="U121" i="20"/>
  <c r="T121" i="20"/>
  <c r="BA121" i="20"/>
  <c r="BB121" i="20"/>
  <c r="M121" i="20"/>
  <c r="N121" i="20" s="1"/>
  <c r="BA54" i="20"/>
  <c r="BB54" i="20"/>
  <c r="M54" i="20"/>
  <c r="U18" i="20"/>
  <c r="T18" i="20"/>
  <c r="BA18" i="20"/>
  <c r="BB18" i="20"/>
  <c r="M18" i="20"/>
  <c r="N18" i="20" s="1"/>
  <c r="BA95" i="20"/>
  <c r="BB95" i="20"/>
  <c r="M95" i="20"/>
  <c r="BA84" i="20"/>
  <c r="BB84" i="20"/>
  <c r="M84" i="20"/>
  <c r="U134" i="20"/>
  <c r="T134" i="20"/>
  <c r="BA134" i="20"/>
  <c r="BB134" i="20"/>
  <c r="M134" i="20"/>
  <c r="N134" i="20" s="1"/>
  <c r="BA83" i="20"/>
  <c r="BB83" i="20"/>
  <c r="M83" i="20"/>
  <c r="T47" i="20"/>
  <c r="BA47" i="20"/>
  <c r="BB47" i="20"/>
  <c r="M47" i="20"/>
  <c r="N47" i="20" s="1"/>
  <c r="BA58" i="20"/>
  <c r="BB58" i="20"/>
  <c r="M58" i="20"/>
  <c r="U144" i="20"/>
  <c r="T144" i="20"/>
  <c r="BB144" i="20"/>
  <c r="BA144" i="20"/>
  <c r="M144" i="20"/>
  <c r="N144" i="20" s="1"/>
  <c r="BA93" i="20"/>
  <c r="BB93" i="20"/>
  <c r="M93" i="20"/>
  <c r="N93" i="20" s="1"/>
  <c r="T93" i="20" s="1"/>
  <c r="BB56" i="20"/>
  <c r="BA56" i="20"/>
  <c r="M56" i="20"/>
  <c r="N56" i="20" s="1"/>
  <c r="T56" i="20" s="1"/>
  <c r="BA86" i="20"/>
  <c r="BB86" i="20"/>
  <c r="M86" i="20"/>
  <c r="BA99" i="20"/>
  <c r="BB99" i="20"/>
  <c r="M99" i="20"/>
  <c r="BA52" i="21"/>
  <c r="M52" i="21"/>
  <c r="N52" i="21" s="1"/>
  <c r="T52" i="21" s="1"/>
  <c r="BA9" i="21"/>
  <c r="M9" i="21"/>
  <c r="N9" i="21" s="1"/>
  <c r="T9" i="21" s="1"/>
  <c r="BA36" i="21"/>
  <c r="M36" i="21"/>
  <c r="N36" i="21" s="1"/>
  <c r="T36" i="21" s="1"/>
  <c r="BA23" i="21"/>
  <c r="M23" i="21"/>
  <c r="N23" i="21" s="1"/>
  <c r="T23" i="21" s="1"/>
  <c r="BA44" i="21"/>
  <c r="M44" i="21"/>
  <c r="N44" i="21" s="1"/>
  <c r="T44" i="21" s="1"/>
  <c r="BA83" i="21"/>
  <c r="M83" i="21"/>
  <c r="N83" i="21" s="1"/>
  <c r="T83" i="21" s="1"/>
  <c r="BA73" i="21"/>
  <c r="M73" i="21"/>
  <c r="N73" i="21" s="1"/>
  <c r="T73" i="21" s="1"/>
  <c r="BA104" i="21"/>
  <c r="M104" i="21"/>
  <c r="N104" i="21" s="1"/>
  <c r="T104" i="21" s="1"/>
  <c r="BA71" i="21"/>
  <c r="M71" i="21"/>
  <c r="N71" i="21" s="1"/>
  <c r="T71" i="21" s="1"/>
  <c r="BA92" i="21"/>
  <c r="M92" i="21"/>
  <c r="N92" i="21" s="1"/>
  <c r="T92" i="21" s="1"/>
  <c r="BA109" i="21"/>
  <c r="M109" i="21"/>
  <c r="N109" i="21" s="1"/>
  <c r="T109" i="21" s="1"/>
  <c r="BA79" i="21"/>
  <c r="M79" i="21"/>
  <c r="N79" i="21" s="1"/>
  <c r="T79" i="21" s="1"/>
  <c r="BA50" i="21"/>
  <c r="M50" i="21"/>
  <c r="N50" i="21" s="1"/>
  <c r="T50" i="21" s="1"/>
  <c r="BA59" i="20"/>
  <c r="BB59" i="20"/>
  <c r="M59" i="20"/>
  <c r="U150" i="20"/>
  <c r="T150" i="20"/>
  <c r="BA150" i="20"/>
  <c r="BB150" i="20"/>
  <c r="M150" i="20"/>
  <c r="N150" i="20" s="1"/>
  <c r="O150" i="20" s="1"/>
  <c r="U163" i="20"/>
  <c r="T163" i="20"/>
  <c r="BA163" i="20"/>
  <c r="BB163" i="20"/>
  <c r="M163" i="20"/>
  <c r="N163" i="20" s="1"/>
  <c r="U184" i="20"/>
  <c r="T184" i="20"/>
  <c r="BB184" i="20"/>
  <c r="BA184" i="20"/>
  <c r="M184" i="20"/>
  <c r="U202" i="20"/>
  <c r="T202" i="20"/>
  <c r="BA202" i="20"/>
  <c r="BB202" i="20"/>
  <c r="M202" i="20"/>
  <c r="N202" i="20" s="1"/>
  <c r="U160" i="20"/>
  <c r="T160" i="20"/>
  <c r="BB160" i="20"/>
  <c r="BA160" i="20"/>
  <c r="M160" i="20"/>
  <c r="P160" i="20" s="1"/>
  <c r="Q160" i="20" s="1"/>
  <c r="U126" i="20"/>
  <c r="T126" i="20"/>
  <c r="BA126" i="20"/>
  <c r="BB126" i="20"/>
  <c r="M126" i="20"/>
  <c r="P126" i="20" s="1"/>
  <c r="Q126" i="20" s="1"/>
  <c r="T11" i="20"/>
  <c r="U11" i="20"/>
  <c r="BA11" i="20"/>
  <c r="BB11" i="20"/>
  <c r="M11" i="20"/>
  <c r="P11" i="20" s="1"/>
  <c r="Q11" i="20" s="1"/>
  <c r="BA102" i="20"/>
  <c r="BB102" i="20"/>
  <c r="M102" i="20"/>
  <c r="N102" i="20" s="1"/>
  <c r="U180" i="20"/>
  <c r="T180" i="20"/>
  <c r="BA180" i="20"/>
  <c r="BB180" i="20"/>
  <c r="M180" i="20"/>
  <c r="P180" i="20" s="1"/>
  <c r="Q180" i="20" s="1"/>
  <c r="BB72" i="20"/>
  <c r="BA72" i="20"/>
  <c r="M72" i="20"/>
  <c r="N72" i="20" s="1"/>
  <c r="U132" i="20"/>
  <c r="T132" i="20"/>
  <c r="BA132" i="20"/>
  <c r="BB132" i="20"/>
  <c r="M132" i="20"/>
  <c r="N132" i="20" s="1"/>
  <c r="O132" i="20" s="1"/>
  <c r="U176" i="20"/>
  <c r="T176" i="20"/>
  <c r="BB176" i="20"/>
  <c r="BA176" i="20"/>
  <c r="M176" i="20"/>
  <c r="P176" i="20" s="1"/>
  <c r="Q176" i="20" s="1"/>
  <c r="U14" i="20"/>
  <c r="T14" i="20"/>
  <c r="BA14" i="20"/>
  <c r="BB14" i="20"/>
  <c r="M14" i="20"/>
  <c r="P14" i="20" s="1"/>
  <c r="Q14" i="20" s="1"/>
  <c r="AP14" i="20" s="1"/>
  <c r="U185" i="20"/>
  <c r="T185" i="20"/>
  <c r="BA185" i="20"/>
  <c r="BB185" i="20"/>
  <c r="M185" i="20"/>
  <c r="N185" i="20" s="1"/>
  <c r="U118" i="20"/>
  <c r="T118" i="20"/>
  <c r="BA118" i="20"/>
  <c r="BB118" i="20"/>
  <c r="M118" i="20"/>
  <c r="N118" i="20" s="1"/>
  <c r="U33" i="20"/>
  <c r="T33" i="20"/>
  <c r="BA33" i="20"/>
  <c r="BB33" i="20"/>
  <c r="M33" i="20"/>
  <c r="N33" i="20" s="1"/>
  <c r="U141" i="20"/>
  <c r="T141" i="20"/>
  <c r="BA141" i="20"/>
  <c r="BB141" i="20"/>
  <c r="M141" i="20"/>
  <c r="P141" i="20" s="1"/>
  <c r="Q141" i="20" s="1"/>
  <c r="U137" i="20"/>
  <c r="T137" i="20"/>
  <c r="BA137" i="20"/>
  <c r="BB137" i="20"/>
  <c r="M137" i="20"/>
  <c r="N137" i="20" s="1"/>
  <c r="BA50" i="20"/>
  <c r="BB50" i="20"/>
  <c r="M50" i="20"/>
  <c r="N50" i="20" s="1"/>
  <c r="T50" i="20" s="1"/>
  <c r="U147" i="20"/>
  <c r="T147" i="20"/>
  <c r="BA147" i="20"/>
  <c r="BB147" i="20"/>
  <c r="M147" i="20"/>
  <c r="N147" i="20" s="1"/>
  <c r="T111" i="20"/>
  <c r="BA111" i="20"/>
  <c r="BB111" i="20"/>
  <c r="M111" i="20"/>
  <c r="N111" i="20" s="1"/>
  <c r="BA53" i="20"/>
  <c r="BB53" i="20"/>
  <c r="M53" i="20"/>
  <c r="N53" i="20" s="1"/>
  <c r="BA98" i="20"/>
  <c r="BB98" i="20"/>
  <c r="M98" i="20"/>
  <c r="N98" i="20" s="1"/>
  <c r="U157" i="20"/>
  <c r="T157" i="20"/>
  <c r="BA157" i="20"/>
  <c r="BB157" i="20"/>
  <c r="M157" i="20"/>
  <c r="N157" i="20" s="1"/>
  <c r="BA51" i="21"/>
  <c r="M51" i="21"/>
  <c r="N51" i="21" s="1"/>
  <c r="T51" i="21" s="1"/>
  <c r="BA42" i="21"/>
  <c r="M42" i="21"/>
  <c r="N42" i="21" s="1"/>
  <c r="T42" i="21" s="1"/>
  <c r="BA34" i="21"/>
  <c r="M34" i="21"/>
  <c r="N34" i="21" s="1"/>
  <c r="T34" i="21" s="1"/>
  <c r="BA98" i="21"/>
  <c r="M98" i="21"/>
  <c r="N98" i="21" s="1"/>
  <c r="T98" i="21" s="1"/>
  <c r="BA46" i="21"/>
  <c r="M46" i="21"/>
  <c r="N46" i="21" s="1"/>
  <c r="T46" i="21" s="1"/>
  <c r="BA84" i="21"/>
  <c r="M84" i="21"/>
  <c r="N84" i="21" s="1"/>
  <c r="T84" i="21" s="1"/>
  <c r="BA100" i="21"/>
  <c r="M100" i="21"/>
  <c r="N100" i="21" s="1"/>
  <c r="T100" i="21" s="1"/>
  <c r="BA64" i="21"/>
  <c r="M64" i="21"/>
  <c r="N64" i="21" s="1"/>
  <c r="T64" i="21" s="1"/>
  <c r="BA27" i="21"/>
  <c r="M27" i="21"/>
  <c r="N27" i="21" s="1"/>
  <c r="T27" i="21" s="1"/>
  <c r="BA32" i="21"/>
  <c r="M32" i="21"/>
  <c r="N32" i="21" s="1"/>
  <c r="T32" i="21" s="1"/>
  <c r="BA12" i="21"/>
  <c r="M12" i="21"/>
  <c r="N12" i="21" s="1"/>
  <c r="T12" i="21" s="1"/>
  <c r="BA69" i="21"/>
  <c r="M69" i="21"/>
  <c r="N69" i="21" s="1"/>
  <c r="T69" i="21" s="1"/>
  <c r="BA81" i="21"/>
  <c r="M81" i="21"/>
  <c r="N81" i="21" s="1"/>
  <c r="T81" i="21" s="1"/>
  <c r="N107" i="21"/>
  <c r="T107" i="21" s="1"/>
  <c r="N20" i="21"/>
  <c r="N11" i="21"/>
  <c r="T11" i="21" s="1"/>
  <c r="N35" i="21"/>
  <c r="T35" i="21" s="1"/>
  <c r="N49" i="21"/>
  <c r="T49" i="21" s="1"/>
  <c r="N82" i="21"/>
  <c r="N91" i="21"/>
  <c r="N87" i="21"/>
  <c r="T87" i="21" s="1"/>
  <c r="N18" i="21"/>
  <c r="T18" i="21" s="1"/>
  <c r="N88" i="21"/>
  <c r="N67" i="21"/>
  <c r="T67" i="21" s="1"/>
  <c r="N58" i="21"/>
  <c r="T58" i="21" s="1"/>
  <c r="N41" i="21"/>
  <c r="T41" i="21" s="1"/>
  <c r="N63" i="21"/>
  <c r="T63" i="21" s="1"/>
  <c r="N66" i="21"/>
  <c r="T66" i="21" s="1"/>
  <c r="N16" i="21"/>
  <c r="T16" i="21" s="1"/>
  <c r="N42" i="20"/>
  <c r="T42" i="20" s="1"/>
  <c r="P179" i="20"/>
  <c r="Q179" i="20" s="1"/>
  <c r="N135" i="20"/>
  <c r="O135" i="20" s="1"/>
  <c r="P135" i="20"/>
  <c r="Q135" i="20" s="1"/>
  <c r="P116" i="20"/>
  <c r="Q116" i="20" s="1"/>
  <c r="N70" i="20"/>
  <c r="N45" i="20"/>
  <c r="T45" i="20" s="1"/>
  <c r="P152" i="20"/>
  <c r="Q152" i="20" s="1"/>
  <c r="N54" i="20"/>
  <c r="N36" i="20"/>
  <c r="T36" i="20" s="1"/>
  <c r="Y7" i="30"/>
  <c r="N66" i="20"/>
  <c r="N31" i="20"/>
  <c r="P31" i="20"/>
  <c r="Q31" i="20" s="1"/>
  <c r="P182" i="20"/>
  <c r="Q182" i="20" s="1"/>
  <c r="P204" i="20"/>
  <c r="Q204" i="20" s="1"/>
  <c r="P128" i="20"/>
  <c r="Q128" i="20" s="1"/>
  <c r="P103" i="20"/>
  <c r="Q103" i="20" s="1"/>
  <c r="R103" i="20" s="1"/>
  <c r="P159" i="20"/>
  <c r="Q159" i="20" s="1"/>
  <c r="P108" i="20"/>
  <c r="Q108" i="20" s="1"/>
  <c r="R108" i="20" s="1"/>
  <c r="P186" i="20"/>
  <c r="Q186" i="20" s="1"/>
  <c r="P123" i="20"/>
  <c r="Q123" i="20" s="1"/>
  <c r="P129" i="20"/>
  <c r="Q129" i="20" s="1"/>
  <c r="N41" i="20"/>
  <c r="T41" i="20" s="1"/>
  <c r="P149" i="20"/>
  <c r="Q149" i="20" s="1"/>
  <c r="N83" i="20"/>
  <c r="T83" i="20" s="1"/>
  <c r="N149" i="20"/>
  <c r="P169" i="20"/>
  <c r="Q169" i="20" s="1"/>
  <c r="N101" i="20"/>
  <c r="N82" i="20"/>
  <c r="P17" i="20"/>
  <c r="Q17" i="20" s="1"/>
  <c r="N86" i="20"/>
  <c r="N199" i="20"/>
  <c r="P199" i="20"/>
  <c r="Q199" i="20" s="1"/>
  <c r="AG199" i="20" s="1"/>
  <c r="N62" i="20"/>
  <c r="P151" i="20"/>
  <c r="Q151" i="20" s="1"/>
  <c r="N148" i="20"/>
  <c r="O148" i="20" s="1"/>
  <c r="P148" i="20"/>
  <c r="Q148" i="20" s="1"/>
  <c r="N100" i="20"/>
  <c r="N78" i="20"/>
  <c r="N112" i="20"/>
  <c r="T112" i="20" s="1"/>
  <c r="P167" i="20"/>
  <c r="Q167" i="20" s="1"/>
  <c r="P139" i="20"/>
  <c r="Q139" i="20" s="1"/>
  <c r="P32" i="20"/>
  <c r="Q32" i="20" s="1"/>
  <c r="N85" i="20"/>
  <c r="N51" i="20"/>
  <c r="T51" i="20" s="1"/>
  <c r="N61" i="20"/>
  <c r="T61" i="20" s="1"/>
  <c r="N139" i="20"/>
  <c r="N204" i="20"/>
  <c r="N65" i="20"/>
  <c r="T65" i="20" s="1"/>
  <c r="N87" i="20"/>
  <c r="T87" i="20" s="1"/>
  <c r="N154" i="20"/>
  <c r="N138" i="20"/>
  <c r="N58" i="20"/>
  <c r="T58" i="20" s="1"/>
  <c r="N73" i="20"/>
  <c r="N67" i="20"/>
  <c r="P117" i="20"/>
  <c r="Q117" i="20" s="1"/>
  <c r="N60" i="20"/>
  <c r="T60" i="20" s="1"/>
  <c r="N75" i="20"/>
  <c r="P118" i="20"/>
  <c r="Q118" i="20" s="1"/>
  <c r="P175" i="20"/>
  <c r="Q175" i="20" s="1"/>
  <c r="P201" i="20"/>
  <c r="Q201" i="20" s="1"/>
  <c r="N15" i="20"/>
  <c r="P15" i="20"/>
  <c r="Q15" i="20" s="1"/>
  <c r="N184" i="20"/>
  <c r="O184" i="20" s="1"/>
  <c r="P184" i="20"/>
  <c r="Q184" i="20" s="1"/>
  <c r="N105" i="20"/>
  <c r="P105" i="20" s="1"/>
  <c r="Q105" i="20" s="1"/>
  <c r="R105" i="20" s="1"/>
  <c r="P205" i="20"/>
  <c r="Q205" i="20" s="1"/>
  <c r="N95" i="20"/>
  <c r="N71" i="20"/>
  <c r="N84" i="20"/>
  <c r="T84" i="20" s="1"/>
  <c r="N81" i="20"/>
  <c r="N63" i="20"/>
  <c r="N92" i="20"/>
  <c r="N140" i="20"/>
  <c r="N64" i="20"/>
  <c r="N79" i="20"/>
  <c r="N59" i="20"/>
  <c r="N74" i="20"/>
  <c r="N88" i="20"/>
  <c r="N37" i="20"/>
  <c r="T37" i="20" s="1"/>
  <c r="N55" i="20"/>
  <c r="N30" i="20"/>
  <c r="AL30" i="20" s="1"/>
  <c r="N21" i="20"/>
  <c r="AL21" i="20" s="1"/>
  <c r="N91" i="20"/>
  <c r="N198" i="20"/>
  <c r="N159" i="20"/>
  <c r="N179" i="20"/>
  <c r="N123" i="20"/>
  <c r="N19" i="20"/>
  <c r="AL19" i="20" s="1"/>
  <c r="N99" i="20"/>
  <c r="N131" i="20"/>
  <c r="N35" i="20"/>
  <c r="P35" i="20" s="1"/>
  <c r="Q35" i="20" s="1"/>
  <c r="R35" i="20" s="1"/>
  <c r="N97" i="20"/>
  <c r="T97" i="20" s="1"/>
  <c r="N165" i="20"/>
  <c r="N177" i="20"/>
  <c r="N24" i="20"/>
  <c r="AL24" i="20" s="1"/>
  <c r="N17" i="20"/>
  <c r="N117" i="20"/>
  <c r="N181" i="20"/>
  <c r="N89" i="20"/>
  <c r="T89" i="20" s="1"/>
  <c r="N128" i="20"/>
  <c r="N94" i="20"/>
  <c r="T94" i="20" s="1"/>
  <c r="N107" i="20"/>
  <c r="T107" i="20" s="1"/>
  <c r="N166" i="20"/>
  <c r="N129" i="20"/>
  <c r="N167" i="20"/>
  <c r="N160" i="20"/>
  <c r="AS83" i="20"/>
  <c r="AS98" i="20"/>
  <c r="AI18" i="20"/>
  <c r="AS180" i="20"/>
  <c r="AI26" i="20"/>
  <c r="AI13" i="20"/>
  <c r="AW169" i="20"/>
  <c r="AS81" i="20"/>
  <c r="AI32" i="20"/>
  <c r="AI14" i="20"/>
  <c r="AI16" i="20"/>
  <c r="AI22" i="20"/>
  <c r="AW149" i="20"/>
  <c r="AI28" i="20"/>
  <c r="AS77" i="20"/>
  <c r="AS87" i="20"/>
  <c r="AW166" i="20"/>
  <c r="E39" i="1"/>
  <c r="H141" i="2"/>
  <c r="AI30" i="20"/>
  <c r="AI33" i="20"/>
  <c r="AI21" i="20"/>
  <c r="AI31" i="20"/>
  <c r="AI25" i="20"/>
  <c r="AI23" i="20"/>
  <c r="AI27" i="20"/>
  <c r="AI19" i="20"/>
  <c r="AI29" i="20"/>
  <c r="AS155" i="20"/>
  <c r="AI20" i="20"/>
  <c r="AI15" i="20"/>
  <c r="B145" i="2"/>
  <c r="D61" i="16" s="1"/>
  <c r="B143" i="2"/>
  <c r="E33" i="1" s="1"/>
  <c r="AW134" i="20"/>
  <c r="AI17" i="20"/>
  <c r="AS143" i="20"/>
  <c r="W16" i="30"/>
  <c r="M33" i="30"/>
  <c r="M34" i="30" s="1"/>
  <c r="M41" i="30"/>
  <c r="M42" i="30" s="1"/>
  <c r="M57" i="30"/>
  <c r="M58" i="30" s="1"/>
  <c r="M76" i="30"/>
  <c r="M77" i="30" s="1"/>
  <c r="AL31" i="20" l="1"/>
  <c r="P122" i="20"/>
  <c r="Q122" i="20" s="1"/>
  <c r="N194" i="20"/>
  <c r="N164" i="20"/>
  <c r="AL164" i="20" s="1"/>
  <c r="P172" i="20"/>
  <c r="Q172" i="20" s="1"/>
  <c r="P147" i="20"/>
  <c r="Q147" i="20" s="1"/>
  <c r="P196" i="20"/>
  <c r="Q196" i="20" s="1"/>
  <c r="N191" i="20"/>
  <c r="P192" i="20"/>
  <c r="Q192" i="20" s="1"/>
  <c r="N141" i="20"/>
  <c r="N178" i="20"/>
  <c r="AL32" i="20"/>
  <c r="AL17" i="20"/>
  <c r="P121" i="20"/>
  <c r="Q121" i="20" s="1"/>
  <c r="AL15" i="20"/>
  <c r="P163" i="20"/>
  <c r="Q163" i="20" s="1"/>
  <c r="O33" i="20"/>
  <c r="T82" i="21"/>
  <c r="T88" i="21"/>
  <c r="T70" i="21"/>
  <c r="T91" i="21"/>
  <c r="T20" i="21"/>
  <c r="T28" i="21"/>
  <c r="T55" i="21"/>
  <c r="T61" i="21"/>
  <c r="T62" i="21"/>
  <c r="T31" i="21"/>
  <c r="P143" i="20"/>
  <c r="Q143" i="20" s="1"/>
  <c r="T57" i="20"/>
  <c r="P146" i="20"/>
  <c r="Q146" i="20" s="1"/>
  <c r="N176" i="20"/>
  <c r="AL176" i="20" s="1"/>
  <c r="P42" i="20"/>
  <c r="Q42" i="20" s="1"/>
  <c r="R42" i="20" s="1"/>
  <c r="T59" i="20"/>
  <c r="P206" i="20"/>
  <c r="Q206" i="20" s="1"/>
  <c r="N155" i="20"/>
  <c r="AL155" i="20" s="1"/>
  <c r="P171" i="20"/>
  <c r="Q171" i="20" s="1"/>
  <c r="P36" i="20"/>
  <c r="Q36" i="20" s="1"/>
  <c r="R36" i="20" s="1"/>
  <c r="T35" i="20"/>
  <c r="P41" i="20"/>
  <c r="Q41" i="20" s="1"/>
  <c r="R41" i="20" s="1"/>
  <c r="T49" i="20"/>
  <c r="U34" i="20"/>
  <c r="T40" i="20"/>
  <c r="U49" i="20"/>
  <c r="U40" i="20"/>
  <c r="T38" i="20"/>
  <c r="P37" i="20"/>
  <c r="Q37" i="20" s="1"/>
  <c r="R37" i="20" s="1"/>
  <c r="U46" i="20"/>
  <c r="T105" i="20"/>
  <c r="P202" i="20"/>
  <c r="Q202" i="20" s="1"/>
  <c r="N153" i="20"/>
  <c r="P189" i="20"/>
  <c r="Q189" i="20" s="1"/>
  <c r="P150" i="20"/>
  <c r="Q150" i="20" s="1"/>
  <c r="P173" i="20"/>
  <c r="Q173" i="20" s="1"/>
  <c r="AL173" i="20" s="1"/>
  <c r="N14" i="20"/>
  <c r="AL14" i="20" s="1"/>
  <c r="N209" i="20"/>
  <c r="T91" i="20"/>
  <c r="T80" i="20"/>
  <c r="P162" i="20"/>
  <c r="Q162" i="20" s="1"/>
  <c r="P12" i="20"/>
  <c r="Q12" i="20" s="1"/>
  <c r="W12" i="20" s="1"/>
  <c r="AG12" i="20" s="1"/>
  <c r="P114" i="20"/>
  <c r="Q114" i="20" s="1"/>
  <c r="W114" i="20" s="1"/>
  <c r="P185" i="20"/>
  <c r="Q185" i="20" s="1"/>
  <c r="P208" i="20"/>
  <c r="Q208" i="20" s="1"/>
  <c r="P144" i="20"/>
  <c r="Q144" i="20" s="1"/>
  <c r="P119" i="20"/>
  <c r="Q119" i="20" s="1"/>
  <c r="AG119" i="20" s="1"/>
  <c r="P207" i="20"/>
  <c r="Q207" i="20" s="1"/>
  <c r="P157" i="20"/>
  <c r="Q157" i="20" s="1"/>
  <c r="AL157" i="20" s="1"/>
  <c r="T81" i="20"/>
  <c r="P22" i="20"/>
  <c r="Q22" i="20" s="1"/>
  <c r="AP108" i="20"/>
  <c r="N197" i="20"/>
  <c r="N203" i="20"/>
  <c r="O103" i="20"/>
  <c r="U103" i="20" s="1"/>
  <c r="AP103" i="20"/>
  <c r="U111" i="20"/>
  <c r="T104" i="20"/>
  <c r="AP112" i="20"/>
  <c r="N11" i="20"/>
  <c r="AL11" i="20" s="1"/>
  <c r="N174" i="20"/>
  <c r="O174" i="20" s="1"/>
  <c r="P125" i="20"/>
  <c r="Q125" i="20" s="1"/>
  <c r="T55" i="20"/>
  <c r="P28" i="20"/>
  <c r="Q28" i="20" s="1"/>
  <c r="O157" i="20"/>
  <c r="N27" i="20"/>
  <c r="AL27" i="20" s="1"/>
  <c r="T79" i="20"/>
  <c r="P9" i="20"/>
  <c r="P132" i="20"/>
  <c r="Q132" i="20" s="1"/>
  <c r="P106" i="20"/>
  <c r="Q106" i="20" s="1"/>
  <c r="R106" i="20" s="1"/>
  <c r="P18" i="20"/>
  <c r="Q18" i="20" s="1"/>
  <c r="T110" i="20"/>
  <c r="P110" i="20"/>
  <c r="Q110" i="20" s="1"/>
  <c r="N168" i="20"/>
  <c r="W168" i="20" s="1"/>
  <c r="T88" i="20"/>
  <c r="P200" i="20"/>
  <c r="Q200" i="20" s="1"/>
  <c r="P112" i="20"/>
  <c r="Q112" i="20" s="1"/>
  <c r="R112" i="20" s="1"/>
  <c r="O106" i="20"/>
  <c r="U106" i="20" s="1"/>
  <c r="P188" i="20"/>
  <c r="Q188" i="20" s="1"/>
  <c r="P113" i="20"/>
  <c r="Q113" i="20" s="1"/>
  <c r="R113" i="20" s="1"/>
  <c r="N120" i="20"/>
  <c r="AP105" i="20"/>
  <c r="P107" i="20"/>
  <c r="Q107" i="20" s="1"/>
  <c r="R107" i="20" s="1"/>
  <c r="O111" i="20"/>
  <c r="AP111" i="20"/>
  <c r="T103" i="20"/>
  <c r="P33" i="20"/>
  <c r="Q33" i="20" s="1"/>
  <c r="P130" i="20"/>
  <c r="Q130" i="20" s="1"/>
  <c r="AG130" i="20" s="1"/>
  <c r="N180" i="20"/>
  <c r="AL180" i="20" s="1"/>
  <c r="P104" i="20"/>
  <c r="Q104" i="20" s="1"/>
  <c r="R104" i="20" s="1"/>
  <c r="P40" i="20"/>
  <c r="Q40" i="20" s="1"/>
  <c r="P142" i="20"/>
  <c r="Q142" i="20" s="1"/>
  <c r="P29" i="20"/>
  <c r="Q29" i="20" s="1"/>
  <c r="N190" i="20"/>
  <c r="O190" i="20" s="1"/>
  <c r="N109" i="20"/>
  <c r="O109" i="20" s="1"/>
  <c r="N195" i="20"/>
  <c r="P145" i="20"/>
  <c r="Q145" i="20" s="1"/>
  <c r="P161" i="20"/>
  <c r="Q161" i="20" s="1"/>
  <c r="P16" i="20"/>
  <c r="Q16" i="20" s="1"/>
  <c r="AP16" i="20" s="1"/>
  <c r="T100" i="20"/>
  <c r="P23" i="20"/>
  <c r="Q23" i="20" s="1"/>
  <c r="P26" i="20"/>
  <c r="Q26" i="20" s="1"/>
  <c r="T63" i="20"/>
  <c r="N158" i="20"/>
  <c r="AL158" i="20" s="1"/>
  <c r="N127" i="20"/>
  <c r="AL127" i="20" s="1"/>
  <c r="N10" i="20"/>
  <c r="AL10" i="20" s="1"/>
  <c r="P124" i="20"/>
  <c r="Q124" i="20" s="1"/>
  <c r="P187" i="20"/>
  <c r="Q187" i="20" s="1"/>
  <c r="P115" i="20"/>
  <c r="Q115" i="20" s="1"/>
  <c r="P39" i="20"/>
  <c r="Q39" i="20" s="1"/>
  <c r="R39" i="20" s="1"/>
  <c r="P111" i="20"/>
  <c r="Q111" i="20" s="1"/>
  <c r="R111" i="20" s="1"/>
  <c r="T70" i="20"/>
  <c r="N126" i="20"/>
  <c r="AL126" i="20" s="1"/>
  <c r="N133" i="20"/>
  <c r="W133" i="20" s="1"/>
  <c r="N113" i="20"/>
  <c r="O113" i="20" s="1"/>
  <c r="U113" i="20" s="1"/>
  <c r="P156" i="20"/>
  <c r="Q156" i="20" s="1"/>
  <c r="T101" i="20"/>
  <c r="P20" i="20"/>
  <c r="Q20" i="20" s="1"/>
  <c r="T66" i="20"/>
  <c r="P43" i="20"/>
  <c r="Q43" i="20" s="1"/>
  <c r="R43" i="20" s="1"/>
  <c r="T72" i="20"/>
  <c r="N13" i="20"/>
  <c r="AL13" i="20" s="1"/>
  <c r="T71" i="20"/>
  <c r="P34" i="20"/>
  <c r="Q34" i="20" s="1"/>
  <c r="R34" i="20" s="1"/>
  <c r="P183" i="20"/>
  <c r="Q183" i="20" s="1"/>
  <c r="T67" i="20"/>
  <c r="P170" i="20"/>
  <c r="Q170" i="20" s="1"/>
  <c r="T78" i="20"/>
  <c r="T86" i="20"/>
  <c r="P137" i="20"/>
  <c r="Q137" i="20" s="1"/>
  <c r="N25" i="20"/>
  <c r="T75" i="20"/>
  <c r="P136" i="20"/>
  <c r="Q136" i="20" s="1"/>
  <c r="P134" i="20"/>
  <c r="Q134" i="20" s="1"/>
  <c r="N193" i="20"/>
  <c r="AL193" i="20" s="1"/>
  <c r="T102" i="20"/>
  <c r="T95" i="20"/>
  <c r="T82" i="20"/>
  <c r="T54" i="20"/>
  <c r="AU197" i="20"/>
  <c r="P92" i="20"/>
  <c r="Q92" i="20" s="1"/>
  <c r="R92" i="20" s="1"/>
  <c r="AP92" i="20" s="1"/>
  <c r="T92" i="20"/>
  <c r="O77" i="20"/>
  <c r="U77" i="20" s="1"/>
  <c r="T77" i="20"/>
  <c r="O62" i="20"/>
  <c r="U62" i="20" s="1"/>
  <c r="T62" i="20"/>
  <c r="P98" i="20"/>
  <c r="Q98" i="20" s="1"/>
  <c r="R98" i="20" s="1"/>
  <c r="T98" i="20"/>
  <c r="P90" i="20"/>
  <c r="Q90" i="20" s="1"/>
  <c r="R90" i="20" s="1"/>
  <c r="T90" i="20"/>
  <c r="O85" i="20"/>
  <c r="U85" i="20" s="1"/>
  <c r="T85" i="20"/>
  <c r="O74" i="20"/>
  <c r="U74" i="20" s="1"/>
  <c r="T74" i="20"/>
  <c r="P96" i="20"/>
  <c r="Q96" i="20" s="1"/>
  <c r="R96" i="20" s="1"/>
  <c r="T96" i="20"/>
  <c r="O73" i="20"/>
  <c r="U73" i="20" s="1"/>
  <c r="T73" i="20"/>
  <c r="P99" i="20"/>
  <c r="Q99" i="20" s="1"/>
  <c r="R99" i="20" s="1"/>
  <c r="T99" i="20"/>
  <c r="O53" i="20"/>
  <c r="U53" i="20" s="1"/>
  <c r="T53" i="20"/>
  <c r="O64" i="20"/>
  <c r="U64" i="20" s="1"/>
  <c r="T64" i="20"/>
  <c r="AL204" i="20"/>
  <c r="AL159" i="20"/>
  <c r="P97" i="20"/>
  <c r="Q97" i="20" s="1"/>
  <c r="R97" i="20" s="1"/>
  <c r="O87" i="20"/>
  <c r="U87" i="20" s="1"/>
  <c r="O84" i="20"/>
  <c r="U84" i="20" s="1"/>
  <c r="O83" i="20"/>
  <c r="U83" i="20" s="1"/>
  <c r="AL128" i="20"/>
  <c r="AL177" i="20"/>
  <c r="AU123" i="20"/>
  <c r="P100" i="20"/>
  <c r="Q100" i="20" s="1"/>
  <c r="R100" i="20" s="1"/>
  <c r="AL192" i="20"/>
  <c r="P95" i="20"/>
  <c r="Q95" i="20" s="1"/>
  <c r="R95" i="20" s="1"/>
  <c r="W206" i="20"/>
  <c r="P102" i="20"/>
  <c r="Q102" i="20" s="1"/>
  <c r="R102" i="20" s="1"/>
  <c r="AL169" i="20"/>
  <c r="P101" i="20"/>
  <c r="Q101" i="20" s="1"/>
  <c r="R101" i="20" s="1"/>
  <c r="AG129" i="20"/>
  <c r="O80" i="20"/>
  <c r="U80" i="20" s="1"/>
  <c r="AU141" i="20"/>
  <c r="AL160" i="20"/>
  <c r="O89" i="20"/>
  <c r="U89" i="20" s="1"/>
  <c r="O99" i="20"/>
  <c r="U99" i="20" s="1"/>
  <c r="O88" i="20"/>
  <c r="U88" i="20" s="1"/>
  <c r="O95" i="20"/>
  <c r="U95" i="20" s="1"/>
  <c r="O98" i="20"/>
  <c r="U98" i="20" s="1"/>
  <c r="P93" i="20"/>
  <c r="Q93" i="20" s="1"/>
  <c r="R93" i="20" s="1"/>
  <c r="P89" i="20"/>
  <c r="Q89" i="20" s="1"/>
  <c r="R89" i="20" s="1"/>
  <c r="P94" i="20"/>
  <c r="Q94" i="20" s="1"/>
  <c r="R94" i="20" s="1"/>
  <c r="P91" i="20"/>
  <c r="Q91" i="20" s="1"/>
  <c r="R91" i="20" s="1"/>
  <c r="AL166" i="20"/>
  <c r="AG139" i="20"/>
  <c r="W175" i="20"/>
  <c r="AL129" i="20"/>
  <c r="AL203" i="20"/>
  <c r="O48" i="20"/>
  <c r="U48" i="20" s="1"/>
  <c r="AL153" i="20"/>
  <c r="AG194" i="20"/>
  <c r="AU15" i="20"/>
  <c r="O65" i="20"/>
  <c r="U65" i="20" s="1"/>
  <c r="O71" i="20"/>
  <c r="U71" i="20" s="1"/>
  <c r="AL167" i="20"/>
  <c r="O63" i="20"/>
  <c r="U63" i="20" s="1"/>
  <c r="O61" i="20"/>
  <c r="U61" i="20" s="1"/>
  <c r="O50" i="20"/>
  <c r="U50" i="20" s="1"/>
  <c r="W198" i="20"/>
  <c r="AL174" i="20"/>
  <c r="AU120" i="20"/>
  <c r="AG155" i="20"/>
  <c r="O60" i="20"/>
  <c r="U60" i="20" s="1"/>
  <c r="O81" i="20"/>
  <c r="U81" i="20" s="1"/>
  <c r="AU117" i="20"/>
  <c r="AU19" i="20"/>
  <c r="AL191" i="20"/>
  <c r="W116" i="20"/>
  <c r="O47" i="20"/>
  <c r="U47" i="20" s="1"/>
  <c r="O38" i="20"/>
  <c r="W38" i="20" s="1"/>
  <c r="AG38" i="20" s="1"/>
  <c r="AG181" i="20"/>
  <c r="O176" i="20"/>
  <c r="S176" i="20" s="1"/>
  <c r="AL147" i="20"/>
  <c r="W181" i="20"/>
  <c r="O27" i="21"/>
  <c r="U27" i="21" s="1"/>
  <c r="P27" i="21"/>
  <c r="O56" i="21"/>
  <c r="U56" i="21" s="1"/>
  <c r="P56" i="21"/>
  <c r="O53" i="21"/>
  <c r="U53" i="21" s="1"/>
  <c r="P53" i="21"/>
  <c r="O25" i="21"/>
  <c r="U25" i="21" s="1"/>
  <c r="P25" i="21"/>
  <c r="P97" i="21"/>
  <c r="P103" i="21"/>
  <c r="O22" i="21"/>
  <c r="U22" i="21" s="1"/>
  <c r="P22" i="21"/>
  <c r="O99" i="21"/>
  <c r="U99" i="21" s="1"/>
  <c r="O73" i="21"/>
  <c r="U73" i="21" s="1"/>
  <c r="P73" i="21"/>
  <c r="O65" i="21"/>
  <c r="U65" i="21" s="1"/>
  <c r="P65" i="21"/>
  <c r="O49" i="21"/>
  <c r="U49" i="21" s="1"/>
  <c r="P49" i="21"/>
  <c r="P20" i="21"/>
  <c r="P11" i="21"/>
  <c r="O11" i="21"/>
  <c r="U11" i="21" s="1"/>
  <c r="O102" i="21"/>
  <c r="U102" i="21" s="1"/>
  <c r="P102" i="21"/>
  <c r="O37" i="21"/>
  <c r="U37" i="21" s="1"/>
  <c r="P37" i="21"/>
  <c r="O86" i="21"/>
  <c r="U86" i="21" s="1"/>
  <c r="P86" i="21"/>
  <c r="O83" i="21"/>
  <c r="U83" i="21" s="1"/>
  <c r="P83" i="21"/>
  <c r="P109" i="21"/>
  <c r="O104" i="21"/>
  <c r="U104" i="21" s="1"/>
  <c r="P104" i="21"/>
  <c r="O63" i="21"/>
  <c r="U63" i="21" s="1"/>
  <c r="P63" i="21"/>
  <c r="O45" i="21"/>
  <c r="U45" i="21" s="1"/>
  <c r="P45" i="21"/>
  <c r="O95" i="21"/>
  <c r="U95" i="21" s="1"/>
  <c r="O97" i="21"/>
  <c r="U97" i="21" s="1"/>
  <c r="O64" i="21"/>
  <c r="U64" i="21" s="1"/>
  <c r="P64" i="21"/>
  <c r="O76" i="21"/>
  <c r="U76" i="21" s="1"/>
  <c r="P76" i="21"/>
  <c r="P40" i="21"/>
  <c r="O15" i="21"/>
  <c r="U15" i="21" s="1"/>
  <c r="O46" i="21"/>
  <c r="U46" i="21" s="1"/>
  <c r="O79" i="21"/>
  <c r="U79" i="21" s="1"/>
  <c r="P79" i="21"/>
  <c r="O20" i="21"/>
  <c r="U20" i="21" s="1"/>
  <c r="O74" i="21"/>
  <c r="U74" i="21" s="1"/>
  <c r="P74" i="21"/>
  <c r="O42" i="21"/>
  <c r="U42" i="21" s="1"/>
  <c r="O57" i="21"/>
  <c r="U57" i="21" s="1"/>
  <c r="P57" i="21"/>
  <c r="P44" i="21"/>
  <c r="AU189" i="20"/>
  <c r="AG172" i="20"/>
  <c r="AG169" i="20"/>
  <c r="P95" i="21"/>
  <c r="O69" i="21"/>
  <c r="U69" i="21" s="1"/>
  <c r="P69" i="21"/>
  <c r="O58" i="21"/>
  <c r="U58" i="21" s="1"/>
  <c r="P58" i="21"/>
  <c r="O26" i="21"/>
  <c r="U26" i="21" s="1"/>
  <c r="P26" i="21"/>
  <c r="O71" i="21"/>
  <c r="U71" i="21" s="1"/>
  <c r="P71" i="21"/>
  <c r="O103" i="21"/>
  <c r="U103" i="21" s="1"/>
  <c r="O72" i="21"/>
  <c r="U72" i="21" s="1"/>
  <c r="P72" i="21"/>
  <c r="O91" i="21"/>
  <c r="U91" i="21" s="1"/>
  <c r="P91" i="21"/>
  <c r="O82" i="21"/>
  <c r="U82" i="21" s="1"/>
  <c r="P82" i="21"/>
  <c r="O12" i="21"/>
  <c r="U12" i="21" s="1"/>
  <c r="P12" i="21"/>
  <c r="P93" i="21"/>
  <c r="O107" i="21"/>
  <c r="U107" i="21" s="1"/>
  <c r="O62" i="21"/>
  <c r="U62" i="21" s="1"/>
  <c r="P62" i="21"/>
  <c r="O168" i="20"/>
  <c r="W172" i="20"/>
  <c r="AG162" i="20"/>
  <c r="O51" i="21"/>
  <c r="U51" i="21" s="1"/>
  <c r="P51" i="21"/>
  <c r="O94" i="21"/>
  <c r="U94" i="21" s="1"/>
  <c r="P94" i="21"/>
  <c r="O92" i="21"/>
  <c r="U92" i="21" s="1"/>
  <c r="P92" i="21"/>
  <c r="O43" i="21"/>
  <c r="U43" i="21" s="1"/>
  <c r="P43" i="21"/>
  <c r="O18" i="21"/>
  <c r="U18" i="21" s="1"/>
  <c r="P18" i="21"/>
  <c r="O87" i="21"/>
  <c r="U87" i="21" s="1"/>
  <c r="P87" i="21"/>
  <c r="O105" i="21"/>
  <c r="U105" i="21" s="1"/>
  <c r="O47" i="21"/>
  <c r="U47" i="21" s="1"/>
  <c r="P47" i="21"/>
  <c r="O40" i="21"/>
  <c r="U40" i="21" s="1"/>
  <c r="P54" i="21"/>
  <c r="O54" i="21"/>
  <c r="U54" i="21" s="1"/>
  <c r="O85" i="21"/>
  <c r="U85" i="21" s="1"/>
  <c r="P85" i="21"/>
  <c r="P15" i="21"/>
  <c r="O106" i="21"/>
  <c r="U106" i="21" s="1"/>
  <c r="P106" i="21"/>
  <c r="P32" i="21"/>
  <c r="O29" i="21"/>
  <c r="U29" i="21" s="1"/>
  <c r="P29" i="21"/>
  <c r="P31" i="21"/>
  <c r="W200" i="20"/>
  <c r="AG158" i="20"/>
  <c r="O84" i="21"/>
  <c r="U84" i="21" s="1"/>
  <c r="P84" i="21"/>
  <c r="O109" i="21"/>
  <c r="U109" i="21" s="1"/>
  <c r="O41" i="21"/>
  <c r="U41" i="21" s="1"/>
  <c r="P41" i="21"/>
  <c r="O10" i="21"/>
  <c r="U10" i="21" s="1"/>
  <c r="P10" i="21"/>
  <c r="O100" i="21"/>
  <c r="U100" i="21" s="1"/>
  <c r="P100" i="21"/>
  <c r="P34" i="21"/>
  <c r="O33" i="21"/>
  <c r="U33" i="21" s="1"/>
  <c r="P33" i="21"/>
  <c r="O70" i="21"/>
  <c r="U70" i="21" s="1"/>
  <c r="P70" i="21"/>
  <c r="O80" i="21"/>
  <c r="U80" i="21" s="1"/>
  <c r="P80" i="21"/>
  <c r="O36" i="21"/>
  <c r="U36" i="21" s="1"/>
  <c r="O9" i="21"/>
  <c r="U9" i="21" s="1"/>
  <c r="P9" i="21"/>
  <c r="P101" i="21"/>
  <c r="O52" i="21"/>
  <c r="U52" i="21" s="1"/>
  <c r="P52" i="21"/>
  <c r="O101" i="21"/>
  <c r="U101" i="21" s="1"/>
  <c r="O90" i="21"/>
  <c r="U90" i="21" s="1"/>
  <c r="P90" i="21"/>
  <c r="O16" i="21"/>
  <c r="U16" i="21" s="1"/>
  <c r="P16" i="21"/>
  <c r="O32" i="21"/>
  <c r="U32" i="21" s="1"/>
  <c r="P42" i="21"/>
  <c r="O96" i="21"/>
  <c r="U96" i="21" s="1"/>
  <c r="P96" i="21"/>
  <c r="O30" i="21"/>
  <c r="U30" i="21" s="1"/>
  <c r="P30" i="21"/>
  <c r="Q30" i="21" s="1"/>
  <c r="R30" i="21" s="1"/>
  <c r="V30" i="21" s="1"/>
  <c r="AJ30" i="21" s="1"/>
  <c r="P99" i="21"/>
  <c r="O88" i="21"/>
  <c r="U88" i="21" s="1"/>
  <c r="P88" i="21"/>
  <c r="P105" i="21"/>
  <c r="O17" i="21"/>
  <c r="U17" i="21" s="1"/>
  <c r="P17" i="21"/>
  <c r="P46" i="21"/>
  <c r="O35" i="21"/>
  <c r="U35" i="21" s="1"/>
  <c r="P35" i="21"/>
  <c r="O31" i="21"/>
  <c r="U31" i="21" s="1"/>
  <c r="P13" i="21"/>
  <c r="O93" i="21"/>
  <c r="U93" i="21" s="1"/>
  <c r="AL199" i="20"/>
  <c r="AG180" i="20"/>
  <c r="O66" i="21"/>
  <c r="U66" i="21" s="1"/>
  <c r="P66" i="21"/>
  <c r="O21" i="21"/>
  <c r="U21" i="21" s="1"/>
  <c r="P21" i="21"/>
  <c r="O44" i="21"/>
  <c r="U44" i="21" s="1"/>
  <c r="O67" i="21"/>
  <c r="U67" i="21" s="1"/>
  <c r="P67" i="21"/>
  <c r="O98" i="21"/>
  <c r="U98" i="21" s="1"/>
  <c r="P98" i="21"/>
  <c r="O61" i="21"/>
  <c r="U61" i="21" s="1"/>
  <c r="P61" i="21"/>
  <c r="O81" i="21"/>
  <c r="U81" i="21" s="1"/>
  <c r="P81" i="21"/>
  <c r="O14" i="21"/>
  <c r="U14" i="21" s="1"/>
  <c r="P14" i="21"/>
  <c r="P38" i="21"/>
  <c r="P107" i="21"/>
  <c r="P36" i="21"/>
  <c r="O60" i="21"/>
  <c r="U60" i="21" s="1"/>
  <c r="P60" i="21"/>
  <c r="O55" i="21"/>
  <c r="U55" i="21" s="1"/>
  <c r="P55" i="21"/>
  <c r="O77" i="21"/>
  <c r="U77" i="21" s="1"/>
  <c r="P77" i="21"/>
  <c r="O13" i="21"/>
  <c r="U13" i="21" s="1"/>
  <c r="P78" i="21"/>
  <c r="AL140" i="20"/>
  <c r="AG157" i="20"/>
  <c r="AP15" i="20"/>
  <c r="AU130" i="20"/>
  <c r="AU138" i="20"/>
  <c r="W178" i="20"/>
  <c r="O59" i="21"/>
  <c r="U59" i="21" s="1"/>
  <c r="P59" i="21"/>
  <c r="O50" i="21"/>
  <c r="U50" i="21" s="1"/>
  <c r="P50" i="21"/>
  <c r="O23" i="21"/>
  <c r="U23" i="21" s="1"/>
  <c r="P23" i="21"/>
  <c r="O108" i="21"/>
  <c r="U108" i="21" s="1"/>
  <c r="P108" i="21"/>
  <c r="O68" i="21"/>
  <c r="U68" i="21" s="1"/>
  <c r="P68" i="21"/>
  <c r="O24" i="21"/>
  <c r="U24" i="21" s="1"/>
  <c r="P24" i="21"/>
  <c r="O75" i="21"/>
  <c r="U75" i="21" s="1"/>
  <c r="P75" i="21"/>
  <c r="O34" i="21"/>
  <c r="U34" i="21" s="1"/>
  <c r="P19" i="21"/>
  <c r="O28" i="21"/>
  <c r="U28" i="21" s="1"/>
  <c r="P28" i="21"/>
  <c r="O19" i="21"/>
  <c r="U19" i="21" s="1"/>
  <c r="O48" i="21"/>
  <c r="U48" i="21" s="1"/>
  <c r="P48" i="21"/>
  <c r="O38" i="21"/>
  <c r="U38" i="21" s="1"/>
  <c r="O89" i="21"/>
  <c r="U89" i="21" s="1"/>
  <c r="P89" i="21"/>
  <c r="O39" i="21"/>
  <c r="U39" i="21" s="1"/>
  <c r="P39" i="21"/>
  <c r="O78" i="21"/>
  <c r="U78" i="21" s="1"/>
  <c r="O55" i="20"/>
  <c r="U55" i="20" s="1"/>
  <c r="AL179" i="20"/>
  <c r="AG184" i="20"/>
  <c r="AG175" i="20"/>
  <c r="AP29" i="20"/>
  <c r="AU122" i="20"/>
  <c r="AV122" i="20" s="1"/>
  <c r="AX122" i="20" s="1"/>
  <c r="BU122" i="20" s="1"/>
  <c r="W151" i="20"/>
  <c r="AG174" i="20"/>
  <c r="AU31" i="20"/>
  <c r="AU196" i="20"/>
  <c r="O45" i="20"/>
  <c r="U45" i="20" s="1"/>
  <c r="AG195" i="20"/>
  <c r="AU17" i="20"/>
  <c r="AU21" i="20"/>
  <c r="AL184" i="20"/>
  <c r="O66" i="20"/>
  <c r="U66" i="20" s="1"/>
  <c r="O72" i="20"/>
  <c r="U72" i="20" s="1"/>
  <c r="AG182" i="20"/>
  <c r="O101" i="20"/>
  <c r="U101" i="20" s="1"/>
  <c r="AL182" i="20"/>
  <c r="AL131" i="20"/>
  <c r="AL175" i="20"/>
  <c r="O57" i="20"/>
  <c r="U57" i="20" s="1"/>
  <c r="AG126" i="20"/>
  <c r="AP34" i="20"/>
  <c r="AL195" i="20"/>
  <c r="AP27" i="20"/>
  <c r="AP42" i="20"/>
  <c r="AU201" i="20"/>
  <c r="AU28" i="20"/>
  <c r="W32" i="20"/>
  <c r="AG32" i="20" s="1"/>
  <c r="AL186" i="20"/>
  <c r="W173" i="20"/>
  <c r="AU140" i="20"/>
  <c r="AG99" i="20"/>
  <c r="AG117" i="20"/>
  <c r="O78" i="20"/>
  <c r="U78" i="20" s="1"/>
  <c r="AU149" i="20"/>
  <c r="AP12" i="20"/>
  <c r="O54" i="20"/>
  <c r="U54" i="20" s="1"/>
  <c r="O82" i="20"/>
  <c r="U82" i="20" s="1"/>
  <c r="O70" i="20"/>
  <c r="U70" i="20" s="1"/>
  <c r="AU200" i="20"/>
  <c r="W123" i="20"/>
  <c r="AG133" i="20"/>
  <c r="AU178" i="20"/>
  <c r="AP13" i="20"/>
  <c r="AP35" i="20"/>
  <c r="N44" i="20"/>
  <c r="AG185" i="20"/>
  <c r="AL172" i="20"/>
  <c r="AG147" i="20"/>
  <c r="W138" i="20"/>
  <c r="AL148" i="20"/>
  <c r="AP17" i="20"/>
  <c r="AG153" i="20"/>
  <c r="AG104" i="20"/>
  <c r="O86" i="20"/>
  <c r="U86" i="20" s="1"/>
  <c r="O28" i="20"/>
  <c r="O67" i="20"/>
  <c r="U67" i="20" s="1"/>
  <c r="O140" i="20"/>
  <c r="O159" i="20"/>
  <c r="AU27" i="20"/>
  <c r="AG105" i="20"/>
  <c r="W15" i="20"/>
  <c r="AG15" i="20" s="1"/>
  <c r="AU175" i="20"/>
  <c r="W117" i="20"/>
  <c r="AG193" i="20"/>
  <c r="AL141" i="20"/>
  <c r="AU144" i="20"/>
  <c r="W19" i="20"/>
  <c r="AG19" i="20" s="1"/>
  <c r="AU127" i="20"/>
  <c r="AP33" i="20"/>
  <c r="W165" i="20"/>
  <c r="W160" i="20"/>
  <c r="AL149" i="20"/>
  <c r="W103" i="20"/>
  <c r="AU18" i="20"/>
  <c r="W196" i="20"/>
  <c r="O22" i="20"/>
  <c r="O56" i="20"/>
  <c r="U56" i="20" s="1"/>
  <c r="O141" i="20"/>
  <c r="O69" i="20"/>
  <c r="U69" i="20" s="1"/>
  <c r="O52" i="20"/>
  <c r="U52" i="20" s="1"/>
  <c r="AL209" i="20"/>
  <c r="W155" i="20"/>
  <c r="AU157" i="20"/>
  <c r="AL143" i="20"/>
  <c r="N68" i="20"/>
  <c r="AU126" i="20"/>
  <c r="AL139" i="20"/>
  <c r="AU166" i="20"/>
  <c r="AG122" i="20"/>
  <c r="AG144" i="20"/>
  <c r="W149" i="20"/>
  <c r="W22" i="20"/>
  <c r="AG22" i="20" s="1"/>
  <c r="AL135" i="20"/>
  <c r="O58" i="20"/>
  <c r="U58" i="20" s="1"/>
  <c r="AG148" i="20"/>
  <c r="O31" i="20"/>
  <c r="O166" i="20"/>
  <c r="AU24" i="20"/>
  <c r="AU30" i="20"/>
  <c r="W189" i="20"/>
  <c r="W176" i="20"/>
  <c r="AU191" i="20"/>
  <c r="W166" i="20"/>
  <c r="W122" i="20"/>
  <c r="AL197" i="20"/>
  <c r="AU174" i="20"/>
  <c r="AG196" i="20"/>
  <c r="W21" i="20"/>
  <c r="AG21" i="20" s="1"/>
  <c r="O197" i="20"/>
  <c r="O122" i="20"/>
  <c r="O191" i="20"/>
  <c r="O208" i="20"/>
  <c r="O79" i="20"/>
  <c r="U79" i="20" s="1"/>
  <c r="O165" i="20"/>
  <c r="AU38" i="20"/>
  <c r="AU172" i="20"/>
  <c r="W130" i="20"/>
  <c r="AL154" i="20"/>
  <c r="AG165" i="20"/>
  <c r="AU167" i="20"/>
  <c r="W162" i="20"/>
  <c r="N76" i="20"/>
  <c r="T76" i="20" s="1"/>
  <c r="AG203" i="20"/>
  <c r="W197" i="20"/>
  <c r="AU169" i="20"/>
  <c r="AP41" i="20"/>
  <c r="AP38" i="20"/>
  <c r="W194" i="20"/>
  <c r="AG209" i="20"/>
  <c r="AL196" i="20"/>
  <c r="O152" i="20"/>
  <c r="AL152" i="20"/>
  <c r="W30" i="20"/>
  <c r="AG30" i="20" s="1"/>
  <c r="W143" i="20"/>
  <c r="AG118" i="20"/>
  <c r="W145" i="20"/>
  <c r="AU181" i="20"/>
  <c r="P73" i="20"/>
  <c r="Q73" i="20" s="1"/>
  <c r="R73" i="20" s="1"/>
  <c r="AG73" i="20" s="1"/>
  <c r="P52" i="20"/>
  <c r="Q52" i="20" s="1"/>
  <c r="R52" i="20" s="1"/>
  <c r="W141" i="20"/>
  <c r="W120" i="20"/>
  <c r="W131" i="20"/>
  <c r="AU203" i="20"/>
  <c r="AU148" i="20"/>
  <c r="W199" i="20"/>
  <c r="P78" i="20"/>
  <c r="Q78" i="20" s="1"/>
  <c r="R78" i="20" s="1"/>
  <c r="W209" i="20"/>
  <c r="P87" i="20"/>
  <c r="Q87" i="20" s="1"/>
  <c r="R87" i="20" s="1"/>
  <c r="AU180" i="20"/>
  <c r="W177" i="20"/>
  <c r="AU168" i="20"/>
  <c r="W134" i="20"/>
  <c r="P45" i="20"/>
  <c r="Q45" i="20" s="1"/>
  <c r="R45" i="20" s="1"/>
  <c r="AU32" i="20"/>
  <c r="AU155" i="20"/>
  <c r="AP30" i="20"/>
  <c r="AG200" i="20"/>
  <c r="W157" i="20"/>
  <c r="AL205" i="20"/>
  <c r="AL119" i="20"/>
  <c r="P49" i="20"/>
  <c r="Q49" i="20" s="1"/>
  <c r="R49" i="20" s="1"/>
  <c r="W118" i="20"/>
  <c r="AG145" i="20"/>
  <c r="P67" i="20"/>
  <c r="Q67" i="20" s="1"/>
  <c r="R67" i="20" s="1"/>
  <c r="W126" i="20"/>
  <c r="AG141" i="20"/>
  <c r="P84" i="20"/>
  <c r="Q84" i="20" s="1"/>
  <c r="R84" i="20" s="1"/>
  <c r="AU131" i="20"/>
  <c r="AU151" i="20"/>
  <c r="W174" i="20"/>
  <c r="AL103" i="20"/>
  <c r="AU173" i="20"/>
  <c r="AU194" i="20"/>
  <c r="AU159" i="20"/>
  <c r="AU209" i="20"/>
  <c r="AU103" i="20"/>
  <c r="P50" i="20"/>
  <c r="Q50" i="20" s="1"/>
  <c r="R50" i="20" s="1"/>
  <c r="AG177" i="20"/>
  <c r="P61" i="20"/>
  <c r="Q61" i="20" s="1"/>
  <c r="R61" i="20" s="1"/>
  <c r="P70" i="20"/>
  <c r="Q70" i="20" s="1"/>
  <c r="R70" i="20" s="1"/>
  <c r="AP43" i="20"/>
  <c r="W24" i="20"/>
  <c r="AG24" i="20" s="1"/>
  <c r="AG179" i="20"/>
  <c r="P83" i="20"/>
  <c r="Q83" i="20" s="1"/>
  <c r="R83" i="20" s="1"/>
  <c r="O201" i="20"/>
  <c r="S201" i="20" s="1"/>
  <c r="AL201" i="20"/>
  <c r="P48" i="20"/>
  <c r="Q48" i="20" s="1"/>
  <c r="R48" i="20" s="1"/>
  <c r="AU205" i="20"/>
  <c r="P53" i="20"/>
  <c r="Q53" i="20" s="1"/>
  <c r="R53" i="20" s="1"/>
  <c r="P75" i="20"/>
  <c r="Q75" i="20" s="1"/>
  <c r="R75" i="20" s="1"/>
  <c r="P56" i="20"/>
  <c r="Q56" i="20" s="1"/>
  <c r="R56" i="20" s="1"/>
  <c r="W159" i="20"/>
  <c r="AU202" i="20"/>
  <c r="AU154" i="20"/>
  <c r="AL185" i="20"/>
  <c r="AL198" i="20"/>
  <c r="AG164" i="20"/>
  <c r="P64" i="20"/>
  <c r="Q64" i="20" s="1"/>
  <c r="R64" i="20" s="1"/>
  <c r="W140" i="20"/>
  <c r="AL200" i="20"/>
  <c r="W205" i="20"/>
  <c r="AU198" i="20"/>
  <c r="AL118" i="20"/>
  <c r="AU158" i="20"/>
  <c r="P77" i="20"/>
  <c r="Q77" i="20" s="1"/>
  <c r="R77" i="20" s="1"/>
  <c r="AL130" i="20"/>
  <c r="W191" i="20"/>
  <c r="AG138" i="20"/>
  <c r="AG98" i="20"/>
  <c r="AL122" i="20"/>
  <c r="W139" i="20"/>
  <c r="P63" i="20"/>
  <c r="Q63" i="20" s="1"/>
  <c r="R63" i="20" s="1"/>
  <c r="AG197" i="20"/>
  <c r="AG151" i="20"/>
  <c r="P86" i="20"/>
  <c r="Q86" i="20" s="1"/>
  <c r="R86" i="20" s="1"/>
  <c r="AU106" i="20"/>
  <c r="AP37" i="20"/>
  <c r="AG149" i="20"/>
  <c r="AG173" i="20"/>
  <c r="AG123" i="20"/>
  <c r="AL194" i="20"/>
  <c r="AG159" i="20"/>
  <c r="AH159" i="20" s="1"/>
  <c r="AG103" i="20"/>
  <c r="AG178" i="20"/>
  <c r="AG128" i="20"/>
  <c r="W25" i="20"/>
  <c r="AG25" i="20" s="1"/>
  <c r="AU12" i="20"/>
  <c r="AP11" i="20"/>
  <c r="AP21" i="20"/>
  <c r="AG116" i="20"/>
  <c r="AU206" i="20"/>
  <c r="W179" i="20"/>
  <c r="AL123" i="20"/>
  <c r="P57" i="20"/>
  <c r="Q57" i="20" s="1"/>
  <c r="R57" i="20" s="1"/>
  <c r="AG140" i="20"/>
  <c r="AG176" i="20"/>
  <c r="AG205" i="20"/>
  <c r="AG198" i="20"/>
  <c r="AP28" i="20"/>
  <c r="W158" i="20"/>
  <c r="AL117" i="20"/>
  <c r="W147" i="20"/>
  <c r="AG191" i="20"/>
  <c r="AL138" i="20"/>
  <c r="AU190" i="20"/>
  <c r="P51" i="20"/>
  <c r="Q51" i="20" s="1"/>
  <c r="R51" i="20" s="1"/>
  <c r="AU139" i="20"/>
  <c r="AU165" i="20"/>
  <c r="AL125" i="20"/>
  <c r="AL162" i="20"/>
  <c r="W27" i="20"/>
  <c r="AG27" i="20" s="1"/>
  <c r="AG160" i="20"/>
  <c r="AL151" i="20"/>
  <c r="AG106" i="20"/>
  <c r="P55" i="20"/>
  <c r="Q55" i="20" s="1"/>
  <c r="R55" i="20" s="1"/>
  <c r="AU153" i="20"/>
  <c r="P47" i="20"/>
  <c r="Q47" i="20" s="1"/>
  <c r="R47" i="20" s="1"/>
  <c r="AP26" i="20"/>
  <c r="AL178" i="20"/>
  <c r="W128" i="20"/>
  <c r="AG114" i="20"/>
  <c r="AP25" i="20"/>
  <c r="AP22" i="20"/>
  <c r="P66" i="20"/>
  <c r="Q66" i="20" s="1"/>
  <c r="R66" i="20" s="1"/>
  <c r="W11" i="20"/>
  <c r="AG11" i="20" s="1"/>
  <c r="W152" i="20"/>
  <c r="AU179" i="20"/>
  <c r="AG136" i="20"/>
  <c r="O125" i="20"/>
  <c r="O102" i="20"/>
  <c r="U102" i="20" s="1"/>
  <c r="O134" i="20"/>
  <c r="O75" i="20"/>
  <c r="U75" i="20" s="1"/>
  <c r="AL145" i="20"/>
  <c r="AL120" i="20"/>
  <c r="P74" i="20"/>
  <c r="Q74" i="20" s="1"/>
  <c r="R74" i="20" s="1"/>
  <c r="AL189" i="20"/>
  <c r="P58" i="20"/>
  <c r="Q58" i="20" s="1"/>
  <c r="R58" i="20" s="1"/>
  <c r="AU147" i="20"/>
  <c r="P71" i="20"/>
  <c r="Q71" i="20" s="1"/>
  <c r="R71" i="20" s="1"/>
  <c r="W190" i="20"/>
  <c r="P85" i="20"/>
  <c r="Q85" i="20" s="1"/>
  <c r="R85" i="20" s="1"/>
  <c r="AU125" i="20"/>
  <c r="W163" i="20"/>
  <c r="P72" i="20"/>
  <c r="Q72" i="20" s="1"/>
  <c r="R72" i="20" s="1"/>
  <c r="P62" i="20"/>
  <c r="Q62" i="20" s="1"/>
  <c r="R62" i="20" s="1"/>
  <c r="W17" i="20"/>
  <c r="AG17" i="20" s="1"/>
  <c r="P54" i="20"/>
  <c r="Q54" i="20" s="1"/>
  <c r="R54" i="20" s="1"/>
  <c r="W153" i="20"/>
  <c r="W186" i="20"/>
  <c r="AU128" i="20"/>
  <c r="W204" i="20"/>
  <c r="AU182" i="20"/>
  <c r="W31" i="20"/>
  <c r="AG31" i="20" s="1"/>
  <c r="AL168" i="20"/>
  <c r="AU152" i="20"/>
  <c r="AG121" i="20"/>
  <c r="AG206" i="20"/>
  <c r="AU135" i="20"/>
  <c r="O128" i="20"/>
  <c r="O59" i="20"/>
  <c r="U59" i="20" s="1"/>
  <c r="O9" i="20"/>
  <c r="W185" i="20"/>
  <c r="P59" i="20"/>
  <c r="Q59" i="20" s="1"/>
  <c r="R59" i="20" s="1"/>
  <c r="AU176" i="20"/>
  <c r="W16" i="20"/>
  <c r="AG16" i="20" s="1"/>
  <c r="AU119" i="20"/>
  <c r="W184" i="20"/>
  <c r="W201" i="20"/>
  <c r="X201" i="20" s="1"/>
  <c r="W154" i="20"/>
  <c r="P60" i="20"/>
  <c r="Q60" i="20" s="1"/>
  <c r="R60" i="20" s="1"/>
  <c r="W167" i="20"/>
  <c r="AU163" i="20"/>
  <c r="AU160" i="20"/>
  <c r="AL106" i="20"/>
  <c r="AU129" i="20"/>
  <c r="W23" i="20"/>
  <c r="AG23" i="20" s="1"/>
  <c r="AU186" i="20"/>
  <c r="AU133" i="20"/>
  <c r="AG108" i="20"/>
  <c r="W26" i="20"/>
  <c r="AG26" i="20" s="1"/>
  <c r="W127" i="20"/>
  <c r="AU204" i="20"/>
  <c r="W182" i="20"/>
  <c r="AG168" i="20"/>
  <c r="P88" i="20"/>
  <c r="Q88" i="20" s="1"/>
  <c r="R88" i="20" s="1"/>
  <c r="AU116" i="20"/>
  <c r="W135" i="20"/>
  <c r="AU195" i="20"/>
  <c r="O171" i="20"/>
  <c r="O206" i="20"/>
  <c r="AL206" i="20"/>
  <c r="AU137" i="20"/>
  <c r="AU185" i="20"/>
  <c r="P79" i="20"/>
  <c r="Q79" i="20" s="1"/>
  <c r="R79" i="20" s="1"/>
  <c r="AG189" i="20"/>
  <c r="P69" i="20"/>
  <c r="Q69" i="20" s="1"/>
  <c r="R69" i="20" s="1"/>
  <c r="AU16" i="20"/>
  <c r="AU183" i="20"/>
  <c r="W119" i="20"/>
  <c r="AU184" i="20"/>
  <c r="AG201" i="20"/>
  <c r="AU118" i="20"/>
  <c r="AU145" i="20"/>
  <c r="AL181" i="20"/>
  <c r="Q9" i="20"/>
  <c r="AP9" i="20" s="1"/>
  <c r="AU33" i="20"/>
  <c r="AG154" i="20"/>
  <c r="AG190" i="20"/>
  <c r="AP32" i="20"/>
  <c r="AG120" i="20"/>
  <c r="W144" i="20"/>
  <c r="AL165" i="20"/>
  <c r="AG125" i="20"/>
  <c r="AG167" i="20"/>
  <c r="AG163" i="20"/>
  <c r="AP19" i="20"/>
  <c r="W203" i="20"/>
  <c r="W148" i="20"/>
  <c r="P65" i="20"/>
  <c r="Q65" i="20" s="1"/>
  <c r="R65" i="20" s="1"/>
  <c r="AU199" i="20"/>
  <c r="P82" i="20"/>
  <c r="Q82" i="20" s="1"/>
  <c r="R82" i="20" s="1"/>
  <c r="P46" i="20"/>
  <c r="Q46" i="20" s="1"/>
  <c r="R46" i="20" s="1"/>
  <c r="W169" i="20"/>
  <c r="W14" i="20"/>
  <c r="AG14" i="20" s="1"/>
  <c r="W129" i="20"/>
  <c r="AG186" i="20"/>
  <c r="W188" i="20"/>
  <c r="P80" i="20"/>
  <c r="Q80" i="20" s="1"/>
  <c r="R80" i="20" s="1"/>
  <c r="AU26" i="20"/>
  <c r="AG127" i="20"/>
  <c r="W180" i="20"/>
  <c r="AG204" i="20"/>
  <c r="AU177" i="20"/>
  <c r="AP31" i="20"/>
  <c r="AG152" i="20"/>
  <c r="P81" i="20"/>
  <c r="Q81" i="20" s="1"/>
  <c r="R81" i="20" s="1"/>
  <c r="AL116" i="20"/>
  <c r="AP36" i="20"/>
  <c r="AG135" i="20"/>
  <c r="W195" i="20"/>
  <c r="AL144" i="20"/>
  <c r="V141" i="20"/>
  <c r="V200" i="20"/>
  <c r="AD200" i="20" s="1"/>
  <c r="AE200" i="20" s="1"/>
  <c r="AF200" i="20" s="1"/>
  <c r="V155" i="20"/>
  <c r="V125" i="20"/>
  <c r="AD125" i="20" s="1"/>
  <c r="AE125" i="20" s="1"/>
  <c r="AF125" i="20" s="1"/>
  <c r="V190" i="20"/>
  <c r="V99" i="20"/>
  <c r="V193" i="20"/>
  <c r="AD193" i="20" s="1"/>
  <c r="AE193" i="20" s="1"/>
  <c r="AF193" i="20" s="1"/>
  <c r="O167" i="20"/>
  <c r="O198" i="20"/>
  <c r="O139" i="20"/>
  <c r="O163" i="20"/>
  <c r="O169" i="20"/>
  <c r="O16" i="20"/>
  <c r="V21" i="20"/>
  <c r="O118" i="20"/>
  <c r="O51" i="20"/>
  <c r="U51" i="20" s="1"/>
  <c r="O127" i="20"/>
  <c r="O105" i="20"/>
  <c r="W105" i="20" s="1"/>
  <c r="O131" i="20"/>
  <c r="S131" i="20" s="1"/>
  <c r="O142" i="20"/>
  <c r="O192" i="20"/>
  <c r="V197" i="20"/>
  <c r="AN197" i="20" s="1"/>
  <c r="O17" i="20"/>
  <c r="O196" i="20"/>
  <c r="O189" i="20"/>
  <c r="O181" i="20"/>
  <c r="O93" i="20"/>
  <c r="U93" i="20" s="1"/>
  <c r="O151" i="20"/>
  <c r="O199" i="20"/>
  <c r="O90" i="20"/>
  <c r="U90" i="20" s="1"/>
  <c r="O162" i="20"/>
  <c r="AQ162" i="20" s="1"/>
  <c r="AT162" i="20" s="1"/>
  <c r="BT162" i="20" s="1"/>
  <c r="O24" i="20"/>
  <c r="V196" i="20"/>
  <c r="O130" i="20"/>
  <c r="O160" i="20"/>
  <c r="O117" i="20"/>
  <c r="O164" i="20"/>
  <c r="O178" i="20"/>
  <c r="O149" i="20"/>
  <c r="O14" i="20"/>
  <c r="O138" i="20"/>
  <c r="O204" i="20"/>
  <c r="O137" i="20"/>
  <c r="V10" i="20"/>
  <c r="O182" i="20"/>
  <c r="O91" i="20"/>
  <c r="U91" i="20" s="1"/>
  <c r="O177" i="20"/>
  <c r="O12" i="20"/>
  <c r="O29" i="20"/>
  <c r="O39" i="20"/>
  <c r="AL39" i="20" s="1"/>
  <c r="O187" i="20"/>
  <c r="O26" i="20"/>
  <c r="V151" i="20"/>
  <c r="AN151" i="20" s="1"/>
  <c r="O154" i="20"/>
  <c r="V31" i="20"/>
  <c r="O144" i="20"/>
  <c r="O112" i="20"/>
  <c r="U112" i="20" s="1"/>
  <c r="O158" i="20"/>
  <c r="O30" i="20"/>
  <c r="O20" i="20"/>
  <c r="O209" i="20"/>
  <c r="O21" i="20"/>
  <c r="O121" i="20"/>
  <c r="O43" i="20"/>
  <c r="AU43" i="20" s="1"/>
  <c r="O179" i="20"/>
  <c r="O42" i="20"/>
  <c r="W42" i="20" s="1"/>
  <c r="AG42" i="20" s="1"/>
  <c r="S165" i="20"/>
  <c r="V162" i="20"/>
  <c r="O96" i="20"/>
  <c r="U96" i="20" s="1"/>
  <c r="O15" i="20"/>
  <c r="O175" i="20"/>
  <c r="O173" i="20"/>
  <c r="O180" i="20"/>
  <c r="O156" i="20"/>
  <c r="O94" i="20"/>
  <c r="U94" i="20" s="1"/>
  <c r="O92" i="20"/>
  <c r="U92" i="20" s="1"/>
  <c r="O19" i="20"/>
  <c r="O203" i="20"/>
  <c r="O27" i="20"/>
  <c r="O153" i="20"/>
  <c r="O108" i="20"/>
  <c r="U108" i="20" s="1"/>
  <c r="O115" i="20"/>
  <c r="O32" i="20"/>
  <c r="O120" i="20"/>
  <c r="O18" i="20"/>
  <c r="O11" i="20"/>
  <c r="O123" i="20"/>
  <c r="O186" i="20"/>
  <c r="V205" i="20"/>
  <c r="AD205" i="20" s="1"/>
  <c r="AE205" i="20" s="1"/>
  <c r="AF205" i="20" s="1"/>
  <c r="S184" i="20"/>
  <c r="O104" i="20"/>
  <c r="AL104" i="20" s="1"/>
  <c r="V16" i="20"/>
  <c r="O194" i="20"/>
  <c r="O107" i="20"/>
  <c r="U107" i="20" s="1"/>
  <c r="O116" i="20"/>
  <c r="O36" i="20"/>
  <c r="AL36" i="20" s="1"/>
  <c r="O202" i="20"/>
  <c r="O195" i="20"/>
  <c r="AQ183" i="20"/>
  <c r="AT183" i="20" s="1"/>
  <c r="BT183" i="20" s="1"/>
  <c r="O185" i="20"/>
  <c r="O188" i="20"/>
  <c r="AQ146" i="20"/>
  <c r="AT146" i="20" s="1"/>
  <c r="BT146" i="20" s="1"/>
  <c r="S146" i="20"/>
  <c r="O170" i="20"/>
  <c r="O35" i="20"/>
  <c r="AU35" i="20" s="1"/>
  <c r="O143" i="20"/>
  <c r="O126" i="20"/>
  <c r="O110" i="20"/>
  <c r="U110" i="20" s="1"/>
  <c r="O136" i="20"/>
  <c r="O37" i="20"/>
  <c r="AU37" i="20" s="1"/>
  <c r="O41" i="20"/>
  <c r="W41" i="20" s="1"/>
  <c r="AG41" i="20" s="1"/>
  <c r="O114" i="20"/>
  <c r="O97" i="20"/>
  <c r="U97" i="20" s="1"/>
  <c r="O100" i="20"/>
  <c r="U100" i="20" s="1"/>
  <c r="O129" i="20"/>
  <c r="O147" i="20"/>
  <c r="W17" i="30"/>
  <c r="Y8" i="30" s="1"/>
  <c r="Y6" i="30"/>
  <c r="AA11" i="30" s="1"/>
  <c r="AS96" i="20"/>
  <c r="AS88" i="20"/>
  <c r="AS103" i="20"/>
  <c r="AW136" i="20"/>
  <c r="AS138" i="20"/>
  <c r="AW160" i="20"/>
  <c r="AS86" i="20"/>
  <c r="AS82" i="20"/>
  <c r="AS76" i="20"/>
  <c r="AS175" i="20"/>
  <c r="AS85" i="20"/>
  <c r="Y3" i="30"/>
  <c r="O155" i="20" l="1"/>
  <c r="W146" i="20"/>
  <c r="AU11" i="20"/>
  <c r="AG207" i="20"/>
  <c r="AL202" i="20"/>
  <c r="AL171" i="20"/>
  <c r="W10" i="20"/>
  <c r="AG10" i="20" s="1"/>
  <c r="O10" i="20"/>
  <c r="S10" i="20" s="1"/>
  <c r="AL133" i="20"/>
  <c r="AL150" i="20"/>
  <c r="AG171" i="20"/>
  <c r="AG192" i="20"/>
  <c r="AL207" i="20"/>
  <c r="V113" i="20"/>
  <c r="O133" i="20"/>
  <c r="S161" i="20"/>
  <c r="AU192" i="20"/>
  <c r="AU10" i="20"/>
  <c r="V161" i="20"/>
  <c r="AN161" i="20" s="1"/>
  <c r="AL114" i="20"/>
  <c r="AU193" i="20"/>
  <c r="W161" i="20"/>
  <c r="W202" i="20"/>
  <c r="AU164" i="20"/>
  <c r="AG113" i="20"/>
  <c r="W171" i="20"/>
  <c r="W125" i="20"/>
  <c r="X125" i="20" s="1"/>
  <c r="W164" i="20"/>
  <c r="AU150" i="20"/>
  <c r="AU143" i="20"/>
  <c r="AG161" i="20"/>
  <c r="W192" i="20"/>
  <c r="W137" i="20"/>
  <c r="AG143" i="20"/>
  <c r="W28" i="20"/>
  <c r="AG28" i="20" s="1"/>
  <c r="AH28" i="20" s="1"/>
  <c r="AL137" i="20"/>
  <c r="AU207" i="20"/>
  <c r="AU114" i="20"/>
  <c r="W13" i="20"/>
  <c r="AG13" i="20" s="1"/>
  <c r="W150" i="20"/>
  <c r="O13" i="20"/>
  <c r="AU171" i="20"/>
  <c r="S150" i="20"/>
  <c r="V150" i="20"/>
  <c r="AN150" i="20" s="1"/>
  <c r="W207" i="20"/>
  <c r="AG97" i="20"/>
  <c r="AG202" i="20"/>
  <c r="AU13" i="20"/>
  <c r="AG150" i="20"/>
  <c r="W33" i="20"/>
  <c r="AG33" i="20" s="1"/>
  <c r="AG132" i="20"/>
  <c r="AH132" i="20" s="1"/>
  <c r="S34" i="20"/>
  <c r="AI34" i="20" s="1"/>
  <c r="AG146" i="20"/>
  <c r="AL208" i="20"/>
  <c r="AU162" i="20"/>
  <c r="AL146" i="20"/>
  <c r="AU132" i="20"/>
  <c r="W187" i="20"/>
  <c r="AG112" i="20"/>
  <c r="AU161" i="20"/>
  <c r="AG107" i="20"/>
  <c r="AG142" i="20"/>
  <c r="AG208" i="20"/>
  <c r="AL187" i="20"/>
  <c r="AL121" i="20"/>
  <c r="W208" i="20"/>
  <c r="W121" i="20"/>
  <c r="AU208" i="20"/>
  <c r="AU34" i="20"/>
  <c r="W156" i="20"/>
  <c r="AU156" i="20"/>
  <c r="W34" i="20"/>
  <c r="AG34" i="20" s="1"/>
  <c r="W132" i="20"/>
  <c r="AL132" i="20"/>
  <c r="AU187" i="20"/>
  <c r="AU121" i="20"/>
  <c r="AG137" i="20"/>
  <c r="AU146" i="20"/>
  <c r="AL142" i="20"/>
  <c r="AL163" i="20"/>
  <c r="AL190" i="20"/>
  <c r="AU14" i="20"/>
  <c r="AG188" i="20"/>
  <c r="AL9" i="20"/>
  <c r="AL23" i="20"/>
  <c r="AA16" i="20"/>
  <c r="AB16" i="20" s="1"/>
  <c r="AC16" i="20" s="1"/>
  <c r="AJ16" i="20"/>
  <c r="AN16" i="20"/>
  <c r="AS31" i="20"/>
  <c r="AJ31" i="20"/>
  <c r="AN31" i="20"/>
  <c r="AL29" i="20"/>
  <c r="AL20" i="20"/>
  <c r="AL22" i="20"/>
  <c r="AL12" i="20"/>
  <c r="AL28" i="20"/>
  <c r="AL26" i="20"/>
  <c r="AD10" i="20"/>
  <c r="AE10" i="20" s="1"/>
  <c r="AF10" i="20" s="1"/>
  <c r="AJ10" i="20"/>
  <c r="AN10" i="20"/>
  <c r="AL33" i="20"/>
  <c r="AL16" i="20"/>
  <c r="AJ21" i="20"/>
  <c r="AN21" i="20"/>
  <c r="O25" i="20"/>
  <c r="AL25" i="20"/>
  <c r="AL18" i="20"/>
  <c r="W37" i="20"/>
  <c r="AG37" i="20" s="1"/>
  <c r="AL161" i="20"/>
  <c r="AL34" i="20"/>
  <c r="AU41" i="20"/>
  <c r="AL43" i="20"/>
  <c r="U43" i="20"/>
  <c r="W36" i="20"/>
  <c r="AG36" i="20" s="1"/>
  <c r="U36" i="20"/>
  <c r="W43" i="20"/>
  <c r="AG43" i="20" s="1"/>
  <c r="AU42" i="20"/>
  <c r="U39" i="20"/>
  <c r="S38" i="20"/>
  <c r="AI38" i="20" s="1"/>
  <c r="U38" i="20"/>
  <c r="AL38" i="20"/>
  <c r="AU22" i="20"/>
  <c r="AV22" i="20" s="1"/>
  <c r="R40" i="20"/>
  <c r="W40" i="20" s="1"/>
  <c r="AG40" i="20" s="1"/>
  <c r="U41" i="20"/>
  <c r="AL41" i="20"/>
  <c r="AL35" i="20"/>
  <c r="U35" i="20"/>
  <c r="W35" i="20"/>
  <c r="AG35" i="20" s="1"/>
  <c r="AU36" i="20"/>
  <c r="O44" i="20"/>
  <c r="U44" i="20" s="1"/>
  <c r="T44" i="20"/>
  <c r="U37" i="20"/>
  <c r="AL37" i="20"/>
  <c r="AL42" i="20"/>
  <c r="U42" i="20"/>
  <c r="P44" i="20"/>
  <c r="Q44" i="20" s="1"/>
  <c r="R44" i="20" s="1"/>
  <c r="AP104" i="20"/>
  <c r="U105" i="20"/>
  <c r="AU105" i="20"/>
  <c r="W108" i="20"/>
  <c r="AG115" i="20"/>
  <c r="AL183" i="20"/>
  <c r="W113" i="20"/>
  <c r="AL136" i="20"/>
  <c r="U104" i="20"/>
  <c r="U109" i="20"/>
  <c r="AL113" i="20"/>
  <c r="AP113" i="20"/>
  <c r="T113" i="20"/>
  <c r="AD113" i="20" s="1"/>
  <c r="AE113" i="20" s="1"/>
  <c r="AF113" i="20" s="1"/>
  <c r="AU29" i="20"/>
  <c r="AU104" i="20"/>
  <c r="W124" i="20"/>
  <c r="X124" i="20" s="1"/>
  <c r="AU112" i="20"/>
  <c r="AU25" i="20"/>
  <c r="W106" i="20"/>
  <c r="X106" i="20" s="1"/>
  <c r="AL105" i="20"/>
  <c r="AP18" i="20"/>
  <c r="AG92" i="20"/>
  <c r="W18" i="20"/>
  <c r="AG18" i="20" s="1"/>
  <c r="AL115" i="20"/>
  <c r="AP23" i="20"/>
  <c r="AU23" i="20"/>
  <c r="AV23" i="20" s="1"/>
  <c r="AU124" i="20"/>
  <c r="AV124" i="20" s="1"/>
  <c r="AX124" i="20" s="1"/>
  <c r="BU124" i="20" s="1"/>
  <c r="AU188" i="20"/>
  <c r="AU113" i="20"/>
  <c r="AU107" i="20"/>
  <c r="AL156" i="20"/>
  <c r="AL124" i="20"/>
  <c r="BC124" i="20" s="1"/>
  <c r="BV124" i="20" s="1"/>
  <c r="AG183" i="20"/>
  <c r="AH183" i="20" s="1"/>
  <c r="AG187" i="20"/>
  <c r="AL107" i="20"/>
  <c r="AW113" i="20"/>
  <c r="AL112" i="20"/>
  <c r="W104" i="20"/>
  <c r="W115" i="20"/>
  <c r="AU142" i="20"/>
  <c r="AG96" i="20"/>
  <c r="AU40" i="20"/>
  <c r="AG124" i="20"/>
  <c r="AP98" i="20"/>
  <c r="T109" i="20"/>
  <c r="W183" i="20"/>
  <c r="X183" i="20" s="1"/>
  <c r="W112" i="20"/>
  <c r="V34" i="20"/>
  <c r="AJ34" i="20" s="1"/>
  <c r="AG156" i="20"/>
  <c r="W29" i="20"/>
  <c r="AG29" i="20" s="1"/>
  <c r="W107" i="20"/>
  <c r="AU108" i="20"/>
  <c r="AG90" i="20"/>
  <c r="W136" i="20"/>
  <c r="AU115" i="20"/>
  <c r="AL188" i="20"/>
  <c r="W142" i="20"/>
  <c r="AU136" i="20"/>
  <c r="AL108" i="20"/>
  <c r="P109" i="20"/>
  <c r="AP106" i="20"/>
  <c r="R110" i="20"/>
  <c r="AP107" i="20"/>
  <c r="AG170" i="20"/>
  <c r="W20" i="20"/>
  <c r="AG20" i="20" s="1"/>
  <c r="AG111" i="20"/>
  <c r="AY38" i="20"/>
  <c r="AU111" i="20"/>
  <c r="AV111" i="20" s="1"/>
  <c r="AL111" i="20"/>
  <c r="AU134" i="20"/>
  <c r="AL134" i="20"/>
  <c r="AP39" i="20"/>
  <c r="AU170" i="20"/>
  <c r="O193" i="20"/>
  <c r="S193" i="20" s="1"/>
  <c r="AG134" i="20"/>
  <c r="AL170" i="20"/>
  <c r="W39" i="20"/>
  <c r="AG39" i="20" s="1"/>
  <c r="W193" i="20"/>
  <c r="AU39" i="20"/>
  <c r="AP20" i="20"/>
  <c r="W170" i="20"/>
  <c r="W111" i="20"/>
  <c r="AU20" i="20"/>
  <c r="AP90" i="20"/>
  <c r="AP99" i="20"/>
  <c r="AP97" i="20"/>
  <c r="O68" i="20"/>
  <c r="U68" i="20" s="1"/>
  <c r="T68" i="20"/>
  <c r="AP96" i="20"/>
  <c r="AD99" i="20"/>
  <c r="AE99" i="20" s="1"/>
  <c r="AF99" i="20" s="1"/>
  <c r="AG100" i="20"/>
  <c r="AG101" i="20"/>
  <c r="AH101" i="20" s="1"/>
  <c r="AP100" i="20"/>
  <c r="AL99" i="20"/>
  <c r="W98" i="20"/>
  <c r="AL98" i="20"/>
  <c r="AU98" i="20"/>
  <c r="AP95" i="20"/>
  <c r="AG95" i="20"/>
  <c r="AG102" i="20"/>
  <c r="AP102" i="20"/>
  <c r="AU101" i="20"/>
  <c r="AV101" i="20" s="1"/>
  <c r="AL101" i="20"/>
  <c r="AM101" i="20" s="1"/>
  <c r="AP101" i="20"/>
  <c r="AQ101" i="20" s="1"/>
  <c r="AT101" i="20" s="1"/>
  <c r="BT101" i="20" s="1"/>
  <c r="W89" i="20"/>
  <c r="AG94" i="20"/>
  <c r="AL89" i="20"/>
  <c r="S89" i="20"/>
  <c r="AI89" i="20" s="1"/>
  <c r="AG93" i="20"/>
  <c r="AG89" i="20"/>
  <c r="AU89" i="20"/>
  <c r="Y1" i="30"/>
  <c r="Y5" i="30" s="1"/>
  <c r="W95" i="20"/>
  <c r="AP91" i="20"/>
  <c r="AL95" i="20"/>
  <c r="AU95" i="20"/>
  <c r="W99" i="20"/>
  <c r="AU92" i="20"/>
  <c r="AU99" i="20"/>
  <c r="AU97" i="20"/>
  <c r="AL102" i="20"/>
  <c r="AG91" i="20"/>
  <c r="AL96" i="20"/>
  <c r="AL100" i="20"/>
  <c r="AU102" i="20"/>
  <c r="W102" i="20"/>
  <c r="W96" i="20"/>
  <c r="AW99" i="20"/>
  <c r="AU96" i="20"/>
  <c r="AU100" i="20"/>
  <c r="AU90" i="20"/>
  <c r="W101" i="20"/>
  <c r="X101" i="20" s="1"/>
  <c r="AP94" i="20"/>
  <c r="W92" i="20"/>
  <c r="W100" i="20"/>
  <c r="W90" i="20"/>
  <c r="AU91" i="20"/>
  <c r="W91" i="20"/>
  <c r="AL94" i="20"/>
  <c r="AL91" i="20"/>
  <c r="AP93" i="20"/>
  <c r="AU94" i="20"/>
  <c r="W93" i="20"/>
  <c r="AU93" i="20"/>
  <c r="W97" i="20"/>
  <c r="AL97" i="20"/>
  <c r="AP89" i="20"/>
  <c r="AQ89" i="20" s="1"/>
  <c r="AT89" i="20" s="1"/>
  <c r="BT89" i="20" s="1"/>
  <c r="AL90" i="20"/>
  <c r="AL93" i="20"/>
  <c r="W94" i="20"/>
  <c r="AL92" i="20"/>
  <c r="P76" i="20"/>
  <c r="Q76" i="20" s="1"/>
  <c r="R76" i="20" s="1"/>
  <c r="W30" i="21"/>
  <c r="AU79" i="20"/>
  <c r="AU88" i="20"/>
  <c r="AV88" i="20" s="1"/>
  <c r="S30" i="21"/>
  <c r="AI30" i="21" s="1"/>
  <c r="AG66" i="20"/>
  <c r="AG88" i="20"/>
  <c r="Q94" i="21"/>
  <c r="R94" i="21" s="1"/>
  <c r="V94" i="21" s="1"/>
  <c r="AJ94" i="21" s="1"/>
  <c r="Q79" i="21"/>
  <c r="R79" i="21" s="1"/>
  <c r="Q49" i="21"/>
  <c r="R49" i="21" s="1"/>
  <c r="V49" i="21" s="1"/>
  <c r="AJ49" i="21" s="1"/>
  <c r="Q78" i="21"/>
  <c r="R78" i="21" s="1"/>
  <c r="Q55" i="21"/>
  <c r="R55" i="21" s="1"/>
  <c r="Q90" i="21"/>
  <c r="Q100" i="21"/>
  <c r="Q72" i="21"/>
  <c r="R72" i="21" s="1"/>
  <c r="V72" i="21" s="1"/>
  <c r="AJ72" i="21" s="1"/>
  <c r="Q40" i="21"/>
  <c r="R40" i="21" s="1"/>
  <c r="Q25" i="21"/>
  <c r="R25" i="21" s="1"/>
  <c r="Q38" i="21"/>
  <c r="R38" i="21" s="1"/>
  <c r="Q32" i="21"/>
  <c r="R32" i="21" s="1"/>
  <c r="Q69" i="21"/>
  <c r="R69" i="21" s="1"/>
  <c r="Q97" i="21"/>
  <c r="R97" i="21" s="1"/>
  <c r="Q19" i="21"/>
  <c r="Q50" i="21"/>
  <c r="Q36" i="21"/>
  <c r="R36" i="21" s="1"/>
  <c r="V36" i="21" s="1"/>
  <c r="AJ36" i="21" s="1"/>
  <c r="Q13" i="21"/>
  <c r="Q46" i="21"/>
  <c r="R46" i="21" s="1"/>
  <c r="Q88" i="21"/>
  <c r="Q101" i="21"/>
  <c r="R101" i="21" s="1"/>
  <c r="Q31" i="21"/>
  <c r="Q47" i="21"/>
  <c r="R47" i="21" s="1"/>
  <c r="Q87" i="21"/>
  <c r="R87" i="21" s="1"/>
  <c r="Q43" i="21"/>
  <c r="R43" i="21" s="1"/>
  <c r="Q82" i="21"/>
  <c r="R82" i="21" s="1"/>
  <c r="Q76" i="21"/>
  <c r="R76" i="21" s="1"/>
  <c r="V76" i="21" s="1"/>
  <c r="AJ76" i="21" s="1"/>
  <c r="Q109" i="21"/>
  <c r="Q37" i="21"/>
  <c r="R37" i="21" s="1"/>
  <c r="W37" i="21" s="1"/>
  <c r="Q65" i="21"/>
  <c r="Q56" i="21"/>
  <c r="Q45" i="21"/>
  <c r="R45" i="21" s="1"/>
  <c r="S45" i="21" s="1"/>
  <c r="AI45" i="21" s="1"/>
  <c r="P68" i="20"/>
  <c r="Q68" i="20" s="1"/>
  <c r="R68" i="20" s="1"/>
  <c r="Q24" i="21"/>
  <c r="R24" i="21" s="1"/>
  <c r="S24" i="21" s="1"/>
  <c r="AI24" i="21" s="1"/>
  <c r="Q108" i="21"/>
  <c r="Q21" i="21"/>
  <c r="R21" i="21" s="1"/>
  <c r="Q96" i="21"/>
  <c r="Q16" i="21"/>
  <c r="Q9" i="21"/>
  <c r="Q33" i="21"/>
  <c r="Q106" i="21"/>
  <c r="Q26" i="21"/>
  <c r="R26" i="21" s="1"/>
  <c r="Q74" i="21"/>
  <c r="R74" i="21" s="1"/>
  <c r="Q63" i="21"/>
  <c r="Q22" i="21"/>
  <c r="R22" i="21" s="1"/>
  <c r="V22" i="21" s="1"/>
  <c r="AJ22" i="21" s="1"/>
  <c r="Q105" i="21"/>
  <c r="R105" i="21" s="1"/>
  <c r="Q85" i="21"/>
  <c r="R85" i="21" s="1"/>
  <c r="AU65" i="20"/>
  <c r="AV65" i="20" s="1"/>
  <c r="O76" i="20"/>
  <c r="U76" i="20" s="1"/>
  <c r="Q39" i="21"/>
  <c r="Q14" i="21"/>
  <c r="Q61" i="21"/>
  <c r="Q17" i="21"/>
  <c r="Q10" i="21"/>
  <c r="R10" i="21" s="1"/>
  <c r="Q29" i="21"/>
  <c r="R29" i="21" s="1"/>
  <c r="S29" i="21" s="1"/>
  <c r="AI29" i="21" s="1"/>
  <c r="Q62" i="21"/>
  <c r="Q93" i="21"/>
  <c r="Q95" i="21"/>
  <c r="R95" i="21" s="1"/>
  <c r="Q44" i="21"/>
  <c r="Q11" i="21"/>
  <c r="Q66" i="21"/>
  <c r="R66" i="21" s="1"/>
  <c r="V66" i="21" s="1"/>
  <c r="AJ66" i="21" s="1"/>
  <c r="Q86" i="21"/>
  <c r="R86" i="21" s="1"/>
  <c r="AG65" i="20"/>
  <c r="Q28" i="21"/>
  <c r="R28" i="21" s="1"/>
  <c r="V28" i="21" s="1"/>
  <c r="AJ28" i="21" s="1"/>
  <c r="Q23" i="21"/>
  <c r="R23" i="21" s="1"/>
  <c r="S23" i="21" s="1"/>
  <c r="AI23" i="21" s="1"/>
  <c r="Q59" i="21"/>
  <c r="R59" i="21" s="1"/>
  <c r="Q77" i="21"/>
  <c r="R77" i="21" s="1"/>
  <c r="Q67" i="21"/>
  <c r="R67" i="21" s="1"/>
  <c r="S67" i="21" s="1"/>
  <c r="AI67" i="21" s="1"/>
  <c r="Q99" i="21"/>
  <c r="R99" i="21" s="1"/>
  <c r="Q80" i="21"/>
  <c r="R80" i="21" s="1"/>
  <c r="V80" i="21" s="1"/>
  <c r="AJ80" i="21" s="1"/>
  <c r="Q84" i="21"/>
  <c r="R84" i="21" s="1"/>
  <c r="Q92" i="21"/>
  <c r="R92" i="21" s="1"/>
  <c r="V92" i="21" s="1"/>
  <c r="AJ92" i="21" s="1"/>
  <c r="Q51" i="21"/>
  <c r="R51" i="21" s="1"/>
  <c r="Q12" i="21"/>
  <c r="R12" i="21" s="1"/>
  <c r="Q91" i="21"/>
  <c r="R91" i="21" s="1"/>
  <c r="Q83" i="21"/>
  <c r="R83" i="21" s="1"/>
  <c r="Q102" i="21"/>
  <c r="R102" i="21" s="1"/>
  <c r="W102" i="21" s="1"/>
  <c r="Q73" i="21"/>
  <c r="R73" i="21" s="1"/>
  <c r="W73" i="21" s="1"/>
  <c r="Q27" i="21"/>
  <c r="R27" i="21" s="1"/>
  <c r="Q70" i="21"/>
  <c r="R70" i="21" s="1"/>
  <c r="Q48" i="21"/>
  <c r="R48" i="21" s="1"/>
  <c r="Q68" i="21"/>
  <c r="Q60" i="21"/>
  <c r="Q107" i="21"/>
  <c r="R107" i="21" s="1"/>
  <c r="Q42" i="21"/>
  <c r="Q52" i="21"/>
  <c r="Q15" i="21"/>
  <c r="Q54" i="21"/>
  <c r="R54" i="21" s="1"/>
  <c r="V54" i="21" s="1"/>
  <c r="AJ54" i="21" s="1"/>
  <c r="Q58" i="21"/>
  <c r="Q57" i="21"/>
  <c r="Q64" i="21"/>
  <c r="Q104" i="21"/>
  <c r="Q20" i="21"/>
  <c r="Q103" i="21"/>
  <c r="Q81" i="21"/>
  <c r="R81" i="21" s="1"/>
  <c r="V81" i="21" s="1"/>
  <c r="AJ81" i="21" s="1"/>
  <c r="AU70" i="20"/>
  <c r="Q89" i="21"/>
  <c r="Q75" i="21"/>
  <c r="Q98" i="21"/>
  <c r="Q35" i="21"/>
  <c r="R35" i="21" s="1"/>
  <c r="Q34" i="21"/>
  <c r="Q41" i="21"/>
  <c r="Q18" i="21"/>
  <c r="Q71" i="21"/>
  <c r="Q53" i="21"/>
  <c r="AU74" i="20"/>
  <c r="AV74" i="20" s="1"/>
  <c r="AU59" i="20"/>
  <c r="AU80" i="20"/>
  <c r="S9" i="20"/>
  <c r="AU48" i="20"/>
  <c r="AG67" i="20"/>
  <c r="AU73" i="20"/>
  <c r="AU72" i="20"/>
  <c r="AU46" i="20"/>
  <c r="AG79" i="20"/>
  <c r="AU85" i="20"/>
  <c r="AU86" i="20"/>
  <c r="AU63" i="20"/>
  <c r="AU56" i="20"/>
  <c r="AU84" i="20"/>
  <c r="AU49" i="20"/>
  <c r="AU45" i="20"/>
  <c r="V9" i="20"/>
  <c r="AU69" i="20"/>
  <c r="AG72" i="20"/>
  <c r="AG85" i="20"/>
  <c r="AH85" i="20" s="1"/>
  <c r="AU57" i="20"/>
  <c r="AG86" i="20"/>
  <c r="AU75" i="20"/>
  <c r="AV75" i="20" s="1"/>
  <c r="AU83" i="20"/>
  <c r="AG84" i="20"/>
  <c r="AU87" i="20"/>
  <c r="AU78" i="20"/>
  <c r="AU52" i="20"/>
  <c r="AG69" i="20"/>
  <c r="AU55" i="20"/>
  <c r="AG64" i="20"/>
  <c r="AG75" i="20"/>
  <c r="AG83" i="20"/>
  <c r="AG70" i="20"/>
  <c r="AU50" i="20"/>
  <c r="AV50" i="20" s="1"/>
  <c r="AG87" i="20"/>
  <c r="AH87" i="20" s="1"/>
  <c r="AG81" i="20"/>
  <c r="AU61" i="20"/>
  <c r="AU62" i="20"/>
  <c r="AU71" i="20"/>
  <c r="AV71" i="20" s="1"/>
  <c r="AU44" i="20"/>
  <c r="AU77" i="20"/>
  <c r="AU64" i="20"/>
  <c r="AU82" i="20"/>
  <c r="AU60" i="20"/>
  <c r="AU54" i="20"/>
  <c r="AU47" i="20"/>
  <c r="AU51" i="20"/>
  <c r="AG77" i="20"/>
  <c r="AU9" i="20"/>
  <c r="AV9" i="20" s="1"/>
  <c r="AU81" i="20"/>
  <c r="AG80" i="20"/>
  <c r="AG82" i="20"/>
  <c r="AG71" i="20"/>
  <c r="AU58" i="20"/>
  <c r="AG74" i="20"/>
  <c r="AH74" i="20" s="1"/>
  <c r="AU66" i="20"/>
  <c r="AU53" i="20"/>
  <c r="AU67" i="20"/>
  <c r="AG78" i="20"/>
  <c r="W9" i="20"/>
  <c r="AG9" i="20" s="1"/>
  <c r="AH9" i="20" s="1"/>
  <c r="AL79" i="20"/>
  <c r="W79" i="20"/>
  <c r="AP79" i="20"/>
  <c r="AQ79" i="20" s="1"/>
  <c r="AT79" i="20" s="1"/>
  <c r="BT79" i="20" s="1"/>
  <c r="W52" i="20"/>
  <c r="AG52" i="20" s="1"/>
  <c r="AH52" i="20" s="1"/>
  <c r="AP52" i="20"/>
  <c r="AL52" i="20"/>
  <c r="W85" i="20"/>
  <c r="AY85" i="20" s="1"/>
  <c r="AP85" i="20"/>
  <c r="AL85" i="20"/>
  <c r="AL47" i="20"/>
  <c r="W47" i="20"/>
  <c r="AG47" i="20" s="1"/>
  <c r="AP47" i="20"/>
  <c r="W83" i="20"/>
  <c r="AY83" i="20" s="1"/>
  <c r="AP83" i="20"/>
  <c r="AL83" i="20"/>
  <c r="AM83" i="20" s="1"/>
  <c r="AL70" i="20"/>
  <c r="W70" i="20"/>
  <c r="AY70" i="20" s="1"/>
  <c r="AP70" i="20"/>
  <c r="W75" i="20"/>
  <c r="AP75" i="20"/>
  <c r="AL75" i="20"/>
  <c r="W67" i="20"/>
  <c r="AY67" i="20" s="1"/>
  <c r="AP67" i="20"/>
  <c r="AL67" i="20"/>
  <c r="W53" i="20"/>
  <c r="AG53" i="20" s="1"/>
  <c r="AP53" i="20"/>
  <c r="AL53" i="20"/>
  <c r="AP74" i="20"/>
  <c r="AQ74" i="20" s="1"/>
  <c r="AL74" i="20"/>
  <c r="AM74" i="20" s="1"/>
  <c r="W74" i="20"/>
  <c r="AP58" i="20"/>
  <c r="AL58" i="20"/>
  <c r="W58" i="20"/>
  <c r="AY58" i="20" s="1"/>
  <c r="W61" i="20"/>
  <c r="AY61" i="20" s="1"/>
  <c r="AP61" i="20"/>
  <c r="AL61" i="20"/>
  <c r="S88" i="20"/>
  <c r="AI88" i="20" s="1"/>
  <c r="AP88" i="20"/>
  <c r="AL88" i="20"/>
  <c r="W88" i="20"/>
  <c r="AY88" i="20" s="1"/>
  <c r="V82" i="20"/>
  <c r="AD82" i="20" s="1"/>
  <c r="AE82" i="20" s="1"/>
  <c r="AF82" i="20" s="1"/>
  <c r="AP82" i="20"/>
  <c r="AL82" i="20"/>
  <c r="W82" i="20"/>
  <c r="AY82" i="20" s="1"/>
  <c r="AL71" i="20"/>
  <c r="W71" i="20"/>
  <c r="AY71" i="20" s="1"/>
  <c r="AP71" i="20"/>
  <c r="W69" i="20"/>
  <c r="AY69" i="20" s="1"/>
  <c r="AP69" i="20"/>
  <c r="AL69" i="20"/>
  <c r="V50" i="20"/>
  <c r="AP50" i="20"/>
  <c r="AL50" i="20"/>
  <c r="W50" i="20"/>
  <c r="AG50" i="20" s="1"/>
  <c r="S65" i="20"/>
  <c r="AI65" i="20" s="1"/>
  <c r="AP65" i="20"/>
  <c r="AL65" i="20"/>
  <c r="W65" i="20"/>
  <c r="AY65" i="20" s="1"/>
  <c r="AP66" i="20"/>
  <c r="AL66" i="20"/>
  <c r="W66" i="20"/>
  <c r="W77" i="20"/>
  <c r="AY77" i="20" s="1"/>
  <c r="AP77" i="20"/>
  <c r="AL77" i="20"/>
  <c r="AP57" i="20"/>
  <c r="AL57" i="20"/>
  <c r="W57" i="20"/>
  <c r="X57" i="20" s="1"/>
  <c r="S49" i="20"/>
  <c r="AI49" i="20" s="1"/>
  <c r="AP49" i="20"/>
  <c r="AL49" i="20"/>
  <c r="AM49" i="20" s="1"/>
  <c r="W49" i="20"/>
  <c r="AG49" i="20" s="1"/>
  <c r="V87" i="20"/>
  <c r="AD87" i="20" s="1"/>
  <c r="AE87" i="20" s="1"/>
  <c r="AF87" i="20" s="1"/>
  <c r="AL87" i="20"/>
  <c r="W87" i="20"/>
  <c r="AY87" i="20" s="1"/>
  <c r="AP87" i="20"/>
  <c r="AL55" i="20"/>
  <c r="W55" i="20"/>
  <c r="AP55" i="20"/>
  <c r="W59" i="20"/>
  <c r="AY59" i="20" s="1"/>
  <c r="AP59" i="20"/>
  <c r="AL59" i="20"/>
  <c r="V86" i="20"/>
  <c r="AA86" i="20" s="1"/>
  <c r="AB86" i="20" s="1"/>
  <c r="AC86" i="20" s="1"/>
  <c r="AL86" i="20"/>
  <c r="W86" i="20"/>
  <c r="AY86" i="20" s="1"/>
  <c r="AP86" i="20"/>
  <c r="S80" i="20"/>
  <c r="AI80" i="20" s="1"/>
  <c r="AP80" i="20"/>
  <c r="AL80" i="20"/>
  <c r="AM80" i="20" s="1"/>
  <c r="W80" i="20"/>
  <c r="AY80" i="20" s="1"/>
  <c r="AL63" i="20"/>
  <c r="W63" i="20"/>
  <c r="X63" i="20" s="1"/>
  <c r="AP63" i="20"/>
  <c r="S162" i="20"/>
  <c r="S124" i="20"/>
  <c r="S141" i="20"/>
  <c r="S157" i="20"/>
  <c r="V89" i="20"/>
  <c r="AN89" i="20" s="1"/>
  <c r="X197" i="20"/>
  <c r="BC9" i="20"/>
  <c r="BV9" i="20" s="1"/>
  <c r="S177" i="20"/>
  <c r="AY192" i="20"/>
  <c r="AQ106" i="20"/>
  <c r="AT106" i="20" s="1"/>
  <c r="BT106" i="20" s="1"/>
  <c r="V184" i="20"/>
  <c r="AD184" i="20" s="1"/>
  <c r="AE184" i="20" s="1"/>
  <c r="AF184" i="20" s="1"/>
  <c r="V194" i="20"/>
  <c r="V114" i="20"/>
  <c r="V209" i="20"/>
  <c r="AD209" i="20" s="1"/>
  <c r="AE209" i="20" s="1"/>
  <c r="AF209" i="20" s="1"/>
  <c r="V123" i="20"/>
  <c r="V116" i="20"/>
  <c r="V104" i="20"/>
  <c r="AW104" i="20" s="1"/>
  <c r="S134" i="20"/>
  <c r="S172" i="20"/>
  <c r="S208" i="20"/>
  <c r="V179" i="20"/>
  <c r="AJ179" i="20" s="1"/>
  <c r="S160" i="20"/>
  <c r="V188" i="20"/>
  <c r="V136" i="20"/>
  <c r="S115" i="20"/>
  <c r="V143" i="20"/>
  <c r="AH146" i="20"/>
  <c r="V124" i="20"/>
  <c r="AN124" i="20" s="1"/>
  <c r="S189" i="20"/>
  <c r="V208" i="20"/>
  <c r="S120" i="20"/>
  <c r="S195" i="20"/>
  <c r="V121" i="20"/>
  <c r="S204" i="20"/>
  <c r="S103" i="20"/>
  <c r="AI103" i="20" s="1"/>
  <c r="AM139" i="20"/>
  <c r="S33" i="20"/>
  <c r="S190" i="20"/>
  <c r="V199" i="20"/>
  <c r="AD199" i="20" s="1"/>
  <c r="AE199" i="20" s="1"/>
  <c r="AF199" i="20" s="1"/>
  <c r="V117" i="20"/>
  <c r="V147" i="20"/>
  <c r="V170" i="20"/>
  <c r="X103" i="20"/>
  <c r="V118" i="20"/>
  <c r="AN118" i="20" s="1"/>
  <c r="V132" i="20"/>
  <c r="Y132" i="20" s="1"/>
  <c r="S145" i="20"/>
  <c r="V111" i="20"/>
  <c r="S144" i="20"/>
  <c r="V138" i="20"/>
  <c r="V187" i="20"/>
  <c r="V175" i="20"/>
  <c r="V43" i="20"/>
  <c r="S151" i="20"/>
  <c r="V158" i="20"/>
  <c r="V133" i="20"/>
  <c r="AH180" i="20"/>
  <c r="AV178" i="20"/>
  <c r="AX178" i="20" s="1"/>
  <c r="BU178" i="20" s="1"/>
  <c r="V186" i="20"/>
  <c r="V100" i="20"/>
  <c r="AW100" i="20" s="1"/>
  <c r="V137" i="20"/>
  <c r="Y10" i="20"/>
  <c r="AS10" i="20"/>
  <c r="AY122" i="20"/>
  <c r="X122" i="20"/>
  <c r="AM9" i="20"/>
  <c r="AV135" i="20"/>
  <c r="AX135" i="20" s="1"/>
  <c r="BU135" i="20" s="1"/>
  <c r="V168" i="20"/>
  <c r="AD168" i="20" s="1"/>
  <c r="AE168" i="20" s="1"/>
  <c r="AF168" i="20" s="1"/>
  <c r="S17" i="20"/>
  <c r="AV167" i="20"/>
  <c r="AX167" i="20" s="1"/>
  <c r="BU167" i="20" s="1"/>
  <c r="AV20" i="20"/>
  <c r="AQ105" i="20"/>
  <c r="AT105" i="20" s="1"/>
  <c r="BT105" i="20" s="1"/>
  <c r="AM148" i="20"/>
  <c r="AM43" i="20"/>
  <c r="AV127" i="20"/>
  <c r="AX127" i="20" s="1"/>
  <c r="BU127" i="20" s="1"/>
  <c r="V148" i="20"/>
  <c r="AA148" i="20" s="1"/>
  <c r="AB148" i="20" s="1"/>
  <c r="AC148" i="20" s="1"/>
  <c r="AH163" i="20"/>
  <c r="S148" i="20"/>
  <c r="AY201" i="20"/>
  <c r="V198" i="20"/>
  <c r="AD198" i="20" s="1"/>
  <c r="AE198" i="20" s="1"/>
  <c r="AF198" i="20" s="1"/>
  <c r="V174" i="20"/>
  <c r="AA174" i="20" s="1"/>
  <c r="AB174" i="20" s="1"/>
  <c r="AC174" i="20" s="1"/>
  <c r="S169" i="20"/>
  <c r="S22" i="20"/>
  <c r="X169" i="20"/>
  <c r="AH117" i="20"/>
  <c r="S128" i="20"/>
  <c r="S135" i="20"/>
  <c r="V142" i="20"/>
  <c r="AJ142" i="20" s="1"/>
  <c r="Y200" i="20"/>
  <c r="AY24" i="20"/>
  <c r="AA200" i="20"/>
  <c r="AB200" i="20" s="1"/>
  <c r="AC200" i="20" s="1"/>
  <c r="V22" i="20"/>
  <c r="S192" i="20"/>
  <c r="AN200" i="20"/>
  <c r="AJ200" i="20"/>
  <c r="AY146" i="20"/>
  <c r="AV146" i="20"/>
  <c r="AX146" i="20" s="1"/>
  <c r="BU146" i="20" s="1"/>
  <c r="Y2" i="30"/>
  <c r="Y12" i="30" s="1"/>
  <c r="AM146" i="20"/>
  <c r="X146" i="20"/>
  <c r="S111" i="20"/>
  <c r="AI111" i="20" s="1"/>
  <c r="AQ38" i="20"/>
  <c r="Y113" i="20"/>
  <c r="X38" i="20"/>
  <c r="AM38" i="20"/>
  <c r="AM183" i="20"/>
  <c r="AV183" i="20"/>
  <c r="AX183" i="20" s="1"/>
  <c r="BU183" i="20" s="1"/>
  <c r="AD31" i="20"/>
  <c r="AE31" i="20" s="1"/>
  <c r="AF31" i="20" s="1"/>
  <c r="AW21" i="20"/>
  <c r="AS21" i="20"/>
  <c r="X127" i="20"/>
  <c r="AA10" i="20"/>
  <c r="AB10" i="20" s="1"/>
  <c r="AC10" i="20" s="1"/>
  <c r="AM122" i="20"/>
  <c r="AH151" i="20"/>
  <c r="V165" i="20"/>
  <c r="AA165" i="20" s="1"/>
  <c r="AB165" i="20" s="1"/>
  <c r="AC165" i="20" s="1"/>
  <c r="AY183" i="20"/>
  <c r="AQ201" i="20"/>
  <c r="AT201" i="20" s="1"/>
  <c r="BT201" i="20" s="1"/>
  <c r="AH124" i="20"/>
  <c r="AN205" i="20"/>
  <c r="AH122" i="20"/>
  <c r="V157" i="20"/>
  <c r="AJ157" i="20" s="1"/>
  <c r="V183" i="20"/>
  <c r="Y183" i="20" s="1"/>
  <c r="S69" i="20"/>
  <c r="AI69" i="20" s="1"/>
  <c r="V167" i="20"/>
  <c r="V33" i="20"/>
  <c r="S53" i="20"/>
  <c r="AI53" i="20" s="1"/>
  <c r="S191" i="20"/>
  <c r="AM127" i="20"/>
  <c r="AN99" i="20"/>
  <c r="AN113" i="20"/>
  <c r="BC201" i="20"/>
  <c r="BV201" i="20" s="1"/>
  <c r="AQ122" i="20"/>
  <c r="AT122" i="20" s="1"/>
  <c r="BT122" i="20" s="1"/>
  <c r="Y99" i="20"/>
  <c r="AJ113" i="20"/>
  <c r="AH201" i="20"/>
  <c r="AQ124" i="20"/>
  <c r="AT124" i="20" s="1"/>
  <c r="BT124" i="20" s="1"/>
  <c r="AW10" i="20"/>
  <c r="Y205" i="20"/>
  <c r="AH24" i="20"/>
  <c r="Y193" i="20"/>
  <c r="S58" i="20"/>
  <c r="AI58" i="20" s="1"/>
  <c r="V57" i="20"/>
  <c r="S205" i="20"/>
  <c r="V181" i="20"/>
  <c r="AN181" i="20" s="1"/>
  <c r="S168" i="20"/>
  <c r="S74" i="20"/>
  <c r="AI74" i="20" s="1"/>
  <c r="V24" i="20"/>
  <c r="AV201" i="20"/>
  <c r="AX201" i="20" s="1"/>
  <c r="BU201" i="20" s="1"/>
  <c r="AJ205" i="20"/>
  <c r="AA113" i="20"/>
  <c r="AB113" i="20" s="1"/>
  <c r="AC113" i="20" s="1"/>
  <c r="AA205" i="20"/>
  <c r="AB205" i="20" s="1"/>
  <c r="AC205" i="20" s="1"/>
  <c r="S132" i="20"/>
  <c r="S24" i="20"/>
  <c r="V131" i="20"/>
  <c r="AD131" i="20" s="1"/>
  <c r="AE131" i="20" s="1"/>
  <c r="AF131" i="20" s="1"/>
  <c r="S127" i="20"/>
  <c r="V65" i="20"/>
  <c r="AJ99" i="20"/>
  <c r="AN125" i="20"/>
  <c r="AW31" i="20"/>
  <c r="AA99" i="20"/>
  <c r="AB99" i="20" s="1"/>
  <c r="AC99" i="20" s="1"/>
  <c r="Y125" i="20"/>
  <c r="AJ125" i="20"/>
  <c r="AA125" i="20"/>
  <c r="AB125" i="20" s="1"/>
  <c r="AC125" i="20" s="1"/>
  <c r="AN193" i="20"/>
  <c r="AJ193" i="20"/>
  <c r="AA193" i="20"/>
  <c r="AB193" i="20" s="1"/>
  <c r="AC193" i="20" s="1"/>
  <c r="S113" i="20"/>
  <c r="AI113" i="20" s="1"/>
  <c r="S163" i="20"/>
  <c r="V201" i="20"/>
  <c r="AJ201" i="20" s="1"/>
  <c r="S198" i="20"/>
  <c r="V75" i="20"/>
  <c r="AS75" i="20" s="1"/>
  <c r="S200" i="20"/>
  <c r="V67" i="20"/>
  <c r="AS67" i="20" s="1"/>
  <c r="S21" i="20"/>
  <c r="S142" i="20"/>
  <c r="V28" i="20"/>
  <c r="V74" i="20"/>
  <c r="AS74" i="20" s="1"/>
  <c r="AW16" i="20"/>
  <c r="AD16" i="20"/>
  <c r="AE16" i="20" s="1"/>
  <c r="AF16" i="20" s="1"/>
  <c r="V163" i="20"/>
  <c r="AD163" i="20" s="1"/>
  <c r="AE163" i="20" s="1"/>
  <c r="AF163" i="20" s="1"/>
  <c r="S159" i="20"/>
  <c r="Y16" i="20"/>
  <c r="Y197" i="20"/>
  <c r="V103" i="20"/>
  <c r="AW103" i="20" s="1"/>
  <c r="V140" i="20"/>
  <c r="AJ140" i="20" s="1"/>
  <c r="S122" i="20"/>
  <c r="V159" i="20"/>
  <c r="S43" i="20"/>
  <c r="AI43" i="20" s="1"/>
  <c r="V145" i="20"/>
  <c r="AS16" i="20"/>
  <c r="S105" i="20"/>
  <c r="AI105" i="20" s="1"/>
  <c r="S83" i="20"/>
  <c r="AI83" i="20" s="1"/>
  <c r="S20" i="20"/>
  <c r="S63" i="20"/>
  <c r="AI63" i="20" s="1"/>
  <c r="S101" i="20"/>
  <c r="AI101" i="20" s="1"/>
  <c r="S183" i="20"/>
  <c r="S197" i="20"/>
  <c r="V105" i="20"/>
  <c r="AW105" i="20" s="1"/>
  <c r="S167" i="20"/>
  <c r="V83" i="20"/>
  <c r="V20" i="20"/>
  <c r="S70" i="20"/>
  <c r="AI70" i="20" s="1"/>
  <c r="S152" i="20"/>
  <c r="S75" i="20"/>
  <c r="AI75" i="20" s="1"/>
  <c r="S16" i="20"/>
  <c r="S85" i="20"/>
  <c r="AI85" i="20" s="1"/>
  <c r="S206" i="20"/>
  <c r="V17" i="20"/>
  <c r="S87" i="20"/>
  <c r="AI87" i="20" s="1"/>
  <c r="AA21" i="20"/>
  <c r="AB21" i="20" s="1"/>
  <c r="AC21" i="20" s="1"/>
  <c r="AD21" i="20"/>
  <c r="AE21" i="20" s="1"/>
  <c r="AF21" i="20" s="1"/>
  <c r="Y21" i="20"/>
  <c r="AY23" i="20"/>
  <c r="AH23" i="20"/>
  <c r="AM23" i="20"/>
  <c r="X23" i="20"/>
  <c r="AA31" i="20"/>
  <c r="AB31" i="20" s="1"/>
  <c r="AC31" i="20" s="1"/>
  <c r="Y31" i="20"/>
  <c r="Y151" i="20"/>
  <c r="AJ151" i="20"/>
  <c r="AD151" i="20"/>
  <c r="AE151" i="20" s="1"/>
  <c r="AF151" i="20" s="1"/>
  <c r="AA151" i="20"/>
  <c r="AB151" i="20" s="1"/>
  <c r="AC151" i="20" s="1"/>
  <c r="AN141" i="20"/>
  <c r="AD141" i="20"/>
  <c r="AE141" i="20" s="1"/>
  <c r="AF141" i="20" s="1"/>
  <c r="AA141" i="20"/>
  <c r="AB141" i="20" s="1"/>
  <c r="AC141" i="20" s="1"/>
  <c r="AJ141" i="20"/>
  <c r="Y141" i="20"/>
  <c r="AJ150" i="20"/>
  <c r="AD150" i="20"/>
  <c r="AE150" i="20" s="1"/>
  <c r="AF150" i="20" s="1"/>
  <c r="AA150" i="20"/>
  <c r="AB150" i="20" s="1"/>
  <c r="AC150" i="20" s="1"/>
  <c r="Y150" i="20"/>
  <c r="AV38" i="20"/>
  <c r="AH38" i="20"/>
  <c r="AJ190" i="20"/>
  <c r="AN190" i="20"/>
  <c r="AA190" i="20"/>
  <c r="AB190" i="20" s="1"/>
  <c r="AC190" i="20" s="1"/>
  <c r="AD190" i="20"/>
  <c r="AE190" i="20" s="1"/>
  <c r="AF190" i="20" s="1"/>
  <c r="Y190" i="20"/>
  <c r="AY140" i="20"/>
  <c r="AV140" i="20"/>
  <c r="AX140" i="20" s="1"/>
  <c r="BU140" i="20" s="1"/>
  <c r="AH140" i="20"/>
  <c r="X140" i="20"/>
  <c r="AQ140" i="20"/>
  <c r="AT140" i="20" s="1"/>
  <c r="BT140" i="20" s="1"/>
  <c r="BC140" i="20"/>
  <c r="BV140" i="20" s="1"/>
  <c r="AN155" i="20"/>
  <c r="AA155" i="20"/>
  <c r="AB155" i="20" s="1"/>
  <c r="AC155" i="20" s="1"/>
  <c r="Y155" i="20"/>
  <c r="AJ155" i="20"/>
  <c r="AD155" i="20"/>
  <c r="AE155" i="20" s="1"/>
  <c r="AF155" i="20" s="1"/>
  <c r="Y196" i="20"/>
  <c r="AJ196" i="20"/>
  <c r="AA196" i="20"/>
  <c r="AB196" i="20" s="1"/>
  <c r="AC196" i="20" s="1"/>
  <c r="AN196" i="20"/>
  <c r="AD196" i="20"/>
  <c r="AE196" i="20" s="1"/>
  <c r="AF196" i="20" s="1"/>
  <c r="AV165" i="20"/>
  <c r="AX165" i="20" s="1"/>
  <c r="BU165" i="20" s="1"/>
  <c r="AY165" i="20"/>
  <c r="X165" i="20"/>
  <c r="AH165" i="20"/>
  <c r="AQ165" i="20"/>
  <c r="AT165" i="20" s="1"/>
  <c r="BT165" i="20" s="1"/>
  <c r="AY162" i="20"/>
  <c r="AV162" i="20"/>
  <c r="AX162" i="20" s="1"/>
  <c r="BU162" i="20" s="1"/>
  <c r="X162" i="20"/>
  <c r="AH162" i="20"/>
  <c r="AM162" i="20"/>
  <c r="AH206" i="20"/>
  <c r="AQ206" i="20"/>
  <c r="AT206" i="20" s="1"/>
  <c r="BT206" i="20" s="1"/>
  <c r="X206" i="20"/>
  <c r="AV206" i="20"/>
  <c r="AX206" i="20" s="1"/>
  <c r="BU206" i="20" s="1"/>
  <c r="AY206" i="20"/>
  <c r="X157" i="20"/>
  <c r="AQ157" i="20"/>
  <c r="AT157" i="20" s="1"/>
  <c r="BT157" i="20" s="1"/>
  <c r="AH157" i="20"/>
  <c r="AY157" i="20"/>
  <c r="AV157" i="20"/>
  <c r="AX157" i="20" s="1"/>
  <c r="BU157" i="20" s="1"/>
  <c r="S36" i="20"/>
  <c r="AI36" i="20" s="1"/>
  <c r="S14" i="20"/>
  <c r="AV32" i="20"/>
  <c r="S32" i="20"/>
  <c r="V12" i="20"/>
  <c r="S147" i="20"/>
  <c r="S149" i="20"/>
  <c r="V164" i="20"/>
  <c r="AY145" i="20"/>
  <c r="AV16" i="20"/>
  <c r="AH168" i="20"/>
  <c r="Y34" i="20"/>
  <c r="V119" i="20"/>
  <c r="V13" i="20"/>
  <c r="V52" i="20"/>
  <c r="AJ52" i="20" s="1"/>
  <c r="V176" i="20"/>
  <c r="V61" i="20"/>
  <c r="AS61" i="20" s="1"/>
  <c r="V134" i="20"/>
  <c r="V47" i="20"/>
  <c r="S173" i="20"/>
  <c r="V189" i="20"/>
  <c r="AN162" i="20"/>
  <c r="AJ162" i="20"/>
  <c r="AA162" i="20"/>
  <c r="AB162" i="20" s="1"/>
  <c r="AC162" i="20" s="1"/>
  <c r="Y162" i="20"/>
  <c r="AD162" i="20"/>
  <c r="AE162" i="20" s="1"/>
  <c r="AF162" i="20" s="1"/>
  <c r="V192" i="20"/>
  <c r="V37" i="20"/>
  <c r="AV31" i="20"/>
  <c r="AH200" i="20"/>
  <c r="AY99" i="20"/>
  <c r="BC118" i="20"/>
  <c r="BV118" i="20" s="1"/>
  <c r="V135" i="20"/>
  <c r="V39" i="20"/>
  <c r="S39" i="20"/>
  <c r="AI39" i="20" s="1"/>
  <c r="S66" i="20"/>
  <c r="AI66" i="20" s="1"/>
  <c r="V107" i="20"/>
  <c r="AW107" i="20" s="1"/>
  <c r="V152" i="20"/>
  <c r="S106" i="20"/>
  <c r="AI106" i="20" s="1"/>
  <c r="AY186" i="20"/>
  <c r="S59" i="20"/>
  <c r="AI59" i="20" s="1"/>
  <c r="S139" i="20"/>
  <c r="V85" i="20"/>
  <c r="V18" i="20"/>
  <c r="S99" i="20"/>
  <c r="AI99" i="20" s="1"/>
  <c r="V153" i="20"/>
  <c r="S23" i="20"/>
  <c r="V206" i="20"/>
  <c r="X131" i="20"/>
  <c r="AV189" i="20"/>
  <c r="AX189" i="20" s="1"/>
  <c r="BU189" i="20" s="1"/>
  <c r="V204" i="20"/>
  <c r="V35" i="20"/>
  <c r="S71" i="20"/>
  <c r="AI71" i="20" s="1"/>
  <c r="S140" i="20"/>
  <c r="V66" i="20"/>
  <c r="AS66" i="20" s="1"/>
  <c r="S79" i="20"/>
  <c r="AI79" i="20" s="1"/>
  <c r="S118" i="20"/>
  <c r="V101" i="20"/>
  <c r="AW101" i="20" s="1"/>
  <c r="S77" i="20"/>
  <c r="AI77" i="20" s="1"/>
  <c r="S125" i="20"/>
  <c r="V106" i="20"/>
  <c r="AW106" i="20" s="1"/>
  <c r="V59" i="20"/>
  <c r="AS59" i="20" s="1"/>
  <c r="V139" i="20"/>
  <c r="S67" i="20"/>
  <c r="AI67" i="20" s="1"/>
  <c r="S174" i="20"/>
  <c r="S207" i="20"/>
  <c r="S27" i="20"/>
  <c r="V80" i="20"/>
  <c r="V23" i="20"/>
  <c r="S166" i="20"/>
  <c r="V38" i="20"/>
  <c r="V154" i="20"/>
  <c r="S28" i="20"/>
  <c r="V191" i="20"/>
  <c r="S55" i="20"/>
  <c r="AI55" i="20" s="1"/>
  <c r="V203" i="20"/>
  <c r="AY203" i="20"/>
  <c r="V130" i="20"/>
  <c r="S15" i="20"/>
  <c r="V29" i="20"/>
  <c r="S29" i="20"/>
  <c r="S30" i="20"/>
  <c r="AV193" i="20"/>
  <c r="AX193" i="20" s="1"/>
  <c r="BU193" i="20" s="1"/>
  <c r="V71" i="20"/>
  <c r="AS71" i="20" s="1"/>
  <c r="V79" i="20"/>
  <c r="V77" i="20"/>
  <c r="S11" i="20"/>
  <c r="V207" i="20"/>
  <c r="V19" i="20"/>
  <c r="V166" i="20"/>
  <c r="V55" i="20"/>
  <c r="AJ55" i="20" s="1"/>
  <c r="AH67" i="20"/>
  <c r="V185" i="20"/>
  <c r="S155" i="20"/>
  <c r="V146" i="20"/>
  <c r="V58" i="20"/>
  <c r="AS58" i="20" s="1"/>
  <c r="V69" i="20"/>
  <c r="AS69" i="20" s="1"/>
  <c r="S196" i="20"/>
  <c r="V25" i="20"/>
  <c r="V49" i="20"/>
  <c r="S86" i="20"/>
  <c r="AI86" i="20" s="1"/>
  <c r="V156" i="20"/>
  <c r="V122" i="20"/>
  <c r="S180" i="20"/>
  <c r="V172" i="20"/>
  <c r="V169" i="20"/>
  <c r="S171" i="20"/>
  <c r="V127" i="20"/>
  <c r="S31" i="20"/>
  <c r="V70" i="20"/>
  <c r="AS70" i="20" s="1"/>
  <c r="V88" i="20"/>
  <c r="V129" i="20"/>
  <c r="V178" i="20"/>
  <c r="AV17" i="20"/>
  <c r="AH82" i="20"/>
  <c r="S119" i="20"/>
  <c r="S13" i="20"/>
  <c r="AJ197" i="20"/>
  <c r="AD197" i="20"/>
  <c r="AE197" i="20" s="1"/>
  <c r="AF197" i="20" s="1"/>
  <c r="AA197" i="20"/>
  <c r="AB197" i="20" s="1"/>
  <c r="AC197" i="20" s="1"/>
  <c r="S52" i="20"/>
  <c r="AI52" i="20" s="1"/>
  <c r="S57" i="20"/>
  <c r="AI57" i="20" s="1"/>
  <c r="S61" i="20"/>
  <c r="AI61" i="20" s="1"/>
  <c r="S50" i="20"/>
  <c r="AI50" i="20" s="1"/>
  <c r="S47" i="20"/>
  <c r="AI47" i="20" s="1"/>
  <c r="V42" i="20"/>
  <c r="V53" i="20"/>
  <c r="AJ53" i="20" s="1"/>
  <c r="V171" i="20"/>
  <c r="V26" i="20"/>
  <c r="V63" i="20"/>
  <c r="AS63" i="20" s="1"/>
  <c r="S112" i="20"/>
  <c r="AI112" i="20" s="1"/>
  <c r="V41" i="20"/>
  <c r="V128" i="20"/>
  <c r="S82" i="20"/>
  <c r="AI82" i="20" s="1"/>
  <c r="X24" i="20"/>
  <c r="AM24" i="20"/>
  <c r="AQ24" i="20"/>
  <c r="AY171" i="20"/>
  <c r="AH171" i="20"/>
  <c r="AV171" i="20"/>
  <c r="AX171" i="20" s="1"/>
  <c r="BU171" i="20" s="1"/>
  <c r="X171" i="20"/>
  <c r="AQ171" i="20"/>
  <c r="AT171" i="20" s="1"/>
  <c r="BT171" i="20" s="1"/>
  <c r="AM159" i="20"/>
  <c r="X159" i="20"/>
  <c r="AY159" i="20"/>
  <c r="AV159" i="20"/>
  <c r="AX159" i="20" s="1"/>
  <c r="BU159" i="20" s="1"/>
  <c r="BC38" i="20"/>
  <c r="BV38" i="20" s="1"/>
  <c r="AQ159" i="20"/>
  <c r="AT159" i="20" s="1"/>
  <c r="BT159" i="20" s="1"/>
  <c r="AV192" i="20"/>
  <c r="AX192" i="20" s="1"/>
  <c r="BU192" i="20" s="1"/>
  <c r="AV33" i="20"/>
  <c r="X166" i="20"/>
  <c r="AH166" i="20"/>
  <c r="AY166" i="20"/>
  <c r="AQ166" i="20"/>
  <c r="AT166" i="20" s="1"/>
  <c r="BT166" i="20" s="1"/>
  <c r="AV166" i="20"/>
  <c r="AX166" i="20" s="1"/>
  <c r="BU166" i="20" s="1"/>
  <c r="AY172" i="20"/>
  <c r="AV172" i="20"/>
  <c r="AX172" i="20" s="1"/>
  <c r="BU172" i="20" s="1"/>
  <c r="AH172" i="20"/>
  <c r="X172" i="20"/>
  <c r="AQ172" i="20"/>
  <c r="AT172" i="20" s="1"/>
  <c r="BT172" i="20" s="1"/>
  <c r="X22" i="20"/>
  <c r="AM124" i="20"/>
  <c r="AY53" i="20"/>
  <c r="AH128" i="20"/>
  <c r="AQ128" i="20"/>
  <c r="AT128" i="20" s="1"/>
  <c r="BT128" i="20" s="1"/>
  <c r="X128" i="20"/>
  <c r="AV128" i="20"/>
  <c r="AX128" i="20" s="1"/>
  <c r="BU128" i="20" s="1"/>
  <c r="AY128" i="20"/>
  <c r="AY119" i="20"/>
  <c r="AH119" i="20"/>
  <c r="AV119" i="20"/>
  <c r="AX119" i="20" s="1"/>
  <c r="BU119" i="20" s="1"/>
  <c r="X119" i="20"/>
  <c r="AQ119" i="20"/>
  <c r="AT119" i="20" s="1"/>
  <c r="BT119" i="20" s="1"/>
  <c r="AY79" i="20"/>
  <c r="AY75" i="20"/>
  <c r="AH205" i="20"/>
  <c r="AQ205" i="20"/>
  <c r="AT205" i="20" s="1"/>
  <c r="BT205" i="20" s="1"/>
  <c r="X205" i="20"/>
  <c r="AV205" i="20"/>
  <c r="AX205" i="20" s="1"/>
  <c r="BU205" i="20" s="1"/>
  <c r="AY205" i="20"/>
  <c r="AY198" i="20"/>
  <c r="AH198" i="20"/>
  <c r="X198" i="20"/>
  <c r="AV198" i="20"/>
  <c r="AX198" i="20" s="1"/>
  <c r="BU198" i="20" s="1"/>
  <c r="AQ198" i="20"/>
  <c r="AT198" i="20" s="1"/>
  <c r="BT198" i="20" s="1"/>
  <c r="AM28" i="20"/>
  <c r="AV28" i="20"/>
  <c r="AY208" i="20"/>
  <c r="X152" i="20"/>
  <c r="AV152" i="20"/>
  <c r="AX152" i="20" s="1"/>
  <c r="BU152" i="20" s="1"/>
  <c r="AH152" i="20"/>
  <c r="AQ152" i="20"/>
  <c r="AT152" i="20" s="1"/>
  <c r="BT152" i="20" s="1"/>
  <c r="AY152" i="20"/>
  <c r="X13" i="20"/>
  <c r="AH13" i="20"/>
  <c r="AM13" i="20"/>
  <c r="AV13" i="20"/>
  <c r="AY13" i="20"/>
  <c r="X113" i="20"/>
  <c r="AV113" i="20"/>
  <c r="AX113" i="20" s="1"/>
  <c r="BU113" i="20" s="1"/>
  <c r="AH113" i="20"/>
  <c r="AQ113" i="20"/>
  <c r="AT113" i="20" s="1"/>
  <c r="BT113" i="20" s="1"/>
  <c r="AY113" i="20"/>
  <c r="AH106" i="20"/>
  <c r="AM10" i="20"/>
  <c r="AH10" i="20"/>
  <c r="X10" i="20"/>
  <c r="AV10" i="20"/>
  <c r="AY10" i="20"/>
  <c r="AJ161" i="20" l="1"/>
  <c r="AY28" i="20"/>
  <c r="AY33" i="20"/>
  <c r="AA161" i="20"/>
  <c r="AB161" i="20" s="1"/>
  <c r="AC161" i="20" s="1"/>
  <c r="Y161" i="20"/>
  <c r="X28" i="20"/>
  <c r="AD161" i="20"/>
  <c r="AE161" i="20" s="1"/>
  <c r="AF161" i="20" s="1"/>
  <c r="AY101" i="20"/>
  <c r="S40" i="20"/>
  <c r="AI40" i="20" s="1"/>
  <c r="AK10" i="20"/>
  <c r="BR10" i="20" s="1"/>
  <c r="AO10" i="20"/>
  <c r="BS10" i="20" s="1"/>
  <c r="AN41" i="20"/>
  <c r="AJ41" i="20"/>
  <c r="AJ23" i="20"/>
  <c r="AK23" i="20" s="1"/>
  <c r="BR23" i="20" s="1"/>
  <c r="AN23" i="20"/>
  <c r="AO23" i="20" s="1"/>
  <c r="BS23" i="20" s="1"/>
  <c r="AJ13" i="20"/>
  <c r="AK13" i="20" s="1"/>
  <c r="BR13" i="20" s="1"/>
  <c r="AN13" i="20"/>
  <c r="AO13" i="20" s="1"/>
  <c r="BS13" i="20" s="1"/>
  <c r="AJ17" i="20"/>
  <c r="AN17" i="20"/>
  <c r="AJ28" i="20"/>
  <c r="AK28" i="20" s="1"/>
  <c r="BR28" i="20" s="1"/>
  <c r="AN28" i="20"/>
  <c r="AO28" i="20" s="1"/>
  <c r="BS28" i="20" s="1"/>
  <c r="AJ25" i="20"/>
  <c r="AN25" i="20"/>
  <c r="AN35" i="20"/>
  <c r="AJ35" i="20"/>
  <c r="AJ12" i="20"/>
  <c r="AN12" i="20"/>
  <c r="AJ18" i="20"/>
  <c r="AN18" i="20"/>
  <c r="AN37" i="20"/>
  <c r="AJ37" i="20"/>
  <c r="AW9" i="20"/>
  <c r="AX9" i="20" s="1"/>
  <c r="AJ9" i="20"/>
  <c r="AK9" i="20" s="1"/>
  <c r="BR9" i="20" s="1"/>
  <c r="AN9" i="20"/>
  <c r="AO9" i="20" s="1"/>
  <c r="BS9" i="20" s="1"/>
  <c r="AJ26" i="20"/>
  <c r="AN26" i="20"/>
  <c r="AJ19" i="20"/>
  <c r="AN19" i="20"/>
  <c r="AJ24" i="20"/>
  <c r="AN24" i="20"/>
  <c r="AO24" i="20" s="1"/>
  <c r="BS24" i="20" s="1"/>
  <c r="AJ33" i="20"/>
  <c r="AN33" i="20"/>
  <c r="AJ29" i="20"/>
  <c r="AN29" i="20"/>
  <c r="AN39" i="20"/>
  <c r="AJ39" i="20"/>
  <c r="AK24" i="20"/>
  <c r="BR24" i="20" s="1"/>
  <c r="AN38" i="20"/>
  <c r="AO38" i="20" s="1"/>
  <c r="BS38" i="20" s="1"/>
  <c r="AJ38" i="20"/>
  <c r="AK38" i="20" s="1"/>
  <c r="BR38" i="20" s="1"/>
  <c r="AS22" i="20"/>
  <c r="AJ22" i="20"/>
  <c r="AN22" i="20"/>
  <c r="Y20" i="20"/>
  <c r="AJ20" i="20"/>
  <c r="AN20" i="20"/>
  <c r="AN42" i="20"/>
  <c r="AJ42" i="20"/>
  <c r="AL40" i="20"/>
  <c r="AM40" i="20" s="1"/>
  <c r="AA50" i="20"/>
  <c r="AB50" i="20" s="1"/>
  <c r="AC50" i="20" s="1"/>
  <c r="AJ50" i="20"/>
  <c r="AA34" i="20"/>
  <c r="AB34" i="20" s="1"/>
  <c r="AC34" i="20" s="1"/>
  <c r="AN34" i="20"/>
  <c r="AN49" i="20"/>
  <c r="AJ49" i="20"/>
  <c r="AP40" i="20"/>
  <c r="AD43" i="20"/>
  <c r="AE43" i="20" s="1"/>
  <c r="AF43" i="20" s="1"/>
  <c r="AN43" i="20"/>
  <c r="AO43" i="20" s="1"/>
  <c r="BS43" i="20" s="1"/>
  <c r="AJ43" i="20"/>
  <c r="V40" i="20"/>
  <c r="AJ40" i="20" s="1"/>
  <c r="AN47" i="20"/>
  <c r="AJ47" i="20"/>
  <c r="AG59" i="20"/>
  <c r="AH59" i="20" s="1"/>
  <c r="AG57" i="20"/>
  <c r="AG63" i="20"/>
  <c r="AH63" i="20" s="1"/>
  <c r="AT74" i="20"/>
  <c r="BT74" i="20" s="1"/>
  <c r="AG58" i="20"/>
  <c r="AG61" i="20"/>
  <c r="AH61" i="20" s="1"/>
  <c r="AL110" i="20"/>
  <c r="W110" i="20"/>
  <c r="AU110" i="20"/>
  <c r="AG110" i="20"/>
  <c r="Y111" i="20"/>
  <c r="AW111" i="20"/>
  <c r="AX111" i="20" s="1"/>
  <c r="BU111" i="20" s="1"/>
  <c r="AD34" i="20"/>
  <c r="AE34" i="20" s="1"/>
  <c r="AF34" i="20" s="1"/>
  <c r="AY124" i="20"/>
  <c r="Q109" i="20"/>
  <c r="AS34" i="20"/>
  <c r="S110" i="20"/>
  <c r="AI110" i="20" s="1"/>
  <c r="AW34" i="20"/>
  <c r="AP110" i="20"/>
  <c r="AY49" i="20"/>
  <c r="AU68" i="20"/>
  <c r="AV68" i="20" s="1"/>
  <c r="AG68" i="20"/>
  <c r="AH68" i="20" s="1"/>
  <c r="W38" i="21"/>
  <c r="AY38" i="21" s="1"/>
  <c r="AY50" i="20"/>
  <c r="W32" i="21"/>
  <c r="W69" i="21"/>
  <c r="AY69" i="21" s="1"/>
  <c r="AY47" i="20"/>
  <c r="V76" i="20"/>
  <c r="AN76" i="20" s="1"/>
  <c r="W49" i="21"/>
  <c r="AG49" i="21" s="1"/>
  <c r="AH49" i="21" s="1"/>
  <c r="V21" i="21"/>
  <c r="AN21" i="21" s="1"/>
  <c r="AW89" i="20"/>
  <c r="W94" i="21"/>
  <c r="AY94" i="21" s="1"/>
  <c r="W40" i="21"/>
  <c r="X40" i="21" s="1"/>
  <c r="AG76" i="20"/>
  <c r="AH76" i="20" s="1"/>
  <c r="AN87" i="20"/>
  <c r="AL76" i="20"/>
  <c r="AM76" i="20" s="1"/>
  <c r="AU76" i="20"/>
  <c r="AV76" i="20" s="1"/>
  <c r="AP76" i="20"/>
  <c r="AQ76" i="20" s="1"/>
  <c r="AT76" i="20" s="1"/>
  <c r="BT76" i="20" s="1"/>
  <c r="W76" i="20"/>
  <c r="X76" i="20" s="1"/>
  <c r="W82" i="21"/>
  <c r="S76" i="20"/>
  <c r="AI76" i="20" s="1"/>
  <c r="S107" i="21"/>
  <c r="AI107" i="21" s="1"/>
  <c r="S80" i="21"/>
  <c r="AI80" i="21" s="1"/>
  <c r="W43" i="21"/>
  <c r="AU43" i="21" s="1"/>
  <c r="AV43" i="21" s="1"/>
  <c r="S47" i="21"/>
  <c r="AI47" i="21" s="1"/>
  <c r="W23" i="21"/>
  <c r="AG23" i="21" s="1"/>
  <c r="AH23" i="21" s="1"/>
  <c r="W72" i="21"/>
  <c r="AY9" i="20"/>
  <c r="W79" i="21"/>
  <c r="AY79" i="21" s="1"/>
  <c r="Y209" i="20"/>
  <c r="W28" i="21"/>
  <c r="W48" i="21"/>
  <c r="S101" i="21"/>
  <c r="AI101" i="21" s="1"/>
  <c r="S97" i="21"/>
  <c r="AI97" i="21" s="1"/>
  <c r="V107" i="21"/>
  <c r="S73" i="21"/>
  <c r="AI73" i="21" s="1"/>
  <c r="S28" i="21"/>
  <c r="AI28" i="21" s="1"/>
  <c r="W66" i="21"/>
  <c r="AY66" i="21" s="1"/>
  <c r="S86" i="21"/>
  <c r="AI86" i="21" s="1"/>
  <c r="V38" i="21"/>
  <c r="AJ38" i="21" s="1"/>
  <c r="AD50" i="20"/>
  <c r="AE50" i="20" s="1"/>
  <c r="AF50" i="20" s="1"/>
  <c r="W45" i="21"/>
  <c r="AY45" i="21" s="1"/>
  <c r="S51" i="21"/>
  <c r="AI51" i="21" s="1"/>
  <c r="V77" i="21"/>
  <c r="W77" i="21"/>
  <c r="AP77" i="21" s="1"/>
  <c r="AQ77" i="21" s="1"/>
  <c r="AS50" i="20"/>
  <c r="W74" i="21"/>
  <c r="S85" i="21"/>
  <c r="AI85" i="21" s="1"/>
  <c r="V102" i="21"/>
  <c r="AJ102" i="21" s="1"/>
  <c r="W47" i="21"/>
  <c r="AU47" i="21" s="1"/>
  <c r="AV47" i="21" s="1"/>
  <c r="S37" i="21"/>
  <c r="AI37" i="21" s="1"/>
  <c r="V82" i="21"/>
  <c r="AJ82" i="21" s="1"/>
  <c r="S72" i="21"/>
  <c r="AI72" i="21" s="1"/>
  <c r="V37" i="21"/>
  <c r="S69" i="21"/>
  <c r="AI69" i="21" s="1"/>
  <c r="V48" i="21"/>
  <c r="AJ48" i="21" s="1"/>
  <c r="Y50" i="20"/>
  <c r="S54" i="21"/>
  <c r="AI54" i="21" s="1"/>
  <c r="V83" i="21"/>
  <c r="S59" i="21"/>
  <c r="AI59" i="21" s="1"/>
  <c r="V86" i="21"/>
  <c r="AJ86" i="21" s="1"/>
  <c r="S105" i="21"/>
  <c r="AI105" i="21" s="1"/>
  <c r="V46" i="21"/>
  <c r="AJ46" i="21" s="1"/>
  <c r="V97" i="21"/>
  <c r="AJ97" i="21" s="1"/>
  <c r="S49" i="21"/>
  <c r="AI49" i="21" s="1"/>
  <c r="V59" i="21"/>
  <c r="AJ59" i="21" s="1"/>
  <c r="V105" i="21"/>
  <c r="AJ105" i="21" s="1"/>
  <c r="W87" i="21"/>
  <c r="AY87" i="21" s="1"/>
  <c r="W86" i="21"/>
  <c r="AY86" i="21" s="1"/>
  <c r="V73" i="21"/>
  <c r="AJ73" i="21" s="1"/>
  <c r="W46" i="21"/>
  <c r="S10" i="21"/>
  <c r="AI10" i="21" s="1"/>
  <c r="W36" i="21"/>
  <c r="AY36" i="21" s="1"/>
  <c r="S36" i="21"/>
  <c r="AI36" i="21" s="1"/>
  <c r="V69" i="21"/>
  <c r="W29" i="21"/>
  <c r="W83" i="21"/>
  <c r="AY83" i="21" s="1"/>
  <c r="W12" i="21"/>
  <c r="AY12" i="21" s="1"/>
  <c r="S48" i="21"/>
  <c r="AI48" i="21" s="1"/>
  <c r="S102" i="21"/>
  <c r="AI102" i="21" s="1"/>
  <c r="V51" i="21"/>
  <c r="AJ51" i="21" s="1"/>
  <c r="S77" i="21"/>
  <c r="AI77" i="21" s="1"/>
  <c r="W21" i="21"/>
  <c r="AG21" i="21" s="1"/>
  <c r="AH21" i="21" s="1"/>
  <c r="W107" i="21"/>
  <c r="AG107" i="21" s="1"/>
  <c r="AH107" i="21" s="1"/>
  <c r="W105" i="21"/>
  <c r="AU105" i="21" s="1"/>
  <c r="AV105" i="21" s="1"/>
  <c r="V26" i="21"/>
  <c r="R57" i="21"/>
  <c r="R11" i="21"/>
  <c r="W11" i="21" s="1"/>
  <c r="AL11" i="21" s="1"/>
  <c r="AM11" i="21" s="1"/>
  <c r="R17" i="21"/>
  <c r="S17" i="21" s="1"/>
  <c r="AI17" i="21" s="1"/>
  <c r="R14" i="21"/>
  <c r="V14" i="21" s="1"/>
  <c r="AJ14" i="21" s="1"/>
  <c r="S26" i="21"/>
  <c r="AI26" i="21" s="1"/>
  <c r="R16" i="21"/>
  <c r="S16" i="21" s="1"/>
  <c r="AI16" i="21" s="1"/>
  <c r="R65" i="21"/>
  <c r="S65" i="21" s="1"/>
  <c r="AI65" i="21" s="1"/>
  <c r="W92" i="21"/>
  <c r="W24" i="21"/>
  <c r="AY24" i="21" s="1"/>
  <c r="R63" i="21"/>
  <c r="W63" i="21" s="1"/>
  <c r="AY63" i="21" s="1"/>
  <c r="R58" i="21"/>
  <c r="V58" i="21" s="1"/>
  <c r="AJ58" i="21" s="1"/>
  <c r="S91" i="21"/>
  <c r="AI91" i="21" s="1"/>
  <c r="S99" i="21"/>
  <c r="AI99" i="21" s="1"/>
  <c r="S95" i="21"/>
  <c r="AI95" i="21" s="1"/>
  <c r="R39" i="21"/>
  <c r="W39" i="21" s="1"/>
  <c r="V85" i="21"/>
  <c r="AJ85" i="21" s="1"/>
  <c r="S76" i="21"/>
  <c r="AI76" i="21" s="1"/>
  <c r="V47" i="21"/>
  <c r="V101" i="21"/>
  <c r="AJ101" i="21" s="1"/>
  <c r="R19" i="21"/>
  <c r="S19" i="21" s="1"/>
  <c r="AI19" i="21" s="1"/>
  <c r="S25" i="21"/>
  <c r="AI25" i="21" s="1"/>
  <c r="S55" i="21"/>
  <c r="AI55" i="21" s="1"/>
  <c r="W97" i="21"/>
  <c r="AL97" i="21" s="1"/>
  <c r="AM97" i="21" s="1"/>
  <c r="W10" i="21"/>
  <c r="AY10" i="21" s="1"/>
  <c r="R33" i="21"/>
  <c r="S33" i="21" s="1"/>
  <c r="AI33" i="21" s="1"/>
  <c r="S35" i="21"/>
  <c r="AI35" i="21" s="1"/>
  <c r="S81" i="21"/>
  <c r="AI81" i="21" s="1"/>
  <c r="R104" i="21"/>
  <c r="R68" i="21"/>
  <c r="W68" i="21" s="1"/>
  <c r="AY68" i="21" s="1"/>
  <c r="S70" i="21"/>
  <c r="AI70" i="21" s="1"/>
  <c r="V91" i="21"/>
  <c r="AJ91" i="21" s="1"/>
  <c r="S92" i="21"/>
  <c r="AI92" i="21" s="1"/>
  <c r="V99" i="21"/>
  <c r="AJ99" i="21" s="1"/>
  <c r="W95" i="21"/>
  <c r="V95" i="21"/>
  <c r="AJ95" i="21" s="1"/>
  <c r="V29" i="21"/>
  <c r="AJ29" i="21" s="1"/>
  <c r="R96" i="21"/>
  <c r="W96" i="21" s="1"/>
  <c r="V45" i="21"/>
  <c r="S43" i="21"/>
  <c r="AI43" i="21" s="1"/>
  <c r="W85" i="21"/>
  <c r="R88" i="21"/>
  <c r="W88" i="21" s="1"/>
  <c r="AG88" i="21" s="1"/>
  <c r="AH88" i="21" s="1"/>
  <c r="S32" i="21"/>
  <c r="AI32" i="21" s="1"/>
  <c r="V25" i="21"/>
  <c r="R100" i="21"/>
  <c r="V100" i="21" s="1"/>
  <c r="AJ100" i="21" s="1"/>
  <c r="V55" i="21"/>
  <c r="AJ55" i="21" s="1"/>
  <c r="W67" i="21"/>
  <c r="W26" i="21"/>
  <c r="AU26" i="21" s="1"/>
  <c r="AV26" i="21" s="1"/>
  <c r="R71" i="21"/>
  <c r="S71" i="21" s="1"/>
  <c r="AI71" i="21" s="1"/>
  <c r="R108" i="21"/>
  <c r="V108" i="21" s="1"/>
  <c r="AJ108" i="21" s="1"/>
  <c r="R53" i="21"/>
  <c r="S53" i="21" s="1"/>
  <c r="AI53" i="21" s="1"/>
  <c r="R34" i="21"/>
  <c r="V34" i="21" s="1"/>
  <c r="AJ34" i="21" s="1"/>
  <c r="V35" i="21"/>
  <c r="AJ35" i="21" s="1"/>
  <c r="R103" i="21"/>
  <c r="S103" i="21" s="1"/>
  <c r="AI103" i="21" s="1"/>
  <c r="W91" i="21"/>
  <c r="AU91" i="21" s="1"/>
  <c r="AV91" i="21" s="1"/>
  <c r="R52" i="21"/>
  <c r="W52" i="21" s="1"/>
  <c r="AY52" i="21" s="1"/>
  <c r="V70" i="21"/>
  <c r="AJ70" i="21" s="1"/>
  <c r="R93" i="21"/>
  <c r="S93" i="21" s="1"/>
  <c r="AI93" i="21" s="1"/>
  <c r="R61" i="21"/>
  <c r="S61" i="21" s="1"/>
  <c r="AI61" i="21" s="1"/>
  <c r="W76" i="21"/>
  <c r="AY76" i="21" s="1"/>
  <c r="R9" i="21"/>
  <c r="R56" i="21"/>
  <c r="S56" i="21" s="1"/>
  <c r="AI56" i="21" s="1"/>
  <c r="V43" i="21"/>
  <c r="AJ43" i="21" s="1"/>
  <c r="R31" i="21"/>
  <c r="W31" i="21" s="1"/>
  <c r="AY31" i="21" s="1"/>
  <c r="V32" i="21"/>
  <c r="AJ32" i="21" s="1"/>
  <c r="W99" i="21"/>
  <c r="AY99" i="21" s="1"/>
  <c r="W78" i="21"/>
  <c r="S79" i="21"/>
  <c r="AI79" i="21" s="1"/>
  <c r="W27" i="21"/>
  <c r="AP27" i="21" s="1"/>
  <c r="AQ27" i="21" s="1"/>
  <c r="W59" i="21"/>
  <c r="R13" i="21"/>
  <c r="V13" i="21" s="1"/>
  <c r="AJ13" i="21" s="1"/>
  <c r="S12" i="21"/>
  <c r="AI12" i="21" s="1"/>
  <c r="S84" i="21"/>
  <c r="AI84" i="21" s="1"/>
  <c r="W35" i="21"/>
  <c r="X35" i="21" s="1"/>
  <c r="V79" i="21"/>
  <c r="AJ79" i="21" s="1"/>
  <c r="W51" i="21"/>
  <c r="W22" i="21"/>
  <c r="AY22" i="21" s="1"/>
  <c r="R75" i="21"/>
  <c r="V75" i="21" s="1"/>
  <c r="AJ75" i="21" s="1"/>
  <c r="R15" i="21"/>
  <c r="W15" i="21" s="1"/>
  <c r="AY15" i="21" s="1"/>
  <c r="W70" i="21"/>
  <c r="AY70" i="21" s="1"/>
  <c r="R98" i="21"/>
  <c r="V98" i="21" s="1"/>
  <c r="R89" i="21"/>
  <c r="V89" i="21" s="1"/>
  <c r="AJ89" i="21" s="1"/>
  <c r="R64" i="21"/>
  <c r="S64" i="21" s="1"/>
  <c r="AI64" i="21" s="1"/>
  <c r="R60" i="21"/>
  <c r="V60" i="21" s="1"/>
  <c r="AJ60" i="21" s="1"/>
  <c r="S27" i="21"/>
  <c r="AI27" i="21" s="1"/>
  <c r="V12" i="21"/>
  <c r="V84" i="21"/>
  <c r="AJ84" i="21" s="1"/>
  <c r="V67" i="21"/>
  <c r="AJ67" i="21" s="1"/>
  <c r="R44" i="21"/>
  <c r="V44" i="21" s="1"/>
  <c r="AJ44" i="21" s="1"/>
  <c r="V10" i="21"/>
  <c r="S74" i="21"/>
  <c r="AI74" i="21" s="1"/>
  <c r="V24" i="21"/>
  <c r="R109" i="21"/>
  <c r="V109" i="21" s="1"/>
  <c r="AJ109" i="21" s="1"/>
  <c r="S87" i="21"/>
  <c r="AI87" i="21" s="1"/>
  <c r="W55" i="21"/>
  <c r="S40" i="21"/>
  <c r="AI40" i="21" s="1"/>
  <c r="R90" i="21"/>
  <c r="V90" i="21" s="1"/>
  <c r="S78" i="21"/>
  <c r="AI78" i="21" s="1"/>
  <c r="W54" i="21"/>
  <c r="W84" i="21"/>
  <c r="AY84" i="21" s="1"/>
  <c r="R41" i="21"/>
  <c r="S41" i="21" s="1"/>
  <c r="AI41" i="21" s="1"/>
  <c r="R18" i="21"/>
  <c r="W18" i="21" s="1"/>
  <c r="R20" i="21"/>
  <c r="W20" i="21" s="1"/>
  <c r="R42" i="21"/>
  <c r="W42" i="21" s="1"/>
  <c r="AY42" i="21" s="1"/>
  <c r="V27" i="21"/>
  <c r="AJ27" i="21" s="1"/>
  <c r="S83" i="21"/>
  <c r="AI83" i="21" s="1"/>
  <c r="V23" i="21"/>
  <c r="AJ23" i="21" s="1"/>
  <c r="S66" i="21"/>
  <c r="AI66" i="21" s="1"/>
  <c r="R62" i="21"/>
  <c r="W62" i="21" s="1"/>
  <c r="AY62" i="21" s="1"/>
  <c r="S22" i="21"/>
  <c r="AI22" i="21" s="1"/>
  <c r="V74" i="21"/>
  <c r="AJ74" i="21" s="1"/>
  <c r="R106" i="21"/>
  <c r="W106" i="21" s="1"/>
  <c r="AY106" i="21" s="1"/>
  <c r="W101" i="21"/>
  <c r="AY101" i="21" s="1"/>
  <c r="S21" i="21"/>
  <c r="AI21" i="21" s="1"/>
  <c r="W25" i="21"/>
  <c r="AY25" i="21" s="1"/>
  <c r="S82" i="21"/>
  <c r="AI82" i="21" s="1"/>
  <c r="V87" i="21"/>
  <c r="AJ87" i="21" s="1"/>
  <c r="S46" i="21"/>
  <c r="AI46" i="21" s="1"/>
  <c r="R50" i="21"/>
  <c r="W50" i="21" s="1"/>
  <c r="S38" i="21"/>
  <c r="AI38" i="21" s="1"/>
  <c r="V40" i="21"/>
  <c r="V78" i="21"/>
  <c r="AJ78" i="21" s="1"/>
  <c r="S94" i="21"/>
  <c r="AI94" i="21" s="1"/>
  <c r="W81" i="21"/>
  <c r="AP81" i="21" s="1"/>
  <c r="AQ81" i="21" s="1"/>
  <c r="W80" i="21"/>
  <c r="AA87" i="20"/>
  <c r="AB87" i="20" s="1"/>
  <c r="AC87" i="20" s="1"/>
  <c r="Y87" i="20"/>
  <c r="AJ87" i="20"/>
  <c r="AK87" i="20" s="1"/>
  <c r="BR87" i="20" s="1"/>
  <c r="AW87" i="20"/>
  <c r="AN50" i="20"/>
  <c r="AW50" i="20"/>
  <c r="AX50" i="20" s="1"/>
  <c r="AD9" i="20"/>
  <c r="AE9" i="20" s="1"/>
  <c r="AF9" i="20" s="1"/>
  <c r="X74" i="20"/>
  <c r="AY74" i="20"/>
  <c r="AS9" i="20"/>
  <c r="AY63" i="20"/>
  <c r="AY57" i="20"/>
  <c r="Y9" i="20"/>
  <c r="AP37" i="21"/>
  <c r="AQ37" i="21" s="1"/>
  <c r="AA9" i="20"/>
  <c r="AB9" i="20" s="1"/>
  <c r="AC9" i="20" s="1"/>
  <c r="AL37" i="21"/>
  <c r="AM37" i="21" s="1"/>
  <c r="AY37" i="21"/>
  <c r="X9" i="20"/>
  <c r="AY55" i="20"/>
  <c r="AG55" i="20"/>
  <c r="AH55" i="20" s="1"/>
  <c r="AK55" i="20" s="1"/>
  <c r="BR55" i="20" s="1"/>
  <c r="X66" i="20"/>
  <c r="AY66" i="20"/>
  <c r="AA80" i="21"/>
  <c r="AB80" i="21" s="1"/>
  <c r="AC80" i="21" s="1"/>
  <c r="AS76" i="21"/>
  <c r="AN76" i="21"/>
  <c r="AD76" i="21"/>
  <c r="AE76" i="21" s="1"/>
  <c r="AF76" i="21" s="1"/>
  <c r="Y76" i="21"/>
  <c r="AW76" i="21"/>
  <c r="AY102" i="21"/>
  <c r="AA76" i="21"/>
  <c r="AB76" i="21" s="1"/>
  <c r="AC76" i="21" s="1"/>
  <c r="AS81" i="21"/>
  <c r="Y81" i="21"/>
  <c r="AA81" i="21"/>
  <c r="AB81" i="21" s="1"/>
  <c r="AC81" i="21" s="1"/>
  <c r="AW81" i="21"/>
  <c r="AN81" i="21"/>
  <c r="AD81" i="21"/>
  <c r="AE81" i="21" s="1"/>
  <c r="AF81" i="21" s="1"/>
  <c r="AY73" i="21"/>
  <c r="AD36" i="21"/>
  <c r="AE36" i="21" s="1"/>
  <c r="AF36" i="21" s="1"/>
  <c r="Y36" i="21"/>
  <c r="AW36" i="21"/>
  <c r="AN36" i="21"/>
  <c r="AS36" i="21"/>
  <c r="AW80" i="21"/>
  <c r="AS80" i="21"/>
  <c r="AN80" i="21"/>
  <c r="AD80" i="21"/>
  <c r="AE80" i="21" s="1"/>
  <c r="AF80" i="21" s="1"/>
  <c r="Y80" i="21"/>
  <c r="AY30" i="21"/>
  <c r="AW49" i="21"/>
  <c r="AS49" i="21"/>
  <c r="AN49" i="21"/>
  <c r="AA49" i="21"/>
  <c r="AB49" i="21" s="1"/>
  <c r="AC49" i="21" s="1"/>
  <c r="Y49" i="21"/>
  <c r="AD49" i="21"/>
  <c r="AE49" i="21" s="1"/>
  <c r="AF49" i="21" s="1"/>
  <c r="AA36" i="21"/>
  <c r="AB36" i="21" s="1"/>
  <c r="AC36" i="21" s="1"/>
  <c r="AA89" i="20"/>
  <c r="AB89" i="20" s="1"/>
  <c r="AC89" i="20" s="1"/>
  <c r="AK200" i="20"/>
  <c r="BR200" i="20" s="1"/>
  <c r="AJ82" i="20"/>
  <c r="AK82" i="20" s="1"/>
  <c r="BR82" i="20" s="1"/>
  <c r="AN82" i="20"/>
  <c r="AW82" i="20"/>
  <c r="Y82" i="20"/>
  <c r="AA82" i="20"/>
  <c r="AB82" i="20" s="1"/>
  <c r="AC82" i="20" s="1"/>
  <c r="AA111" i="20"/>
  <c r="AB111" i="20" s="1"/>
  <c r="AC111" i="20" s="1"/>
  <c r="S62" i="20"/>
  <c r="AI62" i="20" s="1"/>
  <c r="AL62" i="20"/>
  <c r="W62" i="20"/>
  <c r="AP62" i="20"/>
  <c r="AP48" i="20"/>
  <c r="AQ48" i="20" s="1"/>
  <c r="AV48" i="20"/>
  <c r="AL48" i="20"/>
  <c r="AM48" i="20" s="1"/>
  <c r="W48" i="20"/>
  <c r="AY48" i="20" s="1"/>
  <c r="S72" i="20"/>
  <c r="AI72" i="20" s="1"/>
  <c r="AP72" i="20"/>
  <c r="AL72" i="20"/>
  <c r="W72" i="20"/>
  <c r="V44" i="20"/>
  <c r="W44" i="20"/>
  <c r="AG44" i="20" s="1"/>
  <c r="AP44" i="20"/>
  <c r="AL44" i="20"/>
  <c r="AW86" i="20"/>
  <c r="AL46" i="20"/>
  <c r="AM46" i="20" s="1"/>
  <c r="W46" i="20"/>
  <c r="AY46" i="20" s="1"/>
  <c r="AP46" i="20"/>
  <c r="AQ46" i="20" s="1"/>
  <c r="AV46" i="20"/>
  <c r="S81" i="20"/>
  <c r="AI81" i="20" s="1"/>
  <c r="AP81" i="20"/>
  <c r="AL81" i="20"/>
  <c r="W81" i="20"/>
  <c r="AY81" i="20" s="1"/>
  <c r="AP64" i="20"/>
  <c r="AQ64" i="20" s="1"/>
  <c r="AV64" i="20"/>
  <c r="AL64" i="20"/>
  <c r="AM64" i="20" s="1"/>
  <c r="W64" i="20"/>
  <c r="S51" i="20"/>
  <c r="AI51" i="20" s="1"/>
  <c r="W51" i="20"/>
  <c r="AG51" i="20" s="1"/>
  <c r="AP51" i="20"/>
  <c r="AL51" i="20"/>
  <c r="V54" i="20"/>
  <c r="AL54" i="20"/>
  <c r="W54" i="20"/>
  <c r="AP54" i="20"/>
  <c r="Y86" i="20"/>
  <c r="V45" i="20"/>
  <c r="W45" i="20"/>
  <c r="AG45" i="20" s="1"/>
  <c r="AP45" i="20"/>
  <c r="AL45" i="20"/>
  <c r="S78" i="20"/>
  <c r="AI78" i="20" s="1"/>
  <c r="AL78" i="20"/>
  <c r="W78" i="20"/>
  <c r="AY78" i="20" s="1"/>
  <c r="AP78" i="20"/>
  <c r="V73" i="20"/>
  <c r="AP73" i="20"/>
  <c r="AL73" i="20"/>
  <c r="W73" i="20"/>
  <c r="AY73" i="20" s="1"/>
  <c r="AP56" i="20"/>
  <c r="AQ56" i="20" s="1"/>
  <c r="AV56" i="20"/>
  <c r="AL56" i="20"/>
  <c r="AM56" i="20" s="1"/>
  <c r="W56" i="20"/>
  <c r="AG56" i="20" s="1"/>
  <c r="AH56" i="20" s="1"/>
  <c r="W60" i="20"/>
  <c r="AG60" i="20" s="1"/>
  <c r="AP60" i="20"/>
  <c r="AQ60" i="20" s="1"/>
  <c r="AV60" i="20"/>
  <c r="AL60" i="20"/>
  <c r="AM60" i="20" s="1"/>
  <c r="AN86" i="20"/>
  <c r="V84" i="20"/>
  <c r="AW84" i="20" s="1"/>
  <c r="W84" i="20"/>
  <c r="AY84" i="20" s="1"/>
  <c r="AP84" i="20"/>
  <c r="AL84" i="20"/>
  <c r="AJ86" i="20"/>
  <c r="AD86" i="20"/>
  <c r="AE86" i="20" s="1"/>
  <c r="AF86" i="20" s="1"/>
  <c r="W68" i="20"/>
  <c r="AY68" i="20" s="1"/>
  <c r="AP68" i="20"/>
  <c r="AQ68" i="20" s="1"/>
  <c r="AL68" i="20"/>
  <c r="AM68" i="20" s="1"/>
  <c r="AN174" i="20"/>
  <c r="AD174" i="20"/>
  <c r="AE174" i="20" s="1"/>
  <c r="AF174" i="20" s="1"/>
  <c r="Y174" i="20"/>
  <c r="AJ174" i="20"/>
  <c r="Y148" i="20"/>
  <c r="AD132" i="20"/>
  <c r="AE132" i="20" s="1"/>
  <c r="AF132" i="20" s="1"/>
  <c r="X105" i="20"/>
  <c r="AQ197" i="20"/>
  <c r="AT197" i="20" s="1"/>
  <c r="BT197" i="20" s="1"/>
  <c r="AY135" i="20"/>
  <c r="BC148" i="20"/>
  <c r="BV148" i="20" s="1"/>
  <c r="AQ9" i="20"/>
  <c r="Y89" i="20"/>
  <c r="AQ52" i="20"/>
  <c r="Z10" i="20"/>
  <c r="AY169" i="20"/>
  <c r="AA184" i="20"/>
  <c r="AB184" i="20" s="1"/>
  <c r="AC184" i="20" s="1"/>
  <c r="AD89" i="20"/>
  <c r="AE89" i="20" s="1"/>
  <c r="AF89" i="20" s="1"/>
  <c r="AJ89" i="20"/>
  <c r="X147" i="20"/>
  <c r="AD111" i="20"/>
  <c r="AE111" i="20" s="1"/>
  <c r="AF111" i="20" s="1"/>
  <c r="AH148" i="20"/>
  <c r="V95" i="20"/>
  <c r="AW95" i="20" s="1"/>
  <c r="X132" i="20"/>
  <c r="Z132" i="20" s="1"/>
  <c r="AH207" i="20"/>
  <c r="BC32" i="20"/>
  <c r="BV32" i="20" s="1"/>
  <c r="BC139" i="20"/>
  <c r="BV139" i="20" s="1"/>
  <c r="BC146" i="20"/>
  <c r="BV146" i="20" s="1"/>
  <c r="X207" i="20"/>
  <c r="AY139" i="20"/>
  <c r="S95" i="20"/>
  <c r="AI95" i="20" s="1"/>
  <c r="AN168" i="20"/>
  <c r="X199" i="20"/>
  <c r="V97" i="20"/>
  <c r="AW97" i="20" s="1"/>
  <c r="AV197" i="20"/>
  <c r="AX197" i="20" s="1"/>
  <c r="BU197" i="20" s="1"/>
  <c r="AV105" i="20"/>
  <c r="AX105" i="20" s="1"/>
  <c r="BU105" i="20" s="1"/>
  <c r="AV207" i="20"/>
  <c r="AX207" i="20" s="1"/>
  <c r="BU207" i="20" s="1"/>
  <c r="AJ168" i="20"/>
  <c r="AK168" i="20" s="1"/>
  <c r="BR168" i="20" s="1"/>
  <c r="AA168" i="20"/>
  <c r="AB168" i="20" s="1"/>
  <c r="AC168" i="20" s="1"/>
  <c r="AV24" i="20"/>
  <c r="AQ95" i="20"/>
  <c r="AT95" i="20" s="1"/>
  <c r="BT95" i="20" s="1"/>
  <c r="AY207" i="20"/>
  <c r="AY22" i="20"/>
  <c r="AH33" i="20"/>
  <c r="AK33" i="20" s="1"/>
  <c r="BR33" i="20" s="1"/>
  <c r="X139" i="20"/>
  <c r="AV143" i="20"/>
  <c r="AX143" i="20" s="1"/>
  <c r="BU143" i="20" s="1"/>
  <c r="S117" i="20"/>
  <c r="S179" i="20"/>
  <c r="Y168" i="20"/>
  <c r="AQ207" i="20"/>
  <c r="AT207" i="20" s="1"/>
  <c r="BT207" i="20" s="1"/>
  <c r="AQ33" i="20"/>
  <c r="AQ139" i="20"/>
  <c r="AT139" i="20" s="1"/>
  <c r="BT139" i="20" s="1"/>
  <c r="S143" i="20"/>
  <c r="AH139" i="20"/>
  <c r="AM103" i="20"/>
  <c r="AV139" i="20"/>
  <c r="AX139" i="20" s="1"/>
  <c r="BU139" i="20" s="1"/>
  <c r="V182" i="20"/>
  <c r="AJ182" i="20" s="1"/>
  <c r="AH169" i="20"/>
  <c r="V92" i="20"/>
  <c r="AW92" i="20" s="1"/>
  <c r="AK205" i="20"/>
  <c r="BR205" i="20" s="1"/>
  <c r="AQ125" i="20"/>
  <c r="AT125" i="20" s="1"/>
  <c r="BT125" i="20" s="1"/>
  <c r="AH22" i="20"/>
  <c r="AK22" i="20" s="1"/>
  <c r="BR22" i="20" s="1"/>
  <c r="AM33" i="20"/>
  <c r="S102" i="20"/>
  <c r="AI102" i="20" s="1"/>
  <c r="V91" i="20"/>
  <c r="AW91" i="20" s="1"/>
  <c r="AY105" i="20"/>
  <c r="AH105" i="20"/>
  <c r="AM22" i="20"/>
  <c r="X33" i="20"/>
  <c r="BC162" i="20"/>
  <c r="BV162" i="20" s="1"/>
  <c r="AY197" i="20"/>
  <c r="AM105" i="20"/>
  <c r="AM201" i="20"/>
  <c r="Y184" i="20"/>
  <c r="V98" i="20"/>
  <c r="AJ98" i="20" s="1"/>
  <c r="AJ184" i="20"/>
  <c r="S199" i="20"/>
  <c r="AQ169" i="20"/>
  <c r="AT169" i="20" s="1"/>
  <c r="BT169" i="20" s="1"/>
  <c r="AY179" i="20"/>
  <c r="AN184" i="20"/>
  <c r="V94" i="20"/>
  <c r="V93" i="20"/>
  <c r="AW93" i="20" s="1"/>
  <c r="S90" i="20"/>
  <c r="AI90" i="20" s="1"/>
  <c r="AY103" i="20"/>
  <c r="S94" i="20"/>
  <c r="AI94" i="20" s="1"/>
  <c r="S93" i="20"/>
  <c r="AI93" i="20" s="1"/>
  <c r="V90" i="20"/>
  <c r="AW90" i="20" s="1"/>
  <c r="AY90" i="20"/>
  <c r="AY94" i="20"/>
  <c r="AH103" i="20"/>
  <c r="Z197" i="20"/>
  <c r="AQ103" i="20"/>
  <c r="AT103" i="20" s="1"/>
  <c r="BT103" i="20" s="1"/>
  <c r="AV103" i="20"/>
  <c r="AX103" i="20" s="1"/>
  <c r="BU103" i="20" s="1"/>
  <c r="AH197" i="20"/>
  <c r="AK197" i="20" s="1"/>
  <c r="BR197" i="20" s="1"/>
  <c r="S209" i="20"/>
  <c r="AA209" i="20"/>
  <c r="AB209" i="20" s="1"/>
  <c r="AC209" i="20" s="1"/>
  <c r="AQ192" i="20"/>
  <c r="AT192" i="20" s="1"/>
  <c r="BT192" i="20" s="1"/>
  <c r="X43" i="20"/>
  <c r="BC192" i="20"/>
  <c r="BV192" i="20" s="1"/>
  <c r="V56" i="20"/>
  <c r="AS56" i="20" s="1"/>
  <c r="AN209" i="20"/>
  <c r="Y43" i="20"/>
  <c r="AQ127" i="20"/>
  <c r="AT127" i="20" s="1"/>
  <c r="BT127" i="20" s="1"/>
  <c r="X192" i="20"/>
  <c r="AJ209" i="20"/>
  <c r="AS43" i="20"/>
  <c r="AA43" i="20"/>
  <c r="AB43" i="20" s="1"/>
  <c r="AC43" i="20" s="1"/>
  <c r="AH192" i="20"/>
  <c r="AA118" i="20"/>
  <c r="AB118" i="20" s="1"/>
  <c r="AC118" i="20" s="1"/>
  <c r="Y118" i="20"/>
  <c r="AH209" i="20"/>
  <c r="S138" i="20"/>
  <c r="AD118" i="20"/>
  <c r="AE118" i="20" s="1"/>
  <c r="AF118" i="20" s="1"/>
  <c r="AJ118" i="20"/>
  <c r="AW43" i="20"/>
  <c r="S96" i="20"/>
  <c r="AI96" i="20" s="1"/>
  <c r="AH181" i="20"/>
  <c r="AV181" i="20"/>
  <c r="AX181" i="20" s="1"/>
  <c r="BU181" i="20" s="1"/>
  <c r="AY181" i="20"/>
  <c r="AM181" i="20"/>
  <c r="AO181" i="20" s="1"/>
  <c r="BS181" i="20" s="1"/>
  <c r="AQ181" i="20"/>
  <c r="AT181" i="20" s="1"/>
  <c r="BT181" i="20" s="1"/>
  <c r="X181" i="20"/>
  <c r="AJ148" i="20"/>
  <c r="Y198" i="20"/>
  <c r="Z198" i="20" s="1"/>
  <c r="AQ208" i="20"/>
  <c r="AT208" i="20" s="1"/>
  <c r="BT208" i="20" s="1"/>
  <c r="AV204" i="20"/>
  <c r="AX204" i="20" s="1"/>
  <c r="BU204" i="20" s="1"/>
  <c r="S181" i="20"/>
  <c r="AN198" i="20"/>
  <c r="AQ117" i="20"/>
  <c r="AT117" i="20" s="1"/>
  <c r="BT117" i="20" s="1"/>
  <c r="AN132" i="20"/>
  <c r="AY106" i="20"/>
  <c r="X145" i="20"/>
  <c r="S98" i="20"/>
  <c r="AI98" i="20" s="1"/>
  <c r="AY98" i="20"/>
  <c r="AD148" i="20"/>
  <c r="AE148" i="20" s="1"/>
  <c r="AF148" i="20" s="1"/>
  <c r="V102" i="20"/>
  <c r="AW102" i="20" s="1"/>
  <c r="AJ111" i="20"/>
  <c r="AJ132" i="20"/>
  <c r="AK132" i="20" s="1"/>
  <c r="BR132" i="20" s="1"/>
  <c r="AA132" i="20"/>
  <c r="AB132" i="20" s="1"/>
  <c r="AC132" i="20" s="1"/>
  <c r="AV117" i="20"/>
  <c r="AX117" i="20" s="1"/>
  <c r="BU117" i="20" s="1"/>
  <c r="X20" i="20"/>
  <c r="AV106" i="20"/>
  <c r="AX106" i="20" s="1"/>
  <c r="BU106" i="20" s="1"/>
  <c r="V180" i="20"/>
  <c r="AN180" i="20" s="1"/>
  <c r="AN148" i="20"/>
  <c r="AO148" i="20" s="1"/>
  <c r="BS148" i="20" s="1"/>
  <c r="AJ124" i="20"/>
  <c r="AK124" i="20" s="1"/>
  <c r="BR124" i="20" s="1"/>
  <c r="AN111" i="20"/>
  <c r="AK201" i="20"/>
  <c r="BR201" i="20" s="1"/>
  <c r="AM106" i="20"/>
  <c r="AY132" i="20"/>
  <c r="AN183" i="20"/>
  <c r="AO183" i="20" s="1"/>
  <c r="BS183" i="20" s="1"/>
  <c r="AA124" i="20"/>
  <c r="AB124" i="20" s="1"/>
  <c r="AC124" i="20" s="1"/>
  <c r="AY167" i="20"/>
  <c r="Y124" i="20"/>
  <c r="Z124" i="20" s="1"/>
  <c r="AD124" i="20"/>
  <c r="AE124" i="20" s="1"/>
  <c r="AF124" i="20" s="1"/>
  <c r="AJ208" i="20"/>
  <c r="Y208" i="20"/>
  <c r="AA208" i="20"/>
  <c r="AB208" i="20" s="1"/>
  <c r="AC208" i="20" s="1"/>
  <c r="AN208" i="20"/>
  <c r="AD208" i="20"/>
  <c r="AE208" i="20" s="1"/>
  <c r="AF208" i="20" s="1"/>
  <c r="AK52" i="20"/>
  <c r="BR52" i="20" s="1"/>
  <c r="AH167" i="20"/>
  <c r="X167" i="20"/>
  <c r="X86" i="20"/>
  <c r="AQ148" i="20"/>
  <c r="AT148" i="20" s="1"/>
  <c r="BT148" i="20" s="1"/>
  <c r="X148" i="20"/>
  <c r="AQ86" i="20"/>
  <c r="AT86" i="20" s="1"/>
  <c r="BT86" i="20" s="1"/>
  <c r="AH86" i="20"/>
  <c r="AY148" i="20"/>
  <c r="AM69" i="20"/>
  <c r="AM52" i="20"/>
  <c r="AX31" i="20"/>
  <c r="AV148" i="20"/>
  <c r="AX148" i="20" s="1"/>
  <c r="BU148" i="20" s="1"/>
  <c r="AM180" i="20"/>
  <c r="AQ132" i="20"/>
  <c r="AT132" i="20" s="1"/>
  <c r="BT132" i="20" s="1"/>
  <c r="S64" i="20"/>
  <c r="AI64" i="20" s="1"/>
  <c r="AV180" i="20"/>
  <c r="AX180" i="20" s="1"/>
  <c r="BU180" i="20" s="1"/>
  <c r="AM132" i="20"/>
  <c r="AH32" i="20"/>
  <c r="AV132" i="20"/>
  <c r="AX132" i="20" s="1"/>
  <c r="BU132" i="20" s="1"/>
  <c r="AH69" i="20"/>
  <c r="AQ180" i="20"/>
  <c r="AT180" i="20" s="1"/>
  <c r="BT180" i="20" s="1"/>
  <c r="X32" i="20"/>
  <c r="X69" i="20"/>
  <c r="AQ53" i="20"/>
  <c r="AY180" i="20"/>
  <c r="Z183" i="20"/>
  <c r="AY31" i="20"/>
  <c r="X180" i="20"/>
  <c r="AV69" i="20"/>
  <c r="AY32" i="20"/>
  <c r="AH208" i="20"/>
  <c r="AH186" i="20"/>
  <c r="AV43" i="20"/>
  <c r="AH125" i="20"/>
  <c r="AK125" i="20" s="1"/>
  <c r="BR125" i="20" s="1"/>
  <c r="AH20" i="20"/>
  <c r="X135" i="20"/>
  <c r="AQ135" i="20"/>
  <c r="AT135" i="20" s="1"/>
  <c r="BT135" i="20" s="1"/>
  <c r="AV200" i="20"/>
  <c r="AX200" i="20" s="1"/>
  <c r="BU200" i="20" s="1"/>
  <c r="AH75" i="20"/>
  <c r="AY131" i="20"/>
  <c r="AD47" i="20"/>
  <c r="AE47" i="20" s="1"/>
  <c r="AF47" i="20" s="1"/>
  <c r="AQ43" i="20"/>
  <c r="AT43" i="20" s="1"/>
  <c r="AM20" i="20"/>
  <c r="AM75" i="20"/>
  <c r="AM135" i="20"/>
  <c r="BC20" i="20"/>
  <c r="BV20" i="20" s="1"/>
  <c r="AQ167" i="20"/>
  <c r="AT167" i="20" s="1"/>
  <c r="BT167" i="20" s="1"/>
  <c r="AQ200" i="20"/>
  <c r="AT200" i="20" s="1"/>
  <c r="BT200" i="20" s="1"/>
  <c r="AH131" i="20"/>
  <c r="AA47" i="20"/>
  <c r="AB47" i="20" s="1"/>
  <c r="AC47" i="20" s="1"/>
  <c r="X200" i="20"/>
  <c r="Z200" i="20" s="1"/>
  <c r="X150" i="20"/>
  <c r="Z150" i="20" s="1"/>
  <c r="AW47" i="20"/>
  <c r="AY20" i="20"/>
  <c r="AQ191" i="20"/>
  <c r="AT191" i="20" s="1"/>
  <c r="BT191" i="20" s="1"/>
  <c r="AY191" i="20"/>
  <c r="AV191" i="20"/>
  <c r="AX191" i="20" s="1"/>
  <c r="BU191" i="20" s="1"/>
  <c r="AH191" i="20"/>
  <c r="X191" i="20"/>
  <c r="AM125" i="20"/>
  <c r="AO125" i="20" s="1"/>
  <c r="BS125" i="20" s="1"/>
  <c r="AY43" i="20"/>
  <c r="AH150" i="20"/>
  <c r="AK150" i="20" s="1"/>
  <c r="BR150" i="20" s="1"/>
  <c r="AA142" i="20"/>
  <c r="AB142" i="20" s="1"/>
  <c r="AC142" i="20" s="1"/>
  <c r="AH135" i="20"/>
  <c r="AM200" i="20"/>
  <c r="AO200" i="20" s="1"/>
  <c r="BS200" i="20" s="1"/>
  <c r="AQ199" i="20"/>
  <c r="AT199" i="20" s="1"/>
  <c r="BT199" i="20" s="1"/>
  <c r="AH43" i="20"/>
  <c r="AK43" i="20" s="1"/>
  <c r="BR43" i="20" s="1"/>
  <c r="AY125" i="20"/>
  <c r="Y47" i="20"/>
  <c r="X83" i="20"/>
  <c r="AA22" i="20"/>
  <c r="AB22" i="20" s="1"/>
  <c r="AC22" i="20" s="1"/>
  <c r="AN179" i="20"/>
  <c r="Y142" i="20"/>
  <c r="AD142" i="20"/>
  <c r="AE142" i="20" s="1"/>
  <c r="AF142" i="20" s="1"/>
  <c r="X58" i="20"/>
  <c r="X59" i="20"/>
  <c r="AY189" i="20"/>
  <c r="BC122" i="20"/>
  <c r="BV122" i="20" s="1"/>
  <c r="AV186" i="20"/>
  <c r="AX186" i="20" s="1"/>
  <c r="BU186" i="20" s="1"/>
  <c r="X94" i="21"/>
  <c r="AQ50" i="20"/>
  <c r="AV125" i="20"/>
  <c r="AX125" i="20" s="1"/>
  <c r="BU125" i="20" s="1"/>
  <c r="AS47" i="20"/>
  <c r="AH71" i="20"/>
  <c r="AD183" i="20"/>
  <c r="AE183" i="20" s="1"/>
  <c r="AF183" i="20" s="1"/>
  <c r="AN142" i="20"/>
  <c r="Y179" i="20"/>
  <c r="AW22" i="20"/>
  <c r="AX22" i="20" s="1"/>
  <c r="AD22" i="20"/>
  <c r="AE22" i="20" s="1"/>
  <c r="AF22" i="20" s="1"/>
  <c r="Y22" i="20"/>
  <c r="Z22" i="20" s="1"/>
  <c r="X117" i="20"/>
  <c r="AY117" i="20"/>
  <c r="BC101" i="20"/>
  <c r="BV101" i="20" s="1"/>
  <c r="AM199" i="20"/>
  <c r="AG94" i="21"/>
  <c r="AH94" i="21" s="1"/>
  <c r="AH50" i="20"/>
  <c r="AK50" i="20" s="1"/>
  <c r="BR50" i="20" s="1"/>
  <c r="AX101" i="20"/>
  <c r="BU101" i="20" s="1"/>
  <c r="AV169" i="20"/>
  <c r="AX169" i="20" s="1"/>
  <c r="BU169" i="20" s="1"/>
  <c r="AA198" i="20"/>
  <c r="AB198" i="20" s="1"/>
  <c r="AC198" i="20" s="1"/>
  <c r="AJ198" i="20"/>
  <c r="AK198" i="20" s="1"/>
  <c r="BR198" i="20" s="1"/>
  <c r="AY200" i="20"/>
  <c r="AQ85" i="20"/>
  <c r="AT85" i="20" s="1"/>
  <c r="BT85" i="20" s="1"/>
  <c r="AM87" i="20"/>
  <c r="AQ163" i="20"/>
  <c r="AT163" i="20" s="1"/>
  <c r="BT163" i="20" s="1"/>
  <c r="X163" i="20"/>
  <c r="AV163" i="20"/>
  <c r="AX163" i="20" s="1"/>
  <c r="BU163" i="20" s="1"/>
  <c r="AY163" i="20"/>
  <c r="AY127" i="20"/>
  <c r="AH127" i="20"/>
  <c r="AJ65" i="20"/>
  <c r="AS65" i="20"/>
  <c r="AD57" i="20"/>
  <c r="AE57" i="20" s="1"/>
  <c r="AF57" i="20" s="1"/>
  <c r="AS57" i="20"/>
  <c r="AV58" i="20"/>
  <c r="AM168" i="20"/>
  <c r="AW57" i="20"/>
  <c r="AH58" i="20"/>
  <c r="AQ58" i="20"/>
  <c r="AT58" i="20" s="1"/>
  <c r="AM151" i="20"/>
  <c r="AO151" i="20" s="1"/>
  <c r="BS151" i="20" s="1"/>
  <c r="AY151" i="20"/>
  <c r="AQ59" i="20"/>
  <c r="AT59" i="20" s="1"/>
  <c r="AV59" i="20"/>
  <c r="Y11" i="30"/>
  <c r="Y13" i="30" s="1"/>
  <c r="Y16" i="30" s="1"/>
  <c r="AM59" i="20"/>
  <c r="AS49" i="20"/>
  <c r="AH88" i="20"/>
  <c r="AQ88" i="20"/>
  <c r="AT88" i="20" s="1"/>
  <c r="BT88" i="20" s="1"/>
  <c r="AV52" i="20"/>
  <c r="AY52" i="20"/>
  <c r="AW65" i="20"/>
  <c r="AX65" i="20" s="1"/>
  <c r="BU65" i="20" s="1"/>
  <c r="AQ57" i="20"/>
  <c r="S60" i="20"/>
  <c r="AI60" i="20" s="1"/>
  <c r="AH17" i="20"/>
  <c r="AH21" i="20"/>
  <c r="AK21" i="20" s="1"/>
  <c r="BR21" i="20" s="1"/>
  <c r="AH65" i="20"/>
  <c r="AV21" i="20"/>
  <c r="AX21" i="20" s="1"/>
  <c r="AK157" i="20"/>
  <c r="BR157" i="20" s="1"/>
  <c r="Z113" i="20"/>
  <c r="AK151" i="20"/>
  <c r="BR151" i="20" s="1"/>
  <c r="AQ65" i="20"/>
  <c r="X88" i="20"/>
  <c r="X75" i="20"/>
  <c r="AV79" i="20"/>
  <c r="X50" i="20"/>
  <c r="AV168" i="20"/>
  <c r="AX168" i="20" s="1"/>
  <c r="BU168" i="20" s="1"/>
  <c r="Y57" i="20"/>
  <c r="Z57" i="20" s="1"/>
  <c r="Y65" i="20"/>
  <c r="AM65" i="20"/>
  <c r="AY168" i="20"/>
  <c r="AM88" i="20"/>
  <c r="AQ75" i="20"/>
  <c r="AT75" i="20" s="1"/>
  <c r="BT75" i="20" s="1"/>
  <c r="X79" i="20"/>
  <c r="AM50" i="20"/>
  <c r="AM17" i="20"/>
  <c r="AO17" i="20" s="1"/>
  <c r="BS17" i="20" s="1"/>
  <c r="X168" i="20"/>
  <c r="AY193" i="20"/>
  <c r="AQ193" i="20"/>
  <c r="AT193" i="20" s="1"/>
  <c r="BT193" i="20" s="1"/>
  <c r="BC79" i="20"/>
  <c r="BV79" i="20" s="1"/>
  <c r="AY17" i="20"/>
  <c r="AQ151" i="20"/>
  <c r="AT151" i="20" s="1"/>
  <c r="BT151" i="20" s="1"/>
  <c r="Z205" i="20"/>
  <c r="X17" i="20"/>
  <c r="AV151" i="20"/>
  <c r="AX151" i="20" s="1"/>
  <c r="BU151" i="20" s="1"/>
  <c r="AM193" i="20"/>
  <c r="AO193" i="20" s="1"/>
  <c r="BS193" i="20" s="1"/>
  <c r="AH193" i="20"/>
  <c r="AK193" i="20" s="1"/>
  <c r="AV67" i="20"/>
  <c r="BC17" i="20"/>
  <c r="BV17" i="20" s="1"/>
  <c r="AQ168" i="20"/>
  <c r="AT168" i="20" s="1"/>
  <c r="BT168" i="20" s="1"/>
  <c r="X151" i="20"/>
  <c r="Z151" i="20" s="1"/>
  <c r="X118" i="20"/>
  <c r="AH203" i="20"/>
  <c r="X65" i="20"/>
  <c r="X193" i="20"/>
  <c r="Z193" i="20" s="1"/>
  <c r="X53" i="20"/>
  <c r="AV55" i="20"/>
  <c r="AY118" i="20"/>
  <c r="AH118" i="20"/>
  <c r="AD157" i="20"/>
  <c r="AE157" i="20" s="1"/>
  <c r="AF157" i="20" s="1"/>
  <c r="AK140" i="20"/>
  <c r="BR140" i="20" s="1"/>
  <c r="AV118" i="20"/>
  <c r="AX118" i="20" s="1"/>
  <c r="BU118" i="20" s="1"/>
  <c r="AH80" i="20"/>
  <c r="Y165" i="20"/>
  <c r="Z165" i="20" s="1"/>
  <c r="Y157" i="20"/>
  <c r="Z157" i="20" s="1"/>
  <c r="BC183" i="20"/>
  <c r="BV183" i="20" s="1"/>
  <c r="AV82" i="20"/>
  <c r="AM16" i="20"/>
  <c r="AO16" i="20" s="1"/>
  <c r="BS16" i="20" s="1"/>
  <c r="AQ80" i="20"/>
  <c r="AT80" i="20" s="1"/>
  <c r="BT80" i="20" s="1"/>
  <c r="X111" i="20"/>
  <c r="AN165" i="20"/>
  <c r="AN157" i="20"/>
  <c r="X82" i="20"/>
  <c r="AQ118" i="20"/>
  <c r="AT118" i="20" s="1"/>
  <c r="BT118" i="20" s="1"/>
  <c r="AJ165" i="20"/>
  <c r="AK165" i="20" s="1"/>
  <c r="BR165" i="20" s="1"/>
  <c r="AA157" i="20"/>
  <c r="AB157" i="20" s="1"/>
  <c r="AC157" i="20" s="1"/>
  <c r="Y199" i="20"/>
  <c r="AY178" i="20"/>
  <c r="X55" i="20"/>
  <c r="AJ57" i="20"/>
  <c r="AQ82" i="20"/>
  <c r="AT82" i="20" s="1"/>
  <c r="BT82" i="20" s="1"/>
  <c r="AQ178" i="20"/>
  <c r="AT178" i="20" s="1"/>
  <c r="BT178" i="20" s="1"/>
  <c r="AQ55" i="20"/>
  <c r="AM118" i="20"/>
  <c r="AO118" i="20" s="1"/>
  <c r="BS118" i="20" s="1"/>
  <c r="AN57" i="20"/>
  <c r="AQ63" i="20"/>
  <c r="AT63" i="20" s="1"/>
  <c r="X178" i="20"/>
  <c r="AH89" i="20"/>
  <c r="AJ131" i="20"/>
  <c r="AD201" i="20"/>
  <c r="AE201" i="20" s="1"/>
  <c r="AF201" i="20" s="1"/>
  <c r="Y201" i="20"/>
  <c r="Z201" i="20" s="1"/>
  <c r="AX10" i="20"/>
  <c r="AA201" i="20"/>
  <c r="AB201" i="20" s="1"/>
  <c r="AC201" i="20" s="1"/>
  <c r="AN201" i="20"/>
  <c r="AN163" i="20"/>
  <c r="AS20" i="20"/>
  <c r="AA163" i="20"/>
  <c r="AB163" i="20" s="1"/>
  <c r="AC163" i="20" s="1"/>
  <c r="AW20" i="20"/>
  <c r="AX20" i="20" s="1"/>
  <c r="BU20" i="20" s="1"/>
  <c r="AN131" i="20"/>
  <c r="AJ163" i="20"/>
  <c r="AK163" i="20" s="1"/>
  <c r="BR163" i="20" s="1"/>
  <c r="AA20" i="20"/>
  <c r="AB20" i="20" s="1"/>
  <c r="AC20" i="20" s="1"/>
  <c r="Y163" i="20"/>
  <c r="AD20" i="20"/>
  <c r="AE20" i="20" s="1"/>
  <c r="AF20" i="20" s="1"/>
  <c r="X29" i="20"/>
  <c r="AQ29" i="20"/>
  <c r="AN167" i="20"/>
  <c r="AD167" i="20"/>
  <c r="AE167" i="20" s="1"/>
  <c r="AF167" i="20" s="1"/>
  <c r="AK113" i="20"/>
  <c r="BR113" i="20" s="1"/>
  <c r="AV85" i="20"/>
  <c r="AM186" i="20"/>
  <c r="AV208" i="20"/>
  <c r="AX208" i="20" s="1"/>
  <c r="BU208" i="20" s="1"/>
  <c r="AV57" i="20"/>
  <c r="AH178" i="20"/>
  <c r="X61" i="20"/>
  <c r="AM131" i="20"/>
  <c r="AY150" i="20"/>
  <c r="X21" i="20"/>
  <c r="Z21" i="20" s="1"/>
  <c r="X89" i="20"/>
  <c r="BC127" i="20"/>
  <c r="BV127" i="20" s="1"/>
  <c r="V112" i="20"/>
  <c r="AJ183" i="20"/>
  <c r="AK183" i="20" s="1"/>
  <c r="S175" i="20"/>
  <c r="AQ111" i="20"/>
  <c r="AT111" i="20" s="1"/>
  <c r="BT111" i="20" s="1"/>
  <c r="AY111" i="20"/>
  <c r="AH189" i="20"/>
  <c r="AQ186" i="20"/>
  <c r="AT186" i="20" s="1"/>
  <c r="BT186" i="20" s="1"/>
  <c r="X208" i="20"/>
  <c r="AM57" i="20"/>
  <c r="AM67" i="20"/>
  <c r="AH99" i="20"/>
  <c r="AK99" i="20" s="1"/>
  <c r="BR99" i="20" s="1"/>
  <c r="AV53" i="20"/>
  <c r="AM178" i="20"/>
  <c r="AV131" i="20"/>
  <c r="AX131" i="20" s="1"/>
  <c r="BU131" i="20" s="1"/>
  <c r="AQ150" i="20"/>
  <c r="AT150" i="20" s="1"/>
  <c r="BT150" i="20" s="1"/>
  <c r="BC31" i="20"/>
  <c r="BV31" i="20" s="1"/>
  <c r="AY89" i="20"/>
  <c r="X71" i="20"/>
  <c r="AV145" i="20"/>
  <c r="AX145" i="20" s="1"/>
  <c r="BU145" i="20" s="1"/>
  <c r="X80" i="20"/>
  <c r="AQ145" i="20"/>
  <c r="AT145" i="20" s="1"/>
  <c r="BT145" i="20" s="1"/>
  <c r="V108" i="20"/>
  <c r="V62" i="20"/>
  <c r="AV114" i="20"/>
  <c r="AX114" i="20" s="1"/>
  <c r="BU114" i="20" s="1"/>
  <c r="AH111" i="20"/>
  <c r="S158" i="20"/>
  <c r="AH144" i="20"/>
  <c r="S126" i="20"/>
  <c r="AA181" i="20"/>
  <c r="AB181" i="20" s="1"/>
  <c r="AC181" i="20" s="1"/>
  <c r="V36" i="20"/>
  <c r="AJ36" i="20" s="1"/>
  <c r="AA65" i="20"/>
  <c r="AB65" i="20" s="1"/>
  <c r="AC65" i="20" s="1"/>
  <c r="AN65" i="20"/>
  <c r="AJ199" i="20"/>
  <c r="AN199" i="20"/>
  <c r="X189" i="20"/>
  <c r="X186" i="20"/>
  <c r="AV150" i="20"/>
  <c r="AX150" i="20" s="1"/>
  <c r="BU150" i="20" s="1"/>
  <c r="AM89" i="20"/>
  <c r="AO89" i="20" s="1"/>
  <c r="BS89" i="20" s="1"/>
  <c r="S44" i="20"/>
  <c r="AI44" i="20" s="1"/>
  <c r="V11" i="20"/>
  <c r="V64" i="20"/>
  <c r="AJ64" i="20" s="1"/>
  <c r="Y181" i="20"/>
  <c r="AA167" i="20"/>
  <c r="AB167" i="20" s="1"/>
  <c r="AC167" i="20" s="1"/>
  <c r="AD65" i="20"/>
  <c r="AE65" i="20" s="1"/>
  <c r="AF65" i="20" s="1"/>
  <c r="AM85" i="20"/>
  <c r="AQ131" i="20"/>
  <c r="AT131" i="20" s="1"/>
  <c r="BT131" i="20" s="1"/>
  <c r="AH145" i="20"/>
  <c r="X67" i="20"/>
  <c r="AH53" i="20"/>
  <c r="AK53" i="20" s="1"/>
  <c r="BR53" i="20" s="1"/>
  <c r="AQ71" i="20"/>
  <c r="AT71" i="20" s="1"/>
  <c r="BT71" i="20" s="1"/>
  <c r="AY154" i="20"/>
  <c r="AQ189" i="20"/>
  <c r="AT189" i="20" s="1"/>
  <c r="BT189" i="20" s="1"/>
  <c r="AM82" i="20"/>
  <c r="AM32" i="20"/>
  <c r="AV86" i="20"/>
  <c r="X85" i="20"/>
  <c r="AH79" i="20"/>
  <c r="AQ67" i="20"/>
  <c r="AT67" i="20" s="1"/>
  <c r="BT67" i="20" s="1"/>
  <c r="X99" i="20"/>
  <c r="Z99" i="20" s="1"/>
  <c r="AM21" i="20"/>
  <c r="AO21" i="20" s="1"/>
  <c r="BS21" i="20" s="1"/>
  <c r="AH31" i="20"/>
  <c r="AK31" i="20" s="1"/>
  <c r="BR31" i="20" s="1"/>
  <c r="X52" i="20"/>
  <c r="BC74" i="20"/>
  <c r="BV74" i="20" s="1"/>
  <c r="AM145" i="20"/>
  <c r="AM140" i="20"/>
  <c r="V60" i="20"/>
  <c r="AQ115" i="20"/>
  <c r="AT115" i="20" s="1"/>
  <c r="BT115" i="20" s="1"/>
  <c r="AD165" i="20"/>
  <c r="AE165" i="20" s="1"/>
  <c r="AF165" i="20" s="1"/>
  <c r="V110" i="20"/>
  <c r="S154" i="20"/>
  <c r="S136" i="20"/>
  <c r="V126" i="20"/>
  <c r="AD126" i="20" s="1"/>
  <c r="AE126" i="20" s="1"/>
  <c r="AF126" i="20" s="1"/>
  <c r="AD181" i="20"/>
  <c r="AE181" i="20" s="1"/>
  <c r="AF181" i="20" s="1"/>
  <c r="AA57" i="20"/>
  <c r="AB57" i="20" s="1"/>
  <c r="AC57" i="20" s="1"/>
  <c r="AA199" i="20"/>
  <c r="AB199" i="20" s="1"/>
  <c r="AC199" i="20" s="1"/>
  <c r="Y131" i="20"/>
  <c r="Z131" i="20" s="1"/>
  <c r="AA131" i="20"/>
  <c r="AB131" i="20" s="1"/>
  <c r="AC131" i="20" s="1"/>
  <c r="AS24" i="20"/>
  <c r="AT24" i="20" s="1"/>
  <c r="AA24" i="20"/>
  <c r="AB24" i="20" s="1"/>
  <c r="AC24" i="20" s="1"/>
  <c r="AD24" i="20"/>
  <c r="AE24" i="20" s="1"/>
  <c r="AF24" i="20" s="1"/>
  <c r="Y24" i="20"/>
  <c r="Z24" i="20" s="1"/>
  <c r="AW24" i="20"/>
  <c r="AD179" i="20"/>
  <c r="AE179" i="20" s="1"/>
  <c r="AF179" i="20" s="1"/>
  <c r="AA179" i="20"/>
  <c r="AB179" i="20" s="1"/>
  <c r="AC179" i="20" s="1"/>
  <c r="AV89" i="20"/>
  <c r="AH57" i="20"/>
  <c r="AV99" i="20"/>
  <c r="AX99" i="20" s="1"/>
  <c r="BU99" i="20" s="1"/>
  <c r="X31" i="20"/>
  <c r="Z31" i="20" s="1"/>
  <c r="AA183" i="20"/>
  <c r="AB183" i="20" s="1"/>
  <c r="AC183" i="20" s="1"/>
  <c r="S56" i="20"/>
  <c r="AI56" i="20" s="1"/>
  <c r="AJ181" i="20"/>
  <c r="AM189" i="20"/>
  <c r="AQ99" i="20"/>
  <c r="AT99" i="20" s="1"/>
  <c r="BT99" i="20" s="1"/>
  <c r="AY21" i="20"/>
  <c r="AM31" i="20"/>
  <c r="AO31" i="20" s="1"/>
  <c r="BS31" i="20" s="1"/>
  <c r="AV80" i="20"/>
  <c r="AM99" i="20"/>
  <c r="AO99" i="20" s="1"/>
  <c r="BS99" i="20" s="1"/>
  <c r="AM71" i="20"/>
  <c r="AQ112" i="20"/>
  <c r="AT112" i="20" s="1"/>
  <c r="BT112" i="20" s="1"/>
  <c r="AV54" i="20"/>
  <c r="S202" i="20"/>
  <c r="V115" i="20"/>
  <c r="Y115" i="20" s="1"/>
  <c r="AH12" i="20"/>
  <c r="AJ167" i="20"/>
  <c r="Y167" i="20"/>
  <c r="AA33" i="20"/>
  <c r="AB33" i="20" s="1"/>
  <c r="AC33" i="20" s="1"/>
  <c r="AW33" i="20"/>
  <c r="AX33" i="20" s="1"/>
  <c r="AD33" i="20"/>
  <c r="AE33" i="20" s="1"/>
  <c r="AF33" i="20" s="1"/>
  <c r="Y33" i="20"/>
  <c r="AS33" i="20"/>
  <c r="Z125" i="20"/>
  <c r="AD140" i="20"/>
  <c r="AE140" i="20" s="1"/>
  <c r="AF140" i="20" s="1"/>
  <c r="AX16" i="20"/>
  <c r="AA140" i="20"/>
  <c r="AB140" i="20" s="1"/>
  <c r="AC140" i="20" s="1"/>
  <c r="AA49" i="20"/>
  <c r="AB49" i="20" s="1"/>
  <c r="AC49" i="20" s="1"/>
  <c r="AW49" i="20"/>
  <c r="AO49" i="20"/>
  <c r="BS49" i="20" s="1"/>
  <c r="AD49" i="20"/>
  <c r="AE49" i="20" s="1"/>
  <c r="AF49" i="20" s="1"/>
  <c r="Y49" i="20"/>
  <c r="AM126" i="20"/>
  <c r="AY126" i="20"/>
  <c r="AQ126" i="20"/>
  <c r="AT126" i="20" s="1"/>
  <c r="BT126" i="20" s="1"/>
  <c r="AH126" i="20"/>
  <c r="X126" i="20"/>
  <c r="AV126" i="20"/>
  <c r="AX126" i="20" s="1"/>
  <c r="BU126" i="20" s="1"/>
  <c r="AH83" i="20"/>
  <c r="AV29" i="20"/>
  <c r="AY16" i="20"/>
  <c r="X203" i="20"/>
  <c r="AH29" i="20"/>
  <c r="AK29" i="20" s="1"/>
  <c r="BR29" i="20" s="1"/>
  <c r="AQ16" i="20"/>
  <c r="AT16" i="20" s="1"/>
  <c r="AM203" i="20"/>
  <c r="AV61" i="20"/>
  <c r="X87" i="20"/>
  <c r="S108" i="20"/>
  <c r="AI108" i="20" s="1"/>
  <c r="V195" i="20"/>
  <c r="Y195" i="20" s="1"/>
  <c r="V30" i="20"/>
  <c r="V15" i="20"/>
  <c r="X116" i="20"/>
  <c r="AH40" i="20"/>
  <c r="AK40" i="20" s="1"/>
  <c r="BR40" i="20" s="1"/>
  <c r="AV40" i="20"/>
  <c r="X40" i="20"/>
  <c r="AY40" i="20"/>
  <c r="AA105" i="20"/>
  <c r="AB105" i="20" s="1"/>
  <c r="AC105" i="20" s="1"/>
  <c r="AJ105" i="20"/>
  <c r="Y105" i="20"/>
  <c r="AN105" i="20"/>
  <c r="AD105" i="20"/>
  <c r="AE105" i="20" s="1"/>
  <c r="AF105" i="20" s="1"/>
  <c r="Y140" i="20"/>
  <c r="Z140" i="20" s="1"/>
  <c r="AN140" i="20"/>
  <c r="AM63" i="20"/>
  <c r="X16" i="20"/>
  <c r="Z16" i="20" s="1"/>
  <c r="AQ203" i="20"/>
  <c r="AT203" i="20" s="1"/>
  <c r="BT203" i="20" s="1"/>
  <c r="AM61" i="20"/>
  <c r="AV83" i="20"/>
  <c r="S182" i="20"/>
  <c r="AD17" i="20"/>
  <c r="AE17" i="20" s="1"/>
  <c r="AF17" i="20" s="1"/>
  <c r="AS17" i="20"/>
  <c r="Y17" i="20"/>
  <c r="AW17" i="20"/>
  <c r="AX17" i="20" s="1"/>
  <c r="AA17" i="20"/>
  <c r="AB17" i="20" s="1"/>
  <c r="AC17" i="20" s="1"/>
  <c r="AJ145" i="20"/>
  <c r="Y145" i="20"/>
  <c r="AD145" i="20"/>
  <c r="AE145" i="20" s="1"/>
  <c r="AF145" i="20" s="1"/>
  <c r="AN145" i="20"/>
  <c r="AA145" i="20"/>
  <c r="AB145" i="20" s="1"/>
  <c r="AC145" i="20" s="1"/>
  <c r="AA74" i="20"/>
  <c r="AB74" i="20" s="1"/>
  <c r="AC74" i="20" s="1"/>
  <c r="AN74" i="20"/>
  <c r="AO74" i="20" s="1"/>
  <c r="BS74" i="20" s="1"/>
  <c r="Y74" i="20"/>
  <c r="AJ74" i="20"/>
  <c r="AK74" i="20" s="1"/>
  <c r="BR74" i="20" s="1"/>
  <c r="AW74" i="20"/>
  <c r="AX74" i="20" s="1"/>
  <c r="BU74" i="20" s="1"/>
  <c r="AD74" i="20"/>
  <c r="AE74" i="20" s="1"/>
  <c r="AF74" i="20" s="1"/>
  <c r="Y103" i="20"/>
  <c r="Z103" i="20" s="1"/>
  <c r="AJ103" i="20"/>
  <c r="AA103" i="20"/>
  <c r="AB103" i="20" s="1"/>
  <c r="AC103" i="20" s="1"/>
  <c r="AN103" i="20"/>
  <c r="AD103" i="20"/>
  <c r="AE103" i="20" s="1"/>
  <c r="AF103" i="20" s="1"/>
  <c r="AD67" i="20"/>
  <c r="AE67" i="20" s="1"/>
  <c r="AF67" i="20" s="1"/>
  <c r="Y67" i="20"/>
  <c r="AA67" i="20"/>
  <c r="AB67" i="20" s="1"/>
  <c r="AC67" i="20" s="1"/>
  <c r="AJ67" i="20"/>
  <c r="AK67" i="20" s="1"/>
  <c r="BR67" i="20" s="1"/>
  <c r="AW67" i="20"/>
  <c r="AN67" i="20"/>
  <c r="AV63" i="20"/>
  <c r="AH16" i="20"/>
  <c r="AK16" i="20" s="1"/>
  <c r="BR16" i="20" s="1"/>
  <c r="AV203" i="20"/>
  <c r="AX203" i="20" s="1"/>
  <c r="BU203" i="20" s="1"/>
  <c r="AQ61" i="20"/>
  <c r="AT61" i="20" s="1"/>
  <c r="AM66" i="20"/>
  <c r="V202" i="20"/>
  <c r="Y202" i="20" s="1"/>
  <c r="V78" i="20"/>
  <c r="AA78" i="20" s="1"/>
  <c r="AB78" i="20" s="1"/>
  <c r="AC78" i="20" s="1"/>
  <c r="V144" i="20"/>
  <c r="AA144" i="20" s="1"/>
  <c r="AB144" i="20" s="1"/>
  <c r="AC144" i="20" s="1"/>
  <c r="S107" i="20"/>
  <c r="AI107" i="20" s="1"/>
  <c r="V14" i="20"/>
  <c r="AA28" i="20"/>
  <c r="AB28" i="20" s="1"/>
  <c r="AC28" i="20" s="1"/>
  <c r="AD28" i="20"/>
  <c r="AE28" i="20" s="1"/>
  <c r="AF28" i="20" s="1"/>
  <c r="Y28" i="20"/>
  <c r="Z28" i="20" s="1"/>
  <c r="AS28" i="20"/>
  <c r="AW28" i="20"/>
  <c r="AX28" i="20" s="1"/>
  <c r="AD75" i="20"/>
  <c r="AE75" i="20" s="1"/>
  <c r="AF75" i="20" s="1"/>
  <c r="AJ75" i="20"/>
  <c r="AA75" i="20"/>
  <c r="AB75" i="20" s="1"/>
  <c r="AC75" i="20" s="1"/>
  <c r="Y75" i="20"/>
  <c r="AN75" i="20"/>
  <c r="AW75" i="20"/>
  <c r="AX75" i="20" s="1"/>
  <c r="BU75" i="20" s="1"/>
  <c r="AO124" i="20"/>
  <c r="BS124" i="20" s="1"/>
  <c r="AQ87" i="20"/>
  <c r="AT87" i="20" s="1"/>
  <c r="BT87" i="20" s="1"/>
  <c r="AQ83" i="20"/>
  <c r="AT83" i="20" s="1"/>
  <c r="BT83" i="20" s="1"/>
  <c r="AV42" i="20"/>
  <c r="S185" i="20"/>
  <c r="S19" i="20"/>
  <c r="AV11" i="20"/>
  <c r="X123" i="20"/>
  <c r="AQ188" i="20"/>
  <c r="AT188" i="20" s="1"/>
  <c r="BT188" i="20" s="1"/>
  <c r="AN159" i="20"/>
  <c r="AO159" i="20" s="1"/>
  <c r="BS159" i="20" s="1"/>
  <c r="AJ159" i="20"/>
  <c r="AK159" i="20" s="1"/>
  <c r="AA159" i="20"/>
  <c r="AB159" i="20" s="1"/>
  <c r="AC159" i="20" s="1"/>
  <c r="AD159" i="20"/>
  <c r="AE159" i="20" s="1"/>
  <c r="AF159" i="20" s="1"/>
  <c r="Y159" i="20"/>
  <c r="Z159" i="20" s="1"/>
  <c r="X161" i="20"/>
  <c r="Z161" i="20" s="1"/>
  <c r="AQ161" i="20"/>
  <c r="AT161" i="20" s="1"/>
  <c r="BT161" i="20" s="1"/>
  <c r="AY161" i="20"/>
  <c r="AV161" i="20"/>
  <c r="AX161" i="20" s="1"/>
  <c r="BU161" i="20" s="1"/>
  <c r="AH161" i="20"/>
  <c r="AK161" i="20" s="1"/>
  <c r="BR161" i="20" s="1"/>
  <c r="AY29" i="20"/>
  <c r="AM29" i="20"/>
  <c r="AO29" i="20" s="1"/>
  <c r="BS29" i="20" s="1"/>
  <c r="AV87" i="20"/>
  <c r="S42" i="20"/>
  <c r="AI42" i="20" s="1"/>
  <c r="X194" i="20"/>
  <c r="AM15" i="20"/>
  <c r="V51" i="20"/>
  <c r="V27" i="20"/>
  <c r="S123" i="20"/>
  <c r="S188" i="20"/>
  <c r="V177" i="20"/>
  <c r="AN177" i="20" s="1"/>
  <c r="S153" i="20"/>
  <c r="AY187" i="20"/>
  <c r="AJ83" i="20"/>
  <c r="AN83" i="20"/>
  <c r="AO83" i="20" s="1"/>
  <c r="BS83" i="20" s="1"/>
  <c r="AA83" i="20"/>
  <c r="AB83" i="20" s="1"/>
  <c r="AC83" i="20" s="1"/>
  <c r="AW83" i="20"/>
  <c r="AD83" i="20"/>
  <c r="AE83" i="20" s="1"/>
  <c r="AF83" i="20" s="1"/>
  <c r="Y83" i="20"/>
  <c r="AH66" i="20"/>
  <c r="S25" i="20"/>
  <c r="X130" i="20"/>
  <c r="V72" i="20"/>
  <c r="AA26" i="20"/>
  <c r="AB26" i="20" s="1"/>
  <c r="AC26" i="20" s="1"/>
  <c r="Y26" i="20"/>
  <c r="AD26" i="20"/>
  <c r="AE26" i="20" s="1"/>
  <c r="AF26" i="20" s="1"/>
  <c r="AS26" i="20"/>
  <c r="AW26" i="20"/>
  <c r="AD178" i="20"/>
  <c r="AE178" i="20" s="1"/>
  <c r="AF178" i="20" s="1"/>
  <c r="AA178" i="20"/>
  <c r="AB178" i="20" s="1"/>
  <c r="AC178" i="20" s="1"/>
  <c r="AJ178" i="20"/>
  <c r="Y178" i="20"/>
  <c r="AN178" i="20"/>
  <c r="AN158" i="20"/>
  <c r="Y158" i="20"/>
  <c r="AA158" i="20"/>
  <c r="AB158" i="20" s="1"/>
  <c r="AC158" i="20" s="1"/>
  <c r="AJ158" i="20"/>
  <c r="AD158" i="20"/>
  <c r="AE158" i="20" s="1"/>
  <c r="AF158" i="20" s="1"/>
  <c r="AW35" i="20"/>
  <c r="AD35" i="20"/>
  <c r="AE35" i="20" s="1"/>
  <c r="AF35" i="20" s="1"/>
  <c r="AS35" i="20"/>
  <c r="AA35" i="20"/>
  <c r="AB35" i="20" s="1"/>
  <c r="AC35" i="20" s="1"/>
  <c r="Y35" i="20"/>
  <c r="AA18" i="20"/>
  <c r="AB18" i="20" s="1"/>
  <c r="AC18" i="20" s="1"/>
  <c r="AD18" i="20"/>
  <c r="AE18" i="20" s="1"/>
  <c r="AF18" i="20" s="1"/>
  <c r="Y18" i="20"/>
  <c r="AW18" i="20"/>
  <c r="AS18" i="20"/>
  <c r="AA147" i="20"/>
  <c r="AB147" i="20" s="1"/>
  <c r="AC147" i="20" s="1"/>
  <c r="AJ147" i="20"/>
  <c r="AN147" i="20"/>
  <c r="AD147" i="20"/>
  <c r="AE147" i="20" s="1"/>
  <c r="AF147" i="20" s="1"/>
  <c r="Y147" i="20"/>
  <c r="AM36" i="20"/>
  <c r="X36" i="20"/>
  <c r="AY36" i="20"/>
  <c r="AH36" i="20"/>
  <c r="AV36" i="20"/>
  <c r="AA129" i="20"/>
  <c r="AB129" i="20" s="1"/>
  <c r="AC129" i="20" s="1"/>
  <c r="AD129" i="20"/>
  <c r="AE129" i="20" s="1"/>
  <c r="AF129" i="20" s="1"/>
  <c r="Y129" i="20"/>
  <c r="AN129" i="20"/>
  <c r="AJ129" i="20"/>
  <c r="AA137" i="20"/>
  <c r="AB137" i="20" s="1"/>
  <c r="AC137" i="20" s="1"/>
  <c r="AJ137" i="20"/>
  <c r="AD137" i="20"/>
  <c r="AE137" i="20" s="1"/>
  <c r="AF137" i="20" s="1"/>
  <c r="AN137" i="20"/>
  <c r="Y137" i="20"/>
  <c r="AN133" i="20"/>
  <c r="Y133" i="20"/>
  <c r="AA133" i="20"/>
  <c r="AB133" i="20" s="1"/>
  <c r="AC133" i="20" s="1"/>
  <c r="AD133" i="20"/>
  <c r="AE133" i="20" s="1"/>
  <c r="AF133" i="20" s="1"/>
  <c r="AJ133" i="20"/>
  <c r="AA116" i="20"/>
  <c r="AB116" i="20" s="1"/>
  <c r="AC116" i="20" s="1"/>
  <c r="AN116" i="20"/>
  <c r="Y116" i="20"/>
  <c r="AD116" i="20"/>
  <c r="AE116" i="20" s="1"/>
  <c r="AF116" i="20" s="1"/>
  <c r="AJ116" i="20"/>
  <c r="AY108" i="20"/>
  <c r="AH108" i="20"/>
  <c r="AV108" i="20"/>
  <c r="AQ108" i="20"/>
  <c r="AT108" i="20" s="1"/>
  <c r="BT108" i="20" s="1"/>
  <c r="X108" i="20"/>
  <c r="AA114" i="20"/>
  <c r="AB114" i="20" s="1"/>
  <c r="AC114" i="20" s="1"/>
  <c r="AD114" i="20"/>
  <c r="AE114" i="20" s="1"/>
  <c r="AF114" i="20" s="1"/>
  <c r="Y114" i="20"/>
  <c r="AJ114" i="20"/>
  <c r="AN114" i="20"/>
  <c r="AD203" i="20"/>
  <c r="AE203" i="20" s="1"/>
  <c r="AF203" i="20" s="1"/>
  <c r="AJ203" i="20"/>
  <c r="Y203" i="20"/>
  <c r="AA203" i="20"/>
  <c r="AB203" i="20" s="1"/>
  <c r="AC203" i="20" s="1"/>
  <c r="AN203" i="20"/>
  <c r="Y138" i="20"/>
  <c r="AN138" i="20"/>
  <c r="AJ138" i="20"/>
  <c r="AA138" i="20"/>
  <c r="AB138" i="20" s="1"/>
  <c r="AC138" i="20" s="1"/>
  <c r="AD138" i="20"/>
  <c r="AE138" i="20" s="1"/>
  <c r="AF138" i="20" s="1"/>
  <c r="AD136" i="20"/>
  <c r="AE136" i="20" s="1"/>
  <c r="AF136" i="20" s="1"/>
  <c r="AJ136" i="20"/>
  <c r="AN136" i="20"/>
  <c r="Y136" i="20"/>
  <c r="AA136" i="20"/>
  <c r="AB136" i="20" s="1"/>
  <c r="AC136" i="20" s="1"/>
  <c r="AW39" i="20"/>
  <c r="Y39" i="20"/>
  <c r="AA39" i="20"/>
  <c r="AB39" i="20" s="1"/>
  <c r="AC39" i="20" s="1"/>
  <c r="AS39" i="20"/>
  <c r="AD39" i="20"/>
  <c r="AE39" i="20" s="1"/>
  <c r="AF39" i="20" s="1"/>
  <c r="AS37" i="20"/>
  <c r="Y37" i="20"/>
  <c r="AD37" i="20"/>
  <c r="AE37" i="20" s="1"/>
  <c r="AF37" i="20" s="1"/>
  <c r="AW37" i="20"/>
  <c r="AA37" i="20"/>
  <c r="AB37" i="20" s="1"/>
  <c r="AC37" i="20" s="1"/>
  <c r="AA12" i="20"/>
  <c r="AB12" i="20" s="1"/>
  <c r="AC12" i="20" s="1"/>
  <c r="AD12" i="20"/>
  <c r="AE12" i="20" s="1"/>
  <c r="AF12" i="20" s="1"/>
  <c r="AS12" i="20"/>
  <c r="Y12" i="20"/>
  <c r="AW12" i="20"/>
  <c r="AD100" i="20"/>
  <c r="AE100" i="20" s="1"/>
  <c r="AF100" i="20" s="1"/>
  <c r="AA100" i="20"/>
  <c r="AB100" i="20" s="1"/>
  <c r="AC100" i="20" s="1"/>
  <c r="AJ100" i="20"/>
  <c r="Y100" i="20"/>
  <c r="AN100" i="20"/>
  <c r="AJ204" i="20"/>
  <c r="AA204" i="20"/>
  <c r="AB204" i="20" s="1"/>
  <c r="AC204" i="20" s="1"/>
  <c r="AN204" i="20"/>
  <c r="AD204" i="20"/>
  <c r="AE204" i="20" s="1"/>
  <c r="AF204" i="20" s="1"/>
  <c r="Y204" i="20"/>
  <c r="X173" i="20"/>
  <c r="AQ173" i="20"/>
  <c r="AT173" i="20" s="1"/>
  <c r="BT173" i="20" s="1"/>
  <c r="AY173" i="20"/>
  <c r="AH173" i="20"/>
  <c r="AV173" i="20"/>
  <c r="AX173" i="20" s="1"/>
  <c r="BU173" i="20" s="1"/>
  <c r="AJ164" i="20"/>
  <c r="AA164" i="20"/>
  <c r="AB164" i="20" s="1"/>
  <c r="AC164" i="20" s="1"/>
  <c r="Y164" i="20"/>
  <c r="AD164" i="20"/>
  <c r="AE164" i="20" s="1"/>
  <c r="AF164" i="20" s="1"/>
  <c r="AN164" i="20"/>
  <c r="AH60" i="20"/>
  <c r="AQ202" i="20"/>
  <c r="AT202" i="20" s="1"/>
  <c r="BT202" i="20" s="1"/>
  <c r="X202" i="20"/>
  <c r="AH202" i="20"/>
  <c r="AV202" i="20"/>
  <c r="AX202" i="20" s="1"/>
  <c r="BU202" i="20" s="1"/>
  <c r="AY202" i="20"/>
  <c r="AN121" i="20"/>
  <c r="AJ121" i="20"/>
  <c r="AA121" i="20"/>
  <c r="AB121" i="20" s="1"/>
  <c r="AC121" i="20" s="1"/>
  <c r="Y121" i="20"/>
  <c r="AD121" i="20"/>
  <c r="AE121" i="20" s="1"/>
  <c r="AF121" i="20" s="1"/>
  <c r="AN104" i="20"/>
  <c r="Y104" i="20"/>
  <c r="AJ104" i="20"/>
  <c r="AA104" i="20"/>
  <c r="AB104" i="20" s="1"/>
  <c r="AC104" i="20" s="1"/>
  <c r="AD104" i="20"/>
  <c r="AE104" i="20" s="1"/>
  <c r="AF104" i="20" s="1"/>
  <c r="AD175" i="20"/>
  <c r="AE175" i="20" s="1"/>
  <c r="AF175" i="20" s="1"/>
  <c r="Y175" i="20"/>
  <c r="AN175" i="20"/>
  <c r="AJ175" i="20"/>
  <c r="AA175" i="20"/>
  <c r="AB175" i="20" s="1"/>
  <c r="AC175" i="20" s="1"/>
  <c r="AD186" i="20"/>
  <c r="AE186" i="20" s="1"/>
  <c r="AF186" i="20" s="1"/>
  <c r="AJ186" i="20"/>
  <c r="AN186" i="20"/>
  <c r="AA186" i="20"/>
  <c r="AB186" i="20" s="1"/>
  <c r="AC186" i="20" s="1"/>
  <c r="Y186" i="20"/>
  <c r="AH64" i="20"/>
  <c r="AW41" i="20"/>
  <c r="AD41" i="20"/>
  <c r="AE41" i="20" s="1"/>
  <c r="AF41" i="20" s="1"/>
  <c r="AS41" i="20"/>
  <c r="AA41" i="20"/>
  <c r="AB41" i="20" s="1"/>
  <c r="AC41" i="20" s="1"/>
  <c r="Y41" i="20"/>
  <c r="AA42" i="20"/>
  <c r="AB42" i="20" s="1"/>
  <c r="AC42" i="20" s="1"/>
  <c r="AS42" i="20"/>
  <c r="AD42" i="20"/>
  <c r="AE42" i="20" s="1"/>
  <c r="AF42" i="20" s="1"/>
  <c r="AW42" i="20"/>
  <c r="Y42" i="20"/>
  <c r="AA156" i="20"/>
  <c r="AB156" i="20" s="1"/>
  <c r="AC156" i="20" s="1"/>
  <c r="AJ156" i="20"/>
  <c r="Y156" i="20"/>
  <c r="AN156" i="20"/>
  <c r="AD156" i="20"/>
  <c r="AE156" i="20" s="1"/>
  <c r="AF156" i="20" s="1"/>
  <c r="AN194" i="20"/>
  <c r="Y194" i="20"/>
  <c r="AA194" i="20"/>
  <c r="AB194" i="20" s="1"/>
  <c r="AC194" i="20" s="1"/>
  <c r="AJ194" i="20"/>
  <c r="AD194" i="20"/>
  <c r="AE194" i="20" s="1"/>
  <c r="AF194" i="20" s="1"/>
  <c r="AJ188" i="20"/>
  <c r="Y188" i="20"/>
  <c r="AD188" i="20"/>
  <c r="AE188" i="20" s="1"/>
  <c r="AF188" i="20" s="1"/>
  <c r="AN188" i="20"/>
  <c r="AA188" i="20"/>
  <c r="AB188" i="20" s="1"/>
  <c r="AC188" i="20" s="1"/>
  <c r="AJ153" i="20"/>
  <c r="AN153" i="20"/>
  <c r="AD153" i="20"/>
  <c r="AE153" i="20" s="1"/>
  <c r="AF153" i="20" s="1"/>
  <c r="Y153" i="20"/>
  <c r="AA153" i="20"/>
  <c r="AB153" i="20" s="1"/>
  <c r="AC153" i="20" s="1"/>
  <c r="Y187" i="20"/>
  <c r="AJ187" i="20"/>
  <c r="AN187" i="20"/>
  <c r="AD187" i="20"/>
  <c r="AE187" i="20" s="1"/>
  <c r="AF187" i="20" s="1"/>
  <c r="AA187" i="20"/>
  <c r="AB187" i="20" s="1"/>
  <c r="AC187" i="20" s="1"/>
  <c r="AA25" i="20"/>
  <c r="AB25" i="20" s="1"/>
  <c r="AC25" i="20" s="1"/>
  <c r="Y25" i="20"/>
  <c r="AD25" i="20"/>
  <c r="AE25" i="20" s="1"/>
  <c r="AF25" i="20" s="1"/>
  <c r="AS25" i="20"/>
  <c r="AW25" i="20"/>
  <c r="AD170" i="20"/>
  <c r="AE170" i="20" s="1"/>
  <c r="AF170" i="20" s="1"/>
  <c r="AN170" i="20"/>
  <c r="AA170" i="20"/>
  <c r="AB170" i="20" s="1"/>
  <c r="AC170" i="20" s="1"/>
  <c r="Y170" i="20"/>
  <c r="AJ170" i="20"/>
  <c r="AN130" i="20"/>
  <c r="AD130" i="20"/>
  <c r="AE130" i="20" s="1"/>
  <c r="AF130" i="20" s="1"/>
  <c r="AJ130" i="20"/>
  <c r="Y130" i="20"/>
  <c r="AA130" i="20"/>
  <c r="AB130" i="20" s="1"/>
  <c r="AC130" i="20" s="1"/>
  <c r="AJ128" i="20"/>
  <c r="AK128" i="20" s="1"/>
  <c r="BR128" i="20" s="1"/>
  <c r="AD128" i="20"/>
  <c r="AE128" i="20" s="1"/>
  <c r="AF128" i="20" s="1"/>
  <c r="Y128" i="20"/>
  <c r="Z128" i="20" s="1"/>
  <c r="AN128" i="20"/>
  <c r="AA128" i="20"/>
  <c r="AB128" i="20" s="1"/>
  <c r="AC128" i="20" s="1"/>
  <c r="AJ122" i="20"/>
  <c r="AK122" i="20" s="1"/>
  <c r="BR122" i="20" s="1"/>
  <c r="AN122" i="20"/>
  <c r="AO122" i="20" s="1"/>
  <c r="BS122" i="20" s="1"/>
  <c r="AD122" i="20"/>
  <c r="AE122" i="20" s="1"/>
  <c r="AF122" i="20" s="1"/>
  <c r="Y122" i="20"/>
  <c r="Z122" i="20" s="1"/>
  <c r="AA122" i="20"/>
  <c r="AB122" i="20" s="1"/>
  <c r="AC122" i="20" s="1"/>
  <c r="AA23" i="20"/>
  <c r="AB23" i="20" s="1"/>
  <c r="AC23" i="20" s="1"/>
  <c r="AW23" i="20"/>
  <c r="AX23" i="20" s="1"/>
  <c r="AS23" i="20"/>
  <c r="Y23" i="20"/>
  <c r="Z23" i="20" s="1"/>
  <c r="AD23" i="20"/>
  <c r="AE23" i="20" s="1"/>
  <c r="AF23" i="20" s="1"/>
  <c r="X35" i="20"/>
  <c r="AY35" i="20"/>
  <c r="AV35" i="20"/>
  <c r="AM35" i="20"/>
  <c r="AH35" i="20"/>
  <c r="AN134" i="20"/>
  <c r="AJ134" i="20"/>
  <c r="AD134" i="20"/>
  <c r="AE134" i="20" s="1"/>
  <c r="AF134" i="20" s="1"/>
  <c r="Y134" i="20"/>
  <c r="AA134" i="20"/>
  <c r="AB134" i="20" s="1"/>
  <c r="AC134" i="20" s="1"/>
  <c r="V160" i="20"/>
  <c r="V120" i="20"/>
  <c r="AN127" i="20"/>
  <c r="AO127" i="20" s="1"/>
  <c r="BS127" i="20" s="1"/>
  <c r="AD127" i="20"/>
  <c r="AE127" i="20" s="1"/>
  <c r="AF127" i="20" s="1"/>
  <c r="AJ127" i="20"/>
  <c r="Y127" i="20"/>
  <c r="Z127" i="20" s="1"/>
  <c r="AA127" i="20"/>
  <c r="AB127" i="20" s="1"/>
  <c r="AC127" i="20" s="1"/>
  <c r="AA69" i="20"/>
  <c r="AB69" i="20" s="1"/>
  <c r="AC69" i="20" s="1"/>
  <c r="AD69" i="20"/>
  <c r="AE69" i="20" s="1"/>
  <c r="AF69" i="20" s="1"/>
  <c r="Y69" i="20"/>
  <c r="AN69" i="20"/>
  <c r="AW69" i="20"/>
  <c r="AJ69" i="20"/>
  <c r="AN146" i="20"/>
  <c r="AO146" i="20" s="1"/>
  <c r="BS146" i="20" s="1"/>
  <c r="AJ146" i="20"/>
  <c r="AK146" i="20" s="1"/>
  <c r="AA146" i="20"/>
  <c r="AB146" i="20" s="1"/>
  <c r="AC146" i="20" s="1"/>
  <c r="AD146" i="20"/>
  <c r="AE146" i="20" s="1"/>
  <c r="AF146" i="20" s="1"/>
  <c r="Y146" i="20"/>
  <c r="Z146" i="20" s="1"/>
  <c r="AD185" i="20"/>
  <c r="AE185" i="20" s="1"/>
  <c r="AF185" i="20" s="1"/>
  <c r="AA185" i="20"/>
  <c r="AB185" i="20" s="1"/>
  <c r="AC185" i="20" s="1"/>
  <c r="AJ185" i="20"/>
  <c r="Y185" i="20"/>
  <c r="AN185" i="20"/>
  <c r="S97" i="20"/>
  <c r="AI97" i="20" s="1"/>
  <c r="AY176" i="20"/>
  <c r="AH176" i="20"/>
  <c r="AQ176" i="20"/>
  <c r="AT176" i="20" s="1"/>
  <c r="BT176" i="20" s="1"/>
  <c r="X176" i="20"/>
  <c r="AV176" i="20"/>
  <c r="AX176" i="20" s="1"/>
  <c r="BU176" i="20" s="1"/>
  <c r="S91" i="20"/>
  <c r="AI91" i="20" s="1"/>
  <c r="AN154" i="20"/>
  <c r="AJ154" i="20"/>
  <c r="AA154" i="20"/>
  <c r="AB154" i="20" s="1"/>
  <c r="AC154" i="20" s="1"/>
  <c r="AD154" i="20"/>
  <c r="AE154" i="20" s="1"/>
  <c r="AF154" i="20" s="1"/>
  <c r="Y154" i="20"/>
  <c r="AJ80" i="20"/>
  <c r="AA80" i="20"/>
  <c r="AB80" i="20" s="1"/>
  <c r="AC80" i="20" s="1"/>
  <c r="AN80" i="20"/>
  <c r="AO80" i="20" s="1"/>
  <c r="BS80" i="20" s="1"/>
  <c r="Y80" i="20"/>
  <c r="AD80" i="20"/>
  <c r="AE80" i="20" s="1"/>
  <c r="AF80" i="20" s="1"/>
  <c r="AW80" i="20"/>
  <c r="AN139" i="20"/>
  <c r="AO139" i="20" s="1"/>
  <c r="BS139" i="20" s="1"/>
  <c r="Y139" i="20"/>
  <c r="AD139" i="20"/>
  <c r="AE139" i="20" s="1"/>
  <c r="AF139" i="20" s="1"/>
  <c r="AA139" i="20"/>
  <c r="AB139" i="20" s="1"/>
  <c r="AC139" i="20" s="1"/>
  <c r="AJ139" i="20"/>
  <c r="AN66" i="20"/>
  <c r="AW66" i="20"/>
  <c r="AA66" i="20"/>
  <c r="AB66" i="20" s="1"/>
  <c r="AC66" i="20" s="1"/>
  <c r="AD66" i="20"/>
  <c r="AE66" i="20" s="1"/>
  <c r="AF66" i="20" s="1"/>
  <c r="Y66" i="20"/>
  <c r="AJ66" i="20"/>
  <c r="S35" i="20"/>
  <c r="AI35" i="20" s="1"/>
  <c r="AD206" i="20"/>
  <c r="AE206" i="20" s="1"/>
  <c r="AF206" i="20" s="1"/>
  <c r="AJ206" i="20"/>
  <c r="AK206" i="20" s="1"/>
  <c r="BR206" i="20" s="1"/>
  <c r="AA206" i="20"/>
  <c r="AB206" i="20" s="1"/>
  <c r="AC206" i="20" s="1"/>
  <c r="Y206" i="20"/>
  <c r="Z206" i="20" s="1"/>
  <c r="AN206" i="20"/>
  <c r="S186" i="20"/>
  <c r="AQ179" i="20"/>
  <c r="AT179" i="20" s="1"/>
  <c r="BT179" i="20" s="1"/>
  <c r="S187" i="20"/>
  <c r="AD189" i="20"/>
  <c r="AE189" i="20" s="1"/>
  <c r="AF189" i="20" s="1"/>
  <c r="AA189" i="20"/>
  <c r="AB189" i="20" s="1"/>
  <c r="AC189" i="20" s="1"/>
  <c r="Y189" i="20"/>
  <c r="AJ189" i="20"/>
  <c r="AN189" i="20"/>
  <c r="AN61" i="20"/>
  <c r="AJ61" i="20"/>
  <c r="Y61" i="20"/>
  <c r="AD61" i="20"/>
  <c r="AE61" i="20" s="1"/>
  <c r="AF61" i="20" s="1"/>
  <c r="AA61" i="20"/>
  <c r="AB61" i="20" s="1"/>
  <c r="AC61" i="20" s="1"/>
  <c r="AW61" i="20"/>
  <c r="Y119" i="20"/>
  <c r="Z119" i="20" s="1"/>
  <c r="AN119" i="20"/>
  <c r="AA119" i="20"/>
  <c r="AB119" i="20" s="1"/>
  <c r="AC119" i="20" s="1"/>
  <c r="AJ119" i="20"/>
  <c r="AK119" i="20" s="1"/>
  <c r="BR119" i="20" s="1"/>
  <c r="AD119" i="20"/>
  <c r="AE119" i="20" s="1"/>
  <c r="AF119" i="20" s="1"/>
  <c r="V149" i="20"/>
  <c r="S12" i="20"/>
  <c r="V96" i="20"/>
  <c r="AW96" i="20" s="1"/>
  <c r="AM157" i="20"/>
  <c r="BC157" i="20"/>
  <c r="BV157" i="20" s="1"/>
  <c r="V81" i="20"/>
  <c r="S41" i="20"/>
  <c r="AI41" i="20" s="1"/>
  <c r="AN171" i="20"/>
  <c r="Y171" i="20"/>
  <c r="Z171" i="20" s="1"/>
  <c r="AA171" i="20"/>
  <c r="AB171" i="20" s="1"/>
  <c r="AC171" i="20" s="1"/>
  <c r="AJ171" i="20"/>
  <c r="AK171" i="20" s="1"/>
  <c r="BR171" i="20" s="1"/>
  <c r="AD171" i="20"/>
  <c r="AE171" i="20" s="1"/>
  <c r="AF171" i="20" s="1"/>
  <c r="S129" i="20"/>
  <c r="S156" i="20"/>
  <c r="AN58" i="20"/>
  <c r="AD58" i="20"/>
  <c r="AE58" i="20" s="1"/>
  <c r="AF58" i="20" s="1"/>
  <c r="AA58" i="20"/>
  <c r="AB58" i="20" s="1"/>
  <c r="AC58" i="20" s="1"/>
  <c r="AJ58" i="20"/>
  <c r="AW58" i="20"/>
  <c r="Y58" i="20"/>
  <c r="AA166" i="20"/>
  <c r="AB166" i="20" s="1"/>
  <c r="AC166" i="20" s="1"/>
  <c r="AJ166" i="20"/>
  <c r="AK166" i="20" s="1"/>
  <c r="BR166" i="20" s="1"/>
  <c r="AD166" i="20"/>
  <c r="AE166" i="20" s="1"/>
  <c r="AF166" i="20" s="1"/>
  <c r="Y166" i="20"/>
  <c r="Z166" i="20" s="1"/>
  <c r="AN166" i="20"/>
  <c r="S170" i="20"/>
  <c r="AQ70" i="20"/>
  <c r="AT70" i="20" s="1"/>
  <c r="BT70" i="20" s="1"/>
  <c r="AV70" i="20"/>
  <c r="X70" i="20"/>
  <c r="AH70" i="20"/>
  <c r="S92" i="20"/>
  <c r="AI92" i="20" s="1"/>
  <c r="V68" i="20"/>
  <c r="AS68" i="20" s="1"/>
  <c r="S68" i="20"/>
  <c r="AI68" i="20" s="1"/>
  <c r="AN59" i="20"/>
  <c r="AA59" i="20"/>
  <c r="AB59" i="20" s="1"/>
  <c r="AC59" i="20" s="1"/>
  <c r="AJ59" i="20"/>
  <c r="AK59" i="20" s="1"/>
  <c r="BR59" i="20" s="1"/>
  <c r="Y59" i="20"/>
  <c r="AD59" i="20"/>
  <c r="AE59" i="20" s="1"/>
  <c r="AF59" i="20" s="1"/>
  <c r="AW59" i="20"/>
  <c r="AQ184" i="20"/>
  <c r="AT184" i="20" s="1"/>
  <c r="BT184" i="20" s="1"/>
  <c r="AY184" i="20"/>
  <c r="X184" i="20"/>
  <c r="AV184" i="20"/>
  <c r="AX184" i="20" s="1"/>
  <c r="BU184" i="20" s="1"/>
  <c r="AH184" i="20"/>
  <c r="S18" i="20"/>
  <c r="V173" i="20"/>
  <c r="AD176" i="20"/>
  <c r="AE176" i="20" s="1"/>
  <c r="AF176" i="20" s="1"/>
  <c r="AN176" i="20"/>
  <c r="AJ176" i="20"/>
  <c r="Y176" i="20"/>
  <c r="AA176" i="20"/>
  <c r="AB176" i="20" s="1"/>
  <c r="AC176" i="20" s="1"/>
  <c r="V32" i="20"/>
  <c r="AM165" i="20"/>
  <c r="BC165" i="20"/>
  <c r="BV165" i="20" s="1"/>
  <c r="S73" i="20"/>
  <c r="AI73" i="20" s="1"/>
  <c r="S100" i="20"/>
  <c r="AI100" i="20" s="1"/>
  <c r="S26" i="20"/>
  <c r="AA53" i="20"/>
  <c r="AB53" i="20" s="1"/>
  <c r="AC53" i="20" s="1"/>
  <c r="AN53" i="20"/>
  <c r="AS53" i="20"/>
  <c r="AD53" i="20"/>
  <c r="AE53" i="20" s="1"/>
  <c r="AF53" i="20" s="1"/>
  <c r="Y53" i="20"/>
  <c r="AW53" i="20"/>
  <c r="AN207" i="20"/>
  <c r="AD207" i="20"/>
  <c r="AE207" i="20" s="1"/>
  <c r="AF207" i="20" s="1"/>
  <c r="Y207" i="20"/>
  <c r="AA207" i="20"/>
  <c r="AB207" i="20" s="1"/>
  <c r="AC207" i="20" s="1"/>
  <c r="AJ207" i="20"/>
  <c r="AA29" i="20"/>
  <c r="AB29" i="20" s="1"/>
  <c r="AC29" i="20" s="1"/>
  <c r="AS29" i="20"/>
  <c r="AD29" i="20"/>
  <c r="AE29" i="20" s="1"/>
  <c r="AF29" i="20" s="1"/>
  <c r="Y29" i="20"/>
  <c r="AW29" i="20"/>
  <c r="S137" i="20"/>
  <c r="V46" i="20"/>
  <c r="AJ46" i="20" s="1"/>
  <c r="S46" i="20"/>
  <c r="AI46" i="20" s="1"/>
  <c r="Y38" i="20"/>
  <c r="Z38" i="20" s="1"/>
  <c r="AW38" i="20"/>
  <c r="AX38" i="20" s="1"/>
  <c r="AS38" i="20"/>
  <c r="AT38" i="20" s="1"/>
  <c r="AD38" i="20"/>
  <c r="AE38" i="20" s="1"/>
  <c r="AF38" i="20" s="1"/>
  <c r="AA38" i="20"/>
  <c r="AB38" i="20" s="1"/>
  <c r="AC38" i="20" s="1"/>
  <c r="AD106" i="20"/>
  <c r="AE106" i="20" s="1"/>
  <c r="AF106" i="20" s="1"/>
  <c r="Y106" i="20"/>
  <c r="Z106" i="20" s="1"/>
  <c r="AJ106" i="20"/>
  <c r="AK106" i="20" s="1"/>
  <c r="BR106" i="20" s="1"/>
  <c r="AN106" i="20"/>
  <c r="AA106" i="20"/>
  <c r="AB106" i="20" s="1"/>
  <c r="AC106" i="20" s="1"/>
  <c r="X142" i="20"/>
  <c r="AY142" i="20"/>
  <c r="AV142" i="20"/>
  <c r="AX142" i="20" s="1"/>
  <c r="BU142" i="20" s="1"/>
  <c r="AQ142" i="20"/>
  <c r="AT142" i="20" s="1"/>
  <c r="BT142" i="20" s="1"/>
  <c r="AH142" i="20"/>
  <c r="AK142" i="20" s="1"/>
  <c r="BR142" i="20" s="1"/>
  <c r="AJ107" i="20"/>
  <c r="AN107" i="20"/>
  <c r="AA107" i="20"/>
  <c r="AB107" i="20" s="1"/>
  <c r="AC107" i="20" s="1"/>
  <c r="Y107" i="20"/>
  <c r="AD107" i="20"/>
  <c r="AE107" i="20" s="1"/>
  <c r="AF107" i="20" s="1"/>
  <c r="AN135" i="20"/>
  <c r="AA135" i="20"/>
  <c r="AB135" i="20" s="1"/>
  <c r="AC135" i="20" s="1"/>
  <c r="AD135" i="20"/>
  <c r="AE135" i="20" s="1"/>
  <c r="AF135" i="20" s="1"/>
  <c r="AJ135" i="20"/>
  <c r="Y135" i="20"/>
  <c r="S37" i="20"/>
  <c r="AI37" i="20" s="1"/>
  <c r="S164" i="20"/>
  <c r="AQ182" i="20"/>
  <c r="AT182" i="20" s="1"/>
  <c r="BT182" i="20" s="1"/>
  <c r="AV182" i="20"/>
  <c r="AX182" i="20" s="1"/>
  <c r="BU182" i="20" s="1"/>
  <c r="AH182" i="20"/>
  <c r="X182" i="20"/>
  <c r="AY182" i="20"/>
  <c r="AO162" i="20"/>
  <c r="BS162" i="20" s="1"/>
  <c r="S84" i="20"/>
  <c r="AI84" i="20" s="1"/>
  <c r="AV66" i="20"/>
  <c r="AQ66" i="20"/>
  <c r="AT66" i="20" s="1"/>
  <c r="BT66" i="20" s="1"/>
  <c r="AN169" i="20"/>
  <c r="AD169" i="20"/>
  <c r="AE169" i="20" s="1"/>
  <c r="AF169" i="20" s="1"/>
  <c r="Y169" i="20"/>
  <c r="Z169" i="20" s="1"/>
  <c r="AJ169" i="20"/>
  <c r="AA169" i="20"/>
  <c r="AB169" i="20" s="1"/>
  <c r="AC169" i="20" s="1"/>
  <c r="AD77" i="20"/>
  <c r="AE77" i="20" s="1"/>
  <c r="AF77" i="20" s="1"/>
  <c r="AJ77" i="20"/>
  <c r="AW77" i="20"/>
  <c r="AA77" i="20"/>
  <c r="AB77" i="20" s="1"/>
  <c r="AC77" i="20" s="1"/>
  <c r="AN77" i="20"/>
  <c r="Y77" i="20"/>
  <c r="AY155" i="20"/>
  <c r="AV155" i="20"/>
  <c r="AX155" i="20" s="1"/>
  <c r="BU155" i="20" s="1"/>
  <c r="AQ155" i="20"/>
  <c r="AT155" i="20" s="1"/>
  <c r="BT155" i="20" s="1"/>
  <c r="AH155" i="20"/>
  <c r="AK155" i="20" s="1"/>
  <c r="BR155" i="20" s="1"/>
  <c r="X155" i="20"/>
  <c r="Z155" i="20" s="1"/>
  <c r="S104" i="20"/>
  <c r="AI104" i="20" s="1"/>
  <c r="S133" i="20"/>
  <c r="AW13" i="20"/>
  <c r="AX13" i="20" s="1"/>
  <c r="AD13" i="20"/>
  <c r="AE13" i="20" s="1"/>
  <c r="AF13" i="20" s="1"/>
  <c r="AS13" i="20"/>
  <c r="AA13" i="20"/>
  <c r="AB13" i="20" s="1"/>
  <c r="AC13" i="20" s="1"/>
  <c r="Y13" i="20"/>
  <c r="Z13" i="20" s="1"/>
  <c r="AM206" i="20"/>
  <c r="BC206" i="20"/>
  <c r="BV206" i="20" s="1"/>
  <c r="AK162" i="20"/>
  <c r="AV77" i="20"/>
  <c r="AQ77" i="20"/>
  <c r="AT77" i="20" s="1"/>
  <c r="BT77" i="20" s="1"/>
  <c r="AH77" i="20"/>
  <c r="X77" i="20"/>
  <c r="AD88" i="20"/>
  <c r="AE88" i="20" s="1"/>
  <c r="AF88" i="20" s="1"/>
  <c r="AJ88" i="20"/>
  <c r="Y88" i="20"/>
  <c r="AA88" i="20"/>
  <c r="AB88" i="20" s="1"/>
  <c r="AC88" i="20" s="1"/>
  <c r="AN88" i="20"/>
  <c r="AW88" i="20"/>
  <c r="AX88" i="20" s="1"/>
  <c r="BU88" i="20" s="1"/>
  <c r="Y172" i="20"/>
  <c r="Z172" i="20" s="1"/>
  <c r="AJ172" i="20"/>
  <c r="AK172" i="20" s="1"/>
  <c r="BR172" i="20" s="1"/>
  <c r="AD172" i="20"/>
  <c r="AE172" i="20" s="1"/>
  <c r="AF172" i="20" s="1"/>
  <c r="AA172" i="20"/>
  <c r="AB172" i="20" s="1"/>
  <c r="AC172" i="20" s="1"/>
  <c r="AN172" i="20"/>
  <c r="AA19" i="20"/>
  <c r="AB19" i="20" s="1"/>
  <c r="AC19" i="20" s="1"/>
  <c r="AS19" i="20"/>
  <c r="AD19" i="20"/>
  <c r="AE19" i="20" s="1"/>
  <c r="AF19" i="20" s="1"/>
  <c r="Y19" i="20"/>
  <c r="AW19" i="20"/>
  <c r="AA79" i="20"/>
  <c r="AB79" i="20" s="1"/>
  <c r="AC79" i="20" s="1"/>
  <c r="AN79" i="20"/>
  <c r="AW79" i="20"/>
  <c r="AD79" i="20"/>
  <c r="AE79" i="20" s="1"/>
  <c r="AF79" i="20" s="1"/>
  <c r="AJ79" i="20"/>
  <c r="Y79" i="20"/>
  <c r="V48" i="20"/>
  <c r="AJ48" i="20" s="1"/>
  <c r="S48" i="20"/>
  <c r="AI48" i="20" s="1"/>
  <c r="AA123" i="20"/>
  <c r="AB123" i="20" s="1"/>
  <c r="AC123" i="20" s="1"/>
  <c r="Y123" i="20"/>
  <c r="AJ123" i="20"/>
  <c r="AN123" i="20"/>
  <c r="AD123" i="20"/>
  <c r="AE123" i="20" s="1"/>
  <c r="AF123" i="20" s="1"/>
  <c r="AD85" i="20"/>
  <c r="AE85" i="20" s="1"/>
  <c r="AF85" i="20" s="1"/>
  <c r="AW85" i="20"/>
  <c r="AN85" i="20"/>
  <c r="Y85" i="20"/>
  <c r="AA85" i="20"/>
  <c r="AB85" i="20" s="1"/>
  <c r="AC85" i="20" s="1"/>
  <c r="AJ85" i="20"/>
  <c r="AK85" i="20" s="1"/>
  <c r="BR85" i="20" s="1"/>
  <c r="AV174" i="20"/>
  <c r="AX174" i="20" s="1"/>
  <c r="BU174" i="20" s="1"/>
  <c r="AH174" i="20"/>
  <c r="X174" i="20"/>
  <c r="AQ174" i="20"/>
  <c r="AT174" i="20" s="1"/>
  <c r="BT174" i="20" s="1"/>
  <c r="AY174" i="20"/>
  <c r="S45" i="20"/>
  <c r="AI45" i="20" s="1"/>
  <c r="Z162" i="20"/>
  <c r="AW63" i="20"/>
  <c r="AA63" i="20"/>
  <c r="AB63" i="20" s="1"/>
  <c r="AC63" i="20" s="1"/>
  <c r="AJ63" i="20"/>
  <c r="AD63" i="20"/>
  <c r="AE63" i="20" s="1"/>
  <c r="AF63" i="20" s="1"/>
  <c r="Y63" i="20"/>
  <c r="Z63" i="20" s="1"/>
  <c r="AN63" i="20"/>
  <c r="S178" i="20"/>
  <c r="AN70" i="20"/>
  <c r="AW70" i="20"/>
  <c r="AD70" i="20"/>
  <c r="AE70" i="20" s="1"/>
  <c r="AF70" i="20" s="1"/>
  <c r="AJ70" i="20"/>
  <c r="Y70" i="20"/>
  <c r="AA70" i="20"/>
  <c r="AB70" i="20" s="1"/>
  <c r="AC70" i="20" s="1"/>
  <c r="S194" i="20"/>
  <c r="AA55" i="20"/>
  <c r="AB55" i="20" s="1"/>
  <c r="AC55" i="20" s="1"/>
  <c r="AD55" i="20"/>
  <c r="AE55" i="20" s="1"/>
  <c r="AF55" i="20" s="1"/>
  <c r="Y55" i="20"/>
  <c r="AW55" i="20"/>
  <c r="AS55" i="20"/>
  <c r="AN55" i="20"/>
  <c r="S114" i="20"/>
  <c r="AD71" i="20"/>
  <c r="AE71" i="20" s="1"/>
  <c r="AF71" i="20" s="1"/>
  <c r="Y71" i="20"/>
  <c r="AJ71" i="20"/>
  <c r="AA71" i="20"/>
  <c r="AB71" i="20" s="1"/>
  <c r="AC71" i="20" s="1"/>
  <c r="AN71" i="20"/>
  <c r="AW71" i="20"/>
  <c r="AX71" i="20" s="1"/>
  <c r="BU71" i="20" s="1"/>
  <c r="S130" i="20"/>
  <c r="S203" i="20"/>
  <c r="Y191" i="20"/>
  <c r="AN191" i="20"/>
  <c r="AA191" i="20"/>
  <c r="AB191" i="20" s="1"/>
  <c r="AC191" i="20" s="1"/>
  <c r="AJ191" i="20"/>
  <c r="AD191" i="20"/>
  <c r="AE191" i="20" s="1"/>
  <c r="AF191" i="20" s="1"/>
  <c r="S121" i="20"/>
  <c r="AN101" i="20"/>
  <c r="AO101" i="20" s="1"/>
  <c r="BS101" i="20" s="1"/>
  <c r="AA101" i="20"/>
  <c r="AB101" i="20" s="1"/>
  <c r="AC101" i="20" s="1"/>
  <c r="AD101" i="20"/>
  <c r="AE101" i="20" s="1"/>
  <c r="AF101" i="20" s="1"/>
  <c r="Y101" i="20"/>
  <c r="Z101" i="20" s="1"/>
  <c r="AJ101" i="20"/>
  <c r="AK101" i="20" s="1"/>
  <c r="BR101" i="20" s="1"/>
  <c r="S116" i="20"/>
  <c r="AY134" i="20"/>
  <c r="AQ134" i="20"/>
  <c r="AT134" i="20" s="1"/>
  <c r="BT134" i="20" s="1"/>
  <c r="AV134" i="20"/>
  <c r="AX134" i="20" s="1"/>
  <c r="BU134" i="20" s="1"/>
  <c r="X134" i="20"/>
  <c r="AH134" i="20"/>
  <c r="S54" i="20"/>
  <c r="AI54" i="20" s="1"/>
  <c r="AA117" i="20"/>
  <c r="AB117" i="20" s="1"/>
  <c r="AC117" i="20" s="1"/>
  <c r="AJ117" i="20"/>
  <c r="AK117" i="20" s="1"/>
  <c r="BR117" i="20" s="1"/>
  <c r="AN117" i="20"/>
  <c r="AD117" i="20"/>
  <c r="AE117" i="20" s="1"/>
  <c r="AF117" i="20" s="1"/>
  <c r="Y117" i="20"/>
  <c r="X34" i="20"/>
  <c r="Z34" i="20" s="1"/>
  <c r="AH34" i="20"/>
  <c r="AK34" i="20" s="1"/>
  <c r="BR34" i="20" s="1"/>
  <c r="AV34" i="20"/>
  <c r="AY34" i="20"/>
  <c r="AM34" i="20"/>
  <c r="AQ190" i="20"/>
  <c r="AT190" i="20" s="1"/>
  <c r="BT190" i="20" s="1"/>
  <c r="AV190" i="20"/>
  <c r="AX190" i="20" s="1"/>
  <c r="BU190" i="20" s="1"/>
  <c r="X190" i="20"/>
  <c r="Z190" i="20" s="1"/>
  <c r="AH190" i="20"/>
  <c r="AK190" i="20" s="1"/>
  <c r="BR190" i="20" s="1"/>
  <c r="AY190" i="20"/>
  <c r="AV141" i="20"/>
  <c r="AX141" i="20" s="1"/>
  <c r="BU141" i="20" s="1"/>
  <c r="AH141" i="20"/>
  <c r="AK141" i="20" s="1"/>
  <c r="BR141" i="20" s="1"/>
  <c r="AQ141" i="20"/>
  <c r="AT141" i="20" s="1"/>
  <c r="BT141" i="20" s="1"/>
  <c r="AY141" i="20"/>
  <c r="X141" i="20"/>
  <c r="Z141" i="20" s="1"/>
  <c r="AH158" i="20"/>
  <c r="AN143" i="20"/>
  <c r="AJ143" i="20"/>
  <c r="AA143" i="20"/>
  <c r="AB143" i="20" s="1"/>
  <c r="AC143" i="20" s="1"/>
  <c r="AD143" i="20"/>
  <c r="AE143" i="20" s="1"/>
  <c r="AF143" i="20" s="1"/>
  <c r="Y143" i="20"/>
  <c r="AD152" i="20"/>
  <c r="AE152" i="20" s="1"/>
  <c r="AF152" i="20" s="1"/>
  <c r="AJ152" i="20"/>
  <c r="AK152" i="20" s="1"/>
  <c r="BR152" i="20" s="1"/>
  <c r="Y152" i="20"/>
  <c r="Z152" i="20" s="1"/>
  <c r="AA152" i="20"/>
  <c r="AB152" i="20" s="1"/>
  <c r="AC152" i="20" s="1"/>
  <c r="AN152" i="20"/>
  <c r="AN192" i="20"/>
  <c r="AD192" i="20"/>
  <c r="AE192" i="20" s="1"/>
  <c r="AF192" i="20" s="1"/>
  <c r="AA192" i="20"/>
  <c r="AB192" i="20" s="1"/>
  <c r="AC192" i="20" s="1"/>
  <c r="Y192" i="20"/>
  <c r="AJ192" i="20"/>
  <c r="AN52" i="20"/>
  <c r="Y52" i="20"/>
  <c r="AA52" i="20"/>
  <c r="AB52" i="20" s="1"/>
  <c r="AC52" i="20" s="1"/>
  <c r="AS52" i="20"/>
  <c r="AW52" i="20"/>
  <c r="AD52" i="20"/>
  <c r="AE52" i="20" s="1"/>
  <c r="AF52" i="20" s="1"/>
  <c r="X196" i="20"/>
  <c r="Z196" i="20" s="1"/>
  <c r="AV196" i="20"/>
  <c r="AX196" i="20" s="1"/>
  <c r="BU196" i="20" s="1"/>
  <c r="AH196" i="20"/>
  <c r="AK196" i="20" s="1"/>
  <c r="BR196" i="20" s="1"/>
  <c r="AY196" i="20"/>
  <c r="AQ196" i="20"/>
  <c r="AT196" i="20" s="1"/>
  <c r="BT196" i="20" s="1"/>
  <c r="BC23" i="20"/>
  <c r="BV23" i="20" s="1"/>
  <c r="AQ23" i="20"/>
  <c r="BC24" i="20"/>
  <c r="BV24" i="20" s="1"/>
  <c r="BC171" i="20"/>
  <c r="BV171" i="20" s="1"/>
  <c r="AM171" i="20"/>
  <c r="X49" i="20"/>
  <c r="AV49" i="20"/>
  <c r="BC159" i="20"/>
  <c r="BV159" i="20" s="1"/>
  <c r="AQ49" i="20"/>
  <c r="AH49" i="20"/>
  <c r="AK49" i="20" s="1"/>
  <c r="BR49" i="20" s="1"/>
  <c r="AM192" i="20"/>
  <c r="AQ47" i="20"/>
  <c r="AV47" i="20"/>
  <c r="X47" i="20"/>
  <c r="AH47" i="20"/>
  <c r="AM166" i="20"/>
  <c r="BC166" i="20"/>
  <c r="BV166" i="20" s="1"/>
  <c r="AM150" i="20"/>
  <c r="AO150" i="20" s="1"/>
  <c r="BS150" i="20" s="1"/>
  <c r="BC150" i="20"/>
  <c r="BV150" i="20" s="1"/>
  <c r="AQ21" i="20"/>
  <c r="AT21" i="20" s="1"/>
  <c r="BC21" i="20"/>
  <c r="BV21" i="20" s="1"/>
  <c r="AQ22" i="20"/>
  <c r="AT22" i="20" s="1"/>
  <c r="BC22" i="20"/>
  <c r="BV22" i="20" s="1"/>
  <c r="AM172" i="20"/>
  <c r="BC172" i="20"/>
  <c r="BV172" i="20" s="1"/>
  <c r="AM198" i="20"/>
  <c r="BC198" i="20"/>
  <c r="BV198" i="20" s="1"/>
  <c r="AM86" i="20"/>
  <c r="AQ13" i="20"/>
  <c r="BC13" i="20"/>
  <c r="BV13" i="20" s="1"/>
  <c r="AM55" i="20"/>
  <c r="AQ28" i="20"/>
  <c r="BC28" i="20"/>
  <c r="BV28" i="20" s="1"/>
  <c r="AM119" i="20"/>
  <c r="BC119" i="20"/>
  <c r="BV119" i="20" s="1"/>
  <c r="AQ10" i="20"/>
  <c r="AT10" i="20" s="1"/>
  <c r="BL10" i="20" s="1"/>
  <c r="BC10" i="20"/>
  <c r="BV10" i="20" s="1"/>
  <c r="AM128" i="20"/>
  <c r="BC128" i="20"/>
  <c r="BV128" i="20" s="1"/>
  <c r="AM58" i="20"/>
  <c r="AM208" i="20"/>
  <c r="BC208" i="20"/>
  <c r="BV208" i="20" s="1"/>
  <c r="AM113" i="20"/>
  <c r="AO113" i="20" s="1"/>
  <c r="BS113" i="20" s="1"/>
  <c r="BC113" i="20"/>
  <c r="BV113" i="20" s="1"/>
  <c r="AQ69" i="20"/>
  <c r="AT69" i="20" s="1"/>
  <c r="BT69" i="20" s="1"/>
  <c r="AM53" i="20"/>
  <c r="AM207" i="20"/>
  <c r="BC207" i="20"/>
  <c r="BV207" i="20" s="1"/>
  <c r="AM152" i="20"/>
  <c r="BC152" i="20"/>
  <c r="BV152" i="20" s="1"/>
  <c r="AM205" i="20"/>
  <c r="AO205" i="20" s="1"/>
  <c r="BS205" i="20" s="1"/>
  <c r="BC205" i="20"/>
  <c r="BV205" i="20" s="1"/>
  <c r="AO35" i="20" l="1"/>
  <c r="BS35" i="20" s="1"/>
  <c r="AO20" i="20"/>
  <c r="BS20" i="20" s="1"/>
  <c r="AK36" i="20"/>
  <c r="BR36" i="20" s="1"/>
  <c r="AO33" i="20"/>
  <c r="BS33" i="20" s="1"/>
  <c r="AK12" i="20"/>
  <c r="BR12" i="20" s="1"/>
  <c r="Z111" i="20"/>
  <c r="BP111" i="20" s="1"/>
  <c r="AK20" i="20"/>
  <c r="BR20" i="20" s="1"/>
  <c r="AY76" i="20"/>
  <c r="AK61" i="20"/>
  <c r="BR61" i="20" s="1"/>
  <c r="AO22" i="20"/>
  <c r="BS22" i="20" s="1"/>
  <c r="AK17" i="20"/>
  <c r="BR17" i="20" s="1"/>
  <c r="Z20" i="20"/>
  <c r="BL24" i="20"/>
  <c r="BM9" i="20"/>
  <c r="BL38" i="20"/>
  <c r="BM31" i="20"/>
  <c r="BL16" i="20"/>
  <c r="AJ32" i="20"/>
  <c r="AK32" i="20" s="1"/>
  <c r="BR32" i="20" s="1"/>
  <c r="AN32" i="20"/>
  <c r="AO32" i="20" s="1"/>
  <c r="BS32" i="20" s="1"/>
  <c r="Y14" i="20"/>
  <c r="AJ14" i="20"/>
  <c r="AN14" i="20"/>
  <c r="AW15" i="20"/>
  <c r="AJ15" i="20"/>
  <c r="AN15" i="20"/>
  <c r="AO15" i="20" s="1"/>
  <c r="BS15" i="20" s="1"/>
  <c r="Y27" i="20"/>
  <c r="AJ27" i="20"/>
  <c r="AN27" i="20"/>
  <c r="AD30" i="20"/>
  <c r="AE30" i="20" s="1"/>
  <c r="AF30" i="20" s="1"/>
  <c r="AJ30" i="20"/>
  <c r="AN30" i="20"/>
  <c r="AW11" i="20"/>
  <c r="AX11" i="20" s="1"/>
  <c r="AJ11" i="20"/>
  <c r="AN11" i="20"/>
  <c r="AK47" i="20"/>
  <c r="BR47" i="20" s="1"/>
  <c r="AO34" i="20"/>
  <c r="BS34" i="20" s="1"/>
  <c r="AK35" i="20"/>
  <c r="BR35" i="20" s="1"/>
  <c r="Y44" i="20"/>
  <c r="AJ44" i="20"/>
  <c r="AN51" i="20"/>
  <c r="AJ51" i="20"/>
  <c r="AA40" i="20"/>
  <c r="AB40" i="20" s="1"/>
  <c r="AC40" i="20" s="1"/>
  <c r="AN40" i="20"/>
  <c r="AO40" i="20" s="1"/>
  <c r="BS40" i="20" s="1"/>
  <c r="AW40" i="20"/>
  <c r="AX40" i="20" s="1"/>
  <c r="AS40" i="20"/>
  <c r="AD40" i="20"/>
  <c r="AE40" i="20" s="1"/>
  <c r="AF40" i="20" s="1"/>
  <c r="Y40" i="20"/>
  <c r="Z40" i="20" s="1"/>
  <c r="BP40" i="20" s="1"/>
  <c r="AA54" i="20"/>
  <c r="AB54" i="20" s="1"/>
  <c r="AC54" i="20" s="1"/>
  <c r="AJ54" i="20"/>
  <c r="AS36" i="20"/>
  <c r="AN36" i="20"/>
  <c r="AO36" i="20" s="1"/>
  <c r="BS36" i="20" s="1"/>
  <c r="AD45" i="20"/>
  <c r="AE45" i="20" s="1"/>
  <c r="AF45" i="20" s="1"/>
  <c r="AJ45" i="20"/>
  <c r="BL43" i="20"/>
  <c r="AD73" i="20"/>
  <c r="AE73" i="20" s="1"/>
  <c r="AF73" i="20" s="1"/>
  <c r="AS73" i="20"/>
  <c r="AJ72" i="20"/>
  <c r="AS72" i="20"/>
  <c r="AT68" i="20"/>
  <c r="BT68" i="20" s="1"/>
  <c r="AY62" i="20"/>
  <c r="AG62" i="20"/>
  <c r="AJ112" i="20"/>
  <c r="AW112" i="20"/>
  <c r="AX34" i="20"/>
  <c r="BU34" i="20" s="1"/>
  <c r="AA108" i="20"/>
  <c r="AB108" i="20" s="1"/>
  <c r="AC108" i="20" s="1"/>
  <c r="AW108" i="20"/>
  <c r="AX108" i="20" s="1"/>
  <c r="BU108" i="20" s="1"/>
  <c r="R109" i="20"/>
  <c r="S109" i="20" s="1"/>
  <c r="AI109" i="20" s="1"/>
  <c r="Y110" i="20"/>
  <c r="AW110" i="20"/>
  <c r="AL107" i="21"/>
  <c r="AM107" i="21" s="1"/>
  <c r="X107" i="21"/>
  <c r="AL77" i="21"/>
  <c r="AM77" i="21" s="1"/>
  <c r="BQ162" i="20"/>
  <c r="BR162" i="20"/>
  <c r="BQ146" i="20"/>
  <c r="BR146" i="20"/>
  <c r="BQ159" i="20"/>
  <c r="BR159" i="20"/>
  <c r="BQ183" i="20"/>
  <c r="BR183" i="20"/>
  <c r="BQ193" i="20"/>
  <c r="BR193" i="20"/>
  <c r="BQ125" i="20"/>
  <c r="BQ99" i="20"/>
  <c r="BQ124" i="20"/>
  <c r="BQ101" i="20"/>
  <c r="BQ122" i="20"/>
  <c r="BQ21" i="20"/>
  <c r="BQ150" i="20"/>
  <c r="BL197" i="20"/>
  <c r="BQ200" i="20"/>
  <c r="BQ10" i="20"/>
  <c r="BQ16" i="20"/>
  <c r="BL198" i="20"/>
  <c r="BQ205" i="20"/>
  <c r="BQ38" i="20"/>
  <c r="BQ74" i="20"/>
  <c r="BQ113" i="20"/>
  <c r="BQ151" i="20"/>
  <c r="BL146" i="20"/>
  <c r="BL159" i="20"/>
  <c r="BL85" i="20"/>
  <c r="BL82" i="20"/>
  <c r="BL161" i="20"/>
  <c r="BL141" i="20"/>
  <c r="BL101" i="20"/>
  <c r="BL122" i="20"/>
  <c r="BL67" i="20"/>
  <c r="BT58" i="20"/>
  <c r="BL150" i="20"/>
  <c r="BL168" i="20"/>
  <c r="BL200" i="20"/>
  <c r="BL117" i="20"/>
  <c r="BL155" i="20"/>
  <c r="BL119" i="20"/>
  <c r="BL193" i="20"/>
  <c r="BL162" i="20"/>
  <c r="BL87" i="20"/>
  <c r="BL172" i="20"/>
  <c r="BL166" i="20"/>
  <c r="BT61" i="20"/>
  <c r="BT63" i="20"/>
  <c r="BL205" i="20"/>
  <c r="BL190" i="20"/>
  <c r="BL74" i="20"/>
  <c r="BL113" i="20"/>
  <c r="BL140" i="20"/>
  <c r="BL151" i="20"/>
  <c r="BL201" i="20"/>
  <c r="BL206" i="20"/>
  <c r="BL183" i="20"/>
  <c r="BT22" i="20"/>
  <c r="BL22" i="20"/>
  <c r="BL196" i="20"/>
  <c r="BL106" i="20"/>
  <c r="BL163" i="20"/>
  <c r="BL125" i="20"/>
  <c r="BL132" i="20"/>
  <c r="BT21" i="20"/>
  <c r="BL21" i="20"/>
  <c r="BL152" i="20"/>
  <c r="BL142" i="20"/>
  <c r="BL171" i="20"/>
  <c r="BL128" i="20"/>
  <c r="BL99" i="20"/>
  <c r="BL165" i="20"/>
  <c r="BL157" i="20"/>
  <c r="BT59" i="20"/>
  <c r="BL59" i="20"/>
  <c r="BL124" i="20"/>
  <c r="BP171" i="20"/>
  <c r="BP127" i="20"/>
  <c r="BP24" i="20"/>
  <c r="BP10" i="20"/>
  <c r="BI10" i="20"/>
  <c r="BP162" i="20"/>
  <c r="BI162" i="20"/>
  <c r="BP155" i="20"/>
  <c r="BP166" i="20"/>
  <c r="BP103" i="20"/>
  <c r="BP140" i="20"/>
  <c r="BP125" i="20"/>
  <c r="BP31" i="20"/>
  <c r="BP13" i="20"/>
  <c r="BP28" i="20"/>
  <c r="BP193" i="20"/>
  <c r="BP101" i="20"/>
  <c r="BI101" i="20"/>
  <c r="BK101" i="20" s="1"/>
  <c r="BO101" i="20" s="1"/>
  <c r="BP161" i="20"/>
  <c r="BP21" i="20"/>
  <c r="BI21" i="20"/>
  <c r="BK21" i="20" s="1"/>
  <c r="BO21" i="20" s="1"/>
  <c r="BP150" i="20"/>
  <c r="BI150" i="20"/>
  <c r="BK150" i="20" s="1"/>
  <c r="BO150" i="20" s="1"/>
  <c r="BP198" i="20"/>
  <c r="BP132" i="20"/>
  <c r="BP34" i="20"/>
  <c r="BP63" i="20"/>
  <c r="BP172" i="20"/>
  <c r="BP38" i="20"/>
  <c r="BI38" i="20"/>
  <c r="BK38" i="20" s="1"/>
  <c r="BO38" i="20" s="1"/>
  <c r="BP146" i="20"/>
  <c r="BI146" i="20"/>
  <c r="BK146" i="20" s="1"/>
  <c r="BO146" i="20" s="1"/>
  <c r="BP128" i="20"/>
  <c r="BP159" i="20"/>
  <c r="BI159" i="20"/>
  <c r="BP200" i="20"/>
  <c r="BP197" i="20"/>
  <c r="BP152" i="20"/>
  <c r="BP119" i="20"/>
  <c r="BP131" i="20"/>
  <c r="BP57" i="20"/>
  <c r="BP113" i="20"/>
  <c r="BI113" i="20"/>
  <c r="BP22" i="20"/>
  <c r="BP183" i="20"/>
  <c r="BI183" i="20"/>
  <c r="BK183" i="20" s="1"/>
  <c r="BO183" i="20" s="1"/>
  <c r="BP196" i="20"/>
  <c r="BP141" i="20"/>
  <c r="BP169" i="20"/>
  <c r="BP106" i="20"/>
  <c r="BP122" i="20"/>
  <c r="BI122" i="20"/>
  <c r="BP16" i="20"/>
  <c r="BP99" i="20"/>
  <c r="BP201" i="20"/>
  <c r="BP151" i="20"/>
  <c r="BP205" i="20"/>
  <c r="BI205" i="20"/>
  <c r="BP124" i="20"/>
  <c r="BI124" i="20"/>
  <c r="BK124" i="20" s="1"/>
  <c r="BO124" i="20" s="1"/>
  <c r="S52" i="21"/>
  <c r="AI52" i="21" s="1"/>
  <c r="AG77" i="21"/>
  <c r="AH77" i="21" s="1"/>
  <c r="AL79" i="21"/>
  <c r="AM79" i="21" s="1"/>
  <c r="X79" i="21"/>
  <c r="AU107" i="21"/>
  <c r="AV107" i="21" s="1"/>
  <c r="AU77" i="21"/>
  <c r="AV77" i="21" s="1"/>
  <c r="AU40" i="21"/>
  <c r="AV40" i="21" s="1"/>
  <c r="AP40" i="21"/>
  <c r="AQ40" i="21" s="1"/>
  <c r="AG40" i="21"/>
  <c r="AH40" i="21" s="1"/>
  <c r="AL91" i="21"/>
  <c r="AM91" i="21" s="1"/>
  <c r="AY51" i="20"/>
  <c r="AY45" i="20"/>
  <c r="Y76" i="20"/>
  <c r="Z76" i="20" s="1"/>
  <c r="AA40" i="21"/>
  <c r="AB40" i="21" s="1"/>
  <c r="AC40" i="21" s="1"/>
  <c r="AJ40" i="21"/>
  <c r="AN90" i="21"/>
  <c r="AJ90" i="21"/>
  <c r="AW98" i="21"/>
  <c r="AJ98" i="21"/>
  <c r="AD76" i="20"/>
  <c r="AE76" i="20" s="1"/>
  <c r="AF76" i="20" s="1"/>
  <c r="AS26" i="21"/>
  <c r="AJ26" i="21"/>
  <c r="AA37" i="21"/>
  <c r="AB37" i="21" s="1"/>
  <c r="AC37" i="21" s="1"/>
  <c r="AJ37" i="21"/>
  <c r="AA12" i="21"/>
  <c r="AB12" i="21" s="1"/>
  <c r="AC12" i="21" s="1"/>
  <c r="AJ12" i="21"/>
  <c r="AW45" i="21"/>
  <c r="AJ45" i="21"/>
  <c r="AW76" i="20"/>
  <c r="AX76" i="20" s="1"/>
  <c r="BU76" i="20" s="1"/>
  <c r="AS77" i="21"/>
  <c r="AT77" i="21" s="1"/>
  <c r="AJ77" i="21"/>
  <c r="AJ76" i="20"/>
  <c r="AK76" i="20" s="1"/>
  <c r="BR76" i="20" s="1"/>
  <c r="AW24" i="21"/>
  <c r="AJ24" i="21"/>
  <c r="AD69" i="21"/>
  <c r="AE69" i="21" s="1"/>
  <c r="AF69" i="21" s="1"/>
  <c r="AJ69" i="21"/>
  <c r="AA83" i="21"/>
  <c r="AB83" i="21" s="1"/>
  <c r="AC83" i="21" s="1"/>
  <c r="AJ83" i="21"/>
  <c r="AA107" i="21"/>
  <c r="AB107" i="21" s="1"/>
  <c r="AC107" i="21" s="1"/>
  <c r="AJ107" i="21"/>
  <c r="AK107" i="21" s="1"/>
  <c r="BR107" i="21" s="1"/>
  <c r="AA76" i="20"/>
  <c r="AB76" i="20" s="1"/>
  <c r="AC76" i="20" s="1"/>
  <c r="AD25" i="21"/>
  <c r="AE25" i="21" s="1"/>
  <c r="AF25" i="21" s="1"/>
  <c r="AJ25" i="21"/>
  <c r="AD21" i="21"/>
  <c r="AE21" i="21" s="1"/>
  <c r="AF21" i="21" s="1"/>
  <c r="AJ21" i="21"/>
  <c r="AK21" i="21" s="1"/>
  <c r="BR21" i="21" s="1"/>
  <c r="AS10" i="21"/>
  <c r="AJ10" i="21"/>
  <c r="AN47" i="21"/>
  <c r="AJ47" i="21"/>
  <c r="AP97" i="21"/>
  <c r="AQ97" i="21" s="1"/>
  <c r="AG97" i="21"/>
  <c r="AH97" i="21" s="1"/>
  <c r="AK97" i="21" s="1"/>
  <c r="BR97" i="21" s="1"/>
  <c r="X68" i="20"/>
  <c r="AU97" i="21"/>
  <c r="AV97" i="21" s="1"/>
  <c r="AG91" i="21"/>
  <c r="AH91" i="21" s="1"/>
  <c r="AK91" i="21" s="1"/>
  <c r="BR91" i="21" s="1"/>
  <c r="AP91" i="21"/>
  <c r="AQ91" i="21" s="1"/>
  <c r="AO87" i="20"/>
  <c r="BS87" i="20" s="1"/>
  <c r="AY49" i="21"/>
  <c r="AK94" i="21"/>
  <c r="BR94" i="21" s="1"/>
  <c r="AX89" i="20"/>
  <c r="BU89" i="20" s="1"/>
  <c r="Y21" i="21"/>
  <c r="AK49" i="21"/>
  <c r="BR49" i="21" s="1"/>
  <c r="AL49" i="21"/>
  <c r="AM49" i="21" s="1"/>
  <c r="AO49" i="21" s="1"/>
  <c r="BS49" i="21" s="1"/>
  <c r="X49" i="21"/>
  <c r="Z49" i="21" s="1"/>
  <c r="AP70" i="21"/>
  <c r="AQ70" i="21" s="1"/>
  <c r="AP49" i="21"/>
  <c r="AQ49" i="21" s="1"/>
  <c r="AT49" i="21" s="1"/>
  <c r="Z66" i="20"/>
  <c r="AT50" i="20"/>
  <c r="BL50" i="20" s="1"/>
  <c r="AO82" i="20"/>
  <c r="BS82" i="20" s="1"/>
  <c r="AP36" i="21"/>
  <c r="AQ36" i="21" s="1"/>
  <c r="AT36" i="21" s="1"/>
  <c r="AA21" i="21"/>
  <c r="AB21" i="21" s="1"/>
  <c r="AC21" i="21" s="1"/>
  <c r="AW21" i="21"/>
  <c r="AS21" i="21"/>
  <c r="AL43" i="21"/>
  <c r="AM43" i="21" s="1"/>
  <c r="AP43" i="21"/>
  <c r="AQ43" i="21" s="1"/>
  <c r="AG43" i="21"/>
  <c r="AH43" i="21" s="1"/>
  <c r="AK43" i="21" s="1"/>
  <c r="BR43" i="21" s="1"/>
  <c r="V52" i="21"/>
  <c r="AO50" i="20"/>
  <c r="BS50" i="20" s="1"/>
  <c r="AU49" i="21"/>
  <c r="AV49" i="21" s="1"/>
  <c r="AX49" i="21" s="1"/>
  <c r="Z50" i="20"/>
  <c r="AU11" i="21"/>
  <c r="AV11" i="21" s="1"/>
  <c r="AY11" i="21"/>
  <c r="X47" i="21"/>
  <c r="AG36" i="21"/>
  <c r="AH36" i="21" s="1"/>
  <c r="AK36" i="21" s="1"/>
  <c r="BR36" i="21" s="1"/>
  <c r="AS25" i="21"/>
  <c r="AW98" i="20"/>
  <c r="AP47" i="21"/>
  <c r="AQ47" i="21" s="1"/>
  <c r="AP23" i="21"/>
  <c r="AQ23" i="21" s="1"/>
  <c r="AL36" i="21"/>
  <c r="AM36" i="21" s="1"/>
  <c r="AO36" i="21" s="1"/>
  <c r="BS36" i="21" s="1"/>
  <c r="AL23" i="21"/>
  <c r="AM23" i="21" s="1"/>
  <c r="AU36" i="21"/>
  <c r="AV36" i="21" s="1"/>
  <c r="AX36" i="21" s="1"/>
  <c r="BU36" i="21" s="1"/>
  <c r="AL47" i="21"/>
  <c r="AM47" i="21" s="1"/>
  <c r="X36" i="21"/>
  <c r="Z36" i="21" s="1"/>
  <c r="AL40" i="21"/>
  <c r="AM40" i="21" s="1"/>
  <c r="AY40" i="21"/>
  <c r="AG47" i="21"/>
  <c r="AH47" i="21" s="1"/>
  <c r="AY47" i="21"/>
  <c r="AD94" i="20"/>
  <c r="AE94" i="20" s="1"/>
  <c r="AF94" i="20" s="1"/>
  <c r="AW94" i="20"/>
  <c r="V56" i="21"/>
  <c r="AN56" i="21" s="1"/>
  <c r="AP26" i="21"/>
  <c r="AQ26" i="21" s="1"/>
  <c r="AY26" i="21"/>
  <c r="X97" i="21"/>
  <c r="AY97" i="21"/>
  <c r="AY81" i="21"/>
  <c r="S90" i="21"/>
  <c r="AI90" i="21" s="1"/>
  <c r="AP107" i="21"/>
  <c r="AY107" i="21"/>
  <c r="X77" i="21"/>
  <c r="AY77" i="21"/>
  <c r="BU9" i="20"/>
  <c r="AS47" i="21"/>
  <c r="AX82" i="20"/>
  <c r="BU82" i="20" s="1"/>
  <c r="AW90" i="21"/>
  <c r="AD47" i="21"/>
  <c r="AE47" i="21" s="1"/>
  <c r="AF47" i="21" s="1"/>
  <c r="AD40" i="21"/>
  <c r="AE40" i="21" s="1"/>
  <c r="AF40" i="21" s="1"/>
  <c r="AW40" i="21"/>
  <c r="AS90" i="21"/>
  <c r="AW77" i="21"/>
  <c r="AN26" i="21"/>
  <c r="AS40" i="21"/>
  <c r="AD90" i="21"/>
  <c r="AE90" i="21" s="1"/>
  <c r="AF90" i="21" s="1"/>
  <c r="Y26" i="21"/>
  <c r="AO168" i="20"/>
  <c r="BS168" i="20" s="1"/>
  <c r="AS83" i="21"/>
  <c r="AA26" i="21"/>
  <c r="AB26" i="21" s="1"/>
  <c r="AC26" i="21" s="1"/>
  <c r="AA90" i="21"/>
  <c r="AB90" i="21" s="1"/>
  <c r="AC90" i="21" s="1"/>
  <c r="Y40" i="21"/>
  <c r="Z40" i="21" s="1"/>
  <c r="Y90" i="21"/>
  <c r="AN40" i="21"/>
  <c r="AW37" i="21"/>
  <c r="AA45" i="21"/>
  <c r="AB45" i="21" s="1"/>
  <c r="AC45" i="21" s="1"/>
  <c r="AN37" i="21"/>
  <c r="AO37" i="21" s="1"/>
  <c r="BS37" i="21" s="1"/>
  <c r="AD45" i="21"/>
  <c r="AE45" i="21" s="1"/>
  <c r="AF45" i="21" s="1"/>
  <c r="AW26" i="21"/>
  <c r="AX26" i="21" s="1"/>
  <c r="Y45" i="21"/>
  <c r="AS45" i="21"/>
  <c r="AD26" i="21"/>
  <c r="AE26" i="21" s="1"/>
  <c r="AF26" i="21" s="1"/>
  <c r="AL81" i="21"/>
  <c r="AM81" i="21" s="1"/>
  <c r="AO81" i="21" s="1"/>
  <c r="BS81" i="21" s="1"/>
  <c r="V9" i="21"/>
  <c r="AN9" i="21" s="1"/>
  <c r="V65" i="21"/>
  <c r="AN65" i="21" s="1"/>
  <c r="AN45" i="21"/>
  <c r="V39" i="21"/>
  <c r="AW83" i="21"/>
  <c r="AN69" i="21"/>
  <c r="Y77" i="21"/>
  <c r="AN25" i="21"/>
  <c r="V53" i="21"/>
  <c r="AA77" i="21"/>
  <c r="AB77" i="21" s="1"/>
  <c r="AC77" i="21" s="1"/>
  <c r="AW12" i="21"/>
  <c r="AN83" i="21"/>
  <c r="Y47" i="21"/>
  <c r="Y25" i="21"/>
  <c r="Y12" i="21"/>
  <c r="AW47" i="21"/>
  <c r="AX47" i="21" s="1"/>
  <c r="Y24" i="21"/>
  <c r="AW25" i="21"/>
  <c r="AS12" i="21"/>
  <c r="AN12" i="21"/>
  <c r="AA25" i="21"/>
  <c r="AB25" i="21" s="1"/>
  <c r="AC25" i="21" s="1"/>
  <c r="AD77" i="21"/>
  <c r="AE77" i="21" s="1"/>
  <c r="AF77" i="21" s="1"/>
  <c r="BC37" i="21"/>
  <c r="BV37" i="21" s="1"/>
  <c r="Z87" i="20"/>
  <c r="AD12" i="21"/>
  <c r="AE12" i="21" s="1"/>
  <c r="AF12" i="21" s="1"/>
  <c r="Y83" i="21"/>
  <c r="AA47" i="21"/>
  <c r="AB47" i="21" s="1"/>
  <c r="AC47" i="21" s="1"/>
  <c r="AN77" i="21"/>
  <c r="AD83" i="21"/>
  <c r="AE83" i="21" s="1"/>
  <c r="AF83" i="21" s="1"/>
  <c r="AP62" i="21"/>
  <c r="AQ62" i="21" s="1"/>
  <c r="AG62" i="21"/>
  <c r="AH62" i="21" s="1"/>
  <c r="AL62" i="21"/>
  <c r="AM62" i="21" s="1"/>
  <c r="AN98" i="21"/>
  <c r="AT9" i="20"/>
  <c r="BQ9" i="20" s="1"/>
  <c r="AS98" i="21"/>
  <c r="AS107" i="21"/>
  <c r="X26" i="21"/>
  <c r="V33" i="21"/>
  <c r="AO86" i="20"/>
  <c r="BS86" i="20" s="1"/>
  <c r="AD98" i="21"/>
  <c r="AE98" i="21" s="1"/>
  <c r="AF98" i="21" s="1"/>
  <c r="V64" i="21"/>
  <c r="AJ64" i="21" s="1"/>
  <c r="V61" i="21"/>
  <c r="AN61" i="21" s="1"/>
  <c r="S58" i="21"/>
  <c r="AI58" i="21" s="1"/>
  <c r="V17" i="21"/>
  <c r="AJ17" i="21" s="1"/>
  <c r="AD107" i="21"/>
  <c r="AE107" i="21" s="1"/>
  <c r="AF107" i="21" s="1"/>
  <c r="W108" i="21"/>
  <c r="AY108" i="21" s="1"/>
  <c r="AN107" i="21"/>
  <c r="V103" i="21"/>
  <c r="AJ103" i="21" s="1"/>
  <c r="W103" i="21"/>
  <c r="AY103" i="21" s="1"/>
  <c r="X42" i="21"/>
  <c r="AG42" i="21"/>
  <c r="AH42" i="21" s="1"/>
  <c r="AP42" i="21"/>
  <c r="AQ42" i="21" s="1"/>
  <c r="AL42" i="21"/>
  <c r="AM42" i="21" s="1"/>
  <c r="AU42" i="21"/>
  <c r="AV42" i="21" s="1"/>
  <c r="X96" i="21"/>
  <c r="AU96" i="21"/>
  <c r="AV96" i="21" s="1"/>
  <c r="V19" i="21"/>
  <c r="AN19" i="21" s="1"/>
  <c r="W65" i="21"/>
  <c r="AY65" i="21" s="1"/>
  <c r="S109" i="21"/>
  <c r="AI109" i="21" s="1"/>
  <c r="S44" i="21"/>
  <c r="AI44" i="21" s="1"/>
  <c r="W44" i="21"/>
  <c r="AY44" i="21" s="1"/>
  <c r="X45" i="21"/>
  <c r="AU45" i="21"/>
  <c r="AV45" i="21" s="1"/>
  <c r="AL45" i="21"/>
  <c r="AP45" i="21"/>
  <c r="AQ45" i="21" s="1"/>
  <c r="AG45" i="21"/>
  <c r="AH45" i="21" s="1"/>
  <c r="AL52" i="21"/>
  <c r="AM52" i="21" s="1"/>
  <c r="AU52" i="21"/>
  <c r="AV52" i="21" s="1"/>
  <c r="X52" i="21"/>
  <c r="AP52" i="21"/>
  <c r="AQ52" i="21" s="1"/>
  <c r="AU39" i="21"/>
  <c r="AV39" i="21" s="1"/>
  <c r="X39" i="21"/>
  <c r="AG39" i="21"/>
  <c r="AH39" i="21" s="1"/>
  <c r="X50" i="21"/>
  <c r="AG50" i="21"/>
  <c r="AH50" i="21" s="1"/>
  <c r="AP50" i="21"/>
  <c r="AQ50" i="21" s="1"/>
  <c r="AU50" i="21"/>
  <c r="AV50" i="21" s="1"/>
  <c r="AA34" i="21"/>
  <c r="AB34" i="21" s="1"/>
  <c r="AC34" i="21" s="1"/>
  <c r="Y34" i="21"/>
  <c r="AU63" i="21"/>
  <c r="AV63" i="21" s="1"/>
  <c r="X63" i="21"/>
  <c r="AL63" i="21"/>
  <c r="AM63" i="21" s="1"/>
  <c r="AP63" i="21"/>
  <c r="AQ63" i="21" s="1"/>
  <c r="AG63" i="21"/>
  <c r="AH63" i="21" s="1"/>
  <c r="W61" i="21"/>
  <c r="AY61" i="21" s="1"/>
  <c r="V63" i="21"/>
  <c r="Y98" i="21"/>
  <c r="S98" i="21"/>
  <c r="AI98" i="21" s="1"/>
  <c r="S34" i="21"/>
  <c r="AI34" i="21" s="1"/>
  <c r="S39" i="21"/>
  <c r="AI39" i="21" s="1"/>
  <c r="V16" i="21"/>
  <c r="AJ16" i="21" s="1"/>
  <c r="W75" i="21"/>
  <c r="AL75" i="21" s="1"/>
  <c r="AM75" i="21" s="1"/>
  <c r="W56" i="21"/>
  <c r="W34" i="21"/>
  <c r="S63" i="21"/>
  <c r="AI63" i="21" s="1"/>
  <c r="S15" i="21"/>
  <c r="AI15" i="21" s="1"/>
  <c r="W16" i="21"/>
  <c r="AU16" i="21" s="1"/>
  <c r="AV16" i="21" s="1"/>
  <c r="AP12" i="21"/>
  <c r="AQ12" i="21" s="1"/>
  <c r="AL12" i="21"/>
  <c r="X12" i="21"/>
  <c r="AU12" i="21"/>
  <c r="AV12" i="21" s="1"/>
  <c r="AG12" i="21"/>
  <c r="AH12" i="21" s="1"/>
  <c r="AA98" i="21"/>
  <c r="AB98" i="21" s="1"/>
  <c r="AC98" i="21" s="1"/>
  <c r="W9" i="21"/>
  <c r="S60" i="21"/>
  <c r="AI60" i="21" s="1"/>
  <c r="S100" i="21"/>
  <c r="AI100" i="21" s="1"/>
  <c r="AP9" i="21"/>
  <c r="AQ9" i="21" s="1"/>
  <c r="W53" i="21"/>
  <c r="AY53" i="21" s="1"/>
  <c r="W13" i="21"/>
  <c r="AL13" i="21" s="1"/>
  <c r="AM13" i="21" s="1"/>
  <c r="AN13" i="21"/>
  <c r="Y13" i="21"/>
  <c r="X106" i="21"/>
  <c r="AU106" i="21"/>
  <c r="AV106" i="21" s="1"/>
  <c r="AG106" i="21"/>
  <c r="AH106" i="21" s="1"/>
  <c r="AP106" i="21"/>
  <c r="AQ106" i="21" s="1"/>
  <c r="AL106" i="21"/>
  <c r="AP15" i="21"/>
  <c r="AQ15" i="21" s="1"/>
  <c r="AL15" i="21"/>
  <c r="AM15" i="21" s="1"/>
  <c r="AU15" i="21"/>
  <c r="AV15" i="21" s="1"/>
  <c r="X15" i="21"/>
  <c r="AG15" i="21"/>
  <c r="AH15" i="21" s="1"/>
  <c r="V50" i="21"/>
  <c r="AJ50" i="21" s="1"/>
  <c r="S50" i="21"/>
  <c r="AI50" i="21" s="1"/>
  <c r="S62" i="21"/>
  <c r="AI62" i="21" s="1"/>
  <c r="V62" i="21"/>
  <c r="AJ62" i="21" s="1"/>
  <c r="V18" i="21"/>
  <c r="AA18" i="21" s="1"/>
  <c r="AB18" i="21" s="1"/>
  <c r="AC18" i="21" s="1"/>
  <c r="S18" i="21"/>
  <c r="AI18" i="21" s="1"/>
  <c r="V104" i="21"/>
  <c r="S104" i="21"/>
  <c r="AI104" i="21" s="1"/>
  <c r="S108" i="21"/>
  <c r="AI108" i="21" s="1"/>
  <c r="V57" i="21"/>
  <c r="S57" i="21"/>
  <c r="AI57" i="21" s="1"/>
  <c r="V42" i="21"/>
  <c r="AJ42" i="21" s="1"/>
  <c r="S42" i="21"/>
  <c r="AI42" i="21" s="1"/>
  <c r="W41" i="21"/>
  <c r="AY41" i="21" s="1"/>
  <c r="W89" i="21"/>
  <c r="AG89" i="21" s="1"/>
  <c r="AH89" i="21" s="1"/>
  <c r="W93" i="21"/>
  <c r="W71" i="21"/>
  <c r="X71" i="21" s="1"/>
  <c r="V96" i="21"/>
  <c r="S96" i="21"/>
  <c r="AI96" i="21" s="1"/>
  <c r="W19" i="21"/>
  <c r="AY19" i="21" s="1"/>
  <c r="W14" i="21"/>
  <c r="AL14" i="21" s="1"/>
  <c r="V106" i="21"/>
  <c r="AN106" i="21" s="1"/>
  <c r="S106" i="21"/>
  <c r="AI106" i="21" s="1"/>
  <c r="AP24" i="21"/>
  <c r="AQ24" i="21" s="1"/>
  <c r="X24" i="21"/>
  <c r="AU24" i="21"/>
  <c r="AV24" i="21" s="1"/>
  <c r="AL24" i="21"/>
  <c r="AG24" i="21"/>
  <c r="AH24" i="21" s="1"/>
  <c r="V71" i="21"/>
  <c r="AN71" i="21" s="1"/>
  <c r="AW34" i="21"/>
  <c r="W109" i="21"/>
  <c r="AL109" i="21" s="1"/>
  <c r="V93" i="21"/>
  <c r="AJ93" i="21" s="1"/>
  <c r="W60" i="21"/>
  <c r="AG60" i="21" s="1"/>
  <c r="AH60" i="21" s="1"/>
  <c r="W98" i="21"/>
  <c r="AL98" i="21" s="1"/>
  <c r="AM98" i="21" s="1"/>
  <c r="AL26" i="21"/>
  <c r="AG26" i="21"/>
  <c r="AH26" i="21" s="1"/>
  <c r="W33" i="21"/>
  <c r="AY33" i="21" s="1"/>
  <c r="S13" i="21"/>
  <c r="AI13" i="21" s="1"/>
  <c r="W58" i="21"/>
  <c r="W17" i="21"/>
  <c r="AY17" i="21" s="1"/>
  <c r="AN34" i="21"/>
  <c r="S14" i="21"/>
  <c r="AI14" i="21" s="1"/>
  <c r="V20" i="21"/>
  <c r="S20" i="21"/>
  <c r="AI20" i="21" s="1"/>
  <c r="AU9" i="21"/>
  <c r="AV9" i="21" s="1"/>
  <c r="AL9" i="21"/>
  <c r="AM9" i="21" s="1"/>
  <c r="S9" i="21"/>
  <c r="AI9" i="21" s="1"/>
  <c r="V88" i="21"/>
  <c r="S88" i="21"/>
  <c r="AI88" i="21" s="1"/>
  <c r="V15" i="21"/>
  <c r="AJ15" i="21" s="1"/>
  <c r="AS34" i="21"/>
  <c r="S89" i="21"/>
  <c r="AI89" i="21" s="1"/>
  <c r="AG31" i="21"/>
  <c r="AH31" i="21" s="1"/>
  <c r="AL31" i="21"/>
  <c r="X31" i="21"/>
  <c r="AP31" i="21"/>
  <c r="AQ31" i="21" s="1"/>
  <c r="AU31" i="21"/>
  <c r="AV31" i="21" s="1"/>
  <c r="X76" i="21"/>
  <c r="Z76" i="21" s="1"/>
  <c r="AG76" i="21"/>
  <c r="AH76" i="21" s="1"/>
  <c r="AK76" i="21" s="1"/>
  <c r="BR76" i="21" s="1"/>
  <c r="AU76" i="21"/>
  <c r="AV76" i="21" s="1"/>
  <c r="AX76" i="21" s="1"/>
  <c r="AP76" i="21"/>
  <c r="AQ76" i="21" s="1"/>
  <c r="AT76" i="21" s="1"/>
  <c r="AL76" i="21"/>
  <c r="V68" i="21"/>
  <c r="AN68" i="21" s="1"/>
  <c r="S68" i="21"/>
  <c r="AI68" i="21" s="1"/>
  <c r="S75" i="21"/>
  <c r="AI75" i="21" s="1"/>
  <c r="V41" i="21"/>
  <c r="AD34" i="21"/>
  <c r="AE34" i="21" s="1"/>
  <c r="AF34" i="21" s="1"/>
  <c r="W90" i="21"/>
  <c r="AY90" i="21" s="1"/>
  <c r="W64" i="21"/>
  <c r="AY64" i="21" s="1"/>
  <c r="V31" i="21"/>
  <c r="S31" i="21"/>
  <c r="AI31" i="21" s="1"/>
  <c r="W100" i="21"/>
  <c r="AY100" i="21" s="1"/>
  <c r="S11" i="21"/>
  <c r="AI11" i="21" s="1"/>
  <c r="V11" i="21"/>
  <c r="X62" i="21"/>
  <c r="AU62" i="21"/>
  <c r="AV62" i="21" s="1"/>
  <c r="W104" i="21"/>
  <c r="AY104" i="21" s="1"/>
  <c r="W57" i="21"/>
  <c r="AY57" i="21" s="1"/>
  <c r="AY51" i="21"/>
  <c r="AG51" i="21"/>
  <c r="AH51" i="21" s="1"/>
  <c r="AL51" i="21"/>
  <c r="AU51" i="21"/>
  <c r="AV51" i="21" s="1"/>
  <c r="AP51" i="21"/>
  <c r="AQ51" i="21" s="1"/>
  <c r="X51" i="21"/>
  <c r="AY28" i="21"/>
  <c r="AP28" i="21"/>
  <c r="AQ28" i="21" s="1"/>
  <c r="AL28" i="21"/>
  <c r="AM28" i="21" s="1"/>
  <c r="AG28" i="21"/>
  <c r="AH28" i="21" s="1"/>
  <c r="AK28" i="21" s="1"/>
  <c r="BR28" i="21" s="1"/>
  <c r="X54" i="21"/>
  <c r="AP54" i="21"/>
  <c r="AQ54" i="21" s="1"/>
  <c r="AU54" i="21"/>
  <c r="AV54" i="21" s="1"/>
  <c r="AG54" i="21"/>
  <c r="AH54" i="21" s="1"/>
  <c r="AK54" i="21" s="1"/>
  <c r="BR54" i="21" s="1"/>
  <c r="AN24" i="21"/>
  <c r="AA13" i="21"/>
  <c r="AB13" i="21" s="1"/>
  <c r="AC13" i="21" s="1"/>
  <c r="AK23" i="21"/>
  <c r="BR23" i="21" s="1"/>
  <c r="AL87" i="21"/>
  <c r="AM87" i="21" s="1"/>
  <c r="AG70" i="21"/>
  <c r="AH70" i="21" s="1"/>
  <c r="AK70" i="21" s="1"/>
  <c r="BR70" i="21" s="1"/>
  <c r="AP88" i="21"/>
  <c r="AQ88" i="21" s="1"/>
  <c r="AL88" i="21"/>
  <c r="AT81" i="21"/>
  <c r="AA51" i="21"/>
  <c r="AB51" i="21" s="1"/>
  <c r="AC51" i="21" s="1"/>
  <c r="AS24" i="21"/>
  <c r="AN10" i="21"/>
  <c r="AY48" i="21"/>
  <c r="AU37" i="21"/>
  <c r="AV37" i="21" s="1"/>
  <c r="X37" i="21"/>
  <c r="AG37" i="21"/>
  <c r="AH37" i="21" s="1"/>
  <c r="Z181" i="20"/>
  <c r="AU87" i="21"/>
  <c r="AV87" i="21" s="1"/>
  <c r="AG87" i="21"/>
  <c r="AH87" i="21" s="1"/>
  <c r="AK87" i="21" s="1"/>
  <c r="BR87" i="21" s="1"/>
  <c r="X87" i="21"/>
  <c r="AG35" i="21"/>
  <c r="AH35" i="21" s="1"/>
  <c r="AU35" i="21"/>
  <c r="AV35" i="21" s="1"/>
  <c r="AP35" i="21"/>
  <c r="AQ35" i="21" s="1"/>
  <c r="AD10" i="21"/>
  <c r="AE10" i="21" s="1"/>
  <c r="AF10" i="21" s="1"/>
  <c r="AP25" i="21"/>
  <c r="AQ25" i="21" s="1"/>
  <c r="X25" i="21"/>
  <c r="AL25" i="21"/>
  <c r="AG25" i="21"/>
  <c r="AH25" i="21" s="1"/>
  <c r="AU25" i="21"/>
  <c r="AV25" i="21" s="1"/>
  <c r="AP87" i="21"/>
  <c r="AQ87" i="21" s="1"/>
  <c r="AK86" i="20"/>
  <c r="X88" i="21"/>
  <c r="AG27" i="21"/>
  <c r="AH27" i="21" s="1"/>
  <c r="AK27" i="21" s="1"/>
  <c r="BR27" i="21" s="1"/>
  <c r="AL27" i="21"/>
  <c r="AM27" i="21" s="1"/>
  <c r="AS13" i="21"/>
  <c r="Y10" i="21"/>
  <c r="AX87" i="20"/>
  <c r="BU87" i="20" s="1"/>
  <c r="Z74" i="20"/>
  <c r="AU27" i="21"/>
  <c r="AV27" i="21" s="1"/>
  <c r="AD13" i="21"/>
  <c r="AE13" i="21" s="1"/>
  <c r="AF13" i="21" s="1"/>
  <c r="AW10" i="21"/>
  <c r="AU94" i="21"/>
  <c r="AV94" i="21" s="1"/>
  <c r="AP94" i="21"/>
  <c r="AQ94" i="21" s="1"/>
  <c r="AL94" i="21"/>
  <c r="X81" i="21"/>
  <c r="Z81" i="21" s="1"/>
  <c r="AU81" i="21"/>
  <c r="AV81" i="21" s="1"/>
  <c r="AX81" i="21" s="1"/>
  <c r="AG81" i="21"/>
  <c r="AH81" i="21" s="1"/>
  <c r="AK81" i="21" s="1"/>
  <c r="BR81" i="21" s="1"/>
  <c r="AA10" i="21"/>
  <c r="AB10" i="21" s="1"/>
  <c r="AC10" i="21" s="1"/>
  <c r="AA24" i="21"/>
  <c r="AB24" i="21" s="1"/>
  <c r="AC24" i="21" s="1"/>
  <c r="AD24" i="21"/>
  <c r="AE24" i="21" s="1"/>
  <c r="AF24" i="21" s="1"/>
  <c r="AW13" i="21"/>
  <c r="Z9" i="20"/>
  <c r="AX86" i="20"/>
  <c r="BU86" i="20" s="1"/>
  <c r="AK174" i="20"/>
  <c r="BR174" i="20" s="1"/>
  <c r="AJ97" i="20"/>
  <c r="AP21" i="21"/>
  <c r="X64" i="20"/>
  <c r="AY64" i="20"/>
  <c r="X105" i="21"/>
  <c r="AY105" i="21"/>
  <c r="AL50" i="21"/>
  <c r="AY50" i="21"/>
  <c r="AL54" i="21"/>
  <c r="AM54" i="21" s="1"/>
  <c r="AY54" i="21"/>
  <c r="X92" i="21"/>
  <c r="AG92" i="21"/>
  <c r="AH92" i="21" s="1"/>
  <c r="AK92" i="21" s="1"/>
  <c r="BR92" i="21" s="1"/>
  <c r="AY92" i="21"/>
  <c r="AU92" i="21"/>
  <c r="AV92" i="21" s="1"/>
  <c r="AP92" i="21"/>
  <c r="AL92" i="21"/>
  <c r="AM92" i="21" s="1"/>
  <c r="AU23" i="21"/>
  <c r="AV23" i="21" s="1"/>
  <c r="AP105" i="21"/>
  <c r="AG105" i="21"/>
  <c r="AH105" i="21" s="1"/>
  <c r="AK105" i="21" s="1"/>
  <c r="BR105" i="21" s="1"/>
  <c r="AY54" i="20"/>
  <c r="AG54" i="20"/>
  <c r="AH54" i="20" s="1"/>
  <c r="AK54" i="20" s="1"/>
  <c r="BR54" i="20" s="1"/>
  <c r="X72" i="20"/>
  <c r="AY72" i="20"/>
  <c r="AA69" i="21"/>
  <c r="AB69" i="21" s="1"/>
  <c r="AC69" i="21" s="1"/>
  <c r="AS37" i="21"/>
  <c r="AT37" i="21" s="1"/>
  <c r="X56" i="20"/>
  <c r="AY56" i="20"/>
  <c r="AG96" i="21"/>
  <c r="AH96" i="21" s="1"/>
  <c r="AY96" i="21"/>
  <c r="AL82" i="21"/>
  <c r="AM82" i="21" s="1"/>
  <c r="AP96" i="21"/>
  <c r="X46" i="20"/>
  <c r="AG46" i="20"/>
  <c r="AH46" i="20" s="1"/>
  <c r="AK46" i="20" s="1"/>
  <c r="BR46" i="20" s="1"/>
  <c r="X43" i="21"/>
  <c r="AY43" i="21"/>
  <c r="AW69" i="21"/>
  <c r="Y107" i="21"/>
  <c r="Z107" i="21" s="1"/>
  <c r="AL35" i="21"/>
  <c r="AY35" i="21"/>
  <c r="AL96" i="21"/>
  <c r="AM96" i="21" s="1"/>
  <c r="X23" i="21"/>
  <c r="AY23" i="21"/>
  <c r="AY21" i="21"/>
  <c r="AU21" i="21"/>
  <c r="AV21" i="21" s="1"/>
  <c r="Y69" i="21"/>
  <c r="Y37" i="21"/>
  <c r="AL80" i="21"/>
  <c r="AM80" i="21" s="1"/>
  <c r="AO80" i="21" s="1"/>
  <c r="BS80" i="21" s="1"/>
  <c r="AU80" i="21"/>
  <c r="AV80" i="21" s="1"/>
  <c r="AX80" i="21" s="1"/>
  <c r="AY80" i="21"/>
  <c r="AP80" i="21"/>
  <c r="AG80" i="21"/>
  <c r="AH80" i="21" s="1"/>
  <c r="AK80" i="21" s="1"/>
  <c r="BR80" i="21" s="1"/>
  <c r="X80" i="21"/>
  <c r="Z80" i="21" s="1"/>
  <c r="AG52" i="21"/>
  <c r="AH52" i="21" s="1"/>
  <c r="X21" i="21"/>
  <c r="AL105" i="21"/>
  <c r="AM105" i="21" s="1"/>
  <c r="X48" i="20"/>
  <c r="AG48" i="20"/>
  <c r="AH48" i="20" s="1"/>
  <c r="AK48" i="20" s="1"/>
  <c r="BR48" i="20" s="1"/>
  <c r="X27" i="21"/>
  <c r="AY27" i="21"/>
  <c r="AS69" i="21"/>
  <c r="AD37" i="21"/>
  <c r="AE37" i="21" s="1"/>
  <c r="AF37" i="21" s="1"/>
  <c r="AW107" i="21"/>
  <c r="AL20" i="21"/>
  <c r="AM20" i="21" s="1"/>
  <c r="AG20" i="21"/>
  <c r="AH20" i="21" s="1"/>
  <c r="AP20" i="21"/>
  <c r="AU20" i="21"/>
  <c r="AV20" i="21" s="1"/>
  <c r="AY20" i="21"/>
  <c r="X20" i="21"/>
  <c r="AY44" i="20"/>
  <c r="AL21" i="21"/>
  <c r="AM21" i="21" s="1"/>
  <c r="AO21" i="21" s="1"/>
  <c r="BS21" i="21" s="1"/>
  <c r="X82" i="21"/>
  <c r="X60" i="20"/>
  <c r="AY60" i="20"/>
  <c r="AS91" i="21"/>
  <c r="AU88" i="21"/>
  <c r="AV88" i="21" s="1"/>
  <c r="AY88" i="21"/>
  <c r="X91" i="21"/>
  <c r="AY91" i="21"/>
  <c r="AL39" i="21"/>
  <c r="AM39" i="21" s="1"/>
  <c r="AY39" i="21"/>
  <c r="AP39" i="21"/>
  <c r="AU84" i="21"/>
  <c r="AV84" i="21" s="1"/>
  <c r="AL84" i="21"/>
  <c r="AM84" i="21" s="1"/>
  <c r="AG84" i="21"/>
  <c r="AH84" i="21" s="1"/>
  <c r="X84" i="21"/>
  <c r="AP84" i="21"/>
  <c r="AQ84" i="21" s="1"/>
  <c r="AS87" i="21"/>
  <c r="AD87" i="21"/>
  <c r="AE87" i="21" s="1"/>
  <c r="AF87" i="21" s="1"/>
  <c r="Y87" i="21"/>
  <c r="AW87" i="21"/>
  <c r="AN87" i="21"/>
  <c r="AA87" i="21"/>
  <c r="AB87" i="21" s="1"/>
  <c r="AC87" i="21" s="1"/>
  <c r="AW73" i="21"/>
  <c r="AN73" i="21"/>
  <c r="Y73" i="21"/>
  <c r="AD73" i="21"/>
  <c r="AE73" i="21" s="1"/>
  <c r="AF73" i="21" s="1"/>
  <c r="AS73" i="21"/>
  <c r="AA73" i="21"/>
  <c r="AB73" i="21" s="1"/>
  <c r="AC73" i="21" s="1"/>
  <c r="AW109" i="21"/>
  <c r="AN109" i="21"/>
  <c r="AS109" i="21"/>
  <c r="AD109" i="21"/>
  <c r="AE109" i="21" s="1"/>
  <c r="AF109" i="21" s="1"/>
  <c r="Y109" i="21"/>
  <c r="AA109" i="21"/>
  <c r="AB109" i="21" s="1"/>
  <c r="AC109" i="21" s="1"/>
  <c r="AA29" i="21"/>
  <c r="AB29" i="21" s="1"/>
  <c r="AC29" i="21" s="1"/>
  <c r="AS29" i="21"/>
  <c r="AW29" i="21"/>
  <c r="AN29" i="21"/>
  <c r="Y29" i="21"/>
  <c r="AD29" i="21"/>
  <c r="AE29" i="21" s="1"/>
  <c r="AF29" i="21" s="1"/>
  <c r="X102" i="21"/>
  <c r="AG102" i="21"/>
  <c r="AH102" i="21" s="1"/>
  <c r="AL102" i="21"/>
  <c r="AU102" i="21"/>
  <c r="AV102" i="21" s="1"/>
  <c r="AP102" i="21"/>
  <c r="AQ102" i="21" s="1"/>
  <c r="X22" i="21"/>
  <c r="AP22" i="21"/>
  <c r="AQ22" i="21" s="1"/>
  <c r="AU22" i="21"/>
  <c r="AV22" i="21" s="1"/>
  <c r="AG22" i="21"/>
  <c r="AH22" i="21" s="1"/>
  <c r="AL22" i="21"/>
  <c r="AM22" i="21" s="1"/>
  <c r="AW82" i="21"/>
  <c r="Y82" i="21"/>
  <c r="AS82" i="21"/>
  <c r="AN82" i="21"/>
  <c r="AD82" i="21"/>
  <c r="AE82" i="21" s="1"/>
  <c r="AF82" i="21" s="1"/>
  <c r="AA82" i="21"/>
  <c r="AB82" i="21" s="1"/>
  <c r="AC82" i="21" s="1"/>
  <c r="AD67" i="21"/>
  <c r="AE67" i="21" s="1"/>
  <c r="AF67" i="21" s="1"/>
  <c r="AS67" i="21"/>
  <c r="AA67" i="21"/>
  <c r="AB67" i="21" s="1"/>
  <c r="AC67" i="21" s="1"/>
  <c r="AW67" i="21"/>
  <c r="Y67" i="21"/>
  <c r="AN67" i="21"/>
  <c r="AP38" i="21"/>
  <c r="AQ38" i="21" s="1"/>
  <c r="X38" i="21"/>
  <c r="AG38" i="21"/>
  <c r="AH38" i="21" s="1"/>
  <c r="AL38" i="21"/>
  <c r="AU38" i="21"/>
  <c r="AV38" i="21" s="1"/>
  <c r="AP30" i="21"/>
  <c r="AQ30" i="21" s="1"/>
  <c r="X30" i="21"/>
  <c r="AG30" i="21"/>
  <c r="AH30" i="21" s="1"/>
  <c r="AU30" i="21"/>
  <c r="AV30" i="21" s="1"/>
  <c r="AL30" i="21"/>
  <c r="AD46" i="21"/>
  <c r="AE46" i="21" s="1"/>
  <c r="AF46" i="21" s="1"/>
  <c r="AW46" i="21"/>
  <c r="Y46" i="21"/>
  <c r="AS46" i="21"/>
  <c r="AN46" i="21"/>
  <c r="AA46" i="21"/>
  <c r="AB46" i="21" s="1"/>
  <c r="AC46" i="21" s="1"/>
  <c r="AU83" i="21"/>
  <c r="AV83" i="21" s="1"/>
  <c r="X83" i="21"/>
  <c r="AL83" i="21"/>
  <c r="AP83" i="21"/>
  <c r="AQ83" i="21" s="1"/>
  <c r="AG83" i="21"/>
  <c r="AH83" i="21" s="1"/>
  <c r="AU28" i="21"/>
  <c r="AV28" i="21" s="1"/>
  <c r="X28" i="21"/>
  <c r="AL86" i="21"/>
  <c r="AU86" i="21"/>
  <c r="AV86" i="21" s="1"/>
  <c r="X86" i="21"/>
  <c r="AP86" i="21"/>
  <c r="AQ86" i="21" s="1"/>
  <c r="AG86" i="21"/>
  <c r="AH86" i="21" s="1"/>
  <c r="AK86" i="21" s="1"/>
  <c r="BR86" i="21" s="1"/>
  <c r="AW51" i="21"/>
  <c r="AA105" i="21"/>
  <c r="AB105" i="21" s="1"/>
  <c r="AC105" i="21" s="1"/>
  <c r="Y105" i="21"/>
  <c r="AS105" i="21"/>
  <c r="AD105" i="21"/>
  <c r="AE105" i="21" s="1"/>
  <c r="AF105" i="21" s="1"/>
  <c r="AN105" i="21"/>
  <c r="AW105" i="21"/>
  <c r="AX105" i="21" s="1"/>
  <c r="BU105" i="21" s="1"/>
  <c r="AW23" i="21"/>
  <c r="AD23" i="21"/>
  <c r="AE23" i="21" s="1"/>
  <c r="AF23" i="21" s="1"/>
  <c r="AN23" i="21"/>
  <c r="Y23" i="21"/>
  <c r="AS23" i="21"/>
  <c r="AA23" i="21"/>
  <c r="AB23" i="21" s="1"/>
  <c r="AC23" i="21" s="1"/>
  <c r="AY74" i="21"/>
  <c r="AY59" i="21"/>
  <c r="AY18" i="21"/>
  <c r="AY29" i="21"/>
  <c r="AG82" i="21"/>
  <c r="AH82" i="21" s="1"/>
  <c r="AK82" i="21" s="1"/>
  <c r="BR82" i="21" s="1"/>
  <c r="AU82" i="21"/>
  <c r="AV82" i="21" s="1"/>
  <c r="AU55" i="21"/>
  <c r="AV55" i="21" s="1"/>
  <c r="AD27" i="21"/>
  <c r="AE27" i="21" s="1"/>
  <c r="AF27" i="21" s="1"/>
  <c r="AW27" i="21"/>
  <c r="AN27" i="21"/>
  <c r="AS27" i="21"/>
  <c r="AT27" i="21" s="1"/>
  <c r="Y27" i="21"/>
  <c r="AA27" i="21"/>
  <c r="AB27" i="21" s="1"/>
  <c r="AC27" i="21" s="1"/>
  <c r="AA74" i="21"/>
  <c r="AB74" i="21" s="1"/>
  <c r="AC74" i="21" s="1"/>
  <c r="AW74" i="21"/>
  <c r="AN74" i="21"/>
  <c r="Y74" i="21"/>
  <c r="AD74" i="21"/>
  <c r="AE74" i="21" s="1"/>
  <c r="AF74" i="21" s="1"/>
  <c r="AS74" i="21"/>
  <c r="AU70" i="21"/>
  <c r="AV70" i="21" s="1"/>
  <c r="AL70" i="21"/>
  <c r="X70" i="21"/>
  <c r="AS59" i="21"/>
  <c r="AA59" i="21"/>
  <c r="AB59" i="21" s="1"/>
  <c r="AC59" i="21" s="1"/>
  <c r="AW59" i="21"/>
  <c r="AN59" i="21"/>
  <c r="Y59" i="21"/>
  <c r="AD59" i="21"/>
  <c r="AE59" i="21" s="1"/>
  <c r="AF59" i="21" s="1"/>
  <c r="AL48" i="21"/>
  <c r="AP48" i="21"/>
  <c r="AQ48" i="21" s="1"/>
  <c r="AG48" i="21"/>
  <c r="AH48" i="21" s="1"/>
  <c r="AK48" i="21" s="1"/>
  <c r="BR48" i="21" s="1"/>
  <c r="AU48" i="21"/>
  <c r="AV48" i="21" s="1"/>
  <c r="X48" i="21"/>
  <c r="AN38" i="21"/>
  <c r="AD38" i="21"/>
  <c r="AE38" i="21" s="1"/>
  <c r="AF38" i="21" s="1"/>
  <c r="AS38" i="21"/>
  <c r="AW38" i="21"/>
  <c r="Y38" i="21"/>
  <c r="AA38" i="21"/>
  <c r="AB38" i="21" s="1"/>
  <c r="AC38" i="21" s="1"/>
  <c r="AD91" i="21"/>
  <c r="AE91" i="21" s="1"/>
  <c r="AF91" i="21" s="1"/>
  <c r="AN91" i="21"/>
  <c r="Y91" i="21"/>
  <c r="AA91" i="21"/>
  <c r="AB91" i="21" s="1"/>
  <c r="AC91" i="21" s="1"/>
  <c r="AW94" i="21"/>
  <c r="Y94" i="21"/>
  <c r="Z94" i="21" s="1"/>
  <c r="AD94" i="21"/>
  <c r="AE94" i="21" s="1"/>
  <c r="AF94" i="21" s="1"/>
  <c r="AS94" i="21"/>
  <c r="AN94" i="21"/>
  <c r="AA94" i="21"/>
  <c r="AB94" i="21" s="1"/>
  <c r="AC94" i="21" s="1"/>
  <c r="AN70" i="21"/>
  <c r="AW70" i="21"/>
  <c r="AD70" i="21"/>
  <c r="AE70" i="21" s="1"/>
  <c r="AF70" i="21" s="1"/>
  <c r="AS70" i="21"/>
  <c r="Y70" i="21"/>
  <c r="AA70" i="21"/>
  <c r="AB70" i="21" s="1"/>
  <c r="AC70" i="21" s="1"/>
  <c r="AG101" i="21"/>
  <c r="AH101" i="21" s="1"/>
  <c r="AK101" i="21" s="1"/>
  <c r="BR101" i="21" s="1"/>
  <c r="X101" i="21"/>
  <c r="AP101" i="21"/>
  <c r="AQ101" i="21" s="1"/>
  <c r="AL101" i="21"/>
  <c r="AU101" i="21"/>
  <c r="AV101" i="21" s="1"/>
  <c r="Y86" i="21"/>
  <c r="AS86" i="21"/>
  <c r="AD86" i="21"/>
  <c r="AE86" i="21" s="1"/>
  <c r="AF86" i="21" s="1"/>
  <c r="AN86" i="21"/>
  <c r="AW86" i="21"/>
  <c r="AA86" i="21"/>
  <c r="AB86" i="21" s="1"/>
  <c r="AC86" i="21" s="1"/>
  <c r="AY85" i="21"/>
  <c r="AY32" i="21"/>
  <c r="Y101" i="21"/>
  <c r="AS101" i="21"/>
  <c r="AN101" i="21"/>
  <c r="AD101" i="21"/>
  <c r="AE101" i="21" s="1"/>
  <c r="AF101" i="21" s="1"/>
  <c r="AW101" i="21"/>
  <c r="AA101" i="21"/>
  <c r="AB101" i="21" s="1"/>
  <c r="AC101" i="21" s="1"/>
  <c r="AA92" i="21"/>
  <c r="AB92" i="21" s="1"/>
  <c r="AC92" i="21" s="1"/>
  <c r="AN92" i="21"/>
  <c r="Y92" i="21"/>
  <c r="AW92" i="21"/>
  <c r="AS92" i="21"/>
  <c r="AD92" i="21"/>
  <c r="AE92" i="21" s="1"/>
  <c r="AF92" i="21" s="1"/>
  <c r="AG11" i="21"/>
  <c r="AH11" i="21" s="1"/>
  <c r="X11" i="21"/>
  <c r="AP11" i="21"/>
  <c r="AQ11" i="21" s="1"/>
  <c r="Y43" i="21"/>
  <c r="AW43" i="21"/>
  <c r="AX43" i="21" s="1"/>
  <c r="AD43" i="21"/>
  <c r="AE43" i="21" s="1"/>
  <c r="AF43" i="21" s="1"/>
  <c r="AS43" i="21"/>
  <c r="AN43" i="21"/>
  <c r="AA43" i="21"/>
  <c r="AB43" i="21" s="1"/>
  <c r="AC43" i="21" s="1"/>
  <c r="AN53" i="21"/>
  <c r="AA79" i="21"/>
  <c r="AB79" i="21" s="1"/>
  <c r="AC79" i="21" s="1"/>
  <c r="AN79" i="21"/>
  <c r="AW79" i="21"/>
  <c r="AS79" i="21"/>
  <c r="Y79" i="21"/>
  <c r="AD79" i="21"/>
  <c r="AE79" i="21" s="1"/>
  <c r="AF79" i="21" s="1"/>
  <c r="Y60" i="21"/>
  <c r="AD60" i="21"/>
  <c r="AE60" i="21" s="1"/>
  <c r="AF60" i="21" s="1"/>
  <c r="AS60" i="21"/>
  <c r="AN60" i="21"/>
  <c r="AW60" i="21"/>
  <c r="AA60" i="21"/>
  <c r="AB60" i="21" s="1"/>
  <c r="AC60" i="21" s="1"/>
  <c r="AN75" i="21"/>
  <c r="AD75" i="21"/>
  <c r="AE75" i="21" s="1"/>
  <c r="AF75" i="21" s="1"/>
  <c r="AS75" i="21"/>
  <c r="AW75" i="21"/>
  <c r="Y75" i="21"/>
  <c r="AA75" i="21"/>
  <c r="AB75" i="21" s="1"/>
  <c r="AC75" i="21" s="1"/>
  <c r="AA48" i="21"/>
  <c r="AB48" i="21" s="1"/>
  <c r="AC48" i="21" s="1"/>
  <c r="Y48" i="21"/>
  <c r="AW48" i="21"/>
  <c r="AD48" i="21"/>
  <c r="AE48" i="21" s="1"/>
  <c r="AF48" i="21" s="1"/>
  <c r="AS48" i="21"/>
  <c r="AN48" i="21"/>
  <c r="AG66" i="21"/>
  <c r="AH66" i="21" s="1"/>
  <c r="AP66" i="21"/>
  <c r="AQ66" i="21" s="1"/>
  <c r="X66" i="21"/>
  <c r="AU66" i="21"/>
  <c r="AV66" i="21" s="1"/>
  <c r="AL66" i="21"/>
  <c r="AU68" i="21"/>
  <c r="AV68" i="21" s="1"/>
  <c r="X68" i="21"/>
  <c r="AG68" i="21"/>
  <c r="AH68" i="21" s="1"/>
  <c r="AP68" i="21"/>
  <c r="AQ68" i="21" s="1"/>
  <c r="AL68" i="21"/>
  <c r="AA108" i="21"/>
  <c r="AB108" i="21" s="1"/>
  <c r="AC108" i="21" s="1"/>
  <c r="Y108" i="21"/>
  <c r="AN108" i="21"/>
  <c r="AD108" i="21"/>
  <c r="AE108" i="21" s="1"/>
  <c r="AF108" i="21" s="1"/>
  <c r="AS108" i="21"/>
  <c r="AW108" i="21"/>
  <c r="AN100" i="21"/>
  <c r="AD100" i="21"/>
  <c r="AE100" i="21" s="1"/>
  <c r="AF100" i="21" s="1"/>
  <c r="AS100" i="21"/>
  <c r="AW100" i="21"/>
  <c r="Y100" i="21"/>
  <c r="AA100" i="21"/>
  <c r="AB100" i="21" s="1"/>
  <c r="AC100" i="21" s="1"/>
  <c r="AG99" i="21"/>
  <c r="AH99" i="21" s="1"/>
  <c r="AK99" i="21" s="1"/>
  <c r="BR99" i="21" s="1"/>
  <c r="AU99" i="21"/>
  <c r="AV99" i="21" s="1"/>
  <c r="AL99" i="21"/>
  <c r="AP99" i="21"/>
  <c r="AQ99" i="21" s="1"/>
  <c r="X99" i="21"/>
  <c r="AG69" i="21"/>
  <c r="AH69" i="21" s="1"/>
  <c r="AL69" i="21"/>
  <c r="AP69" i="21"/>
  <c r="AQ69" i="21" s="1"/>
  <c r="AU69" i="21"/>
  <c r="AV69" i="21" s="1"/>
  <c r="X69" i="21"/>
  <c r="AN89" i="21"/>
  <c r="Y89" i="21"/>
  <c r="AS89" i="21"/>
  <c r="AA89" i="21"/>
  <c r="AB89" i="21" s="1"/>
  <c r="AC89" i="21" s="1"/>
  <c r="AW89" i="21"/>
  <c r="AD89" i="21"/>
  <c r="AE89" i="21" s="1"/>
  <c r="AF89" i="21" s="1"/>
  <c r="AU79" i="21"/>
  <c r="AV79" i="21" s="1"/>
  <c r="AG79" i="21"/>
  <c r="AH79" i="21" s="1"/>
  <c r="AK79" i="21" s="1"/>
  <c r="BR79" i="21" s="1"/>
  <c r="AP79" i="21"/>
  <c r="AP73" i="21"/>
  <c r="AQ73" i="21" s="1"/>
  <c r="X73" i="21"/>
  <c r="AL73" i="21"/>
  <c r="AG73" i="21"/>
  <c r="AH73" i="21" s="1"/>
  <c r="AK73" i="21" s="1"/>
  <c r="BR73" i="21" s="1"/>
  <c r="AU73" i="21"/>
  <c r="AV73" i="21" s="1"/>
  <c r="AL10" i="21"/>
  <c r="AG10" i="21"/>
  <c r="AH10" i="21" s="1"/>
  <c r="X10" i="21"/>
  <c r="AU10" i="21"/>
  <c r="AV10" i="21" s="1"/>
  <c r="AP10" i="21"/>
  <c r="AQ10" i="21" s="1"/>
  <c r="AA95" i="21"/>
  <c r="AB95" i="21" s="1"/>
  <c r="AC95" i="21" s="1"/>
  <c r="AN95" i="21"/>
  <c r="AD95" i="21"/>
  <c r="AE95" i="21" s="1"/>
  <c r="AF95" i="21" s="1"/>
  <c r="Y95" i="21"/>
  <c r="AS95" i="21"/>
  <c r="AW95" i="21"/>
  <c r="AY67" i="21"/>
  <c r="AY72" i="21"/>
  <c r="AA97" i="21"/>
  <c r="AB97" i="21" s="1"/>
  <c r="AC97" i="21" s="1"/>
  <c r="AD97" i="21"/>
  <c r="AE97" i="21" s="1"/>
  <c r="AF97" i="21" s="1"/>
  <c r="Y97" i="21"/>
  <c r="AS97" i="21"/>
  <c r="AW97" i="21"/>
  <c r="AN97" i="21"/>
  <c r="AO97" i="21" s="1"/>
  <c r="BS97" i="21" s="1"/>
  <c r="AY46" i="21"/>
  <c r="AD78" i="21"/>
  <c r="AE78" i="21" s="1"/>
  <c r="AF78" i="21" s="1"/>
  <c r="AA78" i="21"/>
  <c r="AB78" i="21" s="1"/>
  <c r="AC78" i="21" s="1"/>
  <c r="AW78" i="21"/>
  <c r="Y78" i="21"/>
  <c r="AS78" i="21"/>
  <c r="AN78" i="21"/>
  <c r="AN14" i="21"/>
  <c r="AW14" i="21"/>
  <c r="AD14" i="21"/>
  <c r="AE14" i="21" s="1"/>
  <c r="AF14" i="21" s="1"/>
  <c r="Y14" i="21"/>
  <c r="AS14" i="21"/>
  <c r="AA14" i="21"/>
  <c r="AB14" i="21" s="1"/>
  <c r="AC14" i="21" s="1"/>
  <c r="Z82" i="20"/>
  <c r="AT52" i="20"/>
  <c r="BL52" i="20" s="1"/>
  <c r="Y45" i="20"/>
  <c r="AD84" i="20"/>
  <c r="AE84" i="20" s="1"/>
  <c r="AF84" i="20" s="1"/>
  <c r="AA45" i="20"/>
  <c r="AB45" i="20" s="1"/>
  <c r="AC45" i="20" s="1"/>
  <c r="AN95" i="20"/>
  <c r="AA95" i="20"/>
  <c r="AB95" i="20" s="1"/>
  <c r="AC95" i="20" s="1"/>
  <c r="Z86" i="20"/>
  <c r="AA11" i="20"/>
  <c r="AB11" i="20" s="1"/>
  <c r="AC11" i="20" s="1"/>
  <c r="AK139" i="20"/>
  <c r="Y95" i="20"/>
  <c r="AJ95" i="20"/>
  <c r="AD95" i="20"/>
  <c r="AE95" i="20" s="1"/>
  <c r="AF95" i="20" s="1"/>
  <c r="AN45" i="20"/>
  <c r="AS45" i="20"/>
  <c r="AN84" i="20"/>
  <c r="Y84" i="20"/>
  <c r="AA84" i="20"/>
  <c r="AB84" i="20" s="1"/>
  <c r="AC84" i="20" s="1"/>
  <c r="AJ84" i="20"/>
  <c r="Z69" i="20"/>
  <c r="Z174" i="20"/>
  <c r="AW45" i="20"/>
  <c r="AD44" i="20"/>
  <c r="AE44" i="20" s="1"/>
  <c r="AF44" i="20" s="1"/>
  <c r="AW73" i="20"/>
  <c r="AJ56" i="20"/>
  <c r="AK56" i="20" s="1"/>
  <c r="BR56" i="20" s="1"/>
  <c r="AN44" i="20"/>
  <c r="AD54" i="20"/>
  <c r="AE54" i="20" s="1"/>
  <c r="AF54" i="20" s="1"/>
  <c r="Y54" i="20"/>
  <c r="AA73" i="20"/>
  <c r="AB73" i="20" s="1"/>
  <c r="AC73" i="20" s="1"/>
  <c r="AS54" i="20"/>
  <c r="AA44" i="20"/>
  <c r="AB44" i="20" s="1"/>
  <c r="AC44" i="20" s="1"/>
  <c r="AJ73" i="20"/>
  <c r="AS44" i="20"/>
  <c r="Y73" i="20"/>
  <c r="Z33" i="20"/>
  <c r="AW54" i="20"/>
  <c r="AX54" i="20" s="1"/>
  <c r="AW44" i="20"/>
  <c r="AN73" i="20"/>
  <c r="AN54" i="20"/>
  <c r="AK118" i="20"/>
  <c r="Z148" i="20"/>
  <c r="AK89" i="20"/>
  <c r="AK169" i="20"/>
  <c r="AO132" i="20"/>
  <c r="BS132" i="20" s="1"/>
  <c r="BC86" i="20"/>
  <c r="BV86" i="20" s="1"/>
  <c r="AA56" i="20"/>
  <c r="AB56" i="20" s="1"/>
  <c r="AC56" i="20" s="1"/>
  <c r="AJ90" i="20"/>
  <c r="Z83" i="20"/>
  <c r="Z105" i="20"/>
  <c r="Z168" i="20"/>
  <c r="Z59" i="20"/>
  <c r="BC151" i="20"/>
  <c r="BV151" i="20" s="1"/>
  <c r="AA92" i="20"/>
  <c r="AB92" i="20" s="1"/>
  <c r="AC92" i="20" s="1"/>
  <c r="Z89" i="20"/>
  <c r="AH147" i="20"/>
  <c r="AK147" i="20" s="1"/>
  <c r="BR147" i="20" s="1"/>
  <c r="BC168" i="20"/>
  <c r="BV168" i="20" s="1"/>
  <c r="BC181" i="20"/>
  <c r="BV181" i="20" s="1"/>
  <c r="BC105" i="20"/>
  <c r="BV105" i="20" s="1"/>
  <c r="AQ32" i="20"/>
  <c r="AA182" i="20"/>
  <c r="AB182" i="20" s="1"/>
  <c r="AC182" i="20" s="1"/>
  <c r="BC106" i="20"/>
  <c r="BV106" i="20" s="1"/>
  <c r="Y182" i="20"/>
  <c r="Z182" i="20" s="1"/>
  <c r="AD182" i="20"/>
  <c r="AE182" i="20" s="1"/>
  <c r="AF182" i="20" s="1"/>
  <c r="BC29" i="20"/>
  <c r="BV29" i="20" s="1"/>
  <c r="AN182" i="20"/>
  <c r="Y97" i="20"/>
  <c r="AN97" i="20"/>
  <c r="AD97" i="20"/>
  <c r="AE97" i="20" s="1"/>
  <c r="AF97" i="20" s="1"/>
  <c r="AA97" i="20"/>
  <c r="AB97" i="20" s="1"/>
  <c r="AC97" i="20" s="1"/>
  <c r="AN92" i="20"/>
  <c r="AK103" i="20"/>
  <c r="BR103" i="20" s="1"/>
  <c r="AY147" i="20"/>
  <c r="AV147" i="20"/>
  <c r="AX147" i="20" s="1"/>
  <c r="BU147" i="20" s="1"/>
  <c r="AN93" i="20"/>
  <c r="Z139" i="20"/>
  <c r="AD92" i="20"/>
  <c r="AE92" i="20" s="1"/>
  <c r="AF92" i="20" s="1"/>
  <c r="AM147" i="20"/>
  <c r="AO147" i="20" s="1"/>
  <c r="BS147" i="20" s="1"/>
  <c r="AA93" i="20"/>
  <c r="AB93" i="20" s="1"/>
  <c r="AC93" i="20" s="1"/>
  <c r="Y92" i="20"/>
  <c r="Z184" i="20"/>
  <c r="BC33" i="20"/>
  <c r="BV33" i="20" s="1"/>
  <c r="AJ93" i="20"/>
  <c r="AM116" i="20"/>
  <c r="AO116" i="20" s="1"/>
  <c r="BS116" i="20" s="1"/>
  <c r="Z147" i="20"/>
  <c r="AJ92" i="20"/>
  <c r="Y93" i="20"/>
  <c r="AK145" i="20"/>
  <c r="BR145" i="20" s="1"/>
  <c r="BC53" i="20"/>
  <c r="BV53" i="20" s="1"/>
  <c r="AD93" i="20"/>
  <c r="AE93" i="20" s="1"/>
  <c r="AF93" i="20" s="1"/>
  <c r="AQ147" i="20"/>
  <c r="AT147" i="20" s="1"/>
  <c r="BT147" i="20" s="1"/>
  <c r="AO198" i="20"/>
  <c r="BS198" i="20" s="1"/>
  <c r="Z192" i="20"/>
  <c r="AT53" i="20"/>
  <c r="BL53" i="20" s="1"/>
  <c r="AQ143" i="20"/>
  <c r="AT143" i="20" s="1"/>
  <c r="BT143" i="20" s="1"/>
  <c r="Z207" i="20"/>
  <c r="Z58" i="20"/>
  <c r="AJ180" i="20"/>
  <c r="AK180" i="20" s="1"/>
  <c r="BR180" i="20" s="1"/>
  <c r="Y98" i="20"/>
  <c r="AD98" i="20"/>
  <c r="AE98" i="20" s="1"/>
  <c r="AF98" i="20" s="1"/>
  <c r="BC69" i="20"/>
  <c r="BV69" i="20" s="1"/>
  <c r="AK105" i="20"/>
  <c r="BR105" i="20" s="1"/>
  <c r="AK148" i="20"/>
  <c r="BC132" i="20"/>
  <c r="BV132" i="20" s="1"/>
  <c r="Z199" i="20"/>
  <c r="AV158" i="20"/>
  <c r="AX158" i="20" s="1"/>
  <c r="BU158" i="20" s="1"/>
  <c r="AW56" i="20"/>
  <c r="AX56" i="20" s="1"/>
  <c r="BU56" i="20" s="1"/>
  <c r="AQ116" i="20"/>
  <c r="AT116" i="20" s="1"/>
  <c r="BT116" i="20" s="1"/>
  <c r="AV199" i="20"/>
  <c r="AX199" i="20" s="1"/>
  <c r="BU199" i="20" s="1"/>
  <c r="AV95" i="20"/>
  <c r="AX95" i="20" s="1"/>
  <c r="BU95" i="20" s="1"/>
  <c r="BC135" i="20"/>
  <c r="BV135" i="20" s="1"/>
  <c r="BC179" i="20"/>
  <c r="BV179" i="20" s="1"/>
  <c r="AY95" i="20"/>
  <c r="Z191" i="20"/>
  <c r="Y90" i="20"/>
  <c r="AY158" i="20"/>
  <c r="AA90" i="20"/>
  <c r="AB90" i="20" s="1"/>
  <c r="AC90" i="20" s="1"/>
  <c r="AA110" i="20"/>
  <c r="AB110" i="20" s="1"/>
  <c r="AC110" i="20" s="1"/>
  <c r="AH179" i="20"/>
  <c r="AK179" i="20" s="1"/>
  <c r="BR179" i="20" s="1"/>
  <c r="AY199" i="20"/>
  <c r="AH199" i="20"/>
  <c r="AK199" i="20" s="1"/>
  <c r="BR199" i="20" s="1"/>
  <c r="BC98" i="20"/>
  <c r="BV98" i="20" s="1"/>
  <c r="AK192" i="20"/>
  <c r="BR192" i="20" s="1"/>
  <c r="AQ158" i="20"/>
  <c r="AT158" i="20" s="1"/>
  <c r="BT158" i="20" s="1"/>
  <c r="AN56" i="20"/>
  <c r="AO56" i="20" s="1"/>
  <c r="BS56" i="20" s="1"/>
  <c r="AD90" i="20"/>
  <c r="AE90" i="20" s="1"/>
  <c r="AF90" i="20" s="1"/>
  <c r="X179" i="20"/>
  <c r="Z179" i="20" s="1"/>
  <c r="AD91" i="20"/>
  <c r="AE91" i="20" s="1"/>
  <c r="AF91" i="20" s="1"/>
  <c r="AT56" i="20"/>
  <c r="AK209" i="20"/>
  <c r="BR209" i="20" s="1"/>
  <c r="X158" i="20"/>
  <c r="Z158" i="20" s="1"/>
  <c r="Y56" i="20"/>
  <c r="AN90" i="20"/>
  <c r="AK207" i="20"/>
  <c r="BR207" i="20" s="1"/>
  <c r="AV179" i="20"/>
  <c r="AX179" i="20" s="1"/>
  <c r="BU179" i="20" s="1"/>
  <c r="Z208" i="20"/>
  <c r="BC199" i="20"/>
  <c r="BV199" i="20" s="1"/>
  <c r="AD56" i="20"/>
  <c r="AE56" i="20" s="1"/>
  <c r="AF56" i="20" s="1"/>
  <c r="AK191" i="20"/>
  <c r="BR191" i="20" s="1"/>
  <c r="AY143" i="20"/>
  <c r="AX24" i="20"/>
  <c r="BM24" i="20" s="1"/>
  <c r="BC103" i="20"/>
  <c r="BV103" i="20" s="1"/>
  <c r="AH143" i="20"/>
  <c r="AK143" i="20" s="1"/>
  <c r="AK111" i="20"/>
  <c r="BR111" i="20" s="1"/>
  <c r="AA98" i="20"/>
  <c r="AB98" i="20" s="1"/>
  <c r="AC98" i="20" s="1"/>
  <c r="AM143" i="20"/>
  <c r="AO143" i="20" s="1"/>
  <c r="BS143" i="20" s="1"/>
  <c r="BU31" i="20"/>
  <c r="X143" i="20"/>
  <c r="Z143" i="20" s="1"/>
  <c r="AX29" i="20"/>
  <c r="BM29" i="20" s="1"/>
  <c r="AK184" i="20"/>
  <c r="BR184" i="20" s="1"/>
  <c r="Z75" i="20"/>
  <c r="AN98" i="20"/>
  <c r="AH95" i="20"/>
  <c r="X95" i="20"/>
  <c r="BC88" i="20"/>
  <c r="BV88" i="20" s="1"/>
  <c r="AO201" i="20"/>
  <c r="BS201" i="20" s="1"/>
  <c r="AM90" i="20"/>
  <c r="AX43" i="20"/>
  <c r="BM43" i="20" s="1"/>
  <c r="BC131" i="20"/>
  <c r="BV131" i="20" s="1"/>
  <c r="AK69" i="20"/>
  <c r="BR69" i="20" s="1"/>
  <c r="AN91" i="20"/>
  <c r="AV94" i="20"/>
  <c r="AQ90" i="20"/>
  <c r="AT90" i="20" s="1"/>
  <c r="BT90" i="20" s="1"/>
  <c r="Y91" i="20"/>
  <c r="AK181" i="20"/>
  <c r="AV90" i="20"/>
  <c r="AX90" i="20" s="1"/>
  <c r="BU90" i="20" s="1"/>
  <c r="X90" i="20"/>
  <c r="Y94" i="20"/>
  <c r="AT33" i="20"/>
  <c r="BQ33" i="20" s="1"/>
  <c r="AA91" i="20"/>
  <c r="AB91" i="20" s="1"/>
  <c r="AC91" i="20" s="1"/>
  <c r="AH90" i="20"/>
  <c r="AN94" i="20"/>
  <c r="AA94" i="20"/>
  <c r="AB94" i="20" s="1"/>
  <c r="AC94" i="20" s="1"/>
  <c r="AJ91" i="20"/>
  <c r="AK167" i="20"/>
  <c r="BR167" i="20" s="1"/>
  <c r="AT57" i="20"/>
  <c r="AJ94" i="20"/>
  <c r="AY93" i="20"/>
  <c r="AV93" i="20"/>
  <c r="AX93" i="20" s="1"/>
  <c r="BU93" i="20" s="1"/>
  <c r="AH93" i="20"/>
  <c r="X93" i="20"/>
  <c r="AQ93" i="20"/>
  <c r="AT93" i="20" s="1"/>
  <c r="BT93" i="20" s="1"/>
  <c r="BC197" i="20"/>
  <c r="BV197" i="20" s="1"/>
  <c r="AM197" i="20"/>
  <c r="AO197" i="20" s="1"/>
  <c r="Z71" i="20"/>
  <c r="Z61" i="20"/>
  <c r="AY209" i="20"/>
  <c r="BC94" i="20"/>
  <c r="BV94" i="20" s="1"/>
  <c r="AH194" i="20"/>
  <c r="AK194" i="20" s="1"/>
  <c r="BR194" i="20" s="1"/>
  <c r="AM42" i="20"/>
  <c r="AO42" i="20" s="1"/>
  <c r="BS42" i="20" s="1"/>
  <c r="X209" i="20"/>
  <c r="Z209" i="20" s="1"/>
  <c r="Z47" i="20"/>
  <c r="AX55" i="20"/>
  <c r="AA14" i="20"/>
  <c r="AB14" i="20" s="1"/>
  <c r="AC14" i="20" s="1"/>
  <c r="AO157" i="20"/>
  <c r="BS157" i="20" s="1"/>
  <c r="AK178" i="20"/>
  <c r="BR178" i="20" s="1"/>
  <c r="X204" i="20"/>
  <c r="Z204" i="20" s="1"/>
  <c r="AQ204" i="20"/>
  <c r="AT204" i="20" s="1"/>
  <c r="BT204" i="20" s="1"/>
  <c r="AH94" i="20"/>
  <c r="AM209" i="20"/>
  <c r="AO209" i="20" s="1"/>
  <c r="BS209" i="20" s="1"/>
  <c r="Z145" i="20"/>
  <c r="AQ209" i="20"/>
  <c r="AT209" i="20" s="1"/>
  <c r="BT209" i="20" s="1"/>
  <c r="AQ94" i="20"/>
  <c r="AT94" i="20" s="1"/>
  <c r="BT94" i="20" s="1"/>
  <c r="X94" i="20"/>
  <c r="AA64" i="20"/>
  <c r="AB64" i="20" s="1"/>
  <c r="AC64" i="20" s="1"/>
  <c r="AV72" i="20"/>
  <c r="AV209" i="20"/>
  <c r="AX209" i="20" s="1"/>
  <c r="BU209" i="20" s="1"/>
  <c r="AK208" i="20"/>
  <c r="BR208" i="20" s="1"/>
  <c r="Y11" i="20"/>
  <c r="AM204" i="20"/>
  <c r="AO204" i="20" s="1"/>
  <c r="BS204" i="20" s="1"/>
  <c r="AS11" i="20"/>
  <c r="Z167" i="20"/>
  <c r="AD11" i="20"/>
  <c r="AE11" i="20" s="1"/>
  <c r="AF11" i="20" s="1"/>
  <c r="AY204" i="20"/>
  <c r="Z43" i="20"/>
  <c r="AH204" i="20"/>
  <c r="AK204" i="20" s="1"/>
  <c r="BR204" i="20" s="1"/>
  <c r="Z118" i="20"/>
  <c r="BC99" i="20"/>
  <c r="BV99" i="20" s="1"/>
  <c r="AM115" i="20"/>
  <c r="AD180" i="20"/>
  <c r="AE180" i="20" s="1"/>
  <c r="AF180" i="20" s="1"/>
  <c r="AH98" i="20"/>
  <c r="AK98" i="20" s="1"/>
  <c r="BR98" i="20" s="1"/>
  <c r="X98" i="20"/>
  <c r="AQ98" i="20"/>
  <c r="AT98" i="20" s="1"/>
  <c r="BT98" i="20" s="1"/>
  <c r="AV98" i="20"/>
  <c r="AM79" i="20"/>
  <c r="AO79" i="20" s="1"/>
  <c r="BS79" i="20" s="1"/>
  <c r="AN102" i="20"/>
  <c r="AA180" i="20"/>
  <c r="AB180" i="20" s="1"/>
  <c r="AC180" i="20" s="1"/>
  <c r="AO69" i="20"/>
  <c r="BS69" i="20" s="1"/>
  <c r="AM117" i="20"/>
  <c r="AO117" i="20" s="1"/>
  <c r="BC117" i="20"/>
  <c r="BV117" i="20" s="1"/>
  <c r="Y180" i="20"/>
  <c r="Z180" i="20" s="1"/>
  <c r="BC59" i="20"/>
  <c r="BV59" i="20" s="1"/>
  <c r="BC52" i="20"/>
  <c r="BV52" i="20" s="1"/>
  <c r="AD102" i="20"/>
  <c r="AE102" i="20" s="1"/>
  <c r="AF102" i="20" s="1"/>
  <c r="AK65" i="20"/>
  <c r="BR65" i="20" s="1"/>
  <c r="AX58" i="20"/>
  <c r="BU58" i="20" s="1"/>
  <c r="AO208" i="20"/>
  <c r="BS208" i="20" s="1"/>
  <c r="AJ102" i="20"/>
  <c r="AT65" i="20"/>
  <c r="AA102" i="20"/>
  <c r="AB102" i="20" s="1"/>
  <c r="AC102" i="20" s="1"/>
  <c r="Y102" i="20"/>
  <c r="X11" i="20"/>
  <c r="AK57" i="20"/>
  <c r="BR57" i="20" s="1"/>
  <c r="AO135" i="20"/>
  <c r="BS135" i="20" s="1"/>
  <c r="Z163" i="20"/>
  <c r="AY102" i="20"/>
  <c r="AV102" i="20"/>
  <c r="AX102" i="20" s="1"/>
  <c r="BU102" i="20" s="1"/>
  <c r="AQ102" i="20"/>
  <c r="AT102" i="20" s="1"/>
  <c r="BT102" i="20" s="1"/>
  <c r="X102" i="20"/>
  <c r="AH102" i="20"/>
  <c r="AM95" i="20"/>
  <c r="BC95" i="20"/>
  <c r="BV95" i="20" s="1"/>
  <c r="AK186" i="20"/>
  <c r="BR186" i="20" s="1"/>
  <c r="AY42" i="20"/>
  <c r="Z142" i="20"/>
  <c r="AO61" i="20"/>
  <c r="BS61" i="20" s="1"/>
  <c r="BC180" i="20"/>
  <c r="BV180" i="20" s="1"/>
  <c r="X115" i="20"/>
  <c r="Z115" i="20" s="1"/>
  <c r="AO59" i="20"/>
  <c r="BS59" i="20" s="1"/>
  <c r="AO199" i="20"/>
  <c r="BS199" i="20" s="1"/>
  <c r="AH115" i="20"/>
  <c r="AV115" i="20"/>
  <c r="AX115" i="20" s="1"/>
  <c r="BU115" i="20" s="1"/>
  <c r="AQ12" i="20"/>
  <c r="AT12" i="20" s="1"/>
  <c r="BL12" i="20" s="1"/>
  <c r="AX69" i="20"/>
  <c r="BU69" i="20" s="1"/>
  <c r="BM183" i="20"/>
  <c r="AY115" i="20"/>
  <c r="AX47" i="20"/>
  <c r="BU47" i="20" s="1"/>
  <c r="Z117" i="20"/>
  <c r="AQ11" i="20"/>
  <c r="X12" i="20"/>
  <c r="Z12" i="20" s="1"/>
  <c r="BC125" i="20"/>
  <c r="BV125" i="20" s="1"/>
  <c r="AT47" i="20"/>
  <c r="AA72" i="20"/>
  <c r="AB72" i="20" s="1"/>
  <c r="AC72" i="20" s="1"/>
  <c r="AY11" i="20"/>
  <c r="AQ20" i="20"/>
  <c r="AT20" i="20" s="1"/>
  <c r="AK58" i="20"/>
  <c r="BR58" i="20" s="1"/>
  <c r="BC75" i="20"/>
  <c r="BV75" i="20" s="1"/>
  <c r="BC15" i="20"/>
  <c r="BV15" i="20" s="1"/>
  <c r="BC61" i="20"/>
  <c r="BV61" i="20" s="1"/>
  <c r="BC57" i="20"/>
  <c r="BV57" i="20" s="1"/>
  <c r="AX57" i="20"/>
  <c r="BU57" i="20" s="1"/>
  <c r="AK71" i="20"/>
  <c r="BR71" i="20" s="1"/>
  <c r="AH130" i="20"/>
  <c r="AK130" i="20" s="1"/>
  <c r="BR130" i="20" s="1"/>
  <c r="AK75" i="20"/>
  <c r="BR75" i="20" s="1"/>
  <c r="Z65" i="20"/>
  <c r="AK79" i="20"/>
  <c r="BR79" i="20" s="1"/>
  <c r="AM154" i="20"/>
  <c r="AO154" i="20" s="1"/>
  <c r="BS154" i="20" s="1"/>
  <c r="BC130" i="20"/>
  <c r="BV130" i="20" s="1"/>
  <c r="Z88" i="20"/>
  <c r="BC76" i="20"/>
  <c r="BV76" i="20" s="1"/>
  <c r="BC43" i="20"/>
  <c r="BV43" i="20" s="1"/>
  <c r="AV154" i="20"/>
  <c r="AX154" i="20" s="1"/>
  <c r="BU154" i="20" s="1"/>
  <c r="Z55" i="20"/>
  <c r="AY114" i="20"/>
  <c r="AK88" i="20"/>
  <c r="BR88" i="20" s="1"/>
  <c r="AM30" i="20"/>
  <c r="Z135" i="20"/>
  <c r="AK131" i="20"/>
  <c r="BR131" i="20" s="1"/>
  <c r="X114" i="20"/>
  <c r="Z114" i="20" s="1"/>
  <c r="AH30" i="20"/>
  <c r="AK135" i="20"/>
  <c r="BR135" i="20" s="1"/>
  <c r="BC187" i="20"/>
  <c r="BV187" i="20" s="1"/>
  <c r="AM191" i="20"/>
  <c r="AO191" i="20" s="1"/>
  <c r="BS191" i="20" s="1"/>
  <c r="BC191" i="20"/>
  <c r="BV191" i="20" s="1"/>
  <c r="AQ31" i="20"/>
  <c r="AT31" i="20" s="1"/>
  <c r="BQ31" i="20" s="1"/>
  <c r="AH154" i="20"/>
  <c r="AK154" i="20" s="1"/>
  <c r="BC89" i="20"/>
  <c r="BV89" i="20" s="1"/>
  <c r="X154" i="20"/>
  <c r="Z154" i="20" s="1"/>
  <c r="AM114" i="20"/>
  <c r="AO114" i="20" s="1"/>
  <c r="BS114" i="20" s="1"/>
  <c r="AO165" i="20"/>
  <c r="BS165" i="20" s="1"/>
  <c r="AK80" i="20"/>
  <c r="BR80" i="20" s="1"/>
  <c r="AH187" i="20"/>
  <c r="AK187" i="20" s="1"/>
  <c r="BR187" i="20" s="1"/>
  <c r="Z17" i="20"/>
  <c r="BC167" i="20"/>
  <c r="BV167" i="20" s="1"/>
  <c r="AM167" i="20"/>
  <c r="AO167" i="20" s="1"/>
  <c r="BS167" i="20" s="1"/>
  <c r="BC65" i="20"/>
  <c r="BV65" i="20" s="1"/>
  <c r="BC85" i="20"/>
  <c r="BV85" i="20" s="1"/>
  <c r="BC200" i="20"/>
  <c r="BV200" i="20" s="1"/>
  <c r="AO128" i="20"/>
  <c r="BS128" i="20" s="1"/>
  <c r="AQ154" i="20"/>
  <c r="AT154" i="20" s="1"/>
  <c r="BT154" i="20" s="1"/>
  <c r="AQ114" i="20"/>
  <c r="AT114" i="20" s="1"/>
  <c r="BT114" i="20" s="1"/>
  <c r="AA115" i="20"/>
  <c r="AB115" i="20" s="1"/>
  <c r="AC115" i="20" s="1"/>
  <c r="AV187" i="20"/>
  <c r="AX187" i="20" s="1"/>
  <c r="BU187" i="20" s="1"/>
  <c r="AY12" i="20"/>
  <c r="AH114" i="20"/>
  <c r="AK114" i="20" s="1"/>
  <c r="BR114" i="20" s="1"/>
  <c r="AX59" i="20"/>
  <c r="BU59" i="20" s="1"/>
  <c r="X187" i="20"/>
  <c r="Z187" i="20" s="1"/>
  <c r="BC67" i="20"/>
  <c r="BV67" i="20" s="1"/>
  <c r="BC60" i="20"/>
  <c r="BV60" i="20" s="1"/>
  <c r="AX52" i="20"/>
  <c r="BU52" i="20" s="1"/>
  <c r="AQ187" i="20"/>
  <c r="AT187" i="20" s="1"/>
  <c r="BT187" i="20" s="1"/>
  <c r="AO140" i="20"/>
  <c r="BS140" i="20" s="1"/>
  <c r="AN64" i="20"/>
  <c r="AO64" i="20" s="1"/>
  <c r="BS64" i="20" s="1"/>
  <c r="AY188" i="20"/>
  <c r="AD202" i="20"/>
  <c r="AE202" i="20" s="1"/>
  <c r="AF202" i="20" s="1"/>
  <c r="AY39" i="20"/>
  <c r="BC58" i="20"/>
  <c r="BV58" i="20" s="1"/>
  <c r="AV39" i="20"/>
  <c r="AX39" i="20" s="1"/>
  <c r="BC169" i="20"/>
  <c r="BV169" i="20" s="1"/>
  <c r="AM169" i="20"/>
  <c r="AO169" i="20" s="1"/>
  <c r="BS169" i="20" s="1"/>
  <c r="BC16" i="20"/>
  <c r="BV16" i="20" s="1"/>
  <c r="AO57" i="20"/>
  <c r="BS57" i="20" s="1"/>
  <c r="AQ17" i="20"/>
  <c r="AT17" i="20" s="1"/>
  <c r="BQ17" i="20" s="1"/>
  <c r="AM39" i="20"/>
  <c r="AO39" i="20" s="1"/>
  <c r="BS39" i="20" s="1"/>
  <c r="Z80" i="20"/>
  <c r="AH39" i="20"/>
  <c r="AK39" i="20" s="1"/>
  <c r="BR39" i="20" s="1"/>
  <c r="AX85" i="20"/>
  <c r="BU85" i="20" s="1"/>
  <c r="Z189" i="20"/>
  <c r="AK127" i="20"/>
  <c r="BC189" i="20"/>
  <c r="BV189" i="20" s="1"/>
  <c r="X39" i="20"/>
  <c r="Z39" i="20" s="1"/>
  <c r="Z53" i="20"/>
  <c r="BC163" i="20"/>
  <c r="BV163" i="20" s="1"/>
  <c r="AM163" i="20"/>
  <c r="AO163" i="20" s="1"/>
  <c r="AD64" i="20"/>
  <c r="AE64" i="20" s="1"/>
  <c r="AF64" i="20" s="1"/>
  <c r="AD110" i="20"/>
  <c r="AE110" i="20" s="1"/>
  <c r="AF110" i="20" s="1"/>
  <c r="X144" i="20"/>
  <c r="BM148" i="20"/>
  <c r="AM12" i="20"/>
  <c r="AO12" i="20" s="1"/>
  <c r="BS12" i="20" s="1"/>
  <c r="AJ60" i="20"/>
  <c r="AK60" i="20" s="1"/>
  <c r="BR60" i="20" s="1"/>
  <c r="AS60" i="20"/>
  <c r="AT60" i="20" s="1"/>
  <c r="AT49" i="20"/>
  <c r="BL49" i="20" s="1"/>
  <c r="Z49" i="20"/>
  <c r="AS15" i="20"/>
  <c r="AN62" i="20"/>
  <c r="AS62" i="20"/>
  <c r="BC83" i="20"/>
  <c r="BV83" i="20" s="1"/>
  <c r="AD15" i="20"/>
  <c r="AE15" i="20" s="1"/>
  <c r="AF15" i="20" s="1"/>
  <c r="AN110" i="20"/>
  <c r="AV12" i="20"/>
  <c r="AX12" i="20" s="1"/>
  <c r="AT13" i="20"/>
  <c r="AJ110" i="20"/>
  <c r="AO75" i="20"/>
  <c r="BS75" i="20" s="1"/>
  <c r="AO71" i="20"/>
  <c r="BS71" i="20" s="1"/>
  <c r="Y64" i="20"/>
  <c r="AS64" i="20"/>
  <c r="AT64" i="20" s="1"/>
  <c r="Z203" i="20"/>
  <c r="AO58" i="20"/>
  <c r="BS58" i="20" s="1"/>
  <c r="AK203" i="20"/>
  <c r="BR203" i="20" s="1"/>
  <c r="AX79" i="20"/>
  <c r="BU79" i="20" s="1"/>
  <c r="AQ84" i="20"/>
  <c r="AT84" i="20" s="1"/>
  <c r="BT84" i="20" s="1"/>
  <c r="Z178" i="20"/>
  <c r="AV84" i="20"/>
  <c r="AX84" i="20" s="1"/>
  <c r="BU84" i="20" s="1"/>
  <c r="BC82" i="20"/>
  <c r="BV82" i="20" s="1"/>
  <c r="AK63" i="20"/>
  <c r="BR63" i="20" s="1"/>
  <c r="X84" i="20"/>
  <c r="Z130" i="20"/>
  <c r="BC193" i="20"/>
  <c r="BV193" i="20" s="1"/>
  <c r="AH84" i="20"/>
  <c r="BM118" i="20"/>
  <c r="AN78" i="20"/>
  <c r="AO53" i="20"/>
  <c r="BS53" i="20" s="1"/>
  <c r="AY116" i="20"/>
  <c r="AW72" i="20"/>
  <c r="AQ130" i="20"/>
  <c r="AT130" i="20" s="1"/>
  <c r="BT130" i="20" s="1"/>
  <c r="AW78" i="20"/>
  <c r="AX67" i="20"/>
  <c r="BU67" i="20" s="1"/>
  <c r="BC55" i="20"/>
  <c r="BV55" i="20" s="1"/>
  <c r="AN72" i="20"/>
  <c r="AV130" i="20"/>
  <c r="AX130" i="20" s="1"/>
  <c r="BU130" i="20" s="1"/>
  <c r="AD78" i="20"/>
  <c r="AE78" i="20" s="1"/>
  <c r="AF78" i="20" s="1"/>
  <c r="AO145" i="20"/>
  <c r="BS145" i="20" s="1"/>
  <c r="Y72" i="20"/>
  <c r="AO55" i="20"/>
  <c r="BS55" i="20" s="1"/>
  <c r="AK70" i="20"/>
  <c r="BR70" i="20" s="1"/>
  <c r="Z79" i="20"/>
  <c r="AV112" i="20"/>
  <c r="AH123" i="20"/>
  <c r="AK123" i="20" s="1"/>
  <c r="AN202" i="20"/>
  <c r="AV116" i="20"/>
  <c r="AX116" i="20" s="1"/>
  <c r="BU116" i="20" s="1"/>
  <c r="AS14" i="20"/>
  <c r="AQ123" i="20"/>
  <c r="AT123" i="20" s="1"/>
  <c r="BT123" i="20" s="1"/>
  <c r="AX61" i="20"/>
  <c r="BU61" i="20" s="1"/>
  <c r="AA202" i="20"/>
  <c r="AB202" i="20" s="1"/>
  <c r="AC202" i="20" s="1"/>
  <c r="Z186" i="20"/>
  <c r="BC203" i="20"/>
  <c r="BV203" i="20" s="1"/>
  <c r="AX63" i="20"/>
  <c r="BU63" i="20" s="1"/>
  <c r="AH116" i="20"/>
  <c r="AK116" i="20" s="1"/>
  <c r="BR116" i="20" s="1"/>
  <c r="AD72" i="20"/>
  <c r="AE72" i="20" s="1"/>
  <c r="AF72" i="20" s="1"/>
  <c r="AY130" i="20"/>
  <c r="AW14" i="20"/>
  <c r="AH188" i="20"/>
  <c r="AK188" i="20" s="1"/>
  <c r="BR188" i="20" s="1"/>
  <c r="AD108" i="20"/>
  <c r="AE108" i="20" s="1"/>
  <c r="AF108" i="20" s="1"/>
  <c r="AJ202" i="20"/>
  <c r="AK202" i="20" s="1"/>
  <c r="BR202" i="20" s="1"/>
  <c r="BC48" i="20"/>
  <c r="BV48" i="20" s="1"/>
  <c r="BC50" i="20"/>
  <c r="BV50" i="20" s="1"/>
  <c r="BC71" i="20"/>
  <c r="BV71" i="20" s="1"/>
  <c r="AT55" i="20"/>
  <c r="BL55" i="20" s="1"/>
  <c r="AD14" i="20"/>
  <c r="AE14" i="20" s="1"/>
  <c r="AF14" i="20" s="1"/>
  <c r="X188" i="20"/>
  <c r="Z188" i="20" s="1"/>
  <c r="BC178" i="20"/>
  <c r="BV178" i="20" s="1"/>
  <c r="AT28" i="20"/>
  <c r="BQ28" i="20" s="1"/>
  <c r="BC145" i="20"/>
  <c r="BV145" i="20" s="1"/>
  <c r="AJ177" i="20"/>
  <c r="AQ42" i="20"/>
  <c r="AT42" i="20" s="1"/>
  <c r="AW36" i="20"/>
  <c r="AX36" i="20" s="1"/>
  <c r="AQ72" i="20"/>
  <c r="BC80" i="20"/>
  <c r="BV80" i="20" s="1"/>
  <c r="Z85" i="20"/>
  <c r="AY112" i="20"/>
  <c r="AA177" i="20"/>
  <c r="AB177" i="20" s="1"/>
  <c r="AC177" i="20" s="1"/>
  <c r="Y36" i="20"/>
  <c r="Z36" i="20" s="1"/>
  <c r="AH72" i="20"/>
  <c r="Y108" i="20"/>
  <c r="Z108" i="20" s="1"/>
  <c r="AM112" i="20"/>
  <c r="Y177" i="20"/>
  <c r="AD36" i="20"/>
  <c r="AE36" i="20" s="1"/>
  <c r="AF36" i="20" s="1"/>
  <c r="AH112" i="20"/>
  <c r="AD177" i="20"/>
  <c r="AE177" i="20" s="1"/>
  <c r="AF177" i="20" s="1"/>
  <c r="X42" i="20"/>
  <c r="Z42" i="20" s="1"/>
  <c r="AA36" i="20"/>
  <c r="AB36" i="20" s="1"/>
  <c r="AC36" i="20" s="1"/>
  <c r="AJ108" i="20"/>
  <c r="AK108" i="20" s="1"/>
  <c r="BR108" i="20" s="1"/>
  <c r="BC63" i="20"/>
  <c r="BV63" i="20" s="1"/>
  <c r="X112" i="20"/>
  <c r="AH42" i="20"/>
  <c r="AK42" i="20" s="1"/>
  <c r="BR42" i="20" s="1"/>
  <c r="AN108" i="20"/>
  <c r="AM54" i="20"/>
  <c r="BC56" i="20"/>
  <c r="BV56" i="20" s="1"/>
  <c r="AK189" i="20"/>
  <c r="BR189" i="20" s="1"/>
  <c r="BM28" i="20"/>
  <c r="BU28" i="20"/>
  <c r="BM33" i="20"/>
  <c r="BU33" i="20"/>
  <c r="BM34" i="20"/>
  <c r="AN60" i="20"/>
  <c r="AO60" i="20" s="1"/>
  <c r="BS60" i="20" s="1"/>
  <c r="BM21" i="20"/>
  <c r="BU21" i="20"/>
  <c r="AO65" i="20"/>
  <c r="BS65" i="20" s="1"/>
  <c r="BM124" i="20"/>
  <c r="BM23" i="20"/>
  <c r="BU23" i="20"/>
  <c r="AW60" i="20"/>
  <c r="AX60" i="20" s="1"/>
  <c r="BU60" i="20" s="1"/>
  <c r="BM13" i="20"/>
  <c r="BU13" i="20"/>
  <c r="BM38" i="20"/>
  <c r="BU38" i="20"/>
  <c r="AA60" i="20"/>
  <c r="AB60" i="20" s="1"/>
  <c r="AC60" i="20" s="1"/>
  <c r="BM16" i="20"/>
  <c r="BU16" i="20"/>
  <c r="BM22" i="20"/>
  <c r="BU22" i="20"/>
  <c r="BM10" i="20"/>
  <c r="BU10" i="20"/>
  <c r="AO131" i="20"/>
  <c r="BS131" i="20" s="1"/>
  <c r="BM17" i="20"/>
  <c r="BU17" i="20"/>
  <c r="BU50" i="20"/>
  <c r="AA195" i="20"/>
  <c r="AB195" i="20" s="1"/>
  <c r="AC195" i="20" s="1"/>
  <c r="AJ195" i="20"/>
  <c r="AN195" i="20"/>
  <c r="AD195" i="20"/>
  <c r="AE195" i="20" s="1"/>
  <c r="AF195" i="20" s="1"/>
  <c r="Y112" i="20"/>
  <c r="AW62" i="20"/>
  <c r="AX49" i="20"/>
  <c r="AD62" i="20"/>
  <c r="AE62" i="20" s="1"/>
  <c r="AF62" i="20" s="1"/>
  <c r="AO180" i="20"/>
  <c r="BS180" i="20" s="1"/>
  <c r="AN112" i="20"/>
  <c r="AA62" i="20"/>
  <c r="AB62" i="20" s="1"/>
  <c r="AC62" i="20" s="1"/>
  <c r="AA112" i="20"/>
  <c r="AB112" i="20" s="1"/>
  <c r="AC112" i="20" s="1"/>
  <c r="AO186" i="20"/>
  <c r="BS186" i="20" s="1"/>
  <c r="AJ62" i="20"/>
  <c r="AA126" i="20"/>
  <c r="AB126" i="20" s="1"/>
  <c r="AC126" i="20" s="1"/>
  <c r="AN126" i="20"/>
  <c r="AO126" i="20" s="1"/>
  <c r="BS126" i="20" s="1"/>
  <c r="AJ126" i="20"/>
  <c r="AK126" i="20" s="1"/>
  <c r="AX80" i="20"/>
  <c r="BU80" i="20" s="1"/>
  <c r="Y62" i="20"/>
  <c r="Y126" i="20"/>
  <c r="Z126" i="20" s="1"/>
  <c r="AD112" i="20"/>
  <c r="AE112" i="20" s="1"/>
  <c r="AF112" i="20" s="1"/>
  <c r="Z67" i="20"/>
  <c r="AQ144" i="20"/>
  <c r="AT144" i="20" s="1"/>
  <c r="BT144" i="20" s="1"/>
  <c r="AV188" i="20"/>
  <c r="AX188" i="20" s="1"/>
  <c r="BU188" i="20" s="1"/>
  <c r="AX53" i="20"/>
  <c r="AY144" i="20"/>
  <c r="AO189" i="20"/>
  <c r="BS189" i="20" s="1"/>
  <c r="BC186" i="20"/>
  <c r="BV186" i="20" s="1"/>
  <c r="AA51" i="20"/>
  <c r="AB51" i="20" s="1"/>
  <c r="AC51" i="20" s="1"/>
  <c r="AQ44" i="20"/>
  <c r="AV44" i="20"/>
  <c r="X44" i="20"/>
  <c r="Z44" i="20" s="1"/>
  <c r="AH44" i="20"/>
  <c r="AJ115" i="20"/>
  <c r="Y15" i="20"/>
  <c r="AW64" i="20"/>
  <c r="AX64" i="20" s="1"/>
  <c r="BU64" i="20" s="1"/>
  <c r="AH11" i="20"/>
  <c r="AK11" i="20" s="1"/>
  <c r="BR11" i="20" s="1"/>
  <c r="AM123" i="20"/>
  <c r="AO123" i="20" s="1"/>
  <c r="BS123" i="20" s="1"/>
  <c r="Y78" i="20"/>
  <c r="AN115" i="20"/>
  <c r="AD60" i="20"/>
  <c r="AE60" i="20" s="1"/>
  <c r="AF60" i="20" s="1"/>
  <c r="BT24" i="20"/>
  <c r="AV144" i="20"/>
  <c r="AX144" i="20" s="1"/>
  <c r="BU144" i="20" s="1"/>
  <c r="AV123" i="20"/>
  <c r="AX123" i="20" s="1"/>
  <c r="BU123" i="20" s="1"/>
  <c r="AO119" i="20"/>
  <c r="BS119" i="20" s="1"/>
  <c r="AO63" i="20"/>
  <c r="BS63" i="20" s="1"/>
  <c r="BC126" i="20"/>
  <c r="BV126" i="20" s="1"/>
  <c r="AA15" i="20"/>
  <c r="AB15" i="20" s="1"/>
  <c r="AC15" i="20" s="1"/>
  <c r="AM188" i="20"/>
  <c r="AO188" i="20" s="1"/>
  <c r="BS188" i="20" s="1"/>
  <c r="AM11" i="20"/>
  <c r="AO11" i="20" s="1"/>
  <c r="BS11" i="20" s="1"/>
  <c r="AY123" i="20"/>
  <c r="AJ78" i="20"/>
  <c r="AD115" i="20"/>
  <c r="AE115" i="20" s="1"/>
  <c r="AF115" i="20" s="1"/>
  <c r="Y60" i="20"/>
  <c r="AM111" i="20"/>
  <c r="AO111" i="20" s="1"/>
  <c r="BS111" i="20" s="1"/>
  <c r="BC111" i="20"/>
  <c r="BV111" i="20" s="1"/>
  <c r="BC87" i="20"/>
  <c r="BV87" i="20" s="1"/>
  <c r="BC68" i="20"/>
  <c r="BV68" i="20" s="1"/>
  <c r="Z52" i="20"/>
  <c r="Z29" i="20"/>
  <c r="AK66" i="20"/>
  <c r="BR66" i="20" s="1"/>
  <c r="X54" i="20"/>
  <c r="Z134" i="20"/>
  <c r="Y51" i="20"/>
  <c r="AD51" i="20"/>
  <c r="AE51" i="20" s="1"/>
  <c r="AF51" i="20" s="1"/>
  <c r="AS51" i="20"/>
  <c r="Z116" i="20"/>
  <c r="AO171" i="20"/>
  <c r="BS171" i="20" s="1"/>
  <c r="AT23" i="20"/>
  <c r="AK158" i="20"/>
  <c r="BR158" i="20" s="1"/>
  <c r="AW51" i="20"/>
  <c r="AO178" i="20"/>
  <c r="BS178" i="20" s="1"/>
  <c r="BT38" i="20"/>
  <c r="AN144" i="20"/>
  <c r="AO88" i="20"/>
  <c r="BS88" i="20" s="1"/>
  <c r="AO103" i="20"/>
  <c r="BS103" i="20" s="1"/>
  <c r="AO203" i="20"/>
  <c r="BS203" i="20" s="1"/>
  <c r="BT10" i="20"/>
  <c r="AO105" i="20"/>
  <c r="BS105" i="20" s="1"/>
  <c r="AX35" i="20"/>
  <c r="BM80" i="20"/>
  <c r="Z194" i="20"/>
  <c r="AO206" i="20"/>
  <c r="BS206" i="20" s="1"/>
  <c r="AO207" i="20"/>
  <c r="BS207" i="20" s="1"/>
  <c r="AO85" i="20"/>
  <c r="BS85" i="20" s="1"/>
  <c r="AO76" i="20"/>
  <c r="BS76" i="20" s="1"/>
  <c r="BT16" i="20"/>
  <c r="BT43" i="20"/>
  <c r="AO166" i="20"/>
  <c r="BS166" i="20" s="1"/>
  <c r="AA30" i="20"/>
  <c r="AB30" i="20" s="1"/>
  <c r="AC30" i="20" s="1"/>
  <c r="AW27" i="20"/>
  <c r="AS27" i="20"/>
  <c r="AD27" i="20"/>
  <c r="AE27" i="20" s="1"/>
  <c r="AF27" i="20" s="1"/>
  <c r="AA27" i="20"/>
  <c r="AB27" i="20" s="1"/>
  <c r="AC27" i="20" s="1"/>
  <c r="AO67" i="20"/>
  <c r="BS67" i="20" s="1"/>
  <c r="BK162" i="20"/>
  <c r="BO162" i="20" s="1"/>
  <c r="AO152" i="20"/>
  <c r="BS152" i="20" s="1"/>
  <c r="Z77" i="20"/>
  <c r="AK77" i="20"/>
  <c r="BR77" i="20" s="1"/>
  <c r="AO66" i="20"/>
  <c r="BS66" i="20" s="1"/>
  <c r="AO106" i="20"/>
  <c r="BS106" i="20" s="1"/>
  <c r="BM159" i="20"/>
  <c r="BM83" i="20"/>
  <c r="AW30" i="20"/>
  <c r="AX70" i="20"/>
  <c r="BU70" i="20" s="1"/>
  <c r="X30" i="20"/>
  <c r="AY30" i="20"/>
  <c r="AV30" i="20"/>
  <c r="AY153" i="20"/>
  <c r="AH153" i="20"/>
  <c r="AK153" i="20" s="1"/>
  <c r="BR153" i="20" s="1"/>
  <c r="AQ153" i="20"/>
  <c r="AT153" i="20" s="1"/>
  <c r="BT153" i="20" s="1"/>
  <c r="X153" i="20"/>
  <c r="Z153" i="20" s="1"/>
  <c r="AV153" i="20"/>
  <c r="AX153" i="20" s="1"/>
  <c r="BU153" i="20" s="1"/>
  <c r="AH121" i="20"/>
  <c r="AK121" i="20" s="1"/>
  <c r="BR121" i="20" s="1"/>
  <c r="AY121" i="20"/>
  <c r="AQ121" i="20"/>
  <c r="AT121" i="20" s="1"/>
  <c r="BT121" i="20" s="1"/>
  <c r="AV121" i="20"/>
  <c r="AX121" i="20" s="1"/>
  <c r="BU121" i="20" s="1"/>
  <c r="X121" i="20"/>
  <c r="Z121" i="20" s="1"/>
  <c r="AX83" i="20"/>
  <c r="BU83" i="20" s="1"/>
  <c r="X78" i="20"/>
  <c r="AH78" i="20"/>
  <c r="AQ78" i="20"/>
  <c r="AT78" i="20" s="1"/>
  <c r="BT78" i="20" s="1"/>
  <c r="AV78" i="20"/>
  <c r="AQ107" i="20"/>
  <c r="AT107" i="20" s="1"/>
  <c r="BT107" i="20" s="1"/>
  <c r="AV107" i="20"/>
  <c r="AX107" i="20" s="1"/>
  <c r="BU107" i="20" s="1"/>
  <c r="AH107" i="20"/>
  <c r="AK107" i="20" s="1"/>
  <c r="BR107" i="20" s="1"/>
  <c r="AY107" i="20"/>
  <c r="X107" i="20"/>
  <c r="Z107" i="20" s="1"/>
  <c r="BC49" i="20"/>
  <c r="BV49" i="20" s="1"/>
  <c r="AT29" i="20"/>
  <c r="BL29" i="20" s="1"/>
  <c r="AV91" i="20"/>
  <c r="AX91" i="20" s="1"/>
  <c r="BU91" i="20" s="1"/>
  <c r="AQ91" i="20"/>
  <c r="AT91" i="20" s="1"/>
  <c r="BT91" i="20" s="1"/>
  <c r="X91" i="20"/>
  <c r="AH91" i="20"/>
  <c r="AY91" i="20"/>
  <c r="AM161" i="20"/>
  <c r="AO161" i="20" s="1"/>
  <c r="BS161" i="20" s="1"/>
  <c r="BC161" i="20"/>
  <c r="BV161" i="20" s="1"/>
  <c r="AQ194" i="20"/>
  <c r="AT194" i="20" s="1"/>
  <c r="AY194" i="20"/>
  <c r="AV194" i="20"/>
  <c r="AX194" i="20" s="1"/>
  <c r="BU194" i="20" s="1"/>
  <c r="AV97" i="20"/>
  <c r="AX97" i="20" s="1"/>
  <c r="BU97" i="20" s="1"/>
  <c r="AY97" i="20"/>
  <c r="AH97" i="20"/>
  <c r="AQ97" i="20"/>
  <c r="AT97" i="20" s="1"/>
  <c r="BT97" i="20" s="1"/>
  <c r="X97" i="20"/>
  <c r="BM74" i="20"/>
  <c r="X15" i="20"/>
  <c r="AH15" i="20"/>
  <c r="AY15" i="20"/>
  <c r="AV15" i="20"/>
  <c r="AX15" i="20" s="1"/>
  <c r="AO172" i="20"/>
  <c r="BS172" i="20" s="1"/>
  <c r="AJ144" i="20"/>
  <c r="AK144" i="20" s="1"/>
  <c r="BR144" i="20" s="1"/>
  <c r="AH25" i="20"/>
  <c r="AK25" i="20" s="1"/>
  <c r="BR25" i="20" s="1"/>
  <c r="AY25" i="20"/>
  <c r="AV25" i="20"/>
  <c r="AX25" i="20" s="1"/>
  <c r="AM25" i="20"/>
  <c r="AO25" i="20" s="1"/>
  <c r="BS25" i="20" s="1"/>
  <c r="X25" i="20"/>
  <c r="Z25" i="20" s="1"/>
  <c r="AY19" i="20"/>
  <c r="AM19" i="20"/>
  <c r="AO19" i="20" s="1"/>
  <c r="BS19" i="20" s="1"/>
  <c r="AV19" i="20"/>
  <c r="AX19" i="20" s="1"/>
  <c r="AH19" i="20"/>
  <c r="AK19" i="20" s="1"/>
  <c r="BR19" i="20" s="1"/>
  <c r="X19" i="20"/>
  <c r="Z19" i="20" s="1"/>
  <c r="BC66" i="20"/>
  <c r="BV66" i="20" s="1"/>
  <c r="Y30" i="20"/>
  <c r="Y144" i="20"/>
  <c r="Z35" i="20"/>
  <c r="AV185" i="20"/>
  <c r="AX185" i="20" s="1"/>
  <c r="BU185" i="20" s="1"/>
  <c r="AH185" i="20"/>
  <c r="AK185" i="20" s="1"/>
  <c r="BR185" i="20" s="1"/>
  <c r="AQ185" i="20"/>
  <c r="AT185" i="20" s="1"/>
  <c r="BT185" i="20" s="1"/>
  <c r="AY185" i="20"/>
  <c r="X185" i="20"/>
  <c r="Z185" i="20" s="1"/>
  <c r="AY136" i="20"/>
  <c r="AV136" i="20"/>
  <c r="AX136" i="20" s="1"/>
  <c r="BU136" i="20" s="1"/>
  <c r="X136" i="20"/>
  <c r="Z136" i="20" s="1"/>
  <c r="AQ136" i="20"/>
  <c r="AT136" i="20" s="1"/>
  <c r="BT136" i="20" s="1"/>
  <c r="AH136" i="20"/>
  <c r="AK136" i="20" s="1"/>
  <c r="BR136" i="20" s="1"/>
  <c r="AH45" i="20"/>
  <c r="AK45" i="20" s="1"/>
  <c r="BR45" i="20" s="1"/>
  <c r="AV45" i="20"/>
  <c r="X45" i="20"/>
  <c r="AQ45" i="20"/>
  <c r="BC64" i="20"/>
  <c r="BV64" i="20" s="1"/>
  <c r="AO52" i="20"/>
  <c r="BS52" i="20" s="1"/>
  <c r="AS30" i="20"/>
  <c r="AX77" i="20"/>
  <c r="BU77" i="20" s="1"/>
  <c r="AD144" i="20"/>
  <c r="AE144" i="20" s="1"/>
  <c r="AF144" i="20" s="1"/>
  <c r="AQ138" i="20"/>
  <c r="AT138" i="20" s="1"/>
  <c r="BT138" i="20" s="1"/>
  <c r="AY138" i="20"/>
  <c r="X138" i="20"/>
  <c r="Z138" i="20" s="1"/>
  <c r="AV138" i="20"/>
  <c r="AX138" i="20" s="1"/>
  <c r="BU138" i="20" s="1"/>
  <c r="AH138" i="20"/>
  <c r="AK138" i="20" s="1"/>
  <c r="BR138" i="20" s="1"/>
  <c r="AK83" i="20"/>
  <c r="BC40" i="20"/>
  <c r="BV40" i="20" s="1"/>
  <c r="AQ40" i="20"/>
  <c r="AT40" i="20" s="1"/>
  <c r="BM146" i="20"/>
  <c r="BM122" i="20"/>
  <c r="BK122" i="20"/>
  <c r="BO122" i="20" s="1"/>
  <c r="BM139" i="20"/>
  <c r="BM101" i="20"/>
  <c r="AM174" i="20"/>
  <c r="AO174" i="20" s="1"/>
  <c r="BS174" i="20" s="1"/>
  <c r="BC174" i="20"/>
  <c r="BV174" i="20" s="1"/>
  <c r="AN46" i="20"/>
  <c r="AO46" i="20" s="1"/>
  <c r="BS46" i="20" s="1"/>
  <c r="AS46" i="20"/>
  <c r="AT46" i="20" s="1"/>
  <c r="Y46" i="20"/>
  <c r="AD46" i="20"/>
  <c r="AE46" i="20" s="1"/>
  <c r="AF46" i="20" s="1"/>
  <c r="AA46" i="20"/>
  <c r="AB46" i="20" s="1"/>
  <c r="AC46" i="20" s="1"/>
  <c r="AW46" i="20"/>
  <c r="AX46" i="20" s="1"/>
  <c r="AQ177" i="20"/>
  <c r="AT177" i="20" s="1"/>
  <c r="BT177" i="20" s="1"/>
  <c r="AY177" i="20"/>
  <c r="X177" i="20"/>
  <c r="AH177" i="20"/>
  <c r="AV177" i="20"/>
  <c r="AX177" i="20" s="1"/>
  <c r="BU177" i="20" s="1"/>
  <c r="AH137" i="20"/>
  <c r="AK137" i="20" s="1"/>
  <c r="BR137" i="20" s="1"/>
  <c r="X137" i="20"/>
  <c r="Z137" i="20" s="1"/>
  <c r="AY137" i="20"/>
  <c r="AQ137" i="20"/>
  <c r="AT137" i="20" s="1"/>
  <c r="BT137" i="20" s="1"/>
  <c r="AV137" i="20"/>
  <c r="AX137" i="20" s="1"/>
  <c r="BU137" i="20" s="1"/>
  <c r="AW81" i="20"/>
  <c r="Y81" i="20"/>
  <c r="AA81" i="20"/>
  <c r="AB81" i="20" s="1"/>
  <c r="AC81" i="20" s="1"/>
  <c r="AN81" i="20"/>
  <c r="AD81" i="20"/>
  <c r="AE81" i="20" s="1"/>
  <c r="AF81" i="20" s="1"/>
  <c r="AJ81" i="20"/>
  <c r="AX66" i="20"/>
  <c r="BU66" i="20" s="1"/>
  <c r="AK176" i="20"/>
  <c r="BR176" i="20" s="1"/>
  <c r="AM108" i="20"/>
  <c r="BC108" i="20"/>
  <c r="BV108" i="20" s="1"/>
  <c r="AM158" i="20"/>
  <c r="AO158" i="20" s="1"/>
  <c r="BS158" i="20" s="1"/>
  <c r="BC158" i="20"/>
  <c r="BV158" i="20" s="1"/>
  <c r="AM84" i="20"/>
  <c r="AM182" i="20"/>
  <c r="BC182" i="20"/>
  <c r="BV182" i="20" s="1"/>
  <c r="AM142" i="20"/>
  <c r="AO142" i="20" s="1"/>
  <c r="BS142" i="20" s="1"/>
  <c r="BC142" i="20"/>
  <c r="BV142" i="20" s="1"/>
  <c r="AH81" i="20"/>
  <c r="X81" i="20"/>
  <c r="AQ81" i="20"/>
  <c r="AT81" i="20" s="1"/>
  <c r="BT81" i="20" s="1"/>
  <c r="AV81" i="20"/>
  <c r="AH62" i="20"/>
  <c r="X62" i="20"/>
  <c r="AV62" i="20"/>
  <c r="AQ62" i="20"/>
  <c r="BP206" i="20"/>
  <c r="AH14" i="20"/>
  <c r="AK14" i="20" s="1"/>
  <c r="BR14" i="20" s="1"/>
  <c r="X14" i="20"/>
  <c r="Z14" i="20" s="1"/>
  <c r="AY14" i="20"/>
  <c r="AM14" i="20"/>
  <c r="AO14" i="20" s="1"/>
  <c r="BS14" i="20" s="1"/>
  <c r="AV14" i="20"/>
  <c r="BM127" i="20"/>
  <c r="AK64" i="20"/>
  <c r="BR64" i="20" s="1"/>
  <c r="BC202" i="20"/>
  <c r="BV202" i="20" s="1"/>
  <c r="AM202" i="20"/>
  <c r="AO192" i="20"/>
  <c r="BS192" i="20" s="1"/>
  <c r="AH73" i="20"/>
  <c r="X73" i="20"/>
  <c r="AQ73" i="20"/>
  <c r="AV73" i="20"/>
  <c r="BC134" i="20"/>
  <c r="BV134" i="20" s="1"/>
  <c r="AM134" i="20"/>
  <c r="AO134" i="20" s="1"/>
  <c r="BS134" i="20" s="1"/>
  <c r="BC30" i="20"/>
  <c r="BV30" i="20" s="1"/>
  <c r="AQ30" i="20"/>
  <c r="AM184" i="20"/>
  <c r="AO184" i="20" s="1"/>
  <c r="BS184" i="20" s="1"/>
  <c r="BC184" i="20"/>
  <c r="BV184" i="20" s="1"/>
  <c r="AN96" i="20"/>
  <c r="AD96" i="20"/>
  <c r="AE96" i="20" s="1"/>
  <c r="AF96" i="20" s="1"/>
  <c r="Y96" i="20"/>
  <c r="AA96" i="20"/>
  <c r="AB96" i="20" s="1"/>
  <c r="AC96" i="20" s="1"/>
  <c r="AJ96" i="20"/>
  <c r="X110" i="20"/>
  <c r="AV110" i="20"/>
  <c r="AX110" i="20" s="1"/>
  <c r="BU110" i="20" s="1"/>
  <c r="AH110" i="20"/>
  <c r="AQ110" i="20"/>
  <c r="AT110" i="20" s="1"/>
  <c r="BT110" i="20" s="1"/>
  <c r="AY110" i="20"/>
  <c r="AY129" i="20"/>
  <c r="AH129" i="20"/>
  <c r="AK129" i="20" s="1"/>
  <c r="BR129" i="20" s="1"/>
  <c r="X129" i="20"/>
  <c r="Z129" i="20" s="1"/>
  <c r="AQ129" i="20"/>
  <c r="AT129" i="20" s="1"/>
  <c r="BT129" i="20" s="1"/>
  <c r="AV129" i="20"/>
  <c r="AX129" i="20" s="1"/>
  <c r="BU129" i="20" s="1"/>
  <c r="AY41" i="20"/>
  <c r="AM41" i="20"/>
  <c r="AO41" i="20" s="1"/>
  <c r="BS41" i="20" s="1"/>
  <c r="AH41" i="20"/>
  <c r="AK41" i="20" s="1"/>
  <c r="BR41" i="20" s="1"/>
  <c r="AV41" i="20"/>
  <c r="AX41" i="20" s="1"/>
  <c r="X41" i="20"/>
  <c r="Z41" i="20" s="1"/>
  <c r="AQ36" i="20"/>
  <c r="BC36" i="20"/>
  <c r="BV36" i="20" s="1"/>
  <c r="AQ39" i="20"/>
  <c r="AT39" i="20" s="1"/>
  <c r="BC39" i="20"/>
  <c r="BV39" i="20" s="1"/>
  <c r="AM141" i="20"/>
  <c r="AO141" i="20" s="1"/>
  <c r="BS141" i="20" s="1"/>
  <c r="BC141" i="20"/>
  <c r="BV141" i="20" s="1"/>
  <c r="X120" i="20"/>
  <c r="AV120" i="20"/>
  <c r="AX120" i="20" s="1"/>
  <c r="BU120" i="20" s="1"/>
  <c r="AH120" i="20"/>
  <c r="AQ120" i="20"/>
  <c r="AT120" i="20" s="1"/>
  <c r="BT120" i="20" s="1"/>
  <c r="AY120" i="20"/>
  <c r="AN48" i="20"/>
  <c r="AO48" i="20" s="1"/>
  <c r="BS48" i="20" s="1"/>
  <c r="Y48" i="20"/>
  <c r="AD48" i="20"/>
  <c r="AE48" i="20" s="1"/>
  <c r="AF48" i="20" s="1"/>
  <c r="AS48" i="20"/>
  <c r="AT48" i="20" s="1"/>
  <c r="AW48" i="20"/>
  <c r="AX48" i="20" s="1"/>
  <c r="AA48" i="20"/>
  <c r="AB48" i="20" s="1"/>
  <c r="AC48" i="20" s="1"/>
  <c r="BP20" i="20"/>
  <c r="AQ133" i="20"/>
  <c r="AT133" i="20" s="1"/>
  <c r="BT133" i="20" s="1"/>
  <c r="AH133" i="20"/>
  <c r="AK133" i="20" s="1"/>
  <c r="BR133" i="20" s="1"/>
  <c r="AY133" i="20"/>
  <c r="AV133" i="20"/>
  <c r="AX133" i="20" s="1"/>
  <c r="BU133" i="20" s="1"/>
  <c r="X133" i="20"/>
  <c r="Z133" i="20" s="1"/>
  <c r="AY92" i="20"/>
  <c r="AV92" i="20"/>
  <c r="AX92" i="20" s="1"/>
  <c r="BU92" i="20" s="1"/>
  <c r="AH92" i="20"/>
  <c r="AQ92" i="20"/>
  <c r="AT92" i="20" s="1"/>
  <c r="BT92" i="20" s="1"/>
  <c r="X92" i="20"/>
  <c r="AN120" i="20"/>
  <c r="AA120" i="20"/>
  <c r="AB120" i="20" s="1"/>
  <c r="AC120" i="20" s="1"/>
  <c r="AJ120" i="20"/>
  <c r="AD120" i="20"/>
  <c r="AE120" i="20" s="1"/>
  <c r="AF120" i="20" s="1"/>
  <c r="Y120" i="20"/>
  <c r="BP165" i="20"/>
  <c r="AQ34" i="20"/>
  <c r="AT34" i="20" s="1"/>
  <c r="BC34" i="20"/>
  <c r="BV34" i="20" s="1"/>
  <c r="AH160" i="20"/>
  <c r="AY160" i="20"/>
  <c r="AQ160" i="20"/>
  <c r="AT160" i="20" s="1"/>
  <c r="BT160" i="20" s="1"/>
  <c r="AV160" i="20"/>
  <c r="AX160" i="20" s="1"/>
  <c r="BU160" i="20" s="1"/>
  <c r="X160" i="20"/>
  <c r="AM77" i="20"/>
  <c r="AO77" i="20" s="1"/>
  <c r="BS77" i="20" s="1"/>
  <c r="BC77" i="20"/>
  <c r="BV77" i="20" s="1"/>
  <c r="BM162" i="20"/>
  <c r="AV104" i="20"/>
  <c r="AX104" i="20" s="1"/>
  <c r="BU104" i="20" s="1"/>
  <c r="AH104" i="20"/>
  <c r="AK104" i="20" s="1"/>
  <c r="BR104" i="20" s="1"/>
  <c r="X104" i="20"/>
  <c r="Z104" i="20" s="1"/>
  <c r="AQ104" i="20"/>
  <c r="AT104" i="20" s="1"/>
  <c r="BT104" i="20" s="1"/>
  <c r="AY104" i="20"/>
  <c r="BM20" i="20"/>
  <c r="Z70" i="20"/>
  <c r="X26" i="20"/>
  <c r="Z26" i="20" s="1"/>
  <c r="AV26" i="20"/>
  <c r="AX26" i="20" s="1"/>
  <c r="AM26" i="20"/>
  <c r="AO26" i="20" s="1"/>
  <c r="BS26" i="20" s="1"/>
  <c r="AH26" i="20"/>
  <c r="AK26" i="20" s="1"/>
  <c r="BR26" i="20" s="1"/>
  <c r="AY26" i="20"/>
  <c r="AN149" i="20"/>
  <c r="AA149" i="20"/>
  <c r="AB149" i="20" s="1"/>
  <c r="AC149" i="20" s="1"/>
  <c r="AJ149" i="20"/>
  <c r="Y149" i="20"/>
  <c r="AD149" i="20"/>
  <c r="AE149" i="20" s="1"/>
  <c r="AF149" i="20" s="1"/>
  <c r="AY156" i="20"/>
  <c r="AQ156" i="20"/>
  <c r="AT156" i="20" s="1"/>
  <c r="BT156" i="20" s="1"/>
  <c r="AV156" i="20"/>
  <c r="AX156" i="20" s="1"/>
  <c r="BU156" i="20" s="1"/>
  <c r="AH156" i="20"/>
  <c r="AK156" i="20" s="1"/>
  <c r="BR156" i="20" s="1"/>
  <c r="X156" i="20"/>
  <c r="Z156" i="20" s="1"/>
  <c r="AD160" i="20"/>
  <c r="AE160" i="20" s="1"/>
  <c r="AF160" i="20" s="1"/>
  <c r="Y160" i="20"/>
  <c r="AJ160" i="20"/>
  <c r="AA160" i="20"/>
  <c r="AB160" i="20" s="1"/>
  <c r="AC160" i="20" s="1"/>
  <c r="AN160" i="20"/>
  <c r="AQ35" i="20"/>
  <c r="AT35" i="20" s="1"/>
  <c r="BC35" i="20"/>
  <c r="BV35" i="20" s="1"/>
  <c r="AX42" i="20"/>
  <c r="BP190" i="20"/>
  <c r="AY96" i="20"/>
  <c r="X96" i="20"/>
  <c r="AQ96" i="20"/>
  <c r="AT96" i="20" s="1"/>
  <c r="BT96" i="20" s="1"/>
  <c r="AH96" i="20"/>
  <c r="AV96" i="20"/>
  <c r="AX96" i="20" s="1"/>
  <c r="BU96" i="20" s="1"/>
  <c r="BP23" i="20"/>
  <c r="AS32" i="20"/>
  <c r="AA32" i="20"/>
  <c r="AB32" i="20" s="1"/>
  <c r="AC32" i="20" s="1"/>
  <c r="AW32" i="20"/>
  <c r="AX32" i="20" s="1"/>
  <c r="Y32" i="20"/>
  <c r="Z32" i="20" s="1"/>
  <c r="AD32" i="20"/>
  <c r="AE32" i="20" s="1"/>
  <c r="AF32" i="20" s="1"/>
  <c r="AN173" i="20"/>
  <c r="AA173" i="20"/>
  <c r="AB173" i="20" s="1"/>
  <c r="AC173" i="20" s="1"/>
  <c r="AJ173" i="20"/>
  <c r="AK173" i="20" s="1"/>
  <c r="BR173" i="20" s="1"/>
  <c r="Y173" i="20"/>
  <c r="Z173" i="20" s="1"/>
  <c r="AD173" i="20"/>
  <c r="AE173" i="20" s="1"/>
  <c r="AF173" i="20" s="1"/>
  <c r="AH27" i="20"/>
  <c r="AV27" i="20"/>
  <c r="AM27" i="20"/>
  <c r="AO27" i="20" s="1"/>
  <c r="BS27" i="20" s="1"/>
  <c r="AY27" i="20"/>
  <c r="X27" i="20"/>
  <c r="AM70" i="20"/>
  <c r="AO70" i="20" s="1"/>
  <c r="BS70" i="20" s="1"/>
  <c r="BC70" i="20"/>
  <c r="BV70" i="20" s="1"/>
  <c r="AY100" i="20"/>
  <c r="X100" i="20"/>
  <c r="Z100" i="20" s="1"/>
  <c r="AV100" i="20"/>
  <c r="AX100" i="20" s="1"/>
  <c r="BU100" i="20" s="1"/>
  <c r="AH100" i="20"/>
  <c r="AK100" i="20" s="1"/>
  <c r="BR100" i="20" s="1"/>
  <c r="AQ100" i="20"/>
  <c r="AT100" i="20" s="1"/>
  <c r="BT100" i="20" s="1"/>
  <c r="AM18" i="20"/>
  <c r="AO18" i="20" s="1"/>
  <c r="BS18" i="20" s="1"/>
  <c r="AY18" i="20"/>
  <c r="AH18" i="20"/>
  <c r="AK18" i="20" s="1"/>
  <c r="BR18" i="20" s="1"/>
  <c r="AV18" i="20"/>
  <c r="AX18" i="20" s="1"/>
  <c r="X18" i="20"/>
  <c r="Z18" i="20" s="1"/>
  <c r="Z176" i="20"/>
  <c r="AV170" i="20"/>
  <c r="AX170" i="20" s="1"/>
  <c r="BU170" i="20" s="1"/>
  <c r="AQ170" i="20"/>
  <c r="AT170" i="20" s="1"/>
  <c r="BT170" i="20" s="1"/>
  <c r="AH170" i="20"/>
  <c r="AK170" i="20" s="1"/>
  <c r="BR170" i="20" s="1"/>
  <c r="X170" i="20"/>
  <c r="Z170" i="20" s="1"/>
  <c r="AY170" i="20"/>
  <c r="AK134" i="20"/>
  <c r="AM196" i="20"/>
  <c r="AO196" i="20" s="1"/>
  <c r="BS196" i="20" s="1"/>
  <c r="BC196" i="20"/>
  <c r="BV196" i="20" s="1"/>
  <c r="AM190" i="20"/>
  <c r="AO190" i="20" s="1"/>
  <c r="BS190" i="20" s="1"/>
  <c r="BC190" i="20"/>
  <c r="BV190" i="20" s="1"/>
  <c r="AY149" i="20"/>
  <c r="AH149" i="20"/>
  <c r="X149" i="20"/>
  <c r="AQ149" i="20"/>
  <c r="AT149" i="20" s="1"/>
  <c r="BT149" i="20" s="1"/>
  <c r="AV149" i="20"/>
  <c r="AX149" i="20" s="1"/>
  <c r="BU149" i="20" s="1"/>
  <c r="Z123" i="20"/>
  <c r="AH175" i="20"/>
  <c r="AK175" i="20" s="1"/>
  <c r="BR175" i="20" s="1"/>
  <c r="X175" i="20"/>
  <c r="Z175" i="20" s="1"/>
  <c r="AY175" i="20"/>
  <c r="AQ175" i="20"/>
  <c r="AT175" i="20" s="1"/>
  <c r="BT175" i="20" s="1"/>
  <c r="AV175" i="20"/>
  <c r="AX175" i="20" s="1"/>
  <c r="BU175" i="20" s="1"/>
  <c r="AH37" i="20"/>
  <c r="AK37" i="20" s="1"/>
  <c r="BR37" i="20" s="1"/>
  <c r="X37" i="20"/>
  <c r="Z37" i="20" s="1"/>
  <c r="AM37" i="20"/>
  <c r="AO37" i="20" s="1"/>
  <c r="BS37" i="20" s="1"/>
  <c r="AV37" i="20"/>
  <c r="AX37" i="20" s="1"/>
  <c r="AY37" i="20"/>
  <c r="BM181" i="20"/>
  <c r="BC176" i="20"/>
  <c r="BV176" i="20" s="1"/>
  <c r="AM176" i="20"/>
  <c r="AO176" i="20" s="1"/>
  <c r="BS176" i="20" s="1"/>
  <c r="AV51" i="20"/>
  <c r="AQ51" i="20"/>
  <c r="X51" i="20"/>
  <c r="AH51" i="20"/>
  <c r="AK51" i="20" s="1"/>
  <c r="BR51" i="20" s="1"/>
  <c r="BP157" i="20"/>
  <c r="BC155" i="20"/>
  <c r="BV155" i="20" s="1"/>
  <c r="AM155" i="20"/>
  <c r="AO155" i="20" s="1"/>
  <c r="BS155" i="20" s="1"/>
  <c r="AK182" i="20"/>
  <c r="BR182" i="20" s="1"/>
  <c r="AQ164" i="20"/>
  <c r="AT164" i="20" s="1"/>
  <c r="BT164" i="20" s="1"/>
  <c r="AH164" i="20"/>
  <c r="AK164" i="20" s="1"/>
  <c r="BR164" i="20" s="1"/>
  <c r="AY164" i="20"/>
  <c r="AV164" i="20"/>
  <c r="AX164" i="20" s="1"/>
  <c r="BU164" i="20" s="1"/>
  <c r="X164" i="20"/>
  <c r="Z164" i="20" s="1"/>
  <c r="AW68" i="20"/>
  <c r="AX68" i="20" s="1"/>
  <c r="BU68" i="20" s="1"/>
  <c r="Y68" i="20"/>
  <c r="AN68" i="20"/>
  <c r="AO68" i="20" s="1"/>
  <c r="BS68" i="20" s="1"/>
  <c r="AA68" i="20"/>
  <c r="AB68" i="20" s="1"/>
  <c r="AC68" i="20" s="1"/>
  <c r="AD68" i="20"/>
  <c r="AE68" i="20" s="1"/>
  <c r="AF68" i="20" s="1"/>
  <c r="AJ68" i="20"/>
  <c r="AK68" i="20" s="1"/>
  <c r="BR68" i="20" s="1"/>
  <c r="AH195" i="20"/>
  <c r="AY195" i="20"/>
  <c r="AV195" i="20"/>
  <c r="AX195" i="20" s="1"/>
  <c r="BU195" i="20" s="1"/>
  <c r="AQ195" i="20"/>
  <c r="AT195" i="20" s="1"/>
  <c r="BT195" i="20" s="1"/>
  <c r="X195" i="20"/>
  <c r="Z195" i="20" s="1"/>
  <c r="Z202" i="20"/>
  <c r="AM173" i="20"/>
  <c r="BC173" i="20"/>
  <c r="BV173" i="20" s="1"/>
  <c r="BK159" i="20"/>
  <c r="BO159" i="20" s="1"/>
  <c r="BC46" i="20"/>
  <c r="BV46" i="20" s="1"/>
  <c r="BK113" i="20"/>
  <c r="BO113" i="20" s="1"/>
  <c r="AM47" i="20"/>
  <c r="AO47" i="20" s="1"/>
  <c r="BS47" i="20" s="1"/>
  <c r="BC47" i="20"/>
  <c r="BV47" i="20" s="1"/>
  <c r="BM89" i="20"/>
  <c r="BM151" i="20"/>
  <c r="Y14" i="30"/>
  <c r="B111" i="2"/>
  <c r="BM150" i="20"/>
  <c r="BM205" i="20"/>
  <c r="BM125" i="20"/>
  <c r="BK10" i="20"/>
  <c r="BO10" i="20" s="1"/>
  <c r="BM99" i="20"/>
  <c r="BK205" i="20"/>
  <c r="BO205" i="20" s="1"/>
  <c r="BM200" i="20"/>
  <c r="BM113" i="20"/>
  <c r="BM193" i="20"/>
  <c r="BQ20" i="20" l="1"/>
  <c r="BL46" i="20"/>
  <c r="AK44" i="20"/>
  <c r="BR44" i="20" s="1"/>
  <c r="AO30" i="20"/>
  <c r="BS30" i="20" s="1"/>
  <c r="BL48" i="20"/>
  <c r="AX112" i="20"/>
  <c r="BU112" i="20" s="1"/>
  <c r="AK112" i="20"/>
  <c r="BR112" i="20" s="1"/>
  <c r="BI22" i="20"/>
  <c r="BK22" i="20" s="1"/>
  <c r="BO22" i="20" s="1"/>
  <c r="AK30" i="20"/>
  <c r="BR30" i="20" s="1"/>
  <c r="BL61" i="20"/>
  <c r="BQ22" i="20"/>
  <c r="BQ34" i="20"/>
  <c r="AK15" i="20"/>
  <c r="BR15" i="20" s="1"/>
  <c r="Z46" i="20"/>
  <c r="AO77" i="21"/>
  <c r="BS77" i="21" s="1"/>
  <c r="AX97" i="21"/>
  <c r="AK27" i="20"/>
  <c r="BR27" i="20" s="1"/>
  <c r="AT73" i="20"/>
  <c r="BT73" i="20" s="1"/>
  <c r="BM50" i="20"/>
  <c r="AX107" i="21"/>
  <c r="BU107" i="21" s="1"/>
  <c r="BC77" i="21"/>
  <c r="BV77" i="21" s="1"/>
  <c r="AT72" i="20"/>
  <c r="BT72" i="20" s="1"/>
  <c r="Z27" i="20"/>
  <c r="AT36" i="20"/>
  <c r="BI36" i="20" s="1"/>
  <c r="BK36" i="20" s="1"/>
  <c r="BO36" i="20" s="1"/>
  <c r="BM12" i="20"/>
  <c r="BL27" i="21"/>
  <c r="AO107" i="21"/>
  <c r="BS107" i="21" s="1"/>
  <c r="AN18" i="21"/>
  <c r="AK72" i="20"/>
  <c r="BR72" i="20" s="1"/>
  <c r="BM40" i="20"/>
  <c r="BU40" i="20"/>
  <c r="BQ40" i="20"/>
  <c r="BL58" i="20"/>
  <c r="BL63" i="20"/>
  <c r="BM55" i="20"/>
  <c r="AP109" i="20"/>
  <c r="AQ109" i="20" s="1"/>
  <c r="AT109" i="20" s="1"/>
  <c r="BT109" i="20" s="1"/>
  <c r="Z110" i="20"/>
  <c r="BP110" i="20" s="1"/>
  <c r="AP19" i="21"/>
  <c r="AQ19" i="21" s="1"/>
  <c r="AL109" i="20"/>
  <c r="V109" i="20"/>
  <c r="W109" i="20"/>
  <c r="AU109" i="20"/>
  <c r="AV109" i="20" s="1"/>
  <c r="AG109" i="20"/>
  <c r="AH109" i="20" s="1"/>
  <c r="Z64" i="20"/>
  <c r="BP64" i="20" s="1"/>
  <c r="AO79" i="21"/>
  <c r="BS79" i="21" s="1"/>
  <c r="Z79" i="21"/>
  <c r="AT43" i="21"/>
  <c r="BL43" i="21" s="1"/>
  <c r="AO91" i="21"/>
  <c r="BS91" i="21" s="1"/>
  <c r="AX77" i="21"/>
  <c r="AK77" i="21"/>
  <c r="BR77" i="21" s="1"/>
  <c r="AG64" i="21"/>
  <c r="AH64" i="21" s="1"/>
  <c r="AK64" i="21" s="1"/>
  <c r="BR64" i="21" s="1"/>
  <c r="BI16" i="20"/>
  <c r="BK16" i="20" s="1"/>
  <c r="BO16" i="20" s="1"/>
  <c r="BI193" i="20"/>
  <c r="BI151" i="20"/>
  <c r="BK151" i="20" s="1"/>
  <c r="BO151" i="20" s="1"/>
  <c r="BI200" i="20"/>
  <c r="BK200" i="20" s="1"/>
  <c r="BO200" i="20" s="1"/>
  <c r="BI99" i="20"/>
  <c r="BK99" i="20" s="1"/>
  <c r="BO99" i="20" s="1"/>
  <c r="BI125" i="20"/>
  <c r="BP49" i="21"/>
  <c r="BP76" i="21"/>
  <c r="BP81" i="21"/>
  <c r="BP36" i="21"/>
  <c r="BP79" i="21"/>
  <c r="BP107" i="21"/>
  <c r="BP80" i="21"/>
  <c r="BP40" i="21"/>
  <c r="BQ81" i="21"/>
  <c r="BQ49" i="21"/>
  <c r="BQ36" i="21"/>
  <c r="BT77" i="21"/>
  <c r="BT36" i="21"/>
  <c r="BL36" i="21"/>
  <c r="BT81" i="21"/>
  <c r="BL81" i="21"/>
  <c r="BT76" i="21"/>
  <c r="BL76" i="21"/>
  <c r="BT49" i="21"/>
  <c r="BL49" i="21"/>
  <c r="BQ163" i="20"/>
  <c r="BS163" i="20"/>
  <c r="BQ35" i="20"/>
  <c r="BI197" i="20"/>
  <c r="BK197" i="20" s="1"/>
  <c r="BO197" i="20" s="1"/>
  <c r="BS197" i="20"/>
  <c r="BQ117" i="20"/>
  <c r="BS117" i="20"/>
  <c r="BQ83" i="20"/>
  <c r="BR83" i="20"/>
  <c r="BQ143" i="20"/>
  <c r="BR143" i="20"/>
  <c r="BQ148" i="20"/>
  <c r="BR148" i="20"/>
  <c r="BQ87" i="20"/>
  <c r="BQ127" i="20"/>
  <c r="BR127" i="20"/>
  <c r="BQ134" i="20"/>
  <c r="BR134" i="20"/>
  <c r="BQ181" i="20"/>
  <c r="BR181" i="20"/>
  <c r="BQ165" i="20"/>
  <c r="BQ169" i="20"/>
  <c r="BR169" i="20"/>
  <c r="BQ154" i="20"/>
  <c r="BR154" i="20"/>
  <c r="BQ89" i="20"/>
  <c r="BR89" i="20"/>
  <c r="BQ139" i="20"/>
  <c r="BR139" i="20"/>
  <c r="BQ86" i="20"/>
  <c r="BR86" i="20"/>
  <c r="BQ126" i="20"/>
  <c r="BR126" i="20"/>
  <c r="BQ123" i="20"/>
  <c r="BR123" i="20"/>
  <c r="BQ118" i="20"/>
  <c r="BR118" i="20"/>
  <c r="BQ59" i="20"/>
  <c r="BQ198" i="20"/>
  <c r="BQ42" i="20"/>
  <c r="BQ60" i="20"/>
  <c r="BQ131" i="20"/>
  <c r="BQ71" i="20"/>
  <c r="BQ191" i="20"/>
  <c r="BQ192" i="20"/>
  <c r="BQ48" i="20"/>
  <c r="BQ46" i="20"/>
  <c r="BQ76" i="20"/>
  <c r="BQ43" i="20"/>
  <c r="BQ190" i="20"/>
  <c r="BQ61" i="20"/>
  <c r="BQ52" i="20"/>
  <c r="BQ68" i="20"/>
  <c r="BQ188" i="20"/>
  <c r="BQ209" i="20"/>
  <c r="BQ180" i="20"/>
  <c r="BQ56" i="20"/>
  <c r="BQ174" i="20"/>
  <c r="BQ47" i="20"/>
  <c r="BQ206" i="20"/>
  <c r="BQ168" i="20"/>
  <c r="BQ12" i="20"/>
  <c r="BQ82" i="20"/>
  <c r="BQ128" i="20"/>
  <c r="BQ63" i="20"/>
  <c r="BQ65" i="20"/>
  <c r="BQ158" i="20"/>
  <c r="BQ70" i="20"/>
  <c r="BQ80" i="20"/>
  <c r="BQ204" i="20"/>
  <c r="BL208" i="20"/>
  <c r="BQ208" i="20"/>
  <c r="BQ199" i="20"/>
  <c r="BQ55" i="20"/>
  <c r="BQ29" i="20"/>
  <c r="BQ119" i="20"/>
  <c r="BQ53" i="20"/>
  <c r="BQ50" i="20"/>
  <c r="BQ171" i="20"/>
  <c r="BI23" i="20"/>
  <c r="BK23" i="20" s="1"/>
  <c r="BO23" i="20" s="1"/>
  <c r="BQ23" i="20"/>
  <c r="BQ66" i="20"/>
  <c r="BQ88" i="20"/>
  <c r="BQ69" i="20"/>
  <c r="BQ111" i="20"/>
  <c r="BQ145" i="20"/>
  <c r="BQ103" i="20"/>
  <c r="BL147" i="20"/>
  <c r="BQ147" i="20"/>
  <c r="BQ140" i="20"/>
  <c r="BQ155" i="20"/>
  <c r="BQ67" i="20"/>
  <c r="BQ142" i="20"/>
  <c r="BQ189" i="20"/>
  <c r="BQ114" i="20"/>
  <c r="BQ135" i="20"/>
  <c r="BQ79" i="20"/>
  <c r="BQ167" i="20"/>
  <c r="BQ49" i="20"/>
  <c r="BQ197" i="20"/>
  <c r="BQ85" i="20"/>
  <c r="BQ161" i="20"/>
  <c r="BQ152" i="20"/>
  <c r="BQ64" i="20"/>
  <c r="BQ77" i="20"/>
  <c r="BQ116" i="20"/>
  <c r="BQ203" i="20"/>
  <c r="BL13" i="20"/>
  <c r="BQ13" i="20"/>
  <c r="BQ186" i="20"/>
  <c r="BL98" i="20"/>
  <c r="BQ184" i="20"/>
  <c r="BQ207" i="20"/>
  <c r="BQ105" i="20"/>
  <c r="BQ201" i="20"/>
  <c r="BQ166" i="20"/>
  <c r="BQ132" i="20"/>
  <c r="BQ57" i="20"/>
  <c r="BQ176" i="20"/>
  <c r="BQ39" i="20"/>
  <c r="BQ75" i="20"/>
  <c r="BQ58" i="20"/>
  <c r="BQ178" i="20"/>
  <c r="BQ172" i="20"/>
  <c r="BQ24" i="20"/>
  <c r="BQ141" i="20"/>
  <c r="BQ196" i="20"/>
  <c r="BQ157" i="20"/>
  <c r="BQ106" i="20"/>
  <c r="BT35" i="20"/>
  <c r="BL35" i="20"/>
  <c r="BL199" i="20"/>
  <c r="BL108" i="20"/>
  <c r="BL127" i="20"/>
  <c r="BL88" i="20"/>
  <c r="BT65" i="20"/>
  <c r="BL65" i="20"/>
  <c r="BT57" i="20"/>
  <c r="BL57" i="20"/>
  <c r="BL69" i="20"/>
  <c r="BL111" i="20"/>
  <c r="BL145" i="20"/>
  <c r="BL103" i="20"/>
  <c r="BL9" i="20"/>
  <c r="BI206" i="20"/>
  <c r="BK206" i="20" s="1"/>
  <c r="BO206" i="20" s="1"/>
  <c r="BI132" i="20"/>
  <c r="BL80" i="20"/>
  <c r="BL68" i="20"/>
  <c r="BL100" i="20"/>
  <c r="BL104" i="20"/>
  <c r="BL133" i="20"/>
  <c r="BL189" i="20"/>
  <c r="BT42" i="20"/>
  <c r="BL42" i="20"/>
  <c r="BL114" i="20"/>
  <c r="BL135" i="20"/>
  <c r="BL79" i="20"/>
  <c r="BL167" i="20"/>
  <c r="BL143" i="20"/>
  <c r="BL179" i="20"/>
  <c r="BL148" i="20"/>
  <c r="BL170" i="20"/>
  <c r="BL204" i="20"/>
  <c r="BL175" i="20"/>
  <c r="BL116" i="20"/>
  <c r="BL203" i="20"/>
  <c r="BL186" i="20"/>
  <c r="BL194" i="20"/>
  <c r="BL184" i="20"/>
  <c r="BL207" i="20"/>
  <c r="BL105" i="20"/>
  <c r="BL70" i="20"/>
  <c r="BL164" i="20"/>
  <c r="BT40" i="20"/>
  <c r="BL40" i="20"/>
  <c r="BL121" i="20"/>
  <c r="BL126" i="20"/>
  <c r="BL75" i="20"/>
  <c r="BL178" i="20"/>
  <c r="BL181" i="20"/>
  <c r="BL176" i="20"/>
  <c r="BL153" i="20"/>
  <c r="BT33" i="20"/>
  <c r="BL33" i="20"/>
  <c r="BT39" i="20"/>
  <c r="BL39" i="20"/>
  <c r="BL182" i="20"/>
  <c r="BL134" i="20"/>
  <c r="BI70" i="20"/>
  <c r="BK70" i="20" s="1"/>
  <c r="BO70" i="20" s="1"/>
  <c r="BL36" i="20"/>
  <c r="BL136" i="20"/>
  <c r="BL185" i="20"/>
  <c r="BL144" i="20"/>
  <c r="BL112" i="20"/>
  <c r="BL28" i="20"/>
  <c r="BL202" i="20"/>
  <c r="BL123" i="20"/>
  <c r="BT60" i="20"/>
  <c r="BL60" i="20"/>
  <c r="BL154" i="20"/>
  <c r="BL130" i="20"/>
  <c r="BL20" i="20"/>
  <c r="BL169" i="20"/>
  <c r="BI169" i="20"/>
  <c r="BK169" i="20" s="1"/>
  <c r="BO169" i="20" s="1"/>
  <c r="BT56" i="20"/>
  <c r="BL56" i="20"/>
  <c r="BL129" i="20"/>
  <c r="BL83" i="20"/>
  <c r="BL158" i="20"/>
  <c r="BT64" i="20"/>
  <c r="BL64" i="20"/>
  <c r="BT31" i="20"/>
  <c r="BL31" i="20"/>
  <c r="BL131" i="20"/>
  <c r="BL71" i="20"/>
  <c r="BL191" i="20"/>
  <c r="BL192" i="20"/>
  <c r="BL89" i="20"/>
  <c r="BL139" i="20"/>
  <c r="BL86" i="20"/>
  <c r="BL107" i="20"/>
  <c r="BL66" i="20"/>
  <c r="BT47" i="20"/>
  <c r="BL47" i="20"/>
  <c r="BL118" i="20"/>
  <c r="BL137" i="20"/>
  <c r="BI34" i="20"/>
  <c r="BK34" i="20" s="1"/>
  <c r="BO34" i="20" s="1"/>
  <c r="BL34" i="20"/>
  <c r="BL173" i="20"/>
  <c r="BL156" i="20"/>
  <c r="BL138" i="20"/>
  <c r="BL77" i="20"/>
  <c r="BT23" i="20"/>
  <c r="BL23" i="20"/>
  <c r="BL188" i="20"/>
  <c r="BT17" i="20"/>
  <c r="BL17" i="20"/>
  <c r="BL187" i="20"/>
  <c r="BL209" i="20"/>
  <c r="BL180" i="20"/>
  <c r="BL174" i="20"/>
  <c r="BL76" i="20"/>
  <c r="BP83" i="20"/>
  <c r="BI83" i="20"/>
  <c r="BK83" i="20" s="1"/>
  <c r="BO83" i="20" s="1"/>
  <c r="BI176" i="20"/>
  <c r="BK176" i="20" s="1"/>
  <c r="BO176" i="20" s="1"/>
  <c r="BP32" i="20"/>
  <c r="BP121" i="20"/>
  <c r="BP77" i="20"/>
  <c r="BI77" i="20"/>
  <c r="BP85" i="20"/>
  <c r="BI85" i="20"/>
  <c r="BK85" i="20" s="1"/>
  <c r="BO85" i="20" s="1"/>
  <c r="BP186" i="20"/>
  <c r="BI186" i="20"/>
  <c r="BK186" i="20" s="1"/>
  <c r="BO186" i="20" s="1"/>
  <c r="BP189" i="20"/>
  <c r="BI189" i="20"/>
  <c r="BK189" i="20" s="1"/>
  <c r="BO189" i="20" s="1"/>
  <c r="BP115" i="20"/>
  <c r="BP61" i="20"/>
  <c r="BI61" i="20"/>
  <c r="BK61" i="20" s="1"/>
  <c r="BO61" i="20" s="1"/>
  <c r="BP9" i="20"/>
  <c r="BI9" i="20"/>
  <c r="BK9" i="20" s="1"/>
  <c r="BO9" i="20" s="1"/>
  <c r="B507" i="2" s="1"/>
  <c r="BI119" i="20"/>
  <c r="BK119" i="20" s="1"/>
  <c r="BO119" i="20" s="1"/>
  <c r="BI28" i="20"/>
  <c r="BK28" i="20" s="1"/>
  <c r="BO28" i="20" s="1"/>
  <c r="BI166" i="20"/>
  <c r="BI157" i="20"/>
  <c r="BK157" i="20" s="1"/>
  <c r="BO157" i="20" s="1"/>
  <c r="BP37" i="20"/>
  <c r="BP179" i="20"/>
  <c r="BP195" i="20"/>
  <c r="BP18" i="20"/>
  <c r="BP26" i="20"/>
  <c r="BP137" i="20"/>
  <c r="BP188" i="20"/>
  <c r="BP79" i="20"/>
  <c r="BI79" i="20"/>
  <c r="BK79" i="20" s="1"/>
  <c r="BO79" i="20" s="1"/>
  <c r="BP203" i="20"/>
  <c r="BI203" i="20"/>
  <c r="BK203" i="20" s="1"/>
  <c r="BO203" i="20" s="1"/>
  <c r="BP49" i="20"/>
  <c r="BI49" i="20"/>
  <c r="BK49" i="20" s="1"/>
  <c r="BO49" i="20" s="1"/>
  <c r="BP118" i="20"/>
  <c r="BI118" i="20"/>
  <c r="BK118" i="20" s="1"/>
  <c r="BO118" i="20" s="1"/>
  <c r="BP145" i="20"/>
  <c r="BI145" i="20"/>
  <c r="BK145" i="20" s="1"/>
  <c r="BO145" i="20" s="1"/>
  <c r="BP71" i="20"/>
  <c r="BI71" i="20"/>
  <c r="BK71" i="20" s="1"/>
  <c r="BO71" i="20" s="1"/>
  <c r="BP89" i="20"/>
  <c r="BI89" i="20"/>
  <c r="BI141" i="20"/>
  <c r="BK141" i="20" s="1"/>
  <c r="BO141" i="20" s="1"/>
  <c r="BI172" i="20"/>
  <c r="BK172" i="20" s="1"/>
  <c r="BO172" i="20" s="1"/>
  <c r="BI198" i="20"/>
  <c r="BK198" i="20" s="1"/>
  <c r="BO198" i="20" s="1"/>
  <c r="BI161" i="20"/>
  <c r="BK161" i="20" s="1"/>
  <c r="BO161" i="20" s="1"/>
  <c r="BI40" i="20"/>
  <c r="BK40" i="20" s="1"/>
  <c r="BO40" i="20" s="1"/>
  <c r="BI24" i="20"/>
  <c r="BK24" i="20" s="1"/>
  <c r="BO24" i="20" s="1"/>
  <c r="BP88" i="20"/>
  <c r="BI88" i="20"/>
  <c r="BP75" i="20"/>
  <c r="BI75" i="20"/>
  <c r="BK75" i="20" s="1"/>
  <c r="BO75" i="20" s="1"/>
  <c r="BP14" i="20"/>
  <c r="BP19" i="20"/>
  <c r="BP178" i="20"/>
  <c r="BI178" i="20"/>
  <c r="BK178" i="20" s="1"/>
  <c r="BO178" i="20" s="1"/>
  <c r="BP154" i="20"/>
  <c r="BP55" i="20"/>
  <c r="BI55" i="20"/>
  <c r="BK55" i="20" s="1"/>
  <c r="BO55" i="20" s="1"/>
  <c r="BP47" i="20"/>
  <c r="BI47" i="20"/>
  <c r="BK47" i="20" s="1"/>
  <c r="BO47" i="20" s="1"/>
  <c r="BP192" i="20"/>
  <c r="BI192" i="20"/>
  <c r="BK192" i="20" s="1"/>
  <c r="BO192" i="20" s="1"/>
  <c r="BP147" i="20"/>
  <c r="BP174" i="20"/>
  <c r="BI174" i="20"/>
  <c r="BK174" i="20" s="1"/>
  <c r="BO174" i="20" s="1"/>
  <c r="BP87" i="20"/>
  <c r="BI87" i="20"/>
  <c r="BK87" i="20" s="1"/>
  <c r="BO87" i="20" s="1"/>
  <c r="BP76" i="20"/>
  <c r="BI76" i="20"/>
  <c r="BK76" i="20" s="1"/>
  <c r="BO76" i="20" s="1"/>
  <c r="BI190" i="20"/>
  <c r="BK190" i="20" s="1"/>
  <c r="BO190" i="20" s="1"/>
  <c r="BI13" i="20"/>
  <c r="BK13" i="20" s="1"/>
  <c r="BO13" i="20" s="1"/>
  <c r="BI155" i="20"/>
  <c r="BK155" i="20" s="1"/>
  <c r="BO155" i="20" s="1"/>
  <c r="BP25" i="20"/>
  <c r="BP86" i="20"/>
  <c r="BI86" i="20"/>
  <c r="BK86" i="20" s="1"/>
  <c r="BO86" i="20" s="1"/>
  <c r="BP129" i="20"/>
  <c r="BP46" i="20"/>
  <c r="BI46" i="20"/>
  <c r="BK46" i="20" s="1"/>
  <c r="BO46" i="20" s="1"/>
  <c r="BP194" i="20"/>
  <c r="BP42" i="20"/>
  <c r="BP80" i="20"/>
  <c r="BI80" i="20"/>
  <c r="BK80" i="20" s="1"/>
  <c r="BO80" i="20" s="1"/>
  <c r="BP65" i="20"/>
  <c r="BI65" i="20"/>
  <c r="BK65" i="20" s="1"/>
  <c r="BO65" i="20" s="1"/>
  <c r="BP142" i="20"/>
  <c r="BI142" i="20"/>
  <c r="BK142" i="20" s="1"/>
  <c r="BO142" i="20" s="1"/>
  <c r="BP180" i="20"/>
  <c r="BI180" i="20"/>
  <c r="BP43" i="20"/>
  <c r="BI43" i="20"/>
  <c r="BK43" i="20" s="1"/>
  <c r="BO43" i="20" s="1"/>
  <c r="BP209" i="20"/>
  <c r="BP158" i="20"/>
  <c r="BI158" i="20"/>
  <c r="BK158" i="20" s="1"/>
  <c r="BO158" i="20" s="1"/>
  <c r="BP139" i="20"/>
  <c r="BI139" i="20"/>
  <c r="BK139" i="20" s="1"/>
  <c r="BO139" i="20" s="1"/>
  <c r="BP69" i="20"/>
  <c r="BI69" i="20"/>
  <c r="BK69" i="20" s="1"/>
  <c r="BO69" i="20" s="1"/>
  <c r="BP181" i="20"/>
  <c r="BI181" i="20"/>
  <c r="BK181" i="20" s="1"/>
  <c r="BO181" i="20" s="1"/>
  <c r="BP66" i="20"/>
  <c r="BI66" i="20"/>
  <c r="BK66" i="20" s="1"/>
  <c r="BO66" i="20" s="1"/>
  <c r="BI196" i="20"/>
  <c r="BI57" i="20"/>
  <c r="BK57" i="20" s="1"/>
  <c r="BO57" i="20" s="1"/>
  <c r="BI152" i="20"/>
  <c r="BK152" i="20" s="1"/>
  <c r="BO152" i="20" s="1"/>
  <c r="BI128" i="20"/>
  <c r="BK128" i="20" s="1"/>
  <c r="BO128" i="20" s="1"/>
  <c r="BI63" i="20"/>
  <c r="BK63" i="20" s="1"/>
  <c r="BO63" i="20" s="1"/>
  <c r="BI140" i="20"/>
  <c r="BK140" i="20" s="1"/>
  <c r="BO140" i="20" s="1"/>
  <c r="BI127" i="20"/>
  <c r="BK127" i="20" s="1"/>
  <c r="BO127" i="20" s="1"/>
  <c r="BP116" i="20"/>
  <c r="BP134" i="20"/>
  <c r="BI134" i="20"/>
  <c r="BK134" i="20" s="1"/>
  <c r="BO134" i="20" s="1"/>
  <c r="BP175" i="20"/>
  <c r="BP170" i="20"/>
  <c r="BP67" i="20"/>
  <c r="BI67" i="20"/>
  <c r="BK67" i="20" s="1"/>
  <c r="BO67" i="20" s="1"/>
  <c r="BP53" i="20"/>
  <c r="BI53" i="20"/>
  <c r="BK53" i="20" s="1"/>
  <c r="BO53" i="20" s="1"/>
  <c r="BP114" i="20"/>
  <c r="BP12" i="20"/>
  <c r="BP191" i="20"/>
  <c r="BI191" i="20"/>
  <c r="BK191" i="20" s="1"/>
  <c r="BO191" i="20" s="1"/>
  <c r="BP59" i="20"/>
  <c r="BI59" i="20"/>
  <c r="BK59" i="20" s="1"/>
  <c r="BO59" i="20" s="1"/>
  <c r="BP33" i="20"/>
  <c r="BI33" i="20"/>
  <c r="BK33" i="20" s="1"/>
  <c r="BO33" i="20" s="1"/>
  <c r="BI165" i="20"/>
  <c r="BK165" i="20" s="1"/>
  <c r="BO165" i="20" s="1"/>
  <c r="BP187" i="20"/>
  <c r="BP207" i="20"/>
  <c r="BI207" i="20"/>
  <c r="BK207" i="20" s="1"/>
  <c r="BO207" i="20" s="1"/>
  <c r="BP27" i="20"/>
  <c r="BP29" i="20"/>
  <c r="BI29" i="20"/>
  <c r="BK29" i="20" s="1"/>
  <c r="BO29" i="20" s="1"/>
  <c r="BP130" i="20"/>
  <c r="BP39" i="20"/>
  <c r="BI39" i="20"/>
  <c r="BP17" i="20"/>
  <c r="BI17" i="20"/>
  <c r="BK17" i="20" s="1"/>
  <c r="BO17" i="20" s="1"/>
  <c r="BP163" i="20"/>
  <c r="BI163" i="20"/>
  <c r="BK163" i="20" s="1"/>
  <c r="BO163" i="20" s="1"/>
  <c r="BP204" i="20"/>
  <c r="BP168" i="20"/>
  <c r="BI168" i="20"/>
  <c r="BK168" i="20" s="1"/>
  <c r="BO168" i="20" s="1"/>
  <c r="BI201" i="20"/>
  <c r="BK201" i="20" s="1"/>
  <c r="BO201" i="20" s="1"/>
  <c r="BI106" i="20"/>
  <c r="BK106" i="20" s="1"/>
  <c r="BO106" i="20" s="1"/>
  <c r="BI131" i="20"/>
  <c r="BI111" i="20"/>
  <c r="BK111" i="20" s="1"/>
  <c r="BO111" i="20" s="1"/>
  <c r="BI20" i="20"/>
  <c r="BK20" i="20" s="1"/>
  <c r="BO20" i="20" s="1"/>
  <c r="BI31" i="20"/>
  <c r="BK31" i="20" s="1"/>
  <c r="BO31" i="20" s="1"/>
  <c r="BI103" i="20"/>
  <c r="BK103" i="20" s="1"/>
  <c r="BO103" i="20" s="1"/>
  <c r="BI171" i="20"/>
  <c r="BK171" i="20" s="1"/>
  <c r="BO171" i="20" s="1"/>
  <c r="BP104" i="20"/>
  <c r="BP136" i="20"/>
  <c r="BP35" i="20"/>
  <c r="BI35" i="20"/>
  <c r="BK35" i="20" s="1"/>
  <c r="BO35" i="20" s="1"/>
  <c r="BP107" i="20"/>
  <c r="BP153" i="20"/>
  <c r="BP52" i="20"/>
  <c r="BI52" i="20"/>
  <c r="BK52" i="20" s="1"/>
  <c r="BO52" i="20" s="1"/>
  <c r="BP126" i="20"/>
  <c r="BI126" i="20"/>
  <c r="BK126" i="20" s="1"/>
  <c r="BO126" i="20" s="1"/>
  <c r="BP135" i="20"/>
  <c r="BI135" i="20"/>
  <c r="BK135" i="20" s="1"/>
  <c r="BO135" i="20" s="1"/>
  <c r="BP117" i="20"/>
  <c r="BI117" i="20"/>
  <c r="BK117" i="20" s="1"/>
  <c r="BO117" i="20" s="1"/>
  <c r="BP167" i="20"/>
  <c r="BI167" i="20"/>
  <c r="BK167" i="20" s="1"/>
  <c r="BO167" i="20" s="1"/>
  <c r="BP208" i="20"/>
  <c r="BI208" i="20"/>
  <c r="BK208" i="20" s="1"/>
  <c r="BO208" i="20" s="1"/>
  <c r="BP199" i="20"/>
  <c r="BI199" i="20"/>
  <c r="BK199" i="20" s="1"/>
  <c r="BO199" i="20" s="1"/>
  <c r="BP58" i="20"/>
  <c r="BI58" i="20"/>
  <c r="BK58" i="20" s="1"/>
  <c r="BO58" i="20" s="1"/>
  <c r="BP184" i="20"/>
  <c r="BI184" i="20"/>
  <c r="BK184" i="20" s="1"/>
  <c r="BO184" i="20" s="1"/>
  <c r="BP105" i="20"/>
  <c r="BI105" i="20"/>
  <c r="BK105" i="20" s="1"/>
  <c r="BO105" i="20" s="1"/>
  <c r="BP148" i="20"/>
  <c r="BI148" i="20"/>
  <c r="BK148" i="20" s="1"/>
  <c r="BO148" i="20" s="1"/>
  <c r="BP82" i="20"/>
  <c r="BI82" i="20"/>
  <c r="BK82" i="20" s="1"/>
  <c r="BO82" i="20" s="1"/>
  <c r="BP74" i="20"/>
  <c r="BI74" i="20"/>
  <c r="BK74" i="20" s="1"/>
  <c r="BO74" i="20" s="1"/>
  <c r="BP50" i="20"/>
  <c r="BI50" i="20"/>
  <c r="BK50" i="20" s="1"/>
  <c r="BO50" i="20" s="1"/>
  <c r="AK83" i="21"/>
  <c r="BR83" i="21" s="1"/>
  <c r="Z21" i="21"/>
  <c r="AT10" i="21"/>
  <c r="AK26" i="21"/>
  <c r="BR26" i="21" s="1"/>
  <c r="BC40" i="21"/>
  <c r="BV40" i="21" s="1"/>
  <c r="AT91" i="21"/>
  <c r="AX40" i="21"/>
  <c r="BU40" i="21" s="1"/>
  <c r="AK10" i="21"/>
  <c r="BR10" i="21" s="1"/>
  <c r="AO23" i="21"/>
  <c r="BS23" i="21" s="1"/>
  <c r="Z68" i="20"/>
  <c r="Z56" i="20"/>
  <c r="AT40" i="21"/>
  <c r="AK40" i="21"/>
  <c r="BR40" i="21" s="1"/>
  <c r="AT97" i="21"/>
  <c r="BQ97" i="21" s="1"/>
  <c r="Z97" i="21"/>
  <c r="BC97" i="21"/>
  <c r="BV97" i="21" s="1"/>
  <c r="AT23" i="21"/>
  <c r="BL23" i="21" s="1"/>
  <c r="AO47" i="21"/>
  <c r="BS47" i="21" s="1"/>
  <c r="AT70" i="21"/>
  <c r="BL70" i="21" s="1"/>
  <c r="BC47" i="21"/>
  <c r="BV47" i="21" s="1"/>
  <c r="AT47" i="21"/>
  <c r="BC91" i="21"/>
  <c r="BV91" i="21" s="1"/>
  <c r="AK37" i="21"/>
  <c r="BR37" i="21" s="1"/>
  <c r="AK25" i="21"/>
  <c r="BR25" i="21" s="1"/>
  <c r="AX45" i="21"/>
  <c r="BU45" i="21" s="1"/>
  <c r="AK47" i="21"/>
  <c r="BR47" i="21" s="1"/>
  <c r="AX24" i="21"/>
  <c r="BU24" i="21" s="1"/>
  <c r="BM87" i="20"/>
  <c r="AK45" i="21"/>
  <c r="BR45" i="21" s="1"/>
  <c r="AK12" i="21"/>
  <c r="BR12" i="21" s="1"/>
  <c r="AK24" i="21"/>
  <c r="BR24" i="21" s="1"/>
  <c r="AK69" i="21"/>
  <c r="BR69" i="21" s="1"/>
  <c r="BT50" i="20"/>
  <c r="AW88" i="21"/>
  <c r="AX88" i="21" s="1"/>
  <c r="BU88" i="21" s="1"/>
  <c r="AJ88" i="21"/>
  <c r="AK88" i="21" s="1"/>
  <c r="BR88" i="21" s="1"/>
  <c r="AA68" i="21"/>
  <c r="AB68" i="21" s="1"/>
  <c r="AC68" i="21" s="1"/>
  <c r="AJ68" i="21"/>
  <c r="AK68" i="21" s="1"/>
  <c r="BR68" i="21" s="1"/>
  <c r="AW104" i="21"/>
  <c r="AJ104" i="21"/>
  <c r="Y19" i="21"/>
  <c r="AJ19" i="21"/>
  <c r="AA61" i="21"/>
  <c r="AB61" i="21" s="1"/>
  <c r="AC61" i="21" s="1"/>
  <c r="AJ61" i="21"/>
  <c r="AS39" i="21"/>
  <c r="AJ39" i="21"/>
  <c r="AK39" i="21" s="1"/>
  <c r="BR39" i="21" s="1"/>
  <c r="Y31" i="21"/>
  <c r="Z31" i="21" s="1"/>
  <c r="AJ31" i="21"/>
  <c r="AK31" i="21" s="1"/>
  <c r="BR31" i="21" s="1"/>
  <c r="AW106" i="21"/>
  <c r="AX106" i="21" s="1"/>
  <c r="BU106" i="21" s="1"/>
  <c r="AJ106" i="21"/>
  <c r="AK106" i="21" s="1"/>
  <c r="BR106" i="21" s="1"/>
  <c r="AD71" i="21"/>
  <c r="AE71" i="21" s="1"/>
  <c r="AF71" i="21" s="1"/>
  <c r="AJ71" i="21"/>
  <c r="AW18" i="21"/>
  <c r="AJ18" i="21"/>
  <c r="AA65" i="21"/>
  <c r="AB65" i="21" s="1"/>
  <c r="AC65" i="21" s="1"/>
  <c r="AJ65" i="21"/>
  <c r="Y63" i="21"/>
  <c r="Z63" i="21" s="1"/>
  <c r="AJ63" i="21"/>
  <c r="AK63" i="21" s="1"/>
  <c r="BR63" i="21" s="1"/>
  <c r="Y53" i="21"/>
  <c r="AJ53" i="21"/>
  <c r="AS9" i="21"/>
  <c r="AT9" i="21" s="1"/>
  <c r="AJ9" i="21"/>
  <c r="AT26" i="21"/>
  <c r="AW20" i="21"/>
  <c r="AX20" i="21" s="1"/>
  <c r="BU20" i="21" s="1"/>
  <c r="AJ20" i="21"/>
  <c r="AK20" i="21" s="1"/>
  <c r="BR20" i="21" s="1"/>
  <c r="AA56" i="21"/>
  <c r="AB56" i="21" s="1"/>
  <c r="AC56" i="21" s="1"/>
  <c r="AJ56" i="21"/>
  <c r="AX94" i="21"/>
  <c r="AA11" i="21"/>
  <c r="AB11" i="21" s="1"/>
  <c r="AC11" i="21" s="1"/>
  <c r="AJ11" i="21"/>
  <c r="AK11" i="21" s="1"/>
  <c r="BR11" i="21" s="1"/>
  <c r="AN41" i="21"/>
  <c r="AJ41" i="21"/>
  <c r="AN96" i="21"/>
  <c r="AO96" i="21" s="1"/>
  <c r="BS96" i="21" s="1"/>
  <c r="AJ96" i="21"/>
  <c r="AK96" i="21" s="1"/>
  <c r="BR96" i="21" s="1"/>
  <c r="AD57" i="21"/>
  <c r="AE57" i="21" s="1"/>
  <c r="AF57" i="21" s="1"/>
  <c r="AJ57" i="21"/>
  <c r="AW33" i="21"/>
  <c r="AJ33" i="21"/>
  <c r="AJ52" i="21"/>
  <c r="AK52" i="21" s="1"/>
  <c r="BR52" i="21" s="1"/>
  <c r="AN52" i="21"/>
  <c r="AO52" i="21" s="1"/>
  <c r="BS52" i="21" s="1"/>
  <c r="X19" i="21"/>
  <c r="AU33" i="21"/>
  <c r="AV33" i="21" s="1"/>
  <c r="AA71" i="21"/>
  <c r="AB71" i="21" s="1"/>
  <c r="AC71" i="21" s="1"/>
  <c r="AU64" i="21"/>
  <c r="AV64" i="21" s="1"/>
  <c r="Y18" i="21"/>
  <c r="AP33" i="21"/>
  <c r="AQ33" i="21" s="1"/>
  <c r="AW71" i="21"/>
  <c r="AL64" i="21"/>
  <c r="AM64" i="21" s="1"/>
  <c r="AD18" i="21"/>
  <c r="AE18" i="21" s="1"/>
  <c r="AF18" i="21" s="1"/>
  <c r="BC49" i="21"/>
  <c r="BV49" i="21" s="1"/>
  <c r="AL33" i="21"/>
  <c r="AM33" i="21" s="1"/>
  <c r="X33" i="21"/>
  <c r="Y71" i="21"/>
  <c r="Z71" i="21" s="1"/>
  <c r="AS71" i="21"/>
  <c r="AG33" i="21"/>
  <c r="AH33" i="21" s="1"/>
  <c r="AP64" i="21"/>
  <c r="AQ64" i="21" s="1"/>
  <c r="AS18" i="21"/>
  <c r="AK62" i="21"/>
  <c r="BR62" i="21" s="1"/>
  <c r="AO43" i="21"/>
  <c r="BM43" i="21" s="1"/>
  <c r="AX98" i="20"/>
  <c r="BU98" i="20" s="1"/>
  <c r="AY13" i="21"/>
  <c r="BC36" i="21"/>
  <c r="BV36" i="21" s="1"/>
  <c r="AX83" i="21"/>
  <c r="AT94" i="21"/>
  <c r="AP60" i="21"/>
  <c r="AQ60" i="21" s="1"/>
  <c r="AT60" i="21" s="1"/>
  <c r="BM82" i="20"/>
  <c r="AA19" i="21"/>
  <c r="AB19" i="21" s="1"/>
  <c r="AC19" i="21" s="1"/>
  <c r="X64" i="21"/>
  <c r="AY14" i="21"/>
  <c r="Z72" i="20"/>
  <c r="AP14" i="21"/>
  <c r="AQ14" i="21" s="1"/>
  <c r="AT14" i="21" s="1"/>
  <c r="AW31" i="21"/>
  <c r="AX31" i="21" s="1"/>
  <c r="BU31" i="21" s="1"/>
  <c r="Z47" i="21"/>
  <c r="AW65" i="21"/>
  <c r="Z10" i="21"/>
  <c r="AD53" i="21"/>
  <c r="AE53" i="21" s="1"/>
  <c r="AF53" i="21" s="1"/>
  <c r="AT25" i="21"/>
  <c r="X75" i="21"/>
  <c r="Z75" i="21" s="1"/>
  <c r="AX21" i="21"/>
  <c r="BU21" i="21" s="1"/>
  <c r="Z69" i="21"/>
  <c r="AP90" i="21"/>
  <c r="AQ90" i="21" s="1"/>
  <c r="AT90" i="21" s="1"/>
  <c r="AG19" i="21"/>
  <c r="AH19" i="21" s="1"/>
  <c r="AU90" i="21"/>
  <c r="AV90" i="21" s="1"/>
  <c r="AX90" i="21" s="1"/>
  <c r="BU90" i="21" s="1"/>
  <c r="AL19" i="21"/>
  <c r="AM19" i="21" s="1"/>
  <c r="AO19" i="21" s="1"/>
  <c r="BS19" i="21" s="1"/>
  <c r="BC43" i="21"/>
  <c r="BV43" i="21" s="1"/>
  <c r="AU19" i="21"/>
  <c r="AV19" i="21" s="1"/>
  <c r="AY60" i="21"/>
  <c r="AS33" i="21"/>
  <c r="BC23" i="21"/>
  <c r="BV23" i="21" s="1"/>
  <c r="AL60" i="21"/>
  <c r="AM60" i="21" s="1"/>
  <c r="AO60" i="21" s="1"/>
  <c r="BS60" i="21" s="1"/>
  <c r="AG75" i="21"/>
  <c r="AH75" i="21" s="1"/>
  <c r="AK75" i="21" s="1"/>
  <c r="BR75" i="21" s="1"/>
  <c r="AO82" i="21"/>
  <c r="BS82" i="21" s="1"/>
  <c r="AU60" i="21"/>
  <c r="AV60" i="21" s="1"/>
  <c r="AX60" i="21" s="1"/>
  <c r="AD9" i="21"/>
  <c r="AE9" i="21" s="1"/>
  <c r="AF9" i="21" s="1"/>
  <c r="Y52" i="21"/>
  <c r="Z52" i="21" s="1"/>
  <c r="AD52" i="21"/>
  <c r="AE52" i="21" s="1"/>
  <c r="AF52" i="21" s="1"/>
  <c r="AS52" i="21"/>
  <c r="AT52" i="21" s="1"/>
  <c r="AW52" i="21"/>
  <c r="AX52" i="21" s="1"/>
  <c r="BU52" i="21" s="1"/>
  <c r="AA52" i="21"/>
  <c r="AB52" i="21" s="1"/>
  <c r="AC52" i="21" s="1"/>
  <c r="AO75" i="21"/>
  <c r="BS75" i="21" s="1"/>
  <c r="AP75" i="21"/>
  <c r="AQ75" i="21" s="1"/>
  <c r="AT75" i="21" s="1"/>
  <c r="X60" i="21"/>
  <c r="Z60" i="21" s="1"/>
  <c r="BU49" i="21"/>
  <c r="BM49" i="21"/>
  <c r="BU26" i="21"/>
  <c r="AL90" i="21"/>
  <c r="AO40" i="21"/>
  <c r="BS40" i="21" s="1"/>
  <c r="X90" i="21"/>
  <c r="Z90" i="21" s="1"/>
  <c r="AG90" i="21"/>
  <c r="AH90" i="21" s="1"/>
  <c r="AK90" i="21" s="1"/>
  <c r="BR90" i="21" s="1"/>
  <c r="AY98" i="21"/>
  <c r="BM168" i="20"/>
  <c r="Y56" i="21"/>
  <c r="AW56" i="21"/>
  <c r="Y104" i="21"/>
  <c r="AS56" i="21"/>
  <c r="AD56" i="21"/>
  <c r="AE56" i="21" s="1"/>
  <c r="AF56" i="21" s="1"/>
  <c r="BM36" i="21"/>
  <c r="AP41" i="21"/>
  <c r="AQ41" i="21" s="1"/>
  <c r="AL103" i="21"/>
  <c r="AM103" i="21" s="1"/>
  <c r="AG100" i="21"/>
  <c r="AH100" i="21" s="1"/>
  <c r="AK100" i="21" s="1"/>
  <c r="BR100" i="21" s="1"/>
  <c r="AL41" i="21"/>
  <c r="AM41" i="21" s="1"/>
  <c r="AG103" i="21"/>
  <c r="AH103" i="21" s="1"/>
  <c r="AK103" i="21" s="1"/>
  <c r="BR103" i="21" s="1"/>
  <c r="AG41" i="21"/>
  <c r="AH41" i="21" s="1"/>
  <c r="AX94" i="20"/>
  <c r="BU94" i="20" s="1"/>
  <c r="X41" i="21"/>
  <c r="AS106" i="21"/>
  <c r="AT106" i="21" s="1"/>
  <c r="AA106" i="21"/>
  <c r="AB106" i="21" s="1"/>
  <c r="AC106" i="21" s="1"/>
  <c r="Z92" i="21"/>
  <c r="Y106" i="21"/>
  <c r="Z106" i="21" s="1"/>
  <c r="AW19" i="21"/>
  <c r="AD61" i="21"/>
  <c r="AE61" i="21" s="1"/>
  <c r="AF61" i="21" s="1"/>
  <c r="AD19" i="21"/>
  <c r="AE19" i="21" s="1"/>
  <c r="AF19" i="21" s="1"/>
  <c r="Y61" i="21"/>
  <c r="AA104" i="21"/>
  <c r="AB104" i="21" s="1"/>
  <c r="AC104" i="21" s="1"/>
  <c r="AL89" i="21"/>
  <c r="AM89" i="21" s="1"/>
  <c r="AO89" i="21" s="1"/>
  <c r="BS89" i="21" s="1"/>
  <c r="Y9" i="21"/>
  <c r="Z77" i="21"/>
  <c r="AS19" i="21"/>
  <c r="AT19" i="21" s="1"/>
  <c r="AP89" i="21"/>
  <c r="AL16" i="21"/>
  <c r="AM16" i="21" s="1"/>
  <c r="AA9" i="21"/>
  <c r="AB9" i="21" s="1"/>
  <c r="AC9" i="21" s="1"/>
  <c r="X103" i="21"/>
  <c r="AT83" i="21"/>
  <c r="AY89" i="21"/>
  <c r="X16" i="21"/>
  <c r="AD106" i="21"/>
  <c r="AE106" i="21" s="1"/>
  <c r="AF106" i="21" s="1"/>
  <c r="AW61" i="21"/>
  <c r="AP16" i="21"/>
  <c r="AQ16" i="21" s="1"/>
  <c r="AO92" i="21"/>
  <c r="BS92" i="21" s="1"/>
  <c r="AP103" i="21"/>
  <c r="AQ103" i="21" s="1"/>
  <c r="AS61" i="21"/>
  <c r="AG16" i="21"/>
  <c r="AH16" i="21" s="1"/>
  <c r="AK16" i="21" s="1"/>
  <c r="BR16" i="21" s="1"/>
  <c r="AW9" i="21"/>
  <c r="AX9" i="21" s="1"/>
  <c r="AU41" i="21"/>
  <c r="AV41" i="21" s="1"/>
  <c r="AU103" i="21"/>
  <c r="AV103" i="21" s="1"/>
  <c r="AY16" i="21"/>
  <c r="AK60" i="21"/>
  <c r="BR60" i="21" s="1"/>
  <c r="AK42" i="21"/>
  <c r="BR42" i="21" s="1"/>
  <c r="Z26" i="21"/>
  <c r="BU47" i="21"/>
  <c r="AU93" i="21"/>
  <c r="AV93" i="21" s="1"/>
  <c r="AY93" i="21"/>
  <c r="X100" i="21"/>
  <c r="Z100" i="21" s="1"/>
  <c r="Y65" i="21"/>
  <c r="AL58" i="21"/>
  <c r="AM58" i="21" s="1"/>
  <c r="AY58" i="21"/>
  <c r="AK89" i="21"/>
  <c r="BR89" i="21" s="1"/>
  <c r="BC22" i="21"/>
  <c r="BV22" i="21" s="1"/>
  <c r="AP100" i="21"/>
  <c r="AQ100" i="21" s="1"/>
  <c r="AT100" i="21" s="1"/>
  <c r="AA53" i="21"/>
  <c r="AB53" i="21" s="1"/>
  <c r="AC53" i="21" s="1"/>
  <c r="X9" i="21"/>
  <c r="AY9" i="21"/>
  <c r="AX37" i="21"/>
  <c r="BU37" i="21" s="1"/>
  <c r="AQ107" i="21"/>
  <c r="AT107" i="21" s="1"/>
  <c r="BL107" i="21" s="1"/>
  <c r="BC107" i="21"/>
  <c r="BV107" i="21" s="1"/>
  <c r="AU100" i="21"/>
  <c r="AV100" i="21" s="1"/>
  <c r="AX100" i="21" s="1"/>
  <c r="AS53" i="21"/>
  <c r="AG9" i="21"/>
  <c r="AH9" i="21" s="1"/>
  <c r="AL100" i="21"/>
  <c r="AM100" i="21" s="1"/>
  <c r="AO100" i="21" s="1"/>
  <c r="BS100" i="21" s="1"/>
  <c r="AW53" i="21"/>
  <c r="AD65" i="21"/>
  <c r="AE65" i="21" s="1"/>
  <c r="AF65" i="21" s="1"/>
  <c r="AP93" i="21"/>
  <c r="AQ93" i="21" s="1"/>
  <c r="AL34" i="21"/>
  <c r="AM34" i="21" s="1"/>
  <c r="AO34" i="21" s="1"/>
  <c r="BS34" i="21" s="1"/>
  <c r="AY34" i="21"/>
  <c r="AS65" i="21"/>
  <c r="AT87" i="21"/>
  <c r="AG56" i="21"/>
  <c r="AH56" i="21" s="1"/>
  <c r="AY56" i="21"/>
  <c r="AU71" i="21"/>
  <c r="AV71" i="21" s="1"/>
  <c r="AY71" i="21"/>
  <c r="AU75" i="21"/>
  <c r="AV75" i="21" s="1"/>
  <c r="AX75" i="21" s="1"/>
  <c r="AY75" i="21"/>
  <c r="BU77" i="21"/>
  <c r="BM77" i="21"/>
  <c r="AD88" i="21"/>
  <c r="AE88" i="21" s="1"/>
  <c r="AF88" i="21" s="1"/>
  <c r="AA39" i="21"/>
  <c r="AB39" i="21" s="1"/>
  <c r="AC39" i="21" s="1"/>
  <c r="AN39" i="21"/>
  <c r="AO39" i="21" s="1"/>
  <c r="BS39" i="21" s="1"/>
  <c r="AA41" i="21"/>
  <c r="AB41" i="21" s="1"/>
  <c r="AC41" i="21" s="1"/>
  <c r="AD39" i="21"/>
  <c r="AE39" i="21" s="1"/>
  <c r="AF39" i="21" s="1"/>
  <c r="AW96" i="21"/>
  <c r="AX96" i="21" s="1"/>
  <c r="BU96" i="21" s="1"/>
  <c r="AT69" i="21"/>
  <c r="BL69" i="21" s="1"/>
  <c r="AW39" i="21"/>
  <c r="AX39" i="21" s="1"/>
  <c r="BU39" i="21" s="1"/>
  <c r="Y39" i="21"/>
  <c r="Z39" i="21" s="1"/>
  <c r="AK97" i="20"/>
  <c r="BR97" i="20" s="1"/>
  <c r="Z45" i="21"/>
  <c r="AO98" i="21"/>
  <c r="BS98" i="21" s="1"/>
  <c r="AA20" i="21"/>
  <c r="AB20" i="21" s="1"/>
  <c r="AC20" i="21" s="1"/>
  <c r="Z24" i="21"/>
  <c r="Z12" i="21"/>
  <c r="Y20" i="21"/>
  <c r="Z20" i="21" s="1"/>
  <c r="AX73" i="21"/>
  <c r="BU73" i="21" s="1"/>
  <c r="AS20" i="21"/>
  <c r="AD20" i="21"/>
  <c r="AE20" i="21" s="1"/>
  <c r="AF20" i="21" s="1"/>
  <c r="AN20" i="21"/>
  <c r="AO20" i="21" s="1"/>
  <c r="BS20" i="21" s="1"/>
  <c r="AW41" i="21"/>
  <c r="AD96" i="21"/>
  <c r="AE96" i="21" s="1"/>
  <c r="AF96" i="21" s="1"/>
  <c r="Z83" i="21"/>
  <c r="AX87" i="21"/>
  <c r="AP98" i="21"/>
  <c r="AQ98" i="21" s="1"/>
  <c r="AT98" i="21" s="1"/>
  <c r="BC81" i="21"/>
  <c r="BV81" i="21" s="1"/>
  <c r="AS41" i="21"/>
  <c r="AS57" i="21"/>
  <c r="Y96" i="21"/>
  <c r="Z96" i="21" s="1"/>
  <c r="AG13" i="21"/>
  <c r="AH13" i="21" s="1"/>
  <c r="AK13" i="21" s="1"/>
  <c r="BR13" i="21" s="1"/>
  <c r="AG98" i="21"/>
  <c r="AH98" i="21" s="1"/>
  <c r="AK98" i="21" s="1"/>
  <c r="BR98" i="21" s="1"/>
  <c r="AD41" i="21"/>
  <c r="AE41" i="21" s="1"/>
  <c r="AF41" i="21" s="1"/>
  <c r="AS96" i="21"/>
  <c r="AP56" i="21"/>
  <c r="AQ56" i="21" s="1"/>
  <c r="AU98" i="21"/>
  <c r="AV98" i="21" s="1"/>
  <c r="AX98" i="21" s="1"/>
  <c r="BU98" i="21" s="1"/>
  <c r="AT12" i="21"/>
  <c r="Y41" i="21"/>
  <c r="AX69" i="21"/>
  <c r="BU69" i="21" s="1"/>
  <c r="X56" i="21"/>
  <c r="X98" i="21"/>
  <c r="Z98" i="21" s="1"/>
  <c r="AT45" i="21"/>
  <c r="BM86" i="20"/>
  <c r="BC54" i="21"/>
  <c r="BV54" i="21" s="1"/>
  <c r="AX51" i="21"/>
  <c r="BU51" i="21" s="1"/>
  <c r="AL56" i="21"/>
  <c r="AM56" i="21" s="1"/>
  <c r="AO56" i="21" s="1"/>
  <c r="BS56" i="21" s="1"/>
  <c r="BC42" i="21"/>
  <c r="BV42" i="21" s="1"/>
  <c r="Z25" i="21"/>
  <c r="Z87" i="21"/>
  <c r="AA96" i="21"/>
  <c r="AB96" i="21" s="1"/>
  <c r="AC96" i="21" s="1"/>
  <c r="AS11" i="21"/>
  <c r="AT11" i="21" s="1"/>
  <c r="AU56" i="21"/>
  <c r="AV56" i="21" s="1"/>
  <c r="AW11" i="21"/>
  <c r="AX11" i="21" s="1"/>
  <c r="BU11" i="21" s="1"/>
  <c r="X93" i="21"/>
  <c r="AN104" i="21"/>
  <c r="AX92" i="21"/>
  <c r="BU92" i="21" s="1"/>
  <c r="AL93" i="21"/>
  <c r="AM93" i="21" s="1"/>
  <c r="X89" i="21"/>
  <c r="Z89" i="21" s="1"/>
  <c r="Y33" i="21"/>
  <c r="AT24" i="21"/>
  <c r="AN33" i="21"/>
  <c r="Z45" i="20"/>
  <c r="AA33" i="21"/>
  <c r="AB33" i="21" s="1"/>
  <c r="AC33" i="21" s="1"/>
  <c r="BC87" i="21"/>
  <c r="BV87" i="21" s="1"/>
  <c r="BC27" i="21"/>
  <c r="BV27" i="21" s="1"/>
  <c r="AD104" i="21"/>
  <c r="AE104" i="21" s="1"/>
  <c r="AF104" i="21" s="1"/>
  <c r="Z43" i="21"/>
  <c r="AU58" i="21"/>
  <c r="AV58" i="21" s="1"/>
  <c r="AU89" i="21"/>
  <c r="AV89" i="21" s="1"/>
  <c r="AX89" i="21" s="1"/>
  <c r="BT52" i="20"/>
  <c r="AS104" i="21"/>
  <c r="X58" i="21"/>
  <c r="Z27" i="21"/>
  <c r="AS31" i="21"/>
  <c r="AT31" i="21" s="1"/>
  <c r="BL31" i="21" s="1"/>
  <c r="AP58" i="21"/>
  <c r="AQ58" i="21" s="1"/>
  <c r="AD33" i="21"/>
  <c r="AE33" i="21" s="1"/>
  <c r="AF33" i="21" s="1"/>
  <c r="AD31" i="21"/>
  <c r="AE31" i="21" s="1"/>
  <c r="AF31" i="21" s="1"/>
  <c r="AX25" i="21"/>
  <c r="BU25" i="21" s="1"/>
  <c r="AO9" i="21"/>
  <c r="BS9" i="21" s="1"/>
  <c r="BC62" i="21"/>
  <c r="BV62" i="21" s="1"/>
  <c r="AO27" i="21"/>
  <c r="BS27" i="21" s="1"/>
  <c r="AG93" i="21"/>
  <c r="AH93" i="21" s="1"/>
  <c r="AK93" i="21" s="1"/>
  <c r="BR93" i="21" s="1"/>
  <c r="AG109" i="21"/>
  <c r="AH109" i="21" s="1"/>
  <c r="AK109" i="21" s="1"/>
  <c r="BR109" i="21" s="1"/>
  <c r="AK50" i="21"/>
  <c r="BR50" i="21" s="1"/>
  <c r="AX12" i="21"/>
  <c r="BU12" i="21" s="1"/>
  <c r="BC63" i="21"/>
  <c r="BV63" i="21" s="1"/>
  <c r="AK95" i="20"/>
  <c r="BR95" i="20" s="1"/>
  <c r="AP71" i="21"/>
  <c r="AQ71" i="21" s="1"/>
  <c r="Y88" i="21"/>
  <c r="Z88" i="21" s="1"/>
  <c r="AW57" i="21"/>
  <c r="X34" i="21"/>
  <c r="Z34" i="21" s="1"/>
  <c r="AL71" i="21"/>
  <c r="AM71" i="21" s="1"/>
  <c r="AO71" i="21" s="1"/>
  <c r="BS71" i="21" s="1"/>
  <c r="AS88" i="21"/>
  <c r="AT88" i="21" s="1"/>
  <c r="Y57" i="21"/>
  <c r="AW68" i="21"/>
  <c r="AX68" i="21" s="1"/>
  <c r="BU68" i="21" s="1"/>
  <c r="AO13" i="21"/>
  <c r="BS13" i="21" s="1"/>
  <c r="AA103" i="21"/>
  <c r="AB103" i="21" s="1"/>
  <c r="AC103" i="21" s="1"/>
  <c r="AW103" i="21"/>
  <c r="AD103" i="21"/>
  <c r="AE103" i="21" s="1"/>
  <c r="AF103" i="21" s="1"/>
  <c r="Y103" i="21"/>
  <c r="AS103" i="21"/>
  <c r="AN103" i="21"/>
  <c r="AN88" i="21"/>
  <c r="AX27" i="21"/>
  <c r="BU27" i="21" s="1"/>
  <c r="AN57" i="21"/>
  <c r="Y68" i="21"/>
  <c r="Z68" i="21" s="1"/>
  <c r="AD68" i="21"/>
  <c r="AE68" i="21" s="1"/>
  <c r="AF68" i="21" s="1"/>
  <c r="AG108" i="21"/>
  <c r="AH108" i="21" s="1"/>
  <c r="AK108" i="21" s="1"/>
  <c r="BR108" i="21" s="1"/>
  <c r="AU108" i="21"/>
  <c r="AV108" i="21" s="1"/>
  <c r="AX108" i="21" s="1"/>
  <c r="AL108" i="21"/>
  <c r="AP108" i="21"/>
  <c r="AQ108" i="21" s="1"/>
  <c r="AT108" i="21" s="1"/>
  <c r="X108" i="21"/>
  <c r="Z108" i="21" s="1"/>
  <c r="BT9" i="20"/>
  <c r="BC15" i="21"/>
  <c r="BV15" i="21" s="1"/>
  <c r="AS68" i="21"/>
  <c r="AT68" i="21" s="1"/>
  <c r="BL68" i="21" s="1"/>
  <c r="BC28" i="21"/>
  <c r="BV28" i="21" s="1"/>
  <c r="AA88" i="21"/>
  <c r="AB88" i="21" s="1"/>
  <c r="AC88" i="21" s="1"/>
  <c r="AA57" i="21"/>
  <c r="AB57" i="21" s="1"/>
  <c r="AC57" i="21" s="1"/>
  <c r="BC52" i="21"/>
  <c r="BV52" i="21" s="1"/>
  <c r="AG71" i="21"/>
  <c r="AH71" i="21" s="1"/>
  <c r="AK15" i="21"/>
  <c r="BR15" i="21" s="1"/>
  <c r="AU65" i="21"/>
  <c r="AV65" i="21" s="1"/>
  <c r="AG65" i="21"/>
  <c r="AH65" i="21" s="1"/>
  <c r="X65" i="21"/>
  <c r="AL65" i="21"/>
  <c r="AP65" i="21"/>
  <c r="AQ65" i="21" s="1"/>
  <c r="Z95" i="20"/>
  <c r="AM45" i="21"/>
  <c r="AO45" i="21" s="1"/>
  <c r="BS45" i="21" s="1"/>
  <c r="BC45" i="21"/>
  <c r="BV45" i="21" s="1"/>
  <c r="AG34" i="21"/>
  <c r="AH34" i="21" s="1"/>
  <c r="AK34" i="21" s="1"/>
  <c r="BR34" i="21" s="1"/>
  <c r="AP34" i="21"/>
  <c r="AQ34" i="21" s="1"/>
  <c r="AT34" i="21" s="1"/>
  <c r="AU34" i="21"/>
  <c r="AV34" i="21" s="1"/>
  <c r="AX34" i="21" s="1"/>
  <c r="X13" i="21"/>
  <c r="Z13" i="21" s="1"/>
  <c r="AP13" i="21"/>
  <c r="AU13" i="21"/>
  <c r="AV13" i="21" s="1"/>
  <c r="AX13" i="21" s="1"/>
  <c r="AA63" i="21"/>
  <c r="AB63" i="21" s="1"/>
  <c r="AC63" i="21" s="1"/>
  <c r="AD63" i="21"/>
  <c r="AE63" i="21" s="1"/>
  <c r="AF63" i="21" s="1"/>
  <c r="AN63" i="21"/>
  <c r="AO63" i="21" s="1"/>
  <c r="BS63" i="21" s="1"/>
  <c r="AW63" i="21"/>
  <c r="AX63" i="21" s="1"/>
  <c r="AS63" i="21"/>
  <c r="AT63" i="21" s="1"/>
  <c r="AM12" i="21"/>
  <c r="AO12" i="21" s="1"/>
  <c r="BS12" i="21" s="1"/>
  <c r="BC12" i="21"/>
  <c r="BV12" i="21" s="1"/>
  <c r="BU76" i="21"/>
  <c r="AX79" i="21"/>
  <c r="AG58" i="21"/>
  <c r="AH58" i="21" s="1"/>
  <c r="AK58" i="21" s="1"/>
  <c r="BR58" i="21" s="1"/>
  <c r="AN11" i="21"/>
  <c r="AO11" i="21" s="1"/>
  <c r="BS11" i="21" s="1"/>
  <c r="AM24" i="21"/>
  <c r="AO24" i="21" s="1"/>
  <c r="BS24" i="21" s="1"/>
  <c r="BC24" i="21"/>
  <c r="BV24" i="21" s="1"/>
  <c r="AU14" i="21"/>
  <c r="AV14" i="21" s="1"/>
  <c r="AX14" i="21" s="1"/>
  <c r="AG14" i="21"/>
  <c r="AH14" i="21" s="1"/>
  <c r="AK14" i="21" s="1"/>
  <c r="BR14" i="21" s="1"/>
  <c r="X14" i="21"/>
  <c r="Z14" i="21" s="1"/>
  <c r="BC106" i="21"/>
  <c r="BV106" i="21" s="1"/>
  <c r="AM106" i="21"/>
  <c r="AO106" i="21" s="1"/>
  <c r="BS106" i="21" s="1"/>
  <c r="AN42" i="21"/>
  <c r="AO42" i="21" s="1"/>
  <c r="BS42" i="21" s="1"/>
  <c r="AD42" i="21"/>
  <c r="AE42" i="21" s="1"/>
  <c r="AF42" i="21" s="1"/>
  <c r="AA42" i="21"/>
  <c r="AB42" i="21" s="1"/>
  <c r="AC42" i="21" s="1"/>
  <c r="AW42" i="21"/>
  <c r="AX42" i="21" s="1"/>
  <c r="Y42" i="21"/>
  <c r="Z42" i="21" s="1"/>
  <c r="AS42" i="21"/>
  <c r="AT42" i="21" s="1"/>
  <c r="Y11" i="21"/>
  <c r="Z11" i="21" s="1"/>
  <c r="AD11" i="21"/>
  <c r="AE11" i="21" s="1"/>
  <c r="AF11" i="21" s="1"/>
  <c r="AN31" i="21"/>
  <c r="AA31" i="21"/>
  <c r="AB31" i="21" s="1"/>
  <c r="AC31" i="21" s="1"/>
  <c r="Y15" i="21"/>
  <c r="Z15" i="21" s="1"/>
  <c r="AD15" i="21"/>
  <c r="AE15" i="21" s="1"/>
  <c r="AF15" i="21" s="1"/>
  <c r="AW15" i="21"/>
  <c r="AX15" i="21" s="1"/>
  <c r="AN15" i="21"/>
  <c r="AO15" i="21" s="1"/>
  <c r="BS15" i="21" s="1"/>
  <c r="AA15" i="21"/>
  <c r="AB15" i="21" s="1"/>
  <c r="AC15" i="21" s="1"/>
  <c r="AS15" i="21"/>
  <c r="AT15" i="21" s="1"/>
  <c r="AM26" i="21"/>
  <c r="AO26" i="21" s="1"/>
  <c r="BC26" i="21"/>
  <c r="BV26" i="21" s="1"/>
  <c r="AD62" i="21"/>
  <c r="AE62" i="21" s="1"/>
  <c r="AF62" i="21" s="1"/>
  <c r="AA62" i="21"/>
  <c r="AB62" i="21" s="1"/>
  <c r="AC62" i="21" s="1"/>
  <c r="AW62" i="21"/>
  <c r="AX62" i="21" s="1"/>
  <c r="Y62" i="21"/>
  <c r="Z62" i="21" s="1"/>
  <c r="AN62" i="21"/>
  <c r="AO62" i="21" s="1"/>
  <c r="BS62" i="21" s="1"/>
  <c r="AS62" i="21"/>
  <c r="AT62" i="21" s="1"/>
  <c r="AO87" i="21"/>
  <c r="BS87" i="21" s="1"/>
  <c r="AU57" i="21"/>
  <c r="AV57" i="21" s="1"/>
  <c r="X57" i="21"/>
  <c r="AG57" i="21"/>
  <c r="AH57" i="21" s="1"/>
  <c r="AP57" i="21"/>
  <c r="AQ57" i="21" s="1"/>
  <c r="AL57" i="21"/>
  <c r="AM76" i="21"/>
  <c r="AO76" i="21" s="1"/>
  <c r="BC76" i="21"/>
  <c r="BV76" i="21" s="1"/>
  <c r="AM31" i="21"/>
  <c r="BC31" i="21"/>
  <c r="BV31" i="21" s="1"/>
  <c r="X104" i="21"/>
  <c r="AU104" i="21"/>
  <c r="AV104" i="21" s="1"/>
  <c r="AP104" i="21"/>
  <c r="AQ104" i="21" s="1"/>
  <c r="AL104" i="21"/>
  <c r="AG104" i="21"/>
  <c r="AH104" i="21" s="1"/>
  <c r="Z23" i="21"/>
  <c r="AA50" i="21"/>
  <c r="AB50" i="21" s="1"/>
  <c r="AC50" i="21" s="1"/>
  <c r="AS50" i="21"/>
  <c r="AT50" i="21" s="1"/>
  <c r="Y50" i="21"/>
  <c r="Z50" i="21" s="1"/>
  <c r="AD50" i="21"/>
  <c r="AE50" i="21" s="1"/>
  <c r="AF50" i="21" s="1"/>
  <c r="AN50" i="21"/>
  <c r="AW50" i="21"/>
  <c r="AX50" i="21" s="1"/>
  <c r="Z82" i="21"/>
  <c r="BC84" i="21"/>
  <c r="BV84" i="21" s="1"/>
  <c r="Z105" i="21"/>
  <c r="AT73" i="21"/>
  <c r="BL73" i="21" s="1"/>
  <c r="AX10" i="21"/>
  <c r="BU10" i="21" s="1"/>
  <c r="AX23" i="21"/>
  <c r="BU23" i="21" s="1"/>
  <c r="AO105" i="21"/>
  <c r="BS105" i="21" s="1"/>
  <c r="Z37" i="21"/>
  <c r="BC11" i="21"/>
  <c r="BV11" i="21" s="1"/>
  <c r="BU81" i="21"/>
  <c r="BM81" i="21"/>
  <c r="AD51" i="21"/>
  <c r="AE51" i="21" s="1"/>
  <c r="AF51" i="21" s="1"/>
  <c r="AM94" i="21"/>
  <c r="AO94" i="21" s="1"/>
  <c r="BC94" i="21"/>
  <c r="BV94" i="21" s="1"/>
  <c r="AY78" i="21"/>
  <c r="X78" i="21"/>
  <c r="Z78" i="21" s="1"/>
  <c r="AG78" i="21"/>
  <c r="AH78" i="21" s="1"/>
  <c r="AK78" i="21" s="1"/>
  <c r="BR78" i="21" s="1"/>
  <c r="AU78" i="21"/>
  <c r="AV78" i="21" s="1"/>
  <c r="AX78" i="21" s="1"/>
  <c r="AP78" i="21"/>
  <c r="AQ78" i="21" s="1"/>
  <c r="AT78" i="21" s="1"/>
  <c r="AL78" i="21"/>
  <c r="AS51" i="21"/>
  <c r="AT51" i="21" s="1"/>
  <c r="AY55" i="21"/>
  <c r="AP55" i="21"/>
  <c r="AQ55" i="21" s="1"/>
  <c r="Z48" i="20"/>
  <c r="AK35" i="21"/>
  <c r="BR35" i="21" s="1"/>
  <c r="AN51" i="21"/>
  <c r="AK30" i="21"/>
  <c r="BR30" i="21" s="1"/>
  <c r="AM14" i="21"/>
  <c r="AO14" i="21" s="1"/>
  <c r="BS14" i="21" s="1"/>
  <c r="AM50" i="21"/>
  <c r="BC50" i="21"/>
  <c r="BV50" i="21" s="1"/>
  <c r="AM25" i="21"/>
  <c r="AO25" i="21" s="1"/>
  <c r="BS25" i="21" s="1"/>
  <c r="BC25" i="21"/>
  <c r="BV25" i="21" s="1"/>
  <c r="BC88" i="21"/>
  <c r="BV88" i="21" s="1"/>
  <c r="AM88" i="21"/>
  <c r="Y51" i="21"/>
  <c r="Z51" i="21" s="1"/>
  <c r="AM109" i="21"/>
  <c r="AO109" i="21" s="1"/>
  <c r="BS109" i="21" s="1"/>
  <c r="AG55" i="21"/>
  <c r="AH55" i="21" s="1"/>
  <c r="AK55" i="21" s="1"/>
  <c r="BR55" i="21" s="1"/>
  <c r="AM35" i="21"/>
  <c r="BC35" i="21"/>
  <c r="BV35" i="21" s="1"/>
  <c r="AY95" i="21"/>
  <c r="AG95" i="21"/>
  <c r="AH95" i="21" s="1"/>
  <c r="AK95" i="21" s="1"/>
  <c r="BR95" i="21" s="1"/>
  <c r="AL95" i="21"/>
  <c r="X95" i="21"/>
  <c r="Z95" i="21" s="1"/>
  <c r="AP95" i="21"/>
  <c r="AQ95" i="21" s="1"/>
  <c r="AT95" i="21" s="1"/>
  <c r="AU95" i="21"/>
  <c r="AV95" i="21" s="1"/>
  <c r="AX95" i="21" s="1"/>
  <c r="AM51" i="21"/>
  <c r="BC51" i="21"/>
  <c r="BV51" i="21" s="1"/>
  <c r="Z101" i="21"/>
  <c r="AW91" i="21"/>
  <c r="AX91" i="21" s="1"/>
  <c r="X55" i="21"/>
  <c r="AK38" i="21"/>
  <c r="BR38" i="21" s="1"/>
  <c r="AY109" i="21"/>
  <c r="AU109" i="21"/>
  <c r="AV109" i="21" s="1"/>
  <c r="AX109" i="21" s="1"/>
  <c r="AP109" i="21"/>
  <c r="AQ109" i="21" s="1"/>
  <c r="AT109" i="21" s="1"/>
  <c r="X109" i="21"/>
  <c r="Z109" i="21" s="1"/>
  <c r="AK51" i="21"/>
  <c r="BR51" i="21" s="1"/>
  <c r="AX45" i="20"/>
  <c r="AL55" i="21"/>
  <c r="AM55" i="21" s="1"/>
  <c r="Z91" i="21"/>
  <c r="AY82" i="21"/>
  <c r="AP82" i="21"/>
  <c r="BP94" i="21"/>
  <c r="BU80" i="21"/>
  <c r="BM80" i="21"/>
  <c r="AQ105" i="21"/>
  <c r="AT105" i="21" s="1"/>
  <c r="BC105" i="21"/>
  <c r="BV105" i="21" s="1"/>
  <c r="AQ80" i="21"/>
  <c r="AT80" i="21" s="1"/>
  <c r="BL80" i="21" s="1"/>
  <c r="BC80" i="21"/>
  <c r="BV80" i="21" s="1"/>
  <c r="AQ96" i="21"/>
  <c r="BC96" i="21"/>
  <c r="BV96" i="21" s="1"/>
  <c r="AQ39" i="21"/>
  <c r="BC39" i="21"/>
  <c r="BV39" i="21" s="1"/>
  <c r="Z60" i="20"/>
  <c r="AX48" i="21"/>
  <c r="AQ20" i="21"/>
  <c r="BC20" i="21"/>
  <c r="BV20" i="21" s="1"/>
  <c r="AQ92" i="21"/>
  <c r="AT92" i="21" s="1"/>
  <c r="BL92" i="21" s="1"/>
  <c r="BC92" i="21"/>
  <c r="BV92" i="21" s="1"/>
  <c r="Z73" i="21"/>
  <c r="AX82" i="21"/>
  <c r="AX86" i="21"/>
  <c r="BT37" i="21"/>
  <c r="AQ21" i="21"/>
  <c r="AT21" i="21" s="1"/>
  <c r="BL21" i="21" s="1"/>
  <c r="BC21" i="21"/>
  <c r="BV21" i="21" s="1"/>
  <c r="AT101" i="21"/>
  <c r="BL101" i="21" s="1"/>
  <c r="BU97" i="21"/>
  <c r="BM97" i="21"/>
  <c r="BT27" i="21"/>
  <c r="BU43" i="21"/>
  <c r="AP46" i="21"/>
  <c r="AQ46" i="21" s="1"/>
  <c r="AT46" i="21" s="1"/>
  <c r="X46" i="21"/>
  <c r="Z46" i="21" s="1"/>
  <c r="AG46" i="21"/>
  <c r="AH46" i="21" s="1"/>
  <c r="AK46" i="21" s="1"/>
  <c r="BR46" i="21" s="1"/>
  <c r="AL46" i="21"/>
  <c r="AU46" i="21"/>
  <c r="AV46" i="21" s="1"/>
  <c r="AX46" i="21" s="1"/>
  <c r="Y55" i="21"/>
  <c r="AA55" i="21"/>
  <c r="AB55" i="21" s="1"/>
  <c r="AC55" i="21" s="1"/>
  <c r="AS55" i="21"/>
  <c r="AN55" i="21"/>
  <c r="AW55" i="21"/>
  <c r="AX55" i="21" s="1"/>
  <c r="AD55" i="21"/>
  <c r="AE55" i="21" s="1"/>
  <c r="AF55" i="21" s="1"/>
  <c r="AM73" i="21"/>
  <c r="AO73" i="21" s="1"/>
  <c r="BC73" i="21"/>
  <c r="BV73" i="21" s="1"/>
  <c r="BC99" i="21"/>
  <c r="BV99" i="21" s="1"/>
  <c r="AM99" i="21"/>
  <c r="AK66" i="21"/>
  <c r="BR66" i="21" s="1"/>
  <c r="AP32" i="21"/>
  <c r="AQ32" i="21" s="1"/>
  <c r="AL32" i="21"/>
  <c r="AU32" i="21"/>
  <c r="AV32" i="21" s="1"/>
  <c r="X32" i="21"/>
  <c r="AG32" i="21"/>
  <c r="AH32" i="21" s="1"/>
  <c r="AK32" i="21" s="1"/>
  <c r="BR32" i="21" s="1"/>
  <c r="AN72" i="21"/>
  <c r="AS72" i="21"/>
  <c r="AD72" i="21"/>
  <c r="AE72" i="21" s="1"/>
  <c r="AF72" i="21" s="1"/>
  <c r="Y72" i="21"/>
  <c r="AW72" i="21"/>
  <c r="AA72" i="21"/>
  <c r="AB72" i="21" s="1"/>
  <c r="AC72" i="21" s="1"/>
  <c r="AP29" i="21"/>
  <c r="AQ29" i="21" s="1"/>
  <c r="AT29" i="21" s="1"/>
  <c r="AL29" i="21"/>
  <c r="AG29" i="21"/>
  <c r="AH29" i="21" s="1"/>
  <c r="AK29" i="21" s="1"/>
  <c r="BR29" i="21" s="1"/>
  <c r="AU29" i="21"/>
  <c r="AV29" i="21" s="1"/>
  <c r="AX29" i="21" s="1"/>
  <c r="X29" i="21"/>
  <c r="Z29" i="21" s="1"/>
  <c r="AD30" i="21"/>
  <c r="AE30" i="21" s="1"/>
  <c r="AF30" i="21" s="1"/>
  <c r="Y30" i="21"/>
  <c r="Z30" i="21" s="1"/>
  <c r="AN30" i="21"/>
  <c r="AS30" i="21"/>
  <c r="AT30" i="21" s="1"/>
  <c r="AA30" i="21"/>
  <c r="AB30" i="21" s="1"/>
  <c r="AC30" i="21" s="1"/>
  <c r="AW30" i="21"/>
  <c r="AX30" i="21" s="1"/>
  <c r="AM38" i="21"/>
  <c r="AO38" i="21" s="1"/>
  <c r="BS38" i="21" s="1"/>
  <c r="BC38" i="21"/>
  <c r="BV38" i="21" s="1"/>
  <c r="AU67" i="21"/>
  <c r="AV67" i="21" s="1"/>
  <c r="AX67" i="21" s="1"/>
  <c r="AP67" i="21"/>
  <c r="AQ67" i="21" s="1"/>
  <c r="AT67" i="21" s="1"/>
  <c r="AG67" i="21"/>
  <c r="AH67" i="21" s="1"/>
  <c r="AK67" i="21" s="1"/>
  <c r="BR67" i="21" s="1"/>
  <c r="X67" i="21"/>
  <c r="Z67" i="21" s="1"/>
  <c r="AL67" i="21"/>
  <c r="AS66" i="21"/>
  <c r="AT66" i="21" s="1"/>
  <c r="Y66" i="21"/>
  <c r="Z66" i="21" s="1"/>
  <c r="AN66" i="21"/>
  <c r="AW66" i="21"/>
  <c r="AX66" i="21" s="1"/>
  <c r="AD66" i="21"/>
  <c r="AE66" i="21" s="1"/>
  <c r="AF66" i="21" s="1"/>
  <c r="AA66" i="21"/>
  <c r="AB66" i="21" s="1"/>
  <c r="AC66" i="21" s="1"/>
  <c r="AS99" i="21"/>
  <c r="AT99" i="21" s="1"/>
  <c r="BL99" i="21" s="1"/>
  <c r="Y99" i="21"/>
  <c r="Z99" i="21" s="1"/>
  <c r="AN99" i="21"/>
  <c r="AW99" i="21"/>
  <c r="AX99" i="21" s="1"/>
  <c r="AD99" i="21"/>
  <c r="AE99" i="21" s="1"/>
  <c r="AF99" i="21" s="1"/>
  <c r="AA99" i="21"/>
  <c r="AB99" i="21" s="1"/>
  <c r="AC99" i="21" s="1"/>
  <c r="AL85" i="21"/>
  <c r="AP85" i="21"/>
  <c r="AQ85" i="21" s="1"/>
  <c r="AU85" i="21"/>
  <c r="AV85" i="21" s="1"/>
  <c r="X85" i="21"/>
  <c r="AG85" i="21"/>
  <c r="AH85" i="21" s="1"/>
  <c r="AK85" i="21" s="1"/>
  <c r="BR85" i="21" s="1"/>
  <c r="Z48" i="21"/>
  <c r="AS102" i="21"/>
  <c r="AT102" i="21" s="1"/>
  <c r="AW102" i="21"/>
  <c r="AX102" i="21" s="1"/>
  <c r="AA102" i="21"/>
  <c r="AB102" i="21" s="1"/>
  <c r="AC102" i="21" s="1"/>
  <c r="AN102" i="21"/>
  <c r="AD102" i="21"/>
  <c r="AE102" i="21" s="1"/>
  <c r="AF102" i="21" s="1"/>
  <c r="Y102" i="21"/>
  <c r="Z102" i="21" s="1"/>
  <c r="Z70" i="21"/>
  <c r="AS35" i="21"/>
  <c r="AT35" i="21" s="1"/>
  <c r="AW35" i="21"/>
  <c r="AX35" i="21" s="1"/>
  <c r="AD35" i="21"/>
  <c r="AE35" i="21" s="1"/>
  <c r="AF35" i="21" s="1"/>
  <c r="AN35" i="21"/>
  <c r="Y35" i="21"/>
  <c r="Z35" i="21" s="1"/>
  <c r="AA35" i="21"/>
  <c r="AB35" i="21" s="1"/>
  <c r="AC35" i="21" s="1"/>
  <c r="AU18" i="21"/>
  <c r="AV18" i="21" s="1"/>
  <c r="AP18" i="21"/>
  <c r="AQ18" i="21" s="1"/>
  <c r="X18" i="21"/>
  <c r="AL18" i="21"/>
  <c r="AG18" i="21"/>
  <c r="AH18" i="21" s="1"/>
  <c r="AG74" i="21"/>
  <c r="AH74" i="21" s="1"/>
  <c r="AK74" i="21" s="1"/>
  <c r="BR74" i="21" s="1"/>
  <c r="AP74" i="21"/>
  <c r="AQ74" i="21" s="1"/>
  <c r="AT74" i="21" s="1"/>
  <c r="AL74" i="21"/>
  <c r="X74" i="21"/>
  <c r="Z74" i="21" s="1"/>
  <c r="AU74" i="21"/>
  <c r="AV74" i="21" s="1"/>
  <c r="AX74" i="21" s="1"/>
  <c r="AM86" i="21"/>
  <c r="AO86" i="21" s="1"/>
  <c r="BS86" i="21" s="1"/>
  <c r="BC86" i="21"/>
  <c r="BV86" i="21" s="1"/>
  <c r="BC30" i="21"/>
  <c r="BV30" i="21" s="1"/>
  <c r="AM30" i="21"/>
  <c r="AK84" i="21"/>
  <c r="BR84" i="21" s="1"/>
  <c r="AD54" i="21"/>
  <c r="AE54" i="21" s="1"/>
  <c r="AF54" i="21" s="1"/>
  <c r="AW54" i="21"/>
  <c r="AX54" i="21" s="1"/>
  <c r="Y54" i="21"/>
  <c r="Z54" i="21" s="1"/>
  <c r="AS54" i="21"/>
  <c r="AT54" i="21" s="1"/>
  <c r="BL54" i="21" s="1"/>
  <c r="AN54" i="21"/>
  <c r="AO54" i="21" s="1"/>
  <c r="AA54" i="21"/>
  <c r="AB54" i="21" s="1"/>
  <c r="AC54" i="21" s="1"/>
  <c r="AL72" i="21"/>
  <c r="AP72" i="21"/>
  <c r="AQ72" i="21" s="1"/>
  <c r="AG72" i="21"/>
  <c r="AH72" i="21" s="1"/>
  <c r="AK72" i="21" s="1"/>
  <c r="BR72" i="21" s="1"/>
  <c r="X72" i="21"/>
  <c r="AU72" i="21"/>
  <c r="AV72" i="21" s="1"/>
  <c r="X44" i="21"/>
  <c r="AP44" i="21"/>
  <c r="AQ44" i="21" s="1"/>
  <c r="AU44" i="21"/>
  <c r="AV44" i="21" s="1"/>
  <c r="AG44" i="21"/>
  <c r="AH44" i="21" s="1"/>
  <c r="AK44" i="21" s="1"/>
  <c r="BR44" i="21" s="1"/>
  <c r="AL44" i="21"/>
  <c r="BC70" i="21"/>
  <c r="BV70" i="21" s="1"/>
  <c r="AM70" i="21"/>
  <c r="AO70" i="21" s="1"/>
  <c r="BS70" i="21" s="1"/>
  <c r="AL59" i="21"/>
  <c r="AG59" i="21"/>
  <c r="AH59" i="21" s="1"/>
  <c r="AK59" i="21" s="1"/>
  <c r="BR59" i="21" s="1"/>
  <c r="X59" i="21"/>
  <c r="Z59" i="21" s="1"/>
  <c r="AP59" i="21"/>
  <c r="AQ59" i="21" s="1"/>
  <c r="AT59" i="21" s="1"/>
  <c r="AU59" i="21"/>
  <c r="AV59" i="21" s="1"/>
  <c r="AX59" i="21" s="1"/>
  <c r="Z38" i="21"/>
  <c r="BC102" i="21"/>
  <c r="BV102" i="21" s="1"/>
  <c r="AM102" i="21"/>
  <c r="X17" i="21"/>
  <c r="AG17" i="21"/>
  <c r="AH17" i="21" s="1"/>
  <c r="AK17" i="21" s="1"/>
  <c r="BR17" i="21" s="1"/>
  <c r="AU17" i="21"/>
  <c r="AV17" i="21" s="1"/>
  <c r="AP17" i="21"/>
  <c r="AQ17" i="21" s="1"/>
  <c r="AL17" i="21"/>
  <c r="AQ79" i="21"/>
  <c r="AT79" i="21" s="1"/>
  <c r="BL79" i="21" s="1"/>
  <c r="BC79" i="21"/>
  <c r="BV79" i="21" s="1"/>
  <c r="Y85" i="21"/>
  <c r="AS85" i="21"/>
  <c r="AD85" i="21"/>
  <c r="AE85" i="21" s="1"/>
  <c r="AF85" i="21" s="1"/>
  <c r="AN85" i="21"/>
  <c r="AW85" i="21"/>
  <c r="AA85" i="21"/>
  <c r="AB85" i="21" s="1"/>
  <c r="AC85" i="21" s="1"/>
  <c r="AX70" i="21"/>
  <c r="AT38" i="21"/>
  <c r="AK102" i="21"/>
  <c r="BR102" i="21" s="1"/>
  <c r="BC69" i="21"/>
  <c r="BV69" i="21" s="1"/>
  <c r="AM69" i="21"/>
  <c r="AO69" i="21" s="1"/>
  <c r="BS69" i="21" s="1"/>
  <c r="AM66" i="21"/>
  <c r="BC66" i="21"/>
  <c r="BV66" i="21" s="1"/>
  <c r="AD32" i="21"/>
  <c r="AE32" i="21" s="1"/>
  <c r="AF32" i="21" s="1"/>
  <c r="AS32" i="21"/>
  <c r="AN32" i="21"/>
  <c r="AW32" i="21"/>
  <c r="AA32" i="21"/>
  <c r="AB32" i="21" s="1"/>
  <c r="AC32" i="21" s="1"/>
  <c r="Y32" i="21"/>
  <c r="AT48" i="21"/>
  <c r="BL48" i="21" s="1"/>
  <c r="AD64" i="21"/>
  <c r="AE64" i="21" s="1"/>
  <c r="AF64" i="21" s="1"/>
  <c r="AS64" i="21"/>
  <c r="Y64" i="21"/>
  <c r="AA64" i="21"/>
  <c r="AB64" i="21" s="1"/>
  <c r="AC64" i="21" s="1"/>
  <c r="AW64" i="21"/>
  <c r="AN64" i="21"/>
  <c r="AM90" i="21"/>
  <c r="AO90" i="21" s="1"/>
  <c r="BS90" i="21" s="1"/>
  <c r="AP53" i="21"/>
  <c r="AQ53" i="21" s="1"/>
  <c r="AG53" i="21"/>
  <c r="AH53" i="21" s="1"/>
  <c r="AU53" i="21"/>
  <c r="AV53" i="21" s="1"/>
  <c r="X53" i="21"/>
  <c r="AL53" i="21"/>
  <c r="AX101" i="21"/>
  <c r="AN58" i="21"/>
  <c r="AD58" i="21"/>
  <c r="AE58" i="21" s="1"/>
  <c r="AF58" i="21" s="1"/>
  <c r="Y58" i="21"/>
  <c r="AS58" i="21"/>
  <c r="AW58" i="21"/>
  <c r="AA58" i="21"/>
  <c r="AB58" i="21" s="1"/>
  <c r="AC58" i="21" s="1"/>
  <c r="AM48" i="21"/>
  <c r="AO48" i="21" s="1"/>
  <c r="BS48" i="21" s="1"/>
  <c r="BC48" i="21"/>
  <c r="BV48" i="21" s="1"/>
  <c r="AW44" i="21"/>
  <c r="AS44" i="21"/>
  <c r="Y44" i="21"/>
  <c r="AD44" i="21"/>
  <c r="AE44" i="21" s="1"/>
  <c r="AF44" i="21" s="1"/>
  <c r="AN44" i="21"/>
  <c r="AA44" i="21"/>
  <c r="AB44" i="21" s="1"/>
  <c r="AC44" i="21" s="1"/>
  <c r="AS16" i="21"/>
  <c r="AD16" i="21"/>
  <c r="AE16" i="21" s="1"/>
  <c r="AF16" i="21" s="1"/>
  <c r="AW16" i="21"/>
  <c r="AX16" i="21" s="1"/>
  <c r="AA16" i="21"/>
  <c r="AB16" i="21" s="1"/>
  <c r="AC16" i="21" s="1"/>
  <c r="AN16" i="21"/>
  <c r="Y16" i="21"/>
  <c r="BC9" i="21"/>
  <c r="BV9" i="21" s="1"/>
  <c r="AN93" i="21"/>
  <c r="Y93" i="21"/>
  <c r="AD93" i="21"/>
  <c r="AE93" i="21" s="1"/>
  <c r="AF93" i="21" s="1"/>
  <c r="AA93" i="21"/>
  <c r="AB93" i="21" s="1"/>
  <c r="AC93" i="21" s="1"/>
  <c r="AW93" i="21"/>
  <c r="AS93" i="21"/>
  <c r="AM101" i="21"/>
  <c r="AO101" i="21" s="1"/>
  <c r="BC101" i="21"/>
  <c r="BV101" i="21" s="1"/>
  <c r="AN22" i="21"/>
  <c r="AO22" i="21" s="1"/>
  <c r="BS22" i="21" s="1"/>
  <c r="AW22" i="21"/>
  <c r="AX22" i="21" s="1"/>
  <c r="Y22" i="21"/>
  <c r="Z22" i="21" s="1"/>
  <c r="AD22" i="21"/>
  <c r="AE22" i="21" s="1"/>
  <c r="AF22" i="21" s="1"/>
  <c r="AS22" i="21"/>
  <c r="AT22" i="21" s="1"/>
  <c r="AA22" i="21"/>
  <c r="AB22" i="21" s="1"/>
  <c r="AC22" i="21" s="1"/>
  <c r="AT86" i="21"/>
  <c r="BL86" i="21" s="1"/>
  <c r="AM83" i="21"/>
  <c r="AO83" i="21" s="1"/>
  <c r="BS83" i="21" s="1"/>
  <c r="BC83" i="21"/>
  <c r="BV83" i="21" s="1"/>
  <c r="AM10" i="21"/>
  <c r="AO10" i="21" s="1"/>
  <c r="BS10" i="21" s="1"/>
  <c r="BC10" i="21"/>
  <c r="BV10" i="21" s="1"/>
  <c r="AM68" i="21"/>
  <c r="AO68" i="21" s="1"/>
  <c r="BS68" i="21" s="1"/>
  <c r="BC68" i="21"/>
  <c r="BV68" i="21" s="1"/>
  <c r="AA84" i="21"/>
  <c r="AB84" i="21" s="1"/>
  <c r="AC84" i="21" s="1"/>
  <c r="AW84" i="21"/>
  <c r="AX84" i="21" s="1"/>
  <c r="Y84" i="21"/>
  <c r="Z84" i="21" s="1"/>
  <c r="AD84" i="21"/>
  <c r="AE84" i="21" s="1"/>
  <c r="AF84" i="21" s="1"/>
  <c r="AN84" i="21"/>
  <c r="AO84" i="21" s="1"/>
  <c r="BS84" i="21" s="1"/>
  <c r="AS84" i="21"/>
  <c r="AT84" i="21" s="1"/>
  <c r="AP61" i="21"/>
  <c r="AQ61" i="21" s="1"/>
  <c r="AG61" i="21"/>
  <c r="AH61" i="21" s="1"/>
  <c r="AL61" i="21"/>
  <c r="X61" i="21"/>
  <c r="AU61" i="21"/>
  <c r="AV61" i="21" s="1"/>
  <c r="Y17" i="21"/>
  <c r="AW17" i="21"/>
  <c r="AD17" i="21"/>
  <c r="AE17" i="21" s="1"/>
  <c r="AF17" i="21" s="1"/>
  <c r="AN17" i="21"/>
  <c r="AS17" i="21"/>
  <c r="AA17" i="21"/>
  <c r="AB17" i="21" s="1"/>
  <c r="AC17" i="21" s="1"/>
  <c r="AD28" i="21"/>
  <c r="AE28" i="21" s="1"/>
  <c r="AF28" i="21" s="1"/>
  <c r="AN28" i="21"/>
  <c r="AO28" i="21" s="1"/>
  <c r="BS28" i="21" s="1"/>
  <c r="Y28" i="21"/>
  <c r="Z28" i="21" s="1"/>
  <c r="AS28" i="21"/>
  <c r="AT28" i="21" s="1"/>
  <c r="BL28" i="21" s="1"/>
  <c r="AW28" i="21"/>
  <c r="AX28" i="21" s="1"/>
  <c r="AA28" i="21"/>
  <c r="AB28" i="21" s="1"/>
  <c r="AC28" i="21" s="1"/>
  <c r="Z86" i="21"/>
  <c r="AX38" i="21"/>
  <c r="AK22" i="21"/>
  <c r="BR22" i="21" s="1"/>
  <c r="AT45" i="20"/>
  <c r="AO95" i="20"/>
  <c r="AO54" i="20"/>
  <c r="BS54" i="20" s="1"/>
  <c r="AO84" i="20"/>
  <c r="BS84" i="20" s="1"/>
  <c r="Z84" i="20"/>
  <c r="AT32" i="20"/>
  <c r="BQ32" i="20" s="1"/>
  <c r="AK84" i="20"/>
  <c r="BR84" i="20" s="1"/>
  <c r="Z73" i="20"/>
  <c r="AX73" i="20"/>
  <c r="BU73" i="20" s="1"/>
  <c r="AK73" i="20"/>
  <c r="BR73" i="20" s="1"/>
  <c r="Z54" i="20"/>
  <c r="AX44" i="20"/>
  <c r="AT44" i="20"/>
  <c r="BL44" i="20" s="1"/>
  <c r="BM132" i="20"/>
  <c r="BT13" i="20"/>
  <c r="AK90" i="20"/>
  <c r="BR90" i="20" s="1"/>
  <c r="Z92" i="20"/>
  <c r="BU43" i="20"/>
  <c r="BM180" i="20"/>
  <c r="BM201" i="20"/>
  <c r="BM47" i="20"/>
  <c r="AK92" i="20"/>
  <c r="BR92" i="20" s="1"/>
  <c r="BT53" i="20"/>
  <c r="BU29" i="20"/>
  <c r="Z93" i="20"/>
  <c r="BM128" i="20"/>
  <c r="BC147" i="20"/>
  <c r="BV147" i="20" s="1"/>
  <c r="AO90" i="20"/>
  <c r="BS90" i="20" s="1"/>
  <c r="Z97" i="20"/>
  <c r="BC204" i="20"/>
  <c r="BV204" i="20" s="1"/>
  <c r="AO182" i="20"/>
  <c r="BS182" i="20" s="1"/>
  <c r="BK132" i="20"/>
  <c r="BO132" i="20" s="1"/>
  <c r="BM199" i="20"/>
  <c r="AM179" i="20"/>
  <c r="AO179" i="20" s="1"/>
  <c r="BS179" i="20" s="1"/>
  <c r="AK93" i="20"/>
  <c r="BR93" i="20" s="1"/>
  <c r="BM198" i="20"/>
  <c r="BM157" i="20"/>
  <c r="BM147" i="20"/>
  <c r="AM98" i="20"/>
  <c r="AO98" i="20" s="1"/>
  <c r="BS98" i="20" s="1"/>
  <c r="Z90" i="20"/>
  <c r="BC143" i="20"/>
  <c r="BV143" i="20" s="1"/>
  <c r="BC116" i="20"/>
  <c r="BV116" i="20" s="1"/>
  <c r="AM94" i="20"/>
  <c r="AO94" i="20" s="1"/>
  <c r="BS94" i="20" s="1"/>
  <c r="AK94" i="20"/>
  <c r="AM130" i="20"/>
  <c r="AO130" i="20" s="1"/>
  <c r="BS130" i="20" s="1"/>
  <c r="Z98" i="20"/>
  <c r="BM59" i="20"/>
  <c r="BU55" i="20"/>
  <c r="Z11" i="20"/>
  <c r="BC90" i="20"/>
  <c r="BV90" i="20" s="1"/>
  <c r="BC115" i="20"/>
  <c r="BV115" i="20" s="1"/>
  <c r="BU24" i="20"/>
  <c r="Z91" i="20"/>
  <c r="AQ15" i="20"/>
  <c r="AT15" i="20" s="1"/>
  <c r="BQ15" i="20" s="1"/>
  <c r="BC11" i="20"/>
  <c r="BV11" i="20" s="1"/>
  <c r="AK91" i="20"/>
  <c r="BR91" i="20" s="1"/>
  <c r="BM208" i="20"/>
  <c r="BM52" i="20"/>
  <c r="Z94" i="20"/>
  <c r="BM135" i="20"/>
  <c r="BC209" i="20"/>
  <c r="BV209" i="20" s="1"/>
  <c r="Z102" i="20"/>
  <c r="BM197" i="20"/>
  <c r="BM61" i="20"/>
  <c r="AX72" i="20"/>
  <c r="BU72" i="20" s="1"/>
  <c r="AT11" i="20"/>
  <c r="BQ11" i="20" s="1"/>
  <c r="BM209" i="20"/>
  <c r="BM69" i="20"/>
  <c r="BK125" i="20"/>
  <c r="BO125" i="20" s="1"/>
  <c r="AM187" i="20"/>
  <c r="AO187" i="20" s="1"/>
  <c r="BS187" i="20" s="1"/>
  <c r="BC93" i="20"/>
  <c r="BV93" i="20" s="1"/>
  <c r="AM93" i="20"/>
  <c r="AO93" i="20" s="1"/>
  <c r="BS93" i="20" s="1"/>
  <c r="AK102" i="20"/>
  <c r="BM117" i="20"/>
  <c r="BM191" i="20"/>
  <c r="BM88" i="20"/>
  <c r="BM140" i="20"/>
  <c r="BM178" i="20"/>
  <c r="BM207" i="20"/>
  <c r="AK110" i="20"/>
  <c r="BR110" i="20" s="1"/>
  <c r="AM102" i="20"/>
  <c r="AO102" i="20" s="1"/>
  <c r="BS102" i="20" s="1"/>
  <c r="BC102" i="20"/>
  <c r="BV102" i="20" s="1"/>
  <c r="BM63" i="20"/>
  <c r="AK115" i="20"/>
  <c r="BR115" i="20" s="1"/>
  <c r="BC72" i="20"/>
  <c r="BV72" i="20" s="1"/>
  <c r="BC12" i="20"/>
  <c r="BV12" i="20" s="1"/>
  <c r="BM165" i="20"/>
  <c r="BM167" i="20"/>
  <c r="Z15" i="20"/>
  <c r="AX78" i="20"/>
  <c r="BU78" i="20" s="1"/>
  <c r="BT49" i="20"/>
  <c r="Z51" i="20"/>
  <c r="AK177" i="20"/>
  <c r="BR177" i="20" s="1"/>
  <c r="Z144" i="20"/>
  <c r="BC42" i="20"/>
  <c r="BV42" i="20" s="1"/>
  <c r="BC154" i="20"/>
  <c r="BV154" i="20" s="1"/>
  <c r="BM65" i="20"/>
  <c r="BK89" i="20"/>
  <c r="BO89" i="20" s="1"/>
  <c r="Z62" i="20"/>
  <c r="AM72" i="20"/>
  <c r="AO72" i="20" s="1"/>
  <c r="BS72" i="20" s="1"/>
  <c r="AX14" i="20"/>
  <c r="BM14" i="20" s="1"/>
  <c r="AX62" i="20"/>
  <c r="BU62" i="20" s="1"/>
  <c r="BU12" i="20"/>
  <c r="BM204" i="20"/>
  <c r="BK88" i="20"/>
  <c r="BO88" i="20" s="1"/>
  <c r="BC112" i="20"/>
  <c r="BV112" i="20" s="1"/>
  <c r="BT20" i="20"/>
  <c r="BC114" i="20"/>
  <c r="BV114" i="20" s="1"/>
  <c r="BM163" i="20"/>
  <c r="BM169" i="20"/>
  <c r="BT55" i="20"/>
  <c r="BM75" i="20"/>
  <c r="BM57" i="20"/>
  <c r="BM58" i="20"/>
  <c r="Z112" i="20"/>
  <c r="BM71" i="20"/>
  <c r="BM64" i="20"/>
  <c r="BM76" i="20"/>
  <c r="AT62" i="20"/>
  <c r="BC123" i="20"/>
  <c r="BV123" i="20" s="1"/>
  <c r="BK193" i="20"/>
  <c r="BO193" i="20" s="1"/>
  <c r="BK131" i="20"/>
  <c r="BO131" i="20" s="1"/>
  <c r="AO202" i="20"/>
  <c r="BS202" i="20" s="1"/>
  <c r="BT28" i="20"/>
  <c r="AK195" i="20"/>
  <c r="BR195" i="20" s="1"/>
  <c r="BM131" i="20"/>
  <c r="BK180" i="20"/>
  <c r="BO180" i="20" s="1"/>
  <c r="BC84" i="20"/>
  <c r="BV84" i="20" s="1"/>
  <c r="AO112" i="20"/>
  <c r="BS112" i="20" s="1"/>
  <c r="AO108" i="20"/>
  <c r="BS108" i="20" s="1"/>
  <c r="BC188" i="20"/>
  <c r="BV188" i="20" s="1"/>
  <c r="BM145" i="20"/>
  <c r="BU54" i="20"/>
  <c r="AK62" i="20"/>
  <c r="BR62" i="20" s="1"/>
  <c r="AK78" i="20"/>
  <c r="BM171" i="20"/>
  <c r="Z78" i="20"/>
  <c r="BM119" i="20"/>
  <c r="BM56" i="20"/>
  <c r="AM194" i="20"/>
  <c r="AO194" i="20" s="1"/>
  <c r="BC194" i="20"/>
  <c r="BV194" i="20" s="1"/>
  <c r="Z177" i="20"/>
  <c r="BM32" i="20"/>
  <c r="BU32" i="20"/>
  <c r="BM105" i="20"/>
  <c r="BM206" i="20"/>
  <c r="BM41" i="20"/>
  <c r="BU41" i="20"/>
  <c r="BM46" i="20"/>
  <c r="BU46" i="20"/>
  <c r="BM37" i="20"/>
  <c r="BU37" i="20"/>
  <c r="BM48" i="20"/>
  <c r="BU48" i="20"/>
  <c r="BM49" i="20"/>
  <c r="BU49" i="20"/>
  <c r="BM42" i="20"/>
  <c r="BU42" i="20"/>
  <c r="BM15" i="20"/>
  <c r="BU15" i="20"/>
  <c r="BM36" i="20"/>
  <c r="BU36" i="20"/>
  <c r="BM11" i="20"/>
  <c r="BU11" i="20"/>
  <c r="BM25" i="20"/>
  <c r="BU25" i="20"/>
  <c r="BM39" i="20"/>
  <c r="BU39" i="20"/>
  <c r="BM35" i="20"/>
  <c r="BU35" i="20"/>
  <c r="BM166" i="20"/>
  <c r="BM18" i="20"/>
  <c r="BU18" i="20"/>
  <c r="BM26" i="20"/>
  <c r="BU26" i="20"/>
  <c r="BM19" i="20"/>
  <c r="BU19" i="20"/>
  <c r="BM53" i="20"/>
  <c r="BU53" i="20"/>
  <c r="AT51" i="20"/>
  <c r="BM85" i="20"/>
  <c r="BM189" i="20"/>
  <c r="BM186" i="20"/>
  <c r="BM67" i="20"/>
  <c r="BM126" i="20"/>
  <c r="AO115" i="20"/>
  <c r="BS115" i="20" s="1"/>
  <c r="BP44" i="20"/>
  <c r="BM203" i="20"/>
  <c r="BM111" i="20"/>
  <c r="BM152" i="20"/>
  <c r="AM144" i="20"/>
  <c r="AO144" i="20" s="1"/>
  <c r="BC144" i="20"/>
  <c r="BV144" i="20" s="1"/>
  <c r="BM172" i="20"/>
  <c r="BM106" i="20"/>
  <c r="BK166" i="20"/>
  <c r="BO166" i="20" s="1"/>
  <c r="AO173" i="20"/>
  <c r="BS173" i="20" s="1"/>
  <c r="AQ54" i="20"/>
  <c r="AT54" i="20" s="1"/>
  <c r="BL54" i="20" s="1"/>
  <c r="BC54" i="20"/>
  <c r="BV54" i="20" s="1"/>
  <c r="AM44" i="20"/>
  <c r="AO44" i="20" s="1"/>
  <c r="BC44" i="20"/>
  <c r="BV44" i="20" s="1"/>
  <c r="AX51" i="20"/>
  <c r="Z30" i="20"/>
  <c r="AX30" i="20"/>
  <c r="BM60" i="20"/>
  <c r="BM66" i="20"/>
  <c r="AX27" i="20"/>
  <c r="BT194" i="20"/>
  <c r="BT29" i="20"/>
  <c r="BM103" i="20"/>
  <c r="BT46" i="20"/>
  <c r="BT34" i="20"/>
  <c r="BT12" i="20"/>
  <c r="BT48" i="20"/>
  <c r="AK96" i="20"/>
  <c r="Z149" i="20"/>
  <c r="AT30" i="20"/>
  <c r="BL30" i="20" s="1"/>
  <c r="BM79" i="20"/>
  <c r="Z96" i="20"/>
  <c r="Z81" i="20"/>
  <c r="BP185" i="20"/>
  <c r="BP138" i="20"/>
  <c r="Z120" i="20"/>
  <c r="AQ19" i="20"/>
  <c r="AT19" i="20" s="1"/>
  <c r="BQ19" i="20" s="1"/>
  <c r="BC19" i="20"/>
  <c r="BV19" i="20" s="1"/>
  <c r="BC97" i="20"/>
  <c r="BV97" i="20" s="1"/>
  <c r="AM97" i="20"/>
  <c r="AO97" i="20" s="1"/>
  <c r="BS97" i="20" s="1"/>
  <c r="AM91" i="20"/>
  <c r="AO91" i="20" s="1"/>
  <c r="BS91" i="20" s="1"/>
  <c r="BC91" i="20"/>
  <c r="BV91" i="20" s="1"/>
  <c r="BC107" i="20"/>
  <c r="BV107" i="20" s="1"/>
  <c r="AM107" i="20"/>
  <c r="AO107" i="20" s="1"/>
  <c r="BS107" i="20" s="1"/>
  <c r="AM185" i="20"/>
  <c r="AO185" i="20" s="1"/>
  <c r="BS185" i="20" s="1"/>
  <c r="BC185" i="20"/>
  <c r="BV185" i="20" s="1"/>
  <c r="AM153" i="20"/>
  <c r="AO153" i="20" s="1"/>
  <c r="BS153" i="20" s="1"/>
  <c r="BC153" i="20"/>
  <c r="BV153" i="20" s="1"/>
  <c r="AM121" i="20"/>
  <c r="AO121" i="20" s="1"/>
  <c r="BS121" i="20" s="1"/>
  <c r="BC121" i="20"/>
  <c r="BV121" i="20" s="1"/>
  <c r="BC138" i="20"/>
  <c r="BV138" i="20" s="1"/>
  <c r="AM138" i="20"/>
  <c r="AO138" i="20" s="1"/>
  <c r="BS138" i="20" s="1"/>
  <c r="AQ25" i="20"/>
  <c r="AT25" i="20" s="1"/>
  <c r="BQ25" i="20" s="1"/>
  <c r="BC25" i="20"/>
  <c r="BV25" i="20" s="1"/>
  <c r="BM192" i="20"/>
  <c r="AM136" i="20"/>
  <c r="AO136" i="20" s="1"/>
  <c r="BS136" i="20" s="1"/>
  <c r="BC136" i="20"/>
  <c r="BV136" i="20" s="1"/>
  <c r="AM45" i="20"/>
  <c r="AO45" i="20" s="1"/>
  <c r="BS45" i="20" s="1"/>
  <c r="BC45" i="20"/>
  <c r="BV45" i="20" s="1"/>
  <c r="BM161" i="20"/>
  <c r="BC78" i="20"/>
  <c r="BV78" i="20" s="1"/>
  <c r="AM78" i="20"/>
  <c r="AO78" i="20" s="1"/>
  <c r="BS78" i="20" s="1"/>
  <c r="AQ37" i="20"/>
  <c r="AT37" i="20" s="1"/>
  <c r="BQ37" i="20" s="1"/>
  <c r="BC37" i="20"/>
  <c r="BV37" i="20" s="1"/>
  <c r="BP202" i="20"/>
  <c r="BM70" i="20"/>
  <c r="AQ26" i="20"/>
  <c r="AT26" i="20" s="1"/>
  <c r="BQ26" i="20" s="1"/>
  <c r="BC26" i="20"/>
  <c r="BV26" i="20" s="1"/>
  <c r="AK120" i="20"/>
  <c r="BP41" i="20"/>
  <c r="AM62" i="20"/>
  <c r="AO62" i="20" s="1"/>
  <c r="BS62" i="20" s="1"/>
  <c r="BC62" i="20"/>
  <c r="BV62" i="20" s="1"/>
  <c r="BM158" i="20"/>
  <c r="BP176" i="20"/>
  <c r="BP36" i="20"/>
  <c r="AM195" i="20"/>
  <c r="AO195" i="20" s="1"/>
  <c r="BS195" i="20" s="1"/>
  <c r="BC195" i="20"/>
  <c r="BV195" i="20" s="1"/>
  <c r="BP164" i="20"/>
  <c r="BM116" i="20"/>
  <c r="AM156" i="20"/>
  <c r="AO156" i="20" s="1"/>
  <c r="BS156" i="20" s="1"/>
  <c r="BC156" i="20"/>
  <c r="BV156" i="20" s="1"/>
  <c r="AK160" i="20"/>
  <c r="BK39" i="20"/>
  <c r="BO39" i="20" s="1"/>
  <c r="AQ41" i="20"/>
  <c r="AT41" i="20" s="1"/>
  <c r="BQ41" i="20" s="1"/>
  <c r="BC41" i="20"/>
  <c r="BV41" i="20" s="1"/>
  <c r="BM184" i="20"/>
  <c r="AX81" i="20"/>
  <c r="BU81" i="20" s="1"/>
  <c r="BM155" i="20"/>
  <c r="AM175" i="20"/>
  <c r="AO175" i="20" s="1"/>
  <c r="BS175" i="20" s="1"/>
  <c r="BC175" i="20"/>
  <c r="BV175" i="20" s="1"/>
  <c r="BM190" i="20"/>
  <c r="BM114" i="20"/>
  <c r="BM188" i="20"/>
  <c r="BM143" i="20"/>
  <c r="BC110" i="20"/>
  <c r="BV110" i="20" s="1"/>
  <c r="AM110" i="20"/>
  <c r="AO110" i="20" s="1"/>
  <c r="BS110" i="20" s="1"/>
  <c r="AM81" i="20"/>
  <c r="AO81" i="20" s="1"/>
  <c r="BS81" i="20" s="1"/>
  <c r="BC81" i="20"/>
  <c r="BV81" i="20" s="1"/>
  <c r="BP143" i="20"/>
  <c r="BP123" i="20"/>
  <c r="BP100" i="20"/>
  <c r="Z160" i="20"/>
  <c r="BP173" i="20"/>
  <c r="BM123" i="20"/>
  <c r="BP108" i="20"/>
  <c r="BP182" i="20"/>
  <c r="BK196" i="20"/>
  <c r="BO196" i="20" s="1"/>
  <c r="BM196" i="20"/>
  <c r="AM100" i="20"/>
  <c r="AO100" i="20" s="1"/>
  <c r="BS100" i="20" s="1"/>
  <c r="BC100" i="20"/>
  <c r="BV100" i="20" s="1"/>
  <c r="AQ27" i="20"/>
  <c r="AT27" i="20" s="1"/>
  <c r="BC27" i="20"/>
  <c r="BV27" i="20" s="1"/>
  <c r="AM96" i="20"/>
  <c r="AO96" i="20" s="1"/>
  <c r="BS96" i="20" s="1"/>
  <c r="BC96" i="20"/>
  <c r="BV96" i="20" s="1"/>
  <c r="BP156" i="20"/>
  <c r="AK149" i="20"/>
  <c r="BM154" i="20"/>
  <c r="AM92" i="20"/>
  <c r="AO92" i="20" s="1"/>
  <c r="BS92" i="20" s="1"/>
  <c r="BC92" i="20"/>
  <c r="BV92" i="20" s="1"/>
  <c r="BP133" i="20"/>
  <c r="AM120" i="20"/>
  <c r="AO120" i="20" s="1"/>
  <c r="BS120" i="20" s="1"/>
  <c r="BC120" i="20"/>
  <c r="BV120" i="20" s="1"/>
  <c r="BM134" i="20"/>
  <c r="AK81" i="20"/>
  <c r="BR81" i="20" s="1"/>
  <c r="AM177" i="20"/>
  <c r="AO177" i="20" s="1"/>
  <c r="BS177" i="20" s="1"/>
  <c r="BC177" i="20"/>
  <c r="BV177" i="20" s="1"/>
  <c r="BM77" i="20"/>
  <c r="BK77" i="20"/>
  <c r="BO77" i="20" s="1"/>
  <c r="AM137" i="20"/>
  <c r="AO137" i="20" s="1"/>
  <c r="BS137" i="20" s="1"/>
  <c r="BC137" i="20"/>
  <c r="BV137" i="20" s="1"/>
  <c r="BM68" i="20"/>
  <c r="AM164" i="20"/>
  <c r="AO164" i="20" s="1"/>
  <c r="BS164" i="20" s="1"/>
  <c r="BC164" i="20"/>
  <c r="BV164" i="20" s="1"/>
  <c r="AM51" i="20"/>
  <c r="AO51" i="20" s="1"/>
  <c r="BS51" i="20" s="1"/>
  <c r="BC51" i="20"/>
  <c r="BV51" i="20" s="1"/>
  <c r="BC18" i="20"/>
  <c r="BV18" i="20" s="1"/>
  <c r="AQ18" i="20"/>
  <c r="AT18" i="20" s="1"/>
  <c r="BQ18" i="20" s="1"/>
  <c r="BP70" i="20"/>
  <c r="BC104" i="20"/>
  <c r="BV104" i="20" s="1"/>
  <c r="AM104" i="20"/>
  <c r="AO104" i="20" s="1"/>
  <c r="BS104" i="20" s="1"/>
  <c r="AM133" i="20"/>
  <c r="AO133" i="20" s="1"/>
  <c r="BS133" i="20" s="1"/>
  <c r="BC133" i="20"/>
  <c r="BV133" i="20" s="1"/>
  <c r="AQ14" i="20"/>
  <c r="AT14" i="20" s="1"/>
  <c r="BC14" i="20"/>
  <c r="BV14" i="20" s="1"/>
  <c r="BM176" i="20"/>
  <c r="AM149" i="20"/>
  <c r="AO149" i="20" s="1"/>
  <c r="BS149" i="20" s="1"/>
  <c r="BC149" i="20"/>
  <c r="BV149" i="20" s="1"/>
  <c r="AM170" i="20"/>
  <c r="AO170" i="20" s="1"/>
  <c r="BS170" i="20" s="1"/>
  <c r="BC170" i="20"/>
  <c r="BV170" i="20" s="1"/>
  <c r="AM160" i="20"/>
  <c r="AO160" i="20" s="1"/>
  <c r="BS160" i="20" s="1"/>
  <c r="BC160" i="20"/>
  <c r="BV160" i="20" s="1"/>
  <c r="AM109" i="20"/>
  <c r="BC109" i="20"/>
  <c r="BV109" i="20" s="1"/>
  <c r="BM141" i="20"/>
  <c r="AM129" i="20"/>
  <c r="AO129" i="20" s="1"/>
  <c r="BS129" i="20" s="1"/>
  <c r="BC129" i="20"/>
  <c r="BV129" i="20" s="1"/>
  <c r="AM73" i="20"/>
  <c r="AO73" i="20" s="1"/>
  <c r="BS73" i="20" s="1"/>
  <c r="BC73" i="20"/>
  <c r="BV73" i="20" s="1"/>
  <c r="BM142" i="20"/>
  <c r="BM174" i="20"/>
  <c r="BL63" i="21" l="1"/>
  <c r="BL38" i="21"/>
  <c r="BL12" i="21"/>
  <c r="BL24" i="21"/>
  <c r="BM107" i="21"/>
  <c r="BL30" i="21"/>
  <c r="BT36" i="20"/>
  <c r="BQ36" i="20"/>
  <c r="BC19" i="21"/>
  <c r="BV19" i="21" s="1"/>
  <c r="BL77" i="21"/>
  <c r="BT43" i="21"/>
  <c r="BL50" i="21"/>
  <c r="BL11" i="21"/>
  <c r="BL42" i="21"/>
  <c r="BL108" i="21"/>
  <c r="BL52" i="21"/>
  <c r="BL67" i="21"/>
  <c r="BL59" i="21"/>
  <c r="BL46" i="21"/>
  <c r="BL84" i="21"/>
  <c r="BL95" i="21"/>
  <c r="BL35" i="21"/>
  <c r="BL29" i="21"/>
  <c r="BL14" i="21"/>
  <c r="BL102" i="21"/>
  <c r="BL34" i="21"/>
  <c r="BM47" i="21"/>
  <c r="BL22" i="21"/>
  <c r="BL98" i="21"/>
  <c r="BL75" i="21"/>
  <c r="BL66" i="21"/>
  <c r="BM94" i="21"/>
  <c r="BL10" i="21"/>
  <c r="BL74" i="21"/>
  <c r="BL60" i="21"/>
  <c r="BL51" i="21"/>
  <c r="BL37" i="21"/>
  <c r="BL72" i="20"/>
  <c r="BM45" i="20"/>
  <c r="BM44" i="20"/>
  <c r="BM54" i="20"/>
  <c r="BI64" i="20"/>
  <c r="BK64" i="20" s="1"/>
  <c r="BO64" i="20" s="1"/>
  <c r="X109" i="20"/>
  <c r="AY109" i="20"/>
  <c r="AN109" i="20"/>
  <c r="AO109" i="20" s="1"/>
  <c r="AW109" i="20"/>
  <c r="AX109" i="20" s="1"/>
  <c r="BU109" i="20" s="1"/>
  <c r="Y109" i="20"/>
  <c r="AJ109" i="20"/>
  <c r="AK109" i="20" s="1"/>
  <c r="BR109" i="20" s="1"/>
  <c r="AD109" i="20"/>
  <c r="AE109" i="20" s="1"/>
  <c r="AF109" i="20" s="1"/>
  <c r="AA109" i="20"/>
  <c r="AB109" i="20" s="1"/>
  <c r="AC109" i="20" s="1"/>
  <c r="BQ77" i="21"/>
  <c r="BQ27" i="20"/>
  <c r="BI147" i="20"/>
  <c r="BI209" i="20"/>
  <c r="BI76" i="21"/>
  <c r="BK76" i="21" s="1"/>
  <c r="BO76" i="21" s="1"/>
  <c r="BI49" i="21"/>
  <c r="BK49" i="21" s="1"/>
  <c r="BO49" i="21" s="1"/>
  <c r="BI94" i="21"/>
  <c r="BK94" i="21" s="1"/>
  <c r="BO94" i="21" s="1"/>
  <c r="BI86" i="21"/>
  <c r="BK86" i="21" s="1"/>
  <c r="BO86" i="21" s="1"/>
  <c r="BI36" i="21"/>
  <c r="BK36" i="21" s="1"/>
  <c r="BO36" i="21" s="1"/>
  <c r="BI81" i="21"/>
  <c r="BK81" i="21" s="1"/>
  <c r="BO81" i="21" s="1"/>
  <c r="BI12" i="20"/>
  <c r="BK12" i="20" s="1"/>
  <c r="BO12" i="20" s="1"/>
  <c r="BI154" i="20"/>
  <c r="BI204" i="20"/>
  <c r="BK204" i="20" s="1"/>
  <c r="BO204" i="20" s="1"/>
  <c r="BI114" i="20"/>
  <c r="BK114" i="20" s="1"/>
  <c r="BO114" i="20" s="1"/>
  <c r="BI143" i="20"/>
  <c r="BK143" i="20" s="1"/>
  <c r="BO143" i="20" s="1"/>
  <c r="BI116" i="20"/>
  <c r="BK116" i="20" s="1"/>
  <c r="BO116" i="20" s="1"/>
  <c r="BI42" i="20"/>
  <c r="BK42" i="20" s="1"/>
  <c r="BO42" i="20" s="1"/>
  <c r="BI123" i="20"/>
  <c r="BK123" i="20" s="1"/>
  <c r="BO123" i="20" s="1"/>
  <c r="BI188" i="20"/>
  <c r="BI54" i="21"/>
  <c r="BI70" i="21"/>
  <c r="BK70" i="21" s="1"/>
  <c r="BO70" i="21" s="1"/>
  <c r="BQ14" i="20"/>
  <c r="BP62" i="21"/>
  <c r="BI62" i="21"/>
  <c r="BK62" i="21" s="1"/>
  <c r="BO62" i="21" s="1"/>
  <c r="BP14" i="21"/>
  <c r="BP108" i="21"/>
  <c r="BP27" i="21"/>
  <c r="BI27" i="21"/>
  <c r="BP87" i="21"/>
  <c r="BI87" i="21"/>
  <c r="BK87" i="21" s="1"/>
  <c r="BO87" i="21" s="1"/>
  <c r="BP98" i="21"/>
  <c r="BP90" i="21"/>
  <c r="BI42" i="21"/>
  <c r="BK42" i="21" s="1"/>
  <c r="BO42" i="21" s="1"/>
  <c r="BP25" i="21"/>
  <c r="BI25" i="21"/>
  <c r="BK25" i="21" s="1"/>
  <c r="BO25" i="21" s="1"/>
  <c r="BP83" i="21"/>
  <c r="BI83" i="21"/>
  <c r="BK83" i="21" s="1"/>
  <c r="BO83" i="21" s="1"/>
  <c r="BP20" i="21"/>
  <c r="BP39" i="21"/>
  <c r="BP100" i="21"/>
  <c r="BP10" i="21"/>
  <c r="BI10" i="21"/>
  <c r="BI48" i="21"/>
  <c r="BK48" i="21" s="1"/>
  <c r="BO48" i="21" s="1"/>
  <c r="BP91" i="21"/>
  <c r="BI91" i="21"/>
  <c r="BK91" i="21" s="1"/>
  <c r="BO91" i="21" s="1"/>
  <c r="BP50" i="21"/>
  <c r="BP13" i="21"/>
  <c r="BP12" i="21"/>
  <c r="BI12" i="21"/>
  <c r="BP21" i="21"/>
  <c r="BI21" i="21"/>
  <c r="BK21" i="21" s="1"/>
  <c r="BO21" i="21" s="1"/>
  <c r="BI80" i="21"/>
  <c r="BP51" i="21"/>
  <c r="BP15" i="21"/>
  <c r="BI15" i="21"/>
  <c r="BK15" i="21" s="1"/>
  <c r="BO15" i="21" s="1"/>
  <c r="BP96" i="21"/>
  <c r="BP24" i="21"/>
  <c r="BI24" i="21"/>
  <c r="BK24" i="21" s="1"/>
  <c r="BO24" i="21" s="1"/>
  <c r="BP77" i="21"/>
  <c r="BI77" i="21"/>
  <c r="BP106" i="21"/>
  <c r="BI106" i="21"/>
  <c r="BK106" i="21" s="1"/>
  <c r="BO106" i="21" s="1"/>
  <c r="BP47" i="21"/>
  <c r="BI47" i="21"/>
  <c r="BK47" i="21" s="1"/>
  <c r="BO47" i="21" s="1"/>
  <c r="BP63" i="21"/>
  <c r="BI63" i="21"/>
  <c r="BP105" i="21"/>
  <c r="BI105" i="21"/>
  <c r="BP92" i="21"/>
  <c r="BI92" i="21"/>
  <c r="BK92" i="21" s="1"/>
  <c r="BO92" i="21" s="1"/>
  <c r="BP69" i="21"/>
  <c r="BI69" i="21"/>
  <c r="BK69" i="21" s="1"/>
  <c r="BO69" i="21" s="1"/>
  <c r="BI107" i="21"/>
  <c r="BK107" i="21" s="1"/>
  <c r="BO107" i="21" s="1"/>
  <c r="BI22" i="21"/>
  <c r="BP34" i="21"/>
  <c r="BP26" i="21"/>
  <c r="BI26" i="21"/>
  <c r="BK26" i="21" s="1"/>
  <c r="BO26" i="21" s="1"/>
  <c r="BP52" i="21"/>
  <c r="BI52" i="21"/>
  <c r="BK52" i="21" s="1"/>
  <c r="BO52" i="21" s="1"/>
  <c r="BP31" i="21"/>
  <c r="BP97" i="21"/>
  <c r="BI97" i="21"/>
  <c r="BK97" i="21" s="1"/>
  <c r="BO97" i="21" s="1"/>
  <c r="BI28" i="21"/>
  <c r="BK28" i="21" s="1"/>
  <c r="BO28" i="21" s="1"/>
  <c r="BI84" i="21"/>
  <c r="BI38" i="21"/>
  <c r="BK38" i="21" s="1"/>
  <c r="BO38" i="21" s="1"/>
  <c r="BP73" i="21"/>
  <c r="BI73" i="21"/>
  <c r="BK73" i="21" s="1"/>
  <c r="BO73" i="21" s="1"/>
  <c r="BP101" i="21"/>
  <c r="BI101" i="21"/>
  <c r="BP78" i="21"/>
  <c r="BP82" i="21"/>
  <c r="BP23" i="21"/>
  <c r="BI23" i="21"/>
  <c r="BK23" i="21" s="1"/>
  <c r="BO23" i="21" s="1"/>
  <c r="BP68" i="21"/>
  <c r="BI68" i="21"/>
  <c r="BK68" i="21" s="1"/>
  <c r="BO68" i="21" s="1"/>
  <c r="BP43" i="21"/>
  <c r="BI43" i="21"/>
  <c r="BK43" i="21" s="1"/>
  <c r="BO43" i="21" s="1"/>
  <c r="BP60" i="21"/>
  <c r="BI79" i="21"/>
  <c r="BK79" i="21" s="1"/>
  <c r="BO79" i="21" s="1"/>
  <c r="BP109" i="21"/>
  <c r="BP37" i="21"/>
  <c r="BI37" i="21"/>
  <c r="BK37" i="21" s="1"/>
  <c r="BO37" i="21" s="1"/>
  <c r="BP11" i="21"/>
  <c r="BI11" i="21"/>
  <c r="BK11" i="21" s="1"/>
  <c r="BO11" i="21" s="1"/>
  <c r="BP88" i="21"/>
  <c r="BP89" i="21"/>
  <c r="BP45" i="21"/>
  <c r="BI45" i="21"/>
  <c r="BP71" i="21"/>
  <c r="BI40" i="21"/>
  <c r="BK40" i="21" s="1"/>
  <c r="BO40" i="21" s="1"/>
  <c r="BQ101" i="21"/>
  <c r="BS101" i="21"/>
  <c r="BQ54" i="21"/>
  <c r="BS54" i="21"/>
  <c r="BQ94" i="21"/>
  <c r="BS94" i="21"/>
  <c r="BQ43" i="21"/>
  <c r="BS43" i="21"/>
  <c r="BM76" i="21"/>
  <c r="BS76" i="21"/>
  <c r="BQ73" i="21"/>
  <c r="BS73" i="21"/>
  <c r="BM26" i="21"/>
  <c r="BS26" i="21"/>
  <c r="BQ70" i="21"/>
  <c r="BQ48" i="21"/>
  <c r="BQ28" i="21"/>
  <c r="BQ86" i="21"/>
  <c r="BQ91" i="21"/>
  <c r="BQ84" i="21"/>
  <c r="BQ38" i="21"/>
  <c r="BQ98" i="21"/>
  <c r="BQ105" i="21"/>
  <c r="BQ76" i="21"/>
  <c r="BQ22" i="21"/>
  <c r="BQ62" i="21"/>
  <c r="BQ63" i="21"/>
  <c r="BQ106" i="21"/>
  <c r="BQ47" i="21"/>
  <c r="BQ75" i="21"/>
  <c r="BQ34" i="21"/>
  <c r="BQ69" i="21"/>
  <c r="BQ83" i="21"/>
  <c r="BQ107" i="21"/>
  <c r="BQ80" i="21"/>
  <c r="BQ21" i="21"/>
  <c r="BQ15" i="21"/>
  <c r="BQ100" i="21"/>
  <c r="BQ24" i="21"/>
  <c r="BQ25" i="21"/>
  <c r="BQ10" i="21"/>
  <c r="BQ109" i="21"/>
  <c r="BQ52" i="21"/>
  <c r="BQ12" i="21"/>
  <c r="BQ37" i="21"/>
  <c r="BQ42" i="21"/>
  <c r="BQ11" i="21"/>
  <c r="BQ68" i="21"/>
  <c r="BQ14" i="21"/>
  <c r="BQ60" i="21"/>
  <c r="BQ90" i="21"/>
  <c r="BQ45" i="21"/>
  <c r="BQ40" i="21"/>
  <c r="BQ27" i="21"/>
  <c r="BQ92" i="21"/>
  <c r="BQ87" i="21"/>
  <c r="BQ23" i="21"/>
  <c r="BQ79" i="21"/>
  <c r="BQ26" i="21"/>
  <c r="BT78" i="21"/>
  <c r="BL78" i="21"/>
  <c r="BT23" i="21"/>
  <c r="BT94" i="21"/>
  <c r="BL94" i="21"/>
  <c r="BT100" i="21"/>
  <c r="BL100" i="21"/>
  <c r="BT90" i="21"/>
  <c r="BL90" i="21"/>
  <c r="BT105" i="21"/>
  <c r="BL105" i="21"/>
  <c r="BT45" i="21"/>
  <c r="BL45" i="21"/>
  <c r="BT83" i="21"/>
  <c r="BL83" i="21"/>
  <c r="BT26" i="21"/>
  <c r="BL26" i="21"/>
  <c r="BT106" i="21"/>
  <c r="BL106" i="21"/>
  <c r="BT97" i="21"/>
  <c r="BL97" i="21"/>
  <c r="BT91" i="21"/>
  <c r="BL91" i="21"/>
  <c r="BT88" i="21"/>
  <c r="BL88" i="21"/>
  <c r="BT25" i="21"/>
  <c r="BL25" i="21"/>
  <c r="BT47" i="21"/>
  <c r="BL47" i="21"/>
  <c r="BT40" i="21"/>
  <c r="BL40" i="21"/>
  <c r="BT109" i="21"/>
  <c r="BL109" i="21"/>
  <c r="BT62" i="21"/>
  <c r="BL62" i="21"/>
  <c r="BT15" i="21"/>
  <c r="BL15" i="21"/>
  <c r="BT87" i="21"/>
  <c r="BL87" i="21"/>
  <c r="BT19" i="21"/>
  <c r="BT10" i="21"/>
  <c r="BI44" i="20"/>
  <c r="BK44" i="20" s="1"/>
  <c r="BO44" i="20" s="1"/>
  <c r="BS44" i="20"/>
  <c r="BQ144" i="20"/>
  <c r="BS144" i="20"/>
  <c r="BM95" i="20"/>
  <c r="BS95" i="20"/>
  <c r="BI194" i="20"/>
  <c r="BK194" i="20" s="1"/>
  <c r="BO194" i="20" s="1"/>
  <c r="BS194" i="20"/>
  <c r="BQ149" i="20"/>
  <c r="BR149" i="20"/>
  <c r="BQ102" i="20"/>
  <c r="BR102" i="20"/>
  <c r="BQ78" i="20"/>
  <c r="BR78" i="20"/>
  <c r="BQ94" i="20"/>
  <c r="BR94" i="20"/>
  <c r="BQ160" i="20"/>
  <c r="BR160" i="20"/>
  <c r="BQ120" i="20"/>
  <c r="BR120" i="20"/>
  <c r="BQ96" i="20"/>
  <c r="BR96" i="20"/>
  <c r="BQ97" i="20"/>
  <c r="BQ156" i="20"/>
  <c r="BQ72" i="20"/>
  <c r="BQ182" i="20"/>
  <c r="BQ44" i="20"/>
  <c r="BQ104" i="20"/>
  <c r="BQ91" i="20"/>
  <c r="BQ30" i="20"/>
  <c r="BQ170" i="20"/>
  <c r="BQ173" i="20"/>
  <c r="BQ54" i="20"/>
  <c r="BQ100" i="20"/>
  <c r="BI110" i="20"/>
  <c r="BK110" i="20" s="1"/>
  <c r="BO110" i="20" s="1"/>
  <c r="BQ110" i="20"/>
  <c r="BQ164" i="20"/>
  <c r="BQ133" i="20"/>
  <c r="BQ51" i="20"/>
  <c r="BQ62" i="20"/>
  <c r="BQ115" i="20"/>
  <c r="BL90" i="20"/>
  <c r="BQ90" i="20"/>
  <c r="BQ179" i="20"/>
  <c r="BQ175" i="20"/>
  <c r="BQ195" i="20"/>
  <c r="BQ92" i="20"/>
  <c r="BQ73" i="20"/>
  <c r="BQ112" i="20"/>
  <c r="BQ108" i="20"/>
  <c r="BQ202" i="20"/>
  <c r="BQ153" i="20"/>
  <c r="BQ81" i="20"/>
  <c r="BQ121" i="20"/>
  <c r="BQ194" i="20"/>
  <c r="BQ129" i="20"/>
  <c r="BQ45" i="20"/>
  <c r="BQ107" i="20"/>
  <c r="BQ130" i="20"/>
  <c r="BQ95" i="20"/>
  <c r="BQ98" i="20"/>
  <c r="BQ138" i="20"/>
  <c r="BQ185" i="20"/>
  <c r="BQ177" i="20"/>
  <c r="BQ93" i="20"/>
  <c r="BL84" i="20"/>
  <c r="BQ84" i="20"/>
  <c r="BQ137" i="20"/>
  <c r="BQ187" i="20"/>
  <c r="BQ136" i="20"/>
  <c r="BT11" i="20"/>
  <c r="BL11" i="20"/>
  <c r="BL94" i="20"/>
  <c r="BT32" i="20"/>
  <c r="BL32" i="20"/>
  <c r="BL95" i="20"/>
  <c r="BT27" i="20"/>
  <c r="BL27" i="20"/>
  <c r="BT19" i="20"/>
  <c r="BL19" i="20"/>
  <c r="BL78" i="20"/>
  <c r="BI129" i="20"/>
  <c r="BK129" i="20" s="1"/>
  <c r="BO129" i="20" s="1"/>
  <c r="BL110" i="20"/>
  <c r="BL91" i="20"/>
  <c r="BL73" i="20"/>
  <c r="BL97" i="20"/>
  <c r="BI27" i="20"/>
  <c r="BI121" i="20"/>
  <c r="BK121" i="20" s="1"/>
  <c r="BO121" i="20" s="1"/>
  <c r="BL160" i="20"/>
  <c r="BL81" i="20"/>
  <c r="BL92" i="20"/>
  <c r="BT37" i="20"/>
  <c r="BL37" i="20"/>
  <c r="BT62" i="20"/>
  <c r="BL62" i="20"/>
  <c r="BL102" i="20"/>
  <c r="BL96" i="20"/>
  <c r="BL149" i="20"/>
  <c r="BT18" i="20"/>
  <c r="BL18" i="20"/>
  <c r="BL120" i="20"/>
  <c r="BL115" i="20"/>
  <c r="BT15" i="20"/>
  <c r="BL15" i="20"/>
  <c r="BI107" i="20"/>
  <c r="BK107" i="20" s="1"/>
  <c r="BO107" i="20" s="1"/>
  <c r="BT14" i="20"/>
  <c r="BL14" i="20"/>
  <c r="BT25" i="20"/>
  <c r="BL25" i="20"/>
  <c r="BL195" i="20"/>
  <c r="BL93" i="20"/>
  <c r="BT45" i="20"/>
  <c r="BL45" i="20"/>
  <c r="BI202" i="20"/>
  <c r="BK202" i="20" s="1"/>
  <c r="BO202" i="20" s="1"/>
  <c r="BL41" i="20"/>
  <c r="BI26" i="20"/>
  <c r="BK26" i="20" s="1"/>
  <c r="BO26" i="20" s="1"/>
  <c r="BL26" i="20"/>
  <c r="BT51" i="20"/>
  <c r="BL51" i="20"/>
  <c r="BL177" i="20"/>
  <c r="BI175" i="20"/>
  <c r="BK175" i="20" s="1"/>
  <c r="BO175" i="20" s="1"/>
  <c r="BP30" i="20"/>
  <c r="BI30" i="20"/>
  <c r="BK30" i="20" s="1"/>
  <c r="BO30" i="20" s="1"/>
  <c r="BI14" i="20"/>
  <c r="BK14" i="20" s="1"/>
  <c r="BO14" i="20" s="1"/>
  <c r="BP149" i="20"/>
  <c r="BI149" i="20"/>
  <c r="BK149" i="20" s="1"/>
  <c r="BO149" i="20" s="1"/>
  <c r="BP94" i="20"/>
  <c r="BI94" i="20"/>
  <c r="BK94" i="20" s="1"/>
  <c r="BO94" i="20" s="1"/>
  <c r="BP84" i="20"/>
  <c r="BI84" i="20"/>
  <c r="BK84" i="20" s="1"/>
  <c r="BO84" i="20" s="1"/>
  <c r="BP72" i="20"/>
  <c r="BI72" i="20"/>
  <c r="BK72" i="20" s="1"/>
  <c r="BO72" i="20" s="1"/>
  <c r="BI179" i="20"/>
  <c r="BK179" i="20" s="1"/>
  <c r="BO179" i="20" s="1"/>
  <c r="BI138" i="20"/>
  <c r="BK138" i="20" s="1"/>
  <c r="BO138" i="20" s="1"/>
  <c r="BI160" i="20"/>
  <c r="BP90" i="20"/>
  <c r="BI90" i="20"/>
  <c r="BK90" i="20" s="1"/>
  <c r="BO90" i="20" s="1"/>
  <c r="BP73" i="20"/>
  <c r="BI73" i="20"/>
  <c r="BK73" i="20" s="1"/>
  <c r="BO73" i="20" s="1"/>
  <c r="BI164" i="20"/>
  <c r="BK164" i="20" s="1"/>
  <c r="BO164" i="20" s="1"/>
  <c r="BI32" i="20"/>
  <c r="BK32" i="20" s="1"/>
  <c r="BO32" i="20" s="1"/>
  <c r="BP68" i="20"/>
  <c r="BI68" i="20"/>
  <c r="BK68" i="20" s="1"/>
  <c r="BO68" i="20" s="1"/>
  <c r="BP112" i="20"/>
  <c r="BI112" i="20"/>
  <c r="BK112" i="20" s="1"/>
  <c r="BO112" i="20" s="1"/>
  <c r="BP15" i="20"/>
  <c r="BI15" i="20"/>
  <c r="BK15" i="20" s="1"/>
  <c r="BO15" i="20" s="1"/>
  <c r="BP98" i="20"/>
  <c r="BI98" i="20"/>
  <c r="BK98" i="20" s="1"/>
  <c r="BO98" i="20" s="1"/>
  <c r="BP93" i="20"/>
  <c r="BI93" i="20"/>
  <c r="BK93" i="20" s="1"/>
  <c r="BO93" i="20" s="1"/>
  <c r="BI130" i="20"/>
  <c r="BK130" i="20" s="1"/>
  <c r="BO130" i="20" s="1"/>
  <c r="BI25" i="20"/>
  <c r="BK25" i="20" s="1"/>
  <c r="BO25" i="20" s="1"/>
  <c r="BI108" i="20"/>
  <c r="BK108" i="20" s="1"/>
  <c r="BO108" i="20" s="1"/>
  <c r="BI100" i="20"/>
  <c r="BK100" i="20" s="1"/>
  <c r="BO100" i="20" s="1"/>
  <c r="BI37" i="20"/>
  <c r="BK37" i="20" s="1"/>
  <c r="BO37" i="20" s="1"/>
  <c r="BP177" i="20"/>
  <c r="BI177" i="20"/>
  <c r="BK177" i="20" s="1"/>
  <c r="BO177" i="20" s="1"/>
  <c r="BP92" i="20"/>
  <c r="BI92" i="20"/>
  <c r="BK92" i="20" s="1"/>
  <c r="BO92" i="20" s="1"/>
  <c r="BP54" i="20"/>
  <c r="BI54" i="20"/>
  <c r="BK54" i="20" s="1"/>
  <c r="BO54" i="20" s="1"/>
  <c r="BP60" i="20"/>
  <c r="BI60" i="20"/>
  <c r="BK60" i="20" s="1"/>
  <c r="BO60" i="20" s="1"/>
  <c r="BI136" i="20"/>
  <c r="BK136" i="20" s="1"/>
  <c r="BO136" i="20" s="1"/>
  <c r="BI187" i="20"/>
  <c r="BK187" i="20" s="1"/>
  <c r="BO187" i="20" s="1"/>
  <c r="BI41" i="20"/>
  <c r="BK41" i="20" s="1"/>
  <c r="BO41" i="20" s="1"/>
  <c r="BI185" i="20"/>
  <c r="BK185" i="20" s="1"/>
  <c r="BO185" i="20" s="1"/>
  <c r="BI18" i="20"/>
  <c r="BK18" i="20" s="1"/>
  <c r="BO18" i="20" s="1"/>
  <c r="BP62" i="20"/>
  <c r="BI62" i="20"/>
  <c r="BK62" i="20" s="1"/>
  <c r="BO62" i="20" s="1"/>
  <c r="BP56" i="20"/>
  <c r="BI56" i="20"/>
  <c r="BK56" i="20" s="1"/>
  <c r="BO56" i="20" s="1"/>
  <c r="BP81" i="20"/>
  <c r="BI81" i="20"/>
  <c r="BK81" i="20" s="1"/>
  <c r="BO81" i="20" s="1"/>
  <c r="BP78" i="20"/>
  <c r="BI78" i="20"/>
  <c r="BK78" i="20" s="1"/>
  <c r="BO78" i="20" s="1"/>
  <c r="BP144" i="20"/>
  <c r="BI144" i="20"/>
  <c r="BK144" i="20" s="1"/>
  <c r="BO144" i="20" s="1"/>
  <c r="BP102" i="20"/>
  <c r="BI102" i="20"/>
  <c r="BK102" i="20" s="1"/>
  <c r="BO102" i="20" s="1"/>
  <c r="BP11" i="20"/>
  <c r="BI11" i="20"/>
  <c r="BK11" i="20" s="1"/>
  <c r="BO11" i="20" s="1"/>
  <c r="BP97" i="20"/>
  <c r="BI97" i="20"/>
  <c r="BK97" i="20" s="1"/>
  <c r="BO97" i="20" s="1"/>
  <c r="BP95" i="20"/>
  <c r="BI95" i="20"/>
  <c r="BK95" i="20" s="1"/>
  <c r="BO95" i="20" s="1"/>
  <c r="BP45" i="20"/>
  <c r="BI45" i="20"/>
  <c r="BK45" i="20" s="1"/>
  <c r="BO45" i="20" s="1"/>
  <c r="BI133" i="20"/>
  <c r="BK133" i="20" s="1"/>
  <c r="BO133" i="20" s="1"/>
  <c r="BI156" i="20"/>
  <c r="BK156" i="20" s="1"/>
  <c r="BO156" i="20" s="1"/>
  <c r="BI19" i="20"/>
  <c r="BK19" i="20" s="1"/>
  <c r="BO19" i="20" s="1"/>
  <c r="BI182" i="20"/>
  <c r="BK182" i="20" s="1"/>
  <c r="BO182" i="20" s="1"/>
  <c r="BI137" i="20"/>
  <c r="BK137" i="20" s="1"/>
  <c r="BO137" i="20" s="1"/>
  <c r="BI115" i="20"/>
  <c r="BK115" i="20" s="1"/>
  <c r="BO115" i="20" s="1"/>
  <c r="BP51" i="20"/>
  <c r="BI51" i="20"/>
  <c r="BK51" i="20" s="1"/>
  <c r="BO51" i="20" s="1"/>
  <c r="BP96" i="20"/>
  <c r="BI96" i="20"/>
  <c r="BK96" i="20" s="1"/>
  <c r="BO96" i="20" s="1"/>
  <c r="BP120" i="20"/>
  <c r="BI120" i="20"/>
  <c r="BK120" i="20" s="1"/>
  <c r="BO120" i="20" s="1"/>
  <c r="BP91" i="20"/>
  <c r="BI91" i="20"/>
  <c r="BK91" i="20" s="1"/>
  <c r="BO91" i="20" s="1"/>
  <c r="BP48" i="20"/>
  <c r="BI48" i="20"/>
  <c r="BK48" i="20" s="1"/>
  <c r="BO48" i="20" s="1"/>
  <c r="BI153" i="20"/>
  <c r="BK153" i="20" s="1"/>
  <c r="BO153" i="20" s="1"/>
  <c r="BI104" i="20"/>
  <c r="BK104" i="20" s="1"/>
  <c r="BO104" i="20" s="1"/>
  <c r="BI170" i="20"/>
  <c r="BK170" i="20" s="1"/>
  <c r="BO170" i="20" s="1"/>
  <c r="BI173" i="20"/>
  <c r="BK173" i="20" s="1"/>
  <c r="BO173" i="20" s="1"/>
  <c r="BI195" i="20"/>
  <c r="BK195" i="20" s="1"/>
  <c r="BO195" i="20" s="1"/>
  <c r="AT39" i="21"/>
  <c r="BQ39" i="21" s="1"/>
  <c r="AX103" i="21"/>
  <c r="BU103" i="21" s="1"/>
  <c r="Z64" i="21"/>
  <c r="BP64" i="21" s="1"/>
  <c r="BT70" i="21"/>
  <c r="AX53" i="21"/>
  <c r="BU53" i="21" s="1"/>
  <c r="BC75" i="21"/>
  <c r="BV75" i="21" s="1"/>
  <c r="BC56" i="21"/>
  <c r="BV56" i="21" s="1"/>
  <c r="BC33" i="21"/>
  <c r="BV33" i="21" s="1"/>
  <c r="Z19" i="21"/>
  <c r="BM45" i="21"/>
  <c r="AX56" i="21"/>
  <c r="BU56" i="21" s="1"/>
  <c r="AX18" i="21"/>
  <c r="BU18" i="21" s="1"/>
  <c r="AO31" i="21"/>
  <c r="BS31" i="21" s="1"/>
  <c r="AX104" i="21"/>
  <c r="BU104" i="21" s="1"/>
  <c r="Z104" i="21"/>
  <c r="AX19" i="21"/>
  <c r="BM19" i="21" s="1"/>
  <c r="BM106" i="21"/>
  <c r="BC14" i="21"/>
  <c r="BV14" i="21" s="1"/>
  <c r="AX33" i="21"/>
  <c r="BU33" i="21" s="1"/>
  <c r="Z65" i="21"/>
  <c r="AK61" i="21"/>
  <c r="BR61" i="21" s="1"/>
  <c r="BU94" i="21"/>
  <c r="AK57" i="21"/>
  <c r="BR57" i="21" s="1"/>
  <c r="AK71" i="21"/>
  <c r="BR71" i="21" s="1"/>
  <c r="AK53" i="21"/>
  <c r="BR53" i="21" s="1"/>
  <c r="AT56" i="21"/>
  <c r="AK104" i="21"/>
  <c r="BR104" i="21" s="1"/>
  <c r="BM21" i="21"/>
  <c r="Z53" i="21"/>
  <c r="AK56" i="21"/>
  <c r="BR56" i="21" s="1"/>
  <c r="AT18" i="21"/>
  <c r="AO41" i="21"/>
  <c r="BS41" i="21" s="1"/>
  <c r="Z18" i="21"/>
  <c r="AK9" i="21"/>
  <c r="BR9" i="21" s="1"/>
  <c r="AX64" i="21"/>
  <c r="AK41" i="21"/>
  <c r="BR41" i="21" s="1"/>
  <c r="AK65" i="21"/>
  <c r="BR65" i="21" s="1"/>
  <c r="Z33" i="21"/>
  <c r="Z41" i="21"/>
  <c r="AT71" i="21"/>
  <c r="AK18" i="21"/>
  <c r="BR18" i="21" s="1"/>
  <c r="BM13" i="21"/>
  <c r="AT104" i="21"/>
  <c r="BM105" i="21"/>
  <c r="BM20" i="21"/>
  <c r="BM96" i="21"/>
  <c r="BM87" i="21"/>
  <c r="BM40" i="21"/>
  <c r="BM24" i="21"/>
  <c r="BC89" i="21"/>
  <c r="BV89" i="21" s="1"/>
  <c r="AK19" i="21"/>
  <c r="BR19" i="21" s="1"/>
  <c r="AX65" i="21"/>
  <c r="BU65" i="21" s="1"/>
  <c r="AT33" i="21"/>
  <c r="BM83" i="21"/>
  <c r="AK33" i="21"/>
  <c r="BR33" i="21" s="1"/>
  <c r="AT64" i="21"/>
  <c r="BC64" i="21"/>
  <c r="BV64" i="21" s="1"/>
  <c r="BU83" i="21"/>
  <c r="AX71" i="21"/>
  <c r="BU71" i="21" s="1"/>
  <c r="BT14" i="21"/>
  <c r="BC60" i="21"/>
  <c r="BV60" i="21" s="1"/>
  <c r="Z61" i="21"/>
  <c r="BC90" i="21"/>
  <c r="BV90" i="21" s="1"/>
  <c r="AT55" i="21"/>
  <c r="BC55" i="21"/>
  <c r="BV55" i="21" s="1"/>
  <c r="Z93" i="21"/>
  <c r="BC71" i="21"/>
  <c r="BV71" i="21" s="1"/>
  <c r="BM52" i="21"/>
  <c r="BC41" i="21"/>
  <c r="BV41" i="21" s="1"/>
  <c r="AX61" i="21"/>
  <c r="BU61" i="21" s="1"/>
  <c r="AO33" i="21"/>
  <c r="BS33" i="21" s="1"/>
  <c r="AX58" i="21"/>
  <c r="BU58" i="21" s="1"/>
  <c r="AQ89" i="21"/>
  <c r="AT89" i="21" s="1"/>
  <c r="BQ89" i="21" s="1"/>
  <c r="BM90" i="21"/>
  <c r="AT41" i="21"/>
  <c r="AO35" i="21"/>
  <c r="BS35" i="21" s="1"/>
  <c r="AT61" i="21"/>
  <c r="Z16" i="21"/>
  <c r="H2" i="20"/>
  <c r="BT69" i="21"/>
  <c r="BM60" i="21"/>
  <c r="BU60" i="21"/>
  <c r="BT52" i="21"/>
  <c r="Z103" i="21"/>
  <c r="AX93" i="21"/>
  <c r="BU93" i="21" s="1"/>
  <c r="AX41" i="21"/>
  <c r="BU41" i="21" s="1"/>
  <c r="AT65" i="21"/>
  <c r="AO16" i="21"/>
  <c r="BS16" i="21" s="1"/>
  <c r="Z56" i="21"/>
  <c r="Z9" i="21"/>
  <c r="AT58" i="21"/>
  <c r="BM37" i="21"/>
  <c r="BK77" i="21"/>
  <c r="BO77" i="21" s="1"/>
  <c r="BC58" i="21"/>
  <c r="BV58" i="21" s="1"/>
  <c r="BC103" i="21"/>
  <c r="BV103" i="21" s="1"/>
  <c r="AT103" i="21"/>
  <c r="AT53" i="21"/>
  <c r="BC16" i="21"/>
  <c r="BV16" i="21" s="1"/>
  <c r="AT16" i="21"/>
  <c r="BL16" i="21" s="1"/>
  <c r="AO88" i="21"/>
  <c r="BI88" i="21" s="1"/>
  <c r="BC100" i="21"/>
  <c r="BV100" i="21" s="1"/>
  <c r="BC93" i="21"/>
  <c r="BV93" i="21" s="1"/>
  <c r="AT93" i="21"/>
  <c r="AT57" i="21"/>
  <c r="BT12" i="21"/>
  <c r="Z57" i="21"/>
  <c r="BU75" i="21"/>
  <c r="BM75" i="21"/>
  <c r="BT107" i="21"/>
  <c r="AT20" i="21"/>
  <c r="BQ20" i="21" s="1"/>
  <c r="BU87" i="21"/>
  <c r="BT101" i="21"/>
  <c r="BU13" i="21"/>
  <c r="BM69" i="21"/>
  <c r="BM39" i="21"/>
  <c r="BM73" i="21"/>
  <c r="BM92" i="21"/>
  <c r="BM25" i="21"/>
  <c r="AX57" i="21"/>
  <c r="BU57" i="21" s="1"/>
  <c r="BM11" i="21"/>
  <c r="BT108" i="21"/>
  <c r="Z58" i="21"/>
  <c r="BT73" i="21"/>
  <c r="BM68" i="21"/>
  <c r="AT96" i="21"/>
  <c r="BQ96" i="21" s="1"/>
  <c r="BC98" i="21"/>
  <c r="BV98" i="21" s="1"/>
  <c r="BM98" i="21"/>
  <c r="BM27" i="21"/>
  <c r="BM12" i="21"/>
  <c r="BK45" i="21"/>
  <c r="BO45" i="21" s="1"/>
  <c r="BU89" i="21"/>
  <c r="BM89" i="21"/>
  <c r="BK27" i="21"/>
  <c r="BO27" i="21" s="1"/>
  <c r="BC34" i="21"/>
  <c r="BV34" i="21" s="1"/>
  <c r="BT31" i="21"/>
  <c r="BT24" i="21"/>
  <c r="AO103" i="21"/>
  <c r="BT68" i="21"/>
  <c r="BU108" i="21"/>
  <c r="AM108" i="21"/>
  <c r="AO108" i="21" s="1"/>
  <c r="BC108" i="21"/>
  <c r="BV108" i="21" s="1"/>
  <c r="BU14" i="21"/>
  <c r="BM14" i="21"/>
  <c r="BT34" i="21"/>
  <c r="AM65" i="21"/>
  <c r="AO65" i="21" s="1"/>
  <c r="BS65" i="21" s="1"/>
  <c r="BC65" i="21"/>
  <c r="BV65" i="21" s="1"/>
  <c r="BU63" i="21"/>
  <c r="BM63" i="21"/>
  <c r="BK63" i="21"/>
  <c r="BO63" i="21" s="1"/>
  <c r="AO64" i="21"/>
  <c r="BU34" i="21"/>
  <c r="BM34" i="21"/>
  <c r="AO50" i="21"/>
  <c r="BI50" i="21" s="1"/>
  <c r="BM10" i="21"/>
  <c r="BK12" i="21"/>
  <c r="BO12" i="21" s="1"/>
  <c r="AQ13" i="21"/>
  <c r="AT13" i="21" s="1"/>
  <c r="BL13" i="21" s="1"/>
  <c r="BC13" i="21"/>
  <c r="BV13" i="21" s="1"/>
  <c r="BT63" i="21"/>
  <c r="BU78" i="21"/>
  <c r="BK105" i="21"/>
  <c r="BO105" i="21" s="1"/>
  <c r="BT50" i="21"/>
  <c r="AM57" i="21"/>
  <c r="AO57" i="21" s="1"/>
  <c r="BS57" i="21" s="1"/>
  <c r="BC57" i="21"/>
  <c r="BV57" i="21" s="1"/>
  <c r="BT42" i="21"/>
  <c r="BU62" i="21"/>
  <c r="BM62" i="21"/>
  <c r="BP42" i="21"/>
  <c r="AM104" i="21"/>
  <c r="AO104" i="21" s="1"/>
  <c r="BS104" i="21" s="1"/>
  <c r="BC104" i="21"/>
  <c r="BV104" i="21" s="1"/>
  <c r="BU42" i="21"/>
  <c r="BM42" i="21"/>
  <c r="BU79" i="21"/>
  <c r="BM79" i="21"/>
  <c r="BU50" i="21"/>
  <c r="BU15" i="21"/>
  <c r="BM15" i="21"/>
  <c r="Z55" i="21"/>
  <c r="Z72" i="21"/>
  <c r="BM23" i="21"/>
  <c r="AO51" i="21"/>
  <c r="BS51" i="21" s="1"/>
  <c r="BT95" i="21"/>
  <c r="BU95" i="21"/>
  <c r="BP95" i="21"/>
  <c r="BM109" i="21"/>
  <c r="BU109" i="21"/>
  <c r="BT60" i="21"/>
  <c r="AQ82" i="21"/>
  <c r="AT82" i="21" s="1"/>
  <c r="BL82" i="21" s="1"/>
  <c r="BC82" i="21"/>
  <c r="BV82" i="21" s="1"/>
  <c r="BT51" i="21"/>
  <c r="BM84" i="20"/>
  <c r="BU45" i="20"/>
  <c r="AO58" i="21"/>
  <c r="BS58" i="21" s="1"/>
  <c r="BU91" i="21"/>
  <c r="BM91" i="21"/>
  <c r="BC78" i="21"/>
  <c r="BV78" i="21" s="1"/>
  <c r="AM78" i="21"/>
  <c r="AO78" i="21" s="1"/>
  <c r="AT72" i="21"/>
  <c r="BC109" i="21"/>
  <c r="BV109" i="21" s="1"/>
  <c r="BU100" i="21"/>
  <c r="BM100" i="21"/>
  <c r="AO55" i="21"/>
  <c r="BS55" i="21" s="1"/>
  <c r="AM95" i="21"/>
  <c r="AO95" i="21" s="1"/>
  <c r="BC95" i="21"/>
  <c r="BV95" i="21" s="1"/>
  <c r="BT21" i="21"/>
  <c r="BT92" i="21"/>
  <c r="BT98" i="21"/>
  <c r="BU86" i="21"/>
  <c r="BM86" i="21"/>
  <c r="BU48" i="21"/>
  <c r="BM48" i="21"/>
  <c r="BU82" i="21"/>
  <c r="BM82" i="21"/>
  <c r="AX85" i="21"/>
  <c r="BU85" i="21" s="1"/>
  <c r="Z32" i="21"/>
  <c r="AX72" i="21"/>
  <c r="BU72" i="21" s="1"/>
  <c r="BK80" i="21"/>
  <c r="BO80" i="21" s="1"/>
  <c r="BT80" i="21"/>
  <c r="BP22" i="21"/>
  <c r="BK22" i="21"/>
  <c r="BO22" i="21" s="1"/>
  <c r="BU30" i="21"/>
  <c r="BU22" i="21"/>
  <c r="BM22" i="21"/>
  <c r="BT102" i="21"/>
  <c r="BP28" i="21"/>
  <c r="BU84" i="21"/>
  <c r="BM84" i="21"/>
  <c r="BT22" i="21"/>
  <c r="BT86" i="21"/>
  <c r="BT30" i="21"/>
  <c r="BP102" i="21"/>
  <c r="BU55" i="21"/>
  <c r="BT38" i="21"/>
  <c r="AT17" i="21"/>
  <c r="BL17" i="21" s="1"/>
  <c r="BU59" i="21"/>
  <c r="BT54" i="21"/>
  <c r="BT74" i="21"/>
  <c r="BP35" i="21"/>
  <c r="BT67" i="21"/>
  <c r="BP29" i="21"/>
  <c r="AT32" i="21"/>
  <c r="BL32" i="21" s="1"/>
  <c r="BC46" i="21"/>
  <c r="BV46" i="21" s="1"/>
  <c r="AM46" i="21"/>
  <c r="AO46" i="21" s="1"/>
  <c r="BS46" i="21" s="1"/>
  <c r="BT99" i="21"/>
  <c r="AX17" i="21"/>
  <c r="BT59" i="21"/>
  <c r="BP54" i="21"/>
  <c r="BK54" i="21"/>
  <c r="BO54" i="21" s="1"/>
  <c r="AO30" i="21"/>
  <c r="BI30" i="21" s="1"/>
  <c r="Z85" i="21"/>
  <c r="BU67" i="21"/>
  <c r="BU29" i="21"/>
  <c r="BT84" i="21"/>
  <c r="BT28" i="21"/>
  <c r="BU9" i="21"/>
  <c r="BM9" i="21"/>
  <c r="BT75" i="21"/>
  <c r="BP59" i="21"/>
  <c r="BU54" i="21"/>
  <c r="BM54" i="21"/>
  <c r="BP84" i="21"/>
  <c r="BK84" i="21"/>
  <c r="BO84" i="21" s="1"/>
  <c r="BP46" i="21"/>
  <c r="AM61" i="21"/>
  <c r="AO61" i="21" s="1"/>
  <c r="BS61" i="21" s="1"/>
  <c r="BC61" i="21"/>
  <c r="BV61" i="21" s="1"/>
  <c r="BP66" i="21"/>
  <c r="BT11" i="21"/>
  <c r="AO93" i="21"/>
  <c r="BS93" i="21" s="1"/>
  <c r="BT48" i="21"/>
  <c r="BT79" i="21"/>
  <c r="Z17" i="21"/>
  <c r="BP38" i="21"/>
  <c r="AM44" i="21"/>
  <c r="AO44" i="21" s="1"/>
  <c r="BS44" i="21" s="1"/>
  <c r="BC44" i="21"/>
  <c r="BV44" i="21" s="1"/>
  <c r="AM18" i="21"/>
  <c r="AO18" i="21" s="1"/>
  <c r="BS18" i="21" s="1"/>
  <c r="BC18" i="21"/>
  <c r="BV18" i="21" s="1"/>
  <c r="BU35" i="21"/>
  <c r="AT85" i="21"/>
  <c r="BL85" i="21" s="1"/>
  <c r="AM29" i="21"/>
  <c r="AO29" i="21" s="1"/>
  <c r="BS29" i="21" s="1"/>
  <c r="BC29" i="21"/>
  <c r="BV29" i="21" s="1"/>
  <c r="BT46" i="21"/>
  <c r="BK10" i="21"/>
  <c r="BO10" i="21" s="1"/>
  <c r="BK101" i="21"/>
  <c r="BO101" i="21" s="1"/>
  <c r="BP99" i="21"/>
  <c r="BU66" i="21"/>
  <c r="BU28" i="21"/>
  <c r="BM28" i="21"/>
  <c r="BC59" i="21"/>
  <c r="BV59" i="21" s="1"/>
  <c r="AM59" i="21"/>
  <c r="AO59" i="21" s="1"/>
  <c r="BS59" i="21" s="1"/>
  <c r="BT9" i="21"/>
  <c r="BT35" i="21"/>
  <c r="AM85" i="21"/>
  <c r="AO85" i="21" s="1"/>
  <c r="BS85" i="21" s="1"/>
  <c r="BC85" i="21"/>
  <c r="BV85" i="21" s="1"/>
  <c r="BT29" i="21"/>
  <c r="AO99" i="21"/>
  <c r="BS99" i="21" s="1"/>
  <c r="BU38" i="21"/>
  <c r="BM38" i="21"/>
  <c r="BU101" i="21"/>
  <c r="BM101" i="21"/>
  <c r="AO66" i="21"/>
  <c r="BS66" i="21" s="1"/>
  <c r="AX44" i="21"/>
  <c r="AM72" i="21"/>
  <c r="AO72" i="21" s="1"/>
  <c r="BS72" i="21" s="1"/>
  <c r="BC72" i="21"/>
  <c r="BV72" i="21" s="1"/>
  <c r="BU102" i="21"/>
  <c r="BU74" i="21"/>
  <c r="AM67" i="21"/>
  <c r="AO67" i="21" s="1"/>
  <c r="BS67" i="21" s="1"/>
  <c r="BC67" i="21"/>
  <c r="BV67" i="21" s="1"/>
  <c r="BP86" i="21"/>
  <c r="BT66" i="21"/>
  <c r="BU16" i="21"/>
  <c r="BM16" i="21"/>
  <c r="AM53" i="21"/>
  <c r="AO53" i="21" s="1"/>
  <c r="BS53" i="21" s="1"/>
  <c r="BC53" i="21"/>
  <c r="BV53" i="21" s="1"/>
  <c r="AT44" i="21"/>
  <c r="BL44" i="21" s="1"/>
  <c r="BP74" i="21"/>
  <c r="BP67" i="21"/>
  <c r="AX32" i="21"/>
  <c r="BP75" i="21"/>
  <c r="BP30" i="21"/>
  <c r="BU70" i="21"/>
  <c r="BM70" i="21"/>
  <c r="BC17" i="21"/>
  <c r="BV17" i="21" s="1"/>
  <c r="AM17" i="21"/>
  <c r="AO17" i="21" s="1"/>
  <c r="BS17" i="21" s="1"/>
  <c r="AO102" i="21"/>
  <c r="BS102" i="21" s="1"/>
  <c r="Z44" i="21"/>
  <c r="AM74" i="21"/>
  <c r="AO74" i="21" s="1"/>
  <c r="BS74" i="21" s="1"/>
  <c r="BC74" i="21"/>
  <c r="BV74" i="21" s="1"/>
  <c r="BP70" i="21"/>
  <c r="BP48" i="21"/>
  <c r="BU99" i="21"/>
  <c r="AM32" i="21"/>
  <c r="AO32" i="21" s="1"/>
  <c r="BS32" i="21" s="1"/>
  <c r="BC32" i="21"/>
  <c r="BV32" i="21" s="1"/>
  <c r="BU46" i="21"/>
  <c r="BM182" i="20"/>
  <c r="BU44" i="20"/>
  <c r="BT44" i="20"/>
  <c r="BK147" i="20"/>
  <c r="BO147" i="20" s="1"/>
  <c r="BM179" i="20"/>
  <c r="BM90" i="20"/>
  <c r="BM98" i="20"/>
  <c r="BK209" i="20"/>
  <c r="BM130" i="20"/>
  <c r="BM94" i="20"/>
  <c r="BM108" i="20"/>
  <c r="BK188" i="20"/>
  <c r="BO188" i="20" s="1"/>
  <c r="BM187" i="20"/>
  <c r="BK154" i="20"/>
  <c r="BO154" i="20" s="1"/>
  <c r="BM93" i="20"/>
  <c r="BM102" i="20"/>
  <c r="BM202" i="20"/>
  <c r="BM72" i="20"/>
  <c r="BM112" i="20"/>
  <c r="BU14" i="20"/>
  <c r="BM173" i="20"/>
  <c r="BM194" i="20"/>
  <c r="BM115" i="20"/>
  <c r="BM27" i="20"/>
  <c r="BU27" i="20"/>
  <c r="BM51" i="20"/>
  <c r="BU51" i="20"/>
  <c r="BM30" i="20"/>
  <c r="BU30" i="20"/>
  <c r="BT54" i="20"/>
  <c r="BM144" i="20"/>
  <c r="BT41" i="20"/>
  <c r="BT26" i="20"/>
  <c r="BT30" i="20"/>
  <c r="BM78" i="20"/>
  <c r="BM91" i="20"/>
  <c r="BM136" i="20"/>
  <c r="BM153" i="20"/>
  <c r="BM138" i="20"/>
  <c r="BM185" i="20"/>
  <c r="BM121" i="20"/>
  <c r="BM107" i="20"/>
  <c r="BM97" i="20"/>
  <c r="BM73" i="20"/>
  <c r="BM164" i="20"/>
  <c r="BM120" i="20"/>
  <c r="BM156" i="20"/>
  <c r="BM177" i="20"/>
  <c r="BM96" i="20"/>
  <c r="BM81" i="20"/>
  <c r="BM129" i="20"/>
  <c r="BP160" i="20"/>
  <c r="BK160" i="20"/>
  <c r="BO160" i="20" s="1"/>
  <c r="BM160" i="20"/>
  <c r="BM149" i="20"/>
  <c r="BM133" i="20"/>
  <c r="BM92" i="20"/>
  <c r="BM170" i="20"/>
  <c r="BM104" i="20"/>
  <c r="BM137" i="20"/>
  <c r="BK27" i="20"/>
  <c r="BO27" i="20" s="1"/>
  <c r="BM175" i="20"/>
  <c r="BM62" i="20"/>
  <c r="BM110" i="20"/>
  <c r="BM195" i="20"/>
  <c r="BM100" i="20"/>
  <c r="BM46" i="21" l="1"/>
  <c r="BM35" i="21"/>
  <c r="BM50" i="21"/>
  <c r="BM31" i="21"/>
  <c r="BM55" i="21"/>
  <c r="BM30" i="21"/>
  <c r="BM88" i="21"/>
  <c r="BL9" i="21"/>
  <c r="BL19" i="21"/>
  <c r="BM64" i="21"/>
  <c r="Z109" i="20"/>
  <c r="BP109" i="20" s="1"/>
  <c r="BT39" i="21"/>
  <c r="BL109" i="20"/>
  <c r="BS109" i="20"/>
  <c r="BQ109" i="20"/>
  <c r="BM109" i="20"/>
  <c r="BI95" i="21"/>
  <c r="BK95" i="21" s="1"/>
  <c r="BO95" i="21" s="1"/>
  <c r="BI108" i="21"/>
  <c r="BK108" i="21" s="1"/>
  <c r="BO108" i="21" s="1"/>
  <c r="BI60" i="21"/>
  <c r="BK60" i="21" s="1"/>
  <c r="BO60" i="21" s="1"/>
  <c r="BI34" i="21"/>
  <c r="BK34" i="21" s="1"/>
  <c r="BO34" i="21" s="1"/>
  <c r="BI109" i="21"/>
  <c r="BK109" i="21" s="1"/>
  <c r="BI100" i="21"/>
  <c r="BK100" i="21" s="1"/>
  <c r="BO100" i="21" s="1"/>
  <c r="BI78" i="21"/>
  <c r="BK78" i="21" s="1"/>
  <c r="BO78" i="21" s="1"/>
  <c r="BI90" i="21"/>
  <c r="BK90" i="21" s="1"/>
  <c r="BO90" i="21" s="1"/>
  <c r="BI14" i="21"/>
  <c r="BK14" i="21" s="1"/>
  <c r="BO14" i="21" s="1"/>
  <c r="BI75" i="21"/>
  <c r="BK75" i="21" s="1"/>
  <c r="BO75" i="21" s="1"/>
  <c r="BI98" i="21"/>
  <c r="BK98" i="21" s="1"/>
  <c r="BO98" i="21" s="1"/>
  <c r="BP56" i="21"/>
  <c r="BI56" i="21"/>
  <c r="BK56" i="21" s="1"/>
  <c r="BO56" i="21" s="1"/>
  <c r="BP93" i="21"/>
  <c r="BI93" i="21"/>
  <c r="BK93" i="21" s="1"/>
  <c r="BO93" i="21" s="1"/>
  <c r="BP65" i="21"/>
  <c r="BI65" i="21"/>
  <c r="BK65" i="21" s="1"/>
  <c r="BO65" i="21" s="1"/>
  <c r="BI29" i="21"/>
  <c r="BK29" i="21" s="1"/>
  <c r="BO29" i="21" s="1"/>
  <c r="BI71" i="21"/>
  <c r="BK71" i="21" s="1"/>
  <c r="BO71" i="21" s="1"/>
  <c r="BI31" i="21"/>
  <c r="BK31" i="21" s="1"/>
  <c r="BO31" i="21" s="1"/>
  <c r="BI67" i="21"/>
  <c r="BK67" i="21" s="1"/>
  <c r="BO67" i="21" s="1"/>
  <c r="BI66" i="21"/>
  <c r="BK66" i="21" s="1"/>
  <c r="BO66" i="21" s="1"/>
  <c r="BI20" i="21"/>
  <c r="BK20" i="21" s="1"/>
  <c r="BO20" i="21" s="1"/>
  <c r="BI59" i="21"/>
  <c r="BK59" i="21" s="1"/>
  <c r="H3" i="21" s="1"/>
  <c r="BI64" i="21"/>
  <c r="BK64" i="21" s="1"/>
  <c r="BO64" i="21" s="1"/>
  <c r="BI99" i="21"/>
  <c r="BK99" i="21" s="1"/>
  <c r="BO99" i="21" s="1"/>
  <c r="BI85" i="21"/>
  <c r="BK85" i="21" s="1"/>
  <c r="BO85" i="21" s="1"/>
  <c r="BP32" i="21"/>
  <c r="BI32" i="21"/>
  <c r="BK32" i="21" s="1"/>
  <c r="BO32" i="21" s="1"/>
  <c r="BP16" i="21"/>
  <c r="BI16" i="21"/>
  <c r="BK16" i="21" s="1"/>
  <c r="BO16" i="21" s="1"/>
  <c r="BP18" i="21"/>
  <c r="BI18" i="21"/>
  <c r="BK18" i="21" s="1"/>
  <c r="BO18" i="21" s="1"/>
  <c r="BP19" i="21"/>
  <c r="BI19" i="21"/>
  <c r="BK19" i="21" s="1"/>
  <c r="BO19" i="21" s="1"/>
  <c r="BI82" i="21"/>
  <c r="BK82" i="21" s="1"/>
  <c r="BO82" i="21" s="1"/>
  <c r="BI35" i="21"/>
  <c r="BK35" i="21" s="1"/>
  <c r="BO35" i="21" s="1"/>
  <c r="BI102" i="21"/>
  <c r="BK102" i="21" s="1"/>
  <c r="BO102" i="21" s="1"/>
  <c r="BI51" i="21"/>
  <c r="BK51" i="21" s="1"/>
  <c r="BO51" i="21" s="1"/>
  <c r="BI13" i="21"/>
  <c r="BK13" i="21" s="1"/>
  <c r="BO13" i="21" s="1"/>
  <c r="BP72" i="21"/>
  <c r="BI72" i="21"/>
  <c r="BK72" i="21" s="1"/>
  <c r="BO72" i="21" s="1"/>
  <c r="BP61" i="21"/>
  <c r="BI61" i="21"/>
  <c r="BK61" i="21" s="1"/>
  <c r="BO61" i="21" s="1"/>
  <c r="BI74" i="21"/>
  <c r="BK74" i="21" s="1"/>
  <c r="BO74" i="21" s="1"/>
  <c r="BP58" i="21"/>
  <c r="BI58" i="21"/>
  <c r="BK58" i="21" s="1"/>
  <c r="BO58" i="21" s="1"/>
  <c r="BP103" i="21"/>
  <c r="BI103" i="21"/>
  <c r="BK103" i="21" s="1"/>
  <c r="BO103" i="21" s="1"/>
  <c r="BP41" i="21"/>
  <c r="BI41" i="21"/>
  <c r="BK41" i="21" s="1"/>
  <c r="BO41" i="21" s="1"/>
  <c r="BP104" i="21"/>
  <c r="BI104" i="21"/>
  <c r="BK104" i="21" s="1"/>
  <c r="BO104" i="21" s="1"/>
  <c r="BI89" i="21"/>
  <c r="BK89" i="21" s="1"/>
  <c r="BO89" i="21" s="1"/>
  <c r="BI17" i="21"/>
  <c r="BK17" i="21" s="1"/>
  <c r="BO17" i="21" s="1"/>
  <c r="BP55" i="21"/>
  <c r="BI55" i="21"/>
  <c r="BK55" i="21" s="1"/>
  <c r="BO55" i="21" s="1"/>
  <c r="BP33" i="21"/>
  <c r="BI33" i="21"/>
  <c r="BK33" i="21" s="1"/>
  <c r="BO33" i="21" s="1"/>
  <c r="BI44" i="21"/>
  <c r="BK44" i="21" s="1"/>
  <c r="BO44" i="21" s="1"/>
  <c r="BP57" i="21"/>
  <c r="BI57" i="21"/>
  <c r="BK57" i="21" s="1"/>
  <c r="BO57" i="21" s="1"/>
  <c r="BP53" i="21"/>
  <c r="BI53" i="21"/>
  <c r="BK53" i="21" s="1"/>
  <c r="BO53" i="21" s="1"/>
  <c r="BI46" i="21"/>
  <c r="BK46" i="21" s="1"/>
  <c r="BO46" i="21" s="1"/>
  <c r="BI96" i="21"/>
  <c r="BK96" i="21" s="1"/>
  <c r="BO96" i="21" s="1"/>
  <c r="BI39" i="21"/>
  <c r="BK39" i="21" s="1"/>
  <c r="BO39" i="21" s="1"/>
  <c r="BP9" i="21"/>
  <c r="BI9" i="21"/>
  <c r="BK9" i="21" s="1"/>
  <c r="BO9" i="21" s="1"/>
  <c r="BM78" i="21"/>
  <c r="BS78" i="21"/>
  <c r="BM95" i="21"/>
  <c r="BS95" i="21"/>
  <c r="BM103" i="21"/>
  <c r="BS103" i="21"/>
  <c r="BK30" i="21"/>
  <c r="BO30" i="21" s="1"/>
  <c r="BS30" i="21"/>
  <c r="BQ64" i="21"/>
  <c r="BS64" i="21"/>
  <c r="BK88" i="21"/>
  <c r="BO88" i="21" s="1"/>
  <c r="BS88" i="21"/>
  <c r="BQ50" i="21"/>
  <c r="BS50" i="21"/>
  <c r="BM108" i="21"/>
  <c r="BS108" i="21"/>
  <c r="BQ53" i="21"/>
  <c r="BQ32" i="21"/>
  <c r="BQ108" i="21"/>
  <c r="BQ71" i="21"/>
  <c r="BQ102" i="21"/>
  <c r="BQ95" i="21"/>
  <c r="BQ30" i="21"/>
  <c r="BQ56" i="21"/>
  <c r="BQ57" i="21"/>
  <c r="BQ59" i="21"/>
  <c r="BQ31" i="21"/>
  <c r="BQ74" i="21"/>
  <c r="BQ19" i="21"/>
  <c r="BQ65" i="21"/>
  <c r="BQ17" i="21"/>
  <c r="BQ44" i="21"/>
  <c r="BQ99" i="21"/>
  <c r="BQ41" i="21"/>
  <c r="BQ61" i="21"/>
  <c r="BQ88" i="21"/>
  <c r="BQ93" i="21"/>
  <c r="BQ58" i="21"/>
  <c r="BQ103" i="21"/>
  <c r="BQ29" i="21"/>
  <c r="BQ51" i="21"/>
  <c r="BQ78" i="21"/>
  <c r="BQ46" i="21"/>
  <c r="BQ18" i="21"/>
  <c r="BQ104" i="21"/>
  <c r="BQ72" i="21"/>
  <c r="BQ55" i="21"/>
  <c r="BQ85" i="21"/>
  <c r="BQ16" i="21"/>
  <c r="BQ13" i="21"/>
  <c r="BQ67" i="21"/>
  <c r="BQ33" i="21"/>
  <c r="BQ82" i="21"/>
  <c r="BQ66" i="21"/>
  <c r="BQ35" i="21"/>
  <c r="BQ9" i="21"/>
  <c r="BT65" i="21"/>
  <c r="BL65" i="21"/>
  <c r="BT104" i="21"/>
  <c r="BL104" i="21"/>
  <c r="BT93" i="21"/>
  <c r="BL93" i="21"/>
  <c r="BT72" i="21"/>
  <c r="BL72" i="21"/>
  <c r="BT89" i="21"/>
  <c r="BL89" i="21"/>
  <c r="BT96" i="21"/>
  <c r="BL96" i="21"/>
  <c r="BT55" i="21"/>
  <c r="BL55" i="21"/>
  <c r="BT64" i="21"/>
  <c r="BL64" i="21"/>
  <c r="BT61" i="21"/>
  <c r="BL61" i="21"/>
  <c r="BT56" i="21"/>
  <c r="BL56" i="21"/>
  <c r="BT41" i="21"/>
  <c r="BL41" i="21"/>
  <c r="BT58" i="21"/>
  <c r="BL58" i="21"/>
  <c r="BT71" i="21"/>
  <c r="BL71" i="21"/>
  <c r="BT53" i="21"/>
  <c r="BL53" i="21"/>
  <c r="BT33" i="21"/>
  <c r="BL33" i="21"/>
  <c r="BT18" i="21"/>
  <c r="BL18" i="21"/>
  <c r="BT20" i="21"/>
  <c r="BL20" i="21"/>
  <c r="BT57" i="21"/>
  <c r="BL57" i="21"/>
  <c r="BT103" i="21"/>
  <c r="BL103" i="21"/>
  <c r="BL39" i="21"/>
  <c r="BM56" i="21"/>
  <c r="BU19" i="21"/>
  <c r="BU64" i="21"/>
  <c r="BM65" i="21"/>
  <c r="BM51" i="21"/>
  <c r="BM18" i="21"/>
  <c r="BM74" i="21"/>
  <c r="BM66" i="21"/>
  <c r="BM67" i="21"/>
  <c r="BM61" i="21"/>
  <c r="BM99" i="21"/>
  <c r="BM102" i="21"/>
  <c r="BM29" i="21"/>
  <c r="BM104" i="21"/>
  <c r="BM33" i="21"/>
  <c r="BM59" i="21"/>
  <c r="BM53" i="21"/>
  <c r="BM93" i="21"/>
  <c r="BM71" i="21"/>
  <c r="BM58" i="21"/>
  <c r="BM41" i="21"/>
  <c r="BT16" i="21"/>
  <c r="BM57" i="21"/>
  <c r="BK50" i="21"/>
  <c r="BO50" i="21" s="1"/>
  <c r="BT13" i="21"/>
  <c r="BM85" i="21"/>
  <c r="BT82" i="21"/>
  <c r="BM72" i="21"/>
  <c r="BP44" i="21"/>
  <c r="BT44" i="21"/>
  <c r="BP17" i="21"/>
  <c r="BT32" i="21"/>
  <c r="BT17" i="21"/>
  <c r="BU44" i="21"/>
  <c r="BM44" i="21"/>
  <c r="BT85" i="21"/>
  <c r="BP85" i="21"/>
  <c r="BU17" i="21"/>
  <c r="BM17" i="21"/>
  <c r="BU32" i="21"/>
  <c r="BM32" i="21"/>
  <c r="H4" i="20"/>
  <c r="BO209" i="20"/>
  <c r="BI109" i="20" l="1"/>
  <c r="BK109" i="20" s="1"/>
  <c r="BO109" i="20" s="1"/>
  <c r="H2" i="21"/>
  <c r="BO109" i="21"/>
  <c r="B508" i="2" s="1"/>
  <c r="H4" i="21"/>
  <c r="BO59" i="21"/>
  <c r="B509" i="2" s="1"/>
  <c r="AW9" i="31"/>
  <c r="R5" i="31" s="1"/>
  <c r="AW612" i="31"/>
  <c r="AW613" i="31"/>
  <c r="AW8" i="31"/>
  <c r="R4" i="31" s="1"/>
  <c r="E275" i="2" s="1"/>
  <c r="K90" i="1" s="1"/>
  <c r="H3" i="20" l="1"/>
  <c r="Q31" i="8"/>
  <c r="R31" i="8" s="1"/>
  <c r="F275" i="2" s="1"/>
  <c r="L90" i="1" s="1"/>
  <c r="E276" i="2"/>
  <c r="E277" i="2"/>
  <c r="B267" i="2"/>
  <c r="A639" i="31"/>
  <c r="A640" i="31"/>
  <c r="B617" i="31"/>
  <c r="B268" i="2" l="1"/>
  <c r="B269" i="2" s="1"/>
  <c r="B270" i="2" s="1"/>
  <c r="Q19" i="8" s="1"/>
  <c r="J3" i="8" s="1"/>
  <c r="J159" i="8" s="1"/>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R19" i="8" s="1"/>
  <c r="B271" i="2" s="1"/>
  <c r="O58" i="1" s="1"/>
  <c r="B278" i="2" s="1"/>
  <c r="M3" i="8"/>
  <c r="Q33" i="8"/>
  <c r="F3" i="8" s="1"/>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R33" i="8" s="1"/>
  <c r="F277" i="2" s="1"/>
  <c r="L92" i="1" s="1"/>
  <c r="K92" i="1"/>
  <c r="Q32" i="8"/>
  <c r="E3" i="8" s="1"/>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K91" i="1"/>
  <c r="B618" i="31"/>
  <c r="B619" i="31" s="1"/>
  <c r="W617" i="31"/>
  <c r="J617" i="31"/>
  <c r="Z617" i="31"/>
  <c r="M617" i="31"/>
  <c r="T617" i="31"/>
  <c r="G617" i="31"/>
  <c r="D617" i="31"/>
  <c r="B258" i="2" l="1"/>
  <c r="AS13" i="32" s="1"/>
  <c r="BC13" i="32" s="1"/>
  <c r="M159" i="8"/>
  <c r="M158" i="8" s="1"/>
  <c r="M157" i="8" s="1"/>
  <c r="M156" i="8" s="1"/>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F267" i="2" s="1"/>
  <c r="E4" i="8"/>
  <c r="R32" i="8" s="1"/>
  <c r="F276" i="2" s="1"/>
  <c r="L91" i="1" s="1"/>
  <c r="E617" i="31"/>
  <c r="F617" i="31"/>
  <c r="H617" i="31"/>
  <c r="I617" i="31"/>
  <c r="P617" i="31"/>
  <c r="V617" i="31"/>
  <c r="U617" i="31"/>
  <c r="AC617" i="31"/>
  <c r="O617" i="31"/>
  <c r="N617" i="31"/>
  <c r="AA617" i="31"/>
  <c r="AB617" i="31"/>
  <c r="L617" i="31"/>
  <c r="K617" i="31"/>
  <c r="Y617" i="31"/>
  <c r="X617" i="31"/>
  <c r="AS296" i="32" l="1"/>
  <c r="AS77" i="32"/>
  <c r="BB77" i="32" s="1"/>
  <c r="AS539" i="32"/>
  <c r="AS376" i="32"/>
  <c r="BB376" i="32" s="1"/>
  <c r="AS144" i="32"/>
  <c r="BC144" i="32" s="1"/>
  <c r="AS96" i="32"/>
  <c r="AU96" i="32" s="1"/>
  <c r="AS497" i="32"/>
  <c r="BB497" i="32" s="1"/>
  <c r="AS57" i="32"/>
  <c r="BB57" i="32" s="1"/>
  <c r="AS185" i="32"/>
  <c r="AU185" i="32" s="1"/>
  <c r="AS320" i="32"/>
  <c r="BC320" i="32" s="1"/>
  <c r="AS154" i="32"/>
  <c r="BB154" i="32" s="1"/>
  <c r="AS384" i="32"/>
  <c r="AT384" i="32" s="1"/>
  <c r="AS208" i="32"/>
  <c r="BB208" i="32" s="1"/>
  <c r="AS360" i="32"/>
  <c r="BB360" i="32" s="1"/>
  <c r="AS233" i="32"/>
  <c r="AU233" i="32" s="1"/>
  <c r="AS210" i="32"/>
  <c r="AU210" i="32" s="1"/>
  <c r="AS112" i="32"/>
  <c r="BC112" i="32" s="1"/>
  <c r="AS64" i="32"/>
  <c r="BC64" i="32" s="1"/>
  <c r="AS216" i="32"/>
  <c r="AS584" i="32"/>
  <c r="AS313" i="32"/>
  <c r="BB313" i="32" s="1"/>
  <c r="AS434" i="32"/>
  <c r="AS37" i="32"/>
  <c r="AS312" i="32"/>
  <c r="AT312" i="32" s="1"/>
  <c r="AS280" i="32"/>
  <c r="BC280" i="32" s="1"/>
  <c r="AS600" i="32"/>
  <c r="AS369" i="32"/>
  <c r="BC369" i="32" s="1"/>
  <c r="AS432" i="32"/>
  <c r="BB432" i="32" s="1"/>
  <c r="AS72" i="32"/>
  <c r="AT72" i="32" s="1"/>
  <c r="AS264" i="32"/>
  <c r="BC264" i="32" s="1"/>
  <c r="AS160" i="32"/>
  <c r="BC160" i="32" s="1"/>
  <c r="AS65" i="32"/>
  <c r="AU65" i="32" s="1"/>
  <c r="AS561" i="32"/>
  <c r="BB561" i="32" s="1"/>
  <c r="AS603" i="32"/>
  <c r="AU603" i="32" s="1"/>
  <c r="AS128" i="32"/>
  <c r="AS392" i="32"/>
  <c r="BC392" i="32" s="1"/>
  <c r="AS248" i="32"/>
  <c r="BB248" i="32" s="1"/>
  <c r="AS121" i="32"/>
  <c r="BC121" i="32" s="1"/>
  <c r="AS18" i="32"/>
  <c r="AU18" i="32" s="1"/>
  <c r="AS192" i="32"/>
  <c r="BB192" i="32" s="1"/>
  <c r="AS176" i="32"/>
  <c r="BC176" i="32" s="1"/>
  <c r="AS53" i="32"/>
  <c r="AT53" i="32" s="1"/>
  <c r="AS129" i="32"/>
  <c r="AS26" i="32"/>
  <c r="AS88" i="32"/>
  <c r="BC88" i="32" s="1"/>
  <c r="AS41" i="32"/>
  <c r="BC41" i="32" s="1"/>
  <c r="AS169" i="32"/>
  <c r="BB169" i="32" s="1"/>
  <c r="AS433" i="32"/>
  <c r="BB433" i="32" s="1"/>
  <c r="AS82" i="32"/>
  <c r="AU82" i="32" s="1"/>
  <c r="AS59" i="32"/>
  <c r="BC59" i="32" s="1"/>
  <c r="AS48" i="32"/>
  <c r="AU48" i="32" s="1"/>
  <c r="AS168" i="32"/>
  <c r="BB168" i="32" s="1"/>
  <c r="AS40" i="32"/>
  <c r="BB40" i="32" s="1"/>
  <c r="AS368" i="32"/>
  <c r="AS80" i="32"/>
  <c r="AS56" i="32"/>
  <c r="BB56" i="32" s="1"/>
  <c r="AS232" i="32"/>
  <c r="AT232" i="32" s="1"/>
  <c r="AS49" i="32"/>
  <c r="AT49" i="32" s="1"/>
  <c r="AS177" i="32"/>
  <c r="AS441" i="32"/>
  <c r="AS146" i="32"/>
  <c r="BB146" i="32" s="1"/>
  <c r="AS283" i="32"/>
  <c r="AU283" i="32" s="1"/>
  <c r="AS32" i="32"/>
  <c r="AT32" i="32" s="1"/>
  <c r="AS552" i="32"/>
  <c r="AU552" i="32" s="1"/>
  <c r="AS241" i="32"/>
  <c r="BB241" i="32" s="1"/>
  <c r="AS569" i="32"/>
  <c r="BC569" i="32" s="1"/>
  <c r="AS306" i="32"/>
  <c r="AS212" i="32"/>
  <c r="AS21" i="32"/>
  <c r="AS105" i="32"/>
  <c r="AT105" i="32" s="1"/>
  <c r="AS256" i="32"/>
  <c r="BB256" i="32" s="1"/>
  <c r="AS328" i="32"/>
  <c r="BB328" i="32" s="1"/>
  <c r="AS152" i="32"/>
  <c r="BC152" i="32" s="1"/>
  <c r="AS304" i="32"/>
  <c r="AU304" i="32" s="1"/>
  <c r="AS568" i="32"/>
  <c r="BB568" i="32" s="1"/>
  <c r="AS113" i="32"/>
  <c r="AU113" i="32" s="1"/>
  <c r="AS305" i="32"/>
  <c r="BC305" i="32" s="1"/>
  <c r="AS424" i="32"/>
  <c r="BC424" i="32" s="1"/>
  <c r="AS314" i="32"/>
  <c r="BB314" i="32" s="1"/>
  <c r="AS193" i="32"/>
  <c r="AU193" i="32" s="1"/>
  <c r="AS321" i="32"/>
  <c r="BB321" i="32" s="1"/>
  <c r="AS449" i="32"/>
  <c r="BB449" i="32" s="1"/>
  <c r="AS577" i="32"/>
  <c r="BB577" i="32" s="1"/>
  <c r="AS34" i="32"/>
  <c r="AT34" i="32" s="1"/>
  <c r="AS162" i="32"/>
  <c r="BC162" i="32" s="1"/>
  <c r="AS354" i="32"/>
  <c r="BB354" i="32" s="1"/>
  <c r="AS83" i="32"/>
  <c r="AS626" i="32"/>
  <c r="BB626" i="32" s="1"/>
  <c r="AS361" i="32"/>
  <c r="BC361" i="32" s="1"/>
  <c r="AS489" i="32"/>
  <c r="BC489" i="32" s="1"/>
  <c r="AS624" i="32"/>
  <c r="BB624" i="32" s="1"/>
  <c r="AS74" i="32"/>
  <c r="BB74" i="32" s="1"/>
  <c r="AS202" i="32"/>
  <c r="AT202" i="32" s="1"/>
  <c r="AS426" i="32"/>
  <c r="BC426" i="32" s="1"/>
  <c r="AS275" i="32"/>
  <c r="AS196" i="32"/>
  <c r="AU196" i="32" s="1"/>
  <c r="AS249" i="32"/>
  <c r="BC249" i="32" s="1"/>
  <c r="AS377" i="32"/>
  <c r="BC377" i="32" s="1"/>
  <c r="AS505" i="32"/>
  <c r="BB505" i="32" s="1"/>
  <c r="AS464" i="32"/>
  <c r="AT464" i="32" s="1"/>
  <c r="AS90" i="32"/>
  <c r="AS218" i="32"/>
  <c r="BB218" i="32" s="1"/>
  <c r="AS442" i="32"/>
  <c r="BC442" i="32" s="1"/>
  <c r="AS339" i="32"/>
  <c r="BC339" i="32" s="1"/>
  <c r="AS372" i="32"/>
  <c r="BB372" i="32" s="1"/>
  <c r="AS257" i="32"/>
  <c r="BB257" i="32" s="1"/>
  <c r="AS385" i="32"/>
  <c r="BB385" i="32" s="1"/>
  <c r="AS513" i="32"/>
  <c r="BB513" i="32" s="1"/>
  <c r="AS496" i="32"/>
  <c r="BC496" i="32" s="1"/>
  <c r="AS98" i="32"/>
  <c r="BC98" i="32" s="1"/>
  <c r="AS226" i="32"/>
  <c r="BC226" i="32" s="1"/>
  <c r="AS482" i="32"/>
  <c r="AU482" i="32" s="1"/>
  <c r="AS347" i="32"/>
  <c r="BB347" i="32" s="1"/>
  <c r="AS516" i="32"/>
  <c r="BB516" i="32" s="1"/>
  <c r="AS297" i="32"/>
  <c r="BC297" i="32" s="1"/>
  <c r="AS425" i="32"/>
  <c r="BC425" i="32" s="1"/>
  <c r="AS553" i="32"/>
  <c r="AS608" i="32"/>
  <c r="AT608" i="32" s="1"/>
  <c r="AS138" i="32"/>
  <c r="BB138" i="32" s="1"/>
  <c r="AS298" i="32"/>
  <c r="BB298" i="32" s="1"/>
  <c r="AS625" i="32"/>
  <c r="AT625" i="32" s="1"/>
  <c r="AS531" i="32"/>
  <c r="AU531" i="32" s="1"/>
  <c r="AU13" i="32"/>
  <c r="BC6" i="32"/>
  <c r="AS14" i="32"/>
  <c r="AU14" i="32" s="1"/>
  <c r="AS120" i="32"/>
  <c r="BC120" i="32" s="1"/>
  <c r="AS272" i="32"/>
  <c r="BB272" i="32" s="1"/>
  <c r="AS344" i="32"/>
  <c r="BC344" i="32" s="1"/>
  <c r="AS224" i="32"/>
  <c r="AU224" i="32" s="1"/>
  <c r="AS24" i="32"/>
  <c r="AU24" i="32" s="1"/>
  <c r="AS440" i="32"/>
  <c r="BC440" i="32" s="1"/>
  <c r="AS623" i="32"/>
  <c r="BC623" i="32" s="1"/>
  <c r="AS73" i="32"/>
  <c r="BC73" i="32" s="1"/>
  <c r="AS137" i="32"/>
  <c r="BB137" i="32" s="1"/>
  <c r="AS201" i="32"/>
  <c r="BB201" i="32" s="1"/>
  <c r="AS265" i="32"/>
  <c r="AU265" i="32" s="1"/>
  <c r="AS329" i="32"/>
  <c r="BC329" i="32" s="1"/>
  <c r="AS393" i="32"/>
  <c r="AT393" i="32" s="1"/>
  <c r="AS457" i="32"/>
  <c r="BC457" i="32" s="1"/>
  <c r="AS521" i="32"/>
  <c r="BB521" i="32" s="1"/>
  <c r="AS585" i="32"/>
  <c r="AT585" i="32" s="1"/>
  <c r="AS520" i="32"/>
  <c r="BC520" i="32" s="1"/>
  <c r="AS42" i="32"/>
  <c r="AS106" i="32"/>
  <c r="BC106" i="32" s="1"/>
  <c r="AS170" i="32"/>
  <c r="BB170" i="32" s="1"/>
  <c r="AS234" i="32"/>
  <c r="AT234" i="32" s="1"/>
  <c r="AS362" i="32"/>
  <c r="AT362" i="32" s="1"/>
  <c r="AS490" i="32"/>
  <c r="AT490" i="32" s="1"/>
  <c r="AS147" i="32"/>
  <c r="BB147" i="32" s="1"/>
  <c r="AS403" i="32"/>
  <c r="BC403" i="32" s="1"/>
  <c r="AS91" i="32"/>
  <c r="AT91" i="32" s="1"/>
  <c r="AS564" i="32"/>
  <c r="BC564" i="32" s="1"/>
  <c r="BB6" i="32"/>
  <c r="AS336" i="32"/>
  <c r="BC336" i="32" s="1"/>
  <c r="AS408" i="32"/>
  <c r="AT408" i="32" s="1"/>
  <c r="AS288" i="32"/>
  <c r="BC288" i="32" s="1"/>
  <c r="AS29" i="32"/>
  <c r="BC29" i="32" s="1"/>
  <c r="AS472" i="32"/>
  <c r="BB472" i="32" s="1"/>
  <c r="AS17" i="32"/>
  <c r="AU17" i="32" s="1"/>
  <c r="AS81" i="32"/>
  <c r="AU81" i="32" s="1"/>
  <c r="AS145" i="32"/>
  <c r="BC145" i="32" s="1"/>
  <c r="AS209" i="32"/>
  <c r="BB209" i="32" s="1"/>
  <c r="BN208" i="32" s="1"/>
  <c r="BO208" i="32" s="1"/>
  <c r="AS273" i="32"/>
  <c r="BB273" i="32" s="1"/>
  <c r="AS337" i="32"/>
  <c r="AT337" i="32" s="1"/>
  <c r="AS401" i="32"/>
  <c r="BC401" i="32" s="1"/>
  <c r="AS465" i="32"/>
  <c r="BB465" i="32" s="1"/>
  <c r="AS529" i="32"/>
  <c r="BC529" i="32" s="1"/>
  <c r="AS593" i="32"/>
  <c r="AU593" i="32" s="1"/>
  <c r="AS544" i="32"/>
  <c r="BC544" i="32" s="1"/>
  <c r="AS50" i="32"/>
  <c r="AU50" i="32" s="1"/>
  <c r="AS114" i="32"/>
  <c r="BC114" i="32" s="1"/>
  <c r="AS178" i="32"/>
  <c r="AU178" i="32" s="1"/>
  <c r="AS242" i="32"/>
  <c r="AS370" i="32"/>
  <c r="AU370" i="32" s="1"/>
  <c r="AS498" i="32"/>
  <c r="BC498" i="32" s="1"/>
  <c r="AS155" i="32"/>
  <c r="BC155" i="32" s="1"/>
  <c r="AS411" i="32"/>
  <c r="BC411" i="32" s="1"/>
  <c r="AS20" i="32"/>
  <c r="AT20" i="32" s="1"/>
  <c r="AS469" i="32"/>
  <c r="AU469" i="32" s="1"/>
  <c r="AT13" i="32"/>
  <c r="BB13" i="32"/>
  <c r="AS136" i="32"/>
  <c r="BC136" i="32" s="1"/>
  <c r="AS45" i="32"/>
  <c r="BB45" i="32" s="1"/>
  <c r="AS400" i="32"/>
  <c r="BC400" i="32" s="1"/>
  <c r="AS240" i="32"/>
  <c r="AT240" i="32" s="1"/>
  <c r="AS352" i="32"/>
  <c r="BC352" i="32" s="1"/>
  <c r="AS61" i="32"/>
  <c r="BB61" i="32" s="1"/>
  <c r="AS504" i="32"/>
  <c r="BC504" i="32" s="1"/>
  <c r="AS25" i="32"/>
  <c r="AS89" i="32"/>
  <c r="BC89" i="32" s="1"/>
  <c r="AS153" i="32"/>
  <c r="BB153" i="32" s="1"/>
  <c r="AS217" i="32"/>
  <c r="BC217" i="32" s="1"/>
  <c r="AS281" i="32"/>
  <c r="BC281" i="32" s="1"/>
  <c r="AS345" i="32"/>
  <c r="AU345" i="32" s="1"/>
  <c r="AS409" i="32"/>
  <c r="AT409" i="32" s="1"/>
  <c r="AS473" i="32"/>
  <c r="BB473" i="32" s="1"/>
  <c r="AS537" i="32"/>
  <c r="AS601" i="32"/>
  <c r="BB601" i="32" s="1"/>
  <c r="AS576" i="32"/>
  <c r="BC576" i="32" s="1"/>
  <c r="AS58" i="32"/>
  <c r="BC58" i="32" s="1"/>
  <c r="AS122" i="32"/>
  <c r="AU122" i="32" s="1"/>
  <c r="AS186" i="32"/>
  <c r="AU186" i="32" s="1"/>
  <c r="AS250" i="32"/>
  <c r="AU250" i="32" s="1"/>
  <c r="AS378" i="32"/>
  <c r="AU378" i="32" s="1"/>
  <c r="AS554" i="32"/>
  <c r="AS211" i="32"/>
  <c r="AU211" i="32" s="1"/>
  <c r="AS467" i="32"/>
  <c r="BC467" i="32" s="1"/>
  <c r="AS100" i="32"/>
  <c r="BC100" i="32" s="1"/>
  <c r="AS533" i="32"/>
  <c r="AT533" i="32" s="1"/>
  <c r="AS200" i="32"/>
  <c r="AT200" i="32" s="1"/>
  <c r="AS16" i="32"/>
  <c r="BB16" i="32" s="1"/>
  <c r="AS69" i="32"/>
  <c r="BC69" i="32" s="1"/>
  <c r="AS184" i="32"/>
  <c r="BB184" i="32" s="1"/>
  <c r="AS416" i="32"/>
  <c r="AT416" i="32" s="1"/>
  <c r="AS104" i="32"/>
  <c r="AT104" i="32" s="1"/>
  <c r="AS528" i="32"/>
  <c r="BB528" i="32" s="1"/>
  <c r="AS33" i="32"/>
  <c r="BB33" i="32" s="1"/>
  <c r="AS97" i="32"/>
  <c r="BC97" i="32" s="1"/>
  <c r="AS161" i="32"/>
  <c r="AT161" i="32" s="1"/>
  <c r="AS225" i="32"/>
  <c r="AT225" i="32" s="1"/>
  <c r="AS289" i="32"/>
  <c r="BC289" i="32" s="1"/>
  <c r="AS353" i="32"/>
  <c r="AS417" i="32"/>
  <c r="AU417" i="32" s="1"/>
  <c r="AS481" i="32"/>
  <c r="BB481" i="32" s="1"/>
  <c r="AS545" i="32"/>
  <c r="AT545" i="32" s="1"/>
  <c r="AS609" i="32"/>
  <c r="BC609" i="32" s="1"/>
  <c r="AS592" i="32"/>
  <c r="BB592" i="32" s="1"/>
  <c r="AS66" i="32"/>
  <c r="BB66" i="32" s="1"/>
  <c r="AS130" i="32"/>
  <c r="BB130" i="32" s="1"/>
  <c r="AS194" i="32"/>
  <c r="AT194" i="32" s="1"/>
  <c r="AS290" i="32"/>
  <c r="AS418" i="32"/>
  <c r="BC418" i="32" s="1"/>
  <c r="AS562" i="32"/>
  <c r="AT562" i="32" s="1"/>
  <c r="AS219" i="32"/>
  <c r="BB219" i="32" s="1"/>
  <c r="BN218" i="32" s="1"/>
  <c r="BO218" i="32" s="1"/>
  <c r="AS475" i="32"/>
  <c r="AT475" i="32" s="1"/>
  <c r="AS108" i="32"/>
  <c r="BC108" i="32" s="1"/>
  <c r="AS438" i="32"/>
  <c r="AS502" i="32"/>
  <c r="BB502" i="32" s="1"/>
  <c r="AS364" i="32"/>
  <c r="AT364" i="32" s="1"/>
  <c r="AS570" i="32"/>
  <c r="AU570" i="32" s="1"/>
  <c r="AS99" i="32"/>
  <c r="AT99" i="32" s="1"/>
  <c r="AS227" i="32"/>
  <c r="BC227" i="32" s="1"/>
  <c r="AS355" i="32"/>
  <c r="AU355" i="32" s="1"/>
  <c r="AS483" i="32"/>
  <c r="AT483" i="32" s="1"/>
  <c r="AS448" i="32"/>
  <c r="BB448" i="32" s="1"/>
  <c r="AS116" i="32"/>
  <c r="BC116" i="32" s="1"/>
  <c r="AS388" i="32"/>
  <c r="AU388" i="32" s="1"/>
  <c r="AS597" i="32"/>
  <c r="AU597" i="32" s="1"/>
  <c r="AS610" i="32"/>
  <c r="BC610" i="32" s="1"/>
  <c r="AS139" i="32"/>
  <c r="BB139" i="32" s="1"/>
  <c r="AS267" i="32"/>
  <c r="BB267" i="32" s="1"/>
  <c r="AS395" i="32"/>
  <c r="BC395" i="32" s="1"/>
  <c r="AS523" i="32"/>
  <c r="BB523" i="32" s="1"/>
  <c r="AS75" i="32"/>
  <c r="BC75" i="32" s="1"/>
  <c r="AS180" i="32"/>
  <c r="AS500" i="32"/>
  <c r="AT500" i="32" s="1"/>
  <c r="AS374" i="32"/>
  <c r="BC374" i="32" s="1"/>
  <c r="AS506" i="32"/>
  <c r="BC506" i="32" s="1"/>
  <c r="AS456" i="32"/>
  <c r="AU456" i="32" s="1"/>
  <c r="AS163" i="32"/>
  <c r="BC163" i="32" s="1"/>
  <c r="AS291" i="32"/>
  <c r="BB291" i="32" s="1"/>
  <c r="AS419" i="32"/>
  <c r="BB419" i="32" s="1"/>
  <c r="AS547" i="32"/>
  <c r="BB547" i="32" s="1"/>
  <c r="AS36" i="32"/>
  <c r="AU36" i="32" s="1"/>
  <c r="AS236" i="32"/>
  <c r="AT236" i="32" s="1"/>
  <c r="AS85" i="32"/>
  <c r="AT85" i="32" s="1"/>
  <c r="AS566" i="32"/>
  <c r="BC566" i="32" s="1"/>
  <c r="AS546" i="32"/>
  <c r="BB546" i="32" s="1"/>
  <c r="AS51" i="32"/>
  <c r="BC51" i="32" s="1"/>
  <c r="AS203" i="32"/>
  <c r="BB203" i="32" s="1"/>
  <c r="AS331" i="32"/>
  <c r="BC331" i="32" s="1"/>
  <c r="AS459" i="32"/>
  <c r="AU459" i="32" s="1"/>
  <c r="AS595" i="32"/>
  <c r="AT595" i="32" s="1"/>
  <c r="AS84" i="32"/>
  <c r="BB84" i="32" s="1"/>
  <c r="AS324" i="32"/>
  <c r="BC324" i="32" s="1"/>
  <c r="AS405" i="32"/>
  <c r="AT405" i="32" s="1"/>
  <c r="AS258" i="32"/>
  <c r="BB258" i="32" s="1"/>
  <c r="AS322" i="32"/>
  <c r="BB322" i="32" s="1"/>
  <c r="AS386" i="32"/>
  <c r="BB386" i="32" s="1"/>
  <c r="AS450" i="32"/>
  <c r="AU450" i="32" s="1"/>
  <c r="AS514" i="32"/>
  <c r="BB514" i="32" s="1"/>
  <c r="AS578" i="32"/>
  <c r="AU578" i="32" s="1"/>
  <c r="AS488" i="32"/>
  <c r="AU488" i="32" s="1"/>
  <c r="AS107" i="32"/>
  <c r="BC107" i="32" s="1"/>
  <c r="AS171" i="32"/>
  <c r="BB171" i="32" s="1"/>
  <c r="AS235" i="32"/>
  <c r="AU235" i="32" s="1"/>
  <c r="AS299" i="32"/>
  <c r="BC299" i="32" s="1"/>
  <c r="AS363" i="32"/>
  <c r="AT363" i="32" s="1"/>
  <c r="AS427" i="32"/>
  <c r="AU427" i="32" s="1"/>
  <c r="AS491" i="32"/>
  <c r="AT491" i="32" s="1"/>
  <c r="AS555" i="32"/>
  <c r="BC555" i="32" s="1"/>
  <c r="AS480" i="32"/>
  <c r="BC480" i="32" s="1"/>
  <c r="AS44" i="32"/>
  <c r="BC44" i="32" s="1"/>
  <c r="AS132" i="32"/>
  <c r="AT132" i="32" s="1"/>
  <c r="AS244" i="32"/>
  <c r="BC244" i="32" s="1"/>
  <c r="AS428" i="32"/>
  <c r="AT428" i="32" s="1"/>
  <c r="AS149" i="32"/>
  <c r="BB149" i="32" s="1"/>
  <c r="AS102" i="32"/>
  <c r="BB102" i="32" s="1"/>
  <c r="AS38" i="32"/>
  <c r="AU38" i="32" s="1"/>
  <c r="AS266" i="32"/>
  <c r="AU266" i="32" s="1"/>
  <c r="AS330" i="32"/>
  <c r="BC330" i="32" s="1"/>
  <c r="AS394" i="32"/>
  <c r="BC394" i="32" s="1"/>
  <c r="AS458" i="32"/>
  <c r="BB458" i="32" s="1"/>
  <c r="AS522" i="32"/>
  <c r="BB522" i="32" s="1"/>
  <c r="AS586" i="32"/>
  <c r="BC586" i="32" s="1"/>
  <c r="AS536" i="32"/>
  <c r="BC536" i="32" s="1"/>
  <c r="AS115" i="32"/>
  <c r="AU115" i="32" s="1"/>
  <c r="AS179" i="32"/>
  <c r="BC179" i="32" s="1"/>
  <c r="AS243" i="32"/>
  <c r="BB243" i="32" s="1"/>
  <c r="AS307" i="32"/>
  <c r="BC307" i="32" s="1"/>
  <c r="AS371" i="32"/>
  <c r="AT371" i="32" s="1"/>
  <c r="AS435" i="32"/>
  <c r="BC435" i="32" s="1"/>
  <c r="AS499" i="32"/>
  <c r="AT499" i="32" s="1"/>
  <c r="AS563" i="32"/>
  <c r="BC563" i="32" s="1"/>
  <c r="AS560" i="32"/>
  <c r="AU560" i="32" s="1"/>
  <c r="AS52" i="32"/>
  <c r="AT52" i="32" s="1"/>
  <c r="AS140" i="32"/>
  <c r="AT140" i="32" s="1"/>
  <c r="AS260" i="32"/>
  <c r="BB260" i="32" s="1"/>
  <c r="AS436" i="32"/>
  <c r="AT436" i="32" s="1"/>
  <c r="AS213" i="32"/>
  <c r="BC213" i="32" s="1"/>
  <c r="AS182" i="32"/>
  <c r="AT182" i="32" s="1"/>
  <c r="AS23" i="32"/>
  <c r="AU23" i="32" s="1"/>
  <c r="AS274" i="32"/>
  <c r="BB274" i="32" s="1"/>
  <c r="BN273" i="32" s="1"/>
  <c r="BO273" i="32" s="1"/>
  <c r="AS338" i="32"/>
  <c r="BC338" i="32" s="1"/>
  <c r="AS402" i="32"/>
  <c r="AU402" i="32" s="1"/>
  <c r="AS466" i="32"/>
  <c r="BB466" i="32" s="1"/>
  <c r="BN465" i="32" s="1"/>
  <c r="BO465" i="32" s="1"/>
  <c r="AS530" i="32"/>
  <c r="BB530" i="32" s="1"/>
  <c r="AS594" i="32"/>
  <c r="BC594" i="32" s="1"/>
  <c r="AS19" i="32"/>
  <c r="BC19" i="32" s="1"/>
  <c r="AS123" i="32"/>
  <c r="BB123" i="32" s="1"/>
  <c r="AS187" i="32"/>
  <c r="AU187" i="32" s="1"/>
  <c r="AS251" i="32"/>
  <c r="BB251" i="32" s="1"/>
  <c r="AS315" i="32"/>
  <c r="BB315" i="32" s="1"/>
  <c r="AS379" i="32"/>
  <c r="BC379" i="32" s="1"/>
  <c r="AS443" i="32"/>
  <c r="BC443" i="32" s="1"/>
  <c r="AS507" i="32"/>
  <c r="AT507" i="32" s="1"/>
  <c r="AS571" i="32"/>
  <c r="AT571" i="32" s="1"/>
  <c r="AS27" i="32"/>
  <c r="AU27" i="32" s="1"/>
  <c r="AS68" i="32"/>
  <c r="BB68" i="32" s="1"/>
  <c r="AS148" i="32"/>
  <c r="BB148" i="32" s="1"/>
  <c r="AS300" i="32"/>
  <c r="BC300" i="32" s="1"/>
  <c r="AS452" i="32"/>
  <c r="AT452" i="32" s="1"/>
  <c r="AS277" i="32"/>
  <c r="AT277" i="32" s="1"/>
  <c r="AS246" i="32"/>
  <c r="AT246" i="32" s="1"/>
  <c r="AS111" i="32"/>
  <c r="AU111" i="32" s="1"/>
  <c r="AS282" i="32"/>
  <c r="AU282" i="32" s="1"/>
  <c r="AS346" i="32"/>
  <c r="BB346" i="32" s="1"/>
  <c r="AS410" i="32"/>
  <c r="AU410" i="32" s="1"/>
  <c r="AS474" i="32"/>
  <c r="AT474" i="32" s="1"/>
  <c r="AS538" i="32"/>
  <c r="BB538" i="32" s="1"/>
  <c r="AS602" i="32"/>
  <c r="AU602" i="32" s="1"/>
  <c r="AS35" i="32"/>
  <c r="AT35" i="32" s="1"/>
  <c r="AS131" i="32"/>
  <c r="BC131" i="32" s="1"/>
  <c r="AS195" i="32"/>
  <c r="AU195" i="32" s="1"/>
  <c r="AS259" i="32"/>
  <c r="BB259" i="32" s="1"/>
  <c r="AS323" i="32"/>
  <c r="BC323" i="32" s="1"/>
  <c r="AS387" i="32"/>
  <c r="BC387" i="32" s="1"/>
  <c r="AS451" i="32"/>
  <c r="AU451" i="32" s="1"/>
  <c r="AS515" i="32"/>
  <c r="AU515" i="32" s="1"/>
  <c r="AS587" i="32"/>
  <c r="AU587" i="32" s="1"/>
  <c r="AS43" i="32"/>
  <c r="BB43" i="32" s="1"/>
  <c r="AS76" i="32"/>
  <c r="BC76" i="32" s="1"/>
  <c r="AS172" i="32"/>
  <c r="BB172" i="32" s="1"/>
  <c r="AS308" i="32"/>
  <c r="AU308" i="32" s="1"/>
  <c r="AS492" i="32"/>
  <c r="AU492" i="32" s="1"/>
  <c r="AS341" i="32"/>
  <c r="BC341" i="32" s="1"/>
  <c r="AS310" i="32"/>
  <c r="AU310" i="32" s="1"/>
  <c r="AS279" i="32"/>
  <c r="AU279" i="32" s="1"/>
  <c r="AS611" i="32"/>
  <c r="BB611" i="32" s="1"/>
  <c r="AS67" i="32"/>
  <c r="BC67" i="32" s="1"/>
  <c r="AS60" i="32"/>
  <c r="BB60" i="32" s="1"/>
  <c r="BN60" i="32" s="1"/>
  <c r="BO60" i="32" s="1"/>
  <c r="AS124" i="32"/>
  <c r="AU124" i="32" s="1"/>
  <c r="AS188" i="32"/>
  <c r="BC188" i="32" s="1"/>
  <c r="AS252" i="32"/>
  <c r="AU252" i="32" s="1"/>
  <c r="AS316" i="32"/>
  <c r="AT316" i="32" s="1"/>
  <c r="AS380" i="32"/>
  <c r="BC380" i="32" s="1"/>
  <c r="AS444" i="32"/>
  <c r="BB444" i="32" s="1"/>
  <c r="AS508" i="32"/>
  <c r="AT508" i="32" s="1"/>
  <c r="AS572" i="32"/>
  <c r="BC572" i="32" s="1"/>
  <c r="AS93" i="32"/>
  <c r="BC93" i="32" s="1"/>
  <c r="AS157" i="32"/>
  <c r="BC157" i="32" s="1"/>
  <c r="AS221" i="32"/>
  <c r="BB221" i="32" s="1"/>
  <c r="AS285" i="32"/>
  <c r="BC285" i="32" s="1"/>
  <c r="AS349" i="32"/>
  <c r="AU349" i="32" s="1"/>
  <c r="AS413" i="32"/>
  <c r="BC413" i="32" s="1"/>
  <c r="AS477" i="32"/>
  <c r="AT477" i="32" s="1"/>
  <c r="AS541" i="32"/>
  <c r="BB541" i="32" s="1"/>
  <c r="AS605" i="32"/>
  <c r="AT605" i="32" s="1"/>
  <c r="AS118" i="32"/>
  <c r="AT118" i="32" s="1"/>
  <c r="AS190" i="32"/>
  <c r="AU190" i="32" s="1"/>
  <c r="AS254" i="32"/>
  <c r="BB254" i="32" s="1"/>
  <c r="AS318" i="32"/>
  <c r="BB318" i="32" s="1"/>
  <c r="AS382" i="32"/>
  <c r="BB382" i="32" s="1"/>
  <c r="AS446" i="32"/>
  <c r="AU446" i="32" s="1"/>
  <c r="AS510" i="32"/>
  <c r="BC510" i="32" s="1"/>
  <c r="AS574" i="32"/>
  <c r="AU574" i="32" s="1"/>
  <c r="AS54" i="32"/>
  <c r="BB54" i="32" s="1"/>
  <c r="AS31" i="32"/>
  <c r="AU31" i="32" s="1"/>
  <c r="AS135" i="32"/>
  <c r="BC135" i="32" s="1"/>
  <c r="AS295" i="32"/>
  <c r="AU295" i="32" s="1"/>
  <c r="AS580" i="32"/>
  <c r="BB580" i="32" s="1"/>
  <c r="AS101" i="32"/>
  <c r="BB101" i="32" s="1"/>
  <c r="AS165" i="32"/>
  <c r="BB165" i="32" s="1"/>
  <c r="AS229" i="32"/>
  <c r="AT229" i="32" s="1"/>
  <c r="AS293" i="32"/>
  <c r="AT293" i="32" s="1"/>
  <c r="AS357" i="32"/>
  <c r="AU357" i="32" s="1"/>
  <c r="AS421" i="32"/>
  <c r="AT421" i="32" s="1"/>
  <c r="AS485" i="32"/>
  <c r="AU485" i="32" s="1"/>
  <c r="AS549" i="32"/>
  <c r="BC549" i="32" s="1"/>
  <c r="AS613" i="32"/>
  <c r="BB613" i="32" s="1"/>
  <c r="AS134" i="32"/>
  <c r="AU134" i="32" s="1"/>
  <c r="AS198" i="32"/>
  <c r="AU198" i="32" s="1"/>
  <c r="AS262" i="32"/>
  <c r="AT262" i="32" s="1"/>
  <c r="AS326" i="32"/>
  <c r="AU326" i="32" s="1"/>
  <c r="AS390" i="32"/>
  <c r="BC390" i="32" s="1"/>
  <c r="AS454" i="32"/>
  <c r="BB454" i="32" s="1"/>
  <c r="AS518" i="32"/>
  <c r="AT518" i="32" s="1"/>
  <c r="AS582" i="32"/>
  <c r="AS70" i="32"/>
  <c r="AS39" i="32"/>
  <c r="AT39" i="32" s="1"/>
  <c r="AS151" i="32"/>
  <c r="BC151" i="32" s="1"/>
  <c r="AS303" i="32"/>
  <c r="BB303" i="32" s="1"/>
  <c r="AS204" i="32"/>
  <c r="BB204" i="32" s="1"/>
  <c r="AS268" i="32"/>
  <c r="BB268" i="32" s="1"/>
  <c r="AS332" i="32"/>
  <c r="BB332" i="32" s="1"/>
  <c r="AS396" i="32"/>
  <c r="BB396" i="32" s="1"/>
  <c r="AS460" i="32"/>
  <c r="AU460" i="32" s="1"/>
  <c r="AS524" i="32"/>
  <c r="AU524" i="32" s="1"/>
  <c r="AS588" i="32"/>
  <c r="AU588" i="32" s="1"/>
  <c r="AS109" i="32"/>
  <c r="BB109" i="32" s="1"/>
  <c r="AS173" i="32"/>
  <c r="BB173" i="32" s="1"/>
  <c r="AS237" i="32"/>
  <c r="BB237" i="32" s="1"/>
  <c r="AS301" i="32"/>
  <c r="BC301" i="32" s="1"/>
  <c r="AS365" i="32"/>
  <c r="BC365" i="32" s="1"/>
  <c r="AS429" i="32"/>
  <c r="BC429" i="32" s="1"/>
  <c r="AS493" i="32"/>
  <c r="BB493" i="32" s="1"/>
  <c r="AS557" i="32"/>
  <c r="BC557" i="32" s="1"/>
  <c r="AS628" i="32"/>
  <c r="AT628" i="32" s="1"/>
  <c r="AS142" i="32"/>
  <c r="AT142" i="32" s="1"/>
  <c r="AS206" i="32"/>
  <c r="BB206" i="32" s="1"/>
  <c r="AS270" i="32"/>
  <c r="AT270" i="32" s="1"/>
  <c r="AS334" i="32"/>
  <c r="BB334" i="32" s="1"/>
  <c r="AS398" i="32"/>
  <c r="BC398" i="32" s="1"/>
  <c r="AS462" i="32"/>
  <c r="AU462" i="32" s="1"/>
  <c r="AS526" i="32"/>
  <c r="AU526" i="32" s="1"/>
  <c r="AS590" i="32"/>
  <c r="AT590" i="32" s="1"/>
  <c r="AS78" i="32"/>
  <c r="BC78" i="32" s="1"/>
  <c r="AS47" i="32"/>
  <c r="AT47" i="32" s="1"/>
  <c r="AS167" i="32"/>
  <c r="BC167" i="32" s="1"/>
  <c r="AS383" i="32"/>
  <c r="BC383" i="32" s="1"/>
  <c r="AS276" i="32"/>
  <c r="BB276" i="32" s="1"/>
  <c r="AS340" i="32"/>
  <c r="BC340" i="32" s="1"/>
  <c r="AS404" i="32"/>
  <c r="BB404" i="32" s="1"/>
  <c r="AS468" i="32"/>
  <c r="BB468" i="32" s="1"/>
  <c r="AS532" i="32"/>
  <c r="AU532" i="32" s="1"/>
  <c r="AS596" i="32"/>
  <c r="BC596" i="32" s="1"/>
  <c r="AS117" i="32"/>
  <c r="BB117" i="32" s="1"/>
  <c r="AS181" i="32"/>
  <c r="AT181" i="32" s="1"/>
  <c r="AS245" i="32"/>
  <c r="BB245" i="32" s="1"/>
  <c r="AS309" i="32"/>
  <c r="AT309" i="32" s="1"/>
  <c r="AS373" i="32"/>
  <c r="AT373" i="32" s="1"/>
  <c r="AS437" i="32"/>
  <c r="BC437" i="32" s="1"/>
  <c r="AS501" i="32"/>
  <c r="BC501" i="32" s="1"/>
  <c r="AS565" i="32"/>
  <c r="BB565" i="32" s="1"/>
  <c r="AS30" i="32"/>
  <c r="BB30" i="32" s="1"/>
  <c r="AS150" i="32"/>
  <c r="AT150" i="32" s="1"/>
  <c r="AS214" i="32"/>
  <c r="BC214" i="32" s="1"/>
  <c r="AS278" i="32"/>
  <c r="BC278" i="32" s="1"/>
  <c r="AS342" i="32"/>
  <c r="AT342" i="32" s="1"/>
  <c r="AS406" i="32"/>
  <c r="BC406" i="32" s="1"/>
  <c r="AS470" i="32"/>
  <c r="BB470" i="32" s="1"/>
  <c r="AS534" i="32"/>
  <c r="AU534" i="32" s="1"/>
  <c r="AS598" i="32"/>
  <c r="AU598" i="32" s="1"/>
  <c r="AS94" i="32"/>
  <c r="AU94" i="32" s="1"/>
  <c r="AS63" i="32"/>
  <c r="BC63" i="32" s="1"/>
  <c r="AS175" i="32"/>
  <c r="AU175" i="32" s="1"/>
  <c r="AS447" i="32"/>
  <c r="BB447" i="32" s="1"/>
  <c r="AS579" i="32"/>
  <c r="BC579" i="32" s="1"/>
  <c r="AS512" i="32"/>
  <c r="BB512" i="32" s="1"/>
  <c r="AS28" i="32"/>
  <c r="BB28" i="32" s="1"/>
  <c r="AS92" i="32"/>
  <c r="AT92" i="32" s="1"/>
  <c r="AS156" i="32"/>
  <c r="BC156" i="32" s="1"/>
  <c r="AS220" i="32"/>
  <c r="AU220" i="32" s="1"/>
  <c r="AS284" i="32"/>
  <c r="AU284" i="32" s="1"/>
  <c r="AS348" i="32"/>
  <c r="BC348" i="32" s="1"/>
  <c r="AS412" i="32"/>
  <c r="BC412" i="32" s="1"/>
  <c r="AS476" i="32"/>
  <c r="BC476" i="32" s="1"/>
  <c r="AS540" i="32"/>
  <c r="BC540" i="32" s="1"/>
  <c r="AS604" i="32"/>
  <c r="BB604" i="32" s="1"/>
  <c r="AS125" i="32"/>
  <c r="AT125" i="32" s="1"/>
  <c r="AS189" i="32"/>
  <c r="BB189" i="32" s="1"/>
  <c r="AS253" i="32"/>
  <c r="BB253" i="32" s="1"/>
  <c r="AS317" i="32"/>
  <c r="AT317" i="32" s="1"/>
  <c r="AS381" i="32"/>
  <c r="AU381" i="32" s="1"/>
  <c r="AS445" i="32"/>
  <c r="BC445" i="32" s="1"/>
  <c r="AS509" i="32"/>
  <c r="BB509" i="32" s="1"/>
  <c r="AS573" i="32"/>
  <c r="AT573" i="32" s="1"/>
  <c r="AS46" i="32"/>
  <c r="BC46" i="32" s="1"/>
  <c r="AS158" i="32"/>
  <c r="AU158" i="32" s="1"/>
  <c r="AS222" i="32"/>
  <c r="AU222" i="32" s="1"/>
  <c r="AS286" i="32"/>
  <c r="BB286" i="32" s="1"/>
  <c r="AS350" i="32"/>
  <c r="BC350" i="32" s="1"/>
  <c r="AS414" i="32"/>
  <c r="BB414" i="32" s="1"/>
  <c r="AS478" i="32"/>
  <c r="AU478" i="32" s="1"/>
  <c r="AS542" i="32"/>
  <c r="BC542" i="32" s="1"/>
  <c r="AS606" i="32"/>
  <c r="BB606" i="32" s="1"/>
  <c r="AS110" i="32"/>
  <c r="AU110" i="32" s="1"/>
  <c r="AS71" i="32"/>
  <c r="AT71" i="32" s="1"/>
  <c r="AS215" i="32"/>
  <c r="BC215" i="32" s="1"/>
  <c r="AS479" i="32"/>
  <c r="BB479" i="32" s="1"/>
  <c r="AS164" i="32"/>
  <c r="BC164" i="32" s="1"/>
  <c r="AS228" i="32"/>
  <c r="BB228" i="32" s="1"/>
  <c r="AS292" i="32"/>
  <c r="AU292" i="32" s="1"/>
  <c r="AS356" i="32"/>
  <c r="BC356" i="32" s="1"/>
  <c r="AS420" i="32"/>
  <c r="BC420" i="32" s="1"/>
  <c r="AS484" i="32"/>
  <c r="AT484" i="32" s="1"/>
  <c r="AS548" i="32"/>
  <c r="BC548" i="32" s="1"/>
  <c r="AS612" i="32"/>
  <c r="BB612" i="32" s="1"/>
  <c r="AS133" i="32"/>
  <c r="BC133" i="32" s="1"/>
  <c r="AS197" i="32"/>
  <c r="BC197" i="32" s="1"/>
  <c r="AS261" i="32"/>
  <c r="AT261" i="32" s="1"/>
  <c r="AS325" i="32"/>
  <c r="BB325" i="32" s="1"/>
  <c r="AS389" i="32"/>
  <c r="BC389" i="32" s="1"/>
  <c r="AS453" i="32"/>
  <c r="BC453" i="32" s="1"/>
  <c r="AS517" i="32"/>
  <c r="AT517" i="32" s="1"/>
  <c r="AS581" i="32"/>
  <c r="BC581" i="32" s="1"/>
  <c r="AS62" i="32"/>
  <c r="BB62" i="32" s="1"/>
  <c r="AS166" i="32"/>
  <c r="BC166" i="32" s="1"/>
  <c r="AS230" i="32"/>
  <c r="BC230" i="32" s="1"/>
  <c r="AS294" i="32"/>
  <c r="AT294" i="32" s="1"/>
  <c r="AS358" i="32"/>
  <c r="BB358" i="32" s="1"/>
  <c r="AS422" i="32"/>
  <c r="BC422" i="32" s="1"/>
  <c r="AS486" i="32"/>
  <c r="BB486" i="32" s="1"/>
  <c r="AS550" i="32"/>
  <c r="BC550" i="32" s="1"/>
  <c r="AS629" i="32"/>
  <c r="AU629" i="32" s="1"/>
  <c r="AS126" i="32"/>
  <c r="BC126" i="32" s="1"/>
  <c r="AS87" i="32"/>
  <c r="AU87" i="32" s="1"/>
  <c r="AS231" i="32"/>
  <c r="BC231" i="32" s="1"/>
  <c r="AS556" i="32"/>
  <c r="BC556" i="32" s="1"/>
  <c r="AS627" i="32"/>
  <c r="AT627" i="32" s="1"/>
  <c r="AS141" i="32"/>
  <c r="AU141" i="32" s="1"/>
  <c r="AS205" i="32"/>
  <c r="BB205" i="32" s="1"/>
  <c r="AS269" i="32"/>
  <c r="AU269" i="32" s="1"/>
  <c r="AS333" i="32"/>
  <c r="BB333" i="32" s="1"/>
  <c r="AS397" i="32"/>
  <c r="BB397" i="32" s="1"/>
  <c r="AS461" i="32"/>
  <c r="BC461" i="32" s="1"/>
  <c r="AS525" i="32"/>
  <c r="BB525" i="32" s="1"/>
  <c r="AS589" i="32"/>
  <c r="BC589" i="32" s="1"/>
  <c r="AS86" i="32"/>
  <c r="BB86" i="32" s="1"/>
  <c r="AS174" i="32"/>
  <c r="BB174" i="32" s="1"/>
  <c r="AS238" i="32"/>
  <c r="AT238" i="32" s="1"/>
  <c r="AS302" i="32"/>
  <c r="AT302" i="32" s="1"/>
  <c r="AS366" i="32"/>
  <c r="BC366" i="32" s="1"/>
  <c r="AS430" i="32"/>
  <c r="AT430" i="32" s="1"/>
  <c r="AS494" i="32"/>
  <c r="BC494" i="32" s="1"/>
  <c r="AS558" i="32"/>
  <c r="BC558" i="32" s="1"/>
  <c r="AS22" i="32"/>
  <c r="AU22" i="32" s="1"/>
  <c r="AS15" i="32"/>
  <c r="BC15" i="32" s="1"/>
  <c r="AS103" i="32"/>
  <c r="BC103" i="32" s="1"/>
  <c r="AS239" i="32"/>
  <c r="AT239" i="32" s="1"/>
  <c r="BB518" i="32"/>
  <c r="BC516" i="32"/>
  <c r="AS55" i="32"/>
  <c r="BC55" i="32" s="1"/>
  <c r="AS119" i="32"/>
  <c r="AT119" i="32" s="1"/>
  <c r="AS183" i="32"/>
  <c r="AT183" i="32" s="1"/>
  <c r="AS247" i="32"/>
  <c r="AT247" i="32" s="1"/>
  <c r="AS311" i="32"/>
  <c r="AU311" i="32" s="1"/>
  <c r="AS511" i="32"/>
  <c r="BC511" i="32" s="1"/>
  <c r="AS127" i="32"/>
  <c r="BC127" i="32" s="1"/>
  <c r="AS191" i="32"/>
  <c r="BC191" i="32" s="1"/>
  <c r="AS255" i="32"/>
  <c r="AU255" i="32" s="1"/>
  <c r="AS319" i="32"/>
  <c r="AU319" i="32" s="1"/>
  <c r="AS543" i="32"/>
  <c r="BC543" i="32" s="1"/>
  <c r="AS199" i="32"/>
  <c r="BC199" i="32" s="1"/>
  <c r="AS263" i="32"/>
  <c r="AU263" i="32" s="1"/>
  <c r="AS343" i="32"/>
  <c r="BB343" i="32" s="1"/>
  <c r="AS575" i="32"/>
  <c r="BC575" i="32" s="1"/>
  <c r="AS79" i="32"/>
  <c r="BC79" i="32" s="1"/>
  <c r="AS143" i="32"/>
  <c r="AU143" i="32" s="1"/>
  <c r="AS207" i="32"/>
  <c r="BC207" i="32" s="1"/>
  <c r="AS271" i="32"/>
  <c r="BC271" i="32" s="1"/>
  <c r="AS351" i="32"/>
  <c r="BC351" i="32" s="1"/>
  <c r="AS607" i="32"/>
  <c r="BC607" i="32" s="1"/>
  <c r="AS95" i="32"/>
  <c r="BB95" i="32" s="1"/>
  <c r="AS159" i="32"/>
  <c r="BC159" i="32" s="1"/>
  <c r="AS223" i="32"/>
  <c r="AT223" i="32" s="1"/>
  <c r="AS287" i="32"/>
  <c r="AT287" i="32" s="1"/>
  <c r="AS415" i="32"/>
  <c r="BC415" i="32" s="1"/>
  <c r="BC130" i="32"/>
  <c r="AS327" i="32"/>
  <c r="BB327" i="32" s="1"/>
  <c r="AS391" i="32"/>
  <c r="BC391" i="32" s="1"/>
  <c r="AS455" i="32"/>
  <c r="BC455" i="32" s="1"/>
  <c r="AS519" i="32"/>
  <c r="BC519" i="32" s="1"/>
  <c r="AS583" i="32"/>
  <c r="AU583" i="32" s="1"/>
  <c r="AS335" i="32"/>
  <c r="BC335" i="32" s="1"/>
  <c r="AS399" i="32"/>
  <c r="BB399" i="32" s="1"/>
  <c r="AS463" i="32"/>
  <c r="AT463" i="32" s="1"/>
  <c r="AS527" i="32"/>
  <c r="AU527" i="32" s="1"/>
  <c r="AS591" i="32"/>
  <c r="AT591" i="32" s="1"/>
  <c r="AS407" i="32"/>
  <c r="BC407" i="32" s="1"/>
  <c r="AS471" i="32"/>
  <c r="AS535" i="32"/>
  <c r="AT535" i="32" s="1"/>
  <c r="AS599" i="32"/>
  <c r="AS359" i="32"/>
  <c r="AT359" i="32" s="1"/>
  <c r="AS423" i="32"/>
  <c r="BC423" i="32" s="1"/>
  <c r="AS487" i="32"/>
  <c r="BC487" i="32" s="1"/>
  <c r="AS551" i="32"/>
  <c r="BB551" i="32" s="1"/>
  <c r="AS622" i="32"/>
  <c r="AS367" i="32"/>
  <c r="BB367" i="32" s="1"/>
  <c r="AS431" i="32"/>
  <c r="AT431" i="32" s="1"/>
  <c r="AS495" i="32"/>
  <c r="BC495" i="32" s="1"/>
  <c r="AS559" i="32"/>
  <c r="AT559" i="32" s="1"/>
  <c r="AS375" i="32"/>
  <c r="BB375" i="32" s="1"/>
  <c r="BN375" i="32" s="1"/>
  <c r="BO375" i="32" s="1"/>
  <c r="AS439" i="32"/>
  <c r="AU439" i="32" s="1"/>
  <c r="AS503" i="32"/>
  <c r="AU503" i="32" s="1"/>
  <c r="AS567" i="32"/>
  <c r="BB567" i="32" s="1"/>
  <c r="BC372" i="32"/>
  <c r="AT388" i="32"/>
  <c r="BB388" i="32"/>
  <c r="BC451" i="32"/>
  <c r="B7" i="32"/>
  <c r="O59" i="1"/>
  <c r="BB545" i="32"/>
  <c r="AU161" i="32"/>
  <c r="AT529" i="32"/>
  <c r="AT185" i="32"/>
  <c r="AT83" i="32"/>
  <c r="BB562" i="32"/>
  <c r="BN561" i="32" s="1"/>
  <c r="BO561" i="32" s="1"/>
  <c r="AT554" i="32"/>
  <c r="BB283" i="32"/>
  <c r="AT180" i="32"/>
  <c r="AU514" i="32"/>
  <c r="AU130" i="32"/>
  <c r="AU112" i="32"/>
  <c r="AT196" i="32"/>
  <c r="AT130" i="32"/>
  <c r="AU545" i="32"/>
  <c r="AT112" i="32"/>
  <c r="BB112" i="32"/>
  <c r="BB185" i="32"/>
  <c r="BN184" i="32" s="1"/>
  <c r="BO184" i="32" s="1"/>
  <c r="AT248" i="32"/>
  <c r="AT498" i="32"/>
  <c r="BC562" i="32"/>
  <c r="BB29" i="32"/>
  <c r="AU347" i="32"/>
  <c r="BC283" i="32"/>
  <c r="AU180" i="32"/>
  <c r="AU83" i="32"/>
  <c r="AT472" i="32"/>
  <c r="AU337" i="32"/>
  <c r="AT347" i="32"/>
  <c r="BC180" i="32"/>
  <c r="BB83" i="32"/>
  <c r="AT29" i="32"/>
  <c r="AT341" i="32"/>
  <c r="AU244" i="32"/>
  <c r="BB180" i="32"/>
  <c r="BC83" i="32"/>
  <c r="BC77" i="32"/>
  <c r="AU498" i="32"/>
  <c r="AU529" i="32"/>
  <c r="BC497" i="32"/>
  <c r="BB498" i="32"/>
  <c r="BN497" i="32" s="1"/>
  <c r="BO497" i="32" s="1"/>
  <c r="BB529" i="32"/>
  <c r="BB411" i="32"/>
  <c r="AT283" i="32"/>
  <c r="AT178" i="32"/>
  <c r="BC472" i="32"/>
  <c r="AT162" i="32"/>
  <c r="BB362" i="32"/>
  <c r="AU147" i="32"/>
  <c r="BB364" i="32"/>
  <c r="AU73" i="32"/>
  <c r="BC147" i="32"/>
  <c r="BC364" i="32"/>
  <c r="AU467" i="32"/>
  <c r="AU426" i="32"/>
  <c r="AT467" i="32"/>
  <c r="AT426" i="32"/>
  <c r="BB467" i="32"/>
  <c r="BB98" i="32"/>
  <c r="BB426" i="32"/>
  <c r="AU240" i="32"/>
  <c r="BC240" i="32"/>
  <c r="AT442" i="32"/>
  <c r="AT153" i="32"/>
  <c r="BB442" i="32"/>
  <c r="AU442" i="32"/>
  <c r="AU537" i="32"/>
  <c r="AT537" i="32"/>
  <c r="BC312" i="32"/>
  <c r="AT449" i="32"/>
  <c r="AU29" i="32"/>
  <c r="BC34" i="32"/>
  <c r="BC72" i="32"/>
  <c r="BC360" i="32"/>
  <c r="BB34" i="32"/>
  <c r="AU331" i="32"/>
  <c r="AT17" i="32"/>
  <c r="AU77" i="32"/>
  <c r="AT331" i="32"/>
  <c r="BC376" i="32"/>
  <c r="AU472" i="32"/>
  <c r="BB537" i="32"/>
  <c r="BC82" i="32"/>
  <c r="AT147" i="32"/>
  <c r="AT77" i="32"/>
  <c r="AT520" i="32"/>
  <c r="BC537" i="32"/>
  <c r="BB232" i="32"/>
  <c r="AU497" i="32"/>
  <c r="AU64" i="32"/>
  <c r="BC40" i="32"/>
  <c r="BC185" i="32"/>
  <c r="AU121" i="32"/>
  <c r="AT313" i="32"/>
  <c r="BC368" i="32"/>
  <c r="AT521" i="32"/>
  <c r="AT96" i="32"/>
  <c r="BB121" i="32"/>
  <c r="BB515" i="32"/>
  <c r="AU623" i="32"/>
  <c r="BC96" i="32"/>
  <c r="BB586" i="32"/>
  <c r="BB96" i="32"/>
  <c r="AU248" i="32"/>
  <c r="BB48" i="32"/>
  <c r="BC32" i="32"/>
  <c r="AT458" i="32"/>
  <c r="AU208" i="32"/>
  <c r="AT280" i="32"/>
  <c r="AT208" i="32"/>
  <c r="AU202" i="32"/>
  <c r="BB608" i="32"/>
  <c r="BC202" i="32"/>
  <c r="BC48" i="32"/>
  <c r="BC37" i="32"/>
  <c r="BC608" i="32"/>
  <c r="BB32" i="32"/>
  <c r="AT88" i="32"/>
  <c r="BB425" i="32"/>
  <c r="BB72" i="32"/>
  <c r="BB202" i="32"/>
  <c r="BN201" i="32" s="1"/>
  <c r="BO201" i="32" s="1"/>
  <c r="BC168" i="32"/>
  <c r="AU88" i="32"/>
  <c r="AU458" i="32"/>
  <c r="AT233" i="32"/>
  <c r="BC233" i="32"/>
  <c r="AU74" i="32"/>
  <c r="BB88" i="32"/>
  <c r="AU608" i="32"/>
  <c r="BC74" i="32"/>
  <c r="AT48" i="32"/>
  <c r="AU32" i="32"/>
  <c r="BB41" i="32"/>
  <c r="BN40" i="32" s="1"/>
  <c r="BO40" i="32" s="1"/>
  <c r="AU72" i="32"/>
  <c r="AT514" i="32"/>
  <c r="AU264" i="32"/>
  <c r="BB417" i="32"/>
  <c r="BB384" i="32"/>
  <c r="AU521" i="32"/>
  <c r="AT370" i="32"/>
  <c r="BC384" i="32"/>
  <c r="BC248" i="32"/>
  <c r="AU403" i="32"/>
  <c r="AU504" i="32"/>
  <c r="BC154" i="32"/>
  <c r="AT264" i="32"/>
  <c r="AT417" i="32"/>
  <c r="BC547" i="32"/>
  <c r="BB280" i="32"/>
  <c r="BB552" i="32"/>
  <c r="BB233" i="32"/>
  <c r="AT497" i="32"/>
  <c r="AU182" i="32"/>
  <c r="AU272" i="32"/>
  <c r="AU547" i="32"/>
  <c r="AU280" i="32"/>
  <c r="AT212" i="32"/>
  <c r="AT299" i="32"/>
  <c r="BB104" i="32"/>
  <c r="AT576" i="32"/>
  <c r="AT489" i="32"/>
  <c r="AU212" i="32"/>
  <c r="AU299" i="32"/>
  <c r="AT376" i="32"/>
  <c r="AU576" i="32"/>
  <c r="BB212" i="32"/>
  <c r="AT45" i="32"/>
  <c r="BB299" i="32"/>
  <c r="AT168" i="32"/>
  <c r="AU40" i="32"/>
  <c r="AU376" i="32"/>
  <c r="AU45" i="32"/>
  <c r="AU168" i="32"/>
  <c r="AT40" i="32"/>
  <c r="AT513" i="32"/>
  <c r="AU98" i="32"/>
  <c r="AU105" i="32"/>
  <c r="AU305" i="32"/>
  <c r="AT41" i="32"/>
  <c r="AT256" i="32"/>
  <c r="AU433" i="32"/>
  <c r="AT120" i="32"/>
  <c r="AU41" i="32"/>
  <c r="AU256" i="32"/>
  <c r="AT272" i="32"/>
  <c r="BC256" i="32"/>
  <c r="AT121" i="32"/>
  <c r="BC272" i="32"/>
  <c r="BC99" i="32"/>
  <c r="BC561" i="32"/>
  <c r="BC104" i="32"/>
  <c r="AT360" i="32"/>
  <c r="AU360" i="32"/>
  <c r="BC321" i="32"/>
  <c r="BB82" i="32"/>
  <c r="AU313" i="32"/>
  <c r="AT113" i="32"/>
  <c r="BC208" i="32"/>
  <c r="BC203" i="32"/>
  <c r="AU69" i="32"/>
  <c r="BC113" i="32"/>
  <c r="BC111" i="32"/>
  <c r="BC31" i="32"/>
  <c r="BC313" i="32"/>
  <c r="AT403" i="32"/>
  <c r="AU162" i="32"/>
  <c r="AU153" i="32"/>
  <c r="BB403" i="32"/>
  <c r="AU434" i="32"/>
  <c r="BB162" i="32"/>
  <c r="BB105" i="32"/>
  <c r="BC465" i="32"/>
  <c r="AT82" i="32"/>
  <c r="BC153" i="32"/>
  <c r="BC105" i="32"/>
  <c r="AU170" i="32"/>
  <c r="BC184" i="32"/>
  <c r="BC43" i="32"/>
  <c r="BC18" i="32"/>
  <c r="BB585" i="32"/>
  <c r="AU321" i="32"/>
  <c r="BB18" i="32"/>
  <c r="AT321" i="32"/>
  <c r="BC464" i="32"/>
  <c r="BB236" i="32"/>
  <c r="BC434" i="32"/>
  <c r="AT18" i="32"/>
  <c r="AU585" i="32"/>
  <c r="BC585" i="32"/>
  <c r="AU184" i="32"/>
  <c r="BC571" i="32"/>
  <c r="AT184" i="32"/>
  <c r="AT465" i="32"/>
  <c r="AT314" i="32"/>
  <c r="AU314" i="32"/>
  <c r="BC314" i="32"/>
  <c r="AU160" i="32"/>
  <c r="AT160" i="32"/>
  <c r="BB160" i="32"/>
  <c r="AT611" i="32"/>
  <c r="BB176" i="32"/>
  <c r="BC146" i="32"/>
  <c r="AT241" i="32"/>
  <c r="AT496" i="32"/>
  <c r="BB216" i="32"/>
  <c r="AU232" i="32"/>
  <c r="BC241" i="32"/>
  <c r="BC601" i="32"/>
  <c r="BC417" i="32"/>
  <c r="AU401" i="32"/>
  <c r="AU89" i="32"/>
  <c r="AU354" i="32"/>
  <c r="BC232" i="32"/>
  <c r="BC370" i="32"/>
  <c r="BB264" i="32"/>
  <c r="AT320" i="32"/>
  <c r="BC539" i="32"/>
  <c r="AT401" i="32"/>
  <c r="AU146" i="32"/>
  <c r="AU43" i="32"/>
  <c r="AU137" i="32"/>
  <c r="AU154" i="32"/>
  <c r="AU339" i="32"/>
  <c r="BB370" i="32"/>
  <c r="BB320" i="32"/>
  <c r="BB152" i="32"/>
  <c r="AU320" i="32"/>
  <c r="BB401" i="32"/>
  <c r="BB89" i="32"/>
  <c r="BC354" i="32"/>
  <c r="AT146" i="32"/>
  <c r="BC137" i="32"/>
  <c r="AT154" i="32"/>
  <c r="AU328" i="32"/>
  <c r="AU384" i="32"/>
  <c r="BB37" i="32"/>
  <c r="AT305" i="32"/>
  <c r="BB226" i="32"/>
  <c r="AU496" i="32"/>
  <c r="BB496" i="32"/>
  <c r="BN496" i="32" s="1"/>
  <c r="BO496" i="32" s="1"/>
  <c r="BC432" i="32"/>
  <c r="AT176" i="32"/>
  <c r="BB427" i="32"/>
  <c r="AT539" i="32"/>
  <c r="AU176" i="32"/>
  <c r="AT14" i="32"/>
  <c r="AU539" i="32"/>
  <c r="AT216" i="32"/>
  <c r="AT369" i="32"/>
  <c r="BB289" i="32"/>
  <c r="BB539" i="32"/>
  <c r="AU216" i="32"/>
  <c r="BC201" i="32"/>
  <c r="AU201" i="32"/>
  <c r="AT201" i="32"/>
  <c r="BB242" i="32"/>
  <c r="BC242" i="32"/>
  <c r="AT242" i="32"/>
  <c r="AU242" i="32"/>
  <c r="BC584" i="32"/>
  <c r="BB584" i="32"/>
  <c r="AT584" i="32"/>
  <c r="AT122" i="32"/>
  <c r="AT592" i="32"/>
  <c r="AU322" i="32"/>
  <c r="BC211" i="32"/>
  <c r="BB211" i="32"/>
  <c r="AT289" i="32"/>
  <c r="BC138" i="32"/>
  <c r="AT138" i="32"/>
  <c r="AU138" i="32"/>
  <c r="BC452" i="32"/>
  <c r="BC14" i="32"/>
  <c r="AU584" i="32"/>
  <c r="AU553" i="32"/>
  <c r="AT553" i="32"/>
  <c r="BC441" i="32"/>
  <c r="BB441" i="32"/>
  <c r="AU441" i="32"/>
  <c r="AT441" i="32"/>
  <c r="AT64" i="32"/>
  <c r="BC25" i="32"/>
  <c r="BB25" i="32"/>
  <c r="AT25" i="32"/>
  <c r="AU25" i="32"/>
  <c r="BB275" i="32"/>
  <c r="AT275" i="32"/>
  <c r="AU275" i="32"/>
  <c r="BB21" i="32"/>
  <c r="BC21" i="32"/>
  <c r="AT21" i="32"/>
  <c r="BC533" i="32"/>
  <c r="BB424" i="32"/>
  <c r="AU424" i="32"/>
  <c r="AT424" i="32"/>
  <c r="BB128" i="32"/>
  <c r="BC128" i="32"/>
  <c r="BC353" i="32"/>
  <c r="BB353" i="32"/>
  <c r="BN353" i="32" s="1"/>
  <c r="BO353" i="32" s="1"/>
  <c r="BC91" i="32"/>
  <c r="BB91" i="32"/>
  <c r="AU91" i="32"/>
  <c r="BC603" i="32"/>
  <c r="BB603" i="32"/>
  <c r="AT603" i="32"/>
  <c r="BB177" i="32"/>
  <c r="BC177" i="32"/>
  <c r="AU177" i="32"/>
  <c r="AT177" i="32"/>
  <c r="BC193" i="32"/>
  <c r="AU75" i="32"/>
  <c r="AT368" i="32"/>
  <c r="BB14" i="32"/>
  <c r="BN13" i="32" s="1"/>
  <c r="AT129" i="32"/>
  <c r="BC216" i="32"/>
  <c r="BB64" i="32"/>
  <c r="BB80" i="32"/>
  <c r="BC80" i="32"/>
  <c r="BB554" i="32"/>
  <c r="BC554" i="32"/>
  <c r="AU554" i="32"/>
  <c r="BC306" i="32"/>
  <c r="AT306" i="32"/>
  <c r="AU306" i="32"/>
  <c r="BB288" i="32"/>
  <c r="AU368" i="32"/>
  <c r="BC129" i="32"/>
  <c r="AU544" i="32"/>
  <c r="BB306" i="32"/>
  <c r="AU80" i="32"/>
  <c r="BB438" i="32"/>
  <c r="BC438" i="32"/>
  <c r="AU169" i="32"/>
  <c r="BB368" i="32"/>
  <c r="BB129" i="32"/>
  <c r="BN129" i="32" s="1"/>
  <c r="BO129" i="32" s="1"/>
  <c r="AT80" i="32"/>
  <c r="BB553" i="32"/>
  <c r="BC322" i="32"/>
  <c r="BC600" i="32"/>
  <c r="BB600" i="32"/>
  <c r="AU600" i="32"/>
  <c r="AT600" i="32"/>
  <c r="BB26" i="32"/>
  <c r="BC26" i="32"/>
  <c r="AT26" i="32"/>
  <c r="AU26" i="32"/>
  <c r="AU377" i="32"/>
  <c r="AU90" i="32"/>
  <c r="AT90" i="32"/>
  <c r="BB42" i="32"/>
  <c r="BC42" i="32"/>
  <c r="AU432" i="32"/>
  <c r="AT386" i="32"/>
  <c r="AU42" i="32"/>
  <c r="AU438" i="32"/>
  <c r="AU21" i="32"/>
  <c r="BC553" i="32"/>
  <c r="AT361" i="32"/>
  <c r="AU353" i="32"/>
  <c r="BC90" i="32"/>
  <c r="AT379" i="32"/>
  <c r="AU129" i="32"/>
  <c r="BC290" i="32"/>
  <c r="AT290" i="32"/>
  <c r="AU290" i="32"/>
  <c r="AU226" i="32"/>
  <c r="AT226" i="32"/>
  <c r="AT432" i="32"/>
  <c r="AU386" i="32"/>
  <c r="BB290" i="32"/>
  <c r="AU37" i="32"/>
  <c r="AT42" i="32"/>
  <c r="AT438" i="32"/>
  <c r="AU361" i="32"/>
  <c r="AT169" i="32"/>
  <c r="AT353" i="32"/>
  <c r="AT128" i="32"/>
  <c r="BB90" i="32"/>
  <c r="AU241" i="32"/>
  <c r="AT37" i="32"/>
  <c r="BB374" i="32"/>
  <c r="BC275" i="32"/>
  <c r="BB361" i="32"/>
  <c r="BN360" i="32" s="1"/>
  <c r="BO360" i="32" s="1"/>
  <c r="BC169" i="32"/>
  <c r="AU289" i="32"/>
  <c r="AU128" i="32"/>
  <c r="AU218" i="32"/>
  <c r="BB305" i="32"/>
  <c r="AT152" i="32"/>
  <c r="AT502" i="32"/>
  <c r="AU152" i="32"/>
  <c r="BC296" i="32"/>
  <c r="AU296" i="32"/>
  <c r="AT296" i="32"/>
  <c r="BB296" i="32"/>
  <c r="AT218" i="32"/>
  <c r="AU369" i="32"/>
  <c r="BB369" i="32"/>
  <c r="AU392" i="32"/>
  <c r="BC192" i="32"/>
  <c r="AT392" i="32"/>
  <c r="AT419" i="32"/>
  <c r="BB392" i="32"/>
  <c r="AT144" i="32"/>
  <c r="AU413" i="32"/>
  <c r="BC212" i="32"/>
  <c r="AT73" i="32"/>
  <c r="AT136" i="32"/>
  <c r="BB113" i="32"/>
  <c r="AT434" i="32"/>
  <c r="AU144" i="32"/>
  <c r="AU281" i="32"/>
  <c r="BB73" i="32"/>
  <c r="AU136" i="32"/>
  <c r="BB434" i="32"/>
  <c r="BB144" i="32"/>
  <c r="BB200" i="32"/>
  <c r="BN200" i="32" s="1"/>
  <c r="BO200" i="32" s="1"/>
  <c r="AT281" i="32"/>
  <c r="AT538" i="32"/>
  <c r="BB136" i="32"/>
  <c r="AT561" i="32"/>
  <c r="AU561" i="32"/>
  <c r="AT425" i="32"/>
  <c r="BB623" i="32"/>
  <c r="AT623" i="32"/>
  <c r="BN153" i="32"/>
  <c r="BO153" i="32" s="1"/>
  <c r="BN472" i="32"/>
  <c r="BO472" i="32" s="1"/>
  <c r="BN146" i="32"/>
  <c r="BO146" i="32" s="1"/>
  <c r="BN168" i="32"/>
  <c r="BO168" i="32" s="1"/>
  <c r="BN169" i="32"/>
  <c r="BO169" i="32" s="1"/>
  <c r="BN313" i="32"/>
  <c r="BO313" i="32" s="1"/>
  <c r="BN137" i="32"/>
  <c r="BO137" i="32" s="1"/>
  <c r="AD617" i="31"/>
  <c r="AL617" i="31"/>
  <c r="AE617" i="31"/>
  <c r="AM617" i="31"/>
  <c r="AO617" i="31"/>
  <c r="AP617" i="31"/>
  <c r="Q617" i="31"/>
  <c r="R617" i="31"/>
  <c r="AF617" i="31"/>
  <c r="AT580" i="32" l="1"/>
  <c r="BC409" i="32"/>
  <c r="BB549" i="32"/>
  <c r="AU443" i="32"/>
  <c r="BN152" i="32"/>
  <c r="BO152" i="32" s="1"/>
  <c r="AU371" i="32"/>
  <c r="BB576" i="32"/>
  <c r="AU104" i="32"/>
  <c r="BC17" i="32"/>
  <c r="BC45" i="32"/>
  <c r="BB566" i="32"/>
  <c r="BN272" i="32"/>
  <c r="BO272" i="32" s="1"/>
  <c r="BN138" i="32"/>
  <c r="BO138" i="32" s="1"/>
  <c r="BC458" i="32"/>
  <c r="BC371" i="32"/>
  <c r="AT547" i="32"/>
  <c r="AU364" i="32"/>
  <c r="BB17" i="32"/>
  <c r="BC388" i="32"/>
  <c r="BC386" i="32"/>
  <c r="AU270" i="32"/>
  <c r="BB285" i="32"/>
  <c r="BB331" i="32"/>
  <c r="BN331" i="32" s="1"/>
  <c r="BO331" i="32" s="1"/>
  <c r="BC421" i="32"/>
  <c r="BN432" i="32"/>
  <c r="BO432" i="32" s="1"/>
  <c r="AT374" i="32"/>
  <c r="BB329" i="32"/>
  <c r="AU562" i="32"/>
  <c r="AU374" i="32"/>
  <c r="AU549" i="32"/>
  <c r="BC625" i="32"/>
  <c r="BC149" i="32"/>
  <c r="AT382" i="32"/>
  <c r="AU19" i="32"/>
  <c r="BB571" i="32"/>
  <c r="AU249" i="32"/>
  <c r="BN32" i="32"/>
  <c r="BO32" i="32" s="1"/>
  <c r="AU499" i="32"/>
  <c r="AU372" i="32"/>
  <c r="AT329" i="32"/>
  <c r="BC170" i="32"/>
  <c r="BC236" i="32"/>
  <c r="AT149" i="32"/>
  <c r="AU145" i="32"/>
  <c r="BC514" i="32"/>
  <c r="AT43" i="32"/>
  <c r="BC611" i="32"/>
  <c r="AU99" i="32"/>
  <c r="BB499" i="32"/>
  <c r="AT586" i="32"/>
  <c r="BB145" i="32"/>
  <c r="BN145" i="32" s="1"/>
  <c r="BO145" i="32" s="1"/>
  <c r="AT372" i="32"/>
  <c r="AT224" i="32"/>
  <c r="BC122" i="32"/>
  <c r="BB281" i="32"/>
  <c r="BN280" i="32" s="1"/>
  <c r="BO280" i="32" s="1"/>
  <c r="BB182" i="32"/>
  <c r="BC182" i="32"/>
  <c r="BB544" i="32"/>
  <c r="BB122" i="32"/>
  <c r="BN122" i="32" s="1"/>
  <c r="BO122" i="32" s="1"/>
  <c r="AU611" i="32"/>
  <c r="AT111" i="32"/>
  <c r="BC595" i="32"/>
  <c r="AU33" i="32"/>
  <c r="BC224" i="32"/>
  <c r="BB167" i="32"/>
  <c r="BB111" i="32"/>
  <c r="AU329" i="32"/>
  <c r="AU610" i="32"/>
  <c r="AT411" i="32"/>
  <c r="BB413" i="32"/>
  <c r="BN413" i="32" s="1"/>
  <c r="BO413" i="32" s="1"/>
  <c r="BC16" i="32"/>
  <c r="BB78" i="32"/>
  <c r="BN77" i="32" s="1"/>
  <c r="BO77" i="32" s="1"/>
  <c r="AU533" i="32"/>
  <c r="BB224" i="32"/>
  <c r="BB625" i="32"/>
  <c r="AU149" i="32"/>
  <c r="BB240" i="32"/>
  <c r="BN240" i="32" s="1"/>
  <c r="BO240" i="32" s="1"/>
  <c r="BB595" i="32"/>
  <c r="BC408" i="32"/>
  <c r="BB19" i="32"/>
  <c r="BN18" i="32" s="1"/>
  <c r="BO18" i="32" s="1"/>
  <c r="BC545" i="32"/>
  <c r="BN314" i="32"/>
  <c r="BO314" i="32" s="1"/>
  <c r="BN170" i="32"/>
  <c r="BO170" i="32" s="1"/>
  <c r="AU332" i="32"/>
  <c r="AT413" i="32"/>
  <c r="AT427" i="32"/>
  <c r="BC427" i="32"/>
  <c r="AT544" i="32"/>
  <c r="BB533" i="32"/>
  <c r="BB99" i="32"/>
  <c r="BC499" i="32"/>
  <c r="AT249" i="32"/>
  <c r="AT19" i="32"/>
  <c r="BN33" i="32"/>
  <c r="BO33" i="32" s="1"/>
  <c r="AU444" i="32"/>
  <c r="AT145" i="32"/>
  <c r="BC347" i="32"/>
  <c r="AU382" i="32"/>
  <c r="BN346" i="32"/>
  <c r="BO346" i="32" s="1"/>
  <c r="AU236" i="32"/>
  <c r="AT170" i="32"/>
  <c r="AT610" i="32"/>
  <c r="BB249" i="32"/>
  <c r="BN248" i="32" s="1"/>
  <c r="BO248" i="32" s="1"/>
  <c r="AU625" i="32"/>
  <c r="AU586" i="32"/>
  <c r="BB610" i="32"/>
  <c r="BN610" i="32" s="1"/>
  <c r="BO610" i="32" s="1"/>
  <c r="AU595" i="32"/>
  <c r="AU411" i="32"/>
  <c r="BC33" i="32"/>
  <c r="AT33" i="32"/>
  <c r="BN256" i="32"/>
  <c r="BO256" i="32" s="1"/>
  <c r="AT377" i="32"/>
  <c r="AT59" i="32"/>
  <c r="BB53" i="32"/>
  <c r="AT257" i="32"/>
  <c r="AU569" i="32"/>
  <c r="AU49" i="32"/>
  <c r="BC49" i="32"/>
  <c r="BC449" i="32"/>
  <c r="AU449" i="32"/>
  <c r="AT304" i="32"/>
  <c r="AU489" i="32"/>
  <c r="AU53" i="32"/>
  <c r="BN515" i="32"/>
  <c r="BO515" i="32" s="1"/>
  <c r="AT209" i="32"/>
  <c r="AU59" i="32"/>
  <c r="BC20" i="32"/>
  <c r="BB352" i="32"/>
  <c r="BC186" i="32"/>
  <c r="BB304" i="32"/>
  <c r="BN303" i="32" s="1"/>
  <c r="BO303" i="32" s="1"/>
  <c r="AU516" i="32"/>
  <c r="BB49" i="32"/>
  <c r="BB59" i="32"/>
  <c r="AU336" i="32"/>
  <c r="BB97" i="32"/>
  <c r="BB569" i="32"/>
  <c r="BC53" i="32"/>
  <c r="AT569" i="32"/>
  <c r="BC304" i="32"/>
  <c r="BB377" i="32"/>
  <c r="BN376" i="32" s="1"/>
  <c r="BO376" i="32" s="1"/>
  <c r="BB489" i="32"/>
  <c r="AU257" i="32"/>
  <c r="BB234" i="32"/>
  <c r="BN233" i="32" s="1"/>
  <c r="BO233" i="32" s="1"/>
  <c r="BN56" i="32"/>
  <c r="BO56" i="32" s="1"/>
  <c r="BC482" i="32"/>
  <c r="BB24" i="32"/>
  <c r="AU626" i="32"/>
  <c r="AT328" i="32"/>
  <c r="BB193" i="32"/>
  <c r="BN192" i="32" s="1"/>
  <c r="BO192" i="32" s="1"/>
  <c r="AU192" i="32"/>
  <c r="AT210" i="32"/>
  <c r="BB20" i="32"/>
  <c r="BB312" i="32"/>
  <c r="BC210" i="32"/>
  <c r="BC24" i="32"/>
  <c r="AT57" i="32"/>
  <c r="BC393" i="32"/>
  <c r="BC57" i="32"/>
  <c r="AT433" i="32"/>
  <c r="AT482" i="32"/>
  <c r="BB345" i="32"/>
  <c r="BB339" i="32"/>
  <c r="BB609" i="32"/>
  <c r="AU56" i="32"/>
  <c r="BB210" i="32"/>
  <c r="BN209" i="32" s="1"/>
  <c r="BO209" i="32" s="1"/>
  <c r="AT552" i="32"/>
  <c r="BC552" i="32"/>
  <c r="BC65" i="32"/>
  <c r="AT531" i="32"/>
  <c r="BC593" i="32"/>
  <c r="BB482" i="32"/>
  <c r="AT626" i="32"/>
  <c r="BC626" i="32"/>
  <c r="BB186" i="32"/>
  <c r="BN185" i="32" s="1"/>
  <c r="BO185" i="32" s="1"/>
  <c r="AT339" i="32"/>
  <c r="AT56" i="32"/>
  <c r="AU393" i="32"/>
  <c r="BC56" i="32"/>
  <c r="AU234" i="32"/>
  <c r="BB50" i="32"/>
  <c r="BB531" i="32"/>
  <c r="BB196" i="32"/>
  <c r="AT192" i="32"/>
  <c r="AT24" i="32"/>
  <c r="AT186" i="32"/>
  <c r="BC328" i="32"/>
  <c r="AT450" i="32"/>
  <c r="BB450" i="32"/>
  <c r="BN449" i="32" s="1"/>
  <c r="BO449" i="32" s="1"/>
  <c r="BC433" i="32"/>
  <c r="BC531" i="32"/>
  <c r="BB65" i="32"/>
  <c r="BN65" i="32" s="1"/>
  <c r="BO65" i="32" s="1"/>
  <c r="BN528" i="32"/>
  <c r="BO528" i="32" s="1"/>
  <c r="BC196" i="32"/>
  <c r="AT193" i="32"/>
  <c r="AU57" i="32"/>
  <c r="BB393" i="32"/>
  <c r="AU312" i="32"/>
  <c r="BC234" i="32"/>
  <c r="AT65" i="32"/>
  <c r="BN385" i="32"/>
  <c r="BO385" i="32" s="1"/>
  <c r="AT469" i="32"/>
  <c r="AU385" i="32"/>
  <c r="AU114" i="32"/>
  <c r="AT187" i="32"/>
  <c r="AU475" i="32"/>
  <c r="BC200" i="32"/>
  <c r="AU273" i="32"/>
  <c r="AU297" i="32"/>
  <c r="BC592" i="32"/>
  <c r="AU568" i="32"/>
  <c r="AT568" i="32"/>
  <c r="AT38" i="32"/>
  <c r="AT440" i="32"/>
  <c r="BN384" i="32"/>
  <c r="BO384" i="32" s="1"/>
  <c r="BC385" i="32"/>
  <c r="BC345" i="32"/>
  <c r="AU362" i="32"/>
  <c r="AT219" i="32"/>
  <c r="AT97" i="32"/>
  <c r="AT114" i="32"/>
  <c r="AT297" i="32"/>
  <c r="BC469" i="32"/>
  <c r="BB469" i="32"/>
  <c r="BN469" i="32" s="1"/>
  <c r="BO469" i="32" s="1"/>
  <c r="BC577" i="32"/>
  <c r="BC624" i="32"/>
  <c r="BN576" i="32"/>
  <c r="BO576" i="32" s="1"/>
  <c r="BB408" i="32"/>
  <c r="BC267" i="32"/>
  <c r="BC346" i="32"/>
  <c r="BN61" i="32"/>
  <c r="BO61" i="32" s="1"/>
  <c r="AU577" i="32"/>
  <c r="BC115" i="32"/>
  <c r="BB297" i="32"/>
  <c r="AT352" i="32"/>
  <c r="AU409" i="32"/>
  <c r="AU624" i="32"/>
  <c r="BC273" i="32"/>
  <c r="BB250" i="32"/>
  <c r="BN250" i="32" s="1"/>
  <c r="BO250" i="32" s="1"/>
  <c r="AT555" i="32"/>
  <c r="AT61" i="32"/>
  <c r="AT273" i="32"/>
  <c r="BB440" i="32"/>
  <c r="AT115" i="32"/>
  <c r="AT385" i="32"/>
  <c r="AU200" i="32"/>
  <c r="AT456" i="32"/>
  <c r="BC568" i="32"/>
  <c r="AT624" i="32"/>
  <c r="BB457" i="32"/>
  <c r="BN457" i="32" s="1"/>
  <c r="BO457" i="32" s="1"/>
  <c r="AT505" i="32"/>
  <c r="AU20" i="32"/>
  <c r="BC250" i="32"/>
  <c r="BC274" i="32"/>
  <c r="BC505" i="32"/>
  <c r="AU16" i="32"/>
  <c r="BC68" i="32"/>
  <c r="BC209" i="32"/>
  <c r="AU609" i="32"/>
  <c r="AU592" i="32"/>
  <c r="AT516" i="32"/>
  <c r="AU505" i="32"/>
  <c r="BC257" i="32"/>
  <c r="AU61" i="32"/>
  <c r="BB336" i="32"/>
  <c r="AT577" i="32"/>
  <c r="BB409" i="32"/>
  <c r="AT345" i="32"/>
  <c r="AU219" i="32"/>
  <c r="AT50" i="32"/>
  <c r="AT16" i="32"/>
  <c r="AU97" i="32"/>
  <c r="BC219" i="32"/>
  <c r="AT267" i="32"/>
  <c r="BC362" i="32"/>
  <c r="BC475" i="32"/>
  <c r="BB475" i="32"/>
  <c r="BB161" i="32"/>
  <c r="BN160" i="32" s="1"/>
  <c r="BO160" i="32" s="1"/>
  <c r="AT609" i="32"/>
  <c r="AT457" i="32"/>
  <c r="AU457" i="32"/>
  <c r="AU440" i="32"/>
  <c r="AT250" i="32"/>
  <c r="BC61" i="32"/>
  <c r="AU352" i="32"/>
  <c r="BB114" i="32"/>
  <c r="BN113" i="32" s="1"/>
  <c r="BO113" i="32" s="1"/>
  <c r="AT336" i="32"/>
  <c r="AU209" i="32"/>
  <c r="BC50" i="32"/>
  <c r="AU408" i="32"/>
  <c r="BC161" i="32"/>
  <c r="AU425" i="32"/>
  <c r="AU490" i="32"/>
  <c r="AT108" i="32"/>
  <c r="BC337" i="32"/>
  <c r="AT69" i="32"/>
  <c r="AT74" i="32"/>
  <c r="BB378" i="32"/>
  <c r="AU66" i="32"/>
  <c r="AT66" i="32"/>
  <c r="BB490" i="32"/>
  <c r="AU108" i="32"/>
  <c r="AU288" i="32"/>
  <c r="BC521" i="32"/>
  <c r="AU464" i="32"/>
  <c r="BB464" i="32"/>
  <c r="AT504" i="32"/>
  <c r="AU473" i="32"/>
  <c r="BB108" i="32"/>
  <c r="BN108" i="32" s="1"/>
  <c r="BO108" i="32" s="1"/>
  <c r="AT288" i="32"/>
  <c r="BB337" i="32"/>
  <c r="BC513" i="32"/>
  <c r="AU34" i="32"/>
  <c r="BN513" i="32"/>
  <c r="BO513" i="32" s="1"/>
  <c r="BC225" i="32"/>
  <c r="BB225" i="32"/>
  <c r="AU225" i="32"/>
  <c r="BC490" i="32"/>
  <c r="BC473" i="32"/>
  <c r="BB69" i="32"/>
  <c r="BB504" i="32"/>
  <c r="BN504" i="32" s="1"/>
  <c r="BO504" i="32" s="1"/>
  <c r="AT378" i="32"/>
  <c r="BN512" i="32"/>
  <c r="BO512" i="32" s="1"/>
  <c r="AT473" i="32"/>
  <c r="AU513" i="32"/>
  <c r="BB178" i="32"/>
  <c r="BN177" i="32" s="1"/>
  <c r="BO177" i="32" s="1"/>
  <c r="BC378" i="32"/>
  <c r="BC178" i="32"/>
  <c r="BC66" i="32"/>
  <c r="BC628" i="32"/>
  <c r="AU379" i="32"/>
  <c r="BB452" i="32"/>
  <c r="BC416" i="32"/>
  <c r="BN537" i="32"/>
  <c r="BO537" i="32" s="1"/>
  <c r="BN466" i="32"/>
  <c r="BO466" i="32" s="1"/>
  <c r="AT260" i="32"/>
  <c r="AU341" i="32"/>
  <c r="AT235" i="32"/>
  <c r="BN203" i="32"/>
  <c r="BO203" i="32" s="1"/>
  <c r="BC218" i="32"/>
  <c r="BB379" i="32"/>
  <c r="AT326" i="32"/>
  <c r="AT322" i="32"/>
  <c r="AT354" i="32"/>
  <c r="AT137" i="32"/>
  <c r="BN464" i="32"/>
  <c r="BO464" i="32" s="1"/>
  <c r="AU465" i="32"/>
  <c r="AT109" i="32"/>
  <c r="BB520" i="32"/>
  <c r="AU520" i="32"/>
  <c r="AU120" i="32"/>
  <c r="AT98" i="32"/>
  <c r="BB120" i="32"/>
  <c r="BC235" i="32"/>
  <c r="BB116" i="32"/>
  <c r="AT116" i="32"/>
  <c r="BC252" i="32"/>
  <c r="AU394" i="32"/>
  <c r="BB235" i="32"/>
  <c r="BN235" i="32" s="1"/>
  <c r="BO235" i="32" s="1"/>
  <c r="AU502" i="32"/>
  <c r="AT211" i="32"/>
  <c r="BB326" i="32"/>
  <c r="BN325" i="32" s="1"/>
  <c r="BO325" i="32" s="1"/>
  <c r="AT252" i="32"/>
  <c r="AT89" i="32"/>
  <c r="BC502" i="32"/>
  <c r="AU466" i="32"/>
  <c r="AT203" i="32"/>
  <c r="AT601" i="32"/>
  <c r="BB252" i="32"/>
  <c r="BN251" i="32" s="1"/>
  <c r="BO251" i="32" s="1"/>
  <c r="AU194" i="32"/>
  <c r="BC194" i="32"/>
  <c r="BB75" i="32"/>
  <c r="BN74" i="32" s="1"/>
  <c r="BO74" i="32" s="1"/>
  <c r="BB132" i="32"/>
  <c r="AT303" i="32"/>
  <c r="BC132" i="32"/>
  <c r="AT451" i="32"/>
  <c r="BB190" i="32"/>
  <c r="BN189" i="32" s="1"/>
  <c r="BO189" i="32" s="1"/>
  <c r="AT406" i="32"/>
  <c r="BC466" i="32"/>
  <c r="AT307" i="32"/>
  <c r="BB357" i="32"/>
  <c r="AU132" i="32"/>
  <c r="AT394" i="32"/>
  <c r="AU303" i="32"/>
  <c r="BC260" i="32"/>
  <c r="BC221" i="32"/>
  <c r="AU260" i="32"/>
  <c r="AU628" i="32"/>
  <c r="AU419" i="32"/>
  <c r="AT75" i="32"/>
  <c r="BC326" i="32"/>
  <c r="AT466" i="32"/>
  <c r="AU116" i="32"/>
  <c r="BB416" i="32"/>
  <c r="BN416" i="32" s="1"/>
  <c r="BO416" i="32" s="1"/>
  <c r="AU416" i="32"/>
  <c r="AU601" i="32"/>
  <c r="BB451" i="32"/>
  <c r="BN450" i="32" s="1"/>
  <c r="BO450" i="32" s="1"/>
  <c r="AU538" i="32"/>
  <c r="BC419" i="32"/>
  <c r="BC538" i="32"/>
  <c r="AU452" i="32"/>
  <c r="BB307" i="32"/>
  <c r="BN306" i="32" s="1"/>
  <c r="BO306" i="32" s="1"/>
  <c r="AU307" i="32"/>
  <c r="BC468" i="32"/>
  <c r="BB394" i="32"/>
  <c r="BN393" i="32" s="1"/>
  <c r="BO393" i="32" s="1"/>
  <c r="AU109" i="32"/>
  <c r="BC109" i="32"/>
  <c r="AU203" i="32"/>
  <c r="BB341" i="32"/>
  <c r="BB194" i="32"/>
  <c r="AT344" i="32"/>
  <c r="AT265" i="32"/>
  <c r="AU298" i="32"/>
  <c r="BB363" i="32"/>
  <c r="BN362" i="32" s="1"/>
  <c r="BO362" i="32" s="1"/>
  <c r="AU58" i="32"/>
  <c r="AU217" i="32"/>
  <c r="BC481" i="32"/>
  <c r="AU400" i="32"/>
  <c r="AT593" i="32"/>
  <c r="AU528" i="32"/>
  <c r="BB500" i="32"/>
  <c r="BB155" i="32"/>
  <c r="BN154" i="32" s="1"/>
  <c r="BO154" i="32" s="1"/>
  <c r="AU155" i="32"/>
  <c r="BB344" i="32"/>
  <c r="BC81" i="32"/>
  <c r="AU481" i="32"/>
  <c r="AT564" i="32"/>
  <c r="BB400" i="32"/>
  <c r="AT298" i="32"/>
  <c r="AT528" i="32"/>
  <c r="BC528" i="32"/>
  <c r="AT100" i="32"/>
  <c r="AT217" i="32"/>
  <c r="AT58" i="32"/>
  <c r="AU106" i="32"/>
  <c r="AU564" i="32"/>
  <c r="AT155" i="32"/>
  <c r="BB564" i="32"/>
  <c r="BN564" i="32" s="1"/>
  <c r="BO564" i="32" s="1"/>
  <c r="BC597" i="32"/>
  <c r="BC265" i="32"/>
  <c r="BB58" i="32"/>
  <c r="BN57" i="32" s="1"/>
  <c r="BO57" i="32" s="1"/>
  <c r="AT81" i="32"/>
  <c r="BN259" i="32"/>
  <c r="BO259" i="32" s="1"/>
  <c r="AT481" i="32"/>
  <c r="AU344" i="32"/>
  <c r="BB570" i="32"/>
  <c r="BN570" i="32" s="1"/>
  <c r="BO570" i="32" s="1"/>
  <c r="BB100" i="32"/>
  <c r="BN100" i="32" s="1"/>
  <c r="BO100" i="32" s="1"/>
  <c r="BB81" i="32"/>
  <c r="BN80" i="32" s="1"/>
  <c r="BO80" i="32" s="1"/>
  <c r="AU100" i="32"/>
  <c r="BB106" i="32"/>
  <c r="AT106" i="32"/>
  <c r="BB265" i="32"/>
  <c r="BC298" i="32"/>
  <c r="BB217" i="32"/>
  <c r="BN217" i="32" s="1"/>
  <c r="BO217" i="32" s="1"/>
  <c r="AT400" i="32"/>
  <c r="BB593" i="32"/>
  <c r="BN592" i="32" s="1"/>
  <c r="BO592" i="32" s="1"/>
  <c r="BC450" i="32"/>
  <c r="AU418" i="32"/>
  <c r="BC500" i="32"/>
  <c r="BB418" i="32"/>
  <c r="BN418" i="32" s="1"/>
  <c r="BO418" i="32" s="1"/>
  <c r="BC570" i="32"/>
  <c r="AU363" i="32"/>
  <c r="BB36" i="32"/>
  <c r="BC36" i="32"/>
  <c r="AU500" i="32"/>
  <c r="BC363" i="32"/>
  <c r="AT36" i="32"/>
  <c r="BB35" i="32"/>
  <c r="AT418" i="32"/>
  <c r="AT435" i="32"/>
  <c r="BB597" i="32"/>
  <c r="BC459" i="32"/>
  <c r="AT459" i="32"/>
  <c r="AU428" i="32"/>
  <c r="BB459" i="32"/>
  <c r="BN458" i="32" s="1"/>
  <c r="BO458" i="32" s="1"/>
  <c r="AT570" i="32"/>
  <c r="AT597" i="32"/>
  <c r="BN521" i="32"/>
  <c r="BO521" i="32" s="1"/>
  <c r="BB355" i="32"/>
  <c r="BN354" i="32" s="1"/>
  <c r="BO354" i="32" s="1"/>
  <c r="BB115" i="32"/>
  <c r="AU259" i="32"/>
  <c r="BC172" i="32"/>
  <c r="BB324" i="32"/>
  <c r="BN324" i="32" s="1"/>
  <c r="BO324" i="32" s="1"/>
  <c r="AT324" i="32"/>
  <c r="BC488" i="32"/>
  <c r="AU267" i="32"/>
  <c r="BB187" i="32"/>
  <c r="AU566" i="32"/>
  <c r="BC355" i="32"/>
  <c r="AU274" i="32"/>
  <c r="BC259" i="32"/>
  <c r="BC38" i="32"/>
  <c r="BC60" i="32"/>
  <c r="BN267" i="32"/>
  <c r="BO267" i="32" s="1"/>
  <c r="AT346" i="32"/>
  <c r="AT68" i="32"/>
  <c r="AU346" i="32"/>
  <c r="BB456" i="32"/>
  <c r="BN456" i="32" s="1"/>
  <c r="BO456" i="32" s="1"/>
  <c r="BB555" i="32"/>
  <c r="BB560" i="32"/>
  <c r="BN560" i="32" s="1"/>
  <c r="BO560" i="32" s="1"/>
  <c r="BB38" i="32"/>
  <c r="BN37" i="32" s="1"/>
  <c r="BO37" i="32" s="1"/>
  <c r="AU172" i="32"/>
  <c r="AT172" i="32"/>
  <c r="AT274" i="32"/>
  <c r="AU555" i="32"/>
  <c r="AU324" i="32"/>
  <c r="BC187" i="32"/>
  <c r="AT566" i="32"/>
  <c r="BC456" i="32"/>
  <c r="AT355" i="32"/>
  <c r="BN59" i="32"/>
  <c r="BO59" i="32" s="1"/>
  <c r="AU572" i="32"/>
  <c r="BB488" i="32"/>
  <c r="BN488" i="32" s="1"/>
  <c r="BO488" i="32" s="1"/>
  <c r="BB412" i="32"/>
  <c r="BN411" i="32" s="1"/>
  <c r="BO411" i="32" s="1"/>
  <c r="AU174" i="32"/>
  <c r="BC381" i="32"/>
  <c r="AT254" i="32"/>
  <c r="BN530" i="32"/>
  <c r="BO530" i="32" s="1"/>
  <c r="BB142" i="32"/>
  <c r="AT530" i="32"/>
  <c r="AU227" i="32"/>
  <c r="AU506" i="32"/>
  <c r="BB227" i="32"/>
  <c r="BN227" i="32" s="1"/>
  <c r="BO227" i="32" s="1"/>
  <c r="BC491" i="32"/>
  <c r="BC578" i="32"/>
  <c r="BC23" i="32"/>
  <c r="AU142" i="32"/>
  <c r="AT476" i="32"/>
  <c r="AT279" i="32"/>
  <c r="BB435" i="32"/>
  <c r="BN434" i="32" s="1"/>
  <c r="BO434" i="32" s="1"/>
  <c r="BC522" i="32"/>
  <c r="BC428" i="32"/>
  <c r="AT213" i="32"/>
  <c r="BB428" i="32"/>
  <c r="BN427" i="32" s="1"/>
  <c r="BO427" i="32" s="1"/>
  <c r="AU117" i="32"/>
  <c r="AT522" i="32"/>
  <c r="AU522" i="32"/>
  <c r="AU435" i="32"/>
  <c r="BB213" i="32"/>
  <c r="BN212" i="32" s="1"/>
  <c r="BO212" i="32" s="1"/>
  <c r="AU173" i="32"/>
  <c r="AT310" i="32"/>
  <c r="AU285" i="32"/>
  <c r="AU78" i="32"/>
  <c r="AT443" i="32"/>
  <c r="AT135" i="32"/>
  <c r="BB501" i="32"/>
  <c r="BN501" i="32" s="1"/>
  <c r="BO501" i="32" s="1"/>
  <c r="BC470" i="32"/>
  <c r="AU390" i="32"/>
  <c r="AT629" i="32"/>
  <c r="BB277" i="32"/>
  <c r="BN276" i="32" s="1"/>
  <c r="BO276" i="32" s="1"/>
  <c r="BN546" i="32"/>
  <c r="BO546" i="32" s="1"/>
  <c r="BC414" i="32"/>
  <c r="BB135" i="32"/>
  <c r="BN135" i="32" s="1"/>
  <c r="BO135" i="32" s="1"/>
  <c r="AU238" i="32"/>
  <c r="BC515" i="32"/>
  <c r="AU530" i="32"/>
  <c r="AU277" i="32"/>
  <c r="BN172" i="32"/>
  <c r="BO172" i="32" s="1"/>
  <c r="BC142" i="32"/>
  <c r="BC436" i="32"/>
  <c r="BC238" i="32"/>
  <c r="AU135" i="32"/>
  <c r="AT164" i="32"/>
  <c r="AU254" i="32"/>
  <c r="BB443" i="32"/>
  <c r="BN443" i="32" s="1"/>
  <c r="BO443" i="32" s="1"/>
  <c r="BC204" i="32"/>
  <c r="AT204" i="32"/>
  <c r="AT602" i="32"/>
  <c r="AT269" i="32"/>
  <c r="BB421" i="32"/>
  <c r="BB371" i="32"/>
  <c r="BN371" i="32" s="1"/>
  <c r="BO371" i="32" s="1"/>
  <c r="AU316" i="32"/>
  <c r="AU476" i="32"/>
  <c r="AU421" i="32"/>
  <c r="AU414" i="32"/>
  <c r="BC173" i="32"/>
  <c r="BB436" i="32"/>
  <c r="AU204" i="32"/>
  <c r="AU436" i="32"/>
  <c r="BC310" i="32"/>
  <c r="AT390" i="32"/>
  <c r="BB602" i="32"/>
  <c r="BN601" i="32" s="1"/>
  <c r="BO601" i="32" s="1"/>
  <c r="BC512" i="32"/>
  <c r="BC530" i="32"/>
  <c r="BB310" i="32"/>
  <c r="BC254" i="32"/>
  <c r="AT532" i="32"/>
  <c r="AT173" i="32"/>
  <c r="AT78" i="32"/>
  <c r="AT515" i="32"/>
  <c r="BB532" i="32"/>
  <c r="BN532" i="32" s="1"/>
  <c r="BO532" i="32" s="1"/>
  <c r="AT285" i="32"/>
  <c r="BC602" i="32"/>
  <c r="BB390" i="32"/>
  <c r="BB476" i="32"/>
  <c r="BC277" i="32"/>
  <c r="AU512" i="32"/>
  <c r="BN173" i="32"/>
  <c r="BO173" i="32" s="1"/>
  <c r="BN204" i="32"/>
  <c r="BO204" i="32" s="1"/>
  <c r="AT572" i="32"/>
  <c r="AT139" i="32"/>
  <c r="BC139" i="32"/>
  <c r="AT195" i="32"/>
  <c r="BB85" i="32"/>
  <c r="BN85" i="32" s="1"/>
  <c r="BO85" i="32" s="1"/>
  <c r="BN83" i="32"/>
  <c r="BO83" i="32" s="1"/>
  <c r="AU139" i="32"/>
  <c r="BB23" i="32"/>
  <c r="BN23" i="32" s="1"/>
  <c r="BO23" i="32" s="1"/>
  <c r="BB506" i="32"/>
  <c r="BN505" i="32" s="1"/>
  <c r="BO505" i="32" s="1"/>
  <c r="AT62" i="32"/>
  <c r="BC62" i="32"/>
  <c r="AT470" i="32"/>
  <c r="BB220" i="32"/>
  <c r="BN220" i="32" s="1"/>
  <c r="BO220" i="32" s="1"/>
  <c r="BC134" i="32"/>
  <c r="BC532" i="32"/>
  <c r="AU133" i="32"/>
  <c r="BB572" i="32"/>
  <c r="BN345" i="32"/>
  <c r="BO345" i="32" s="1"/>
  <c r="AU445" i="32"/>
  <c r="AU62" i="32"/>
  <c r="BC358" i="32"/>
  <c r="AT60" i="32"/>
  <c r="AT560" i="32"/>
  <c r="AT512" i="32"/>
  <c r="AU68" i="32"/>
  <c r="BC560" i="32"/>
  <c r="AT429" i="32"/>
  <c r="AU541" i="32"/>
  <c r="AT541" i="32"/>
  <c r="AT259" i="32"/>
  <c r="AT501" i="32"/>
  <c r="AT134" i="32"/>
  <c r="AU164" i="32"/>
  <c r="AU501" i="32"/>
  <c r="AU60" i="32"/>
  <c r="AU470" i="32"/>
  <c r="BB445" i="32"/>
  <c r="BN444" i="32" s="1"/>
  <c r="BO444" i="32" s="1"/>
  <c r="AT445" i="32"/>
  <c r="BC508" i="32"/>
  <c r="BC541" i="32"/>
  <c r="AT488" i="32"/>
  <c r="BN101" i="32"/>
  <c r="BO101" i="32" s="1"/>
  <c r="AU546" i="32"/>
  <c r="BB491" i="32"/>
  <c r="BB92" i="32"/>
  <c r="BN91" i="32" s="1"/>
  <c r="BO91" i="32" s="1"/>
  <c r="BB563" i="32"/>
  <c r="BN562" i="32" s="1"/>
  <c r="BO562" i="32" s="1"/>
  <c r="AT536" i="32"/>
  <c r="BB477" i="32"/>
  <c r="BC30" i="32"/>
  <c r="AU101" i="32"/>
  <c r="AT101" i="32"/>
  <c r="AT117" i="32"/>
  <c r="AT578" i="32"/>
  <c r="BC102" i="32"/>
  <c r="AU396" i="32"/>
  <c r="BN116" i="32"/>
  <c r="BO116" i="32" s="1"/>
  <c r="BB578" i="32"/>
  <c r="BN577" i="32" s="1"/>
  <c r="BO577" i="32" s="1"/>
  <c r="BB587" i="32"/>
  <c r="BN586" i="32" s="1"/>
  <c r="BO586" i="32" s="1"/>
  <c r="AU213" i="32"/>
  <c r="BC35" i="32"/>
  <c r="BB507" i="32"/>
  <c r="BC507" i="32"/>
  <c r="AU594" i="32"/>
  <c r="AT594" i="32"/>
  <c r="BB594" i="32"/>
  <c r="AU507" i="32"/>
  <c r="BB292" i="32"/>
  <c r="BN291" i="32" s="1"/>
  <c r="BO291" i="32" s="1"/>
  <c r="AU92" i="32"/>
  <c r="BB27" i="32"/>
  <c r="BN27" i="32" s="1"/>
  <c r="BO27" i="32" s="1"/>
  <c r="BB301" i="32"/>
  <c r="AT395" i="32"/>
  <c r="BC573" i="32"/>
  <c r="BC580" i="32"/>
  <c r="AU580" i="32"/>
  <c r="BB270" i="32"/>
  <c r="AU573" i="32"/>
  <c r="BC270" i="32"/>
  <c r="BC598" i="32"/>
  <c r="BC92" i="32"/>
  <c r="AT549" i="32"/>
  <c r="AT301" i="32"/>
  <c r="AU477" i="32"/>
  <c r="BB93" i="32"/>
  <c r="BC292" i="32"/>
  <c r="AT87" i="32"/>
  <c r="AT397" i="32"/>
  <c r="AU30" i="32"/>
  <c r="AT131" i="32"/>
  <c r="AT189" i="32"/>
  <c r="AT604" i="32"/>
  <c r="AU301" i="32"/>
  <c r="AU571" i="32"/>
  <c r="AU542" i="32"/>
  <c r="AT230" i="32"/>
  <c r="AU261" i="32"/>
  <c r="BC245" i="32"/>
  <c r="BC444" i="32"/>
  <c r="BC382" i="32"/>
  <c r="BN332" i="32"/>
  <c r="BO332" i="32" s="1"/>
  <c r="AU604" i="32"/>
  <c r="AT292" i="32"/>
  <c r="BB131" i="32"/>
  <c r="BN130" i="32" s="1"/>
  <c r="BO130" i="32" s="1"/>
  <c r="BN603" i="32"/>
  <c r="BO603" i="32" s="1"/>
  <c r="AT366" i="32"/>
  <c r="BC117" i="32"/>
  <c r="AT598" i="32"/>
  <c r="AT332" i="32"/>
  <c r="AU131" i="32"/>
  <c r="BC332" i="32"/>
  <c r="BC604" i="32"/>
  <c r="BB269" i="32"/>
  <c r="BN268" i="32" s="1"/>
  <c r="BO268" i="32" s="1"/>
  <c r="AU167" i="32"/>
  <c r="AT444" i="32"/>
  <c r="AT30" i="32"/>
  <c r="BN611" i="32"/>
  <c r="BO611" i="32" s="1"/>
  <c r="AT167" i="32"/>
  <c r="AT227" i="32"/>
  <c r="AT27" i="32"/>
  <c r="BC84" i="32"/>
  <c r="BC282" i="32"/>
  <c r="BC85" i="32"/>
  <c r="BB536" i="32"/>
  <c r="BN536" i="32" s="1"/>
  <c r="BO536" i="32" s="1"/>
  <c r="AU536" i="32"/>
  <c r="BB508" i="32"/>
  <c r="BN508" i="32" s="1"/>
  <c r="BO508" i="32" s="1"/>
  <c r="BC123" i="32"/>
  <c r="BB446" i="32"/>
  <c r="BN446" i="32" s="1"/>
  <c r="BO446" i="32" s="1"/>
  <c r="AU85" i="32"/>
  <c r="AT84" i="32"/>
  <c r="AU563" i="32"/>
  <c r="AU67" i="32"/>
  <c r="AU102" i="32"/>
  <c r="BC195" i="32"/>
  <c r="AT446" i="32"/>
  <c r="BC477" i="32"/>
  <c r="AT23" i="32"/>
  <c r="AT563" i="32"/>
  <c r="AU76" i="32"/>
  <c r="AT76" i="32"/>
  <c r="AU123" i="32"/>
  <c r="AT506" i="32"/>
  <c r="AU84" i="32"/>
  <c r="BB282" i="32"/>
  <c r="BN282" i="32" s="1"/>
  <c r="BO282" i="32" s="1"/>
  <c r="AT282" i="32"/>
  <c r="BB195" i="32"/>
  <c r="AT123" i="32"/>
  <c r="BB67" i="32"/>
  <c r="BN66" i="32" s="1"/>
  <c r="BO66" i="32" s="1"/>
  <c r="BC101" i="32"/>
  <c r="AU491" i="32"/>
  <c r="BC27" i="32"/>
  <c r="AT102" i="32"/>
  <c r="BC446" i="32"/>
  <c r="BB76" i="32"/>
  <c r="BN76" i="32" s="1"/>
  <c r="BO76" i="32" s="1"/>
  <c r="AT67" i="32"/>
  <c r="AU395" i="32"/>
  <c r="BB103" i="32"/>
  <c r="BN102" i="32" s="1"/>
  <c r="BO102" i="32" s="1"/>
  <c r="BC269" i="32"/>
  <c r="AT163" i="32"/>
  <c r="AU163" i="32"/>
  <c r="AU483" i="32"/>
  <c r="AT546" i="32"/>
  <c r="BB405" i="32"/>
  <c r="BB480" i="32"/>
  <c r="BN479" i="32" s="1"/>
  <c r="BO479" i="32" s="1"/>
  <c r="AT574" i="32"/>
  <c r="BB133" i="32"/>
  <c r="AT133" i="32"/>
  <c r="AU405" i="32"/>
  <c r="BB338" i="32"/>
  <c r="AT222" i="32"/>
  <c r="AU453" i="32"/>
  <c r="AT103" i="32"/>
  <c r="AU287" i="32"/>
  <c r="AT343" i="32"/>
  <c r="BB164" i="32"/>
  <c r="BN164" i="32" s="1"/>
  <c r="BO164" i="32" s="1"/>
  <c r="BC546" i="32"/>
  <c r="BC308" i="32"/>
  <c r="BB163" i="32"/>
  <c r="BC605" i="32"/>
  <c r="AU103" i="32"/>
  <c r="AU338" i="32"/>
  <c r="BB238" i="32"/>
  <c r="BN237" i="32" s="1"/>
  <c r="BO237" i="32" s="1"/>
  <c r="AT124" i="32"/>
  <c r="BC483" i="32"/>
  <c r="BB483" i="32"/>
  <c r="BB395" i="32"/>
  <c r="BN395" i="32" s="1"/>
  <c r="BO395" i="32" s="1"/>
  <c r="BC405" i="32"/>
  <c r="BN545" i="32"/>
  <c r="BO545" i="32" s="1"/>
  <c r="BC181" i="32"/>
  <c r="AU199" i="32"/>
  <c r="AU508" i="32"/>
  <c r="BB598" i="32"/>
  <c r="AU366" i="32"/>
  <c r="BB542" i="32"/>
  <c r="BN541" i="32" s="1"/>
  <c r="BO541" i="32" s="1"/>
  <c r="BN148" i="32"/>
  <c r="BO148" i="32" s="1"/>
  <c r="AT542" i="32"/>
  <c r="BC261" i="32"/>
  <c r="BB230" i="32"/>
  <c r="BB573" i="32"/>
  <c r="BC87" i="32"/>
  <c r="BB87" i="32"/>
  <c r="BN86" i="32" s="1"/>
  <c r="BO86" i="32" s="1"/>
  <c r="BB261" i="32"/>
  <c r="BN260" i="32" s="1"/>
  <c r="BO260" i="32" s="1"/>
  <c r="AU397" i="32"/>
  <c r="BB366" i="32"/>
  <c r="BC397" i="32"/>
  <c r="AU230" i="32"/>
  <c r="BN258" i="32"/>
  <c r="BO258" i="32" s="1"/>
  <c r="BN522" i="32"/>
  <c r="BO522" i="32" s="1"/>
  <c r="BB402" i="32"/>
  <c r="BN401" i="32" s="1"/>
  <c r="BO401" i="32" s="1"/>
  <c r="AU315" i="32"/>
  <c r="BC517" i="32"/>
  <c r="AU262" i="32"/>
  <c r="AT348" i="32"/>
  <c r="AT51" i="32"/>
  <c r="AT448" i="32"/>
  <c r="AT387" i="32"/>
  <c r="AT171" i="32"/>
  <c r="AU44" i="32"/>
  <c r="BB215" i="32"/>
  <c r="BN215" i="32" s="1"/>
  <c r="BO215" i="32" s="1"/>
  <c r="AT141" i="32"/>
  <c r="AU54" i="32"/>
  <c r="AU317" i="32"/>
  <c r="AU86" i="32"/>
  <c r="AT54" i="32"/>
  <c r="AT188" i="32"/>
  <c r="BC448" i="32"/>
  <c r="AU171" i="32"/>
  <c r="BC258" i="32"/>
  <c r="BB51" i="32"/>
  <c r="AT402" i="32"/>
  <c r="AT291" i="32"/>
  <c r="AT523" i="32"/>
  <c r="BC262" i="32"/>
  <c r="AT526" i="32"/>
  <c r="AU151" i="32"/>
  <c r="BC286" i="32"/>
  <c r="AU486" i="32"/>
  <c r="BN403" i="32"/>
  <c r="BO403" i="32" s="1"/>
  <c r="AU118" i="32"/>
  <c r="BB44" i="32"/>
  <c r="BN44" i="32" s="1"/>
  <c r="BO44" i="32" s="1"/>
  <c r="AU286" i="32"/>
  <c r="AU387" i="32"/>
  <c r="BC588" i="32"/>
  <c r="AT548" i="32"/>
  <c r="AU51" i="32"/>
  <c r="BC293" i="32"/>
  <c r="BC22" i="32"/>
  <c r="BB141" i="32"/>
  <c r="AU474" i="32"/>
  <c r="BN404" i="32"/>
  <c r="BO404" i="32" s="1"/>
  <c r="AU188" i="32"/>
  <c r="BN257" i="32"/>
  <c r="BO257" i="32" s="1"/>
  <c r="BB127" i="32"/>
  <c r="BN127" i="32" s="1"/>
  <c r="BO127" i="32" s="1"/>
  <c r="BC291" i="32"/>
  <c r="BC373" i="32"/>
  <c r="BB262" i="32"/>
  <c r="AT44" i="32"/>
  <c r="AT575" i="32"/>
  <c r="AT215" i="32"/>
  <c r="BC474" i="32"/>
  <c r="AT557" i="32"/>
  <c r="AU330" i="32"/>
  <c r="AT243" i="32"/>
  <c r="BB300" i="32"/>
  <c r="BN299" i="32" s="1"/>
  <c r="BO299" i="32" s="1"/>
  <c r="AU291" i="32"/>
  <c r="BC54" i="32"/>
  <c r="BB140" i="32"/>
  <c r="BN139" i="32" s="1"/>
  <c r="BO139" i="32" s="1"/>
  <c r="BC118" i="32"/>
  <c r="BC171" i="32"/>
  <c r="BB387" i="32"/>
  <c r="BN386" i="32" s="1"/>
  <c r="BO386" i="32" s="1"/>
  <c r="BB557" i="32"/>
  <c r="BN448" i="32"/>
  <c r="BO448" i="32" s="1"/>
  <c r="AT404" i="32"/>
  <c r="AT315" i="32"/>
  <c r="AT300" i="32"/>
  <c r="BC141" i="32"/>
  <c r="AU157" i="32"/>
  <c r="AU258" i="32"/>
  <c r="AT151" i="32"/>
  <c r="BB517" i="32"/>
  <c r="BN517" i="32" s="1"/>
  <c r="BO517" i="32" s="1"/>
  <c r="BB151" i="32"/>
  <c r="BN151" i="32" s="1"/>
  <c r="BO151" i="32" s="1"/>
  <c r="BC140" i="32"/>
  <c r="BB526" i="32"/>
  <c r="BN525" i="32" s="1"/>
  <c r="BO525" i="32" s="1"/>
  <c r="AU140" i="32"/>
  <c r="BN242" i="32"/>
  <c r="BO242" i="32" s="1"/>
  <c r="AU523" i="32"/>
  <c r="AT486" i="32"/>
  <c r="AU447" i="32"/>
  <c r="BC317" i="32"/>
  <c r="BB317" i="32"/>
  <c r="BN317" i="32" s="1"/>
  <c r="BO317" i="32" s="1"/>
  <c r="BB118" i="32"/>
  <c r="BN117" i="32" s="1"/>
  <c r="BO117" i="32" s="1"/>
  <c r="AT157" i="32"/>
  <c r="AU300" i="32"/>
  <c r="AT22" i="32"/>
  <c r="AU342" i="32"/>
  <c r="BC315" i="32"/>
  <c r="BC404" i="32"/>
  <c r="AU373" i="32"/>
  <c r="AU293" i="32"/>
  <c r="BB548" i="32"/>
  <c r="BN547" i="32" s="1"/>
  <c r="BO547" i="32" s="1"/>
  <c r="AU348" i="32"/>
  <c r="BC402" i="32"/>
  <c r="BN290" i="32"/>
  <c r="BO290" i="32" s="1"/>
  <c r="BB373" i="32"/>
  <c r="BN372" i="32" s="1"/>
  <c r="BO372" i="32" s="1"/>
  <c r="BB188" i="32"/>
  <c r="BN188" i="32" s="1"/>
  <c r="BO188" i="32" s="1"/>
  <c r="BC486" i="32"/>
  <c r="AT588" i="32"/>
  <c r="AU448" i="32"/>
  <c r="AU557" i="32"/>
  <c r="BB330" i="32"/>
  <c r="BN329" i="32" s="1"/>
  <c r="BO329" i="32" s="1"/>
  <c r="AT330" i="32"/>
  <c r="BB348" i="32"/>
  <c r="BN347" i="32" s="1"/>
  <c r="BO347" i="32" s="1"/>
  <c r="BB342" i="32"/>
  <c r="BN342" i="32" s="1"/>
  <c r="BO342" i="32" s="1"/>
  <c r="AT258" i="32"/>
  <c r="AU548" i="32"/>
  <c r="BB293" i="32"/>
  <c r="BC342" i="32"/>
  <c r="BC523" i="32"/>
  <c r="BC526" i="32"/>
  <c r="BC243" i="32"/>
  <c r="AU215" i="32"/>
  <c r="BB588" i="32"/>
  <c r="AT492" i="32"/>
  <c r="BB474" i="32"/>
  <c r="AT286" i="32"/>
  <c r="AU243" i="32"/>
  <c r="AU517" i="32"/>
  <c r="AU404" i="32"/>
  <c r="BB157" i="32"/>
  <c r="BB492" i="32"/>
  <c r="BN492" i="32" s="1"/>
  <c r="BO492" i="32" s="1"/>
  <c r="AT86" i="32"/>
  <c r="BC492" i="32"/>
  <c r="AT414" i="32"/>
  <c r="BC247" i="32"/>
  <c r="BB247" i="32"/>
  <c r="BN247" i="32" s="1"/>
  <c r="BO247" i="32" s="1"/>
  <c r="AU343" i="32"/>
  <c r="BB589" i="32"/>
  <c r="AU422" i="32"/>
  <c r="BN147" i="32"/>
  <c r="BO147" i="32" s="1"/>
  <c r="BC175" i="32"/>
  <c r="AT589" i="32"/>
  <c r="AU179" i="32"/>
  <c r="BB266" i="32"/>
  <c r="BB52" i="32"/>
  <c r="BC524" i="32"/>
  <c r="BB222" i="32"/>
  <c r="BN221" i="32" s="1"/>
  <c r="BO221" i="32" s="1"/>
  <c r="BB453" i="32"/>
  <c r="BB124" i="32"/>
  <c r="BN123" i="32" s="1"/>
  <c r="BO123" i="32" s="1"/>
  <c r="BB484" i="32"/>
  <c r="AU247" i="32"/>
  <c r="AT284" i="32"/>
  <c r="BC266" i="32"/>
  <c r="BC52" i="32"/>
  <c r="BB462" i="32"/>
  <c r="AU251" i="32"/>
  <c r="BC309" i="32"/>
  <c r="BB308" i="32"/>
  <c r="BC222" i="32"/>
  <c r="BB229" i="32"/>
  <c r="BN228" i="32" s="1"/>
  <c r="BO228" i="32" s="1"/>
  <c r="AT148" i="32"/>
  <c r="BC124" i="32"/>
  <c r="BB71" i="32"/>
  <c r="BN71" i="32" s="1"/>
  <c r="BO71" i="32" s="1"/>
  <c r="AT253" i="32"/>
  <c r="AU323" i="32"/>
  <c r="AU52" i="32"/>
  <c r="AT493" i="32"/>
  <c r="BB309" i="32"/>
  <c r="AU309" i="32"/>
  <c r="BB605" i="32"/>
  <c r="BN605" i="32" s="1"/>
  <c r="BO605" i="32" s="1"/>
  <c r="BC253" i="32"/>
  <c r="AU107" i="32"/>
  <c r="BC410" i="32"/>
  <c r="BB410" i="32"/>
  <c r="BN410" i="32" s="1"/>
  <c r="BO410" i="32" s="1"/>
  <c r="BB407" i="32"/>
  <c r="AT323" i="32"/>
  <c r="AU484" i="32"/>
  <c r="BC198" i="32"/>
  <c r="BB175" i="32"/>
  <c r="BN174" i="32" s="1"/>
  <c r="BO174" i="32" s="1"/>
  <c r="AT462" i="32"/>
  <c r="AU605" i="32"/>
  <c r="AT93" i="32"/>
  <c r="AU627" i="32"/>
  <c r="AU39" i="32"/>
  <c r="AT524" i="32"/>
  <c r="BB284" i="32"/>
  <c r="BN283" i="32" s="1"/>
  <c r="BO283" i="32" s="1"/>
  <c r="AU351" i="32"/>
  <c r="BB39" i="32"/>
  <c r="BN39" i="32" s="1"/>
  <c r="BO39" i="32" s="1"/>
  <c r="BB340" i="32"/>
  <c r="BN340" i="32" s="1"/>
  <c r="BO340" i="32" s="1"/>
  <c r="AU340" i="32"/>
  <c r="AU71" i="32"/>
  <c r="BC71" i="32"/>
  <c r="AU253" i="32"/>
  <c r="BB627" i="32"/>
  <c r="AU480" i="32"/>
  <c r="BC574" i="32"/>
  <c r="BB351" i="32"/>
  <c r="BN351" i="32" s="1"/>
  <c r="BO351" i="32" s="1"/>
  <c r="BB574" i="32"/>
  <c r="AU278" i="32"/>
  <c r="AT351" i="32"/>
  <c r="AT199" i="32"/>
  <c r="AT410" i="32"/>
  <c r="BB107" i="32"/>
  <c r="AU148" i="32"/>
  <c r="AT266" i="32"/>
  <c r="BC462" i="32"/>
  <c r="AT308" i="32"/>
  <c r="BC251" i="32"/>
  <c r="AT110" i="32"/>
  <c r="BB422" i="32"/>
  <c r="BB524" i="32"/>
  <c r="BN524" i="32" s="1"/>
  <c r="BO524" i="32" s="1"/>
  <c r="AT480" i="32"/>
  <c r="BB278" i="32"/>
  <c r="AT556" i="32"/>
  <c r="AT453" i="32"/>
  <c r="AT175" i="32"/>
  <c r="BB199" i="32"/>
  <c r="BN199" i="32" s="1"/>
  <c r="BO199" i="32" s="1"/>
  <c r="BB323" i="32"/>
  <c r="BN322" i="32" s="1"/>
  <c r="BO322" i="32" s="1"/>
  <c r="BC484" i="32"/>
  <c r="AU493" i="32"/>
  <c r="AU93" i="32"/>
  <c r="BC148" i="32"/>
  <c r="AT278" i="32"/>
  <c r="BC229" i="32"/>
  <c r="BB179" i="32"/>
  <c r="BN179" i="32" s="1"/>
  <c r="BO179" i="32" s="1"/>
  <c r="BC627" i="32"/>
  <c r="AT179" i="32"/>
  <c r="AT107" i="32"/>
  <c r="AT338" i="32"/>
  <c r="BC39" i="32"/>
  <c r="AT340" i="32"/>
  <c r="AT422" i="32"/>
  <c r="AU420" i="32"/>
  <c r="BN253" i="32"/>
  <c r="BO253" i="32" s="1"/>
  <c r="AU229" i="32"/>
  <c r="BC493" i="32"/>
  <c r="AT251" i="32"/>
  <c r="AU589" i="32"/>
  <c r="BC284" i="32"/>
  <c r="BC587" i="32"/>
  <c r="BB575" i="32"/>
  <c r="BN575" i="32" s="1"/>
  <c r="BO575" i="32" s="1"/>
  <c r="BC246" i="32"/>
  <c r="BC263" i="32"/>
  <c r="AT159" i="32"/>
  <c r="BN396" i="32"/>
  <c r="BO396" i="32" s="1"/>
  <c r="BN612" i="32"/>
  <c r="BO612" i="32" s="1"/>
  <c r="BB255" i="32"/>
  <c r="BN254" i="32" s="1"/>
  <c r="BO254" i="32" s="1"/>
  <c r="BC255" i="32"/>
  <c r="AU246" i="32"/>
  <c r="AT612" i="32"/>
  <c r="BB579" i="32"/>
  <c r="BN579" i="32" s="1"/>
  <c r="BO579" i="32" s="1"/>
  <c r="BB159" i="32"/>
  <c r="BN159" i="32" s="1"/>
  <c r="BO159" i="32" s="1"/>
  <c r="AU127" i="32"/>
  <c r="BC287" i="32"/>
  <c r="BB287" i="32"/>
  <c r="BN286" i="32" s="1"/>
  <c r="BO286" i="32" s="1"/>
  <c r="BB15" i="32"/>
  <c r="BN14" i="32" s="1"/>
  <c r="BO14" i="32" s="1"/>
  <c r="BB558" i="32"/>
  <c r="AT558" i="32"/>
  <c r="AU540" i="32"/>
  <c r="AU35" i="32"/>
  <c r="AT587" i="32"/>
  <c r="AT127" i="32"/>
  <c r="AU575" i="32"/>
  <c r="BB246" i="32"/>
  <c r="BN245" i="32" s="1"/>
  <c r="BO245" i="32" s="1"/>
  <c r="AU558" i="32"/>
  <c r="AU612" i="32"/>
  <c r="AT479" i="32"/>
  <c r="AT334" i="32"/>
  <c r="AT396" i="32"/>
  <c r="BC334" i="32"/>
  <c r="BC396" i="32"/>
  <c r="BB150" i="32"/>
  <c r="BN149" i="32" s="1"/>
  <c r="BO149" i="32" s="1"/>
  <c r="BC613" i="32"/>
  <c r="BB383" i="32"/>
  <c r="BN382" i="32" s="1"/>
  <c r="BO382" i="32" s="1"/>
  <c r="AT383" i="32"/>
  <c r="AU461" i="32"/>
  <c r="AU181" i="32"/>
  <c r="AU150" i="32"/>
  <c r="BB46" i="32"/>
  <c r="BN45" i="32" s="1"/>
  <c r="BO45" i="32" s="1"/>
  <c r="BB415" i="32"/>
  <c r="BN414" i="32" s="1"/>
  <c r="BO414" i="32" s="1"/>
  <c r="BC606" i="32"/>
  <c r="BB365" i="32"/>
  <c r="BN364" i="32" s="1"/>
  <c r="BO364" i="32" s="1"/>
  <c r="AU463" i="32"/>
  <c r="AT231" i="32"/>
  <c r="AT613" i="32"/>
  <c r="BC279" i="32"/>
  <c r="BB279" i="32"/>
  <c r="AU613" i="32"/>
  <c r="BB244" i="32"/>
  <c r="BN243" i="32" s="1"/>
  <c r="BO243" i="32" s="1"/>
  <c r="AT244" i="32"/>
  <c r="AT365" i="32"/>
  <c r="BN613" i="32"/>
  <c r="BO613" i="32" s="1"/>
  <c r="AU365" i="32"/>
  <c r="BC150" i="32"/>
  <c r="BB181" i="32"/>
  <c r="BN180" i="32" s="1"/>
  <c r="BO180" i="32" s="1"/>
  <c r="AU383" i="32"/>
  <c r="AT356" i="32"/>
  <c r="BB463" i="32"/>
  <c r="AU423" i="32"/>
  <c r="AU334" i="32"/>
  <c r="AU606" i="32"/>
  <c r="AT255" i="32"/>
  <c r="AT143" i="32"/>
  <c r="BC333" i="32"/>
  <c r="BB55" i="32"/>
  <c r="BN55" i="32" s="1"/>
  <c r="BO55" i="32" s="1"/>
  <c r="BC143" i="32"/>
  <c r="BB143" i="32"/>
  <c r="BB590" i="32"/>
  <c r="BB125" i="32"/>
  <c r="BC343" i="32"/>
  <c r="AT174" i="32"/>
  <c r="AT581" i="32"/>
  <c r="BC95" i="32"/>
  <c r="AU350" i="32"/>
  <c r="AT550" i="32"/>
  <c r="AT190" i="32"/>
  <c r="AU46" i="32"/>
  <c r="AT205" i="32"/>
  <c r="BB94" i="32"/>
  <c r="BN94" i="32" s="1"/>
  <c r="BO94" i="32" s="1"/>
  <c r="BC94" i="32"/>
  <c r="AU579" i="32"/>
  <c r="BB31" i="32"/>
  <c r="BN30" i="32" s="1"/>
  <c r="BO30" i="32" s="1"/>
  <c r="BN205" i="32"/>
  <c r="BO205" i="32" s="1"/>
  <c r="AU15" i="32"/>
  <c r="AT511" i="32"/>
  <c r="AU406" i="32"/>
  <c r="BB350" i="32"/>
  <c r="AT350" i="32"/>
  <c r="AU550" i="32"/>
  <c r="BB461" i="32"/>
  <c r="AT325" i="32"/>
  <c r="BB381" i="32"/>
  <c r="BN381" i="32" s="1"/>
  <c r="BO381" i="32" s="1"/>
  <c r="AT461" i="32"/>
  <c r="AU590" i="32"/>
  <c r="AT606" i="32"/>
  <c r="AU430" i="32"/>
  <c r="BC612" i="32"/>
  <c r="BC430" i="32"/>
  <c r="BB430" i="32"/>
  <c r="BC294" i="32"/>
  <c r="AU205" i="32"/>
  <c r="AT468" i="32"/>
  <c r="BB581" i="32"/>
  <c r="BN580" i="32" s="1"/>
  <c r="BO580" i="32" s="1"/>
  <c r="AU581" i="32"/>
  <c r="AU125" i="32"/>
  <c r="BB356" i="32"/>
  <c r="AT15" i="32"/>
  <c r="BB156" i="32"/>
  <c r="AT412" i="32"/>
  <c r="AU325" i="32"/>
  <c r="BC479" i="32"/>
  <c r="AU356" i="32"/>
  <c r="BB437" i="32"/>
  <c r="BN437" i="32" s="1"/>
  <c r="BO437" i="32" s="1"/>
  <c r="BC590" i="32"/>
  <c r="BB628" i="32"/>
  <c r="BB511" i="32"/>
  <c r="BN511" i="32" s="1"/>
  <c r="BO511" i="32" s="1"/>
  <c r="AU511" i="32"/>
  <c r="BC125" i="32"/>
  <c r="BC174" i="32"/>
  <c r="BB406" i="32"/>
  <c r="BC190" i="32"/>
  <c r="AU156" i="32"/>
  <c r="AU95" i="32"/>
  <c r="BB550" i="32"/>
  <c r="BN549" i="32" s="1"/>
  <c r="BO549" i="32" s="1"/>
  <c r="BC327" i="32"/>
  <c r="BC303" i="32"/>
  <c r="AT381" i="32"/>
  <c r="AU221" i="32"/>
  <c r="BC325" i="32"/>
  <c r="AU294" i="32"/>
  <c r="AT94" i="32"/>
  <c r="BC311" i="32"/>
  <c r="BB22" i="32"/>
  <c r="AU479" i="32"/>
  <c r="AU437" i="32"/>
  <c r="AT437" i="32"/>
  <c r="AU468" i="32"/>
  <c r="AT31" i="32"/>
  <c r="BC357" i="32"/>
  <c r="AT357" i="32"/>
  <c r="AU412" i="32"/>
  <c r="AT156" i="32"/>
  <c r="AT579" i="32"/>
  <c r="AT221" i="32"/>
  <c r="BC205" i="32"/>
  <c r="BC86" i="32"/>
  <c r="BB294" i="32"/>
  <c r="AT46" i="32"/>
  <c r="BC47" i="32"/>
  <c r="AT55" i="32"/>
  <c r="BB607" i="32"/>
  <c r="BN606" i="32" s="1"/>
  <c r="BO606" i="32" s="1"/>
  <c r="AU237" i="32"/>
  <c r="AU268" i="32"/>
  <c r="AU47" i="32"/>
  <c r="AT519" i="32"/>
  <c r="AU607" i="32"/>
  <c r="AU407" i="32"/>
  <c r="AT454" i="32"/>
  <c r="BC228" i="32"/>
  <c r="BN566" i="32"/>
  <c r="BO566" i="32" s="1"/>
  <c r="AU519" i="32"/>
  <c r="AU55" i="32"/>
  <c r="AT407" i="32"/>
  <c r="BN567" i="32"/>
  <c r="BO567" i="32" s="1"/>
  <c r="BB519" i="32"/>
  <c r="BN518" i="32" s="1"/>
  <c r="BO518" i="32" s="1"/>
  <c r="AT596" i="32"/>
  <c r="BC454" i="32"/>
  <c r="AT509" i="32"/>
  <c r="AU228" i="32"/>
  <c r="AU197" i="32"/>
  <c r="BB166" i="32"/>
  <c r="BN165" i="32" s="1"/>
  <c r="BO165" i="32" s="1"/>
  <c r="AT79" i="32"/>
  <c r="AT166" i="32"/>
  <c r="BC206" i="32"/>
  <c r="BC318" i="32"/>
  <c r="AU302" i="32"/>
  <c r="AT237" i="32"/>
  <c r="BB534" i="32"/>
  <c r="BN533" i="32" s="1"/>
  <c r="BO533" i="32" s="1"/>
  <c r="AU159" i="32"/>
  <c r="BB191" i="32"/>
  <c r="BN191" i="32" s="1"/>
  <c r="BO191" i="32" s="1"/>
  <c r="AU333" i="32"/>
  <c r="BB485" i="32"/>
  <c r="BN485" i="32" s="1"/>
  <c r="BO485" i="32" s="1"/>
  <c r="AT126" i="32"/>
  <c r="AU206" i="32"/>
  <c r="AT206" i="32"/>
  <c r="BN236" i="32"/>
  <c r="BO236" i="32" s="1"/>
  <c r="BB295" i="32"/>
  <c r="BN295" i="32" s="1"/>
  <c r="BO295" i="32" s="1"/>
  <c r="AT295" i="32"/>
  <c r="AU28" i="32"/>
  <c r="AT478" i="32"/>
  <c r="AU239" i="32"/>
  <c r="AT349" i="32"/>
  <c r="AT197" i="32"/>
  <c r="BB596" i="32"/>
  <c r="AT28" i="32"/>
  <c r="AT318" i="32"/>
  <c r="BC349" i="32"/>
  <c r="AT485" i="32"/>
  <c r="AU79" i="32"/>
  <c r="BC295" i="32"/>
  <c r="AU126" i="32"/>
  <c r="BC485" i="32"/>
  <c r="AU454" i="32"/>
  <c r="AU596" i="32"/>
  <c r="BC237" i="32"/>
  <c r="AU380" i="32"/>
  <c r="BN28" i="32"/>
  <c r="BO28" i="32" s="1"/>
  <c r="BC28" i="32"/>
  <c r="BB79" i="32"/>
  <c r="BN333" i="32"/>
  <c r="BO333" i="32" s="1"/>
  <c r="AT540" i="32"/>
  <c r="BC239" i="32"/>
  <c r="BB47" i="32"/>
  <c r="BN47" i="32" s="1"/>
  <c r="BO47" i="32" s="1"/>
  <c r="AT228" i="32"/>
  <c r="BC534" i="32"/>
  <c r="BB380" i="32"/>
  <c r="AU191" i="32"/>
  <c r="BB126" i="32"/>
  <c r="AT333" i="32"/>
  <c r="AT268" i="32"/>
  <c r="BC268" i="32"/>
  <c r="AU565" i="32"/>
  <c r="BC565" i="32"/>
  <c r="AU318" i="32"/>
  <c r="BB239" i="32"/>
  <c r="BN239" i="32" s="1"/>
  <c r="BO239" i="32" s="1"/>
  <c r="BB349" i="32"/>
  <c r="BB302" i="32"/>
  <c r="BN302" i="32" s="1"/>
  <c r="BO302" i="32" s="1"/>
  <c r="AU166" i="32"/>
  <c r="BB197" i="32"/>
  <c r="AU567" i="32"/>
  <c r="AT534" i="32"/>
  <c r="AU509" i="32"/>
  <c r="AT191" i="32"/>
  <c r="BB540" i="32"/>
  <c r="BN540" i="32" s="1"/>
  <c r="BO540" i="32" s="1"/>
  <c r="AT565" i="32"/>
  <c r="BC302" i="32"/>
  <c r="BC509" i="32"/>
  <c r="AT380" i="32"/>
  <c r="BC158" i="32"/>
  <c r="BB556" i="32"/>
  <c r="AT543" i="32"/>
  <c r="AU389" i="32"/>
  <c r="AU165" i="32"/>
  <c r="AU556" i="32"/>
  <c r="AT63" i="32"/>
  <c r="BN275" i="32"/>
  <c r="BO275" i="32" s="1"/>
  <c r="BB183" i="32"/>
  <c r="BN183" i="32" s="1"/>
  <c r="BO183" i="32" s="1"/>
  <c r="BB271" i="32"/>
  <c r="BN271" i="32" s="1"/>
  <c r="BO271" i="32" s="1"/>
  <c r="BB214" i="32"/>
  <c r="AT214" i="32"/>
  <c r="AU183" i="32"/>
  <c r="BC189" i="32"/>
  <c r="BC183" i="32"/>
  <c r="AU510" i="32"/>
  <c r="AU63" i="32"/>
  <c r="AT358" i="32"/>
  <c r="BC220" i="32"/>
  <c r="AU245" i="32"/>
  <c r="AU398" i="32"/>
  <c r="AT158" i="32"/>
  <c r="AT420" i="32"/>
  <c r="BC165" i="32"/>
  <c r="BB63" i="32"/>
  <c r="BN62" i="32" s="1"/>
  <c r="BO62" i="32" s="1"/>
  <c r="AU358" i="32"/>
  <c r="AT220" i="32"/>
  <c r="AT276" i="32"/>
  <c r="AT398" i="32"/>
  <c r="AU525" i="32"/>
  <c r="AT271" i="32"/>
  <c r="AU189" i="32"/>
  <c r="BB389" i="32"/>
  <c r="BN388" i="32" s="1"/>
  <c r="BO388" i="32" s="1"/>
  <c r="AT165" i="32"/>
  <c r="BB420" i="32"/>
  <c r="BN419" i="32" s="1"/>
  <c r="BO419" i="32" s="1"/>
  <c r="AU276" i="32"/>
  <c r="BB134" i="32"/>
  <c r="BB398" i="32"/>
  <c r="BN397" i="32" s="1"/>
  <c r="BO397" i="32" s="1"/>
  <c r="AT525" i="32"/>
  <c r="AU214" i="32"/>
  <c r="BC276" i="32"/>
  <c r="AU271" i="32"/>
  <c r="BB543" i="32"/>
  <c r="BB510" i="32"/>
  <c r="BN509" i="32" s="1"/>
  <c r="BO509" i="32" s="1"/>
  <c r="AT389" i="32"/>
  <c r="AU429" i="32"/>
  <c r="BB460" i="32"/>
  <c r="AT460" i="32"/>
  <c r="AU494" i="32"/>
  <c r="AU543" i="32"/>
  <c r="BB158" i="32"/>
  <c r="BB429" i="32"/>
  <c r="AT245" i="32"/>
  <c r="BC460" i="32"/>
  <c r="BC525" i="32"/>
  <c r="BB494" i="32"/>
  <c r="BN493" i="32" s="1"/>
  <c r="BO493" i="32" s="1"/>
  <c r="AT510" i="32"/>
  <c r="AU415" i="32"/>
  <c r="BB478" i="32"/>
  <c r="BN478" i="32" s="1"/>
  <c r="BO478" i="32" s="1"/>
  <c r="BC478" i="32"/>
  <c r="AT319" i="32"/>
  <c r="BB316" i="32"/>
  <c r="BN315" i="32" s="1"/>
  <c r="BO315" i="32" s="1"/>
  <c r="BC316" i="32"/>
  <c r="AU119" i="32"/>
  <c r="AU207" i="32"/>
  <c r="AT447" i="32"/>
  <c r="BC447" i="32"/>
  <c r="BC119" i="32"/>
  <c r="AT415" i="32"/>
  <c r="AT198" i="32"/>
  <c r="BB198" i="32"/>
  <c r="BB110" i="32"/>
  <c r="BN109" i="32" s="1"/>
  <c r="BO109" i="32" s="1"/>
  <c r="BC110" i="32"/>
  <c r="BC70" i="32"/>
  <c r="BB70" i="32"/>
  <c r="AT70" i="32"/>
  <c r="AU70" i="32"/>
  <c r="BB207" i="32"/>
  <c r="BN206" i="32" s="1"/>
  <c r="BO206" i="32" s="1"/>
  <c r="BB231" i="32"/>
  <c r="AU231" i="32"/>
  <c r="BC582" i="32"/>
  <c r="BB582" i="32"/>
  <c r="AT582" i="32"/>
  <c r="AU582" i="32"/>
  <c r="AT207" i="32"/>
  <c r="BB119" i="32"/>
  <c r="AT494" i="32"/>
  <c r="AU518" i="32"/>
  <c r="BC518" i="32"/>
  <c r="AT263" i="32"/>
  <c r="AT311" i="32"/>
  <c r="AT607" i="32"/>
  <c r="AT583" i="32"/>
  <c r="AT95" i="32"/>
  <c r="BB263" i="32"/>
  <c r="BB311" i="32"/>
  <c r="BB591" i="32"/>
  <c r="BC223" i="32"/>
  <c r="BB223" i="32"/>
  <c r="AU223" i="32"/>
  <c r="BC319" i="32"/>
  <c r="BB319" i="32"/>
  <c r="BN318" i="32" s="1"/>
  <c r="BO318" i="32" s="1"/>
  <c r="BN529" i="32"/>
  <c r="BO529" i="32" s="1"/>
  <c r="AU367" i="32"/>
  <c r="AT367" i="32"/>
  <c r="BN367" i="32"/>
  <c r="BO367" i="32" s="1"/>
  <c r="BC359" i="32"/>
  <c r="AT567" i="32"/>
  <c r="BC551" i="32"/>
  <c r="AT503" i="32"/>
  <c r="BC591" i="32"/>
  <c r="BB455" i="32"/>
  <c r="BN454" i="32" s="1"/>
  <c r="BO454" i="32" s="1"/>
  <c r="BC503" i="32"/>
  <c r="AT455" i="32"/>
  <c r="AT423" i="32"/>
  <c r="AU375" i="32"/>
  <c r="BN374" i="32"/>
  <c r="BO374" i="32" s="1"/>
  <c r="BB503" i="32"/>
  <c r="BN502" i="32" s="1"/>
  <c r="BO502" i="32" s="1"/>
  <c r="BC375" i="32"/>
  <c r="BC463" i="32"/>
  <c r="BB423" i="32"/>
  <c r="BN423" i="32" s="1"/>
  <c r="BO423" i="32" s="1"/>
  <c r="AT327" i="32"/>
  <c r="AU327" i="32"/>
  <c r="AU455" i="32"/>
  <c r="BN327" i="32"/>
  <c r="BO327" i="32" s="1"/>
  <c r="AT375" i="32"/>
  <c r="BN29" i="32"/>
  <c r="BO29" i="32" s="1"/>
  <c r="AT439" i="32"/>
  <c r="AU487" i="32"/>
  <c r="BB439" i="32"/>
  <c r="AT391" i="32"/>
  <c r="BB391" i="32"/>
  <c r="AU391" i="32"/>
  <c r="AT527" i="32"/>
  <c r="BB527" i="32"/>
  <c r="BN527" i="32" s="1"/>
  <c r="BO527" i="32" s="1"/>
  <c r="BC527" i="32"/>
  <c r="AU591" i="32"/>
  <c r="BB431" i="32"/>
  <c r="BN431" i="32" s="1"/>
  <c r="BO431" i="32" s="1"/>
  <c r="BC567" i="32"/>
  <c r="AU535" i="32"/>
  <c r="AU431" i="32"/>
  <c r="BC535" i="32"/>
  <c r="BC439" i="32"/>
  <c r="BB535" i="32"/>
  <c r="BC431" i="32"/>
  <c r="BB583" i="32"/>
  <c r="BB335" i="32"/>
  <c r="BN334" i="32" s="1"/>
  <c r="BO334" i="32" s="1"/>
  <c r="BC367" i="32"/>
  <c r="BC583" i="32"/>
  <c r="AU495" i="32"/>
  <c r="BN363" i="32"/>
  <c r="BO363" i="32" s="1"/>
  <c r="AU359" i="32"/>
  <c r="AT495" i="32"/>
  <c r="AU559" i="32"/>
  <c r="BC471" i="32"/>
  <c r="AU471" i="32"/>
  <c r="BB471" i="32"/>
  <c r="AT471" i="32"/>
  <c r="AT399" i="32"/>
  <c r="BB359" i="32"/>
  <c r="BN359" i="32" s="1"/>
  <c r="BO359" i="32" s="1"/>
  <c r="AU622" i="32"/>
  <c r="BC622" i="32"/>
  <c r="AT622" i="32"/>
  <c r="BB622" i="32"/>
  <c r="BB599" i="32"/>
  <c r="BC599" i="32"/>
  <c r="AU599" i="32"/>
  <c r="AT599" i="32"/>
  <c r="AT335" i="32"/>
  <c r="AU399" i="32"/>
  <c r="BB495" i="32"/>
  <c r="AU551" i="32"/>
  <c r="AT551" i="32"/>
  <c r="BC399" i="32"/>
  <c r="BB487" i="32"/>
  <c r="BN486" i="32" s="1"/>
  <c r="BO486" i="32" s="1"/>
  <c r="AT487" i="32"/>
  <c r="BC559" i="32"/>
  <c r="AU335" i="32"/>
  <c r="BB559" i="32"/>
  <c r="BN585" i="32"/>
  <c r="BO585" i="32" s="1"/>
  <c r="BN49" i="32"/>
  <c r="BO49" i="32" s="1"/>
  <c r="BN104" i="32"/>
  <c r="BO104" i="32" s="1"/>
  <c r="BN202" i="32"/>
  <c r="BO202" i="32" s="1"/>
  <c r="BN498" i="32"/>
  <c r="BO498" i="32" s="1"/>
  <c r="BN111" i="32"/>
  <c r="BO111" i="32" s="1"/>
  <c r="BN96" i="32"/>
  <c r="BO96" i="32" s="1"/>
  <c r="BN97" i="32"/>
  <c r="BO97" i="32" s="1"/>
  <c r="BN112" i="32"/>
  <c r="BO112" i="32" s="1"/>
  <c r="B6" i="32"/>
  <c r="G625" i="32"/>
  <c r="H625" i="32" s="1"/>
  <c r="I625" i="32" s="1"/>
  <c r="G527" i="32"/>
  <c r="H527" i="32" s="1"/>
  <c r="I527" i="32" s="1"/>
  <c r="G503" i="32"/>
  <c r="H503" i="32" s="1"/>
  <c r="I503" i="32" s="1"/>
  <c r="G575" i="32"/>
  <c r="H575" i="32" s="1"/>
  <c r="I575" i="32" s="1"/>
  <c r="G587" i="32"/>
  <c r="H587" i="32" s="1"/>
  <c r="I587" i="32" s="1"/>
  <c r="G379" i="32"/>
  <c r="H379" i="32" s="1"/>
  <c r="I379" i="32" s="1"/>
  <c r="G212" i="32"/>
  <c r="H212" i="32" s="1"/>
  <c r="I212" i="32" s="1"/>
  <c r="G470" i="32"/>
  <c r="H470" i="32" s="1"/>
  <c r="I470" i="32" s="1"/>
  <c r="G606" i="32"/>
  <c r="H606" i="32" s="1"/>
  <c r="I606" i="32" s="1"/>
  <c r="G16" i="32"/>
  <c r="H16" i="32" s="1"/>
  <c r="I16" i="32" s="1"/>
  <c r="G305" i="32"/>
  <c r="H305" i="32" s="1"/>
  <c r="I305" i="32" s="1"/>
  <c r="G487" i="32"/>
  <c r="H487" i="32" s="1"/>
  <c r="I487" i="32" s="1"/>
  <c r="G439" i="32"/>
  <c r="H439" i="32" s="1"/>
  <c r="I439" i="32" s="1"/>
  <c r="G435" i="32"/>
  <c r="H435" i="32" s="1"/>
  <c r="I435" i="32" s="1"/>
  <c r="G384" i="32"/>
  <c r="H384" i="32" s="1"/>
  <c r="I384" i="32" s="1"/>
  <c r="G117" i="32"/>
  <c r="H117" i="32" s="1"/>
  <c r="I117" i="32" s="1"/>
  <c r="G337" i="32"/>
  <c r="H337" i="32" s="1"/>
  <c r="I337" i="32" s="1"/>
  <c r="G258" i="32"/>
  <c r="H258" i="32" s="1"/>
  <c r="I258" i="32" s="1"/>
  <c r="G330" i="32"/>
  <c r="H330" i="32" s="1"/>
  <c r="I330" i="32" s="1"/>
  <c r="G33" i="32"/>
  <c r="H33" i="32" s="1"/>
  <c r="I33" i="32" s="1"/>
  <c r="G152" i="32"/>
  <c r="H152" i="32" s="1"/>
  <c r="I152" i="32" s="1"/>
  <c r="G116" i="32"/>
  <c r="H116" i="32" s="1"/>
  <c r="I116" i="32" s="1"/>
  <c r="G112" i="32"/>
  <c r="H112" i="32" s="1"/>
  <c r="I112" i="32" s="1"/>
  <c r="G113" i="32"/>
  <c r="H113" i="32" s="1"/>
  <c r="I113" i="32" s="1"/>
  <c r="G23" i="32"/>
  <c r="H23" i="32" s="1"/>
  <c r="I23" i="32" s="1"/>
  <c r="G401" i="32"/>
  <c r="H401" i="32" s="1"/>
  <c r="I401" i="32" s="1"/>
  <c r="G62" i="32"/>
  <c r="H62" i="32" s="1"/>
  <c r="I62" i="32" s="1"/>
  <c r="G198" i="32"/>
  <c r="H198" i="32" s="1"/>
  <c r="I198" i="32" s="1"/>
  <c r="G325" i="32"/>
  <c r="H325" i="32" s="1"/>
  <c r="I325" i="32" s="1"/>
  <c r="G273" i="32"/>
  <c r="H273" i="32" s="1"/>
  <c r="I273" i="32" s="1"/>
  <c r="G269" i="32"/>
  <c r="H269" i="32" s="1"/>
  <c r="I269" i="32" s="1"/>
  <c r="G220" i="32"/>
  <c r="H220" i="32" s="1"/>
  <c r="I220" i="32" s="1"/>
  <c r="G73" i="32"/>
  <c r="H73" i="32" s="1"/>
  <c r="I73" i="32" s="1"/>
  <c r="G132" i="32"/>
  <c r="H132" i="32" s="1"/>
  <c r="I132" i="32" s="1"/>
  <c r="G315" i="32"/>
  <c r="H315" i="32" s="1"/>
  <c r="I315" i="32" s="1"/>
  <c r="G448" i="32"/>
  <c r="H448" i="32" s="1"/>
  <c r="I448" i="32" s="1"/>
  <c r="G206" i="32"/>
  <c r="H206" i="32" s="1"/>
  <c r="I206" i="32" s="1"/>
  <c r="G88" i="32"/>
  <c r="H88" i="32" s="1"/>
  <c r="I88" i="32" s="1"/>
  <c r="G52" i="32"/>
  <c r="H52" i="32" s="1"/>
  <c r="I52" i="32" s="1"/>
  <c r="G48" i="32"/>
  <c r="H48" i="32" s="1"/>
  <c r="I48" i="32" s="1"/>
  <c r="G99" i="32"/>
  <c r="H99" i="32" s="1"/>
  <c r="I99" i="32" s="1"/>
  <c r="G500" i="32"/>
  <c r="H500" i="32" s="1"/>
  <c r="I500" i="32" s="1"/>
  <c r="G564" i="32"/>
  <c r="H564" i="32" s="1"/>
  <c r="I564" i="32" s="1"/>
  <c r="G21" i="32"/>
  <c r="H21" i="32" s="1"/>
  <c r="I21" i="32" s="1"/>
  <c r="G124" i="32"/>
  <c r="H124" i="32" s="1"/>
  <c r="I124" i="32" s="1"/>
  <c r="G245" i="32"/>
  <c r="H245" i="32" s="1"/>
  <c r="I245" i="32" s="1"/>
  <c r="G209" i="32"/>
  <c r="H209" i="32" s="1"/>
  <c r="I209" i="32" s="1"/>
  <c r="G205" i="32"/>
  <c r="H205" i="32" s="1"/>
  <c r="I205" i="32" s="1"/>
  <c r="G510" i="32"/>
  <c r="H510" i="32" s="1"/>
  <c r="I510" i="32" s="1"/>
  <c r="G328" i="32"/>
  <c r="H328" i="32" s="1"/>
  <c r="I328" i="32" s="1"/>
  <c r="G36" i="32"/>
  <c r="H36" i="32" s="1"/>
  <c r="I36" i="32" s="1"/>
  <c r="G160" i="32"/>
  <c r="H160" i="32" s="1"/>
  <c r="I160" i="32" s="1"/>
  <c r="G281" i="32"/>
  <c r="H281" i="32" s="1"/>
  <c r="I281" i="32" s="1"/>
  <c r="G267" i="32"/>
  <c r="H267" i="32" s="1"/>
  <c r="I267" i="32" s="1"/>
  <c r="G17" i="32"/>
  <c r="H17" i="32" s="1"/>
  <c r="I17" i="32" s="1"/>
  <c r="G127" i="32"/>
  <c r="H127" i="32" s="1"/>
  <c r="I127" i="32" s="1"/>
  <c r="G114" i="32"/>
  <c r="H114" i="32" s="1"/>
  <c r="I114" i="32" s="1"/>
  <c r="G243" i="32"/>
  <c r="H243" i="32" s="1"/>
  <c r="I243" i="32" s="1"/>
  <c r="G423" i="32"/>
  <c r="H423" i="32" s="1"/>
  <c r="I423" i="32" s="1"/>
  <c r="G343" i="32"/>
  <c r="H343" i="32" s="1"/>
  <c r="I343" i="32" s="1"/>
  <c r="G79" i="32"/>
  <c r="H79" i="32" s="1"/>
  <c r="I79" i="32" s="1"/>
  <c r="G60" i="32"/>
  <c r="H60" i="32" s="1"/>
  <c r="I60" i="32" s="1"/>
  <c r="G569" i="32"/>
  <c r="H569" i="32" s="1"/>
  <c r="I569" i="32" s="1"/>
  <c r="G468" i="32"/>
  <c r="H468" i="32" s="1"/>
  <c r="I468" i="32" s="1"/>
  <c r="G452" i="32"/>
  <c r="H452" i="32" s="1"/>
  <c r="I452" i="32" s="1"/>
  <c r="G377" i="32"/>
  <c r="H377" i="32" s="1"/>
  <c r="I377" i="32" s="1"/>
  <c r="G577" i="32"/>
  <c r="H577" i="32" s="1"/>
  <c r="I577" i="32" s="1"/>
  <c r="G331" i="32"/>
  <c r="H331" i="32" s="1"/>
  <c r="I331" i="32" s="1"/>
  <c r="G81" i="32"/>
  <c r="H81" i="32" s="1"/>
  <c r="I81" i="32" s="1"/>
  <c r="G549" i="32"/>
  <c r="H549" i="32" s="1"/>
  <c r="I549" i="32" s="1"/>
  <c r="G57" i="32"/>
  <c r="H57" i="32" s="1"/>
  <c r="I57" i="32" s="1"/>
  <c r="G153" i="32"/>
  <c r="H153" i="32" s="1"/>
  <c r="I153" i="32" s="1"/>
  <c r="G410" i="32"/>
  <c r="H410" i="32" s="1"/>
  <c r="I410" i="32" s="1"/>
  <c r="G471" i="32"/>
  <c r="H471" i="32" s="1"/>
  <c r="I471" i="32" s="1"/>
  <c r="G216" i="32"/>
  <c r="H216" i="32" s="1"/>
  <c r="I216" i="32" s="1"/>
  <c r="G293" i="32"/>
  <c r="H293" i="32" s="1"/>
  <c r="I293" i="32" s="1"/>
  <c r="G515" i="32"/>
  <c r="H515" i="32" s="1"/>
  <c r="I515" i="32" s="1"/>
  <c r="G543" i="32"/>
  <c r="H543" i="32" s="1"/>
  <c r="I543" i="32" s="1"/>
  <c r="G570" i="32"/>
  <c r="H570" i="32" s="1"/>
  <c r="I570" i="32" s="1"/>
  <c r="G419" i="32"/>
  <c r="H419" i="32" s="1"/>
  <c r="I419" i="32" s="1"/>
  <c r="G431" i="32"/>
  <c r="H431" i="32" s="1"/>
  <c r="I431" i="32" s="1"/>
  <c r="G289" i="32"/>
  <c r="H289" i="32" s="1"/>
  <c r="I289" i="32" s="1"/>
  <c r="G143" i="32"/>
  <c r="H143" i="32" s="1"/>
  <c r="I143" i="32" s="1"/>
  <c r="G225" i="32"/>
  <c r="H225" i="32" s="1"/>
  <c r="I225" i="32" s="1"/>
  <c r="G552" i="32"/>
  <c r="H552" i="32" s="1"/>
  <c r="I552" i="32" s="1"/>
  <c r="G133" i="32"/>
  <c r="H133" i="32" s="1"/>
  <c r="I133" i="32" s="1"/>
  <c r="G497" i="32"/>
  <c r="H497" i="32" s="1"/>
  <c r="I497" i="32" s="1"/>
  <c r="G538" i="32"/>
  <c r="H538" i="32" s="1"/>
  <c r="I538" i="32" s="1"/>
  <c r="G416" i="32"/>
  <c r="H416" i="32" s="1"/>
  <c r="I416" i="32" s="1"/>
  <c r="G400" i="32"/>
  <c r="H400" i="32" s="1"/>
  <c r="I400" i="32" s="1"/>
  <c r="G284" i="32"/>
  <c r="H284" i="32" s="1"/>
  <c r="I284" i="32" s="1"/>
  <c r="G469" i="32"/>
  <c r="H469" i="32" s="1"/>
  <c r="I469" i="32" s="1"/>
  <c r="G336" i="32"/>
  <c r="H336" i="32" s="1"/>
  <c r="I336" i="32" s="1"/>
  <c r="G32" i="32"/>
  <c r="H32" i="32" s="1"/>
  <c r="I32" i="32" s="1"/>
  <c r="G498" i="32"/>
  <c r="H498" i="32" s="1"/>
  <c r="I498" i="32" s="1"/>
  <c r="G165" i="32"/>
  <c r="H165" i="32" s="1"/>
  <c r="I165" i="32" s="1"/>
  <c r="G218" i="32"/>
  <c r="H218" i="32" s="1"/>
  <c r="I218" i="32" s="1"/>
  <c r="G157" i="32"/>
  <c r="H157" i="32" s="1"/>
  <c r="I157" i="32" s="1"/>
  <c r="G78" i="32"/>
  <c r="H78" i="32" s="1"/>
  <c r="I78" i="32" s="1"/>
  <c r="G137" i="32"/>
  <c r="H137" i="32" s="1"/>
  <c r="I137" i="32" s="1"/>
  <c r="G178" i="32"/>
  <c r="H178" i="32" s="1"/>
  <c r="I178" i="32" s="1"/>
  <c r="G189" i="32"/>
  <c r="H189" i="32" s="1"/>
  <c r="I189" i="32" s="1"/>
  <c r="G534" i="32"/>
  <c r="H534" i="32" s="1"/>
  <c r="I534" i="32" s="1"/>
  <c r="G54" i="32"/>
  <c r="H54" i="32" s="1"/>
  <c r="I54" i="32" s="1"/>
  <c r="G264" i="32"/>
  <c r="H264" i="32" s="1"/>
  <c r="I264" i="32" s="1"/>
  <c r="G228" i="32"/>
  <c r="H228" i="32" s="1"/>
  <c r="I228" i="32" s="1"/>
  <c r="G224" i="32"/>
  <c r="H224" i="32" s="1"/>
  <c r="I224" i="32" s="1"/>
  <c r="G151" i="32"/>
  <c r="H151" i="32" s="1"/>
  <c r="I151" i="32" s="1"/>
  <c r="G335" i="32"/>
  <c r="H335" i="32" s="1"/>
  <c r="I335" i="32" s="1"/>
  <c r="G41" i="32"/>
  <c r="H41" i="32" s="1"/>
  <c r="I41" i="32" s="1"/>
  <c r="G69" i="32"/>
  <c r="H69" i="32" s="1"/>
  <c r="I69" i="32" s="1"/>
  <c r="G301" i="32"/>
  <c r="H301" i="32" s="1"/>
  <c r="I301" i="32" s="1"/>
  <c r="G270" i="32"/>
  <c r="H270" i="32" s="1"/>
  <c r="I270" i="32" s="1"/>
  <c r="G238" i="32"/>
  <c r="H238" i="32" s="1"/>
  <c r="I238" i="32" s="1"/>
  <c r="G357" i="32"/>
  <c r="H357" i="32" s="1"/>
  <c r="I357" i="32" s="1"/>
  <c r="G578" i="32"/>
  <c r="H578" i="32" s="1"/>
  <c r="I578" i="32" s="1"/>
  <c r="G186" i="32"/>
  <c r="H186" i="32" s="1"/>
  <c r="I186" i="32" s="1"/>
  <c r="G389" i="32"/>
  <c r="H389" i="32" s="1"/>
  <c r="I389" i="32" s="1"/>
  <c r="G388" i="32"/>
  <c r="H388" i="32" s="1"/>
  <c r="I388" i="32" s="1"/>
  <c r="G181" i="32"/>
  <c r="H181" i="32" s="1"/>
  <c r="I181" i="32" s="1"/>
  <c r="G295" i="32"/>
  <c r="H295" i="32" s="1"/>
  <c r="I295" i="32" s="1"/>
  <c r="G200" i="32"/>
  <c r="H200" i="32" s="1"/>
  <c r="I200" i="32" s="1"/>
  <c r="G536" i="32"/>
  <c r="H536" i="32" s="1"/>
  <c r="I536" i="32" s="1"/>
  <c r="G517" i="32"/>
  <c r="H517" i="32" s="1"/>
  <c r="I517" i="32" s="1"/>
  <c r="G362" i="32"/>
  <c r="H362" i="32" s="1"/>
  <c r="I362" i="32" s="1"/>
  <c r="G338" i="32"/>
  <c r="H338" i="32" s="1"/>
  <c r="I338" i="32" s="1"/>
  <c r="G177" i="32"/>
  <c r="H177" i="32" s="1"/>
  <c r="I177" i="32" s="1"/>
  <c r="G38" i="32"/>
  <c r="H38" i="32" s="1"/>
  <c r="I38" i="32" s="1"/>
  <c r="G236" i="32"/>
  <c r="H236" i="32" s="1"/>
  <c r="I236" i="32" s="1"/>
  <c r="G77" i="32"/>
  <c r="H77" i="32" s="1"/>
  <c r="I77" i="32" s="1"/>
  <c r="G126" i="32"/>
  <c r="H126" i="32" s="1"/>
  <c r="I126" i="32" s="1"/>
  <c r="G91" i="32"/>
  <c r="H91" i="32" s="1"/>
  <c r="I91" i="32" s="1"/>
  <c r="G555" i="32"/>
  <c r="H555" i="32" s="1"/>
  <c r="I555" i="32" s="1"/>
  <c r="G565" i="32"/>
  <c r="H565" i="32" s="1"/>
  <c r="I565" i="32" s="1"/>
  <c r="G59" i="32"/>
  <c r="H59" i="32" s="1"/>
  <c r="I59" i="32" s="1"/>
  <c r="G272" i="32"/>
  <c r="H272" i="32" s="1"/>
  <c r="I272" i="32" s="1"/>
  <c r="G444" i="32"/>
  <c r="H444" i="32" s="1"/>
  <c r="I444" i="32" s="1"/>
  <c r="G42" i="32"/>
  <c r="H42" i="32" s="1"/>
  <c r="I42" i="32" s="1"/>
  <c r="G462" i="32"/>
  <c r="H462" i="32" s="1"/>
  <c r="I462" i="32" s="1"/>
  <c r="G393" i="32"/>
  <c r="H393" i="32" s="1"/>
  <c r="I393" i="32" s="1"/>
  <c r="G382" i="32"/>
  <c r="H382" i="32" s="1"/>
  <c r="I382" i="32" s="1"/>
  <c r="G490" i="32"/>
  <c r="H490" i="32" s="1"/>
  <c r="I490" i="32" s="1"/>
  <c r="G482" i="32"/>
  <c r="H482" i="32" s="1"/>
  <c r="I482" i="32" s="1"/>
  <c r="G611" i="32"/>
  <c r="H611" i="32" s="1"/>
  <c r="I611" i="32" s="1"/>
  <c r="G105" i="32"/>
  <c r="H105" i="32" s="1"/>
  <c r="I105" i="32" s="1"/>
  <c r="G426" i="32"/>
  <c r="H426" i="32" s="1"/>
  <c r="I426" i="32" s="1"/>
  <c r="G531" i="32"/>
  <c r="H531" i="32" s="1"/>
  <c r="I531" i="32" s="1"/>
  <c r="G479" i="32"/>
  <c r="H479" i="32" s="1"/>
  <c r="I479" i="32" s="1"/>
  <c r="G475" i="32"/>
  <c r="H475" i="32" s="1"/>
  <c r="I475" i="32" s="1"/>
  <c r="G506" i="32"/>
  <c r="H506" i="32" s="1"/>
  <c r="I506" i="32" s="1"/>
  <c r="G378" i="32"/>
  <c r="H378" i="32" s="1"/>
  <c r="I378" i="32" s="1"/>
  <c r="G248" i="32"/>
  <c r="H248" i="32" s="1"/>
  <c r="I248" i="32" s="1"/>
  <c r="G559" i="32"/>
  <c r="H559" i="32" s="1"/>
  <c r="I559" i="32" s="1"/>
  <c r="G348" i="32"/>
  <c r="H348" i="32" s="1"/>
  <c r="I348" i="32" s="1"/>
  <c r="G404" i="32"/>
  <c r="H404" i="32" s="1"/>
  <c r="I404" i="32" s="1"/>
  <c r="G463" i="32"/>
  <c r="H463" i="32" s="1"/>
  <c r="I463" i="32" s="1"/>
  <c r="G415" i="32"/>
  <c r="H415" i="32" s="1"/>
  <c r="I415" i="32" s="1"/>
  <c r="G244" i="32"/>
  <c r="H244" i="32" s="1"/>
  <c r="I244" i="32" s="1"/>
  <c r="G402" i="32"/>
  <c r="H402" i="32" s="1"/>
  <c r="I402" i="32" s="1"/>
  <c r="G588" i="32"/>
  <c r="H588" i="32" s="1"/>
  <c r="I588" i="32" s="1"/>
  <c r="G253" i="32"/>
  <c r="H253" i="32" s="1"/>
  <c r="I253" i="32" s="1"/>
  <c r="G83" i="32"/>
  <c r="H83" i="32" s="1"/>
  <c r="I83" i="32" s="1"/>
  <c r="G169" i="32"/>
  <c r="H169" i="32" s="1"/>
  <c r="I169" i="32" s="1"/>
  <c r="G356" i="32"/>
  <c r="H356" i="32" s="1"/>
  <c r="I356" i="32" s="1"/>
  <c r="G292" i="32"/>
  <c r="H292" i="32" s="1"/>
  <c r="I292" i="32" s="1"/>
  <c r="G288" i="32"/>
  <c r="H288" i="32" s="1"/>
  <c r="I288" i="32" s="1"/>
  <c r="G299" i="32"/>
  <c r="H299" i="32" s="1"/>
  <c r="I299" i="32" s="1"/>
  <c r="G197" i="32"/>
  <c r="H197" i="32" s="1"/>
  <c r="I197" i="32" s="1"/>
  <c r="G58" i="32"/>
  <c r="H58" i="32" s="1"/>
  <c r="I58" i="32" s="1"/>
  <c r="G53" i="32"/>
  <c r="H53" i="32" s="1"/>
  <c r="I53" i="32" s="1"/>
  <c r="G409" i="32"/>
  <c r="H409" i="32" s="1"/>
  <c r="I409" i="32" s="1"/>
  <c r="G130" i="32"/>
  <c r="H130" i="32" s="1"/>
  <c r="I130" i="32" s="1"/>
  <c r="G560" i="32"/>
  <c r="H560" i="32" s="1"/>
  <c r="I560" i="32" s="1"/>
  <c r="G496" i="32"/>
  <c r="H496" i="32" s="1"/>
  <c r="I496" i="32" s="1"/>
  <c r="G387" i="32"/>
  <c r="H387" i="32" s="1"/>
  <c r="I387" i="32" s="1"/>
  <c r="G413" i="32"/>
  <c r="H413" i="32" s="1"/>
  <c r="I413" i="32" s="1"/>
  <c r="G179" i="32"/>
  <c r="H179" i="32" s="1"/>
  <c r="I179" i="32" s="1"/>
  <c r="G478" i="32"/>
  <c r="H478" i="32" s="1"/>
  <c r="I478" i="32" s="1"/>
  <c r="G45" i="32"/>
  <c r="H45" i="32" s="1"/>
  <c r="I45" i="32" s="1"/>
  <c r="G47" i="32"/>
  <c r="H47" i="32" s="1"/>
  <c r="I47" i="32" s="1"/>
  <c r="G222" i="32"/>
  <c r="H222" i="32" s="1"/>
  <c r="I222" i="32" s="1"/>
  <c r="G159" i="32"/>
  <c r="H159" i="32" s="1"/>
  <c r="I159" i="32" s="1"/>
  <c r="G155" i="32"/>
  <c r="H155" i="32" s="1"/>
  <c r="I155" i="32" s="1"/>
  <c r="G434" i="32"/>
  <c r="H434" i="32" s="1"/>
  <c r="I434" i="32" s="1"/>
  <c r="G530" i="32"/>
  <c r="H530" i="32" s="1"/>
  <c r="I530" i="32" s="1"/>
  <c r="G111" i="32"/>
  <c r="H111" i="32" s="1"/>
  <c r="I111" i="32" s="1"/>
  <c r="G146" i="32"/>
  <c r="H146" i="32" s="1"/>
  <c r="I146" i="32" s="1"/>
  <c r="G396" i="32"/>
  <c r="H396" i="32" s="1"/>
  <c r="I396" i="32" s="1"/>
  <c r="G599" i="32"/>
  <c r="H599" i="32" s="1"/>
  <c r="I599" i="32" s="1"/>
  <c r="G590" i="32"/>
  <c r="H590" i="32" s="1"/>
  <c r="I590" i="32" s="1"/>
  <c r="G586" i="32"/>
  <c r="H586" i="32" s="1"/>
  <c r="I586" i="32" s="1"/>
  <c r="G494" i="32"/>
  <c r="H494" i="32" s="1"/>
  <c r="I494" i="32" s="1"/>
  <c r="G74" i="32"/>
  <c r="H74" i="32" s="1"/>
  <c r="I74" i="32" s="1"/>
  <c r="G104" i="32"/>
  <c r="H104" i="32" s="1"/>
  <c r="I104" i="32" s="1"/>
  <c r="G346" i="32"/>
  <c r="H346" i="32" s="1"/>
  <c r="I346" i="32" s="1"/>
  <c r="G20" i="32"/>
  <c r="H20" i="32" s="1"/>
  <c r="I20" i="32" s="1"/>
  <c r="G242" i="32"/>
  <c r="H242" i="32" s="1"/>
  <c r="I242" i="32" s="1"/>
  <c r="G544" i="32"/>
  <c r="H544" i="32" s="1"/>
  <c r="I544" i="32" s="1"/>
  <c r="G394" i="32"/>
  <c r="H394" i="32" s="1"/>
  <c r="I394" i="32" s="1"/>
  <c r="G373" i="32"/>
  <c r="H373" i="32" s="1"/>
  <c r="I373" i="32" s="1"/>
  <c r="G187" i="32"/>
  <c r="H187" i="32" s="1"/>
  <c r="I187" i="32" s="1"/>
  <c r="G227" i="32"/>
  <c r="H227" i="32" s="1"/>
  <c r="I227" i="32" s="1"/>
  <c r="G489" i="32"/>
  <c r="H489" i="32" s="1"/>
  <c r="I489" i="32" s="1"/>
  <c r="G453" i="32"/>
  <c r="H453" i="32" s="1"/>
  <c r="I453" i="32" s="1"/>
  <c r="G167" i="32"/>
  <c r="H167" i="32" s="1"/>
  <c r="I167" i="32" s="1"/>
  <c r="G597" i="32"/>
  <c r="H597" i="32" s="1"/>
  <c r="I597" i="32" s="1"/>
  <c r="G567" i="32"/>
  <c r="H567" i="32" s="1"/>
  <c r="I567" i="32" s="1"/>
  <c r="G563" i="32"/>
  <c r="H563" i="32" s="1"/>
  <c r="I563" i="32" s="1"/>
  <c r="G358" i="32"/>
  <c r="H358" i="32" s="1"/>
  <c r="I358" i="32" s="1"/>
  <c r="G550" i="32"/>
  <c r="H550" i="32" s="1"/>
  <c r="I550" i="32" s="1"/>
  <c r="G131" i="32"/>
  <c r="H131" i="32" s="1"/>
  <c r="I131" i="32" s="1"/>
  <c r="G254" i="32"/>
  <c r="H254" i="32" s="1"/>
  <c r="I254" i="32" s="1"/>
  <c r="G602" i="32"/>
  <c r="H602" i="32" s="1"/>
  <c r="I602" i="32" s="1"/>
  <c r="G250" i="32"/>
  <c r="H250" i="32" s="1"/>
  <c r="I250" i="32" s="1"/>
  <c r="G291" i="32"/>
  <c r="H291" i="32" s="1"/>
  <c r="I291" i="32" s="1"/>
  <c r="G529" i="32"/>
  <c r="H529" i="32" s="1"/>
  <c r="I529" i="32" s="1"/>
  <c r="G516" i="32"/>
  <c r="H516" i="32" s="1"/>
  <c r="I516" i="32" s="1"/>
  <c r="G262" i="32"/>
  <c r="H262" i="32" s="1"/>
  <c r="I262" i="32" s="1"/>
  <c r="G95" i="32"/>
  <c r="H95" i="32" s="1"/>
  <c r="I95" i="32" s="1"/>
  <c r="G375" i="32"/>
  <c r="H375" i="32" s="1"/>
  <c r="I375" i="32" s="1"/>
  <c r="G149" i="32"/>
  <c r="H149" i="32" s="1"/>
  <c r="I149" i="32" s="1"/>
  <c r="G251" i="32"/>
  <c r="H251" i="32" s="1"/>
  <c r="I251" i="32" s="1"/>
  <c r="G321" i="32"/>
  <c r="H321" i="32" s="1"/>
  <c r="I321" i="32" s="1"/>
  <c r="G532" i="32"/>
  <c r="H532" i="32" s="1"/>
  <c r="I532" i="32" s="1"/>
  <c r="G513" i="32"/>
  <c r="H513" i="32" s="1"/>
  <c r="I513" i="32" s="1"/>
  <c r="G333" i="32"/>
  <c r="H333" i="32" s="1"/>
  <c r="I333" i="32" s="1"/>
  <c r="G184" i="32"/>
  <c r="H184" i="32" s="1"/>
  <c r="I184" i="32" s="1"/>
  <c r="G600" i="32"/>
  <c r="H600" i="32" s="1"/>
  <c r="I600" i="32" s="1"/>
  <c r="G524" i="32"/>
  <c r="H524" i="32" s="1"/>
  <c r="I524" i="32" s="1"/>
  <c r="G361" i="32"/>
  <c r="H361" i="32" s="1"/>
  <c r="I361" i="32" s="1"/>
  <c r="G459" i="32"/>
  <c r="H459" i="32" s="1"/>
  <c r="I459" i="32" s="1"/>
  <c r="G352" i="32"/>
  <c r="H352" i="32" s="1"/>
  <c r="I352" i="32" s="1"/>
  <c r="G584" i="32"/>
  <c r="H584" i="32" s="1"/>
  <c r="I584" i="32" s="1"/>
  <c r="G68" i="32"/>
  <c r="H68" i="32" s="1"/>
  <c r="I68" i="32" s="1"/>
  <c r="G458" i="32"/>
  <c r="H458" i="32" s="1"/>
  <c r="I458" i="32" s="1"/>
  <c r="G208" i="32"/>
  <c r="H208" i="32" s="1"/>
  <c r="I208" i="32" s="1"/>
  <c r="G145" i="32"/>
  <c r="H145" i="32" s="1"/>
  <c r="I145" i="32" s="1"/>
  <c r="G412" i="32"/>
  <c r="H412" i="32" s="1"/>
  <c r="I412" i="32" s="1"/>
  <c r="G572" i="32"/>
  <c r="H572" i="32" s="1"/>
  <c r="I572" i="32" s="1"/>
  <c r="G344" i="32"/>
  <c r="H344" i="32" s="1"/>
  <c r="I344" i="32" s="1"/>
  <c r="G306" i="32"/>
  <c r="H306" i="32" s="1"/>
  <c r="I306" i="32" s="1"/>
  <c r="G182" i="32"/>
  <c r="H182" i="32" s="1"/>
  <c r="I182" i="32" s="1"/>
  <c r="G551" i="32"/>
  <c r="H551" i="32" s="1"/>
  <c r="I551" i="32" s="1"/>
  <c r="G609" i="32"/>
  <c r="H609" i="32" s="1"/>
  <c r="I609" i="32" s="1"/>
  <c r="G329" i="32"/>
  <c r="H329" i="32" s="1"/>
  <c r="I329" i="32" s="1"/>
  <c r="G612" i="32"/>
  <c r="H612" i="32" s="1"/>
  <c r="I612" i="32" s="1"/>
  <c r="G443" i="32"/>
  <c r="H443" i="32" s="1"/>
  <c r="I443" i="32" s="1"/>
  <c r="G395" i="32"/>
  <c r="H395" i="32" s="1"/>
  <c r="I395" i="32" s="1"/>
  <c r="G391" i="32"/>
  <c r="H391" i="32" s="1"/>
  <c r="I391" i="32" s="1"/>
  <c r="G302" i="32"/>
  <c r="H302" i="32" s="1"/>
  <c r="I302" i="32" s="1"/>
  <c r="G467" i="32"/>
  <c r="H467" i="32" s="1"/>
  <c r="I467" i="32" s="1"/>
  <c r="G327" i="32"/>
  <c r="H327" i="32" s="1"/>
  <c r="I327" i="32" s="1"/>
  <c r="G313" i="32"/>
  <c r="H313" i="32" s="1"/>
  <c r="I313" i="32" s="1"/>
  <c r="G491" i="32"/>
  <c r="H491" i="32" s="1"/>
  <c r="I491" i="32" s="1"/>
  <c r="G347" i="32"/>
  <c r="H347" i="32" s="1"/>
  <c r="I347" i="32" s="1"/>
  <c r="G162" i="32"/>
  <c r="H162" i="32" s="1"/>
  <c r="I162" i="32" s="1"/>
  <c r="G466" i="32"/>
  <c r="H466" i="32" s="1"/>
  <c r="I466" i="32" s="1"/>
  <c r="G445" i="32"/>
  <c r="H445" i="32" s="1"/>
  <c r="I445" i="32" s="1"/>
  <c r="G76" i="32"/>
  <c r="H76" i="32" s="1"/>
  <c r="I76" i="32" s="1"/>
  <c r="G168" i="32"/>
  <c r="H168" i="32" s="1"/>
  <c r="I168" i="32" s="1"/>
  <c r="G539" i="32"/>
  <c r="H539" i="32" s="1"/>
  <c r="I539" i="32" s="1"/>
  <c r="G90" i="32"/>
  <c r="H90" i="32" s="1"/>
  <c r="I90" i="32" s="1"/>
  <c r="G246" i="32"/>
  <c r="H246" i="32" s="1"/>
  <c r="I246" i="32" s="1"/>
  <c r="G367" i="32"/>
  <c r="H367" i="32" s="1"/>
  <c r="I367" i="32" s="1"/>
  <c r="G520" i="32"/>
  <c r="H520" i="32" s="1"/>
  <c r="I520" i="32" s="1"/>
  <c r="G501" i="32"/>
  <c r="H501" i="32" s="1"/>
  <c r="I501" i="32" s="1"/>
  <c r="G233" i="32"/>
  <c r="H233" i="32" s="1"/>
  <c r="I233" i="32" s="1"/>
  <c r="G46" i="32"/>
  <c r="H46" i="32" s="1"/>
  <c r="I46" i="32" s="1"/>
  <c r="G278" i="32"/>
  <c r="H278" i="32" s="1"/>
  <c r="I278" i="32" s="1"/>
  <c r="G392" i="32"/>
  <c r="H392" i="32" s="1"/>
  <c r="I392" i="32" s="1"/>
  <c r="G407" i="32"/>
  <c r="H407" i="32" s="1"/>
  <c r="I407" i="32" s="1"/>
  <c r="G345" i="32"/>
  <c r="H345" i="32" s="1"/>
  <c r="I345" i="32" s="1"/>
  <c r="G340" i="32"/>
  <c r="H340" i="32" s="1"/>
  <c r="I340" i="32" s="1"/>
  <c r="G219" i="32"/>
  <c r="H219" i="32" s="1"/>
  <c r="I219" i="32" s="1"/>
  <c r="G194" i="32"/>
  <c r="H194" i="32" s="1"/>
  <c r="I194" i="32" s="1"/>
  <c r="G365" i="32"/>
  <c r="H365" i="32" s="1"/>
  <c r="I365" i="32" s="1"/>
  <c r="G580" i="32"/>
  <c r="H580" i="32" s="1"/>
  <c r="I580" i="32" s="1"/>
  <c r="G455" i="32"/>
  <c r="H455" i="32" s="1"/>
  <c r="I455" i="32" s="1"/>
  <c r="G123" i="32"/>
  <c r="H123" i="32" s="1"/>
  <c r="I123" i="32" s="1"/>
  <c r="G502" i="32"/>
  <c r="H502" i="32" s="1"/>
  <c r="I502" i="32" s="1"/>
  <c r="G449" i="32"/>
  <c r="H449" i="32" s="1"/>
  <c r="I449" i="32" s="1"/>
  <c r="G374" i="32"/>
  <c r="H374" i="32" s="1"/>
  <c r="I374" i="32" s="1"/>
  <c r="G369" i="32"/>
  <c r="H369" i="32" s="1"/>
  <c r="I369" i="32" s="1"/>
  <c r="G537" i="32"/>
  <c r="H537" i="32" s="1"/>
  <c r="I537" i="32" s="1"/>
  <c r="G488" i="32"/>
  <c r="H488" i="32" s="1"/>
  <c r="I488" i="32" s="1"/>
  <c r="G541" i="32"/>
  <c r="H541" i="32" s="1"/>
  <c r="I541" i="32" s="1"/>
  <c r="G170" i="32"/>
  <c r="H170" i="32" s="1"/>
  <c r="I170" i="32" s="1"/>
  <c r="G533" i="32"/>
  <c r="H533" i="32" s="1"/>
  <c r="I533" i="32" s="1"/>
  <c r="G56" i="32"/>
  <c r="H56" i="32" s="1"/>
  <c r="I56" i="32" s="1"/>
  <c r="G484" i="32"/>
  <c r="H484" i="32" s="1"/>
  <c r="I484" i="32" s="1"/>
  <c r="G294" i="32"/>
  <c r="H294" i="32" s="1"/>
  <c r="I294" i="32" s="1"/>
  <c r="G287" i="32"/>
  <c r="H287" i="32" s="1"/>
  <c r="I287" i="32" s="1"/>
  <c r="G27" i="32"/>
  <c r="H27" i="32" s="1"/>
  <c r="I27" i="32" s="1"/>
  <c r="G366" i="32"/>
  <c r="H366" i="32" s="1"/>
  <c r="I366" i="32" s="1"/>
  <c r="G285" i="32"/>
  <c r="H285" i="32" s="1"/>
  <c r="I285" i="32" s="1"/>
  <c r="G324" i="32"/>
  <c r="H324" i="32" s="1"/>
  <c r="I324" i="32" s="1"/>
  <c r="G512" i="32"/>
  <c r="H512" i="32" s="1"/>
  <c r="I512" i="32" s="1"/>
  <c r="G492" i="32"/>
  <c r="H492" i="32" s="1"/>
  <c r="I492" i="32" s="1"/>
  <c r="G351" i="32"/>
  <c r="H351" i="32" s="1"/>
  <c r="I351" i="32" s="1"/>
  <c r="G342" i="32"/>
  <c r="H342" i="32" s="1"/>
  <c r="I342" i="32" s="1"/>
  <c r="G508" i="32"/>
  <c r="H508" i="32" s="1"/>
  <c r="I508" i="32" s="1"/>
  <c r="G417" i="32"/>
  <c r="H417" i="32" s="1"/>
  <c r="I417" i="32" s="1"/>
  <c r="G406" i="32"/>
  <c r="H406" i="32" s="1"/>
  <c r="I406" i="32" s="1"/>
  <c r="G425" i="32"/>
  <c r="H425" i="32" s="1"/>
  <c r="I425" i="32" s="1"/>
  <c r="G424" i="32"/>
  <c r="H424" i="32" s="1"/>
  <c r="I424" i="32" s="1"/>
  <c r="G481" i="32"/>
  <c r="H481" i="32" s="1"/>
  <c r="I481" i="32" s="1"/>
  <c r="G276" i="32"/>
  <c r="H276" i="32" s="1"/>
  <c r="I276" i="32" s="1"/>
  <c r="G605" i="32"/>
  <c r="H605" i="32" s="1"/>
  <c r="I605" i="32" s="1"/>
  <c r="G61" i="32"/>
  <c r="H61" i="32" s="1"/>
  <c r="I61" i="32" s="1"/>
  <c r="G279" i="32"/>
  <c r="H279" i="32" s="1"/>
  <c r="I279" i="32" s="1"/>
  <c r="G139" i="32"/>
  <c r="H139" i="32" s="1"/>
  <c r="I139" i="32" s="1"/>
  <c r="G576" i="32"/>
  <c r="H576" i="32" s="1"/>
  <c r="I576" i="32" s="1"/>
  <c r="G85" i="32"/>
  <c r="H85" i="32" s="1"/>
  <c r="I85" i="32" s="1"/>
  <c r="G350" i="32"/>
  <c r="H350" i="32" s="1"/>
  <c r="I350" i="32" s="1"/>
  <c r="G214" i="32"/>
  <c r="H214" i="32" s="1"/>
  <c r="I214" i="32" s="1"/>
  <c r="G207" i="32"/>
  <c r="H207" i="32" s="1"/>
  <c r="I207" i="32" s="1"/>
  <c r="G140" i="32"/>
  <c r="H140" i="32" s="1"/>
  <c r="I140" i="32" s="1"/>
  <c r="G142" i="32"/>
  <c r="H142" i="32" s="1"/>
  <c r="I142" i="32" s="1"/>
  <c r="G465" i="32"/>
  <c r="H465" i="32" s="1"/>
  <c r="I465" i="32" s="1"/>
  <c r="G509" i="32"/>
  <c r="H509" i="32" s="1"/>
  <c r="I509" i="32" s="1"/>
  <c r="G308" i="32"/>
  <c r="H308" i="32" s="1"/>
  <c r="I308" i="32" s="1"/>
  <c r="G432" i="32"/>
  <c r="H432" i="32" s="1"/>
  <c r="I432" i="32" s="1"/>
  <c r="G320" i="32"/>
  <c r="H320" i="32" s="1"/>
  <c r="I320" i="32" s="1"/>
  <c r="G311" i="32"/>
  <c r="H311" i="32" s="1"/>
  <c r="I311" i="32" s="1"/>
  <c r="G252" i="32"/>
  <c r="H252" i="32" s="1"/>
  <c r="I252" i="32" s="1"/>
  <c r="G290" i="32"/>
  <c r="H290" i="32" s="1"/>
  <c r="I290" i="32" s="1"/>
  <c r="G164" i="32"/>
  <c r="H164" i="32" s="1"/>
  <c r="I164" i="32" s="1"/>
  <c r="G522" i="32"/>
  <c r="H522" i="32" s="1"/>
  <c r="I522" i="32" s="1"/>
  <c r="G545" i="32"/>
  <c r="H545" i="32" s="1"/>
  <c r="I545" i="32" s="1"/>
  <c r="G125" i="32"/>
  <c r="H125" i="32" s="1"/>
  <c r="I125" i="32" s="1"/>
  <c r="G120" i="32"/>
  <c r="H120" i="32" s="1"/>
  <c r="I120" i="32" s="1"/>
  <c r="G84" i="32"/>
  <c r="H84" i="32" s="1"/>
  <c r="I84" i="32" s="1"/>
  <c r="G80" i="32"/>
  <c r="H80" i="32" s="1"/>
  <c r="I80" i="32" s="1"/>
  <c r="G93" i="32"/>
  <c r="H93" i="32" s="1"/>
  <c r="I93" i="32" s="1"/>
  <c r="G525" i="32"/>
  <c r="H525" i="32" s="1"/>
  <c r="I525" i="32" s="1"/>
  <c r="G339" i="32"/>
  <c r="H339" i="32" s="1"/>
  <c r="I339" i="32" s="1"/>
  <c r="G386" i="32"/>
  <c r="H386" i="32" s="1"/>
  <c r="I386" i="32" s="1"/>
  <c r="G156" i="32"/>
  <c r="H156" i="32" s="1"/>
  <c r="I156" i="32" s="1"/>
  <c r="G277" i="32"/>
  <c r="H277" i="32" s="1"/>
  <c r="I277" i="32" s="1"/>
  <c r="G241" i="32"/>
  <c r="H241" i="32" s="1"/>
  <c r="I241" i="32" s="1"/>
  <c r="G237" i="32"/>
  <c r="H237" i="32" s="1"/>
  <c r="I237" i="32" s="1"/>
  <c r="G188" i="32"/>
  <c r="H188" i="32" s="1"/>
  <c r="I188" i="32" s="1"/>
  <c r="G231" i="32"/>
  <c r="H231" i="32" s="1"/>
  <c r="I231" i="32" s="1"/>
  <c r="G100" i="32"/>
  <c r="H100" i="32" s="1"/>
  <c r="I100" i="32" s="1"/>
  <c r="G223" i="32"/>
  <c r="H223" i="32" s="1"/>
  <c r="I223" i="32" s="1"/>
  <c r="G334" i="32"/>
  <c r="H334" i="32" s="1"/>
  <c r="I334" i="32" s="1"/>
  <c r="G141" i="32"/>
  <c r="H141" i="32" s="1"/>
  <c r="I141" i="32" s="1"/>
  <c r="G476" i="32"/>
  <c r="H476" i="32" s="1"/>
  <c r="I476" i="32" s="1"/>
  <c r="G450" i="32"/>
  <c r="H450" i="32" s="1"/>
  <c r="I450" i="32" s="1"/>
  <c r="G421" i="32"/>
  <c r="H421" i="32" s="1"/>
  <c r="I421" i="32" s="1"/>
  <c r="G28" i="32"/>
  <c r="H28" i="32" s="1"/>
  <c r="I28" i="32" s="1"/>
  <c r="G624" i="32"/>
  <c r="H624" i="32" s="1"/>
  <c r="I624" i="32" s="1"/>
  <c r="G485" i="32"/>
  <c r="H485" i="32" s="1"/>
  <c r="I485" i="32" s="1"/>
  <c r="G451" i="32"/>
  <c r="H451" i="32" s="1"/>
  <c r="I451" i="32" s="1"/>
  <c r="G19" i="32"/>
  <c r="H19" i="32" s="1"/>
  <c r="I19" i="32" s="1"/>
  <c r="G460" i="32"/>
  <c r="H460" i="32" s="1"/>
  <c r="I460" i="32" s="1"/>
  <c r="G594" i="32"/>
  <c r="H594" i="32" s="1"/>
  <c r="I594" i="32" s="1"/>
  <c r="G558" i="32"/>
  <c r="H558" i="32" s="1"/>
  <c r="I558" i="32" s="1"/>
  <c r="G608" i="32"/>
  <c r="H608" i="32" s="1"/>
  <c r="I608" i="32" s="1"/>
  <c r="G121" i="32"/>
  <c r="H121" i="32" s="1"/>
  <c r="I121" i="32" s="1"/>
  <c r="G64" i="32"/>
  <c r="H64" i="32" s="1"/>
  <c r="I64" i="32" s="1"/>
  <c r="G185" i="32"/>
  <c r="H185" i="32" s="1"/>
  <c r="I185" i="32" s="1"/>
  <c r="G119" i="32"/>
  <c r="H119" i="32" s="1"/>
  <c r="I119" i="32" s="1"/>
  <c r="G274" i="32"/>
  <c r="H274" i="32" s="1"/>
  <c r="I274" i="32" s="1"/>
  <c r="G474" i="32"/>
  <c r="H474" i="32" s="1"/>
  <c r="I474" i="32" s="1"/>
  <c r="G13" i="32"/>
  <c r="H13" i="32" s="1"/>
  <c r="G380" i="32"/>
  <c r="H380" i="32" s="1"/>
  <c r="I380" i="32" s="1"/>
  <c r="G286" i="32"/>
  <c r="H286" i="32" s="1"/>
  <c r="I286" i="32" s="1"/>
  <c r="G568" i="32"/>
  <c r="H568" i="32" s="1"/>
  <c r="I568" i="32" s="1"/>
  <c r="G34" i="32"/>
  <c r="H34" i="32" s="1"/>
  <c r="I34" i="32" s="1"/>
  <c r="G138" i="32"/>
  <c r="H138" i="32" s="1"/>
  <c r="I138" i="32" s="1"/>
  <c r="G364" i="32"/>
  <c r="H364" i="32" s="1"/>
  <c r="I364" i="32" s="1"/>
  <c r="G215" i="32"/>
  <c r="H215" i="32" s="1"/>
  <c r="I215" i="32" s="1"/>
  <c r="G190" i="32"/>
  <c r="H190" i="32" s="1"/>
  <c r="I190" i="32" s="1"/>
  <c r="G150" i="32"/>
  <c r="H150" i="32" s="1"/>
  <c r="I150" i="32" s="1"/>
  <c r="G353" i="32"/>
  <c r="H353" i="32" s="1"/>
  <c r="I353" i="32" s="1"/>
  <c r="G349" i="32"/>
  <c r="H349" i="32" s="1"/>
  <c r="I349" i="32" s="1"/>
  <c r="G442" i="32"/>
  <c r="H442" i="32" s="1"/>
  <c r="I442" i="32" s="1"/>
  <c r="G596" i="32"/>
  <c r="H596" i="32" s="1"/>
  <c r="I596" i="32" s="1"/>
  <c r="G65" i="32"/>
  <c r="H65" i="32" s="1"/>
  <c r="I65" i="32" s="1"/>
  <c r="G595" i="32"/>
  <c r="H595" i="32" s="1"/>
  <c r="I595" i="32" s="1"/>
  <c r="G591" i="32"/>
  <c r="H591" i="32" s="1"/>
  <c r="I591" i="32" s="1"/>
  <c r="G355" i="32"/>
  <c r="H355" i="32" s="1"/>
  <c r="I355" i="32" s="1"/>
  <c r="G72" i="32"/>
  <c r="H72" i="32" s="1"/>
  <c r="I72" i="32" s="1"/>
  <c r="G566" i="32"/>
  <c r="H566" i="32" s="1"/>
  <c r="I566" i="32" s="1"/>
  <c r="G414" i="32"/>
  <c r="H414" i="32" s="1"/>
  <c r="I414" i="32" s="1"/>
  <c r="G199" i="32"/>
  <c r="H199" i="32" s="1"/>
  <c r="I199" i="32" s="1"/>
  <c r="G89" i="32"/>
  <c r="H89" i="32" s="1"/>
  <c r="I89" i="32" s="1"/>
  <c r="G163" i="32"/>
  <c r="H163" i="32" s="1"/>
  <c r="I163" i="32" s="1"/>
  <c r="G518" i="32"/>
  <c r="H518" i="32" s="1"/>
  <c r="I518" i="32" s="1"/>
  <c r="G493" i="32"/>
  <c r="H493" i="32" s="1"/>
  <c r="I493" i="32" s="1"/>
  <c r="G318" i="32"/>
  <c r="H318" i="32" s="1"/>
  <c r="I318" i="32" s="1"/>
  <c r="G430" i="32"/>
  <c r="H430" i="32" s="1"/>
  <c r="I430" i="32" s="1"/>
  <c r="G109" i="32"/>
  <c r="H109" i="32" s="1"/>
  <c r="I109" i="32" s="1"/>
  <c r="G35" i="32"/>
  <c r="H35" i="32" s="1"/>
  <c r="I35" i="32" s="1"/>
  <c r="G247" i="32"/>
  <c r="H247" i="32" s="1"/>
  <c r="I247" i="32" s="1"/>
  <c r="G598" i="32"/>
  <c r="H598" i="32" s="1"/>
  <c r="I598" i="32" s="1"/>
  <c r="G589" i="32"/>
  <c r="H589" i="32" s="1"/>
  <c r="I589" i="32" s="1"/>
  <c r="G585" i="32"/>
  <c r="H585" i="32" s="1"/>
  <c r="I585" i="32" s="1"/>
  <c r="G422" i="32"/>
  <c r="H422" i="32" s="1"/>
  <c r="I422" i="32" s="1"/>
  <c r="G122" i="32"/>
  <c r="H122" i="32" s="1"/>
  <c r="I122" i="32" s="1"/>
  <c r="G107" i="32"/>
  <c r="H107" i="32" s="1"/>
  <c r="I107" i="32" s="1"/>
  <c r="G428" i="32"/>
  <c r="H428" i="32" s="1"/>
  <c r="I428" i="32" s="1"/>
  <c r="G603" i="32"/>
  <c r="H603" i="32" s="1"/>
  <c r="I603" i="32" s="1"/>
  <c r="G86" i="32"/>
  <c r="H86" i="32" s="1"/>
  <c r="I86" i="32" s="1"/>
  <c r="G405" i="32"/>
  <c r="H405" i="32" s="1"/>
  <c r="I405" i="32" s="1"/>
  <c r="G266" i="32"/>
  <c r="H266" i="32" s="1"/>
  <c r="I266" i="32" s="1"/>
  <c r="G259" i="32"/>
  <c r="H259" i="32" s="1"/>
  <c r="I259" i="32" s="1"/>
  <c r="G408" i="32"/>
  <c r="H408" i="32" s="1"/>
  <c r="I408" i="32" s="1"/>
  <c r="G376" i="32"/>
  <c r="H376" i="32" s="1"/>
  <c r="I376" i="32" s="1"/>
  <c r="G129" i="32"/>
  <c r="H129" i="32" s="1"/>
  <c r="I129" i="32" s="1"/>
  <c r="G275" i="32"/>
  <c r="H275" i="32" s="1"/>
  <c r="I275" i="32" s="1"/>
  <c r="G557" i="32"/>
  <c r="H557" i="32" s="1"/>
  <c r="I557" i="32" s="1"/>
  <c r="G571" i="32"/>
  <c r="H571" i="32" s="1"/>
  <c r="I571" i="32" s="1"/>
  <c r="G523" i="32"/>
  <c r="H523" i="32" s="1"/>
  <c r="I523" i="32" s="1"/>
  <c r="G519" i="32"/>
  <c r="H519" i="32" s="1"/>
  <c r="I519" i="32" s="1"/>
  <c r="G298" i="32"/>
  <c r="H298" i="32" s="1"/>
  <c r="I298" i="32" s="1"/>
  <c r="G40" i="32"/>
  <c r="H40" i="32" s="1"/>
  <c r="I40" i="32" s="1"/>
  <c r="G283" i="32"/>
  <c r="H283" i="32" s="1"/>
  <c r="I283" i="32" s="1"/>
  <c r="G528" i="32"/>
  <c r="H528" i="32" s="1"/>
  <c r="I528" i="32" s="1"/>
  <c r="G454" i="32"/>
  <c r="H454" i="32" s="1"/>
  <c r="I454" i="32" s="1"/>
  <c r="G50" i="32"/>
  <c r="H50" i="32" s="1"/>
  <c r="I50" i="32" s="1"/>
  <c r="G300" i="32"/>
  <c r="H300" i="32" s="1"/>
  <c r="I300" i="32" s="1"/>
  <c r="G180" i="32"/>
  <c r="H180" i="32" s="1"/>
  <c r="I180" i="32" s="1"/>
  <c r="G176" i="32"/>
  <c r="H176" i="32" s="1"/>
  <c r="I176" i="32" s="1"/>
  <c r="G303" i="32"/>
  <c r="H303" i="32" s="1"/>
  <c r="I303" i="32" s="1"/>
  <c r="G456" i="32"/>
  <c r="H456" i="32" s="1"/>
  <c r="I456" i="32" s="1"/>
  <c r="G626" i="32"/>
  <c r="H626" i="32" s="1"/>
  <c r="I626" i="32" s="1"/>
  <c r="G483" i="32"/>
  <c r="H483" i="32" s="1"/>
  <c r="I483" i="32" s="1"/>
  <c r="G495" i="32"/>
  <c r="H495" i="32" s="1"/>
  <c r="I495" i="32" s="1"/>
  <c r="G14" i="32"/>
  <c r="H14" i="32" s="1"/>
  <c r="I14" i="32" s="1"/>
  <c r="G582" i="32"/>
  <c r="H582" i="32" s="1"/>
  <c r="I582" i="32" s="1"/>
  <c r="G399" i="32"/>
  <c r="H399" i="32" s="1"/>
  <c r="I399" i="32" s="1"/>
  <c r="G257" i="32"/>
  <c r="H257" i="32" s="1"/>
  <c r="I257" i="32" s="1"/>
  <c r="G613" i="32"/>
  <c r="H613" i="32" s="1"/>
  <c r="I613" i="32" s="1"/>
  <c r="G118" i="32"/>
  <c r="H118" i="32" s="1"/>
  <c r="I118" i="32" s="1"/>
  <c r="G55" i="32"/>
  <c r="H55" i="32" s="1"/>
  <c r="I55" i="32" s="1"/>
  <c r="G473" i="32"/>
  <c r="H473" i="32" s="1"/>
  <c r="I473" i="32" s="1"/>
  <c r="G203" i="32"/>
  <c r="H203" i="32" s="1"/>
  <c r="I203" i="32" s="1"/>
  <c r="G322" i="32"/>
  <c r="H322" i="32" s="1"/>
  <c r="I322" i="32" s="1"/>
  <c r="G134" i="32"/>
  <c r="H134" i="32" s="1"/>
  <c r="I134" i="32" s="1"/>
  <c r="G427" i="32"/>
  <c r="H427" i="32" s="1"/>
  <c r="I427" i="32" s="1"/>
  <c r="G147" i="32"/>
  <c r="H147" i="32" s="1"/>
  <c r="I147" i="32" s="1"/>
  <c r="G175" i="32"/>
  <c r="H175" i="32" s="1"/>
  <c r="I175" i="32" s="1"/>
  <c r="G437" i="32"/>
  <c r="H437" i="32" s="1"/>
  <c r="I437" i="32" s="1"/>
  <c r="G535" i="32"/>
  <c r="H535" i="32" s="1"/>
  <c r="I535" i="32" s="1"/>
  <c r="G24" i="32"/>
  <c r="H24" i="32" s="1"/>
  <c r="I24" i="32" s="1"/>
  <c r="G239" i="32"/>
  <c r="H239" i="32" s="1"/>
  <c r="I239" i="32" s="1"/>
  <c r="G158" i="32"/>
  <c r="H158" i="32" s="1"/>
  <c r="I158" i="32" s="1"/>
  <c r="G154" i="32"/>
  <c r="H154" i="32" s="1"/>
  <c r="I154" i="32" s="1"/>
  <c r="G108" i="32"/>
  <c r="H108" i="32" s="1"/>
  <c r="I108" i="32" s="1"/>
  <c r="G22" i="32"/>
  <c r="H22" i="32" s="1"/>
  <c r="I22" i="32" s="1"/>
  <c r="G592" i="32"/>
  <c r="H592" i="32" s="1"/>
  <c r="I592" i="32" s="1"/>
  <c r="G98" i="32"/>
  <c r="H98" i="32" s="1"/>
  <c r="I98" i="32" s="1"/>
  <c r="G360" i="32"/>
  <c r="H360" i="32" s="1"/>
  <c r="I360" i="32" s="1"/>
  <c r="G403" i="32"/>
  <c r="H403" i="32" s="1"/>
  <c r="I403" i="32" s="1"/>
  <c r="G363" i="32"/>
  <c r="H363" i="32" s="1"/>
  <c r="I363" i="32" s="1"/>
  <c r="G359" i="32"/>
  <c r="H359" i="32" s="1"/>
  <c r="I359" i="32" s="1"/>
  <c r="G265" i="32"/>
  <c r="H265" i="32" s="1"/>
  <c r="I265" i="32" s="1"/>
  <c r="G297" i="32"/>
  <c r="H297" i="32" s="1"/>
  <c r="I297" i="32" s="1"/>
  <c r="G202" i="32"/>
  <c r="H202" i="32" s="1"/>
  <c r="I202" i="32" s="1"/>
  <c r="G195" i="32"/>
  <c r="H195" i="32" s="1"/>
  <c r="I195" i="32" s="1"/>
  <c r="G447" i="32"/>
  <c r="H447" i="32" s="1"/>
  <c r="I447" i="32" s="1"/>
  <c r="G110" i="32"/>
  <c r="H110" i="32" s="1"/>
  <c r="I110" i="32" s="1"/>
  <c r="G477" i="32"/>
  <c r="H477" i="32" s="1"/>
  <c r="I477" i="32" s="1"/>
  <c r="G332" i="32"/>
  <c r="H332" i="32" s="1"/>
  <c r="I332" i="32" s="1"/>
  <c r="G326" i="32"/>
  <c r="H326" i="32" s="1"/>
  <c r="I326" i="32" s="1"/>
  <c r="G44" i="32"/>
  <c r="H44" i="32" s="1"/>
  <c r="I44" i="32" s="1"/>
  <c r="G507" i="32"/>
  <c r="H507" i="32" s="1"/>
  <c r="I507" i="32" s="1"/>
  <c r="G499" i="32"/>
  <c r="H499" i="32" s="1"/>
  <c r="I499" i="32" s="1"/>
  <c r="G461" i="32"/>
  <c r="H461" i="32" s="1"/>
  <c r="I461" i="32" s="1"/>
  <c r="G166" i="32"/>
  <c r="H166" i="32" s="1"/>
  <c r="I166" i="32" s="1"/>
  <c r="G526" i="32"/>
  <c r="H526" i="32" s="1"/>
  <c r="I526" i="32" s="1"/>
  <c r="G438" i="32"/>
  <c r="H438" i="32" s="1"/>
  <c r="I438" i="32" s="1"/>
  <c r="G433" i="32"/>
  <c r="H433" i="32" s="1"/>
  <c r="I433" i="32" s="1"/>
  <c r="G201" i="32"/>
  <c r="H201" i="32" s="1"/>
  <c r="I201" i="32" s="1"/>
  <c r="G574" i="32"/>
  <c r="H574" i="32" s="1"/>
  <c r="I574" i="32" s="1"/>
  <c r="G174" i="32"/>
  <c r="H174" i="32" s="1"/>
  <c r="I174" i="32" s="1"/>
  <c r="G271" i="32"/>
  <c r="H271" i="32" s="1"/>
  <c r="I271" i="32" s="1"/>
  <c r="G371" i="32"/>
  <c r="H371" i="32" s="1"/>
  <c r="I371" i="32" s="1"/>
  <c r="G115" i="32"/>
  <c r="H115" i="32" s="1"/>
  <c r="I115" i="32" s="1"/>
  <c r="G226" i="32"/>
  <c r="H226" i="32" s="1"/>
  <c r="I226" i="32" s="1"/>
  <c r="G472" i="32"/>
  <c r="H472" i="32" s="1"/>
  <c r="I472" i="32" s="1"/>
  <c r="G440" i="32"/>
  <c r="H440" i="32" s="1"/>
  <c r="I440" i="32" s="1"/>
  <c r="G101" i="32"/>
  <c r="H101" i="32" s="1"/>
  <c r="I101" i="32" s="1"/>
  <c r="G420" i="32"/>
  <c r="H420" i="32" s="1"/>
  <c r="I420" i="32" s="1"/>
  <c r="G411" i="32"/>
  <c r="H411" i="32" s="1"/>
  <c r="I411" i="32" s="1"/>
  <c r="G486" i="32"/>
  <c r="H486" i="32" s="1"/>
  <c r="I486" i="32" s="1"/>
  <c r="G370" i="32"/>
  <c r="H370" i="32" s="1"/>
  <c r="I370" i="32" s="1"/>
  <c r="G385" i="32"/>
  <c r="H385" i="32" s="1"/>
  <c r="I385" i="32" s="1"/>
  <c r="G316" i="32"/>
  <c r="H316" i="32" s="1"/>
  <c r="I316" i="32" s="1"/>
  <c r="G307" i="32"/>
  <c r="H307" i="32" s="1"/>
  <c r="I307" i="32" s="1"/>
  <c r="G436" i="32"/>
  <c r="H436" i="32" s="1"/>
  <c r="I436" i="32" s="1"/>
  <c r="G229" i="32"/>
  <c r="H229" i="32" s="1"/>
  <c r="I229" i="32" s="1"/>
  <c r="G82" i="32"/>
  <c r="H82" i="32" s="1"/>
  <c r="I82" i="32" s="1"/>
  <c r="G96" i="32"/>
  <c r="H96" i="32" s="1"/>
  <c r="I96" i="32" s="1"/>
  <c r="G217" i="32"/>
  <c r="H217" i="32" s="1"/>
  <c r="I217" i="32" s="1"/>
  <c r="G26" i="32"/>
  <c r="H26" i="32" s="1"/>
  <c r="I26" i="32" s="1"/>
  <c r="G51" i="32"/>
  <c r="H51" i="32" s="1"/>
  <c r="I51" i="32" s="1"/>
  <c r="G604" i="32"/>
  <c r="H604" i="32" s="1"/>
  <c r="I604" i="32" s="1"/>
  <c r="G43" i="32"/>
  <c r="H43" i="32" s="1"/>
  <c r="I43" i="32" s="1"/>
  <c r="G103" i="32"/>
  <c r="H103" i="32" s="1"/>
  <c r="I103" i="32" s="1"/>
  <c r="G280" i="32"/>
  <c r="H280" i="32" s="1"/>
  <c r="I280" i="32" s="1"/>
  <c r="G230" i="32"/>
  <c r="H230" i="32" s="1"/>
  <c r="I230" i="32" s="1"/>
  <c r="G211" i="32"/>
  <c r="H211" i="32" s="1"/>
  <c r="I211" i="32" s="1"/>
  <c r="G63" i="32"/>
  <c r="H63" i="32" s="1"/>
  <c r="I63" i="32" s="1"/>
  <c r="G372" i="32"/>
  <c r="H372" i="32" s="1"/>
  <c r="I372" i="32" s="1"/>
  <c r="G102" i="32"/>
  <c r="H102" i="32" s="1"/>
  <c r="I102" i="32" s="1"/>
  <c r="G15" i="32"/>
  <c r="H15" i="32" s="1"/>
  <c r="I15" i="32" s="1"/>
  <c r="G354" i="32"/>
  <c r="H354" i="32" s="1"/>
  <c r="I354" i="32" s="1"/>
  <c r="G542" i="32"/>
  <c r="H542" i="32" s="1"/>
  <c r="I542" i="32" s="1"/>
  <c r="G70" i="32"/>
  <c r="H70" i="32" s="1"/>
  <c r="I70" i="32" s="1"/>
  <c r="G135" i="32"/>
  <c r="H135" i="32" s="1"/>
  <c r="I135" i="32" s="1"/>
  <c r="G261" i="32"/>
  <c r="H261" i="32" s="1"/>
  <c r="I261" i="32" s="1"/>
  <c r="G309" i="32"/>
  <c r="H309" i="32" s="1"/>
  <c r="I309" i="32" s="1"/>
  <c r="G172" i="32"/>
  <c r="H172" i="32" s="1"/>
  <c r="I172" i="32" s="1"/>
  <c r="G319" i="32"/>
  <c r="H319" i="32" s="1"/>
  <c r="I319" i="32" s="1"/>
  <c r="G191" i="32"/>
  <c r="H191" i="32" s="1"/>
  <c r="I191" i="32" s="1"/>
  <c r="G296" i="32"/>
  <c r="H296" i="32" s="1"/>
  <c r="I296" i="32" s="1"/>
  <c r="G66" i="32"/>
  <c r="H66" i="32" s="1"/>
  <c r="I66" i="32" s="1"/>
  <c r="G540" i="32"/>
  <c r="H540" i="32" s="1"/>
  <c r="I540" i="32" s="1"/>
  <c r="G268" i="32"/>
  <c r="H268" i="32" s="1"/>
  <c r="I268" i="32" s="1"/>
  <c r="G464" i="32"/>
  <c r="H464" i="32" s="1"/>
  <c r="I464" i="32" s="1"/>
  <c r="G562" i="32"/>
  <c r="H562" i="32" s="1"/>
  <c r="I562" i="32" s="1"/>
  <c r="G282" i="32"/>
  <c r="H282" i="32" s="1"/>
  <c r="I282" i="32" s="1"/>
  <c r="G30" i="32"/>
  <c r="H30" i="32" s="1"/>
  <c r="I30" i="32" s="1"/>
  <c r="G368" i="32"/>
  <c r="H368" i="32" s="1"/>
  <c r="I368" i="32" s="1"/>
  <c r="G398" i="32"/>
  <c r="H398" i="32" s="1"/>
  <c r="I398" i="32" s="1"/>
  <c r="G173" i="32"/>
  <c r="H173" i="32" s="1"/>
  <c r="I173" i="32" s="1"/>
  <c r="G593" i="32"/>
  <c r="H593" i="32" s="1"/>
  <c r="I593" i="32" s="1"/>
  <c r="G148" i="32"/>
  <c r="H148" i="32" s="1"/>
  <c r="I148" i="32" s="1"/>
  <c r="G260" i="32"/>
  <c r="H260" i="32" s="1"/>
  <c r="I260" i="32" s="1"/>
  <c r="G553" i="32"/>
  <c r="H553" i="32" s="1"/>
  <c r="I553" i="32" s="1"/>
  <c r="G232" i="32"/>
  <c r="H232" i="32" s="1"/>
  <c r="I232" i="32" s="1"/>
  <c r="G429" i="32"/>
  <c r="H429" i="32" s="1"/>
  <c r="I429" i="32" s="1"/>
  <c r="G310" i="32"/>
  <c r="H310" i="32" s="1"/>
  <c r="I310" i="32" s="1"/>
  <c r="G457" i="32"/>
  <c r="H457" i="32" s="1"/>
  <c r="I457" i="32" s="1"/>
  <c r="G39" i="32"/>
  <c r="H39" i="32" s="1"/>
  <c r="I39" i="32" s="1"/>
  <c r="G106" i="32"/>
  <c r="H106" i="32" s="1"/>
  <c r="I106" i="32" s="1"/>
  <c r="G383" i="32"/>
  <c r="H383" i="32" s="1"/>
  <c r="I383" i="32" s="1"/>
  <c r="G554" i="32"/>
  <c r="H554" i="32" s="1"/>
  <c r="I554" i="32" s="1"/>
  <c r="G210" i="32"/>
  <c r="H210" i="32" s="1"/>
  <c r="I210" i="32" s="1"/>
  <c r="G610" i="32"/>
  <c r="H610" i="32" s="1"/>
  <c r="I610" i="32" s="1"/>
  <c r="G144" i="32"/>
  <c r="H144" i="32" s="1"/>
  <c r="I144" i="32" s="1"/>
  <c r="G256" i="32"/>
  <c r="H256" i="32" s="1"/>
  <c r="I256" i="32" s="1"/>
  <c r="G49" i="32"/>
  <c r="H49" i="32" s="1"/>
  <c r="I49" i="32" s="1"/>
  <c r="G196" i="32"/>
  <c r="H196" i="32" s="1"/>
  <c r="I196" i="32" s="1"/>
  <c r="G161" i="32"/>
  <c r="H161" i="32" s="1"/>
  <c r="I161" i="32" s="1"/>
  <c r="G67" i="32"/>
  <c r="H67" i="32" s="1"/>
  <c r="I67" i="32" s="1"/>
  <c r="G556" i="32"/>
  <c r="H556" i="32" s="1"/>
  <c r="I556" i="32" s="1"/>
  <c r="G128" i="32"/>
  <c r="H128" i="32" s="1"/>
  <c r="I128" i="32" s="1"/>
  <c r="G37" i="32"/>
  <c r="H37" i="32" s="1"/>
  <c r="I37" i="32" s="1"/>
  <c r="G240" i="32"/>
  <c r="H240" i="32" s="1"/>
  <c r="I240" i="32" s="1"/>
  <c r="G546" i="32"/>
  <c r="H546" i="32" s="1"/>
  <c r="I546" i="32" s="1"/>
  <c r="G547" i="32"/>
  <c r="H547" i="32" s="1"/>
  <c r="I547" i="32" s="1"/>
  <c r="G418" i="32"/>
  <c r="H418" i="32" s="1"/>
  <c r="I418" i="32" s="1"/>
  <c r="G183" i="32"/>
  <c r="H183" i="32" s="1"/>
  <c r="I183" i="32" s="1"/>
  <c r="G583" i="32"/>
  <c r="H583" i="32" s="1"/>
  <c r="I583" i="32" s="1"/>
  <c r="G192" i="32"/>
  <c r="H192" i="32" s="1"/>
  <c r="I192" i="32" s="1"/>
  <c r="G29" i="32"/>
  <c r="H29" i="32" s="1"/>
  <c r="I29" i="32" s="1"/>
  <c r="G514" i="32"/>
  <c r="H514" i="32" s="1"/>
  <c r="I514" i="32" s="1"/>
  <c r="G446" i="32"/>
  <c r="H446" i="32" s="1"/>
  <c r="I446" i="32" s="1"/>
  <c r="G317" i="32"/>
  <c r="H317" i="32" s="1"/>
  <c r="I317" i="32" s="1"/>
  <c r="G18" i="32"/>
  <c r="H18" i="32" s="1"/>
  <c r="I18" i="32" s="1"/>
  <c r="G171" i="32"/>
  <c r="H171" i="32" s="1"/>
  <c r="I171" i="32" s="1"/>
  <c r="G341" i="32"/>
  <c r="H341" i="32" s="1"/>
  <c r="I341" i="32" s="1"/>
  <c r="G548" i="32"/>
  <c r="H548" i="32" s="1"/>
  <c r="I548" i="32" s="1"/>
  <c r="G255" i="32"/>
  <c r="H255" i="32" s="1"/>
  <c r="I255" i="32" s="1"/>
  <c r="G504" i="32"/>
  <c r="H504" i="32" s="1"/>
  <c r="I504" i="32" s="1"/>
  <c r="G235" i="32"/>
  <c r="H235" i="32" s="1"/>
  <c r="I235" i="32" s="1"/>
  <c r="G480" i="32"/>
  <c r="H480" i="32" s="1"/>
  <c r="I480" i="32" s="1"/>
  <c r="G581" i="32"/>
  <c r="H581" i="32" s="1"/>
  <c r="I581" i="32" s="1"/>
  <c r="G92" i="32"/>
  <c r="H92" i="32" s="1"/>
  <c r="I92" i="32" s="1"/>
  <c r="G441" i="32"/>
  <c r="H441" i="32" s="1"/>
  <c r="I441" i="32" s="1"/>
  <c r="G249" i="32"/>
  <c r="H249" i="32" s="1"/>
  <c r="I249" i="32" s="1"/>
  <c r="G31" i="32"/>
  <c r="H31" i="32" s="1"/>
  <c r="I31" i="32" s="1"/>
  <c r="G314" i="32"/>
  <c r="H314" i="32" s="1"/>
  <c r="I314" i="32" s="1"/>
  <c r="G521" i="32"/>
  <c r="H521" i="32" s="1"/>
  <c r="I521" i="32" s="1"/>
  <c r="G193" i="32"/>
  <c r="H193" i="32" s="1"/>
  <c r="I193" i="32" s="1"/>
  <c r="G381" i="32"/>
  <c r="H381" i="32" s="1"/>
  <c r="I381" i="32" s="1"/>
  <c r="G221" i="32"/>
  <c r="H221" i="32" s="1"/>
  <c r="I221" i="32" s="1"/>
  <c r="G94" i="32"/>
  <c r="H94" i="32" s="1"/>
  <c r="I94" i="32" s="1"/>
  <c r="G136" i="32"/>
  <c r="H136" i="32" s="1"/>
  <c r="I136" i="32" s="1"/>
  <c r="G561" i="32"/>
  <c r="H561" i="32" s="1"/>
  <c r="I561" i="32" s="1"/>
  <c r="G579" i="32"/>
  <c r="H579" i="32" s="1"/>
  <c r="I579" i="32" s="1"/>
  <c r="G75" i="32"/>
  <c r="H75" i="32" s="1"/>
  <c r="I75" i="32" s="1"/>
  <c r="G234" i="32"/>
  <c r="H234" i="32" s="1"/>
  <c r="I234" i="32" s="1"/>
  <c r="G204" i="32"/>
  <c r="H204" i="32" s="1"/>
  <c r="I204" i="32" s="1"/>
  <c r="G511" i="32"/>
  <c r="H511" i="32" s="1"/>
  <c r="I511" i="32" s="1"/>
  <c r="G601" i="32"/>
  <c r="H601" i="32" s="1"/>
  <c r="I601" i="32" s="1"/>
  <c r="G312" i="32"/>
  <c r="H312" i="32" s="1"/>
  <c r="I312" i="32" s="1"/>
  <c r="G323" i="32"/>
  <c r="H323" i="32" s="1"/>
  <c r="I323" i="32" s="1"/>
  <c r="G87" i="32"/>
  <c r="H87" i="32" s="1"/>
  <c r="I87" i="32" s="1"/>
  <c r="G263" i="32"/>
  <c r="H263" i="32" s="1"/>
  <c r="I263" i="32" s="1"/>
  <c r="G25" i="32"/>
  <c r="H25" i="32" s="1"/>
  <c r="I25" i="32" s="1"/>
  <c r="G505" i="32"/>
  <c r="H505" i="32" s="1"/>
  <c r="I505" i="32" s="1"/>
  <c r="G304" i="32"/>
  <c r="H304" i="32" s="1"/>
  <c r="I304" i="32" s="1"/>
  <c r="G573" i="32"/>
  <c r="H573" i="32" s="1"/>
  <c r="I573" i="32" s="1"/>
  <c r="G71" i="32"/>
  <c r="H71" i="32" s="1"/>
  <c r="I71" i="32" s="1"/>
  <c r="G213" i="32"/>
  <c r="H213" i="32" s="1"/>
  <c r="I213" i="32" s="1"/>
  <c r="G607" i="32"/>
  <c r="H607" i="32" s="1"/>
  <c r="I607" i="32" s="1"/>
  <c r="G397" i="32"/>
  <c r="H397" i="32" s="1"/>
  <c r="I397" i="32" s="1"/>
  <c r="G390" i="32"/>
  <c r="H390" i="32" s="1"/>
  <c r="I390" i="32" s="1"/>
  <c r="G97" i="32"/>
  <c r="H97" i="32" s="1"/>
  <c r="I97" i="32" s="1"/>
  <c r="G623" i="32"/>
  <c r="H623" i="32" s="1"/>
  <c r="I623" i="32" s="1"/>
  <c r="G622" i="32"/>
  <c r="H622" i="32" s="1"/>
  <c r="I622" i="32" s="1"/>
  <c r="G628" i="32"/>
  <c r="H628" i="32" s="1"/>
  <c r="I628" i="32" s="1"/>
  <c r="G629" i="32"/>
  <c r="H629" i="32" s="1"/>
  <c r="I629" i="32" s="1"/>
  <c r="G627" i="32"/>
  <c r="H627" i="32" s="1"/>
  <c r="I627" i="32" s="1"/>
  <c r="BN297" i="32"/>
  <c r="BO297" i="32" s="1"/>
  <c r="BN399" i="32"/>
  <c r="BO399" i="32" s="1"/>
  <c r="BN571" i="32"/>
  <c r="BO571" i="32" s="1"/>
  <c r="BN400" i="32"/>
  <c r="BO400" i="32" s="1"/>
  <c r="BN234" i="32"/>
  <c r="BO234" i="32" s="1"/>
  <c r="BN19" i="32"/>
  <c r="BO19" i="32" s="1"/>
  <c r="BN467" i="32"/>
  <c r="BO467" i="32" s="1"/>
  <c r="BN312" i="32"/>
  <c r="BO312" i="32" s="1"/>
  <c r="BN551" i="32"/>
  <c r="BO551" i="32" s="1"/>
  <c r="BN36" i="32"/>
  <c r="BO36" i="32" s="1"/>
  <c r="BN298" i="32"/>
  <c r="BO298" i="32" s="1"/>
  <c r="BN274" i="32"/>
  <c r="BO274" i="32" s="1"/>
  <c r="BN82" i="32"/>
  <c r="BO82" i="32" s="1"/>
  <c r="BN441" i="32"/>
  <c r="BO441" i="32" s="1"/>
  <c r="BN20" i="32"/>
  <c r="BO20" i="32" s="1"/>
  <c r="BN554" i="32"/>
  <c r="BO554" i="32" s="1"/>
  <c r="BN520" i="32"/>
  <c r="BO520" i="32" s="1"/>
  <c r="BN425" i="32"/>
  <c r="BO425" i="32" s="1"/>
  <c r="BN408" i="32"/>
  <c r="BO408" i="32" s="1"/>
  <c r="BN58" i="32"/>
  <c r="BO58" i="32" s="1"/>
  <c r="BN304" i="32"/>
  <c r="BO304" i="32" s="1"/>
  <c r="BN16" i="32"/>
  <c r="BO16" i="32" s="1"/>
  <c r="BN608" i="32"/>
  <c r="BO608" i="32" s="1"/>
  <c r="BN95" i="32"/>
  <c r="BO95" i="32" s="1"/>
  <c r="BN338" i="32"/>
  <c r="BO338" i="32" s="1"/>
  <c r="BN89" i="32"/>
  <c r="BO89" i="32" s="1"/>
  <c r="BN417" i="32"/>
  <c r="BO417" i="32" s="1"/>
  <c r="BN368" i="32"/>
  <c r="BO368" i="32" s="1"/>
  <c r="BN538" i="32"/>
  <c r="BO538" i="32" s="1"/>
  <c r="BN34" i="32"/>
  <c r="BO34" i="32" s="1"/>
  <c r="BN514" i="32"/>
  <c r="BO514" i="32" s="1"/>
  <c r="BN17" i="32"/>
  <c r="BO17" i="32" s="1"/>
  <c r="BN264" i="32"/>
  <c r="BO264" i="32" s="1"/>
  <c r="BN447" i="32"/>
  <c r="BO447" i="32" s="1"/>
  <c r="BN72" i="32"/>
  <c r="BO72" i="32" s="1"/>
  <c r="BN232" i="32"/>
  <c r="BO232" i="32" s="1"/>
  <c r="BN600" i="32"/>
  <c r="BO600" i="32" s="1"/>
  <c r="BN451" i="32"/>
  <c r="BO451" i="32" s="1"/>
  <c r="BN120" i="32"/>
  <c r="BO120" i="32" s="1"/>
  <c r="BN88" i="32"/>
  <c r="BO88" i="32" s="1"/>
  <c r="BN424" i="32"/>
  <c r="BO424" i="32" s="1"/>
  <c r="BN171" i="32"/>
  <c r="BO171" i="32" s="1"/>
  <c r="BN24" i="32"/>
  <c r="BO24" i="32" s="1"/>
  <c r="BN211" i="32"/>
  <c r="BO211" i="32" s="1"/>
  <c r="BN219" i="32"/>
  <c r="BO219" i="32" s="1"/>
  <c r="BN41" i="32"/>
  <c r="BO41" i="32" s="1"/>
  <c r="BN440" i="32"/>
  <c r="BO440" i="32" s="1"/>
  <c r="BN252" i="32"/>
  <c r="BO252" i="32" s="1"/>
  <c r="BN35" i="32"/>
  <c r="BO35" i="32" s="1"/>
  <c r="BN105" i="32"/>
  <c r="BO105" i="32" s="1"/>
  <c r="BN48" i="32"/>
  <c r="BO48" i="32" s="1"/>
  <c r="BN25" i="32"/>
  <c r="BO25" i="32" s="1"/>
  <c r="BN320" i="32"/>
  <c r="BO320" i="32" s="1"/>
  <c r="BN285" i="32"/>
  <c r="BO285" i="32" s="1"/>
  <c r="BN241" i="32"/>
  <c r="BO241" i="32" s="1"/>
  <c r="BN553" i="32"/>
  <c r="BO553" i="32" s="1"/>
  <c r="BN90" i="32"/>
  <c r="BO90" i="32" s="1"/>
  <c r="BN357" i="32"/>
  <c r="BO357" i="32" s="1"/>
  <c r="BN489" i="32"/>
  <c r="BO489" i="32" s="1"/>
  <c r="BN98" i="32"/>
  <c r="BO98" i="32" s="1"/>
  <c r="BN568" i="32"/>
  <c r="BO568" i="32" s="1"/>
  <c r="BN167" i="32"/>
  <c r="BO167" i="32" s="1"/>
  <c r="BN121" i="32"/>
  <c r="BO121" i="32" s="1"/>
  <c r="BN216" i="32"/>
  <c r="BO216" i="32" s="1"/>
  <c r="BN161" i="32"/>
  <c r="BO161" i="32" s="1"/>
  <c r="BN565" i="32"/>
  <c r="BO565" i="32" s="1"/>
  <c r="BN296" i="32"/>
  <c r="BO296" i="32" s="1"/>
  <c r="BN552" i="32"/>
  <c r="BO552" i="32" s="1"/>
  <c r="BN42" i="32"/>
  <c r="BO42" i="32" s="1"/>
  <c r="BN326" i="32"/>
  <c r="BO326" i="32" s="1"/>
  <c r="BN468" i="32"/>
  <c r="BO468" i="32" s="1"/>
  <c r="BN226" i="32"/>
  <c r="BO226" i="32" s="1"/>
  <c r="BN369" i="32"/>
  <c r="BO369" i="32" s="1"/>
  <c r="BN225" i="32"/>
  <c r="BO225" i="32" s="1"/>
  <c r="BN412" i="32"/>
  <c r="BO412" i="32" s="1"/>
  <c r="BN584" i="32"/>
  <c r="BO584" i="32" s="1"/>
  <c r="BN128" i="32"/>
  <c r="BO128" i="32" s="1"/>
  <c r="BN224" i="32"/>
  <c r="BO224" i="32" s="1"/>
  <c r="BN210" i="32"/>
  <c r="BO210" i="32" s="1"/>
  <c r="BN115" i="32"/>
  <c r="BO115" i="32" s="1"/>
  <c r="BN53" i="32"/>
  <c r="BO53" i="32" s="1"/>
  <c r="BN176" i="32"/>
  <c r="BO176" i="32" s="1"/>
  <c r="BN68" i="32"/>
  <c r="BO68" i="32" s="1"/>
  <c r="BN544" i="32"/>
  <c r="BO544" i="32" s="1"/>
  <c r="BN361" i="32"/>
  <c r="BO361" i="32" s="1"/>
  <c r="BN321" i="32"/>
  <c r="BO321" i="32" s="1"/>
  <c r="BN426" i="32"/>
  <c r="BO426" i="32" s="1"/>
  <c r="BN305" i="32"/>
  <c r="BO305" i="32" s="1"/>
  <c r="BN288" i="32"/>
  <c r="BO288" i="32" s="1"/>
  <c r="BN328" i="32"/>
  <c r="BO328" i="32" s="1"/>
  <c r="BN352" i="32"/>
  <c r="BO352" i="32" s="1"/>
  <c r="BN144" i="32"/>
  <c r="BO144" i="32" s="1"/>
  <c r="BN289" i="32"/>
  <c r="BO289" i="32" s="1"/>
  <c r="BN392" i="32"/>
  <c r="BO392" i="32" s="1"/>
  <c r="BN73" i="32"/>
  <c r="BO73" i="32" s="1"/>
  <c r="BN609" i="32"/>
  <c r="BO609" i="32" s="1"/>
  <c r="BN433" i="32"/>
  <c r="BO433" i="32" s="1"/>
  <c r="BN481" i="32"/>
  <c r="BO481" i="32" s="1"/>
  <c r="BN186" i="32"/>
  <c r="BO186" i="32" s="1"/>
  <c r="BN136" i="32"/>
  <c r="BO136" i="32" s="1"/>
  <c r="BO13" i="32"/>
  <c r="AH617" i="31"/>
  <c r="AG617" i="31"/>
  <c r="BN569" i="32" l="1"/>
  <c r="BO569" i="32" s="1"/>
  <c r="BN439" i="32"/>
  <c r="BO439" i="32" s="1"/>
  <c r="BN223" i="32"/>
  <c r="BO223" i="32" s="1"/>
  <c r="BN78" i="32"/>
  <c r="BO78" i="32" s="1"/>
  <c r="BN336" i="32"/>
  <c r="BO336" i="32" s="1"/>
  <c r="BN555" i="32"/>
  <c r="BO555" i="32" s="1"/>
  <c r="BN459" i="32"/>
  <c r="BO459" i="32" s="1"/>
  <c r="BN309" i="32"/>
  <c r="BO309" i="32" s="1"/>
  <c r="BN482" i="32"/>
  <c r="BO482" i="32" s="1"/>
  <c r="BN265" i="32"/>
  <c r="BO265" i="32" s="1"/>
  <c r="BN50" i="32"/>
  <c r="BO50" i="32" s="1"/>
  <c r="BN474" i="32"/>
  <c r="BO474" i="32" s="1"/>
  <c r="BN490" i="32"/>
  <c r="BO490" i="32" s="1"/>
  <c r="BN475" i="32"/>
  <c r="BO475" i="32" s="1"/>
  <c r="BN377" i="32"/>
  <c r="BO377" i="32" s="1"/>
  <c r="BN435" i="32"/>
  <c r="BO435" i="32" s="1"/>
  <c r="BN407" i="32"/>
  <c r="BO407" i="32" s="1"/>
  <c r="BN249" i="32"/>
  <c r="BO249" i="32" s="1"/>
  <c r="BN595" i="32"/>
  <c r="BO595" i="32" s="1"/>
  <c r="BN452" i="32"/>
  <c r="BO452" i="32" s="1"/>
  <c r="BN64" i="32"/>
  <c r="BO64" i="32" s="1"/>
  <c r="BN195" i="32"/>
  <c r="BO195" i="32" s="1"/>
  <c r="BN119" i="32"/>
  <c r="BO119" i="32" s="1"/>
  <c r="BN499" i="32"/>
  <c r="BO499" i="32" s="1"/>
  <c r="BN378" i="32"/>
  <c r="BO378" i="32" s="1"/>
  <c r="BN193" i="32"/>
  <c r="BO193" i="32" s="1"/>
  <c r="BN344" i="32"/>
  <c r="BO344" i="32" s="1"/>
  <c r="BN99" i="32"/>
  <c r="BO99" i="32" s="1"/>
  <c r="BN337" i="32"/>
  <c r="BO337" i="32" s="1"/>
  <c r="BN597" i="32"/>
  <c r="BO597" i="32" s="1"/>
  <c r="BN394" i="32"/>
  <c r="BO394" i="32" s="1"/>
  <c r="BN114" i="32"/>
  <c r="BO114" i="32" s="1"/>
  <c r="BN356" i="32"/>
  <c r="BO356" i="32" s="1"/>
  <c r="BN132" i="32"/>
  <c r="BO132" i="32" s="1"/>
  <c r="BN310" i="32"/>
  <c r="BO310" i="32" s="1"/>
  <c r="BN463" i="32"/>
  <c r="BO463" i="32" s="1"/>
  <c r="BN500" i="32"/>
  <c r="BO500" i="32" s="1"/>
  <c r="BN106" i="32"/>
  <c r="BO106" i="32" s="1"/>
  <c r="BN531" i="32"/>
  <c r="BO531" i="32" s="1"/>
  <c r="BN81" i="32"/>
  <c r="BO81" i="32" s="1"/>
  <c r="BN343" i="32"/>
  <c r="BO343" i="32" s="1"/>
  <c r="BN131" i="32"/>
  <c r="BO131" i="32" s="1"/>
  <c r="BN593" i="32"/>
  <c r="BO593" i="32" s="1"/>
  <c r="BN573" i="32"/>
  <c r="BO573" i="32" s="1"/>
  <c r="BN84" i="32"/>
  <c r="BO84" i="32" s="1"/>
  <c r="BN383" i="32"/>
  <c r="BO383" i="32" s="1"/>
  <c r="BN142" i="32"/>
  <c r="BO142" i="32" s="1"/>
  <c r="BN141" i="32"/>
  <c r="BO141" i="32" s="1"/>
  <c r="BN370" i="32"/>
  <c r="BO370" i="32" s="1"/>
  <c r="BN43" i="32"/>
  <c r="BO43" i="32" s="1"/>
  <c r="BN476" i="32"/>
  <c r="BO476" i="32" s="1"/>
  <c r="BN292" i="32"/>
  <c r="BO292" i="32" s="1"/>
  <c r="BN402" i="32"/>
  <c r="BO402" i="32" s="1"/>
  <c r="BN194" i="32"/>
  <c r="BO194" i="32" s="1"/>
  <c r="BN126" i="32"/>
  <c r="BO126" i="32" s="1"/>
  <c r="BN587" i="32"/>
  <c r="BO587" i="32" s="1"/>
  <c r="BN255" i="32"/>
  <c r="BO255" i="32" s="1"/>
  <c r="BN26" i="32"/>
  <c r="BO26" i="32" s="1"/>
  <c r="BN445" i="32"/>
  <c r="BO445" i="32" s="1"/>
  <c r="BN277" i="32"/>
  <c r="BO277" i="32" s="1"/>
  <c r="BN442" i="32"/>
  <c r="BO442" i="32" s="1"/>
  <c r="BN602" i="32"/>
  <c r="BO602" i="32" s="1"/>
  <c r="BN506" i="32"/>
  <c r="BO506" i="32" s="1"/>
  <c r="BN281" i="32"/>
  <c r="BO281" i="32" s="1"/>
  <c r="BN213" i="32"/>
  <c r="BO213" i="32" s="1"/>
  <c r="BN596" i="32"/>
  <c r="BO596" i="32" s="1"/>
  <c r="BN341" i="32"/>
  <c r="BO341" i="32" s="1"/>
  <c r="BN453" i="32"/>
  <c r="BO453" i="32" s="1"/>
  <c r="BN519" i="32"/>
  <c r="BO519" i="32" s="1"/>
  <c r="BN143" i="32"/>
  <c r="BO143" i="32" s="1"/>
  <c r="BN390" i="32"/>
  <c r="BO390" i="32" s="1"/>
  <c r="BN387" i="32"/>
  <c r="BO387" i="32" s="1"/>
  <c r="BN22" i="32"/>
  <c r="BO22" i="32" s="1"/>
  <c r="BN92" i="32"/>
  <c r="BO92" i="32" s="1"/>
  <c r="BN563" i="32"/>
  <c r="BO563" i="32" s="1"/>
  <c r="BN79" i="32"/>
  <c r="BO79" i="32" s="1"/>
  <c r="BN67" i="32"/>
  <c r="BO67" i="32" s="1"/>
  <c r="BN229" i="32"/>
  <c r="BO229" i="32" s="1"/>
  <c r="BN339" i="32"/>
  <c r="BO339" i="32" s="1"/>
  <c r="BN473" i="32"/>
  <c r="BO473" i="32" s="1"/>
  <c r="BN230" i="32"/>
  <c r="BO230" i="32" s="1"/>
  <c r="BN133" i="32"/>
  <c r="BO133" i="32" s="1"/>
  <c r="BN293" i="32"/>
  <c r="BO293" i="32" s="1"/>
  <c r="BN548" i="32"/>
  <c r="BO548" i="32" s="1"/>
  <c r="BN124" i="32"/>
  <c r="BO124" i="32" s="1"/>
  <c r="BN51" i="32"/>
  <c r="BO51" i="32" s="1"/>
  <c r="BN158" i="32"/>
  <c r="BO158" i="32" s="1"/>
  <c r="BN572" i="32"/>
  <c r="BO572" i="32" s="1"/>
  <c r="BN523" i="32"/>
  <c r="BO523" i="32" s="1"/>
  <c r="BN330" i="32"/>
  <c r="BO330" i="32" s="1"/>
  <c r="BN269" i="32"/>
  <c r="BO269" i="32" s="1"/>
  <c r="BN578" i="32"/>
  <c r="BO578" i="32" s="1"/>
  <c r="BN550" i="32"/>
  <c r="BO550" i="32" s="1"/>
  <c r="BN38" i="32"/>
  <c r="BO38" i="32" s="1"/>
  <c r="BN594" i="32"/>
  <c r="BO594" i="32" s="1"/>
  <c r="BN54" i="32"/>
  <c r="BO54" i="32" s="1"/>
  <c r="BN556" i="32"/>
  <c r="BO556" i="32" s="1"/>
  <c r="BN87" i="32"/>
  <c r="BO87" i="32" s="1"/>
  <c r="BN598" i="32"/>
  <c r="BO598" i="32" s="1"/>
  <c r="BN483" i="32"/>
  <c r="BO483" i="32" s="1"/>
  <c r="BN262" i="32"/>
  <c r="BO262" i="32" s="1"/>
  <c r="BN75" i="32"/>
  <c r="BO75" i="32" s="1"/>
  <c r="BN516" i="32"/>
  <c r="BO516" i="32" s="1"/>
  <c r="BN300" i="32"/>
  <c r="BO300" i="32" s="1"/>
  <c r="BN163" i="32"/>
  <c r="BO163" i="32" s="1"/>
  <c r="BN409" i="32"/>
  <c r="BO409" i="32" s="1"/>
  <c r="BN350" i="32"/>
  <c r="BO350" i="32" s="1"/>
  <c r="BN181" i="32"/>
  <c r="BO181" i="32" s="1"/>
  <c r="BN436" i="32"/>
  <c r="BO436" i="32" s="1"/>
  <c r="BN365" i="32"/>
  <c r="BO365" i="32" s="1"/>
  <c r="BN588" i="32"/>
  <c r="BO588" i="32" s="1"/>
  <c r="BN480" i="32"/>
  <c r="BO480" i="32" s="1"/>
  <c r="BN507" i="32"/>
  <c r="BO507" i="32" s="1"/>
  <c r="BN187" i="32"/>
  <c r="BO187" i="32" s="1"/>
  <c r="BN284" i="32"/>
  <c r="BO284" i="32" s="1"/>
  <c r="BN604" i="32"/>
  <c r="BO604" i="32" s="1"/>
  <c r="BN405" i="32"/>
  <c r="BO405" i="32" s="1"/>
  <c r="BN366" i="32"/>
  <c r="BO366" i="32" s="1"/>
  <c r="BN103" i="32"/>
  <c r="BO103" i="32" s="1"/>
  <c r="BN491" i="32"/>
  <c r="BO491" i="32" s="1"/>
  <c r="BN140" i="32"/>
  <c r="BO140" i="32" s="1"/>
  <c r="BN198" i="32"/>
  <c r="BO198" i="32" s="1"/>
  <c r="BN589" i="32"/>
  <c r="BO589" i="32" s="1"/>
  <c r="BN156" i="32"/>
  <c r="BO156" i="32" s="1"/>
  <c r="BN373" i="32"/>
  <c r="BO373" i="32" s="1"/>
  <c r="BN15" i="32"/>
  <c r="BO15" i="32" s="1"/>
  <c r="BN52" i="32"/>
  <c r="BO52" i="32" s="1"/>
  <c r="BN287" i="32"/>
  <c r="BO287" i="32" s="1"/>
  <c r="BN162" i="32"/>
  <c r="BO162" i="32" s="1"/>
  <c r="BN266" i="32"/>
  <c r="BO266" i="32" s="1"/>
  <c r="BN246" i="32"/>
  <c r="BO246" i="32" s="1"/>
  <c r="BN429" i="32"/>
  <c r="BO429" i="32" s="1"/>
  <c r="BN261" i="32"/>
  <c r="BO261" i="32" s="1"/>
  <c r="BN178" i="32"/>
  <c r="BO178" i="32" s="1"/>
  <c r="BN542" i="32"/>
  <c r="BO542" i="32" s="1"/>
  <c r="BN348" i="32"/>
  <c r="BO348" i="32" s="1"/>
  <c r="BN308" i="32"/>
  <c r="BO308" i="32" s="1"/>
  <c r="BN294" i="32"/>
  <c r="BO294" i="32" s="1"/>
  <c r="BN316" i="32"/>
  <c r="BO316" i="32" s="1"/>
  <c r="BN557" i="32"/>
  <c r="BO557" i="32" s="1"/>
  <c r="BN307" i="32"/>
  <c r="BO307" i="32" s="1"/>
  <c r="BN155" i="32"/>
  <c r="BO155" i="32" s="1"/>
  <c r="BN107" i="32"/>
  <c r="BO107" i="32" s="1"/>
  <c r="BN125" i="32"/>
  <c r="BO125" i="32" s="1"/>
  <c r="BN428" i="32"/>
  <c r="BO428" i="32" s="1"/>
  <c r="BN484" i="32"/>
  <c r="BO484" i="32" s="1"/>
  <c r="BN238" i="32"/>
  <c r="BO238" i="32" s="1"/>
  <c r="BN574" i="32"/>
  <c r="BO574" i="32" s="1"/>
  <c r="BN63" i="32"/>
  <c r="BO63" i="32" s="1"/>
  <c r="BN415" i="32"/>
  <c r="BO415" i="32" s="1"/>
  <c r="BN278" i="32"/>
  <c r="BO278" i="32" s="1"/>
  <c r="BN422" i="32"/>
  <c r="BO422" i="32" s="1"/>
  <c r="BN462" i="32"/>
  <c r="BO462" i="32" s="1"/>
  <c r="BN494" i="32"/>
  <c r="BO494" i="32" s="1"/>
  <c r="BN380" i="32"/>
  <c r="BO380" i="32" s="1"/>
  <c r="BN460" i="32"/>
  <c r="BO460" i="32" s="1"/>
  <c r="BN207" i="32"/>
  <c r="BO207" i="32" s="1"/>
  <c r="BN461" i="32"/>
  <c r="BO461" i="32" s="1"/>
  <c r="BN190" i="32"/>
  <c r="BO190" i="32" s="1"/>
  <c r="BN175" i="32"/>
  <c r="BO175" i="32" s="1"/>
  <c r="BN379" i="32"/>
  <c r="BO379" i="32" s="1"/>
  <c r="BN46" i="32"/>
  <c r="BO46" i="32" s="1"/>
  <c r="BN70" i="32"/>
  <c r="BO70" i="32" s="1"/>
  <c r="BN558" i="32"/>
  <c r="BO558" i="32" s="1"/>
  <c r="BN31" i="32"/>
  <c r="BO31" i="32" s="1"/>
  <c r="BN323" i="32"/>
  <c r="BO323" i="32" s="1"/>
  <c r="BN421" i="32"/>
  <c r="BO421" i="32" s="1"/>
  <c r="BN355" i="32"/>
  <c r="BO355" i="32" s="1"/>
  <c r="BN118" i="32"/>
  <c r="BO118" i="32" s="1"/>
  <c r="BN182" i="32"/>
  <c r="BO182" i="32" s="1"/>
  <c r="BN398" i="32"/>
  <c r="BO398" i="32" s="1"/>
  <c r="BN150" i="32"/>
  <c r="BO150" i="32" s="1"/>
  <c r="BN607" i="32"/>
  <c r="BO607" i="32" s="1"/>
  <c r="BN581" i="32"/>
  <c r="BO581" i="32" s="1"/>
  <c r="BN534" i="32"/>
  <c r="BO534" i="32" s="1"/>
  <c r="BN279" i="32"/>
  <c r="BO279" i="32" s="1"/>
  <c r="BN270" i="32"/>
  <c r="BO270" i="32" s="1"/>
  <c r="BN134" i="32"/>
  <c r="BO134" i="32" s="1"/>
  <c r="BN590" i="32"/>
  <c r="BO590" i="32" s="1"/>
  <c r="BN406" i="32"/>
  <c r="BO406" i="32" s="1"/>
  <c r="BN244" i="32"/>
  <c r="BO244" i="32" s="1"/>
  <c r="BN21" i="32"/>
  <c r="BO21" i="32" s="1"/>
  <c r="BN93" i="32"/>
  <c r="BO93" i="32" s="1"/>
  <c r="BN391" i="32"/>
  <c r="BO391" i="32" s="1"/>
  <c r="BN301" i="32"/>
  <c r="BO301" i="32" s="1"/>
  <c r="BN543" i="32"/>
  <c r="BO543" i="32" s="1"/>
  <c r="BN263" i="32"/>
  <c r="BO263" i="32" s="1"/>
  <c r="BN389" i="32"/>
  <c r="BO389" i="32" s="1"/>
  <c r="BN110" i="32"/>
  <c r="BO110" i="32" s="1"/>
  <c r="BN349" i="32"/>
  <c r="BO349" i="32" s="1"/>
  <c r="BN214" i="32"/>
  <c r="BO214" i="32" s="1"/>
  <c r="BN539" i="32"/>
  <c r="BO539" i="32" s="1"/>
  <c r="BN231" i="32"/>
  <c r="BO231" i="32" s="1"/>
  <c r="BN197" i="32"/>
  <c r="BO197" i="32" s="1"/>
  <c r="BN510" i="32"/>
  <c r="BO510" i="32" s="1"/>
  <c r="BN166" i="32"/>
  <c r="BO166" i="32" s="1"/>
  <c r="BN196" i="32"/>
  <c r="BO196" i="32" s="1"/>
  <c r="BN222" i="32"/>
  <c r="BO222" i="32" s="1"/>
  <c r="BN69" i="32"/>
  <c r="BO69" i="32" s="1"/>
  <c r="BN157" i="32"/>
  <c r="BO157" i="32" s="1"/>
  <c r="BN420" i="32"/>
  <c r="BO420" i="32" s="1"/>
  <c r="BN591" i="32"/>
  <c r="BO591" i="32" s="1"/>
  <c r="BN477" i="32"/>
  <c r="BO477" i="32" s="1"/>
  <c r="BN438" i="32"/>
  <c r="BO438" i="32" s="1"/>
  <c r="BN582" i="32"/>
  <c r="BO582" i="32" s="1"/>
  <c r="BN311" i="32"/>
  <c r="BO311" i="32" s="1"/>
  <c r="BN319" i="32"/>
  <c r="BO319" i="32" s="1"/>
  <c r="BN503" i="32"/>
  <c r="BO503" i="32" s="1"/>
  <c r="BN455" i="32"/>
  <c r="BO455" i="32" s="1"/>
  <c r="BN358" i="32"/>
  <c r="BO358" i="32" s="1"/>
  <c r="BN526" i="32"/>
  <c r="BO526" i="32" s="1"/>
  <c r="BN599" i="32"/>
  <c r="BO599" i="32" s="1"/>
  <c r="BN430" i="32"/>
  <c r="BO430" i="32" s="1"/>
  <c r="BN583" i="32"/>
  <c r="BO583" i="32" s="1"/>
  <c r="BN559" i="32"/>
  <c r="BO559" i="32" s="1"/>
  <c r="BN495" i="32"/>
  <c r="BO495" i="32" s="1"/>
  <c r="BN535" i="32"/>
  <c r="BO535" i="32" s="1"/>
  <c r="BN335" i="32"/>
  <c r="BO335" i="32" s="1"/>
  <c r="BN471" i="32"/>
  <c r="BO471" i="32" s="1"/>
  <c r="BN470" i="32"/>
  <c r="BO470" i="32" s="1"/>
  <c r="BN487" i="32"/>
  <c r="BO487" i="32" s="1"/>
  <c r="I13" i="32"/>
  <c r="B22" i="32" s="1"/>
  <c r="B21" i="32"/>
  <c r="F407" i="32"/>
  <c r="F143" i="32"/>
  <c r="J143" i="32" s="1"/>
  <c r="M143" i="32" s="1"/>
  <c r="F227" i="32"/>
  <c r="J227" i="32" s="1"/>
  <c r="M227" i="32" s="1"/>
  <c r="F260" i="32"/>
  <c r="F131" i="32"/>
  <c r="F492" i="32"/>
  <c r="F272" i="32"/>
  <c r="F83" i="32"/>
  <c r="F311" i="32"/>
  <c r="F34" i="32"/>
  <c r="J34" i="32" s="1"/>
  <c r="M34" i="32" s="1"/>
  <c r="F39" i="32"/>
  <c r="F277" i="32"/>
  <c r="F155" i="32"/>
  <c r="F259" i="32"/>
  <c r="F625" i="32"/>
  <c r="F170" i="32"/>
  <c r="F323" i="32"/>
  <c r="F193" i="32"/>
  <c r="F126" i="32"/>
  <c r="F268" i="32"/>
  <c r="F392" i="32"/>
  <c r="J392" i="32" s="1"/>
  <c r="M392" i="32" s="1"/>
  <c r="F46" i="32"/>
  <c r="F624" i="32"/>
  <c r="F300" i="32"/>
  <c r="F529" i="32"/>
  <c r="F22" i="32"/>
  <c r="J22" i="32" s="1"/>
  <c r="M22" i="32" s="1"/>
  <c r="F89" i="32"/>
  <c r="F588" i="32"/>
  <c r="F355" i="32"/>
  <c r="F263" i="32"/>
  <c r="F472" i="32"/>
  <c r="F564" i="32"/>
  <c r="F514" i="32"/>
  <c r="F520" i="32"/>
  <c r="J520" i="32" s="1"/>
  <c r="M520" i="32" s="1"/>
  <c r="F347" i="32"/>
  <c r="F344" i="32"/>
  <c r="J344" i="32" s="1"/>
  <c r="M344" i="32" s="1"/>
  <c r="F475" i="32"/>
  <c r="F523" i="32"/>
  <c r="F234" i="32"/>
  <c r="F69" i="32"/>
  <c r="F455" i="32"/>
  <c r="F379" i="32"/>
  <c r="F436" i="32"/>
  <c r="F240" i="32"/>
  <c r="F590" i="32"/>
  <c r="F388" i="32"/>
  <c r="F558" i="32"/>
  <c r="J558" i="32" s="1"/>
  <c r="M558" i="32" s="1"/>
  <c r="F378" i="32"/>
  <c r="J378" i="32" s="1"/>
  <c r="M378" i="32" s="1"/>
  <c r="F222" i="32"/>
  <c r="F592" i="32"/>
  <c r="F118" i="32"/>
  <c r="F53" i="32"/>
  <c r="F141" i="32"/>
  <c r="F497" i="32"/>
  <c r="F408" i="32"/>
  <c r="J408" i="32" s="1"/>
  <c r="M408" i="32" s="1"/>
  <c r="F184" i="32"/>
  <c r="J184" i="32" s="1"/>
  <c r="M184" i="32" s="1"/>
  <c r="F549" i="32"/>
  <c r="F243" i="32"/>
  <c r="J243" i="32" s="1"/>
  <c r="M243" i="32" s="1"/>
  <c r="F133" i="32"/>
  <c r="F100" i="32"/>
  <c r="F165" i="32"/>
  <c r="F512" i="32"/>
  <c r="J512" i="32" s="1"/>
  <c r="M512" i="32" s="1"/>
  <c r="F386" i="32"/>
  <c r="J386" i="32" s="1"/>
  <c r="M386" i="32" s="1"/>
  <c r="F139" i="32"/>
  <c r="F410" i="32"/>
  <c r="J410" i="32" s="1"/>
  <c r="M410" i="32" s="1"/>
  <c r="F336" i="32"/>
  <c r="J336" i="32" s="1"/>
  <c r="M336" i="32" s="1"/>
  <c r="F395" i="32"/>
  <c r="F468" i="32"/>
  <c r="J468" i="32" s="1"/>
  <c r="M468" i="32" s="1"/>
  <c r="F40" i="32"/>
  <c r="J40" i="32" s="1"/>
  <c r="M40" i="32" s="1"/>
  <c r="F506" i="32"/>
  <c r="F569" i="32"/>
  <c r="F373" i="32"/>
  <c r="F607" i="32"/>
  <c r="F525" i="32"/>
  <c r="F361" i="32"/>
  <c r="F527" i="32"/>
  <c r="F445" i="32"/>
  <c r="J445" i="32" s="1"/>
  <c r="M445" i="32" s="1"/>
  <c r="F73" i="32"/>
  <c r="F152" i="32"/>
  <c r="J152" i="32" s="1"/>
  <c r="M152" i="32" s="1"/>
  <c r="F536" i="32"/>
  <c r="J536" i="32" s="1"/>
  <c r="M536" i="32" s="1"/>
  <c r="F252" i="32"/>
  <c r="F102" i="32"/>
  <c r="J102" i="32" s="1"/>
  <c r="M102" i="32" s="1"/>
  <c r="F231" i="32"/>
  <c r="F490" i="32"/>
  <c r="F90" i="32"/>
  <c r="J90" i="32" s="1"/>
  <c r="M90" i="32" s="1"/>
  <c r="F568" i="32"/>
  <c r="F174" i="32"/>
  <c r="F164" i="32"/>
  <c r="F242" i="32"/>
  <c r="J242" i="32" s="1"/>
  <c r="M242" i="32" s="1"/>
  <c r="F198" i="32"/>
  <c r="F426" i="32"/>
  <c r="J426" i="32" s="1"/>
  <c r="M426" i="32" s="1"/>
  <c r="F267" i="32"/>
  <c r="F488" i="32"/>
  <c r="J488" i="32" s="1"/>
  <c r="M488" i="32" s="1"/>
  <c r="F399" i="32"/>
  <c r="F270" i="32"/>
  <c r="F316" i="32"/>
  <c r="F112" i="32"/>
  <c r="F84" i="32"/>
  <c r="F124" i="32"/>
  <c r="F533" i="32"/>
  <c r="F337" i="32"/>
  <c r="F85" i="32"/>
  <c r="F521" i="32"/>
  <c r="F389" i="32"/>
  <c r="F585" i="32"/>
  <c r="F173" i="32"/>
  <c r="F60" i="32"/>
  <c r="F498" i="32"/>
  <c r="F115" i="32"/>
  <c r="F554" i="32"/>
  <c r="F66" i="32"/>
  <c r="F71" i="32"/>
  <c r="J71" i="32" s="1"/>
  <c r="M71" i="32" s="1"/>
  <c r="F456" i="32"/>
  <c r="F189" i="32"/>
  <c r="F382" i="32"/>
  <c r="F466" i="32"/>
  <c r="F402" i="32"/>
  <c r="J402" i="32" s="1"/>
  <c r="M402" i="32" s="1"/>
  <c r="F601" i="32"/>
  <c r="F125" i="32"/>
  <c r="F274" i="32"/>
  <c r="F613" i="32"/>
  <c r="F437" i="32"/>
  <c r="F539" i="32"/>
  <c r="F604" i="32"/>
  <c r="F425" i="32"/>
  <c r="F608" i="32"/>
  <c r="F509" i="32"/>
  <c r="F528" i="32"/>
  <c r="J528" i="32" s="1"/>
  <c r="M528" i="32" s="1"/>
  <c r="F116" i="32"/>
  <c r="F208" i="32"/>
  <c r="F203" i="32"/>
  <c r="F79" i="32"/>
  <c r="F304" i="32"/>
  <c r="F320" i="32"/>
  <c r="F67" i="32"/>
  <c r="F439" i="32"/>
  <c r="F151" i="32"/>
  <c r="J151" i="32" s="1"/>
  <c r="M151" i="32" s="1"/>
  <c r="F244" i="32"/>
  <c r="F302" i="32"/>
  <c r="F313" i="32"/>
  <c r="F380" i="32"/>
  <c r="F427" i="32"/>
  <c r="F567" i="32"/>
  <c r="F335" i="32"/>
  <c r="F385" i="32"/>
  <c r="F487" i="32"/>
  <c r="F372" i="32"/>
  <c r="J372" i="32" s="1"/>
  <c r="M372" i="32" s="1"/>
  <c r="F31" i="32"/>
  <c r="F464" i="32"/>
  <c r="F42" i="32"/>
  <c r="F41" i="32"/>
  <c r="F113" i="32"/>
  <c r="F398" i="32"/>
  <c r="F129" i="32"/>
  <c r="F114" i="32"/>
  <c r="J114" i="32" s="1"/>
  <c r="M114" i="32" s="1"/>
  <c r="F318" i="32"/>
  <c r="F150" i="32"/>
  <c r="F261" i="32"/>
  <c r="F575" i="32"/>
  <c r="F352" i="32"/>
  <c r="J352" i="32" s="1"/>
  <c r="M352" i="32" s="1"/>
  <c r="F43" i="32"/>
  <c r="F404" i="32"/>
  <c r="F299" i="32"/>
  <c r="F447" i="32"/>
  <c r="F314" i="32"/>
  <c r="F406" i="32"/>
  <c r="F97" i="32"/>
  <c r="F473" i="32"/>
  <c r="F576" i="32"/>
  <c r="F286" i="32"/>
  <c r="F429" i="32"/>
  <c r="F563" i="32"/>
  <c r="F545" i="32"/>
  <c r="F349" i="32"/>
  <c r="F136" i="32"/>
  <c r="J136" i="32" s="1"/>
  <c r="M136" i="32" s="1"/>
  <c r="F235" i="32"/>
  <c r="J235" i="32" s="1"/>
  <c r="M235" i="32" s="1"/>
  <c r="F26" i="32"/>
  <c r="F239" i="32"/>
  <c r="F430" i="32"/>
  <c r="F77" i="32"/>
  <c r="F158" i="32"/>
  <c r="F387" i="32"/>
  <c r="F188" i="32"/>
  <c r="F78" i="32"/>
  <c r="F192" i="32"/>
  <c r="J192" i="32" s="1"/>
  <c r="M192" i="32" s="1"/>
  <c r="F284" i="32"/>
  <c r="F365" i="32"/>
  <c r="F64" i="32"/>
  <c r="J64" i="32" s="1"/>
  <c r="M64" i="32" s="1"/>
  <c r="F276" i="32"/>
  <c r="F377" i="32"/>
  <c r="F479" i="32"/>
  <c r="F190" i="32"/>
  <c r="F333" i="32"/>
  <c r="F582" i="32"/>
  <c r="J582" i="32" s="1"/>
  <c r="M582" i="32" s="1"/>
  <c r="F449" i="32"/>
  <c r="F551" i="32"/>
  <c r="F495" i="32"/>
  <c r="F57" i="32"/>
  <c r="F20" i="32"/>
  <c r="F504" i="32"/>
  <c r="J504" i="32" s="1"/>
  <c r="M504" i="32" s="1"/>
  <c r="F166" i="32"/>
  <c r="F281" i="32"/>
  <c r="F319" i="32"/>
  <c r="F154" i="32"/>
  <c r="F91" i="32"/>
  <c r="F360" i="32"/>
  <c r="J360" i="32" s="1"/>
  <c r="M360" i="32" s="1"/>
  <c r="F92" i="32"/>
  <c r="F594" i="32"/>
  <c r="F262" i="32"/>
  <c r="F298" i="32"/>
  <c r="J298" i="32" s="1"/>
  <c r="M298" i="32" s="1"/>
  <c r="F534" i="32"/>
  <c r="F218" i="32"/>
  <c r="F578" i="32"/>
  <c r="F428" i="32"/>
  <c r="F454" i="32"/>
  <c r="F14" i="32"/>
  <c r="J14" i="32" s="1"/>
  <c r="M14" i="32" s="1"/>
  <c r="F432" i="32"/>
  <c r="J432" i="32" s="1"/>
  <c r="M432" i="32" s="1"/>
  <c r="F156" i="32"/>
  <c r="F577" i="32"/>
  <c r="F401" i="32"/>
  <c r="F45" i="32"/>
  <c r="F596" i="32"/>
  <c r="F453" i="32"/>
  <c r="J453" i="32" s="1"/>
  <c r="M453" i="32" s="1"/>
  <c r="F44" i="32"/>
  <c r="F168" i="32"/>
  <c r="J168" i="32" s="1"/>
  <c r="M168" i="32" s="1"/>
  <c r="F13" i="32"/>
  <c r="F104" i="32"/>
  <c r="J104" i="32" s="1"/>
  <c r="M104" i="32" s="1"/>
  <c r="F179" i="32"/>
  <c r="F334" i="32"/>
  <c r="F130" i="32"/>
  <c r="J130" i="32" s="1"/>
  <c r="M130" i="32" s="1"/>
  <c r="F135" i="32"/>
  <c r="J135" i="32" s="1"/>
  <c r="M135" i="32" s="1"/>
  <c r="F291" i="32"/>
  <c r="F448" i="32"/>
  <c r="F55" i="32"/>
  <c r="F132" i="32"/>
  <c r="F176" i="32"/>
  <c r="J176" i="32" s="1"/>
  <c r="M176" i="32" s="1"/>
  <c r="F515" i="32"/>
  <c r="F226" i="32"/>
  <c r="J226" i="32" s="1"/>
  <c r="M226" i="32" s="1"/>
  <c r="F480" i="32"/>
  <c r="J480" i="32" s="1"/>
  <c r="M480" i="32" s="1"/>
  <c r="F595" i="32"/>
  <c r="F214" i="32"/>
  <c r="F600" i="32"/>
  <c r="F303" i="32"/>
  <c r="F249" i="32"/>
  <c r="F251" i="32"/>
  <c r="F288" i="32"/>
  <c r="F217" i="32"/>
  <c r="F561" i="32"/>
  <c r="F257" i="32"/>
  <c r="F212" i="32"/>
  <c r="F593" i="32"/>
  <c r="F510" i="32"/>
  <c r="F33" i="32"/>
  <c r="F37" i="32"/>
  <c r="F191" i="32"/>
  <c r="J191" i="32" s="1"/>
  <c r="M191" i="32" s="1"/>
  <c r="F626" i="32"/>
  <c r="F457" i="32"/>
  <c r="F368" i="32"/>
  <c r="J368" i="32" s="1"/>
  <c r="M368" i="32" s="1"/>
  <c r="F117" i="32"/>
  <c r="F396" i="32"/>
  <c r="F438" i="32"/>
  <c r="F556" i="32"/>
  <c r="F282" i="32"/>
  <c r="J282" i="32" s="1"/>
  <c r="M282" i="32" s="1"/>
  <c r="F411" i="32"/>
  <c r="F491" i="32"/>
  <c r="F202" i="32"/>
  <c r="F216" i="32"/>
  <c r="F205" i="32"/>
  <c r="F359" i="32"/>
  <c r="F106" i="32"/>
  <c r="J106" i="32" s="1"/>
  <c r="M106" i="32" s="1"/>
  <c r="F248" i="32"/>
  <c r="F15" i="32"/>
  <c r="F62" i="32"/>
  <c r="J62" i="32" s="1"/>
  <c r="M62" i="32" s="1"/>
  <c r="F197" i="32"/>
  <c r="F178" i="32"/>
  <c r="F346" i="32"/>
  <c r="F328" i="32"/>
  <c r="F140" i="32"/>
  <c r="F431" i="32"/>
  <c r="F273" i="32"/>
  <c r="F107" i="32"/>
  <c r="F338" i="32"/>
  <c r="F241" i="32"/>
  <c r="F330" i="32"/>
  <c r="F351" i="32"/>
  <c r="F28" i="32"/>
  <c r="F414" i="32"/>
  <c r="F537" i="32"/>
  <c r="F341" i="32"/>
  <c r="F482" i="32"/>
  <c r="F493" i="32"/>
  <c r="F329" i="32"/>
  <c r="F589" i="32"/>
  <c r="F413" i="32"/>
  <c r="F484" i="32"/>
  <c r="F326" i="32"/>
  <c r="F172" i="32"/>
  <c r="F586" i="32"/>
  <c r="F70" i="32"/>
  <c r="J70" i="32" s="1"/>
  <c r="M70" i="32" s="1"/>
  <c r="F108" i="32"/>
  <c r="F296" i="32"/>
  <c r="F58" i="32"/>
  <c r="F403" i="32"/>
  <c r="F142" i="32"/>
  <c r="F17" i="32"/>
  <c r="F394" i="32"/>
  <c r="J394" i="32" s="1"/>
  <c r="M394" i="32" s="1"/>
  <c r="F526" i="32"/>
  <c r="F362" i="32"/>
  <c r="F591" i="32"/>
  <c r="F422" i="32"/>
  <c r="F324" i="32"/>
  <c r="F238" i="32"/>
  <c r="F518" i="32"/>
  <c r="F289" i="32"/>
  <c r="F366" i="32"/>
  <c r="F255" i="32"/>
  <c r="F501" i="32"/>
  <c r="F305" i="32"/>
  <c r="F423" i="32"/>
  <c r="F489" i="32"/>
  <c r="F357" i="32"/>
  <c r="F573" i="32"/>
  <c r="F440" i="32"/>
  <c r="J440" i="32" s="1"/>
  <c r="M440" i="32" s="1"/>
  <c r="F610" i="32"/>
  <c r="F210" i="32"/>
  <c r="F409" i="32"/>
  <c r="F499" i="32"/>
  <c r="F182" i="32"/>
  <c r="F54" i="32"/>
  <c r="J54" i="32" s="1"/>
  <c r="M54" i="32" s="1"/>
  <c r="F307" i="32"/>
  <c r="F560" i="32"/>
  <c r="J560" i="32" s="1"/>
  <c r="M560" i="32" s="1"/>
  <c r="F171" i="32"/>
  <c r="F474" i="32"/>
  <c r="F471" i="32"/>
  <c r="F459" i="32"/>
  <c r="F602" i="32"/>
  <c r="F219" i="32"/>
  <c r="J219" i="32" s="1"/>
  <c r="M219" i="32" s="1"/>
  <c r="F458" i="32"/>
  <c r="F109" i="32"/>
  <c r="F18" i="32"/>
  <c r="F465" i="32"/>
  <c r="F145" i="32"/>
  <c r="F16" i="32"/>
  <c r="J16" i="32" s="1"/>
  <c r="M16" i="32" s="1"/>
  <c r="F517" i="32"/>
  <c r="F391" i="32"/>
  <c r="F27" i="32"/>
  <c r="F400" i="32"/>
  <c r="F269" i="32"/>
  <c r="F384" i="32"/>
  <c r="J384" i="32" s="1"/>
  <c r="M384" i="32" s="1"/>
  <c r="F47" i="32"/>
  <c r="F213" i="32"/>
  <c r="F221" i="32"/>
  <c r="F35" i="32"/>
  <c r="F322" i="32"/>
  <c r="J322" i="32" s="1"/>
  <c r="M322" i="32" s="1"/>
  <c r="F119" i="32"/>
  <c r="F56" i="32"/>
  <c r="F224" i="32"/>
  <c r="F584" i="32"/>
  <c r="F290" i="32"/>
  <c r="J290" i="32" s="1"/>
  <c r="M290" i="32" s="1"/>
  <c r="F363" i="32"/>
  <c r="F535" i="32"/>
  <c r="F278" i="32"/>
  <c r="F353" i="32"/>
  <c r="F540" i="32"/>
  <c r="F127" i="32"/>
  <c r="F332" i="32"/>
  <c r="F137" i="32"/>
  <c r="F451" i="32"/>
  <c r="F605" i="32"/>
  <c r="F61" i="32"/>
  <c r="F275" i="32"/>
  <c r="F579" i="32"/>
  <c r="F82" i="32"/>
  <c r="J82" i="32" s="1"/>
  <c r="M82" i="32" s="1"/>
  <c r="F149" i="32"/>
  <c r="F181" i="32"/>
  <c r="F49" i="32"/>
  <c r="F452" i="32"/>
  <c r="F247" i="32"/>
  <c r="F467" i="32"/>
  <c r="F496" i="32"/>
  <c r="J496" i="32" s="1"/>
  <c r="M496" i="32" s="1"/>
  <c r="F215" i="32"/>
  <c r="J215" i="32" s="1"/>
  <c r="M215" i="32" s="1"/>
  <c r="F383" i="32"/>
  <c r="F209" i="32"/>
  <c r="F450" i="32"/>
  <c r="F148" i="32"/>
  <c r="F441" i="32"/>
  <c r="F543" i="32"/>
  <c r="F254" i="32"/>
  <c r="F397" i="32"/>
  <c r="F531" i="32"/>
  <c r="F513" i="32"/>
  <c r="F317" i="32"/>
  <c r="F287" i="32"/>
  <c r="F587" i="32"/>
  <c r="F225" i="32"/>
  <c r="F469" i="32"/>
  <c r="F325" i="32"/>
  <c r="F48" i="32"/>
  <c r="J48" i="32" s="1"/>
  <c r="M48" i="32" s="1"/>
  <c r="F315" i="32"/>
  <c r="F292" i="32"/>
  <c r="F111" i="32"/>
  <c r="F516" i="32"/>
  <c r="F570" i="32"/>
  <c r="F99" i="32"/>
  <c r="F356" i="32"/>
  <c r="J356" i="32" s="1"/>
  <c r="M356" i="32" s="1"/>
  <c r="F183" i="32"/>
  <c r="J183" i="32" s="1"/>
  <c r="M183" i="32" s="1"/>
  <c r="F548" i="32"/>
  <c r="F68" i="32"/>
  <c r="F581" i="32"/>
  <c r="F405" i="32"/>
  <c r="F507" i="32"/>
  <c r="F557" i="32"/>
  <c r="F393" i="32"/>
  <c r="F559" i="32"/>
  <c r="F477" i="32"/>
  <c r="F187" i="32"/>
  <c r="F159" i="32"/>
  <c r="J159" i="32" s="1"/>
  <c r="M159" i="32" s="1"/>
  <c r="F195" i="32"/>
  <c r="F371" i="32"/>
  <c r="F134" i="32"/>
  <c r="F204" i="32"/>
  <c r="F220" i="32"/>
  <c r="F122" i="32"/>
  <c r="J122" i="32" s="1"/>
  <c r="M122" i="32" s="1"/>
  <c r="F59" i="32"/>
  <c r="F245" i="32"/>
  <c r="F96" i="32"/>
  <c r="J96" i="32" s="1"/>
  <c r="M96" i="32" s="1"/>
  <c r="F101" i="32"/>
  <c r="F230" i="32"/>
  <c r="F486" i="32"/>
  <c r="J486" i="32" s="1"/>
  <c r="M486" i="32" s="1"/>
  <c r="F375" i="32"/>
  <c r="F186" i="32"/>
  <c r="F463" i="32"/>
  <c r="F312" i="32"/>
  <c r="F390" i="32"/>
  <c r="F500" i="32"/>
  <c r="F144" i="32"/>
  <c r="J144" i="32" s="1"/>
  <c r="M144" i="32" s="1"/>
  <c r="F434" i="32"/>
  <c r="J434" i="32" s="1"/>
  <c r="M434" i="32" s="1"/>
  <c r="F511" i="32"/>
  <c r="F481" i="32"/>
  <c r="F444" i="32"/>
  <c r="F93" i="32"/>
  <c r="F51" i="32"/>
  <c r="F232" i="32"/>
  <c r="F419" i="32"/>
  <c r="F446" i="32"/>
  <c r="F200" i="32"/>
  <c r="F123" i="32"/>
  <c r="F611" i="32"/>
  <c r="F256" i="32"/>
  <c r="F340" i="32"/>
  <c r="F345" i="32"/>
  <c r="F508" i="32"/>
  <c r="F494" i="32"/>
  <c r="F301" i="32"/>
  <c r="F460" i="32"/>
  <c r="J460" i="32" s="1"/>
  <c r="M460" i="32" s="1"/>
  <c r="F417" i="32"/>
  <c r="F519" i="32"/>
  <c r="F470" i="32"/>
  <c r="J470" i="32" s="1"/>
  <c r="M470" i="32" s="1"/>
  <c r="F180" i="32"/>
  <c r="F177" i="32"/>
  <c r="F74" i="32"/>
  <c r="F121" i="32"/>
  <c r="F295" i="32"/>
  <c r="F599" i="32"/>
  <c r="F76" i="32"/>
  <c r="F146" i="32"/>
  <c r="F236" i="32"/>
  <c r="F63" i="32"/>
  <c r="F19" i="32"/>
  <c r="F367" i="32"/>
  <c r="F196" i="32"/>
  <c r="F75" i="32"/>
  <c r="F530" i="32"/>
  <c r="F532" i="32"/>
  <c r="F544" i="32"/>
  <c r="J544" i="32" s="1"/>
  <c r="M544" i="32" s="1"/>
  <c r="F418" i="32"/>
  <c r="J418" i="32" s="1"/>
  <c r="M418" i="32" s="1"/>
  <c r="F572" i="32"/>
  <c r="F86" i="32"/>
  <c r="J86" i="32" s="1"/>
  <c r="M86" i="32" s="1"/>
  <c r="F505" i="32"/>
  <c r="F309" i="32"/>
  <c r="F364" i="32"/>
  <c r="F461" i="32"/>
  <c r="J461" i="32" s="1"/>
  <c r="M461" i="32" s="1"/>
  <c r="F297" i="32"/>
  <c r="F580" i="32"/>
  <c r="F381" i="32"/>
  <c r="F308" i="32"/>
  <c r="F550" i="32"/>
  <c r="F120" i="32"/>
  <c r="J120" i="32" s="1"/>
  <c r="M120" i="32" s="1"/>
  <c r="F350" i="32"/>
  <c r="J350" i="32" s="1"/>
  <c r="M350" i="32" s="1"/>
  <c r="F38" i="32"/>
  <c r="J38" i="32" s="1"/>
  <c r="M38" i="32" s="1"/>
  <c r="F29" i="32"/>
  <c r="F207" i="32"/>
  <c r="F574" i="32"/>
  <c r="J574" i="32" s="1"/>
  <c r="M574" i="32" s="1"/>
  <c r="F265" i="32"/>
  <c r="F110" i="32"/>
  <c r="F424" i="32"/>
  <c r="J424" i="32" s="1"/>
  <c r="M424" i="32" s="1"/>
  <c r="F285" i="32"/>
  <c r="F443" i="32"/>
  <c r="F562" i="32"/>
  <c r="F343" i="32"/>
  <c r="F358" i="32"/>
  <c r="J358" i="32" s="1"/>
  <c r="M358" i="32" s="1"/>
  <c r="F524" i="32"/>
  <c r="F206" i="32"/>
  <c r="F442" i="32"/>
  <c r="J442" i="32" s="1"/>
  <c r="M442" i="32" s="1"/>
  <c r="F105" i="32"/>
  <c r="F80" i="32"/>
  <c r="J80" i="32" s="1"/>
  <c r="M80" i="32" s="1"/>
  <c r="F598" i="32"/>
  <c r="J598" i="32" s="1"/>
  <c r="M598" i="32" s="1"/>
  <c r="F211" i="32"/>
  <c r="F294" i="32"/>
  <c r="F21" i="32"/>
  <c r="F502" i="32"/>
  <c r="F228" i="32"/>
  <c r="F603" i="32"/>
  <c r="F412" i="32"/>
  <c r="F331" i="32"/>
  <c r="F169" i="32"/>
  <c r="F199" i="32"/>
  <c r="F354" i="32"/>
  <c r="F95" i="32"/>
  <c r="F88" i="32"/>
  <c r="J88" i="32" s="1"/>
  <c r="M88" i="32" s="1"/>
  <c r="F374" i="32"/>
  <c r="F566" i="32"/>
  <c r="J566" i="32" s="1"/>
  <c r="M566" i="32" s="1"/>
  <c r="F310" i="32"/>
  <c r="F87" i="32"/>
  <c r="F237" i="32"/>
  <c r="F36" i="32"/>
  <c r="F233" i="32"/>
  <c r="F279" i="32"/>
  <c r="F483" i="32"/>
  <c r="F606" i="32"/>
  <c r="J606" i="32" s="1"/>
  <c r="M606" i="32" s="1"/>
  <c r="F293" i="32"/>
  <c r="F94" i="32"/>
  <c r="F420" i="32"/>
  <c r="F609" i="32"/>
  <c r="F376" i="32"/>
  <c r="F538" i="32"/>
  <c r="F503" i="32"/>
  <c r="F271" i="32"/>
  <c r="F612" i="32"/>
  <c r="F50" i="32"/>
  <c r="F342" i="32"/>
  <c r="J342" i="32" s="1"/>
  <c r="M342" i="32" s="1"/>
  <c r="F163" i="32"/>
  <c r="F23" i="32"/>
  <c r="F571" i="32"/>
  <c r="F583" i="32"/>
  <c r="F250" i="32"/>
  <c r="F433" i="32"/>
  <c r="F253" i="32"/>
  <c r="F24" i="32"/>
  <c r="J24" i="32" s="1"/>
  <c r="M24" i="32" s="1"/>
  <c r="F553" i="32"/>
  <c r="F223" i="32"/>
  <c r="J223" i="32" s="1"/>
  <c r="M223" i="32" s="1"/>
  <c r="F98" i="32"/>
  <c r="F542" i="32"/>
  <c r="F194" i="32"/>
  <c r="F555" i="32"/>
  <c r="F72" i="32"/>
  <c r="J72" i="32" s="1"/>
  <c r="M72" i="32" s="1"/>
  <c r="F541" i="32"/>
  <c r="F264" i="32"/>
  <c r="F348" i="32"/>
  <c r="J348" i="32" s="1"/>
  <c r="M348" i="32" s="1"/>
  <c r="F522" i="32"/>
  <c r="F478" i="32"/>
  <c r="J478" i="32" s="1"/>
  <c r="M478" i="32" s="1"/>
  <c r="F547" i="32"/>
  <c r="F246" i="32"/>
  <c r="F81" i="32"/>
  <c r="F128" i="32"/>
  <c r="J128" i="32" s="1"/>
  <c r="M128" i="32" s="1"/>
  <c r="F30" i="32"/>
  <c r="J30" i="32" s="1"/>
  <c r="M30" i="32" s="1"/>
  <c r="F175" i="32"/>
  <c r="J175" i="32" s="1"/>
  <c r="M175" i="32" s="1"/>
  <c r="F306" i="32"/>
  <c r="J306" i="32" s="1"/>
  <c r="M306" i="32" s="1"/>
  <c r="F153" i="32"/>
  <c r="F462" i="32"/>
  <c r="F546" i="32"/>
  <c r="F597" i="32"/>
  <c r="F162" i="32"/>
  <c r="F565" i="32"/>
  <c r="F421" i="32"/>
  <c r="F32" i="32"/>
  <c r="J32" i="32" s="1"/>
  <c r="M32" i="32" s="1"/>
  <c r="F103" i="32"/>
  <c r="F25" i="32"/>
  <c r="F415" i="32"/>
  <c r="F266" i="32"/>
  <c r="J266" i="32" s="1"/>
  <c r="M266" i="32" s="1"/>
  <c r="F161" i="32"/>
  <c r="F339" i="32"/>
  <c r="F552" i="32"/>
  <c r="J552" i="32" s="1"/>
  <c r="M552" i="32" s="1"/>
  <c r="F485" i="32"/>
  <c r="F167" i="32"/>
  <c r="J167" i="32" s="1"/>
  <c r="M167" i="32" s="1"/>
  <c r="F258" i="32"/>
  <c r="J258" i="32" s="1"/>
  <c r="M258" i="32" s="1"/>
  <c r="F321" i="32"/>
  <c r="F52" i="32"/>
  <c r="F185" i="32"/>
  <c r="F229" i="32"/>
  <c r="F327" i="32"/>
  <c r="F416" i="32"/>
  <c r="J416" i="32" s="1"/>
  <c r="M416" i="32" s="1"/>
  <c r="F138" i="32"/>
  <c r="F283" i="32"/>
  <c r="F157" i="32"/>
  <c r="F160" i="32"/>
  <c r="F435" i="32"/>
  <c r="F369" i="32"/>
  <c r="F65" i="32"/>
  <c r="F147" i="32"/>
  <c r="F201" i="32"/>
  <c r="F370" i="32"/>
  <c r="J370" i="32" s="1"/>
  <c r="M370" i="32" s="1"/>
  <c r="F476" i="32"/>
  <c r="F280" i="32"/>
  <c r="F623" i="32"/>
  <c r="F622" i="32"/>
  <c r="F628" i="32"/>
  <c r="F629" i="32"/>
  <c r="F627" i="32"/>
  <c r="AI617" i="31"/>
  <c r="AH620" i="31"/>
  <c r="AI620" i="31" s="1"/>
  <c r="AH619" i="31"/>
  <c r="AI619" i="31" s="1"/>
  <c r="BO9" i="32" l="1"/>
  <c r="BO8" i="32"/>
  <c r="N606" i="32"/>
  <c r="S606" i="32"/>
  <c r="BE606" i="32"/>
  <c r="BF606" i="32"/>
  <c r="J629" i="32"/>
  <c r="M629" i="32" s="1"/>
  <c r="J147" i="32"/>
  <c r="M147" i="32" s="1"/>
  <c r="J485" i="32"/>
  <c r="M485" i="32" s="1"/>
  <c r="J65" i="32"/>
  <c r="M65" i="32" s="1"/>
  <c r="J421" i="32"/>
  <c r="M421" i="32" s="1"/>
  <c r="N348" i="32"/>
  <c r="S348" i="32"/>
  <c r="BE348" i="32"/>
  <c r="BF348" i="32"/>
  <c r="J23" i="32"/>
  <c r="M23" i="32" s="1"/>
  <c r="J233" i="32"/>
  <c r="M233" i="32" s="1"/>
  <c r="J502" i="32"/>
  <c r="M502" i="32" s="1"/>
  <c r="S460" i="32"/>
  <c r="N460" i="32"/>
  <c r="BE460" i="32"/>
  <c r="BF460" i="32"/>
  <c r="J622" i="32"/>
  <c r="M622" i="32" s="1"/>
  <c r="J369" i="32"/>
  <c r="M369" i="32" s="1"/>
  <c r="J229" i="32"/>
  <c r="M229" i="32" s="1"/>
  <c r="J339" i="32"/>
  <c r="M339" i="32" s="1"/>
  <c r="J565" i="32"/>
  <c r="M565" i="32" s="1"/>
  <c r="N30" i="32"/>
  <c r="S30" i="32"/>
  <c r="BE30" i="32"/>
  <c r="BF30" i="32"/>
  <c r="J264" i="32"/>
  <c r="M264" i="32" s="1"/>
  <c r="J553" i="32"/>
  <c r="M553" i="32" s="1"/>
  <c r="J163" i="32"/>
  <c r="M163" i="32" s="1"/>
  <c r="J609" i="32"/>
  <c r="M609" i="32" s="1"/>
  <c r="J36" i="32"/>
  <c r="M36" i="32" s="1"/>
  <c r="J354" i="32"/>
  <c r="M354" i="32" s="1"/>
  <c r="J21" i="32"/>
  <c r="M21" i="32" s="1"/>
  <c r="J524" i="32"/>
  <c r="M524" i="32" s="1"/>
  <c r="J265" i="32"/>
  <c r="M265" i="32" s="1"/>
  <c r="J308" i="32"/>
  <c r="M308" i="32" s="1"/>
  <c r="N86" i="32"/>
  <c r="S86" i="32"/>
  <c r="BE86" i="32"/>
  <c r="BF86" i="32"/>
  <c r="J367" i="32"/>
  <c r="M367" i="32" s="1"/>
  <c r="J121" i="32"/>
  <c r="M121" i="32" s="1"/>
  <c r="J301" i="32"/>
  <c r="M301" i="32" s="1"/>
  <c r="J200" i="32"/>
  <c r="M200" i="32" s="1"/>
  <c r="J511" i="32"/>
  <c r="M511" i="32" s="1"/>
  <c r="J375" i="32"/>
  <c r="M375" i="32" s="1"/>
  <c r="J220" i="32"/>
  <c r="M220" i="32" s="1"/>
  <c r="J559" i="32"/>
  <c r="M559" i="32" s="1"/>
  <c r="N183" i="32"/>
  <c r="S183" i="32"/>
  <c r="BF183" i="32"/>
  <c r="BE183" i="32"/>
  <c r="N48" i="32"/>
  <c r="S48" i="32"/>
  <c r="BE48" i="32"/>
  <c r="BF48" i="32"/>
  <c r="J531" i="32"/>
  <c r="M531" i="32" s="1"/>
  <c r="J383" i="32"/>
  <c r="M383" i="32" s="1"/>
  <c r="J149" i="32"/>
  <c r="M149" i="32" s="1"/>
  <c r="J332" i="32"/>
  <c r="M332" i="32" s="1"/>
  <c r="J584" i="32"/>
  <c r="M584" i="32" s="1"/>
  <c r="J47" i="32"/>
  <c r="M47" i="32" s="1"/>
  <c r="J145" i="32"/>
  <c r="M145" i="32" s="1"/>
  <c r="J471" i="32"/>
  <c r="M471" i="32" s="1"/>
  <c r="J409" i="32"/>
  <c r="M409" i="32" s="1"/>
  <c r="J305" i="32"/>
  <c r="M305" i="32" s="1"/>
  <c r="J422" i="32"/>
  <c r="M422" i="32" s="1"/>
  <c r="J58" i="32"/>
  <c r="M58" i="32" s="1"/>
  <c r="J413" i="32"/>
  <c r="M413" i="32" s="1"/>
  <c r="J28" i="32"/>
  <c r="M28" i="32" s="1"/>
  <c r="J140" i="32"/>
  <c r="M140" i="32" s="1"/>
  <c r="N106" i="32"/>
  <c r="S106" i="32"/>
  <c r="BE106" i="32"/>
  <c r="BF106" i="32"/>
  <c r="J556" i="32"/>
  <c r="M556" i="32" s="1"/>
  <c r="J37" i="32"/>
  <c r="M37" i="32" s="1"/>
  <c r="J288" i="32"/>
  <c r="M288" i="32" s="1"/>
  <c r="N226" i="32"/>
  <c r="S226" i="32"/>
  <c r="BE226" i="32"/>
  <c r="BF226" i="32"/>
  <c r="N130" i="32"/>
  <c r="S130" i="32"/>
  <c r="BF130" i="32"/>
  <c r="BE130" i="32"/>
  <c r="J596" i="32"/>
  <c r="M596" i="32" s="1"/>
  <c r="J428" i="32"/>
  <c r="M428" i="32" s="1"/>
  <c r="N360" i="32"/>
  <c r="S360" i="32"/>
  <c r="BE360" i="32"/>
  <c r="BF360" i="32"/>
  <c r="J57" i="32"/>
  <c r="M57" i="32" s="1"/>
  <c r="J377" i="32"/>
  <c r="M377" i="32" s="1"/>
  <c r="J387" i="32"/>
  <c r="M387" i="32" s="1"/>
  <c r="J349" i="32"/>
  <c r="M349" i="32" s="1"/>
  <c r="J406" i="32"/>
  <c r="M406" i="32" s="1"/>
  <c r="J261" i="32"/>
  <c r="M261" i="32" s="1"/>
  <c r="J42" i="32"/>
  <c r="M42" i="32" s="1"/>
  <c r="J427" i="32"/>
  <c r="M427" i="32" s="1"/>
  <c r="J320" i="32"/>
  <c r="M320" i="32" s="1"/>
  <c r="J608" i="32"/>
  <c r="M608" i="32" s="1"/>
  <c r="J601" i="32"/>
  <c r="M601" i="32" s="1"/>
  <c r="J554" i="32"/>
  <c r="M554" i="32" s="1"/>
  <c r="J85" i="32"/>
  <c r="M85" i="32" s="1"/>
  <c r="J399" i="32"/>
  <c r="M399" i="32" s="1"/>
  <c r="J568" i="32"/>
  <c r="M568" i="32" s="1"/>
  <c r="J73" i="32"/>
  <c r="M73" i="32" s="1"/>
  <c r="J506" i="32"/>
  <c r="M506" i="32" s="1"/>
  <c r="N512" i="32"/>
  <c r="S512" i="32"/>
  <c r="BE512" i="32"/>
  <c r="BF512" i="32"/>
  <c r="J497" i="32"/>
  <c r="M497" i="32" s="1"/>
  <c r="J388" i="32"/>
  <c r="M388" i="32" s="1"/>
  <c r="J523" i="32"/>
  <c r="M523" i="32" s="1"/>
  <c r="J263" i="32"/>
  <c r="M263" i="32" s="1"/>
  <c r="J46" i="32"/>
  <c r="M46" i="32" s="1"/>
  <c r="J259" i="32"/>
  <c r="M259" i="32" s="1"/>
  <c r="J492" i="32"/>
  <c r="M492" i="32" s="1"/>
  <c r="J25" i="32"/>
  <c r="M25" i="32" s="1"/>
  <c r="N416" i="32"/>
  <c r="S416" i="32"/>
  <c r="BE416" i="32"/>
  <c r="BF416" i="32"/>
  <c r="J628" i="32"/>
  <c r="M628" i="32" s="1"/>
  <c r="J623" i="32"/>
  <c r="M623" i="32" s="1"/>
  <c r="N128" i="32"/>
  <c r="S128" i="32"/>
  <c r="BE128" i="32"/>
  <c r="BF128" i="32"/>
  <c r="J541" i="32"/>
  <c r="M541" i="32" s="1"/>
  <c r="N358" i="32"/>
  <c r="S358" i="32"/>
  <c r="BE358" i="32"/>
  <c r="BF358" i="32"/>
  <c r="N574" i="32"/>
  <c r="S574" i="32"/>
  <c r="BE574" i="32"/>
  <c r="BF574" i="32"/>
  <c r="J381" i="32"/>
  <c r="M381" i="32" s="1"/>
  <c r="J572" i="32"/>
  <c r="M572" i="32" s="1"/>
  <c r="J19" i="32"/>
  <c r="M19" i="32" s="1"/>
  <c r="J74" i="32"/>
  <c r="M74" i="32" s="1"/>
  <c r="J494" i="32"/>
  <c r="M494" i="32" s="1"/>
  <c r="J446" i="32"/>
  <c r="M446" i="32" s="1"/>
  <c r="S434" i="32"/>
  <c r="N434" i="32"/>
  <c r="BE434" i="32"/>
  <c r="BF434" i="32"/>
  <c r="N486" i="32"/>
  <c r="S486" i="32"/>
  <c r="BE486" i="32"/>
  <c r="BF486" i="32"/>
  <c r="J204" i="32"/>
  <c r="M204" i="32" s="1"/>
  <c r="J393" i="32"/>
  <c r="M393" i="32" s="1"/>
  <c r="N356" i="32"/>
  <c r="S356" i="32"/>
  <c r="BE356" i="32"/>
  <c r="BF356" i="32"/>
  <c r="J325" i="32"/>
  <c r="M325" i="32" s="1"/>
  <c r="J397" i="32"/>
  <c r="M397" i="32" s="1"/>
  <c r="N215" i="32"/>
  <c r="S215" i="32"/>
  <c r="BE215" i="32"/>
  <c r="BF215" i="32"/>
  <c r="N82" i="32"/>
  <c r="S82" i="32"/>
  <c r="BE82" i="32"/>
  <c r="BF82" i="32"/>
  <c r="J127" i="32"/>
  <c r="M127" i="32" s="1"/>
  <c r="J224" i="32"/>
  <c r="M224" i="32" s="1"/>
  <c r="S384" i="32"/>
  <c r="N384" i="32"/>
  <c r="BF384" i="32"/>
  <c r="BE384" i="32"/>
  <c r="J465" i="32"/>
  <c r="M465" i="32" s="1"/>
  <c r="J474" i="32"/>
  <c r="M474" i="32" s="1"/>
  <c r="J210" i="32"/>
  <c r="M210" i="32" s="1"/>
  <c r="J501" i="32"/>
  <c r="M501" i="32" s="1"/>
  <c r="J591" i="32"/>
  <c r="M591" i="32" s="1"/>
  <c r="J296" i="32"/>
  <c r="M296" i="32" s="1"/>
  <c r="J589" i="32"/>
  <c r="M589" i="32" s="1"/>
  <c r="J351" i="32"/>
  <c r="M351" i="32" s="1"/>
  <c r="J328" i="32"/>
  <c r="M328" i="32" s="1"/>
  <c r="J359" i="32"/>
  <c r="M359" i="32" s="1"/>
  <c r="J438" i="32"/>
  <c r="M438" i="32" s="1"/>
  <c r="J33" i="32"/>
  <c r="M33" i="32" s="1"/>
  <c r="J251" i="32"/>
  <c r="M251" i="32" s="1"/>
  <c r="J515" i="32"/>
  <c r="M515" i="32" s="1"/>
  <c r="J334" i="32"/>
  <c r="M334" i="32" s="1"/>
  <c r="J45" i="32"/>
  <c r="M45" i="32" s="1"/>
  <c r="J578" i="32"/>
  <c r="M578" i="32" s="1"/>
  <c r="J91" i="32"/>
  <c r="M91" i="32" s="1"/>
  <c r="J495" i="32"/>
  <c r="M495" i="32" s="1"/>
  <c r="J276" i="32"/>
  <c r="M276" i="32" s="1"/>
  <c r="J158" i="32"/>
  <c r="M158" i="32" s="1"/>
  <c r="J545" i="32"/>
  <c r="M545" i="32" s="1"/>
  <c r="J314" i="32"/>
  <c r="M314" i="32" s="1"/>
  <c r="J150" i="32"/>
  <c r="M150" i="32" s="1"/>
  <c r="J464" i="32"/>
  <c r="M464" i="32" s="1"/>
  <c r="J380" i="32"/>
  <c r="M380" i="32" s="1"/>
  <c r="J304" i="32"/>
  <c r="M304" i="32" s="1"/>
  <c r="J425" i="32"/>
  <c r="M425" i="32" s="1"/>
  <c r="N402" i="32"/>
  <c r="S402" i="32"/>
  <c r="BF402" i="32"/>
  <c r="BE402" i="32"/>
  <c r="J115" i="32"/>
  <c r="M115" i="32" s="1"/>
  <c r="J337" i="32"/>
  <c r="M337" i="32" s="1"/>
  <c r="N488" i="32"/>
  <c r="S488" i="32"/>
  <c r="BE488" i="32"/>
  <c r="BF488" i="32"/>
  <c r="N90" i="32"/>
  <c r="S90" i="32"/>
  <c r="BE90" i="32"/>
  <c r="BF90" i="32"/>
  <c r="N445" i="32"/>
  <c r="S445" i="32"/>
  <c r="BF445" i="32"/>
  <c r="BE445" i="32"/>
  <c r="N40" i="32"/>
  <c r="S40" i="32"/>
  <c r="BE40" i="32"/>
  <c r="BF40" i="32"/>
  <c r="J165" i="32"/>
  <c r="M165" i="32" s="1"/>
  <c r="J141" i="32"/>
  <c r="M141" i="32" s="1"/>
  <c r="J590" i="32"/>
  <c r="M590" i="32" s="1"/>
  <c r="J475" i="32"/>
  <c r="M475" i="32" s="1"/>
  <c r="J355" i="32"/>
  <c r="M355" i="32" s="1"/>
  <c r="N392" i="32"/>
  <c r="S392" i="32"/>
  <c r="BE392" i="32"/>
  <c r="BF392" i="32"/>
  <c r="J155" i="32"/>
  <c r="M155" i="32" s="1"/>
  <c r="J131" i="32"/>
  <c r="M131" i="32" s="1"/>
  <c r="J462" i="32"/>
  <c r="M462" i="32" s="1"/>
  <c r="N32" i="32"/>
  <c r="S32" i="32"/>
  <c r="BE32" i="32"/>
  <c r="BF32" i="32"/>
  <c r="J327" i="32"/>
  <c r="M327" i="32" s="1"/>
  <c r="J435" i="32"/>
  <c r="M435" i="32" s="1"/>
  <c r="J161" i="32"/>
  <c r="M161" i="32" s="1"/>
  <c r="N24" i="32"/>
  <c r="S24" i="32"/>
  <c r="BE24" i="32"/>
  <c r="BF24" i="32"/>
  <c r="J420" i="32"/>
  <c r="M420" i="32" s="1"/>
  <c r="J294" i="32"/>
  <c r="M294" i="32" s="1"/>
  <c r="J280" i="32"/>
  <c r="M280" i="32" s="1"/>
  <c r="J160" i="32"/>
  <c r="M160" i="32" s="1"/>
  <c r="J52" i="32"/>
  <c r="M52" i="32" s="1"/>
  <c r="N266" i="32"/>
  <c r="S266" i="32"/>
  <c r="BE266" i="32"/>
  <c r="BF266" i="32"/>
  <c r="J597" i="32"/>
  <c r="M597" i="32" s="1"/>
  <c r="J81" i="32"/>
  <c r="M81" i="32" s="1"/>
  <c r="N72" i="32"/>
  <c r="S72" i="32"/>
  <c r="BE72" i="32"/>
  <c r="BF72" i="32"/>
  <c r="J253" i="32"/>
  <c r="M253" i="32" s="1"/>
  <c r="J50" i="32"/>
  <c r="M50" i="32" s="1"/>
  <c r="J94" i="32"/>
  <c r="M94" i="32" s="1"/>
  <c r="J87" i="32"/>
  <c r="M87" i="32" s="1"/>
  <c r="J169" i="32"/>
  <c r="M169" i="32" s="1"/>
  <c r="J211" i="32"/>
  <c r="M211" i="32" s="1"/>
  <c r="J343" i="32"/>
  <c r="M343" i="32" s="1"/>
  <c r="J207" i="32"/>
  <c r="M207" i="32" s="1"/>
  <c r="J580" i="32"/>
  <c r="M580" i="32" s="1"/>
  <c r="N418" i="32"/>
  <c r="S418" i="32"/>
  <c r="BE418" i="32"/>
  <c r="BF418" i="32"/>
  <c r="J63" i="32"/>
  <c r="M63" i="32" s="1"/>
  <c r="J177" i="32"/>
  <c r="M177" i="32" s="1"/>
  <c r="J508" i="32"/>
  <c r="M508" i="32" s="1"/>
  <c r="J419" i="32"/>
  <c r="M419" i="32" s="1"/>
  <c r="N144" i="32"/>
  <c r="S144" i="32"/>
  <c r="BE144" i="32"/>
  <c r="BF144" i="32"/>
  <c r="J230" i="32"/>
  <c r="M230" i="32" s="1"/>
  <c r="J134" i="32"/>
  <c r="M134" i="32" s="1"/>
  <c r="J557" i="32"/>
  <c r="M557" i="32" s="1"/>
  <c r="J99" i="32"/>
  <c r="M99" i="32" s="1"/>
  <c r="J469" i="32"/>
  <c r="M469" i="32" s="1"/>
  <c r="J254" i="32"/>
  <c r="M254" i="32" s="1"/>
  <c r="N496" i="32"/>
  <c r="S496" i="32"/>
  <c r="BE496" i="32"/>
  <c r="BF496" i="32"/>
  <c r="J579" i="32"/>
  <c r="M579" i="32" s="1"/>
  <c r="J540" i="32"/>
  <c r="M540" i="32" s="1"/>
  <c r="J56" i="32"/>
  <c r="M56" i="32" s="1"/>
  <c r="J269" i="32"/>
  <c r="M269" i="32" s="1"/>
  <c r="J18" i="32"/>
  <c r="M18" i="32" s="1"/>
  <c r="J171" i="32"/>
  <c r="M171" i="32" s="1"/>
  <c r="J610" i="32"/>
  <c r="M610" i="32" s="1"/>
  <c r="J255" i="32"/>
  <c r="M255" i="32" s="1"/>
  <c r="J362" i="32"/>
  <c r="M362" i="32" s="1"/>
  <c r="J108" i="32"/>
  <c r="M108" i="32" s="1"/>
  <c r="J329" i="32"/>
  <c r="M329" i="32" s="1"/>
  <c r="J330" i="32"/>
  <c r="M330" i="32" s="1"/>
  <c r="J346" i="32"/>
  <c r="M346" i="32" s="1"/>
  <c r="J205" i="32"/>
  <c r="M205" i="32" s="1"/>
  <c r="J396" i="32"/>
  <c r="M396" i="32" s="1"/>
  <c r="J510" i="32"/>
  <c r="M510" i="32" s="1"/>
  <c r="J249" i="32"/>
  <c r="M249" i="32" s="1"/>
  <c r="N176" i="32"/>
  <c r="S176" i="32"/>
  <c r="BE176" i="32"/>
  <c r="BF176" i="32"/>
  <c r="J179" i="32"/>
  <c r="M179" i="32" s="1"/>
  <c r="J401" i="32"/>
  <c r="M401" i="32" s="1"/>
  <c r="J218" i="32"/>
  <c r="M218" i="32" s="1"/>
  <c r="J154" i="32"/>
  <c r="M154" i="32" s="1"/>
  <c r="J551" i="32"/>
  <c r="M551" i="32" s="1"/>
  <c r="N64" i="32"/>
  <c r="S64" i="32"/>
  <c r="BF64" i="32"/>
  <c r="BE64" i="32"/>
  <c r="J77" i="32"/>
  <c r="M77" i="32" s="1"/>
  <c r="J563" i="32"/>
  <c r="M563" i="32" s="1"/>
  <c r="J447" i="32"/>
  <c r="M447" i="32" s="1"/>
  <c r="J318" i="32"/>
  <c r="M318" i="32" s="1"/>
  <c r="J31" i="32"/>
  <c r="M31" i="32" s="1"/>
  <c r="J313" i="32"/>
  <c r="M313" i="32" s="1"/>
  <c r="J79" i="32"/>
  <c r="M79" i="32" s="1"/>
  <c r="J604" i="32"/>
  <c r="M604" i="32" s="1"/>
  <c r="J466" i="32"/>
  <c r="M466" i="32" s="1"/>
  <c r="J498" i="32"/>
  <c r="M498" i="32" s="1"/>
  <c r="J533" i="32"/>
  <c r="M533" i="32" s="1"/>
  <c r="J267" i="32"/>
  <c r="M267" i="32" s="1"/>
  <c r="J490" i="32"/>
  <c r="M490" i="32" s="1"/>
  <c r="J527" i="32"/>
  <c r="M527" i="32" s="1"/>
  <c r="N468" i="32"/>
  <c r="S468" i="32"/>
  <c r="BE468" i="32"/>
  <c r="BF468" i="32"/>
  <c r="J100" i="32"/>
  <c r="M100" i="32" s="1"/>
  <c r="J53" i="32"/>
  <c r="M53" i="32" s="1"/>
  <c r="J240" i="32"/>
  <c r="M240" i="32" s="1"/>
  <c r="N344" i="32"/>
  <c r="S344" i="32"/>
  <c r="BE344" i="32"/>
  <c r="BF344" i="32"/>
  <c r="J588" i="32"/>
  <c r="M588" i="32" s="1"/>
  <c r="J268" i="32"/>
  <c r="M268" i="32" s="1"/>
  <c r="J277" i="32"/>
  <c r="M277" i="32" s="1"/>
  <c r="J260" i="32"/>
  <c r="M260" i="32" s="1"/>
  <c r="N566" i="32"/>
  <c r="S566" i="32"/>
  <c r="BE566" i="32"/>
  <c r="BF566" i="32"/>
  <c r="N552" i="32"/>
  <c r="S552" i="32"/>
  <c r="BE552" i="32"/>
  <c r="BF552" i="32"/>
  <c r="J185" i="32"/>
  <c r="M185" i="32" s="1"/>
  <c r="J162" i="32"/>
  <c r="M162" i="32" s="1"/>
  <c r="N342" i="32"/>
  <c r="S342" i="32"/>
  <c r="BE342" i="32"/>
  <c r="BF342" i="32"/>
  <c r="J237" i="32"/>
  <c r="M237" i="32" s="1"/>
  <c r="J199" i="32"/>
  <c r="M199" i="32" s="1"/>
  <c r="J476" i="32"/>
  <c r="M476" i="32" s="1"/>
  <c r="J157" i="32"/>
  <c r="M157" i="32" s="1"/>
  <c r="J321" i="32"/>
  <c r="M321" i="32" s="1"/>
  <c r="J415" i="32"/>
  <c r="M415" i="32" s="1"/>
  <c r="J546" i="32"/>
  <c r="M546" i="32" s="1"/>
  <c r="J246" i="32"/>
  <c r="M246" i="32" s="1"/>
  <c r="J555" i="32"/>
  <c r="M555" i="32" s="1"/>
  <c r="J433" i="32"/>
  <c r="M433" i="32" s="1"/>
  <c r="J612" i="32"/>
  <c r="M612" i="32" s="1"/>
  <c r="J293" i="32"/>
  <c r="M293" i="32" s="1"/>
  <c r="J310" i="32"/>
  <c r="M310" i="32" s="1"/>
  <c r="J331" i="32"/>
  <c r="M331" i="32" s="1"/>
  <c r="S598" i="32"/>
  <c r="N598" i="32"/>
  <c r="BE598" i="32"/>
  <c r="BF598" i="32"/>
  <c r="J562" i="32"/>
  <c r="M562" i="32" s="1"/>
  <c r="J29" i="32"/>
  <c r="M29" i="32" s="1"/>
  <c r="J297" i="32"/>
  <c r="M297" i="32" s="1"/>
  <c r="N544" i="32"/>
  <c r="S544" i="32"/>
  <c r="BE544" i="32"/>
  <c r="BF544" i="32"/>
  <c r="J236" i="32"/>
  <c r="M236" i="32" s="1"/>
  <c r="J180" i="32"/>
  <c r="M180" i="32" s="1"/>
  <c r="J345" i="32"/>
  <c r="M345" i="32" s="1"/>
  <c r="J232" i="32"/>
  <c r="M232" i="32" s="1"/>
  <c r="J500" i="32"/>
  <c r="M500" i="32" s="1"/>
  <c r="J101" i="32"/>
  <c r="M101" i="32" s="1"/>
  <c r="J371" i="32"/>
  <c r="M371" i="32" s="1"/>
  <c r="J507" i="32"/>
  <c r="M507" i="32" s="1"/>
  <c r="J570" i="32"/>
  <c r="M570" i="32" s="1"/>
  <c r="J225" i="32"/>
  <c r="M225" i="32" s="1"/>
  <c r="J543" i="32"/>
  <c r="M543" i="32" s="1"/>
  <c r="J467" i="32"/>
  <c r="M467" i="32" s="1"/>
  <c r="J275" i="32"/>
  <c r="M275" i="32" s="1"/>
  <c r="J353" i="32"/>
  <c r="M353" i="32" s="1"/>
  <c r="J119" i="32"/>
  <c r="M119" i="32" s="1"/>
  <c r="J400" i="32"/>
  <c r="M400" i="32" s="1"/>
  <c r="J109" i="32"/>
  <c r="M109" i="32" s="1"/>
  <c r="S560" i="32"/>
  <c r="N560" i="32"/>
  <c r="BE560" i="32"/>
  <c r="BF560" i="32"/>
  <c r="N440" i="32"/>
  <c r="S440" i="32"/>
  <c r="BE440" i="32"/>
  <c r="BF440" i="32"/>
  <c r="J366" i="32"/>
  <c r="M366" i="32" s="1"/>
  <c r="J526" i="32"/>
  <c r="M526" i="32" s="1"/>
  <c r="N70" i="32"/>
  <c r="S70" i="32"/>
  <c r="BF70" i="32"/>
  <c r="BE70" i="32"/>
  <c r="J493" i="32"/>
  <c r="M493" i="32" s="1"/>
  <c r="J241" i="32"/>
  <c r="M241" i="32" s="1"/>
  <c r="J178" i="32"/>
  <c r="M178" i="32" s="1"/>
  <c r="J216" i="32"/>
  <c r="M216" i="32" s="1"/>
  <c r="J117" i="32"/>
  <c r="M117" i="32" s="1"/>
  <c r="J593" i="32"/>
  <c r="M593" i="32" s="1"/>
  <c r="J303" i="32"/>
  <c r="M303" i="32" s="1"/>
  <c r="J132" i="32"/>
  <c r="M132" i="32" s="1"/>
  <c r="S104" i="32"/>
  <c r="N104" i="32"/>
  <c r="BE104" i="32"/>
  <c r="BF104" i="32"/>
  <c r="J577" i="32"/>
  <c r="M577" i="32" s="1"/>
  <c r="J534" i="32"/>
  <c r="M534" i="32" s="1"/>
  <c r="J319" i="32"/>
  <c r="M319" i="32" s="1"/>
  <c r="J449" i="32"/>
  <c r="M449" i="32" s="1"/>
  <c r="J365" i="32"/>
  <c r="M365" i="32" s="1"/>
  <c r="J430" i="32"/>
  <c r="M430" i="32" s="1"/>
  <c r="J429" i="32"/>
  <c r="M429" i="32" s="1"/>
  <c r="J299" i="32"/>
  <c r="M299" i="32" s="1"/>
  <c r="S114" i="32"/>
  <c r="N114" i="32"/>
  <c r="BF114" i="32"/>
  <c r="BE114" i="32"/>
  <c r="N372" i="32"/>
  <c r="S372" i="32"/>
  <c r="BE372" i="32"/>
  <c r="BF372" i="32"/>
  <c r="J302" i="32"/>
  <c r="M302" i="32" s="1"/>
  <c r="J203" i="32"/>
  <c r="M203" i="32" s="1"/>
  <c r="J539" i="32"/>
  <c r="M539" i="32" s="1"/>
  <c r="J382" i="32"/>
  <c r="M382" i="32" s="1"/>
  <c r="J60" i="32"/>
  <c r="M60" i="32" s="1"/>
  <c r="J124" i="32"/>
  <c r="M124" i="32" s="1"/>
  <c r="N426" i="32"/>
  <c r="S426" i="32"/>
  <c r="BE426" i="32"/>
  <c r="BF426" i="32"/>
  <c r="J231" i="32"/>
  <c r="M231" i="32" s="1"/>
  <c r="J361" i="32"/>
  <c r="M361" i="32" s="1"/>
  <c r="J395" i="32"/>
  <c r="M395" i="32" s="1"/>
  <c r="J133" i="32"/>
  <c r="M133" i="32" s="1"/>
  <c r="J118" i="32"/>
  <c r="M118" i="32" s="1"/>
  <c r="J436" i="32"/>
  <c r="M436" i="32" s="1"/>
  <c r="J347" i="32"/>
  <c r="M347" i="32" s="1"/>
  <c r="J89" i="32"/>
  <c r="M89" i="32" s="1"/>
  <c r="J126" i="32"/>
  <c r="M126" i="32" s="1"/>
  <c r="J39" i="32"/>
  <c r="M39" i="32" s="1"/>
  <c r="N227" i="32"/>
  <c r="S227" i="32"/>
  <c r="BE227" i="32"/>
  <c r="BF227" i="32"/>
  <c r="N370" i="32"/>
  <c r="S370" i="32"/>
  <c r="BE370" i="32"/>
  <c r="BF370" i="32"/>
  <c r="J194" i="32"/>
  <c r="M194" i="32" s="1"/>
  <c r="N80" i="32"/>
  <c r="S80" i="32"/>
  <c r="BF80" i="32"/>
  <c r="BE80" i="32"/>
  <c r="J443" i="32"/>
  <c r="M443" i="32" s="1"/>
  <c r="N38" i="32"/>
  <c r="S38" i="32"/>
  <c r="BE38" i="32"/>
  <c r="BF38" i="32"/>
  <c r="N461" i="32"/>
  <c r="S461" i="32"/>
  <c r="BE461" i="32"/>
  <c r="BF461" i="32"/>
  <c r="J532" i="32"/>
  <c r="M532" i="32" s="1"/>
  <c r="J146" i="32"/>
  <c r="M146" i="32" s="1"/>
  <c r="S470" i="32"/>
  <c r="N470" i="32"/>
  <c r="BE470" i="32"/>
  <c r="BF470" i="32"/>
  <c r="J340" i="32"/>
  <c r="M340" i="32" s="1"/>
  <c r="J51" i="32"/>
  <c r="M51" i="32" s="1"/>
  <c r="J390" i="32"/>
  <c r="M390" i="32" s="1"/>
  <c r="S96" i="32"/>
  <c r="N96" i="32"/>
  <c r="BE96" i="32"/>
  <c r="BF96" i="32"/>
  <c r="J195" i="32"/>
  <c r="M195" i="32" s="1"/>
  <c r="J405" i="32"/>
  <c r="M405" i="32" s="1"/>
  <c r="J516" i="32"/>
  <c r="M516" i="32" s="1"/>
  <c r="J587" i="32"/>
  <c r="M587" i="32" s="1"/>
  <c r="J441" i="32"/>
  <c r="M441" i="32" s="1"/>
  <c r="J247" i="32"/>
  <c r="M247" i="32" s="1"/>
  <c r="J61" i="32"/>
  <c r="M61" i="32" s="1"/>
  <c r="J278" i="32"/>
  <c r="M278" i="32" s="1"/>
  <c r="N322" i="32"/>
  <c r="S322" i="32"/>
  <c r="BE322" i="32"/>
  <c r="BF322" i="32"/>
  <c r="J27" i="32"/>
  <c r="M27" i="32" s="1"/>
  <c r="J458" i="32"/>
  <c r="M458" i="32" s="1"/>
  <c r="J307" i="32"/>
  <c r="M307" i="32" s="1"/>
  <c r="J573" i="32"/>
  <c r="M573" i="32" s="1"/>
  <c r="J289" i="32"/>
  <c r="M289" i="32" s="1"/>
  <c r="N394" i="32"/>
  <c r="S394" i="32"/>
  <c r="BE394" i="32"/>
  <c r="BF394" i="32"/>
  <c r="J586" i="32"/>
  <c r="M586" i="32" s="1"/>
  <c r="J482" i="32"/>
  <c r="M482" i="32" s="1"/>
  <c r="J338" i="32"/>
  <c r="M338" i="32" s="1"/>
  <c r="J197" i="32"/>
  <c r="M197" i="32" s="1"/>
  <c r="J202" i="32"/>
  <c r="M202" i="32" s="1"/>
  <c r="N368" i="32"/>
  <c r="S368" i="32"/>
  <c r="BF368" i="32"/>
  <c r="BE368" i="32"/>
  <c r="J212" i="32"/>
  <c r="M212" i="32" s="1"/>
  <c r="J600" i="32"/>
  <c r="M600" i="32" s="1"/>
  <c r="J55" i="32"/>
  <c r="M55" i="32" s="1"/>
  <c r="J13" i="32"/>
  <c r="J156" i="32"/>
  <c r="M156" i="32" s="1"/>
  <c r="N298" i="32"/>
  <c r="S298" i="32"/>
  <c r="BE298" i="32"/>
  <c r="BF298" i="32"/>
  <c r="J281" i="32"/>
  <c r="M281" i="32" s="1"/>
  <c r="N582" i="32"/>
  <c r="S582" i="32"/>
  <c r="BE582" i="32"/>
  <c r="BF582" i="32"/>
  <c r="J284" i="32"/>
  <c r="M284" i="32" s="1"/>
  <c r="J239" i="32"/>
  <c r="M239" i="32" s="1"/>
  <c r="J286" i="32"/>
  <c r="M286" i="32" s="1"/>
  <c r="J404" i="32"/>
  <c r="M404" i="32" s="1"/>
  <c r="J129" i="32"/>
  <c r="M129" i="32" s="1"/>
  <c r="J487" i="32"/>
  <c r="M487" i="32" s="1"/>
  <c r="J244" i="32"/>
  <c r="M244" i="32" s="1"/>
  <c r="J208" i="32"/>
  <c r="M208" i="32" s="1"/>
  <c r="J437" i="32"/>
  <c r="M437" i="32" s="1"/>
  <c r="J189" i="32"/>
  <c r="M189" i="32" s="1"/>
  <c r="J173" i="32"/>
  <c r="M173" i="32" s="1"/>
  <c r="J84" i="32"/>
  <c r="M84" i="32" s="1"/>
  <c r="J198" i="32"/>
  <c r="M198" i="32" s="1"/>
  <c r="N102" i="32"/>
  <c r="S102" i="32"/>
  <c r="BE102" i="32"/>
  <c r="BF102" i="32"/>
  <c r="J525" i="32"/>
  <c r="M525" i="32" s="1"/>
  <c r="N336" i="32"/>
  <c r="S336" i="32"/>
  <c r="BE336" i="32"/>
  <c r="BF336" i="32"/>
  <c r="N243" i="32"/>
  <c r="S243" i="32"/>
  <c r="BF243" i="32"/>
  <c r="BE243" i="32"/>
  <c r="J592" i="32"/>
  <c r="M592" i="32" s="1"/>
  <c r="J379" i="32"/>
  <c r="M379" i="32" s="1"/>
  <c r="S520" i="32"/>
  <c r="N520" i="32"/>
  <c r="BF520" i="32"/>
  <c r="BE520" i="32"/>
  <c r="N22" i="32"/>
  <c r="S22" i="32"/>
  <c r="BE22" i="32"/>
  <c r="BF22" i="32"/>
  <c r="J193" i="32"/>
  <c r="M193" i="32" s="1"/>
  <c r="N34" i="32"/>
  <c r="S34" i="32"/>
  <c r="BE34" i="32"/>
  <c r="BF34" i="32"/>
  <c r="N143" i="32"/>
  <c r="S143" i="32"/>
  <c r="BF143" i="32"/>
  <c r="BE143" i="32"/>
  <c r="J547" i="32"/>
  <c r="M547" i="32" s="1"/>
  <c r="J627" i="32"/>
  <c r="M627" i="32" s="1"/>
  <c r="J201" i="32"/>
  <c r="M201" i="32" s="1"/>
  <c r="J138" i="32"/>
  <c r="M138" i="32" s="1"/>
  <c r="N167" i="32"/>
  <c r="S167" i="32"/>
  <c r="BE167" i="32"/>
  <c r="BF167" i="32"/>
  <c r="J103" i="32"/>
  <c r="M103" i="32" s="1"/>
  <c r="J153" i="32"/>
  <c r="M153" i="32" s="1"/>
  <c r="N478" i="32"/>
  <c r="S478" i="32"/>
  <c r="BE478" i="32"/>
  <c r="BF478" i="32"/>
  <c r="J542" i="32"/>
  <c r="M542" i="32" s="1"/>
  <c r="J583" i="32"/>
  <c r="M583" i="32" s="1"/>
  <c r="J503" i="32"/>
  <c r="M503" i="32" s="1"/>
  <c r="J483" i="32"/>
  <c r="M483" i="32" s="1"/>
  <c r="J374" i="32"/>
  <c r="M374" i="32" s="1"/>
  <c r="J603" i="32"/>
  <c r="M603" i="32" s="1"/>
  <c r="J105" i="32"/>
  <c r="M105" i="32" s="1"/>
  <c r="J285" i="32"/>
  <c r="M285" i="32" s="1"/>
  <c r="N350" i="32"/>
  <c r="S350" i="32"/>
  <c r="BF350" i="32"/>
  <c r="BE350" i="32"/>
  <c r="J364" i="32"/>
  <c r="M364" i="32" s="1"/>
  <c r="J530" i="32"/>
  <c r="M530" i="32" s="1"/>
  <c r="J76" i="32"/>
  <c r="M76" i="32" s="1"/>
  <c r="J519" i="32"/>
  <c r="M519" i="32" s="1"/>
  <c r="J256" i="32"/>
  <c r="M256" i="32" s="1"/>
  <c r="J93" i="32"/>
  <c r="M93" i="32" s="1"/>
  <c r="J312" i="32"/>
  <c r="M312" i="32" s="1"/>
  <c r="J245" i="32"/>
  <c r="M245" i="32" s="1"/>
  <c r="N159" i="32"/>
  <c r="S159" i="32"/>
  <c r="BE159" i="32"/>
  <c r="BF159" i="32"/>
  <c r="J581" i="32"/>
  <c r="M581" i="32" s="1"/>
  <c r="J111" i="32"/>
  <c r="M111" i="32" s="1"/>
  <c r="J287" i="32"/>
  <c r="M287" i="32" s="1"/>
  <c r="J148" i="32"/>
  <c r="M148" i="32" s="1"/>
  <c r="J452" i="32"/>
  <c r="M452" i="32" s="1"/>
  <c r="J605" i="32"/>
  <c r="M605" i="32" s="1"/>
  <c r="J535" i="32"/>
  <c r="M535" i="32" s="1"/>
  <c r="J35" i="32"/>
  <c r="M35" i="32" s="1"/>
  <c r="J391" i="32"/>
  <c r="M391" i="32" s="1"/>
  <c r="N219" i="32"/>
  <c r="S219" i="32"/>
  <c r="BE219" i="32"/>
  <c r="BF219" i="32"/>
  <c r="S54" i="32"/>
  <c r="N54" i="32"/>
  <c r="BE54" i="32"/>
  <c r="BF54" i="32"/>
  <c r="J357" i="32"/>
  <c r="M357" i="32" s="1"/>
  <c r="J518" i="32"/>
  <c r="M518" i="32" s="1"/>
  <c r="J17" i="32"/>
  <c r="M17" i="32" s="1"/>
  <c r="J172" i="32"/>
  <c r="M172" i="32" s="1"/>
  <c r="J341" i="32"/>
  <c r="M341" i="32" s="1"/>
  <c r="J107" i="32"/>
  <c r="M107" i="32" s="1"/>
  <c r="N62" i="32"/>
  <c r="S62" i="32"/>
  <c r="BE62" i="32"/>
  <c r="BF62" i="32"/>
  <c r="J491" i="32"/>
  <c r="M491" i="32" s="1"/>
  <c r="J457" i="32"/>
  <c r="M457" i="32" s="1"/>
  <c r="J257" i="32"/>
  <c r="M257" i="32" s="1"/>
  <c r="J214" i="32"/>
  <c r="M214" i="32" s="1"/>
  <c r="J448" i="32"/>
  <c r="M448" i="32" s="1"/>
  <c r="N168" i="32"/>
  <c r="S168" i="32"/>
  <c r="BE168" i="32"/>
  <c r="BF168" i="32"/>
  <c r="N432" i="32"/>
  <c r="S432" i="32"/>
  <c r="BE432" i="32"/>
  <c r="BF432" i="32"/>
  <c r="J262" i="32"/>
  <c r="M262" i="32" s="1"/>
  <c r="J166" i="32"/>
  <c r="M166" i="32" s="1"/>
  <c r="J333" i="32"/>
  <c r="M333" i="32" s="1"/>
  <c r="N192" i="32"/>
  <c r="S192" i="32"/>
  <c r="BE192" i="32"/>
  <c r="BF192" i="32"/>
  <c r="J26" i="32"/>
  <c r="M26" i="32" s="1"/>
  <c r="J576" i="32"/>
  <c r="M576" i="32" s="1"/>
  <c r="J43" i="32"/>
  <c r="M43" i="32" s="1"/>
  <c r="J398" i="32"/>
  <c r="M398" i="32" s="1"/>
  <c r="J385" i="32"/>
  <c r="M385" i="32" s="1"/>
  <c r="N151" i="32"/>
  <c r="S151" i="32"/>
  <c r="BE151" i="32"/>
  <c r="BF151" i="32"/>
  <c r="J116" i="32"/>
  <c r="M116" i="32" s="1"/>
  <c r="J613" i="32"/>
  <c r="M613" i="32" s="1"/>
  <c r="J456" i="32"/>
  <c r="M456" i="32" s="1"/>
  <c r="J585" i="32"/>
  <c r="M585" i="32" s="1"/>
  <c r="J112" i="32"/>
  <c r="M112" i="32" s="1"/>
  <c r="N242" i="32"/>
  <c r="S242" i="32"/>
  <c r="BE242" i="32"/>
  <c r="BF242" i="32"/>
  <c r="J252" i="32"/>
  <c r="M252" i="32" s="1"/>
  <c r="J607" i="32"/>
  <c r="M607" i="32" s="1"/>
  <c r="S410" i="32"/>
  <c r="N410" i="32"/>
  <c r="BE410" i="32"/>
  <c r="BF410" i="32"/>
  <c r="J549" i="32"/>
  <c r="M549" i="32" s="1"/>
  <c r="J222" i="32"/>
  <c r="M222" i="32" s="1"/>
  <c r="J455" i="32"/>
  <c r="M455" i="32" s="1"/>
  <c r="J514" i="32"/>
  <c r="M514" i="32" s="1"/>
  <c r="J529" i="32"/>
  <c r="M529" i="32" s="1"/>
  <c r="J323" i="32"/>
  <c r="M323" i="32" s="1"/>
  <c r="J311" i="32"/>
  <c r="M311" i="32" s="1"/>
  <c r="J407" i="32"/>
  <c r="M407" i="32" s="1"/>
  <c r="J283" i="32"/>
  <c r="M283" i="32" s="1"/>
  <c r="J271" i="32"/>
  <c r="M271" i="32" s="1"/>
  <c r="N306" i="32"/>
  <c r="S306" i="32"/>
  <c r="BE306" i="32"/>
  <c r="BF306" i="32"/>
  <c r="J522" i="32"/>
  <c r="M522" i="32" s="1"/>
  <c r="J98" i="32"/>
  <c r="M98" i="32" s="1"/>
  <c r="J571" i="32"/>
  <c r="M571" i="32" s="1"/>
  <c r="J538" i="32"/>
  <c r="M538" i="32" s="1"/>
  <c r="J279" i="32"/>
  <c r="M279" i="32" s="1"/>
  <c r="N88" i="32"/>
  <c r="S88" i="32"/>
  <c r="BF88" i="32"/>
  <c r="BE88" i="32"/>
  <c r="J228" i="32"/>
  <c r="M228" i="32" s="1"/>
  <c r="N442" i="32"/>
  <c r="S442" i="32"/>
  <c r="BE442" i="32"/>
  <c r="BF442" i="32"/>
  <c r="N424" i="32"/>
  <c r="S424" i="32"/>
  <c r="BF424" i="32"/>
  <c r="BE424" i="32"/>
  <c r="N120" i="32"/>
  <c r="S120" i="32"/>
  <c r="BE120" i="32"/>
  <c r="BF120" i="32"/>
  <c r="J309" i="32"/>
  <c r="M309" i="32" s="1"/>
  <c r="J75" i="32"/>
  <c r="M75" i="32" s="1"/>
  <c r="J599" i="32"/>
  <c r="M599" i="32" s="1"/>
  <c r="J417" i="32"/>
  <c r="M417" i="32" s="1"/>
  <c r="J611" i="32"/>
  <c r="M611" i="32" s="1"/>
  <c r="J444" i="32"/>
  <c r="M444" i="32" s="1"/>
  <c r="J463" i="32"/>
  <c r="M463" i="32" s="1"/>
  <c r="J59" i="32"/>
  <c r="M59" i="32" s="1"/>
  <c r="J187" i="32"/>
  <c r="M187" i="32" s="1"/>
  <c r="J68" i="32"/>
  <c r="M68" i="32" s="1"/>
  <c r="J292" i="32"/>
  <c r="M292" i="32" s="1"/>
  <c r="J317" i="32"/>
  <c r="M317" i="32" s="1"/>
  <c r="J450" i="32"/>
  <c r="M450" i="32" s="1"/>
  <c r="J49" i="32"/>
  <c r="M49" i="32" s="1"/>
  <c r="J451" i="32"/>
  <c r="M451" i="32" s="1"/>
  <c r="J363" i="32"/>
  <c r="M363" i="32" s="1"/>
  <c r="J221" i="32"/>
  <c r="M221" i="32" s="1"/>
  <c r="J517" i="32"/>
  <c r="M517" i="32" s="1"/>
  <c r="J602" i="32"/>
  <c r="M602" i="32" s="1"/>
  <c r="J182" i="32"/>
  <c r="M182" i="32" s="1"/>
  <c r="J489" i="32"/>
  <c r="M489" i="32" s="1"/>
  <c r="J238" i="32"/>
  <c r="M238" i="32" s="1"/>
  <c r="J142" i="32"/>
  <c r="M142" i="32" s="1"/>
  <c r="J326" i="32"/>
  <c r="M326" i="32" s="1"/>
  <c r="J537" i="32"/>
  <c r="M537" i="32" s="1"/>
  <c r="J273" i="32"/>
  <c r="M273" i="32" s="1"/>
  <c r="J15" i="32"/>
  <c r="M15" i="32" s="1"/>
  <c r="J411" i="32"/>
  <c r="M411" i="32" s="1"/>
  <c r="J626" i="32"/>
  <c r="M626" i="32" s="1"/>
  <c r="J561" i="32"/>
  <c r="M561" i="32" s="1"/>
  <c r="J595" i="32"/>
  <c r="M595" i="32" s="1"/>
  <c r="J291" i="32"/>
  <c r="M291" i="32" s="1"/>
  <c r="J44" i="32"/>
  <c r="M44" i="32" s="1"/>
  <c r="N14" i="32"/>
  <c r="S14" i="32"/>
  <c r="BE14" i="32"/>
  <c r="BF14" i="32"/>
  <c r="J594" i="32"/>
  <c r="M594" i="32" s="1"/>
  <c r="N504" i="32"/>
  <c r="S504" i="32"/>
  <c r="BE504" i="32"/>
  <c r="BF504" i="32"/>
  <c r="J190" i="32"/>
  <c r="M190" i="32" s="1"/>
  <c r="J78" i="32"/>
  <c r="M78" i="32" s="1"/>
  <c r="N235" i="32"/>
  <c r="S235" i="32"/>
  <c r="BE235" i="32"/>
  <c r="BF235" i="32"/>
  <c r="J473" i="32"/>
  <c r="M473" i="32" s="1"/>
  <c r="N352" i="32"/>
  <c r="S352" i="32"/>
  <c r="BE352" i="32"/>
  <c r="BF352" i="32"/>
  <c r="J113" i="32"/>
  <c r="M113" i="32" s="1"/>
  <c r="J335" i="32"/>
  <c r="M335" i="32" s="1"/>
  <c r="J439" i="32"/>
  <c r="M439" i="32" s="1"/>
  <c r="N528" i="32"/>
  <c r="S528" i="32"/>
  <c r="BE528" i="32"/>
  <c r="BF528" i="32"/>
  <c r="J274" i="32"/>
  <c r="M274" i="32" s="1"/>
  <c r="N71" i="32"/>
  <c r="S71" i="32"/>
  <c r="BF71" i="32"/>
  <c r="BE71" i="32"/>
  <c r="J389" i="32"/>
  <c r="M389" i="32" s="1"/>
  <c r="J316" i="32"/>
  <c r="M316" i="32" s="1"/>
  <c r="J164" i="32"/>
  <c r="M164" i="32" s="1"/>
  <c r="N536" i="32"/>
  <c r="S536" i="32"/>
  <c r="BE536" i="32"/>
  <c r="BF536" i="32"/>
  <c r="J373" i="32"/>
  <c r="M373" i="32" s="1"/>
  <c r="J139" i="32"/>
  <c r="M139" i="32" s="1"/>
  <c r="N184" i="32"/>
  <c r="S184" i="32"/>
  <c r="BE184" i="32"/>
  <c r="BF184" i="32"/>
  <c r="N378" i="32"/>
  <c r="S378" i="32"/>
  <c r="BE378" i="32"/>
  <c r="BF378" i="32"/>
  <c r="J69" i="32"/>
  <c r="M69" i="32" s="1"/>
  <c r="J564" i="32"/>
  <c r="M564" i="32" s="1"/>
  <c r="J300" i="32"/>
  <c r="M300" i="32" s="1"/>
  <c r="J170" i="32"/>
  <c r="M170" i="32" s="1"/>
  <c r="J83" i="32"/>
  <c r="M83" i="32" s="1"/>
  <c r="N258" i="32"/>
  <c r="S258" i="32"/>
  <c r="BE258" i="32"/>
  <c r="BF258" i="32"/>
  <c r="J250" i="32"/>
  <c r="M250" i="32" s="1"/>
  <c r="J412" i="32"/>
  <c r="M412" i="32" s="1"/>
  <c r="N175" i="32"/>
  <c r="S175" i="32"/>
  <c r="BE175" i="32"/>
  <c r="BF175" i="32"/>
  <c r="N223" i="32"/>
  <c r="S223" i="32"/>
  <c r="BF223" i="32"/>
  <c r="BE223" i="32"/>
  <c r="J376" i="32"/>
  <c r="M376" i="32" s="1"/>
  <c r="J95" i="32"/>
  <c r="M95" i="32" s="1"/>
  <c r="J206" i="32"/>
  <c r="M206" i="32" s="1"/>
  <c r="J110" i="32"/>
  <c r="M110" i="32" s="1"/>
  <c r="J550" i="32"/>
  <c r="M550" i="32" s="1"/>
  <c r="J505" i="32"/>
  <c r="M505" i="32" s="1"/>
  <c r="J196" i="32"/>
  <c r="M196" i="32" s="1"/>
  <c r="J295" i="32"/>
  <c r="M295" i="32" s="1"/>
  <c r="J123" i="32"/>
  <c r="M123" i="32" s="1"/>
  <c r="J481" i="32"/>
  <c r="M481" i="32" s="1"/>
  <c r="J186" i="32"/>
  <c r="M186" i="32" s="1"/>
  <c r="N122" i="32"/>
  <c r="S122" i="32"/>
  <c r="BE122" i="32"/>
  <c r="BF122" i="32"/>
  <c r="J477" i="32"/>
  <c r="M477" i="32" s="1"/>
  <c r="J548" i="32"/>
  <c r="M548" i="32" s="1"/>
  <c r="J315" i="32"/>
  <c r="M315" i="32" s="1"/>
  <c r="J513" i="32"/>
  <c r="M513" i="32" s="1"/>
  <c r="J209" i="32"/>
  <c r="M209" i="32" s="1"/>
  <c r="J181" i="32"/>
  <c r="M181" i="32" s="1"/>
  <c r="J137" i="32"/>
  <c r="M137" i="32" s="1"/>
  <c r="N290" i="32"/>
  <c r="S290" i="32"/>
  <c r="BF290" i="32"/>
  <c r="BE290" i="32"/>
  <c r="J213" i="32"/>
  <c r="M213" i="32" s="1"/>
  <c r="N16" i="32"/>
  <c r="S16" i="32"/>
  <c r="BE16" i="32"/>
  <c r="BF16" i="32"/>
  <c r="J459" i="32"/>
  <c r="M459" i="32" s="1"/>
  <c r="J499" i="32"/>
  <c r="M499" i="32" s="1"/>
  <c r="J423" i="32"/>
  <c r="M423" i="32" s="1"/>
  <c r="J324" i="32"/>
  <c r="M324" i="32" s="1"/>
  <c r="J403" i="32"/>
  <c r="M403" i="32" s="1"/>
  <c r="J484" i="32"/>
  <c r="M484" i="32" s="1"/>
  <c r="J414" i="32"/>
  <c r="M414" i="32" s="1"/>
  <c r="J431" i="32"/>
  <c r="M431" i="32" s="1"/>
  <c r="J248" i="32"/>
  <c r="M248" i="32" s="1"/>
  <c r="N282" i="32"/>
  <c r="S282" i="32"/>
  <c r="BE282" i="32"/>
  <c r="BF282" i="32"/>
  <c r="S191" i="32"/>
  <c r="N191" i="32"/>
  <c r="BF191" i="32"/>
  <c r="BE191" i="32"/>
  <c r="J217" i="32"/>
  <c r="M217" i="32" s="1"/>
  <c r="N480" i="32"/>
  <c r="S480" i="32"/>
  <c r="BE480" i="32"/>
  <c r="BF480" i="32"/>
  <c r="N135" i="32"/>
  <c r="S135" i="32"/>
  <c r="BE135" i="32"/>
  <c r="BF135" i="32"/>
  <c r="N453" i="32"/>
  <c r="S453" i="32"/>
  <c r="BE453" i="32"/>
  <c r="BF453" i="32"/>
  <c r="J454" i="32"/>
  <c r="M454" i="32" s="1"/>
  <c r="J92" i="32"/>
  <c r="M92" i="32" s="1"/>
  <c r="J20" i="32"/>
  <c r="M20" i="32" s="1"/>
  <c r="J479" i="32"/>
  <c r="M479" i="32" s="1"/>
  <c r="J188" i="32"/>
  <c r="M188" i="32" s="1"/>
  <c r="N136" i="32"/>
  <c r="S136" i="32"/>
  <c r="BF136" i="32"/>
  <c r="BE136" i="32"/>
  <c r="J97" i="32"/>
  <c r="M97" i="32" s="1"/>
  <c r="J575" i="32"/>
  <c r="M575" i="32" s="1"/>
  <c r="J41" i="32"/>
  <c r="M41" i="32" s="1"/>
  <c r="J567" i="32"/>
  <c r="M567" i="32" s="1"/>
  <c r="J67" i="32"/>
  <c r="M67" i="32" s="1"/>
  <c r="J509" i="32"/>
  <c r="M509" i="32" s="1"/>
  <c r="J125" i="32"/>
  <c r="M125" i="32" s="1"/>
  <c r="J66" i="32"/>
  <c r="M66" i="32" s="1"/>
  <c r="J521" i="32"/>
  <c r="M521" i="32" s="1"/>
  <c r="J270" i="32"/>
  <c r="M270" i="32" s="1"/>
  <c r="J174" i="32"/>
  <c r="M174" i="32" s="1"/>
  <c r="N152" i="32"/>
  <c r="S152" i="32"/>
  <c r="BE152" i="32"/>
  <c r="BF152" i="32"/>
  <c r="J569" i="32"/>
  <c r="M569" i="32" s="1"/>
  <c r="S386" i="32"/>
  <c r="N386" i="32"/>
  <c r="BE386" i="32"/>
  <c r="BF386" i="32"/>
  <c r="N408" i="32"/>
  <c r="S408" i="32"/>
  <c r="BF408" i="32"/>
  <c r="BE408" i="32"/>
  <c r="N558" i="32"/>
  <c r="S558" i="32"/>
  <c r="BE558" i="32"/>
  <c r="BF558" i="32"/>
  <c r="J234" i="32"/>
  <c r="M234" i="32" s="1"/>
  <c r="J472" i="32"/>
  <c r="M472" i="32" s="1"/>
  <c r="J624" i="32"/>
  <c r="M624" i="32" s="1"/>
  <c r="J625" i="32"/>
  <c r="M625" i="32" s="1"/>
  <c r="J272" i="32"/>
  <c r="M272" i="32" s="1"/>
  <c r="N414" i="32" l="1"/>
  <c r="S414" i="32"/>
  <c r="BE414" i="32"/>
  <c r="BF414" i="32"/>
  <c r="S137" i="32"/>
  <c r="N137" i="32"/>
  <c r="BE137" i="32"/>
  <c r="BF137" i="32"/>
  <c r="N295" i="32"/>
  <c r="S295" i="32"/>
  <c r="BE295" i="32"/>
  <c r="BF295" i="32"/>
  <c r="N412" i="32"/>
  <c r="S412" i="32"/>
  <c r="BE412" i="32"/>
  <c r="BF412" i="32"/>
  <c r="N83" i="32"/>
  <c r="S83" i="32"/>
  <c r="BE83" i="32"/>
  <c r="BF83" i="32"/>
  <c r="O184" i="32"/>
  <c r="P184" i="32"/>
  <c r="O536" i="32"/>
  <c r="T536" i="32" s="1"/>
  <c r="AV536" i="32" s="1"/>
  <c r="P536" i="32"/>
  <c r="O528" i="32"/>
  <c r="P528" i="32"/>
  <c r="O235" i="32"/>
  <c r="T235" i="32" s="1"/>
  <c r="AV235" i="32" s="1"/>
  <c r="P235" i="32"/>
  <c r="O504" i="32"/>
  <c r="P504" i="32"/>
  <c r="N626" i="32"/>
  <c r="S626" i="32"/>
  <c r="N489" i="32"/>
  <c r="S489" i="32"/>
  <c r="BE489" i="32"/>
  <c r="BF489" i="32"/>
  <c r="N450" i="32"/>
  <c r="S450" i="32"/>
  <c r="BE450" i="32"/>
  <c r="BF450" i="32"/>
  <c r="N611" i="32"/>
  <c r="S611" i="32"/>
  <c r="BE611" i="32"/>
  <c r="BF611" i="32"/>
  <c r="N571" i="32"/>
  <c r="S571" i="32"/>
  <c r="BE571" i="32"/>
  <c r="BF571" i="32"/>
  <c r="N311" i="32"/>
  <c r="S311" i="32"/>
  <c r="BE311" i="32"/>
  <c r="BF311" i="32"/>
  <c r="N613" i="32"/>
  <c r="S613" i="32"/>
  <c r="BE613" i="32"/>
  <c r="BF613" i="32"/>
  <c r="N26" i="32"/>
  <c r="S26" i="32"/>
  <c r="BE26" i="32"/>
  <c r="BF26" i="32"/>
  <c r="N257" i="32"/>
  <c r="S257" i="32"/>
  <c r="BE257" i="32"/>
  <c r="BF257" i="32"/>
  <c r="O62" i="32"/>
  <c r="P62" i="32"/>
  <c r="N35" i="32"/>
  <c r="S35" i="32"/>
  <c r="BE35" i="32"/>
  <c r="BF35" i="32"/>
  <c r="S93" i="32"/>
  <c r="N93" i="32"/>
  <c r="BE93" i="32"/>
  <c r="BF93" i="32"/>
  <c r="N285" i="32"/>
  <c r="S285" i="32"/>
  <c r="BE285" i="32"/>
  <c r="BF285" i="32"/>
  <c r="N627" i="32"/>
  <c r="S627" i="32"/>
  <c r="O22" i="32"/>
  <c r="P22" i="32"/>
  <c r="O386" i="32"/>
  <c r="P386" i="32"/>
  <c r="O470" i="32"/>
  <c r="P470" i="32"/>
  <c r="O114" i="32"/>
  <c r="P114" i="32"/>
  <c r="N66" i="32"/>
  <c r="S66" i="32"/>
  <c r="BF66" i="32"/>
  <c r="BE66" i="32"/>
  <c r="N174" i="32"/>
  <c r="S174" i="32"/>
  <c r="BE174" i="32"/>
  <c r="BF174" i="32"/>
  <c r="O136" i="32"/>
  <c r="P136" i="32"/>
  <c r="S217" i="32"/>
  <c r="N217" i="32"/>
  <c r="BE217" i="32"/>
  <c r="BF217" i="32"/>
  <c r="O282" i="32"/>
  <c r="P282" i="32"/>
  <c r="N499" i="32"/>
  <c r="S499" i="32"/>
  <c r="BF499" i="32"/>
  <c r="BE499" i="32"/>
  <c r="N181" i="32"/>
  <c r="S181" i="32"/>
  <c r="BE181" i="32"/>
  <c r="BF181" i="32"/>
  <c r="N186" i="32"/>
  <c r="S186" i="32"/>
  <c r="BE186" i="32"/>
  <c r="BF186" i="32"/>
  <c r="N206" i="32"/>
  <c r="S206" i="32"/>
  <c r="BE206" i="32"/>
  <c r="BF206" i="32"/>
  <c r="O223" i="32"/>
  <c r="T223" i="32" s="1"/>
  <c r="AV223" i="32" s="1"/>
  <c r="P223" i="32"/>
  <c r="S170" i="32"/>
  <c r="N170" i="32"/>
  <c r="BF170" i="32"/>
  <c r="BE170" i="32"/>
  <c r="N164" i="32"/>
  <c r="S164" i="32"/>
  <c r="BE164" i="32"/>
  <c r="BF164" i="32"/>
  <c r="O71" i="32"/>
  <c r="P71" i="32"/>
  <c r="S78" i="32"/>
  <c r="N78" i="32"/>
  <c r="BE78" i="32"/>
  <c r="BF78" i="32"/>
  <c r="N291" i="32"/>
  <c r="S291" i="32"/>
  <c r="BE291" i="32"/>
  <c r="BF291" i="32"/>
  <c r="S326" i="32"/>
  <c r="N326" i="32"/>
  <c r="BE326" i="32"/>
  <c r="BF326" i="32"/>
  <c r="N363" i="32"/>
  <c r="S363" i="32"/>
  <c r="BE363" i="32"/>
  <c r="BF363" i="32"/>
  <c r="N59" i="32"/>
  <c r="S59" i="32"/>
  <c r="BF59" i="32"/>
  <c r="BE59" i="32"/>
  <c r="S98" i="32"/>
  <c r="N98" i="32"/>
  <c r="BF98" i="32"/>
  <c r="BE98" i="32"/>
  <c r="N323" i="32"/>
  <c r="S323" i="32"/>
  <c r="BE323" i="32"/>
  <c r="BF323" i="32"/>
  <c r="N607" i="32"/>
  <c r="S607" i="32"/>
  <c r="BE607" i="32"/>
  <c r="BF607" i="32"/>
  <c r="N116" i="32"/>
  <c r="S116" i="32"/>
  <c r="BE116" i="32"/>
  <c r="BF116" i="32"/>
  <c r="N262" i="32"/>
  <c r="S262" i="32"/>
  <c r="BE262" i="32"/>
  <c r="BF262" i="32"/>
  <c r="O168" i="32"/>
  <c r="P168" i="32"/>
  <c r="N107" i="32"/>
  <c r="S107" i="32"/>
  <c r="BE107" i="32"/>
  <c r="BF107" i="32"/>
  <c r="N535" i="32"/>
  <c r="S535" i="32"/>
  <c r="BF535" i="32"/>
  <c r="BE535" i="32"/>
  <c r="N256" i="32"/>
  <c r="S256" i="32"/>
  <c r="BE256" i="32"/>
  <c r="BF256" i="32"/>
  <c r="N105" i="32"/>
  <c r="S105" i="32"/>
  <c r="BE105" i="32"/>
  <c r="BF105" i="32"/>
  <c r="N547" i="32"/>
  <c r="S547" i="32"/>
  <c r="BE547" i="32"/>
  <c r="BF547" i="32"/>
  <c r="O34" i="32"/>
  <c r="P34" i="32"/>
  <c r="N84" i="32"/>
  <c r="S84" i="32"/>
  <c r="BE84" i="32"/>
  <c r="BF84" i="32"/>
  <c r="N404" i="32"/>
  <c r="S404" i="32"/>
  <c r="BE404" i="32"/>
  <c r="BF404" i="32"/>
  <c r="O298" i="32"/>
  <c r="P298" i="32"/>
  <c r="S202" i="32"/>
  <c r="N202" i="32"/>
  <c r="BE202" i="32"/>
  <c r="BF202" i="32"/>
  <c r="S573" i="32"/>
  <c r="N573" i="32"/>
  <c r="BE573" i="32"/>
  <c r="BF573" i="32"/>
  <c r="S405" i="32"/>
  <c r="N405" i="32"/>
  <c r="BE405" i="32"/>
  <c r="BF405" i="32"/>
  <c r="N126" i="32"/>
  <c r="S126" i="32"/>
  <c r="BE126" i="32"/>
  <c r="BF126" i="32"/>
  <c r="S231" i="32"/>
  <c r="N231" i="32"/>
  <c r="BE231" i="32"/>
  <c r="BF231" i="32"/>
  <c r="S302" i="32"/>
  <c r="N302" i="32"/>
  <c r="BE302" i="32"/>
  <c r="BF302" i="32"/>
  <c r="N577" i="32"/>
  <c r="S577" i="32"/>
  <c r="BE577" i="32"/>
  <c r="BF577" i="32"/>
  <c r="N178" i="32"/>
  <c r="S178" i="32"/>
  <c r="BE178" i="32"/>
  <c r="BF178" i="32"/>
  <c r="N400" i="32"/>
  <c r="S400" i="32"/>
  <c r="BF400" i="32"/>
  <c r="BE400" i="32"/>
  <c r="N467" i="32"/>
  <c r="S467" i="32"/>
  <c r="BE467" i="32"/>
  <c r="BF467" i="32"/>
  <c r="N507" i="32"/>
  <c r="S507" i="32"/>
  <c r="BE507" i="32"/>
  <c r="BF507" i="32"/>
  <c r="N232" i="32"/>
  <c r="S232" i="32"/>
  <c r="BE232" i="32"/>
  <c r="BF232" i="32"/>
  <c r="N562" i="32"/>
  <c r="S562" i="32"/>
  <c r="BE562" i="32"/>
  <c r="BF562" i="32"/>
  <c r="N310" i="32"/>
  <c r="S310" i="32"/>
  <c r="BE310" i="32"/>
  <c r="BF310" i="32"/>
  <c r="N555" i="32"/>
  <c r="S555" i="32"/>
  <c r="BE555" i="32"/>
  <c r="BF555" i="32"/>
  <c r="N321" i="32"/>
  <c r="S321" i="32"/>
  <c r="BE321" i="32"/>
  <c r="BF321" i="32"/>
  <c r="S237" i="32"/>
  <c r="N237" i="32"/>
  <c r="BE237" i="32"/>
  <c r="BF237" i="32"/>
  <c r="N185" i="32"/>
  <c r="S185" i="32"/>
  <c r="BE185" i="32"/>
  <c r="BF185" i="32"/>
  <c r="O566" i="32"/>
  <c r="P566" i="32"/>
  <c r="S588" i="32"/>
  <c r="N588" i="32"/>
  <c r="BE588" i="32"/>
  <c r="BF588" i="32"/>
  <c r="N53" i="32"/>
  <c r="S53" i="32"/>
  <c r="BE53" i="32"/>
  <c r="BF53" i="32"/>
  <c r="N527" i="32"/>
  <c r="S527" i="32"/>
  <c r="BE527" i="32"/>
  <c r="BF527" i="32"/>
  <c r="N498" i="32"/>
  <c r="S498" i="32"/>
  <c r="BE498" i="32"/>
  <c r="BF498" i="32"/>
  <c r="S313" i="32"/>
  <c r="N313" i="32"/>
  <c r="BE313" i="32"/>
  <c r="BF313" i="32"/>
  <c r="N563" i="32"/>
  <c r="S563" i="32"/>
  <c r="BE563" i="32"/>
  <c r="BF563" i="32"/>
  <c r="N551" i="32"/>
  <c r="S551" i="32"/>
  <c r="BE551" i="32"/>
  <c r="BF551" i="32"/>
  <c r="N179" i="32"/>
  <c r="S179" i="32"/>
  <c r="BE179" i="32"/>
  <c r="BF179" i="32"/>
  <c r="S510" i="32"/>
  <c r="N510" i="32"/>
  <c r="BF510" i="32"/>
  <c r="BE510" i="32"/>
  <c r="N330" i="32"/>
  <c r="S330" i="32"/>
  <c r="BE330" i="32"/>
  <c r="BF330" i="32"/>
  <c r="N255" i="32"/>
  <c r="S255" i="32"/>
  <c r="BE255" i="32"/>
  <c r="BF255" i="32"/>
  <c r="N269" i="32"/>
  <c r="S269" i="32"/>
  <c r="BE269" i="32"/>
  <c r="BF269" i="32"/>
  <c r="N99" i="32"/>
  <c r="S99" i="32"/>
  <c r="BE99" i="32"/>
  <c r="BF99" i="32"/>
  <c r="N177" i="32"/>
  <c r="S177" i="32"/>
  <c r="BE177" i="32"/>
  <c r="BF177" i="32"/>
  <c r="N580" i="32"/>
  <c r="S580" i="32"/>
  <c r="BE580" i="32"/>
  <c r="BF580" i="32"/>
  <c r="S169" i="32"/>
  <c r="N169" i="32"/>
  <c r="BE169" i="32"/>
  <c r="BF169" i="32"/>
  <c r="N253" i="32"/>
  <c r="S253" i="32"/>
  <c r="BE253" i="32"/>
  <c r="BF253" i="32"/>
  <c r="S597" i="32"/>
  <c r="N597" i="32"/>
  <c r="BF597" i="32"/>
  <c r="BE597" i="32"/>
  <c r="N160" i="32"/>
  <c r="S160" i="32"/>
  <c r="BE160" i="32"/>
  <c r="BF160" i="32"/>
  <c r="N327" i="32"/>
  <c r="S327" i="32"/>
  <c r="BE327" i="32"/>
  <c r="BF327" i="32"/>
  <c r="S131" i="32"/>
  <c r="N131" i="32"/>
  <c r="BF131" i="32"/>
  <c r="BE131" i="32"/>
  <c r="S355" i="32"/>
  <c r="N355" i="32"/>
  <c r="BE355" i="32"/>
  <c r="BF355" i="32"/>
  <c r="S165" i="32"/>
  <c r="N165" i="32"/>
  <c r="BF165" i="32"/>
  <c r="BE165" i="32"/>
  <c r="O445" i="32"/>
  <c r="P445" i="32"/>
  <c r="O488" i="32"/>
  <c r="P488" i="32"/>
  <c r="O402" i="32"/>
  <c r="T402" i="32" s="1"/>
  <c r="AV402" i="32" s="1"/>
  <c r="P402" i="32"/>
  <c r="S464" i="32"/>
  <c r="N464" i="32"/>
  <c r="BE464" i="32"/>
  <c r="BF464" i="32"/>
  <c r="N158" i="32"/>
  <c r="S158" i="32"/>
  <c r="BE158" i="32"/>
  <c r="BF158" i="32"/>
  <c r="N578" i="32"/>
  <c r="S578" i="32"/>
  <c r="BE578" i="32"/>
  <c r="BF578" i="32"/>
  <c r="S251" i="32"/>
  <c r="N251" i="32"/>
  <c r="BE251" i="32"/>
  <c r="BF251" i="32"/>
  <c r="N328" i="32"/>
  <c r="S328" i="32"/>
  <c r="BE328" i="32"/>
  <c r="BF328" i="32"/>
  <c r="N591" i="32"/>
  <c r="S591" i="32"/>
  <c r="BE591" i="32"/>
  <c r="BF591" i="32"/>
  <c r="N465" i="32"/>
  <c r="S465" i="32"/>
  <c r="BE465" i="32"/>
  <c r="BF465" i="32"/>
  <c r="N127" i="32"/>
  <c r="S127" i="32"/>
  <c r="BE127" i="32"/>
  <c r="BF127" i="32"/>
  <c r="O215" i="32"/>
  <c r="T215" i="32" s="1"/>
  <c r="AV215" i="32" s="1"/>
  <c r="P215" i="32"/>
  <c r="O356" i="32"/>
  <c r="P356" i="32"/>
  <c r="O486" i="32"/>
  <c r="P486" i="32"/>
  <c r="S494" i="32"/>
  <c r="N494" i="32"/>
  <c r="BE494" i="32"/>
  <c r="BF494" i="32"/>
  <c r="N381" i="32"/>
  <c r="S381" i="32"/>
  <c r="BE381" i="32"/>
  <c r="BF381" i="32"/>
  <c r="O358" i="32"/>
  <c r="P358" i="32"/>
  <c r="N623" i="32"/>
  <c r="S623" i="32"/>
  <c r="N25" i="32"/>
  <c r="S25" i="32"/>
  <c r="BE25" i="32"/>
  <c r="BF25" i="32"/>
  <c r="N263" i="32"/>
  <c r="S263" i="32"/>
  <c r="BE263" i="32"/>
  <c r="BF263" i="32"/>
  <c r="N568" i="32"/>
  <c r="S568" i="32"/>
  <c r="BE568" i="32"/>
  <c r="BF568" i="32"/>
  <c r="N601" i="32"/>
  <c r="S601" i="32"/>
  <c r="BE601" i="32"/>
  <c r="BF601" i="32"/>
  <c r="N42" i="32"/>
  <c r="S42" i="32"/>
  <c r="BE42" i="32"/>
  <c r="BF42" i="32"/>
  <c r="N387" i="32"/>
  <c r="S387" i="32"/>
  <c r="BE387" i="32"/>
  <c r="BF387" i="32"/>
  <c r="O360" i="32"/>
  <c r="P360" i="32"/>
  <c r="O130" i="32"/>
  <c r="P130" i="32"/>
  <c r="N37" i="32"/>
  <c r="S37" i="32"/>
  <c r="BE37" i="32"/>
  <c r="BF37" i="32"/>
  <c r="N140" i="32"/>
  <c r="S140" i="32"/>
  <c r="BE140" i="32"/>
  <c r="BF140" i="32"/>
  <c r="N422" i="32"/>
  <c r="S422" i="32"/>
  <c r="BE422" i="32"/>
  <c r="BF422" i="32"/>
  <c r="N145" i="32"/>
  <c r="S145" i="32"/>
  <c r="BE145" i="32"/>
  <c r="BF145" i="32"/>
  <c r="N149" i="32"/>
  <c r="S149" i="32"/>
  <c r="BE149" i="32"/>
  <c r="BF149" i="32"/>
  <c r="O48" i="32"/>
  <c r="P48" i="32"/>
  <c r="N220" i="32"/>
  <c r="S220" i="32"/>
  <c r="BF220" i="32"/>
  <c r="BE220" i="32"/>
  <c r="N301" i="32"/>
  <c r="S301" i="32"/>
  <c r="BF301" i="32"/>
  <c r="BE301" i="32"/>
  <c r="O86" i="32"/>
  <c r="P86" i="32"/>
  <c r="N21" i="32"/>
  <c r="S21" i="32"/>
  <c r="BE21" i="32"/>
  <c r="BF21" i="32"/>
  <c r="N163" i="32"/>
  <c r="S163" i="32"/>
  <c r="BE163" i="32"/>
  <c r="BF163" i="32"/>
  <c r="O30" i="32"/>
  <c r="P30" i="32"/>
  <c r="N369" i="32"/>
  <c r="S369" i="32"/>
  <c r="BE369" i="32"/>
  <c r="BF369" i="32"/>
  <c r="N502" i="32"/>
  <c r="S502" i="32"/>
  <c r="BE502" i="32"/>
  <c r="BF502" i="32"/>
  <c r="O348" i="32"/>
  <c r="P348" i="32"/>
  <c r="N147" i="32"/>
  <c r="S147" i="32"/>
  <c r="BE147" i="32"/>
  <c r="BF147" i="32"/>
  <c r="N625" i="32"/>
  <c r="S625" i="32"/>
  <c r="N41" i="32"/>
  <c r="S41" i="32"/>
  <c r="BE41" i="32"/>
  <c r="BF41" i="32"/>
  <c r="N484" i="32"/>
  <c r="S484" i="32"/>
  <c r="BE484" i="32"/>
  <c r="BF484" i="32"/>
  <c r="N213" i="32"/>
  <c r="S213" i="32"/>
  <c r="BE213" i="32"/>
  <c r="BF213" i="32"/>
  <c r="N548" i="32"/>
  <c r="S548" i="32"/>
  <c r="BE548" i="32"/>
  <c r="BF548" i="32"/>
  <c r="N196" i="32"/>
  <c r="S196" i="32"/>
  <c r="BE196" i="32"/>
  <c r="BF196" i="32"/>
  <c r="S250" i="32"/>
  <c r="N250" i="32"/>
  <c r="BE250" i="32"/>
  <c r="BF250" i="32"/>
  <c r="N139" i="32"/>
  <c r="S139" i="32"/>
  <c r="BE139" i="32"/>
  <c r="BF139" i="32"/>
  <c r="N439" i="32"/>
  <c r="S439" i="32"/>
  <c r="BE439" i="32"/>
  <c r="BF439" i="32"/>
  <c r="O352" i="32"/>
  <c r="P352" i="32"/>
  <c r="S594" i="32"/>
  <c r="N594" i="32"/>
  <c r="BE594" i="32"/>
  <c r="BF594" i="32"/>
  <c r="N411" i="32"/>
  <c r="S411" i="32"/>
  <c r="BE411" i="32"/>
  <c r="BF411" i="32"/>
  <c r="S182" i="32"/>
  <c r="N182" i="32"/>
  <c r="BE182" i="32"/>
  <c r="BF182" i="32"/>
  <c r="N317" i="32"/>
  <c r="S317" i="32"/>
  <c r="BE317" i="32"/>
  <c r="BF317" i="32"/>
  <c r="N417" i="32"/>
  <c r="S417" i="32"/>
  <c r="BE417" i="32"/>
  <c r="BF417" i="32"/>
  <c r="O88" i="32"/>
  <c r="P88" i="32"/>
  <c r="N271" i="32"/>
  <c r="S271" i="32"/>
  <c r="BE271" i="32"/>
  <c r="BF271" i="32"/>
  <c r="N222" i="32"/>
  <c r="S222" i="32"/>
  <c r="BE222" i="32"/>
  <c r="BF222" i="32"/>
  <c r="N112" i="32"/>
  <c r="S112" i="32"/>
  <c r="BF112" i="32"/>
  <c r="BE112" i="32"/>
  <c r="N398" i="32"/>
  <c r="S398" i="32"/>
  <c r="BE398" i="32"/>
  <c r="BF398" i="32"/>
  <c r="N457" i="32"/>
  <c r="S457" i="32"/>
  <c r="BE457" i="32"/>
  <c r="BF457" i="32"/>
  <c r="N518" i="32"/>
  <c r="S518" i="32"/>
  <c r="BE518" i="32"/>
  <c r="BF518" i="32"/>
  <c r="N287" i="32"/>
  <c r="S287" i="32"/>
  <c r="BF287" i="32"/>
  <c r="BE287" i="32"/>
  <c r="O159" i="32"/>
  <c r="P159" i="32"/>
  <c r="N364" i="32"/>
  <c r="S364" i="32"/>
  <c r="BE364" i="32"/>
  <c r="BF364" i="32"/>
  <c r="N503" i="32"/>
  <c r="S503" i="32"/>
  <c r="BE503" i="32"/>
  <c r="BF503" i="32"/>
  <c r="O478" i="32"/>
  <c r="P478" i="32"/>
  <c r="O167" i="32"/>
  <c r="P167" i="32"/>
  <c r="N525" i="32"/>
  <c r="S525" i="32"/>
  <c r="BE525" i="32"/>
  <c r="BF525" i="32"/>
  <c r="N208" i="32"/>
  <c r="S208" i="32"/>
  <c r="BE208" i="32"/>
  <c r="BF208" i="32"/>
  <c r="N600" i="32"/>
  <c r="S600" i="32"/>
  <c r="BE600" i="32"/>
  <c r="BF600" i="32"/>
  <c r="N586" i="32"/>
  <c r="S586" i="32"/>
  <c r="BE586" i="32"/>
  <c r="BF586" i="32"/>
  <c r="N247" i="32"/>
  <c r="S247" i="32"/>
  <c r="BE247" i="32"/>
  <c r="BF247" i="32"/>
  <c r="S390" i="32"/>
  <c r="N390" i="32"/>
  <c r="BE390" i="32"/>
  <c r="BF390" i="32"/>
  <c r="O461" i="32"/>
  <c r="P461" i="32"/>
  <c r="O370" i="32"/>
  <c r="P370" i="32"/>
  <c r="N118" i="32"/>
  <c r="S118" i="32"/>
  <c r="BE118" i="32"/>
  <c r="BF118" i="32"/>
  <c r="N60" i="32"/>
  <c r="S60" i="32"/>
  <c r="BE60" i="32"/>
  <c r="BF60" i="32"/>
  <c r="N365" i="32"/>
  <c r="S365" i="32"/>
  <c r="BE365" i="32"/>
  <c r="BF365" i="32"/>
  <c r="S303" i="32"/>
  <c r="N303" i="32"/>
  <c r="BE303" i="32"/>
  <c r="BF303" i="32"/>
  <c r="O70" i="32"/>
  <c r="P70" i="32"/>
  <c r="O440" i="32"/>
  <c r="T440" i="32" s="1"/>
  <c r="AV440" i="32" s="1"/>
  <c r="P440" i="32"/>
  <c r="O520" i="32"/>
  <c r="P520" i="32"/>
  <c r="N624" i="32"/>
  <c r="S624" i="32"/>
  <c r="N92" i="32"/>
  <c r="S92" i="32"/>
  <c r="BE92" i="32"/>
  <c r="BF92" i="32"/>
  <c r="N569" i="32"/>
  <c r="S569" i="32"/>
  <c r="BE569" i="32"/>
  <c r="BF569" i="32"/>
  <c r="N509" i="32"/>
  <c r="S509" i="32"/>
  <c r="BE509" i="32"/>
  <c r="BF509" i="32"/>
  <c r="N188" i="32"/>
  <c r="S188" i="32"/>
  <c r="BE188" i="32"/>
  <c r="BF188" i="32"/>
  <c r="N248" i="32"/>
  <c r="S248" i="32"/>
  <c r="BE248" i="32"/>
  <c r="BF248" i="32"/>
  <c r="N459" i="32"/>
  <c r="S459" i="32"/>
  <c r="BF459" i="32"/>
  <c r="BE459" i="32"/>
  <c r="N477" i="32"/>
  <c r="S477" i="32"/>
  <c r="BE477" i="32"/>
  <c r="BF477" i="32"/>
  <c r="N505" i="32"/>
  <c r="S505" i="32"/>
  <c r="BE505" i="32"/>
  <c r="BF505" i="32"/>
  <c r="N300" i="32"/>
  <c r="S300" i="32"/>
  <c r="BE300" i="32"/>
  <c r="BF300" i="32"/>
  <c r="O378" i="32"/>
  <c r="P378" i="32"/>
  <c r="N316" i="32"/>
  <c r="S316" i="32"/>
  <c r="BF316" i="32"/>
  <c r="BE316" i="32"/>
  <c r="N335" i="32"/>
  <c r="S335" i="32"/>
  <c r="BE335" i="32"/>
  <c r="BF335" i="32"/>
  <c r="N190" i="32"/>
  <c r="S190" i="32"/>
  <c r="BE190" i="32"/>
  <c r="BF190" i="32"/>
  <c r="N15" i="32"/>
  <c r="S15" i="32"/>
  <c r="BE15" i="32"/>
  <c r="BF15" i="32"/>
  <c r="N602" i="32"/>
  <c r="S602" i="32"/>
  <c r="BE602" i="32"/>
  <c r="BF602" i="32"/>
  <c r="N292" i="32"/>
  <c r="S292" i="32"/>
  <c r="BF292" i="32"/>
  <c r="BE292" i="32"/>
  <c r="N599" i="32"/>
  <c r="S599" i="32"/>
  <c r="BE599" i="32"/>
  <c r="BF599" i="32"/>
  <c r="O120" i="32"/>
  <c r="P120" i="32"/>
  <c r="O442" i="32"/>
  <c r="T442" i="32" s="1"/>
  <c r="AV442" i="32" s="1"/>
  <c r="P442" i="32"/>
  <c r="N522" i="32"/>
  <c r="S522" i="32"/>
  <c r="BE522" i="32"/>
  <c r="BF522" i="32"/>
  <c r="N529" i="32"/>
  <c r="S529" i="32"/>
  <c r="BE529" i="32"/>
  <c r="BF529" i="32"/>
  <c r="N252" i="32"/>
  <c r="S252" i="32"/>
  <c r="BE252" i="32"/>
  <c r="BF252" i="32"/>
  <c r="S43" i="32"/>
  <c r="N43" i="32"/>
  <c r="BE43" i="32"/>
  <c r="BF43" i="32"/>
  <c r="O192" i="32"/>
  <c r="P192" i="32"/>
  <c r="N491" i="32"/>
  <c r="S491" i="32"/>
  <c r="BE491" i="32"/>
  <c r="BF491" i="32"/>
  <c r="S357" i="32"/>
  <c r="N357" i="32"/>
  <c r="BE357" i="32"/>
  <c r="BF357" i="32"/>
  <c r="O219" i="32"/>
  <c r="P219" i="32"/>
  <c r="N111" i="32"/>
  <c r="S111" i="32"/>
  <c r="BE111" i="32"/>
  <c r="BF111" i="32"/>
  <c r="N519" i="32"/>
  <c r="S519" i="32"/>
  <c r="BF519" i="32"/>
  <c r="BE519" i="32"/>
  <c r="N583" i="32"/>
  <c r="S583" i="32"/>
  <c r="BE583" i="32"/>
  <c r="BF583" i="32"/>
  <c r="N138" i="32"/>
  <c r="S138" i="32"/>
  <c r="BE138" i="32"/>
  <c r="BF138" i="32"/>
  <c r="N173" i="32"/>
  <c r="S173" i="32"/>
  <c r="BE173" i="32"/>
  <c r="BF173" i="32"/>
  <c r="S286" i="32"/>
  <c r="N286" i="32"/>
  <c r="BE286" i="32"/>
  <c r="BF286" i="32"/>
  <c r="O582" i="32"/>
  <c r="P582" i="32"/>
  <c r="S212" i="32"/>
  <c r="N212" i="32"/>
  <c r="BE212" i="32"/>
  <c r="BF212" i="32"/>
  <c r="N307" i="32"/>
  <c r="S307" i="32"/>
  <c r="BE307" i="32"/>
  <c r="BF307" i="32"/>
  <c r="O322" i="32"/>
  <c r="P322" i="32"/>
  <c r="N195" i="32"/>
  <c r="S195" i="32"/>
  <c r="BE195" i="32"/>
  <c r="BF195" i="32"/>
  <c r="S51" i="32"/>
  <c r="N51" i="32"/>
  <c r="BE51" i="32"/>
  <c r="BF51" i="32"/>
  <c r="S146" i="32"/>
  <c r="N146" i="32"/>
  <c r="BE146" i="32"/>
  <c r="BF146" i="32"/>
  <c r="O80" i="32"/>
  <c r="P80" i="32"/>
  <c r="N89" i="32"/>
  <c r="S89" i="32"/>
  <c r="BF89" i="32"/>
  <c r="BE89" i="32"/>
  <c r="N133" i="32"/>
  <c r="S133" i="32"/>
  <c r="BE133" i="32"/>
  <c r="BF133" i="32"/>
  <c r="N382" i="32"/>
  <c r="S382" i="32"/>
  <c r="BF382" i="32"/>
  <c r="BE382" i="32"/>
  <c r="S299" i="32"/>
  <c r="N299" i="32"/>
  <c r="BE299" i="32"/>
  <c r="BF299" i="32"/>
  <c r="N449" i="32"/>
  <c r="S449" i="32"/>
  <c r="BE449" i="32"/>
  <c r="BF449" i="32"/>
  <c r="N593" i="32"/>
  <c r="S593" i="32"/>
  <c r="BE593" i="32"/>
  <c r="BF593" i="32"/>
  <c r="N241" i="32"/>
  <c r="S241" i="32"/>
  <c r="BE241" i="32"/>
  <c r="BF241" i="32"/>
  <c r="N526" i="32"/>
  <c r="S526" i="32"/>
  <c r="BF526" i="32"/>
  <c r="BE526" i="32"/>
  <c r="N119" i="32"/>
  <c r="S119" i="32"/>
  <c r="BF119" i="32"/>
  <c r="BE119" i="32"/>
  <c r="N543" i="32"/>
  <c r="S543" i="32"/>
  <c r="BE543" i="32"/>
  <c r="BF543" i="32"/>
  <c r="S371" i="32"/>
  <c r="N371" i="32"/>
  <c r="BE371" i="32"/>
  <c r="BF371" i="32"/>
  <c r="S345" i="32"/>
  <c r="N345" i="32"/>
  <c r="BE345" i="32"/>
  <c r="BF345" i="32"/>
  <c r="O544" i="32"/>
  <c r="P544" i="32"/>
  <c r="S293" i="32"/>
  <c r="N293" i="32"/>
  <c r="BE293" i="32"/>
  <c r="BF293" i="32"/>
  <c r="N246" i="32"/>
  <c r="S246" i="32"/>
  <c r="BE246" i="32"/>
  <c r="BF246" i="32"/>
  <c r="S157" i="32"/>
  <c r="N157" i="32"/>
  <c r="BE157" i="32"/>
  <c r="BF157" i="32"/>
  <c r="N260" i="32"/>
  <c r="S260" i="32"/>
  <c r="BF260" i="32"/>
  <c r="BE260" i="32"/>
  <c r="N100" i="32"/>
  <c r="S100" i="32"/>
  <c r="BE100" i="32"/>
  <c r="BF100" i="32"/>
  <c r="S490" i="32"/>
  <c r="N490" i="32"/>
  <c r="BE490" i="32"/>
  <c r="BF490" i="32"/>
  <c r="N466" i="32"/>
  <c r="S466" i="32"/>
  <c r="BF466" i="32"/>
  <c r="BE466" i="32"/>
  <c r="N31" i="32"/>
  <c r="S31" i="32"/>
  <c r="BE31" i="32"/>
  <c r="BF31" i="32"/>
  <c r="N77" i="32"/>
  <c r="S77" i="32"/>
  <c r="BE77" i="32"/>
  <c r="BF77" i="32"/>
  <c r="N154" i="32"/>
  <c r="S154" i="32"/>
  <c r="BE154" i="32"/>
  <c r="BF154" i="32"/>
  <c r="N396" i="32"/>
  <c r="S396" i="32"/>
  <c r="BE396" i="32"/>
  <c r="BF396" i="32"/>
  <c r="N329" i="32"/>
  <c r="S329" i="32"/>
  <c r="BE329" i="32"/>
  <c r="BF329" i="32"/>
  <c r="N610" i="32"/>
  <c r="S610" i="32"/>
  <c r="BE610" i="32"/>
  <c r="BF610" i="32"/>
  <c r="N56" i="32"/>
  <c r="S56" i="32"/>
  <c r="BE56" i="32"/>
  <c r="BF56" i="32"/>
  <c r="O496" i="32"/>
  <c r="P496" i="32"/>
  <c r="N557" i="32"/>
  <c r="S557" i="32"/>
  <c r="BE557" i="32"/>
  <c r="BF557" i="32"/>
  <c r="O144" i="32"/>
  <c r="P144" i="32"/>
  <c r="N63" i="32"/>
  <c r="S63" i="32"/>
  <c r="BE63" i="32"/>
  <c r="BF63" i="32"/>
  <c r="N207" i="32"/>
  <c r="S207" i="32"/>
  <c r="BF207" i="32"/>
  <c r="BE207" i="32"/>
  <c r="S87" i="32"/>
  <c r="N87" i="32"/>
  <c r="BE87" i="32"/>
  <c r="BF87" i="32"/>
  <c r="N280" i="32"/>
  <c r="S280" i="32"/>
  <c r="BE280" i="32"/>
  <c r="BF280" i="32"/>
  <c r="O24" i="32"/>
  <c r="P24" i="32"/>
  <c r="N155" i="32"/>
  <c r="S155" i="32"/>
  <c r="BE155" i="32"/>
  <c r="BF155" i="32"/>
  <c r="N475" i="32"/>
  <c r="S475" i="32"/>
  <c r="BE475" i="32"/>
  <c r="BF475" i="32"/>
  <c r="S337" i="32"/>
  <c r="N337" i="32"/>
  <c r="BF337" i="32"/>
  <c r="BE337" i="32"/>
  <c r="N425" i="32"/>
  <c r="S425" i="32"/>
  <c r="BE425" i="32"/>
  <c r="BF425" i="32"/>
  <c r="N150" i="32"/>
  <c r="S150" i="32"/>
  <c r="BE150" i="32"/>
  <c r="BF150" i="32"/>
  <c r="N276" i="32"/>
  <c r="S276" i="32"/>
  <c r="BF276" i="32"/>
  <c r="BE276" i="32"/>
  <c r="N45" i="32"/>
  <c r="S45" i="32"/>
  <c r="BE45" i="32"/>
  <c r="BF45" i="32"/>
  <c r="N33" i="32"/>
  <c r="S33" i="32"/>
  <c r="BF33" i="32"/>
  <c r="BE33" i="32"/>
  <c r="N351" i="32"/>
  <c r="S351" i="32"/>
  <c r="BE351" i="32"/>
  <c r="BF351" i="32"/>
  <c r="N501" i="32"/>
  <c r="S501" i="32"/>
  <c r="BE501" i="32"/>
  <c r="BF501" i="32"/>
  <c r="S397" i="32"/>
  <c r="N397" i="32"/>
  <c r="BE397" i="32"/>
  <c r="BF397" i="32"/>
  <c r="N393" i="32"/>
  <c r="S393" i="32"/>
  <c r="BE393" i="32"/>
  <c r="BF393" i="32"/>
  <c r="N74" i="32"/>
  <c r="S74" i="32"/>
  <c r="BE74" i="32"/>
  <c r="BF74" i="32"/>
  <c r="S541" i="32"/>
  <c r="N541" i="32"/>
  <c r="BE541" i="32"/>
  <c r="BF541" i="32"/>
  <c r="N628" i="32"/>
  <c r="S628" i="32"/>
  <c r="N492" i="32"/>
  <c r="S492" i="32"/>
  <c r="BE492" i="32"/>
  <c r="BF492" i="32"/>
  <c r="N523" i="32"/>
  <c r="S523" i="32"/>
  <c r="BE523" i="32"/>
  <c r="BF523" i="32"/>
  <c r="O512" i="32"/>
  <c r="P512" i="32"/>
  <c r="N399" i="32"/>
  <c r="S399" i="32"/>
  <c r="BE399" i="32"/>
  <c r="BF399" i="32"/>
  <c r="N608" i="32"/>
  <c r="S608" i="32"/>
  <c r="BE608" i="32"/>
  <c r="BF608" i="32"/>
  <c r="N261" i="32"/>
  <c r="S261" i="32"/>
  <c r="BE261" i="32"/>
  <c r="BF261" i="32"/>
  <c r="N377" i="32"/>
  <c r="S377" i="32"/>
  <c r="BE377" i="32"/>
  <c r="BF377" i="32"/>
  <c r="N428" i="32"/>
  <c r="S428" i="32"/>
  <c r="BE428" i="32"/>
  <c r="BF428" i="32"/>
  <c r="N556" i="32"/>
  <c r="S556" i="32"/>
  <c r="BF556" i="32"/>
  <c r="BE556" i="32"/>
  <c r="N28" i="32"/>
  <c r="S28" i="32"/>
  <c r="BF28" i="32"/>
  <c r="BE28" i="32"/>
  <c r="N305" i="32"/>
  <c r="S305" i="32"/>
  <c r="BE305" i="32"/>
  <c r="BF305" i="32"/>
  <c r="N47" i="32"/>
  <c r="S47" i="32"/>
  <c r="BF47" i="32"/>
  <c r="BE47" i="32"/>
  <c r="S383" i="32"/>
  <c r="N383" i="32"/>
  <c r="BF383" i="32"/>
  <c r="BE383" i="32"/>
  <c r="S375" i="32"/>
  <c r="N375" i="32"/>
  <c r="BE375" i="32"/>
  <c r="BF375" i="32"/>
  <c r="N121" i="32"/>
  <c r="S121" i="32"/>
  <c r="BE121" i="32"/>
  <c r="BF121" i="32"/>
  <c r="N308" i="32"/>
  <c r="S308" i="32"/>
  <c r="BE308" i="32"/>
  <c r="BF308" i="32"/>
  <c r="S354" i="32"/>
  <c r="N354" i="32"/>
  <c r="BE354" i="32"/>
  <c r="BF354" i="32"/>
  <c r="N553" i="32"/>
  <c r="S553" i="32"/>
  <c r="BE553" i="32"/>
  <c r="BF553" i="32"/>
  <c r="N565" i="32"/>
  <c r="S565" i="32"/>
  <c r="BE565" i="32"/>
  <c r="BF565" i="32"/>
  <c r="N622" i="32"/>
  <c r="S622" i="32"/>
  <c r="N233" i="32"/>
  <c r="S233" i="32"/>
  <c r="BF233" i="32"/>
  <c r="BE233" i="32"/>
  <c r="N421" i="32"/>
  <c r="S421" i="32"/>
  <c r="BE421" i="32"/>
  <c r="BF421" i="32"/>
  <c r="N629" i="32"/>
  <c r="S629" i="32"/>
  <c r="O152" i="32"/>
  <c r="P152" i="32"/>
  <c r="N125" i="32"/>
  <c r="S125" i="32"/>
  <c r="BE125" i="32"/>
  <c r="BF125" i="32"/>
  <c r="N472" i="32"/>
  <c r="S472" i="32"/>
  <c r="BE472" i="32"/>
  <c r="BF472" i="32"/>
  <c r="N270" i="32"/>
  <c r="S270" i="32"/>
  <c r="BE270" i="32"/>
  <c r="BF270" i="32"/>
  <c r="S575" i="32"/>
  <c r="N575" i="32"/>
  <c r="BE575" i="32"/>
  <c r="BF575" i="32"/>
  <c r="N454" i="32"/>
  <c r="S454" i="32"/>
  <c r="BE454" i="32"/>
  <c r="BF454" i="32"/>
  <c r="O135" i="32"/>
  <c r="P135" i="32"/>
  <c r="N403" i="32"/>
  <c r="S403" i="32"/>
  <c r="BE403" i="32"/>
  <c r="BF403" i="32"/>
  <c r="N209" i="32"/>
  <c r="S209" i="32"/>
  <c r="BE209" i="32"/>
  <c r="BF209" i="32"/>
  <c r="N481" i="32"/>
  <c r="S481" i="32"/>
  <c r="BE481" i="32"/>
  <c r="BF481" i="32"/>
  <c r="N95" i="32"/>
  <c r="S95" i="32"/>
  <c r="BE95" i="32"/>
  <c r="BF95" i="32"/>
  <c r="N373" i="32"/>
  <c r="S373" i="32"/>
  <c r="BE373" i="32"/>
  <c r="BF373" i="32"/>
  <c r="N274" i="32"/>
  <c r="S274" i="32"/>
  <c r="BE274" i="32"/>
  <c r="BF274" i="32"/>
  <c r="N473" i="32"/>
  <c r="S473" i="32"/>
  <c r="BE473" i="32"/>
  <c r="BF473" i="32"/>
  <c r="N595" i="32"/>
  <c r="S595" i="32"/>
  <c r="BF595" i="32"/>
  <c r="BE595" i="32"/>
  <c r="N142" i="32"/>
  <c r="S142" i="32"/>
  <c r="BE142" i="32"/>
  <c r="BF142" i="32"/>
  <c r="N451" i="32"/>
  <c r="S451" i="32"/>
  <c r="BE451" i="32"/>
  <c r="BF451" i="32"/>
  <c r="S463" i="32"/>
  <c r="N463" i="32"/>
  <c r="BE463" i="32"/>
  <c r="BF463" i="32"/>
  <c r="N279" i="32"/>
  <c r="S279" i="32"/>
  <c r="BE279" i="32"/>
  <c r="BF279" i="32"/>
  <c r="N283" i="32"/>
  <c r="S283" i="32"/>
  <c r="BF283" i="32"/>
  <c r="BE283" i="32"/>
  <c r="N549" i="32"/>
  <c r="S549" i="32"/>
  <c r="BE549" i="32"/>
  <c r="BF549" i="32"/>
  <c r="N585" i="32"/>
  <c r="S585" i="32"/>
  <c r="BE585" i="32"/>
  <c r="BF585" i="32"/>
  <c r="N448" i="32"/>
  <c r="S448" i="32"/>
  <c r="BE448" i="32"/>
  <c r="BF448" i="32"/>
  <c r="N341" i="32"/>
  <c r="S341" i="32"/>
  <c r="BF341" i="32"/>
  <c r="BE341" i="32"/>
  <c r="N605" i="32"/>
  <c r="S605" i="32"/>
  <c r="BE605" i="32"/>
  <c r="BF605" i="32"/>
  <c r="N245" i="32"/>
  <c r="S245" i="32"/>
  <c r="BE245" i="32"/>
  <c r="BF245" i="32"/>
  <c r="N603" i="32"/>
  <c r="S603" i="32"/>
  <c r="BE603" i="32"/>
  <c r="BF603" i="32"/>
  <c r="N153" i="32"/>
  <c r="S153" i="32"/>
  <c r="BE153" i="32"/>
  <c r="BF153" i="32"/>
  <c r="N193" i="32"/>
  <c r="S193" i="32"/>
  <c r="BE193" i="32"/>
  <c r="BF193" i="32"/>
  <c r="O243" i="32"/>
  <c r="P243" i="32"/>
  <c r="N244" i="32"/>
  <c r="S244" i="32"/>
  <c r="BF244" i="32"/>
  <c r="BE244" i="32"/>
  <c r="N156" i="32"/>
  <c r="S156" i="32"/>
  <c r="BF156" i="32"/>
  <c r="BE156" i="32"/>
  <c r="N197" i="32"/>
  <c r="S197" i="32"/>
  <c r="BF197" i="32"/>
  <c r="BE197" i="32"/>
  <c r="N441" i="32"/>
  <c r="S441" i="32"/>
  <c r="BE441" i="32"/>
  <c r="BF441" i="32"/>
  <c r="O191" i="32"/>
  <c r="P191" i="32"/>
  <c r="O104" i="32"/>
  <c r="P104" i="32"/>
  <c r="O560" i="32"/>
  <c r="P560" i="32"/>
  <c r="O598" i="32"/>
  <c r="P598" i="32"/>
  <c r="O384" i="32"/>
  <c r="P384" i="32"/>
  <c r="O434" i="32"/>
  <c r="T434" i="32" s="1"/>
  <c r="AV434" i="32" s="1"/>
  <c r="P434" i="32"/>
  <c r="N567" i="32"/>
  <c r="S567" i="32"/>
  <c r="BE567" i="32"/>
  <c r="BF567" i="32"/>
  <c r="O453" i="32"/>
  <c r="P453" i="32"/>
  <c r="O480" i="32"/>
  <c r="P480" i="32"/>
  <c r="O558" i="32"/>
  <c r="P558" i="32"/>
  <c r="N234" i="32"/>
  <c r="S234" i="32"/>
  <c r="BE234" i="32"/>
  <c r="BF234" i="32"/>
  <c r="O408" i="32"/>
  <c r="P408" i="32"/>
  <c r="N521" i="32"/>
  <c r="S521" i="32"/>
  <c r="BE521" i="32"/>
  <c r="BF521" i="32"/>
  <c r="N97" i="32"/>
  <c r="S97" i="32"/>
  <c r="BE97" i="32"/>
  <c r="BF97" i="32"/>
  <c r="S431" i="32"/>
  <c r="N431" i="32"/>
  <c r="BE431" i="32"/>
  <c r="BF431" i="32"/>
  <c r="N513" i="32"/>
  <c r="S513" i="32"/>
  <c r="BE513" i="32"/>
  <c r="BF513" i="32"/>
  <c r="S550" i="32"/>
  <c r="N550" i="32"/>
  <c r="BE550" i="32"/>
  <c r="BF550" i="32"/>
  <c r="S564" i="32"/>
  <c r="N564" i="32"/>
  <c r="BE564" i="32"/>
  <c r="BF564" i="32"/>
  <c r="N113" i="32"/>
  <c r="S113" i="32"/>
  <c r="BE113" i="32"/>
  <c r="BF113" i="32"/>
  <c r="N273" i="32"/>
  <c r="S273" i="32"/>
  <c r="BF273" i="32"/>
  <c r="BE273" i="32"/>
  <c r="N517" i="32"/>
  <c r="S517" i="32"/>
  <c r="BE517" i="32"/>
  <c r="BF517" i="32"/>
  <c r="N68" i="32"/>
  <c r="S68" i="32"/>
  <c r="BE68" i="32"/>
  <c r="BF68" i="32"/>
  <c r="N75" i="32"/>
  <c r="S75" i="32"/>
  <c r="BE75" i="32"/>
  <c r="BF75" i="32"/>
  <c r="N538" i="32"/>
  <c r="S538" i="32"/>
  <c r="BE538" i="32"/>
  <c r="BF538" i="32"/>
  <c r="N514" i="32"/>
  <c r="S514" i="32"/>
  <c r="BE514" i="32"/>
  <c r="BF514" i="32"/>
  <c r="N576" i="32"/>
  <c r="S576" i="32"/>
  <c r="BE576" i="32"/>
  <c r="BF576" i="32"/>
  <c r="N214" i="32"/>
  <c r="S214" i="32"/>
  <c r="BE214" i="32"/>
  <c r="BF214" i="32"/>
  <c r="N391" i="32"/>
  <c r="S391" i="32"/>
  <c r="BE391" i="32"/>
  <c r="BF391" i="32"/>
  <c r="N581" i="32"/>
  <c r="S581" i="32"/>
  <c r="BE581" i="32"/>
  <c r="BF581" i="32"/>
  <c r="N76" i="32"/>
  <c r="S76" i="32"/>
  <c r="BE76" i="32"/>
  <c r="BF76" i="32"/>
  <c r="O350" i="32"/>
  <c r="P350" i="32"/>
  <c r="N542" i="32"/>
  <c r="S542" i="32"/>
  <c r="BE542" i="32"/>
  <c r="BF542" i="32"/>
  <c r="S201" i="32"/>
  <c r="N201" i="32"/>
  <c r="BE201" i="32"/>
  <c r="BF201" i="32"/>
  <c r="O143" i="32"/>
  <c r="P143" i="32"/>
  <c r="N189" i="32"/>
  <c r="S189" i="32"/>
  <c r="BE189" i="32"/>
  <c r="BF189" i="32"/>
  <c r="N239" i="32"/>
  <c r="S239" i="32"/>
  <c r="BE239" i="32"/>
  <c r="BF239" i="32"/>
  <c r="M13" i="32"/>
  <c r="B23" i="32"/>
  <c r="N458" i="32"/>
  <c r="S458" i="32"/>
  <c r="BE458" i="32"/>
  <c r="BF458" i="32"/>
  <c r="N340" i="32"/>
  <c r="S340" i="32"/>
  <c r="BE340" i="32"/>
  <c r="BF340" i="32"/>
  <c r="N194" i="32"/>
  <c r="S194" i="32"/>
  <c r="BE194" i="32"/>
  <c r="BF194" i="32"/>
  <c r="O227" i="32"/>
  <c r="P227" i="32"/>
  <c r="N395" i="32"/>
  <c r="S395" i="32"/>
  <c r="BE395" i="32"/>
  <c r="BF395" i="32"/>
  <c r="O426" i="32"/>
  <c r="P426" i="32"/>
  <c r="N429" i="32"/>
  <c r="S429" i="32"/>
  <c r="BE429" i="32"/>
  <c r="BF429" i="32"/>
  <c r="N493" i="32"/>
  <c r="S493" i="32"/>
  <c r="BE493" i="32"/>
  <c r="BF493" i="32"/>
  <c r="N353" i="32"/>
  <c r="S353" i="32"/>
  <c r="BE353" i="32"/>
  <c r="BF353" i="32"/>
  <c r="N101" i="32"/>
  <c r="S101" i="32"/>
  <c r="BE101" i="32"/>
  <c r="BF101" i="32"/>
  <c r="N297" i="32"/>
  <c r="S297" i="32"/>
  <c r="BE297" i="32"/>
  <c r="BF297" i="32"/>
  <c r="N612" i="32"/>
  <c r="S612" i="32"/>
  <c r="BF612" i="32"/>
  <c r="BE612" i="32"/>
  <c r="N546" i="32"/>
  <c r="S546" i="32"/>
  <c r="BE546" i="32"/>
  <c r="BF546" i="32"/>
  <c r="N476" i="32"/>
  <c r="S476" i="32"/>
  <c r="BE476" i="32"/>
  <c r="BF476" i="32"/>
  <c r="O342" i="32"/>
  <c r="P342" i="32"/>
  <c r="O552" i="32"/>
  <c r="P552" i="32"/>
  <c r="N277" i="32"/>
  <c r="S277" i="32"/>
  <c r="BE277" i="32"/>
  <c r="BF277" i="32"/>
  <c r="O344" i="32"/>
  <c r="P344" i="32"/>
  <c r="S267" i="32"/>
  <c r="N267" i="32"/>
  <c r="BE267" i="32"/>
  <c r="BF267" i="32"/>
  <c r="N604" i="32"/>
  <c r="S604" i="32"/>
  <c r="BE604" i="32"/>
  <c r="BF604" i="32"/>
  <c r="S318" i="32"/>
  <c r="N318" i="32"/>
  <c r="BF318" i="32"/>
  <c r="BE318" i="32"/>
  <c r="N218" i="32"/>
  <c r="S218" i="32"/>
  <c r="BE218" i="32"/>
  <c r="BF218" i="32"/>
  <c r="O176" i="32"/>
  <c r="T176" i="32" s="1"/>
  <c r="AV176" i="32" s="1"/>
  <c r="P176" i="32"/>
  <c r="N205" i="32"/>
  <c r="S205" i="32"/>
  <c r="BE205" i="32"/>
  <c r="BF205" i="32"/>
  <c r="N108" i="32"/>
  <c r="S108" i="32"/>
  <c r="BE108" i="32"/>
  <c r="BF108" i="32"/>
  <c r="N171" i="32"/>
  <c r="S171" i="32"/>
  <c r="BE171" i="32"/>
  <c r="BF171" i="32"/>
  <c r="N540" i="32"/>
  <c r="S540" i="32"/>
  <c r="BF540" i="32"/>
  <c r="BE540" i="32"/>
  <c r="N254" i="32"/>
  <c r="S254" i="32"/>
  <c r="BE254" i="32"/>
  <c r="BF254" i="32"/>
  <c r="N134" i="32"/>
  <c r="S134" i="32"/>
  <c r="BE134" i="32"/>
  <c r="BF134" i="32"/>
  <c r="N419" i="32"/>
  <c r="S419" i="32"/>
  <c r="BF419" i="32"/>
  <c r="BE419" i="32"/>
  <c r="N343" i="32"/>
  <c r="S343" i="32"/>
  <c r="BE343" i="32"/>
  <c r="BF343" i="32"/>
  <c r="S94" i="32"/>
  <c r="N94" i="32"/>
  <c r="BE94" i="32"/>
  <c r="BF94" i="32"/>
  <c r="O72" i="32"/>
  <c r="P72" i="32"/>
  <c r="O266" i="32"/>
  <c r="P266" i="32"/>
  <c r="N294" i="32"/>
  <c r="S294" i="32"/>
  <c r="BE294" i="32"/>
  <c r="BF294" i="32"/>
  <c r="N161" i="32"/>
  <c r="S161" i="32"/>
  <c r="BE161" i="32"/>
  <c r="BF161" i="32"/>
  <c r="O32" i="32"/>
  <c r="T32" i="32" s="1"/>
  <c r="AV32" i="32" s="1"/>
  <c r="P32" i="32"/>
  <c r="S590" i="32"/>
  <c r="N590" i="32"/>
  <c r="BE590" i="32"/>
  <c r="BF590" i="32"/>
  <c r="O40" i="32"/>
  <c r="T40" i="32" s="1"/>
  <c r="AV40" i="32" s="1"/>
  <c r="P40" i="32"/>
  <c r="O90" i="32"/>
  <c r="P90" i="32"/>
  <c r="N115" i="32"/>
  <c r="S115" i="32"/>
  <c r="BE115" i="32"/>
  <c r="BF115" i="32"/>
  <c r="N304" i="32"/>
  <c r="S304" i="32"/>
  <c r="BE304" i="32"/>
  <c r="BF304" i="32"/>
  <c r="S314" i="32"/>
  <c r="N314" i="32"/>
  <c r="BE314" i="32"/>
  <c r="BF314" i="32"/>
  <c r="N495" i="32"/>
  <c r="S495" i="32"/>
  <c r="BE495" i="32"/>
  <c r="BF495" i="32"/>
  <c r="N334" i="32"/>
  <c r="S334" i="32"/>
  <c r="BE334" i="32"/>
  <c r="BF334" i="32"/>
  <c r="N438" i="32"/>
  <c r="S438" i="32"/>
  <c r="BE438" i="32"/>
  <c r="BF438" i="32"/>
  <c r="N589" i="32"/>
  <c r="S589" i="32"/>
  <c r="BE589" i="32"/>
  <c r="BF589" i="32"/>
  <c r="N210" i="32"/>
  <c r="S210" i="32"/>
  <c r="BE210" i="32"/>
  <c r="BF210" i="32"/>
  <c r="O82" i="32"/>
  <c r="P82" i="32"/>
  <c r="N325" i="32"/>
  <c r="S325" i="32"/>
  <c r="BE325" i="32"/>
  <c r="BF325" i="32"/>
  <c r="N204" i="32"/>
  <c r="S204" i="32"/>
  <c r="BE204" i="32"/>
  <c r="BF204" i="32"/>
  <c r="S19" i="32"/>
  <c r="N19" i="32"/>
  <c r="BE19" i="32"/>
  <c r="BF19" i="32"/>
  <c r="O574" i="32"/>
  <c r="P574" i="32"/>
  <c r="N259" i="32"/>
  <c r="S259" i="32"/>
  <c r="BE259" i="32"/>
  <c r="BF259" i="32"/>
  <c r="N388" i="32"/>
  <c r="S388" i="32"/>
  <c r="BF388" i="32"/>
  <c r="BE388" i="32"/>
  <c r="N506" i="32"/>
  <c r="S506" i="32"/>
  <c r="BE506" i="32"/>
  <c r="BF506" i="32"/>
  <c r="S85" i="32"/>
  <c r="N85" i="32"/>
  <c r="BE85" i="32"/>
  <c r="BF85" i="32"/>
  <c r="N320" i="32"/>
  <c r="S320" i="32"/>
  <c r="BE320" i="32"/>
  <c r="BF320" i="32"/>
  <c r="N406" i="32"/>
  <c r="S406" i="32"/>
  <c r="BF406" i="32"/>
  <c r="BE406" i="32"/>
  <c r="N57" i="32"/>
  <c r="S57" i="32"/>
  <c r="BE57" i="32"/>
  <c r="BF57" i="32"/>
  <c r="N596" i="32"/>
  <c r="S596" i="32"/>
  <c r="BE596" i="32"/>
  <c r="BF596" i="32"/>
  <c r="O226" i="32"/>
  <c r="P226" i="32"/>
  <c r="N413" i="32"/>
  <c r="S413" i="32"/>
  <c r="BE413" i="32"/>
  <c r="BF413" i="32"/>
  <c r="N409" i="32"/>
  <c r="S409" i="32"/>
  <c r="BE409" i="32"/>
  <c r="BF409" i="32"/>
  <c r="N584" i="32"/>
  <c r="S584" i="32"/>
  <c r="BE584" i="32"/>
  <c r="BF584" i="32"/>
  <c r="N531" i="32"/>
  <c r="S531" i="32"/>
  <c r="BE531" i="32"/>
  <c r="BF531" i="32"/>
  <c r="O183" i="32"/>
  <c r="P183" i="32"/>
  <c r="N511" i="32"/>
  <c r="S511" i="32"/>
  <c r="BE511" i="32"/>
  <c r="BF511" i="32"/>
  <c r="N367" i="32"/>
  <c r="S367" i="32"/>
  <c r="BF367" i="32"/>
  <c r="BE367" i="32"/>
  <c r="N265" i="32"/>
  <c r="S265" i="32"/>
  <c r="BF265" i="32"/>
  <c r="BE265" i="32"/>
  <c r="N36" i="32"/>
  <c r="S36" i="32"/>
  <c r="BE36" i="32"/>
  <c r="BF36" i="32"/>
  <c r="N264" i="32"/>
  <c r="S264" i="32"/>
  <c r="BE264" i="32"/>
  <c r="BF264" i="32"/>
  <c r="N339" i="32"/>
  <c r="S339" i="32"/>
  <c r="BE339" i="32"/>
  <c r="BF339" i="32"/>
  <c r="N23" i="32"/>
  <c r="S23" i="32"/>
  <c r="BE23" i="32"/>
  <c r="BF23" i="32"/>
  <c r="N65" i="32"/>
  <c r="S65" i="32"/>
  <c r="BE65" i="32"/>
  <c r="BF65" i="32"/>
  <c r="N272" i="32"/>
  <c r="S272" i="32"/>
  <c r="BE272" i="32"/>
  <c r="BF272" i="32"/>
  <c r="N67" i="32"/>
  <c r="S67" i="32"/>
  <c r="BF67" i="32"/>
  <c r="BE67" i="32"/>
  <c r="N479" i="32"/>
  <c r="S479" i="32"/>
  <c r="BE479" i="32"/>
  <c r="BF479" i="32"/>
  <c r="S324" i="32"/>
  <c r="N324" i="32"/>
  <c r="BE324" i="32"/>
  <c r="BF324" i="32"/>
  <c r="O290" i="32"/>
  <c r="P290" i="32"/>
  <c r="N123" i="32"/>
  <c r="S123" i="32"/>
  <c r="BF123" i="32"/>
  <c r="BE123" i="32"/>
  <c r="N376" i="32"/>
  <c r="S376" i="32"/>
  <c r="BE376" i="32"/>
  <c r="BF376" i="32"/>
  <c r="O175" i="32"/>
  <c r="P175" i="32"/>
  <c r="O258" i="32"/>
  <c r="P258" i="32"/>
  <c r="S389" i="32"/>
  <c r="N389" i="32"/>
  <c r="BE389" i="32"/>
  <c r="BF389" i="32"/>
  <c r="O14" i="32"/>
  <c r="P14" i="32"/>
  <c r="N561" i="32"/>
  <c r="S561" i="32"/>
  <c r="BE561" i="32"/>
  <c r="BF561" i="32"/>
  <c r="N238" i="32"/>
  <c r="S238" i="32"/>
  <c r="BE238" i="32"/>
  <c r="BF238" i="32"/>
  <c r="N49" i="32"/>
  <c r="S49" i="32"/>
  <c r="BE49" i="32"/>
  <c r="BF49" i="32"/>
  <c r="N444" i="32"/>
  <c r="S444" i="32"/>
  <c r="BE444" i="32"/>
  <c r="BF444" i="32"/>
  <c r="N228" i="32"/>
  <c r="S228" i="32"/>
  <c r="BE228" i="32"/>
  <c r="BF228" i="32"/>
  <c r="S407" i="32"/>
  <c r="N407" i="32"/>
  <c r="BE407" i="32"/>
  <c r="BF407" i="32"/>
  <c r="S456" i="32"/>
  <c r="N456" i="32"/>
  <c r="BE456" i="32"/>
  <c r="BF456" i="32"/>
  <c r="O151" i="32"/>
  <c r="T151" i="32" s="1"/>
  <c r="AV151" i="32" s="1"/>
  <c r="P151" i="32"/>
  <c r="N333" i="32"/>
  <c r="S333" i="32"/>
  <c r="BE333" i="32"/>
  <c r="BF333" i="32"/>
  <c r="O432" i="32"/>
  <c r="P432" i="32"/>
  <c r="N172" i="32"/>
  <c r="S172" i="32"/>
  <c r="BE172" i="32"/>
  <c r="BF172" i="32"/>
  <c r="N452" i="32"/>
  <c r="S452" i="32"/>
  <c r="BE452" i="32"/>
  <c r="BF452" i="32"/>
  <c r="N312" i="32"/>
  <c r="S312" i="32"/>
  <c r="BE312" i="32"/>
  <c r="BF312" i="32"/>
  <c r="N374" i="32"/>
  <c r="S374" i="32"/>
  <c r="BE374" i="32"/>
  <c r="BF374" i="32"/>
  <c r="N103" i="32"/>
  <c r="S103" i="32"/>
  <c r="BF103" i="32"/>
  <c r="BE103" i="32"/>
  <c r="S379" i="32"/>
  <c r="N379" i="32"/>
  <c r="BE379" i="32"/>
  <c r="BF379" i="32"/>
  <c r="O102" i="32"/>
  <c r="P102" i="32"/>
  <c r="N487" i="32"/>
  <c r="S487" i="32"/>
  <c r="BF487" i="32"/>
  <c r="BE487" i="32"/>
  <c r="N281" i="32"/>
  <c r="S281" i="32"/>
  <c r="BE281" i="32"/>
  <c r="BF281" i="32"/>
  <c r="N338" i="32"/>
  <c r="S338" i="32"/>
  <c r="BE338" i="32"/>
  <c r="BF338" i="32"/>
  <c r="O394" i="32"/>
  <c r="T394" i="32" s="1"/>
  <c r="AV394" i="32" s="1"/>
  <c r="P394" i="32"/>
  <c r="N278" i="32"/>
  <c r="S278" i="32"/>
  <c r="BE278" i="32"/>
  <c r="BF278" i="32"/>
  <c r="N587" i="32"/>
  <c r="S587" i="32"/>
  <c r="BE587" i="32"/>
  <c r="BF587" i="32"/>
  <c r="S532" i="32"/>
  <c r="N532" i="32"/>
  <c r="BE532" i="32"/>
  <c r="BF532" i="32"/>
  <c r="O38" i="32"/>
  <c r="P38" i="32"/>
  <c r="N347" i="32"/>
  <c r="S347" i="32"/>
  <c r="BE347" i="32"/>
  <c r="BF347" i="32"/>
  <c r="S539" i="32"/>
  <c r="N539" i="32"/>
  <c r="BF539" i="32"/>
  <c r="BE539" i="32"/>
  <c r="O372" i="32"/>
  <c r="P372" i="32"/>
  <c r="N319" i="32"/>
  <c r="S319" i="32"/>
  <c r="BE319" i="32"/>
  <c r="BF319" i="32"/>
  <c r="N117" i="32"/>
  <c r="S117" i="32"/>
  <c r="BE117" i="32"/>
  <c r="BF117" i="32"/>
  <c r="N366" i="32"/>
  <c r="S366" i="32"/>
  <c r="BE366" i="32"/>
  <c r="BF366" i="32"/>
  <c r="N225" i="32"/>
  <c r="S225" i="32"/>
  <c r="BF225" i="32"/>
  <c r="BE225" i="32"/>
  <c r="N180" i="32"/>
  <c r="S180" i="32"/>
  <c r="BF180" i="32"/>
  <c r="BE180" i="32"/>
  <c r="O410" i="32"/>
  <c r="P410" i="32"/>
  <c r="O54" i="32"/>
  <c r="P54" i="32"/>
  <c r="O96" i="32"/>
  <c r="P96" i="32"/>
  <c r="O460" i="32"/>
  <c r="P460" i="32"/>
  <c r="N20" i="32"/>
  <c r="S20" i="32"/>
  <c r="BE20" i="32"/>
  <c r="BF20" i="32"/>
  <c r="N423" i="32"/>
  <c r="S423" i="32"/>
  <c r="BF423" i="32"/>
  <c r="BE423" i="32"/>
  <c r="O16" i="32"/>
  <c r="P16" i="32"/>
  <c r="N315" i="32"/>
  <c r="S315" i="32"/>
  <c r="BE315" i="32"/>
  <c r="BF315" i="32"/>
  <c r="O122" i="32"/>
  <c r="P122" i="32"/>
  <c r="S110" i="32"/>
  <c r="N110" i="32"/>
  <c r="BE110" i="32"/>
  <c r="BF110" i="32"/>
  <c r="N69" i="32"/>
  <c r="S69" i="32"/>
  <c r="BE69" i="32"/>
  <c r="BF69" i="32"/>
  <c r="N44" i="32"/>
  <c r="S44" i="32"/>
  <c r="BE44" i="32"/>
  <c r="BF44" i="32"/>
  <c r="N537" i="32"/>
  <c r="S537" i="32"/>
  <c r="BE537" i="32"/>
  <c r="BF537" i="32"/>
  <c r="N221" i="32"/>
  <c r="S221" i="32"/>
  <c r="BE221" i="32"/>
  <c r="BF221" i="32"/>
  <c r="N187" i="32"/>
  <c r="S187" i="32"/>
  <c r="BE187" i="32"/>
  <c r="BF187" i="32"/>
  <c r="N309" i="32"/>
  <c r="S309" i="32"/>
  <c r="BE309" i="32"/>
  <c r="BF309" i="32"/>
  <c r="O424" i="32"/>
  <c r="P424" i="32"/>
  <c r="O306" i="32"/>
  <c r="P306" i="32"/>
  <c r="N455" i="32"/>
  <c r="S455" i="32"/>
  <c r="BF455" i="32"/>
  <c r="BE455" i="32"/>
  <c r="O242" i="32"/>
  <c r="P242" i="32"/>
  <c r="N385" i="32"/>
  <c r="S385" i="32"/>
  <c r="BE385" i="32"/>
  <c r="BF385" i="32"/>
  <c r="N166" i="32"/>
  <c r="S166" i="32"/>
  <c r="BE166" i="32"/>
  <c r="BF166" i="32"/>
  <c r="N17" i="32"/>
  <c r="S17" i="32"/>
  <c r="BE17" i="32"/>
  <c r="BF17" i="32"/>
  <c r="N148" i="32"/>
  <c r="S148" i="32"/>
  <c r="BE148" i="32"/>
  <c r="BF148" i="32"/>
  <c r="N530" i="32"/>
  <c r="S530" i="32"/>
  <c r="BE530" i="32"/>
  <c r="BF530" i="32"/>
  <c r="N483" i="32"/>
  <c r="S483" i="32"/>
  <c r="BE483" i="32"/>
  <c r="BF483" i="32"/>
  <c r="N592" i="32"/>
  <c r="S592" i="32"/>
  <c r="BE592" i="32"/>
  <c r="BF592" i="32"/>
  <c r="O336" i="32"/>
  <c r="P336" i="32"/>
  <c r="S198" i="32"/>
  <c r="N198" i="32"/>
  <c r="BE198" i="32"/>
  <c r="BF198" i="32"/>
  <c r="N437" i="32"/>
  <c r="S437" i="32"/>
  <c r="BE437" i="32"/>
  <c r="BF437" i="32"/>
  <c r="N129" i="32"/>
  <c r="S129" i="32"/>
  <c r="BE129" i="32"/>
  <c r="BF129" i="32"/>
  <c r="N284" i="32"/>
  <c r="S284" i="32"/>
  <c r="BE284" i="32"/>
  <c r="BF284" i="32"/>
  <c r="N55" i="32"/>
  <c r="S55" i="32"/>
  <c r="BE55" i="32"/>
  <c r="BF55" i="32"/>
  <c r="O368" i="32"/>
  <c r="P368" i="32"/>
  <c r="N482" i="32"/>
  <c r="S482" i="32"/>
  <c r="BE482" i="32"/>
  <c r="BF482" i="32"/>
  <c r="N289" i="32"/>
  <c r="S289" i="32"/>
  <c r="BE289" i="32"/>
  <c r="BF289" i="32"/>
  <c r="N27" i="32"/>
  <c r="S27" i="32"/>
  <c r="BE27" i="32"/>
  <c r="BF27" i="32"/>
  <c r="S61" i="32"/>
  <c r="N61" i="32"/>
  <c r="BE61" i="32"/>
  <c r="BF61" i="32"/>
  <c r="N516" i="32"/>
  <c r="S516" i="32"/>
  <c r="BE516" i="32"/>
  <c r="BF516" i="32"/>
  <c r="N443" i="32"/>
  <c r="S443" i="32"/>
  <c r="BF443" i="32"/>
  <c r="BE443" i="32"/>
  <c r="N39" i="32"/>
  <c r="S39" i="32"/>
  <c r="BF39" i="32"/>
  <c r="BE39" i="32"/>
  <c r="N436" i="32"/>
  <c r="S436" i="32"/>
  <c r="BE436" i="32"/>
  <c r="BF436" i="32"/>
  <c r="N361" i="32"/>
  <c r="S361" i="32"/>
  <c r="BE361" i="32"/>
  <c r="BF361" i="32"/>
  <c r="S124" i="32"/>
  <c r="N124" i="32"/>
  <c r="BE124" i="32"/>
  <c r="BF124" i="32"/>
  <c r="N203" i="32"/>
  <c r="S203" i="32"/>
  <c r="BF203" i="32"/>
  <c r="BE203" i="32"/>
  <c r="N430" i="32"/>
  <c r="S430" i="32"/>
  <c r="BE430" i="32"/>
  <c r="BF430" i="32"/>
  <c r="N534" i="32"/>
  <c r="S534" i="32"/>
  <c r="BF534" i="32"/>
  <c r="BE534" i="32"/>
  <c r="N132" i="32"/>
  <c r="S132" i="32"/>
  <c r="BE132" i="32"/>
  <c r="BF132" i="32"/>
  <c r="N216" i="32"/>
  <c r="S216" i="32"/>
  <c r="BF216" i="32"/>
  <c r="BE216" i="32"/>
  <c r="N109" i="32"/>
  <c r="S109" i="32"/>
  <c r="BF109" i="32"/>
  <c r="BE109" i="32"/>
  <c r="N275" i="32"/>
  <c r="S275" i="32"/>
  <c r="BF275" i="32"/>
  <c r="BE275" i="32"/>
  <c r="N570" i="32"/>
  <c r="S570" i="32"/>
  <c r="BE570" i="32"/>
  <c r="BF570" i="32"/>
  <c r="N500" i="32"/>
  <c r="S500" i="32"/>
  <c r="BE500" i="32"/>
  <c r="BF500" i="32"/>
  <c r="N236" i="32"/>
  <c r="S236" i="32"/>
  <c r="BE236" i="32"/>
  <c r="BF236" i="32"/>
  <c r="N29" i="32"/>
  <c r="S29" i="32"/>
  <c r="BF29" i="32"/>
  <c r="BE29" i="32"/>
  <c r="S331" i="32"/>
  <c r="N331" i="32"/>
  <c r="BE331" i="32"/>
  <c r="BF331" i="32"/>
  <c r="N433" i="32"/>
  <c r="S433" i="32"/>
  <c r="BE433" i="32"/>
  <c r="BF433" i="32"/>
  <c r="N415" i="32"/>
  <c r="S415" i="32"/>
  <c r="BE415" i="32"/>
  <c r="BF415" i="32"/>
  <c r="N199" i="32"/>
  <c r="S199" i="32"/>
  <c r="BE199" i="32"/>
  <c r="BF199" i="32"/>
  <c r="S162" i="32"/>
  <c r="N162" i="32"/>
  <c r="BE162" i="32"/>
  <c r="BF162" i="32"/>
  <c r="N268" i="32"/>
  <c r="S268" i="32"/>
  <c r="BE268" i="32"/>
  <c r="BF268" i="32"/>
  <c r="N240" i="32"/>
  <c r="S240" i="32"/>
  <c r="BE240" i="32"/>
  <c r="BF240" i="32"/>
  <c r="O468" i="32"/>
  <c r="P468" i="32"/>
  <c r="N533" i="32"/>
  <c r="S533" i="32"/>
  <c r="BE533" i="32"/>
  <c r="BF533" i="32"/>
  <c r="N79" i="32"/>
  <c r="S79" i="32"/>
  <c r="BF79" i="32"/>
  <c r="BE79" i="32"/>
  <c r="N447" i="32"/>
  <c r="S447" i="32"/>
  <c r="BE447" i="32"/>
  <c r="BF447" i="32"/>
  <c r="O64" i="32"/>
  <c r="T64" i="32" s="1"/>
  <c r="AV64" i="32" s="1"/>
  <c r="P64" i="32"/>
  <c r="N401" i="32"/>
  <c r="S401" i="32"/>
  <c r="BE401" i="32"/>
  <c r="BF401" i="32"/>
  <c r="N249" i="32"/>
  <c r="S249" i="32"/>
  <c r="BE249" i="32"/>
  <c r="BF249" i="32"/>
  <c r="N346" i="32"/>
  <c r="S346" i="32"/>
  <c r="BE346" i="32"/>
  <c r="BF346" i="32"/>
  <c r="N362" i="32"/>
  <c r="S362" i="32"/>
  <c r="BE362" i="32"/>
  <c r="BF362" i="32"/>
  <c r="N18" i="32"/>
  <c r="S18" i="32"/>
  <c r="BE18" i="32"/>
  <c r="BF18" i="32"/>
  <c r="N579" i="32"/>
  <c r="S579" i="32"/>
  <c r="BE579" i="32"/>
  <c r="BF579" i="32"/>
  <c r="N469" i="32"/>
  <c r="S469" i="32"/>
  <c r="BF469" i="32"/>
  <c r="BE469" i="32"/>
  <c r="N230" i="32"/>
  <c r="S230" i="32"/>
  <c r="BE230" i="32"/>
  <c r="BF230" i="32"/>
  <c r="N508" i="32"/>
  <c r="S508" i="32"/>
  <c r="BF508" i="32"/>
  <c r="BE508" i="32"/>
  <c r="O418" i="32"/>
  <c r="P418" i="32"/>
  <c r="N211" i="32"/>
  <c r="S211" i="32"/>
  <c r="BE211" i="32"/>
  <c r="BF211" i="32"/>
  <c r="N50" i="32"/>
  <c r="S50" i="32"/>
  <c r="BE50" i="32"/>
  <c r="BF50" i="32"/>
  <c r="S81" i="32"/>
  <c r="N81" i="32"/>
  <c r="BE81" i="32"/>
  <c r="BF81" i="32"/>
  <c r="N52" i="32"/>
  <c r="S52" i="32"/>
  <c r="BE52" i="32"/>
  <c r="BF52" i="32"/>
  <c r="N420" i="32"/>
  <c r="S420" i="32"/>
  <c r="BF420" i="32"/>
  <c r="BE420" i="32"/>
  <c r="N435" i="32"/>
  <c r="S435" i="32"/>
  <c r="BE435" i="32"/>
  <c r="BF435" i="32"/>
  <c r="N462" i="32"/>
  <c r="S462" i="32"/>
  <c r="BE462" i="32"/>
  <c r="BF462" i="32"/>
  <c r="O392" i="32"/>
  <c r="P392" i="32"/>
  <c r="N141" i="32"/>
  <c r="S141" i="32"/>
  <c r="BE141" i="32"/>
  <c r="BF141" i="32"/>
  <c r="N380" i="32"/>
  <c r="S380" i="32"/>
  <c r="BE380" i="32"/>
  <c r="BF380" i="32"/>
  <c r="N545" i="32"/>
  <c r="S545" i="32"/>
  <c r="BE545" i="32"/>
  <c r="BF545" i="32"/>
  <c r="N91" i="32"/>
  <c r="S91" i="32"/>
  <c r="BF91" i="32"/>
  <c r="BE91" i="32"/>
  <c r="N515" i="32"/>
  <c r="S515" i="32"/>
  <c r="BF515" i="32"/>
  <c r="BE515" i="32"/>
  <c r="N359" i="32"/>
  <c r="S359" i="32"/>
  <c r="BE359" i="32"/>
  <c r="BF359" i="32"/>
  <c r="N296" i="32"/>
  <c r="S296" i="32"/>
  <c r="BE296" i="32"/>
  <c r="BF296" i="32"/>
  <c r="N474" i="32"/>
  <c r="S474" i="32"/>
  <c r="BE474" i="32"/>
  <c r="BF474" i="32"/>
  <c r="N224" i="32"/>
  <c r="S224" i="32"/>
  <c r="BE224" i="32"/>
  <c r="BF224" i="32"/>
  <c r="S446" i="32"/>
  <c r="N446" i="32"/>
  <c r="BE446" i="32"/>
  <c r="BF446" i="32"/>
  <c r="N572" i="32"/>
  <c r="S572" i="32"/>
  <c r="BE572" i="32"/>
  <c r="BF572" i="32"/>
  <c r="O128" i="32"/>
  <c r="P128" i="32"/>
  <c r="O416" i="32"/>
  <c r="T416" i="32" s="1"/>
  <c r="AV416" i="32" s="1"/>
  <c r="P416" i="32"/>
  <c r="N46" i="32"/>
  <c r="S46" i="32"/>
  <c r="BE46" i="32"/>
  <c r="BF46" i="32"/>
  <c r="N497" i="32"/>
  <c r="S497" i="32"/>
  <c r="BE497" i="32"/>
  <c r="BF497" i="32"/>
  <c r="N73" i="32"/>
  <c r="S73" i="32"/>
  <c r="BE73" i="32"/>
  <c r="BF73" i="32"/>
  <c r="N554" i="32"/>
  <c r="S554" i="32"/>
  <c r="BE554" i="32"/>
  <c r="BF554" i="32"/>
  <c r="N427" i="32"/>
  <c r="S427" i="32"/>
  <c r="BF427" i="32"/>
  <c r="BE427" i="32"/>
  <c r="N349" i="32"/>
  <c r="S349" i="32"/>
  <c r="BE349" i="32"/>
  <c r="BF349" i="32"/>
  <c r="N288" i="32"/>
  <c r="S288" i="32"/>
  <c r="BF288" i="32"/>
  <c r="BE288" i="32"/>
  <c r="O106" i="32"/>
  <c r="P106" i="32"/>
  <c r="N58" i="32"/>
  <c r="S58" i="32"/>
  <c r="BE58" i="32"/>
  <c r="BF58" i="32"/>
  <c r="N471" i="32"/>
  <c r="S471" i="32"/>
  <c r="BE471" i="32"/>
  <c r="BF471" i="32"/>
  <c r="N332" i="32"/>
  <c r="S332" i="32"/>
  <c r="BE332" i="32"/>
  <c r="BF332" i="32"/>
  <c r="N559" i="32"/>
  <c r="S559" i="32"/>
  <c r="BE559" i="32"/>
  <c r="BF559" i="32"/>
  <c r="N200" i="32"/>
  <c r="S200" i="32"/>
  <c r="BE200" i="32"/>
  <c r="BF200" i="32"/>
  <c r="N524" i="32"/>
  <c r="S524" i="32"/>
  <c r="BE524" i="32"/>
  <c r="BF524" i="32"/>
  <c r="N609" i="32"/>
  <c r="S609" i="32"/>
  <c r="BE609" i="32"/>
  <c r="BF609" i="32"/>
  <c r="N229" i="32"/>
  <c r="S229" i="32"/>
  <c r="BE229" i="32"/>
  <c r="BF229" i="32"/>
  <c r="N485" i="32"/>
  <c r="S485" i="32"/>
  <c r="BE485" i="32"/>
  <c r="BF485" i="32"/>
  <c r="O606" i="32"/>
  <c r="P606" i="32"/>
  <c r="Q536" i="32" l="1"/>
  <c r="U536" i="32" s="1"/>
  <c r="P427" i="32"/>
  <c r="O427" i="32"/>
  <c r="P296" i="32"/>
  <c r="O296" i="32"/>
  <c r="P362" i="32"/>
  <c r="O362" i="32"/>
  <c r="P415" i="32"/>
  <c r="O415" i="32"/>
  <c r="P430" i="32"/>
  <c r="O430" i="32"/>
  <c r="T460" i="32"/>
  <c r="AV460" i="32" s="1"/>
  <c r="Q460" i="32"/>
  <c r="U460" i="32" s="1"/>
  <c r="P338" i="32"/>
  <c r="O338" i="32"/>
  <c r="P333" i="32"/>
  <c r="O333" i="32"/>
  <c r="T128" i="32"/>
  <c r="AV128" i="32" s="1"/>
  <c r="Q128" i="32"/>
  <c r="U128" i="32" s="1"/>
  <c r="P474" i="32"/>
  <c r="O474" i="32"/>
  <c r="P91" i="32"/>
  <c r="O91" i="32"/>
  <c r="P508" i="32"/>
  <c r="O508" i="32"/>
  <c r="Q468" i="32"/>
  <c r="U468" i="32" s="1"/>
  <c r="T468" i="32"/>
  <c r="AV468" i="32" s="1"/>
  <c r="P199" i="32"/>
  <c r="O199" i="32"/>
  <c r="P29" i="32"/>
  <c r="O29" i="32"/>
  <c r="P275" i="32"/>
  <c r="O275" i="32"/>
  <c r="P534" i="32"/>
  <c r="O534" i="32"/>
  <c r="P361" i="32"/>
  <c r="O361" i="32"/>
  <c r="Q336" i="32"/>
  <c r="U336" i="32" s="1"/>
  <c r="T336" i="32"/>
  <c r="AV336" i="32" s="1"/>
  <c r="P148" i="32"/>
  <c r="O148" i="32"/>
  <c r="P315" i="32"/>
  <c r="O315" i="32"/>
  <c r="Q372" i="32"/>
  <c r="U372" i="32" s="1"/>
  <c r="T372" i="32"/>
  <c r="AV372" i="32" s="1"/>
  <c r="P81" i="32"/>
  <c r="O81" i="32"/>
  <c r="Q64" i="32"/>
  <c r="U64" i="32" s="1"/>
  <c r="P110" i="32"/>
  <c r="O110" i="32"/>
  <c r="P379" i="32"/>
  <c r="O379" i="32"/>
  <c r="P456" i="32"/>
  <c r="O456" i="32"/>
  <c r="P324" i="32"/>
  <c r="O324" i="32"/>
  <c r="P314" i="32"/>
  <c r="O314" i="32"/>
  <c r="P590" i="32"/>
  <c r="O590" i="32"/>
  <c r="P550" i="32"/>
  <c r="O550" i="32"/>
  <c r="P431" i="32"/>
  <c r="O431" i="32"/>
  <c r="P575" i="32"/>
  <c r="O575" i="32"/>
  <c r="P87" i="32"/>
  <c r="O87" i="32"/>
  <c r="P157" i="32"/>
  <c r="O157" i="32"/>
  <c r="P293" i="32"/>
  <c r="O293" i="32"/>
  <c r="P146" i="32"/>
  <c r="O146" i="32"/>
  <c r="P286" i="32"/>
  <c r="O286" i="32"/>
  <c r="BF624" i="32"/>
  <c r="BE624" i="32"/>
  <c r="J634" i="32" s="1"/>
  <c r="P250" i="32"/>
  <c r="O250" i="32"/>
  <c r="P251" i="32"/>
  <c r="O251" i="32"/>
  <c r="P237" i="32"/>
  <c r="O237" i="32"/>
  <c r="P231" i="32"/>
  <c r="O231" i="32"/>
  <c r="P405" i="32"/>
  <c r="O405" i="32"/>
  <c r="P202" i="32"/>
  <c r="O202" i="32"/>
  <c r="BE627" i="32"/>
  <c r="BF627" i="32"/>
  <c r="P93" i="32"/>
  <c r="O93" i="32"/>
  <c r="BF626" i="32"/>
  <c r="BE626" i="32"/>
  <c r="J636" i="32" s="1"/>
  <c r="P61" i="32"/>
  <c r="O61" i="32"/>
  <c r="P46" i="32"/>
  <c r="O46" i="32"/>
  <c r="P545" i="32"/>
  <c r="O545" i="32"/>
  <c r="P289" i="32"/>
  <c r="O289" i="32"/>
  <c r="T14" i="32"/>
  <c r="AV14" i="32" s="1"/>
  <c r="Q14" i="32"/>
  <c r="U14" i="32" s="1"/>
  <c r="P349" i="32"/>
  <c r="O349" i="32"/>
  <c r="T606" i="32"/>
  <c r="AV606" i="32" s="1"/>
  <c r="Q606" i="32"/>
  <c r="U606" i="32" s="1"/>
  <c r="P229" i="32"/>
  <c r="O229" i="32"/>
  <c r="P524" i="32"/>
  <c r="O524" i="32"/>
  <c r="P559" i="32"/>
  <c r="O559" i="32"/>
  <c r="P471" i="32"/>
  <c r="O471" i="32"/>
  <c r="P462" i="32"/>
  <c r="O462" i="32"/>
  <c r="P420" i="32"/>
  <c r="O420" i="32"/>
  <c r="P211" i="32"/>
  <c r="O211" i="32"/>
  <c r="AW64" i="32"/>
  <c r="AX64" i="32"/>
  <c r="AY64" i="32" s="1"/>
  <c r="P79" i="32"/>
  <c r="O79" i="32"/>
  <c r="Q368" i="32"/>
  <c r="U368" i="32" s="1"/>
  <c r="T368" i="32"/>
  <c r="AV368" i="32" s="1"/>
  <c r="P284" i="32"/>
  <c r="O284" i="32"/>
  <c r="P437" i="32"/>
  <c r="O437" i="32"/>
  <c r="P455" i="32"/>
  <c r="O455" i="32"/>
  <c r="P309" i="32"/>
  <c r="O309" i="32"/>
  <c r="P221" i="32"/>
  <c r="O221" i="32"/>
  <c r="P44" i="32"/>
  <c r="O44" i="32"/>
  <c r="Q16" i="32"/>
  <c r="U16" i="32" s="1"/>
  <c r="T16" i="32"/>
  <c r="AV16" i="32" s="1"/>
  <c r="P20" i="32"/>
  <c r="O20" i="32"/>
  <c r="Q410" i="32"/>
  <c r="U410" i="32" s="1"/>
  <c r="T410" i="32"/>
  <c r="AV410" i="32" s="1"/>
  <c r="P225" i="32"/>
  <c r="O225" i="32"/>
  <c r="P117" i="32"/>
  <c r="O117" i="32"/>
  <c r="Q38" i="32"/>
  <c r="U38" i="32" s="1"/>
  <c r="T38" i="32"/>
  <c r="AV38" i="32" s="1"/>
  <c r="P587" i="32"/>
  <c r="O587" i="32"/>
  <c r="P374" i="32"/>
  <c r="O374" i="32"/>
  <c r="P452" i="32"/>
  <c r="O452" i="32"/>
  <c r="P228" i="32"/>
  <c r="O228" i="32"/>
  <c r="P49" i="32"/>
  <c r="O49" i="32"/>
  <c r="P561" i="32"/>
  <c r="O561" i="32"/>
  <c r="Q258" i="32"/>
  <c r="U258" i="32" s="1"/>
  <c r="T258" i="32"/>
  <c r="AV258" i="32" s="1"/>
  <c r="P67" i="32"/>
  <c r="O67" i="32"/>
  <c r="P65" i="32"/>
  <c r="O65" i="32"/>
  <c r="P339" i="32"/>
  <c r="O339" i="32"/>
  <c r="P36" i="32"/>
  <c r="O36" i="32"/>
  <c r="P367" i="32"/>
  <c r="O367" i="32"/>
  <c r="Q226" i="32"/>
  <c r="U226" i="32" s="1"/>
  <c r="T226" i="32"/>
  <c r="AV226" i="32" s="1"/>
  <c r="P57" i="32"/>
  <c r="O57" i="32"/>
  <c r="P320" i="32"/>
  <c r="O320" i="32"/>
  <c r="P506" i="32"/>
  <c r="O506" i="32"/>
  <c r="P259" i="32"/>
  <c r="O259" i="32"/>
  <c r="Q82" i="32"/>
  <c r="U82" i="32" s="1"/>
  <c r="T82" i="32"/>
  <c r="AV82" i="32" s="1"/>
  <c r="P589" i="32"/>
  <c r="O589" i="32"/>
  <c r="P334" i="32"/>
  <c r="O334" i="32"/>
  <c r="P115" i="32"/>
  <c r="O115" i="32"/>
  <c r="P218" i="32"/>
  <c r="O218" i="32"/>
  <c r="P604" i="32"/>
  <c r="O604" i="32"/>
  <c r="Q426" i="32"/>
  <c r="U426" i="32" s="1"/>
  <c r="T426" i="32"/>
  <c r="AV426" i="32" s="1"/>
  <c r="P239" i="32"/>
  <c r="O239" i="32"/>
  <c r="Q350" i="32"/>
  <c r="U350" i="32" s="1"/>
  <c r="T350" i="32"/>
  <c r="AV350" i="32" s="1"/>
  <c r="P581" i="32"/>
  <c r="O581" i="32"/>
  <c r="P214" i="32"/>
  <c r="O214" i="32"/>
  <c r="P514" i="32"/>
  <c r="O514" i="32"/>
  <c r="P75" i="32"/>
  <c r="O75" i="32"/>
  <c r="P517" i="32"/>
  <c r="O517" i="32"/>
  <c r="P113" i="32"/>
  <c r="O113" i="32"/>
  <c r="P521" i="32"/>
  <c r="O521" i="32"/>
  <c r="Q558" i="32"/>
  <c r="U558" i="32" s="1"/>
  <c r="T558" i="32"/>
  <c r="AV558" i="32" s="1"/>
  <c r="P567" i="32"/>
  <c r="O567" i="32"/>
  <c r="Q560" i="32"/>
  <c r="U560" i="32" s="1"/>
  <c r="T560" i="32"/>
  <c r="AV560" i="32" s="1"/>
  <c r="P441" i="32"/>
  <c r="O441" i="32"/>
  <c r="P156" i="32"/>
  <c r="O156" i="32"/>
  <c r="Q135" i="32"/>
  <c r="U135" i="32" s="1"/>
  <c r="T135" i="32"/>
  <c r="AV135" i="32" s="1"/>
  <c r="P472" i="32"/>
  <c r="O472" i="32"/>
  <c r="P629" i="32"/>
  <c r="O629" i="32"/>
  <c r="P233" i="32"/>
  <c r="O233" i="32"/>
  <c r="P523" i="32"/>
  <c r="O523" i="32"/>
  <c r="Q24" i="32"/>
  <c r="U24" i="32" s="1"/>
  <c r="T24" i="32"/>
  <c r="AV24" i="32" s="1"/>
  <c r="P63" i="32"/>
  <c r="O63" i="32"/>
  <c r="T496" i="32"/>
  <c r="AV496" i="32" s="1"/>
  <c r="Q496" i="32"/>
  <c r="U496" i="32" s="1"/>
  <c r="P610" i="32"/>
  <c r="O610" i="32"/>
  <c r="P396" i="32"/>
  <c r="O396" i="32"/>
  <c r="P77" i="32"/>
  <c r="O77" i="32"/>
  <c r="P466" i="32"/>
  <c r="O466" i="32"/>
  <c r="P100" i="32"/>
  <c r="O100" i="32"/>
  <c r="P195" i="32"/>
  <c r="O195" i="32"/>
  <c r="P138" i="32"/>
  <c r="O138" i="32"/>
  <c r="P519" i="32"/>
  <c r="O519" i="32"/>
  <c r="Q192" i="32"/>
  <c r="U192" i="32" s="1"/>
  <c r="T192" i="32"/>
  <c r="AV192" i="32" s="1"/>
  <c r="P252" i="32"/>
  <c r="O252" i="32"/>
  <c r="P522" i="32"/>
  <c r="O522" i="32"/>
  <c r="P599" i="32"/>
  <c r="O599" i="32"/>
  <c r="P602" i="32"/>
  <c r="O602" i="32"/>
  <c r="P190" i="32"/>
  <c r="O190" i="32"/>
  <c r="P316" i="32"/>
  <c r="O316" i="32"/>
  <c r="P624" i="32"/>
  <c r="O624" i="32"/>
  <c r="Q370" i="32"/>
  <c r="U370" i="32" s="1"/>
  <c r="T370" i="32"/>
  <c r="AV370" i="32" s="1"/>
  <c r="T159" i="32"/>
  <c r="AV159" i="32" s="1"/>
  <c r="Q159" i="32"/>
  <c r="U159" i="32" s="1"/>
  <c r="P518" i="32"/>
  <c r="O518" i="32"/>
  <c r="P398" i="32"/>
  <c r="O398" i="32"/>
  <c r="P222" i="32"/>
  <c r="O222" i="32"/>
  <c r="P439" i="32"/>
  <c r="O439" i="32"/>
  <c r="P548" i="32"/>
  <c r="O548" i="32"/>
  <c r="P484" i="32"/>
  <c r="O484" i="32"/>
  <c r="P502" i="32"/>
  <c r="O502" i="32"/>
  <c r="T86" i="32"/>
  <c r="AV86" i="32" s="1"/>
  <c r="Q86" i="32"/>
  <c r="U86" i="32" s="1"/>
  <c r="P220" i="32"/>
  <c r="O220" i="32"/>
  <c r="T130" i="32"/>
  <c r="AV130" i="32" s="1"/>
  <c r="Q130" i="32"/>
  <c r="U130" i="32" s="1"/>
  <c r="Q486" i="32"/>
  <c r="U486" i="32" s="1"/>
  <c r="T486" i="32"/>
  <c r="AV486" i="32" s="1"/>
  <c r="P127" i="32"/>
  <c r="O127" i="32"/>
  <c r="P591" i="32"/>
  <c r="O591" i="32"/>
  <c r="P158" i="32"/>
  <c r="O158" i="32"/>
  <c r="Q488" i="32"/>
  <c r="U488" i="32" s="1"/>
  <c r="T488" i="32"/>
  <c r="AV488" i="32" s="1"/>
  <c r="Q566" i="32"/>
  <c r="U566" i="32" s="1"/>
  <c r="T566" i="32"/>
  <c r="AV566" i="32" s="1"/>
  <c r="P555" i="32"/>
  <c r="O555" i="32"/>
  <c r="P562" i="32"/>
  <c r="O562" i="32"/>
  <c r="P507" i="32"/>
  <c r="O507" i="32"/>
  <c r="P400" i="32"/>
  <c r="O400" i="32"/>
  <c r="P577" i="32"/>
  <c r="O577" i="32"/>
  <c r="P547" i="32"/>
  <c r="O547" i="32"/>
  <c r="P256" i="32"/>
  <c r="O256" i="32"/>
  <c r="P107" i="32"/>
  <c r="O107" i="32"/>
  <c r="P164" i="32"/>
  <c r="O164" i="32"/>
  <c r="T282" i="32"/>
  <c r="AV282" i="32" s="1"/>
  <c r="Q282" i="32"/>
  <c r="U282" i="32" s="1"/>
  <c r="Q114" i="32"/>
  <c r="U114" i="32" s="1"/>
  <c r="T114" i="32"/>
  <c r="AV114" i="32" s="1"/>
  <c r="P627" i="32"/>
  <c r="O627" i="32"/>
  <c r="P626" i="32"/>
  <c r="O626" i="32"/>
  <c r="AX536" i="32"/>
  <c r="AY536" i="32" s="1"/>
  <c r="AW536" i="32"/>
  <c r="Q32" i="32"/>
  <c r="U32" i="32" s="1"/>
  <c r="P94" i="32"/>
  <c r="O94" i="32"/>
  <c r="P201" i="32"/>
  <c r="O201" i="32"/>
  <c r="Q434" i="32"/>
  <c r="U434" i="32" s="1"/>
  <c r="BE622" i="32"/>
  <c r="J632" i="32" s="1"/>
  <c r="BF622" i="32"/>
  <c r="P375" i="32"/>
  <c r="O375" i="32"/>
  <c r="P541" i="32"/>
  <c r="O541" i="32"/>
  <c r="P371" i="32"/>
  <c r="O371" i="32"/>
  <c r="P212" i="32"/>
  <c r="O212" i="32"/>
  <c r="P357" i="32"/>
  <c r="O357" i="32"/>
  <c r="Q442" i="32"/>
  <c r="U442" i="32" s="1"/>
  <c r="P303" i="32"/>
  <c r="O303" i="32"/>
  <c r="P182" i="32"/>
  <c r="O182" i="32"/>
  <c r="P594" i="32"/>
  <c r="O594" i="32"/>
  <c r="P355" i="32"/>
  <c r="O355" i="32"/>
  <c r="P597" i="32"/>
  <c r="O597" i="32"/>
  <c r="P169" i="32"/>
  <c r="O169" i="32"/>
  <c r="P326" i="32"/>
  <c r="O326" i="32"/>
  <c r="P78" i="32"/>
  <c r="O78" i="32"/>
  <c r="P137" i="32"/>
  <c r="O137" i="32"/>
  <c r="P141" i="32"/>
  <c r="O141" i="32"/>
  <c r="P436" i="32"/>
  <c r="O436" i="32"/>
  <c r="Q175" i="32"/>
  <c r="U175" i="32" s="1"/>
  <c r="T175" i="32"/>
  <c r="AV175" i="32" s="1"/>
  <c r="P409" i="32"/>
  <c r="O409" i="32"/>
  <c r="P204" i="32"/>
  <c r="O204" i="32"/>
  <c r="P205" i="32"/>
  <c r="O205" i="32"/>
  <c r="P277" i="32"/>
  <c r="O277" i="32"/>
  <c r="P493" i="32"/>
  <c r="O493" i="32"/>
  <c r="P458" i="32"/>
  <c r="O458" i="32"/>
  <c r="Q480" i="32"/>
  <c r="U480" i="32" s="1"/>
  <c r="T480" i="32"/>
  <c r="AV480" i="32" s="1"/>
  <c r="Q104" i="32"/>
  <c r="U104" i="32" s="1"/>
  <c r="T104" i="32"/>
  <c r="AV104" i="32" s="1"/>
  <c r="P193" i="32"/>
  <c r="O193" i="32"/>
  <c r="P605" i="32"/>
  <c r="O605" i="32"/>
  <c r="P279" i="32"/>
  <c r="O279" i="32"/>
  <c r="P595" i="32"/>
  <c r="O595" i="32"/>
  <c r="P95" i="32"/>
  <c r="O95" i="32"/>
  <c r="P308" i="32"/>
  <c r="O308" i="32"/>
  <c r="P47" i="32"/>
  <c r="O47" i="32"/>
  <c r="P428" i="32"/>
  <c r="O428" i="32"/>
  <c r="P33" i="32"/>
  <c r="O33" i="32"/>
  <c r="T144" i="32"/>
  <c r="AV144" i="32" s="1"/>
  <c r="Q144" i="32"/>
  <c r="U144" i="32" s="1"/>
  <c r="Q544" i="32"/>
  <c r="U544" i="32" s="1"/>
  <c r="T544" i="32"/>
  <c r="AV544" i="32" s="1"/>
  <c r="P119" i="32"/>
  <c r="O119" i="32"/>
  <c r="P241" i="32"/>
  <c r="O241" i="32"/>
  <c r="P449" i="32"/>
  <c r="O449" i="32"/>
  <c r="P382" i="32"/>
  <c r="O382" i="32"/>
  <c r="P89" i="32"/>
  <c r="O89" i="32"/>
  <c r="Q322" i="32"/>
  <c r="U322" i="32" s="1"/>
  <c r="T322" i="32"/>
  <c r="AV322" i="32" s="1"/>
  <c r="AX442" i="32"/>
  <c r="AY442" i="32" s="1"/>
  <c r="AW442" i="32"/>
  <c r="Q378" i="32"/>
  <c r="U378" i="32" s="1"/>
  <c r="T378" i="32"/>
  <c r="AV378" i="32" s="1"/>
  <c r="P505" i="32"/>
  <c r="O505" i="32"/>
  <c r="P459" i="32"/>
  <c r="O459" i="32"/>
  <c r="P188" i="32"/>
  <c r="O188" i="32"/>
  <c r="P569" i="32"/>
  <c r="O569" i="32"/>
  <c r="Q520" i="32"/>
  <c r="U520" i="32" s="1"/>
  <c r="T520" i="32"/>
  <c r="AV520" i="32" s="1"/>
  <c r="P60" i="32"/>
  <c r="O60" i="32"/>
  <c r="Q461" i="32"/>
  <c r="U461" i="32" s="1"/>
  <c r="T461" i="32"/>
  <c r="AV461" i="32" s="1"/>
  <c r="P247" i="32"/>
  <c r="O247" i="32"/>
  <c r="P600" i="32"/>
  <c r="O600" i="32"/>
  <c r="P525" i="32"/>
  <c r="O525" i="32"/>
  <c r="P503" i="32"/>
  <c r="O503" i="32"/>
  <c r="P417" i="32"/>
  <c r="O417" i="32"/>
  <c r="P147" i="32"/>
  <c r="O147" i="32"/>
  <c r="P163" i="32"/>
  <c r="O163" i="32"/>
  <c r="Q48" i="32"/>
  <c r="U48" i="32" s="1"/>
  <c r="T48" i="32"/>
  <c r="AV48" i="32" s="1"/>
  <c r="P145" i="32"/>
  <c r="O145" i="32"/>
  <c r="P140" i="32"/>
  <c r="O140" i="32"/>
  <c r="T360" i="32"/>
  <c r="AV360" i="32" s="1"/>
  <c r="Q360" i="32"/>
  <c r="U360" i="32" s="1"/>
  <c r="P42" i="32"/>
  <c r="O42" i="32"/>
  <c r="P568" i="32"/>
  <c r="O568" i="32"/>
  <c r="P25" i="32"/>
  <c r="O25" i="32"/>
  <c r="P381" i="32"/>
  <c r="O381" i="32"/>
  <c r="Q356" i="32"/>
  <c r="U356" i="32" s="1"/>
  <c r="T356" i="32"/>
  <c r="AV356" i="32" s="1"/>
  <c r="Q445" i="32"/>
  <c r="U445" i="32" s="1"/>
  <c r="T445" i="32"/>
  <c r="AV445" i="32" s="1"/>
  <c r="P327" i="32"/>
  <c r="O327" i="32"/>
  <c r="P177" i="32"/>
  <c r="O177" i="32"/>
  <c r="P269" i="32"/>
  <c r="O269" i="32"/>
  <c r="P330" i="32"/>
  <c r="O330" i="32"/>
  <c r="P179" i="32"/>
  <c r="O179" i="32"/>
  <c r="P563" i="32"/>
  <c r="O563" i="32"/>
  <c r="P498" i="32"/>
  <c r="O498" i="32"/>
  <c r="P53" i="32"/>
  <c r="O53" i="32"/>
  <c r="T298" i="32"/>
  <c r="AV298" i="32" s="1"/>
  <c r="Q298" i="32"/>
  <c r="U298" i="32" s="1"/>
  <c r="P84" i="32"/>
  <c r="O84" i="32"/>
  <c r="T168" i="32"/>
  <c r="AV168" i="32" s="1"/>
  <c r="Q168" i="32"/>
  <c r="U168" i="32" s="1"/>
  <c r="P116" i="32"/>
  <c r="O116" i="32"/>
  <c r="P323" i="32"/>
  <c r="O323" i="32"/>
  <c r="P59" i="32"/>
  <c r="O59" i="32"/>
  <c r="P206" i="32"/>
  <c r="O206" i="32"/>
  <c r="P181" i="32"/>
  <c r="O181" i="32"/>
  <c r="P174" i="32"/>
  <c r="O174" i="32"/>
  <c r="Q470" i="32"/>
  <c r="U470" i="32" s="1"/>
  <c r="T470" i="32"/>
  <c r="AV470" i="32" s="1"/>
  <c r="P257" i="32"/>
  <c r="O257" i="32"/>
  <c r="P613" i="32"/>
  <c r="O613" i="32"/>
  <c r="P571" i="32"/>
  <c r="O571" i="32"/>
  <c r="P450" i="32"/>
  <c r="O450" i="32"/>
  <c r="Q504" i="32"/>
  <c r="U504" i="32" s="1"/>
  <c r="T504" i="32"/>
  <c r="AV504" i="32" s="1"/>
  <c r="T184" i="32"/>
  <c r="AV184" i="32" s="1"/>
  <c r="Q184" i="32"/>
  <c r="U184" i="32" s="1"/>
  <c r="P412" i="32"/>
  <c r="O412" i="32"/>
  <c r="P162" i="32"/>
  <c r="O162" i="32"/>
  <c r="P124" i="32"/>
  <c r="O124" i="32"/>
  <c r="Q418" i="32"/>
  <c r="U418" i="32" s="1"/>
  <c r="T418" i="32"/>
  <c r="AV418" i="32" s="1"/>
  <c r="P132" i="32"/>
  <c r="O132" i="32"/>
  <c r="P443" i="32"/>
  <c r="O443" i="32"/>
  <c r="P530" i="32"/>
  <c r="O530" i="32"/>
  <c r="P17" i="32"/>
  <c r="O17" i="32"/>
  <c r="P123" i="32"/>
  <c r="O123" i="32"/>
  <c r="Q574" i="32"/>
  <c r="U574" i="32" s="1"/>
  <c r="T574" i="32"/>
  <c r="AV574" i="32" s="1"/>
  <c r="P294" i="32"/>
  <c r="O294" i="32"/>
  <c r="P171" i="32"/>
  <c r="O171" i="32"/>
  <c r="P476" i="32"/>
  <c r="O476" i="32"/>
  <c r="P101" i="32"/>
  <c r="O101" i="32"/>
  <c r="T408" i="32"/>
  <c r="AV408" i="32" s="1"/>
  <c r="Q408" i="32"/>
  <c r="U408" i="32" s="1"/>
  <c r="AX434" i="32"/>
  <c r="AY434" i="32" s="1"/>
  <c r="AW434" i="32"/>
  <c r="P603" i="32"/>
  <c r="O603" i="32"/>
  <c r="P448" i="32"/>
  <c r="O448" i="32"/>
  <c r="P549" i="32"/>
  <c r="O549" i="32"/>
  <c r="P451" i="32"/>
  <c r="O451" i="32"/>
  <c r="P274" i="32"/>
  <c r="O274" i="32"/>
  <c r="P209" i="32"/>
  <c r="O209" i="32"/>
  <c r="P622" i="32"/>
  <c r="O622" i="32"/>
  <c r="P553" i="32"/>
  <c r="O553" i="32"/>
  <c r="P28" i="32"/>
  <c r="O28" i="32"/>
  <c r="P261" i="32"/>
  <c r="O261" i="32"/>
  <c r="P399" i="32"/>
  <c r="O399" i="32"/>
  <c r="P393" i="32"/>
  <c r="O393" i="32"/>
  <c r="P501" i="32"/>
  <c r="O501" i="32"/>
  <c r="P276" i="32"/>
  <c r="O276" i="32"/>
  <c r="P425" i="32"/>
  <c r="O425" i="32"/>
  <c r="P475" i="32"/>
  <c r="O475" i="32"/>
  <c r="Q416" i="32"/>
  <c r="U416" i="32" s="1"/>
  <c r="P198" i="32"/>
  <c r="O198" i="32"/>
  <c r="P532" i="32"/>
  <c r="O532" i="32"/>
  <c r="Q151" i="32"/>
  <c r="U151" i="32" s="1"/>
  <c r="P407" i="32"/>
  <c r="O407" i="32"/>
  <c r="P85" i="32"/>
  <c r="O85" i="32"/>
  <c r="Q40" i="32"/>
  <c r="U40" i="32" s="1"/>
  <c r="Q176" i="32"/>
  <c r="U176" i="32" s="1"/>
  <c r="P318" i="32"/>
  <c r="O318" i="32"/>
  <c r="P267" i="32"/>
  <c r="O267" i="32"/>
  <c r="P564" i="32"/>
  <c r="O564" i="32"/>
  <c r="P490" i="32"/>
  <c r="O490" i="32"/>
  <c r="P51" i="32"/>
  <c r="O51" i="32"/>
  <c r="P43" i="32"/>
  <c r="O43" i="32"/>
  <c r="Q440" i="32"/>
  <c r="U440" i="32" s="1"/>
  <c r="BF623" i="32"/>
  <c r="BE623" i="32"/>
  <c r="J633" i="32" s="1"/>
  <c r="Q215" i="32"/>
  <c r="U215" i="32" s="1"/>
  <c r="P464" i="32"/>
  <c r="O464" i="32"/>
  <c r="P302" i="32"/>
  <c r="O302" i="32"/>
  <c r="P573" i="32"/>
  <c r="O573" i="32"/>
  <c r="P170" i="32"/>
  <c r="O170" i="32"/>
  <c r="P217" i="32"/>
  <c r="O217" i="32"/>
  <c r="Q235" i="32"/>
  <c r="U235" i="32" s="1"/>
  <c r="P73" i="32"/>
  <c r="O73" i="32"/>
  <c r="P515" i="32"/>
  <c r="O515" i="32"/>
  <c r="P579" i="32"/>
  <c r="O579" i="32"/>
  <c r="P570" i="32"/>
  <c r="O570" i="32"/>
  <c r="Q122" i="32"/>
  <c r="U122" i="32" s="1"/>
  <c r="T122" i="32"/>
  <c r="AV122" i="32" s="1"/>
  <c r="AW32" i="32"/>
  <c r="AX32" i="32"/>
  <c r="AY32" i="32" s="1"/>
  <c r="P254" i="32"/>
  <c r="O254" i="32"/>
  <c r="P194" i="32"/>
  <c r="O194" i="32"/>
  <c r="P609" i="32"/>
  <c r="O609" i="32"/>
  <c r="P200" i="32"/>
  <c r="O200" i="32"/>
  <c r="P332" i="32"/>
  <c r="O332" i="32"/>
  <c r="P58" i="32"/>
  <c r="O58" i="32"/>
  <c r="Q392" i="32"/>
  <c r="U392" i="32" s="1"/>
  <c r="T392" i="32"/>
  <c r="AV392" i="32" s="1"/>
  <c r="P52" i="32"/>
  <c r="O52" i="32"/>
  <c r="P533" i="32"/>
  <c r="O533" i="32"/>
  <c r="P55" i="32"/>
  <c r="O55" i="32"/>
  <c r="P129" i="32"/>
  <c r="O129" i="32"/>
  <c r="T242" i="32"/>
  <c r="AV242" i="32" s="1"/>
  <c r="Q242" i="32"/>
  <c r="U242" i="32" s="1"/>
  <c r="P187" i="32"/>
  <c r="O187" i="32"/>
  <c r="P537" i="32"/>
  <c r="O537" i="32"/>
  <c r="P69" i="32"/>
  <c r="O69" i="32"/>
  <c r="P423" i="32"/>
  <c r="O423" i="32"/>
  <c r="P180" i="32"/>
  <c r="O180" i="32"/>
  <c r="P319" i="32"/>
  <c r="O319" i="32"/>
  <c r="Q102" i="32"/>
  <c r="U102" i="32" s="1"/>
  <c r="T102" i="32"/>
  <c r="AV102" i="32" s="1"/>
  <c r="P103" i="32"/>
  <c r="O103" i="32"/>
  <c r="P312" i="32"/>
  <c r="O312" i="32"/>
  <c r="P172" i="32"/>
  <c r="O172" i="32"/>
  <c r="AW151" i="32"/>
  <c r="AX151" i="32"/>
  <c r="AY151" i="32" s="1"/>
  <c r="P444" i="32"/>
  <c r="O444" i="32"/>
  <c r="P238" i="32"/>
  <c r="O238" i="32"/>
  <c r="T290" i="32"/>
  <c r="AV290" i="32" s="1"/>
  <c r="Q290" i="32"/>
  <c r="U290" i="32" s="1"/>
  <c r="P479" i="32"/>
  <c r="O479" i="32"/>
  <c r="P272" i="32"/>
  <c r="O272" i="32"/>
  <c r="P23" i="32"/>
  <c r="O23" i="32"/>
  <c r="P264" i="32"/>
  <c r="O264" i="32"/>
  <c r="P265" i="32"/>
  <c r="O265" i="32"/>
  <c r="P511" i="32"/>
  <c r="O511" i="32"/>
  <c r="P596" i="32"/>
  <c r="O596" i="32"/>
  <c r="P406" i="32"/>
  <c r="O406" i="32"/>
  <c r="P388" i="32"/>
  <c r="O388" i="32"/>
  <c r="P210" i="32"/>
  <c r="O210" i="32"/>
  <c r="P438" i="32"/>
  <c r="O438" i="32"/>
  <c r="P495" i="32"/>
  <c r="O495" i="32"/>
  <c r="P304" i="32"/>
  <c r="O304" i="32"/>
  <c r="AX40" i="32"/>
  <c r="AY40" i="32" s="1"/>
  <c r="AW40" i="32"/>
  <c r="Q266" i="32"/>
  <c r="U266" i="32" s="1"/>
  <c r="T266" i="32"/>
  <c r="AV266" i="32" s="1"/>
  <c r="AW176" i="32"/>
  <c r="AX176" i="32"/>
  <c r="AY176" i="32" s="1"/>
  <c r="T552" i="32"/>
  <c r="AV552" i="32" s="1"/>
  <c r="Q552" i="32"/>
  <c r="U552" i="32" s="1"/>
  <c r="P395" i="32"/>
  <c r="O395" i="32"/>
  <c r="N13" i="32"/>
  <c r="S13" i="32"/>
  <c r="BE13" i="32"/>
  <c r="B26" i="32"/>
  <c r="BF13" i="32"/>
  <c r="P189" i="32"/>
  <c r="O189" i="32"/>
  <c r="P76" i="32"/>
  <c r="O76" i="32"/>
  <c r="P391" i="32"/>
  <c r="O391" i="32"/>
  <c r="P576" i="32"/>
  <c r="O576" i="32"/>
  <c r="P538" i="32"/>
  <c r="O538" i="32"/>
  <c r="P68" i="32"/>
  <c r="O68" i="32"/>
  <c r="P273" i="32"/>
  <c r="O273" i="32"/>
  <c r="P513" i="32"/>
  <c r="O513" i="32"/>
  <c r="P97" i="32"/>
  <c r="O97" i="32"/>
  <c r="Q453" i="32"/>
  <c r="U453" i="32" s="1"/>
  <c r="T453" i="32"/>
  <c r="AV453" i="32" s="1"/>
  <c r="T384" i="32"/>
  <c r="AV384" i="32" s="1"/>
  <c r="Q384" i="32"/>
  <c r="U384" i="32" s="1"/>
  <c r="T191" i="32"/>
  <c r="AV191" i="32" s="1"/>
  <c r="Q191" i="32"/>
  <c r="U191" i="32" s="1"/>
  <c r="P197" i="32"/>
  <c r="O197" i="32"/>
  <c r="P244" i="32"/>
  <c r="O244" i="32"/>
  <c r="P454" i="32"/>
  <c r="O454" i="32"/>
  <c r="P270" i="32"/>
  <c r="O270" i="32"/>
  <c r="P125" i="32"/>
  <c r="O125" i="32"/>
  <c r="P421" i="32"/>
  <c r="O421" i="32"/>
  <c r="Q512" i="32"/>
  <c r="U512" i="32" s="1"/>
  <c r="T512" i="32"/>
  <c r="AV512" i="32" s="1"/>
  <c r="P492" i="32"/>
  <c r="O492" i="32"/>
  <c r="P280" i="32"/>
  <c r="O280" i="32"/>
  <c r="P207" i="32"/>
  <c r="O207" i="32"/>
  <c r="P56" i="32"/>
  <c r="O56" i="32"/>
  <c r="P329" i="32"/>
  <c r="O329" i="32"/>
  <c r="P154" i="32"/>
  <c r="O154" i="32"/>
  <c r="P31" i="32"/>
  <c r="O31" i="32"/>
  <c r="P260" i="32"/>
  <c r="O260" i="32"/>
  <c r="P246" i="32"/>
  <c r="O246" i="32"/>
  <c r="Q80" i="32"/>
  <c r="U80" i="32" s="1"/>
  <c r="T80" i="32"/>
  <c r="AV80" i="32" s="1"/>
  <c r="T582" i="32"/>
  <c r="AV582" i="32" s="1"/>
  <c r="Q582" i="32"/>
  <c r="U582" i="32" s="1"/>
  <c r="P173" i="32"/>
  <c r="O173" i="32"/>
  <c r="P583" i="32"/>
  <c r="O583" i="32"/>
  <c r="P111" i="32"/>
  <c r="O111" i="32"/>
  <c r="P529" i="32"/>
  <c r="O529" i="32"/>
  <c r="Q120" i="32"/>
  <c r="U120" i="32" s="1"/>
  <c r="T120" i="32"/>
  <c r="AV120" i="32" s="1"/>
  <c r="P292" i="32"/>
  <c r="O292" i="32"/>
  <c r="P15" i="32"/>
  <c r="O15" i="32"/>
  <c r="P335" i="32"/>
  <c r="O335" i="32"/>
  <c r="AW440" i="32"/>
  <c r="AX440" i="32"/>
  <c r="AY440" i="32" s="1"/>
  <c r="Q167" i="32"/>
  <c r="U167" i="32" s="1"/>
  <c r="T167" i="32"/>
  <c r="AV167" i="32" s="1"/>
  <c r="P287" i="32"/>
  <c r="O287" i="32"/>
  <c r="P457" i="32"/>
  <c r="O457" i="32"/>
  <c r="P112" i="32"/>
  <c r="O112" i="32"/>
  <c r="P271" i="32"/>
  <c r="O271" i="32"/>
  <c r="Q352" i="32"/>
  <c r="U352" i="32" s="1"/>
  <c r="T352" i="32"/>
  <c r="AV352" i="32" s="1"/>
  <c r="P139" i="32"/>
  <c r="O139" i="32"/>
  <c r="P196" i="32"/>
  <c r="O196" i="32"/>
  <c r="P213" i="32"/>
  <c r="O213" i="32"/>
  <c r="P41" i="32"/>
  <c r="O41" i="32"/>
  <c r="Q348" i="32"/>
  <c r="U348" i="32" s="1"/>
  <c r="T348" i="32"/>
  <c r="AV348" i="32" s="1"/>
  <c r="P369" i="32"/>
  <c r="O369" i="32"/>
  <c r="P301" i="32"/>
  <c r="O301" i="32"/>
  <c r="P623" i="32"/>
  <c r="O623" i="32"/>
  <c r="AW215" i="32"/>
  <c r="AX215" i="32"/>
  <c r="AY215" i="32" s="1"/>
  <c r="P465" i="32"/>
  <c r="O465" i="32"/>
  <c r="P328" i="32"/>
  <c r="O328" i="32"/>
  <c r="P578" i="32"/>
  <c r="O578" i="32"/>
  <c r="P185" i="32"/>
  <c r="O185" i="32"/>
  <c r="P321" i="32"/>
  <c r="O321" i="32"/>
  <c r="P310" i="32"/>
  <c r="O310" i="32"/>
  <c r="P232" i="32"/>
  <c r="O232" i="32"/>
  <c r="P467" i="32"/>
  <c r="O467" i="32"/>
  <c r="P178" i="32"/>
  <c r="O178" i="32"/>
  <c r="P126" i="32"/>
  <c r="O126" i="32"/>
  <c r="T34" i="32"/>
  <c r="AV34" i="32" s="1"/>
  <c r="Q34" i="32"/>
  <c r="U34" i="32" s="1"/>
  <c r="P105" i="32"/>
  <c r="O105" i="32"/>
  <c r="P535" i="32"/>
  <c r="O535" i="32"/>
  <c r="Q71" i="32"/>
  <c r="U71" i="32" s="1"/>
  <c r="T71" i="32"/>
  <c r="AV71" i="32" s="1"/>
  <c r="Q386" i="32"/>
  <c r="U386" i="32" s="1"/>
  <c r="T386" i="32"/>
  <c r="AV386" i="32" s="1"/>
  <c r="P285" i="32"/>
  <c r="O285" i="32"/>
  <c r="P35" i="32"/>
  <c r="O35" i="32"/>
  <c r="AX235" i="32"/>
  <c r="AY235" i="32" s="1"/>
  <c r="AW235" i="32"/>
  <c r="P539" i="32"/>
  <c r="O539" i="32"/>
  <c r="P288" i="32"/>
  <c r="O288" i="32"/>
  <c r="P224" i="32"/>
  <c r="O224" i="32"/>
  <c r="P249" i="32"/>
  <c r="O249" i="32"/>
  <c r="P236" i="32"/>
  <c r="O236" i="32"/>
  <c r="Q306" i="32"/>
  <c r="U306" i="32" s="1"/>
  <c r="T306" i="32"/>
  <c r="AV306" i="32" s="1"/>
  <c r="P487" i="32"/>
  <c r="O487" i="32"/>
  <c r="P531" i="32"/>
  <c r="O531" i="32"/>
  <c r="Q90" i="32"/>
  <c r="U90" i="32" s="1"/>
  <c r="T90" i="32"/>
  <c r="AV90" i="32" s="1"/>
  <c r="P419" i="32"/>
  <c r="O419" i="32"/>
  <c r="P612" i="32"/>
  <c r="O612" i="32"/>
  <c r="P485" i="32"/>
  <c r="O485" i="32"/>
  <c r="AW416" i="32"/>
  <c r="AX416" i="32"/>
  <c r="AY416" i="32" s="1"/>
  <c r="P435" i="32"/>
  <c r="O435" i="32"/>
  <c r="P50" i="32"/>
  <c r="O50" i="32"/>
  <c r="P447" i="32"/>
  <c r="O447" i="32"/>
  <c r="T424" i="32"/>
  <c r="AV424" i="32" s="1"/>
  <c r="Q424" i="32"/>
  <c r="U424" i="32" s="1"/>
  <c r="T96" i="32"/>
  <c r="AV96" i="32" s="1"/>
  <c r="Q96" i="32"/>
  <c r="U96" i="32" s="1"/>
  <c r="P366" i="32"/>
  <c r="O366" i="32"/>
  <c r="P278" i="32"/>
  <c r="O278" i="32"/>
  <c r="P446" i="32"/>
  <c r="O446" i="32"/>
  <c r="Q394" i="32"/>
  <c r="U394" i="32" s="1"/>
  <c r="P389" i="32"/>
  <c r="O389" i="32"/>
  <c r="P19" i="32"/>
  <c r="O19" i="32"/>
  <c r="P463" i="32"/>
  <c r="O463" i="32"/>
  <c r="P354" i="32"/>
  <c r="O354" i="32"/>
  <c r="P383" i="32"/>
  <c r="O383" i="32"/>
  <c r="BF628" i="32"/>
  <c r="BE628" i="32"/>
  <c r="J637" i="32" s="1"/>
  <c r="P397" i="32"/>
  <c r="O397" i="32"/>
  <c r="P337" i="32"/>
  <c r="O337" i="32"/>
  <c r="P345" i="32"/>
  <c r="O345" i="32"/>
  <c r="P299" i="32"/>
  <c r="O299" i="32"/>
  <c r="P390" i="32"/>
  <c r="O390" i="32"/>
  <c r="BF625" i="32"/>
  <c r="BE625" i="32"/>
  <c r="J635" i="32" s="1"/>
  <c r="P494" i="32"/>
  <c r="O494" i="32"/>
  <c r="Q402" i="32"/>
  <c r="U402" i="32" s="1"/>
  <c r="P165" i="32"/>
  <c r="O165" i="32"/>
  <c r="P131" i="32"/>
  <c r="O131" i="32"/>
  <c r="P510" i="32"/>
  <c r="O510" i="32"/>
  <c r="P313" i="32"/>
  <c r="O313" i="32"/>
  <c r="P588" i="32"/>
  <c r="O588" i="32"/>
  <c r="P98" i="32"/>
  <c r="O98" i="32"/>
  <c r="Q223" i="32"/>
  <c r="U223" i="32" s="1"/>
  <c r="P331" i="32"/>
  <c r="O331" i="32"/>
  <c r="P572" i="32"/>
  <c r="O572" i="32"/>
  <c r="P230" i="32"/>
  <c r="O230" i="32"/>
  <c r="P240" i="32"/>
  <c r="O240" i="32"/>
  <c r="P109" i="32"/>
  <c r="O109" i="32"/>
  <c r="P592" i="32"/>
  <c r="O592" i="32"/>
  <c r="P385" i="32"/>
  <c r="O385" i="32"/>
  <c r="Q106" i="32"/>
  <c r="U106" i="32" s="1"/>
  <c r="T106" i="32"/>
  <c r="AV106" i="32" s="1"/>
  <c r="P554" i="32"/>
  <c r="O554" i="32"/>
  <c r="P497" i="32"/>
  <c r="O497" i="32"/>
  <c r="P359" i="32"/>
  <c r="O359" i="32"/>
  <c r="P380" i="32"/>
  <c r="O380" i="32"/>
  <c r="P469" i="32"/>
  <c r="O469" i="32"/>
  <c r="P18" i="32"/>
  <c r="O18" i="32"/>
  <c r="P346" i="32"/>
  <c r="O346" i="32"/>
  <c r="P401" i="32"/>
  <c r="O401" i="32"/>
  <c r="P268" i="32"/>
  <c r="O268" i="32"/>
  <c r="P433" i="32"/>
  <c r="O433" i="32"/>
  <c r="P500" i="32"/>
  <c r="O500" i="32"/>
  <c r="P216" i="32"/>
  <c r="O216" i="32"/>
  <c r="P203" i="32"/>
  <c r="O203" i="32"/>
  <c r="P39" i="32"/>
  <c r="O39" i="32"/>
  <c r="P516" i="32"/>
  <c r="O516" i="32"/>
  <c r="P27" i="32"/>
  <c r="O27" i="32"/>
  <c r="P482" i="32"/>
  <c r="O482" i="32"/>
  <c r="P483" i="32"/>
  <c r="O483" i="32"/>
  <c r="P166" i="32"/>
  <c r="O166" i="32"/>
  <c r="Q54" i="32"/>
  <c r="U54" i="32" s="1"/>
  <c r="T54" i="32"/>
  <c r="AV54" i="32" s="1"/>
  <c r="P347" i="32"/>
  <c r="O347" i="32"/>
  <c r="AX394" i="32"/>
  <c r="AY394" i="32" s="1"/>
  <c r="AW394" i="32"/>
  <c r="P281" i="32"/>
  <c r="O281" i="32"/>
  <c r="T432" i="32"/>
  <c r="AV432" i="32" s="1"/>
  <c r="Q432" i="32"/>
  <c r="U432" i="32" s="1"/>
  <c r="P376" i="32"/>
  <c r="O376" i="32"/>
  <c r="Q183" i="32"/>
  <c r="U183" i="32" s="1"/>
  <c r="T183" i="32"/>
  <c r="AV183" i="32" s="1"/>
  <c r="P584" i="32"/>
  <c r="O584" i="32"/>
  <c r="P413" i="32"/>
  <c r="O413" i="32"/>
  <c r="P325" i="32"/>
  <c r="O325" i="32"/>
  <c r="P161" i="32"/>
  <c r="O161" i="32"/>
  <c r="Q72" i="32"/>
  <c r="U72" i="32" s="1"/>
  <c r="T72" i="32"/>
  <c r="AV72" i="32" s="1"/>
  <c r="P343" i="32"/>
  <c r="O343" i="32"/>
  <c r="P134" i="32"/>
  <c r="O134" i="32"/>
  <c r="P540" i="32"/>
  <c r="O540" i="32"/>
  <c r="P108" i="32"/>
  <c r="O108" i="32"/>
  <c r="Q344" i="32"/>
  <c r="U344" i="32" s="1"/>
  <c r="T344" i="32"/>
  <c r="AV344" i="32" s="1"/>
  <c r="Q342" i="32"/>
  <c r="U342" i="32" s="1"/>
  <c r="T342" i="32"/>
  <c r="AV342" i="32" s="1"/>
  <c r="P546" i="32"/>
  <c r="O546" i="32"/>
  <c r="P297" i="32"/>
  <c r="O297" i="32"/>
  <c r="P353" i="32"/>
  <c r="O353" i="32"/>
  <c r="P429" i="32"/>
  <c r="O429" i="32"/>
  <c r="T227" i="32"/>
  <c r="AV227" i="32" s="1"/>
  <c r="Q227" i="32"/>
  <c r="U227" i="32" s="1"/>
  <c r="P340" i="32"/>
  <c r="O340" i="32"/>
  <c r="T143" i="32"/>
  <c r="AV143" i="32" s="1"/>
  <c r="Q143" i="32"/>
  <c r="U143" i="32" s="1"/>
  <c r="P542" i="32"/>
  <c r="O542" i="32"/>
  <c r="P234" i="32"/>
  <c r="O234" i="32"/>
  <c r="Q598" i="32"/>
  <c r="U598" i="32" s="1"/>
  <c r="T598" i="32"/>
  <c r="AV598" i="32" s="1"/>
  <c r="Q243" i="32"/>
  <c r="U243" i="32" s="1"/>
  <c r="T243" i="32"/>
  <c r="AV243" i="32" s="1"/>
  <c r="P153" i="32"/>
  <c r="O153" i="32"/>
  <c r="P245" i="32"/>
  <c r="O245" i="32"/>
  <c r="P341" i="32"/>
  <c r="O341" i="32"/>
  <c r="P585" i="32"/>
  <c r="O585" i="32"/>
  <c r="P283" i="32"/>
  <c r="O283" i="32"/>
  <c r="P142" i="32"/>
  <c r="O142" i="32"/>
  <c r="P473" i="32"/>
  <c r="O473" i="32"/>
  <c r="P373" i="32"/>
  <c r="O373" i="32"/>
  <c r="P481" i="32"/>
  <c r="O481" i="32"/>
  <c r="P403" i="32"/>
  <c r="O403" i="32"/>
  <c r="Q152" i="32"/>
  <c r="U152" i="32" s="1"/>
  <c r="T152" i="32"/>
  <c r="AV152" i="32" s="1"/>
  <c r="P565" i="32"/>
  <c r="O565" i="32"/>
  <c r="P121" i="32"/>
  <c r="O121" i="32"/>
  <c r="P305" i="32"/>
  <c r="O305" i="32"/>
  <c r="P556" i="32"/>
  <c r="O556" i="32"/>
  <c r="P377" i="32"/>
  <c r="O377" i="32"/>
  <c r="P608" i="32"/>
  <c r="O608" i="32"/>
  <c r="P628" i="32"/>
  <c r="O628" i="32"/>
  <c r="P74" i="32"/>
  <c r="O74" i="32"/>
  <c r="P351" i="32"/>
  <c r="O351" i="32"/>
  <c r="P45" i="32"/>
  <c r="O45" i="32"/>
  <c r="P150" i="32"/>
  <c r="O150" i="32"/>
  <c r="P155" i="32"/>
  <c r="O155" i="32"/>
  <c r="P557" i="32"/>
  <c r="O557" i="32"/>
  <c r="P543" i="32"/>
  <c r="O543" i="32"/>
  <c r="P526" i="32"/>
  <c r="O526" i="32"/>
  <c r="P593" i="32"/>
  <c r="O593" i="32"/>
  <c r="P133" i="32"/>
  <c r="O133" i="32"/>
  <c r="P307" i="32"/>
  <c r="O307" i="32"/>
  <c r="T219" i="32"/>
  <c r="AV219" i="32" s="1"/>
  <c r="Q219" i="32"/>
  <c r="U219" i="32" s="1"/>
  <c r="P491" i="32"/>
  <c r="O491" i="32"/>
  <c r="P300" i="32"/>
  <c r="O300" i="32"/>
  <c r="P477" i="32"/>
  <c r="O477" i="32"/>
  <c r="P248" i="32"/>
  <c r="O248" i="32"/>
  <c r="P509" i="32"/>
  <c r="O509" i="32"/>
  <c r="P92" i="32"/>
  <c r="O92" i="32"/>
  <c r="T70" i="32"/>
  <c r="AV70" i="32" s="1"/>
  <c r="Q70" i="32"/>
  <c r="U70" i="32" s="1"/>
  <c r="P365" i="32"/>
  <c r="O365" i="32"/>
  <c r="P118" i="32"/>
  <c r="O118" i="32"/>
  <c r="P586" i="32"/>
  <c r="O586" i="32"/>
  <c r="P208" i="32"/>
  <c r="O208" i="32"/>
  <c r="Q478" i="32"/>
  <c r="U478" i="32" s="1"/>
  <c r="T478" i="32"/>
  <c r="AV478" i="32" s="1"/>
  <c r="P364" i="32"/>
  <c r="O364" i="32"/>
  <c r="Q88" i="32"/>
  <c r="U88" i="32" s="1"/>
  <c r="T88" i="32"/>
  <c r="AV88" i="32" s="1"/>
  <c r="P317" i="32"/>
  <c r="O317" i="32"/>
  <c r="P411" i="32"/>
  <c r="O411" i="32"/>
  <c r="P625" i="32"/>
  <c r="O625" i="32"/>
  <c r="Q30" i="32"/>
  <c r="U30" i="32" s="1"/>
  <c r="T30" i="32"/>
  <c r="AV30" i="32" s="1"/>
  <c r="P21" i="32"/>
  <c r="O21" i="32"/>
  <c r="P149" i="32"/>
  <c r="O149" i="32"/>
  <c r="P422" i="32"/>
  <c r="O422" i="32"/>
  <c r="P37" i="32"/>
  <c r="O37" i="32"/>
  <c r="P387" i="32"/>
  <c r="O387" i="32"/>
  <c r="P601" i="32"/>
  <c r="O601" i="32"/>
  <c r="P263" i="32"/>
  <c r="O263" i="32"/>
  <c r="Q358" i="32"/>
  <c r="U358" i="32" s="1"/>
  <c r="T358" i="32"/>
  <c r="AV358" i="32" s="1"/>
  <c r="AX402" i="32"/>
  <c r="AY402" i="32" s="1"/>
  <c r="AW402" i="32"/>
  <c r="P160" i="32"/>
  <c r="O160" i="32"/>
  <c r="P253" i="32"/>
  <c r="O253" i="32"/>
  <c r="P580" i="32"/>
  <c r="O580" i="32"/>
  <c r="P99" i="32"/>
  <c r="O99" i="32"/>
  <c r="P255" i="32"/>
  <c r="O255" i="32"/>
  <c r="P551" i="32"/>
  <c r="O551" i="32"/>
  <c r="P527" i="32"/>
  <c r="O527" i="32"/>
  <c r="P404" i="32"/>
  <c r="O404" i="32"/>
  <c r="P262" i="32"/>
  <c r="O262" i="32"/>
  <c r="P607" i="32"/>
  <c r="O607" i="32"/>
  <c r="P363" i="32"/>
  <c r="O363" i="32"/>
  <c r="P291" i="32"/>
  <c r="O291" i="32"/>
  <c r="AW223" i="32"/>
  <c r="AX223" i="32"/>
  <c r="AY223" i="32" s="1"/>
  <c r="P186" i="32"/>
  <c r="O186" i="32"/>
  <c r="P499" i="32"/>
  <c r="O499" i="32"/>
  <c r="Q136" i="32"/>
  <c r="U136" i="32" s="1"/>
  <c r="T136" i="32"/>
  <c r="AV136" i="32" s="1"/>
  <c r="P66" i="32"/>
  <c r="O66" i="32"/>
  <c r="T22" i="32"/>
  <c r="AV22" i="32" s="1"/>
  <c r="Q22" i="32"/>
  <c r="U22" i="32" s="1"/>
  <c r="T62" i="32"/>
  <c r="AV62" i="32" s="1"/>
  <c r="Q62" i="32"/>
  <c r="U62" i="32" s="1"/>
  <c r="P26" i="32"/>
  <c r="O26" i="32"/>
  <c r="P311" i="32"/>
  <c r="O311" i="32"/>
  <c r="P611" i="32"/>
  <c r="O611" i="32"/>
  <c r="P489" i="32"/>
  <c r="O489" i="32"/>
  <c r="Q528" i="32"/>
  <c r="U528" i="32" s="1"/>
  <c r="T528" i="32"/>
  <c r="AV528" i="32" s="1"/>
  <c r="P83" i="32"/>
  <c r="O83" i="32"/>
  <c r="P295" i="32"/>
  <c r="O295" i="32"/>
  <c r="P414" i="32"/>
  <c r="O414" i="32"/>
  <c r="Q414" i="32" l="1"/>
  <c r="U414" i="32" s="1"/>
  <c r="T414" i="32"/>
  <c r="AV414" i="32" s="1"/>
  <c r="AX358" i="32"/>
  <c r="AY358" i="32" s="1"/>
  <c r="AW358" i="32"/>
  <c r="AW30" i="32"/>
  <c r="AX30" i="32"/>
  <c r="AY30" i="32" s="1"/>
  <c r="AW88" i="32"/>
  <c r="AX88" i="32"/>
  <c r="AY88" i="32" s="1"/>
  <c r="Q92" i="32"/>
  <c r="U92" i="32" s="1"/>
  <c r="T92" i="32"/>
  <c r="AV92" i="32" s="1"/>
  <c r="T133" i="32"/>
  <c r="AV133" i="32" s="1"/>
  <c r="Q133" i="32"/>
  <c r="U133" i="32" s="1"/>
  <c r="Q351" i="32"/>
  <c r="U351" i="32" s="1"/>
  <c r="T351" i="32"/>
  <c r="AV351" i="32" s="1"/>
  <c r="Q565" i="32"/>
  <c r="U565" i="32" s="1"/>
  <c r="T565" i="32"/>
  <c r="AV565" i="32" s="1"/>
  <c r="Q585" i="32"/>
  <c r="U585" i="32" s="1"/>
  <c r="T585" i="32"/>
  <c r="AV585" i="32" s="1"/>
  <c r="AX62" i="32"/>
  <c r="AY62" i="32" s="1"/>
  <c r="AW62" i="32"/>
  <c r="AW143" i="32"/>
  <c r="AX143" i="32"/>
  <c r="AY143" i="32" s="1"/>
  <c r="AX432" i="32"/>
  <c r="AY432" i="32" s="1"/>
  <c r="AW432" i="32"/>
  <c r="Q98" i="32"/>
  <c r="U98" i="32" s="1"/>
  <c r="T98" i="32"/>
  <c r="AV98" i="32" s="1"/>
  <c r="Q131" i="32"/>
  <c r="U131" i="32" s="1"/>
  <c r="T131" i="32"/>
  <c r="AV131" i="32" s="1"/>
  <c r="T446" i="32"/>
  <c r="AV446" i="32" s="1"/>
  <c r="Q446" i="32"/>
  <c r="U446" i="32" s="1"/>
  <c r="AX90" i="32"/>
  <c r="AY90" i="32" s="1"/>
  <c r="AW90" i="32"/>
  <c r="Q236" i="32"/>
  <c r="U236" i="32" s="1"/>
  <c r="T236" i="32"/>
  <c r="AV236" i="32" s="1"/>
  <c r="T539" i="32"/>
  <c r="AV539" i="32" s="1"/>
  <c r="Q539" i="32"/>
  <c r="U539" i="32" s="1"/>
  <c r="AW386" i="32"/>
  <c r="AX386" i="32"/>
  <c r="AY386" i="32" s="1"/>
  <c r="Q232" i="32"/>
  <c r="U232" i="32" s="1"/>
  <c r="T232" i="32"/>
  <c r="AV232" i="32" s="1"/>
  <c r="Q578" i="32"/>
  <c r="U578" i="32" s="1"/>
  <c r="T578" i="32"/>
  <c r="AV578" i="32" s="1"/>
  <c r="Q623" i="32"/>
  <c r="U623" i="32" s="1"/>
  <c r="T623" i="32"/>
  <c r="AV623" i="32" s="1"/>
  <c r="T41" i="32"/>
  <c r="AV41" i="32" s="1"/>
  <c r="Q41" i="32"/>
  <c r="U41" i="32" s="1"/>
  <c r="AX352" i="32"/>
  <c r="AY352" i="32" s="1"/>
  <c r="AW352" i="32"/>
  <c r="Q287" i="32"/>
  <c r="U287" i="32" s="1"/>
  <c r="T287" i="32"/>
  <c r="AV287" i="32" s="1"/>
  <c r="Q15" i="32"/>
  <c r="U15" i="32" s="1"/>
  <c r="T15" i="32"/>
  <c r="AV15" i="32" s="1"/>
  <c r="Q111" i="32"/>
  <c r="U111" i="32" s="1"/>
  <c r="T111" i="32"/>
  <c r="AV111" i="32" s="1"/>
  <c r="AX80" i="32"/>
  <c r="AY80" i="32" s="1"/>
  <c r="AW80" i="32"/>
  <c r="Q154" i="32"/>
  <c r="U154" i="32" s="1"/>
  <c r="T154" i="32"/>
  <c r="AV154" i="32" s="1"/>
  <c r="T280" i="32"/>
  <c r="AV280" i="32" s="1"/>
  <c r="Q280" i="32"/>
  <c r="U280" i="32" s="1"/>
  <c r="Q125" i="32"/>
  <c r="U125" i="32" s="1"/>
  <c r="T125" i="32"/>
  <c r="AV125" i="32" s="1"/>
  <c r="T197" i="32"/>
  <c r="AV197" i="32" s="1"/>
  <c r="Q197" i="32"/>
  <c r="U197" i="32" s="1"/>
  <c r="Q97" i="32"/>
  <c r="U97" i="32" s="1"/>
  <c r="T97" i="32"/>
  <c r="AV97" i="32" s="1"/>
  <c r="Q538" i="32"/>
  <c r="U538" i="32" s="1"/>
  <c r="T538" i="32"/>
  <c r="AV538" i="32" s="1"/>
  <c r="Q189" i="32"/>
  <c r="U189" i="32" s="1"/>
  <c r="T189" i="32"/>
  <c r="AV189" i="32" s="1"/>
  <c r="AX242" i="32"/>
  <c r="AY242" i="32" s="1"/>
  <c r="AW242" i="32"/>
  <c r="T573" i="32"/>
  <c r="AV573" i="32" s="1"/>
  <c r="Q573" i="32"/>
  <c r="U573" i="32" s="1"/>
  <c r="Q564" i="32"/>
  <c r="U564" i="32" s="1"/>
  <c r="T564" i="32"/>
  <c r="AV564" i="32" s="1"/>
  <c r="Q85" i="32"/>
  <c r="U85" i="32" s="1"/>
  <c r="T85" i="32"/>
  <c r="AV85" i="32" s="1"/>
  <c r="Q501" i="32"/>
  <c r="U501" i="32" s="1"/>
  <c r="T501" i="32"/>
  <c r="AV501" i="32" s="1"/>
  <c r="T28" i="32"/>
  <c r="AV28" i="32" s="1"/>
  <c r="Q28" i="32"/>
  <c r="U28" i="32" s="1"/>
  <c r="Q274" i="32"/>
  <c r="U274" i="32" s="1"/>
  <c r="T274" i="32"/>
  <c r="AV274" i="32" s="1"/>
  <c r="Q603" i="32"/>
  <c r="U603" i="32" s="1"/>
  <c r="T603" i="32"/>
  <c r="AV603" i="32" s="1"/>
  <c r="Q476" i="32"/>
  <c r="U476" i="32" s="1"/>
  <c r="T476" i="32"/>
  <c r="AV476" i="32" s="1"/>
  <c r="Q123" i="32"/>
  <c r="U123" i="32" s="1"/>
  <c r="T123" i="32"/>
  <c r="AV123" i="32" s="1"/>
  <c r="Q132" i="32"/>
  <c r="U132" i="32" s="1"/>
  <c r="T132" i="32"/>
  <c r="AV132" i="32" s="1"/>
  <c r="Q412" i="32"/>
  <c r="U412" i="32" s="1"/>
  <c r="T412" i="32"/>
  <c r="AV412" i="32" s="1"/>
  <c r="T571" i="32"/>
  <c r="AV571" i="32" s="1"/>
  <c r="Q571" i="32"/>
  <c r="U571" i="32" s="1"/>
  <c r="Q174" i="32"/>
  <c r="U174" i="32" s="1"/>
  <c r="T174" i="32"/>
  <c r="AV174" i="32" s="1"/>
  <c r="Q323" i="32"/>
  <c r="U323" i="32" s="1"/>
  <c r="T323" i="32"/>
  <c r="AV323" i="32" s="1"/>
  <c r="Q179" i="32"/>
  <c r="U179" i="32" s="1"/>
  <c r="T179" i="32"/>
  <c r="AV179" i="32" s="1"/>
  <c r="Q327" i="32"/>
  <c r="U327" i="32" s="1"/>
  <c r="T327" i="32"/>
  <c r="AV327" i="32" s="1"/>
  <c r="Q25" i="32"/>
  <c r="U25" i="32" s="1"/>
  <c r="T25" i="32"/>
  <c r="AV25" i="32" s="1"/>
  <c r="Q140" i="32"/>
  <c r="U140" i="32" s="1"/>
  <c r="T140" i="32"/>
  <c r="AV140" i="32" s="1"/>
  <c r="Q147" i="32"/>
  <c r="U147" i="32" s="1"/>
  <c r="T147" i="32"/>
  <c r="AV147" i="32" s="1"/>
  <c r="Q600" i="32"/>
  <c r="U600" i="32" s="1"/>
  <c r="T600" i="32"/>
  <c r="AV600" i="32" s="1"/>
  <c r="AW520" i="32"/>
  <c r="AX520" i="32"/>
  <c r="AY520" i="32" s="1"/>
  <c r="Q505" i="32"/>
  <c r="U505" i="32" s="1"/>
  <c r="T505" i="32"/>
  <c r="AV505" i="32" s="1"/>
  <c r="Q89" i="32"/>
  <c r="U89" i="32" s="1"/>
  <c r="T89" i="32"/>
  <c r="AV89" i="32" s="1"/>
  <c r="Q119" i="32"/>
  <c r="U119" i="32" s="1"/>
  <c r="T119" i="32"/>
  <c r="AV119" i="32" s="1"/>
  <c r="T428" i="32"/>
  <c r="AV428" i="32" s="1"/>
  <c r="Q428" i="32"/>
  <c r="U428" i="32" s="1"/>
  <c r="Q595" i="32"/>
  <c r="U595" i="32" s="1"/>
  <c r="T595" i="32"/>
  <c r="AV595" i="32" s="1"/>
  <c r="AX104" i="32"/>
  <c r="AY104" i="32" s="1"/>
  <c r="AW104" i="32"/>
  <c r="T277" i="32"/>
  <c r="AV277" i="32" s="1"/>
  <c r="Q277" i="32"/>
  <c r="U277" i="32" s="1"/>
  <c r="AX175" i="32"/>
  <c r="AY175" i="32" s="1"/>
  <c r="AW175" i="32"/>
  <c r="T78" i="32"/>
  <c r="AV78" i="32" s="1"/>
  <c r="Q78" i="32"/>
  <c r="U78" i="32" s="1"/>
  <c r="T355" i="32"/>
  <c r="AV355" i="32" s="1"/>
  <c r="Q355" i="32"/>
  <c r="U355" i="32" s="1"/>
  <c r="T94" i="32"/>
  <c r="AV94" i="32" s="1"/>
  <c r="Q94" i="32"/>
  <c r="U94" i="32" s="1"/>
  <c r="AX86" i="32"/>
  <c r="AY86" i="32" s="1"/>
  <c r="AW86" i="32"/>
  <c r="AW159" i="32"/>
  <c r="AX159" i="32"/>
  <c r="AY159" i="32" s="1"/>
  <c r="AW14" i="32"/>
  <c r="AX14" i="32"/>
  <c r="AY14" i="32" s="1"/>
  <c r="Q148" i="32"/>
  <c r="U148" i="32" s="1"/>
  <c r="T148" i="32"/>
  <c r="AV148" i="32" s="1"/>
  <c r="T275" i="32"/>
  <c r="AV275" i="32" s="1"/>
  <c r="Q275" i="32"/>
  <c r="U275" i="32" s="1"/>
  <c r="Q508" i="32"/>
  <c r="U508" i="32" s="1"/>
  <c r="T508" i="32"/>
  <c r="AV508" i="32" s="1"/>
  <c r="Q333" i="32"/>
  <c r="U333" i="32" s="1"/>
  <c r="T333" i="32"/>
  <c r="AV333" i="32" s="1"/>
  <c r="Q415" i="32"/>
  <c r="U415" i="32" s="1"/>
  <c r="T415" i="32"/>
  <c r="AV415" i="32" s="1"/>
  <c r="Q404" i="32"/>
  <c r="U404" i="32" s="1"/>
  <c r="T404" i="32"/>
  <c r="AV404" i="32" s="1"/>
  <c r="T580" i="32"/>
  <c r="AV580" i="32" s="1"/>
  <c r="Q580" i="32"/>
  <c r="U580" i="32" s="1"/>
  <c r="Q607" i="32"/>
  <c r="U607" i="32" s="1"/>
  <c r="T607" i="32"/>
  <c r="AV607" i="32" s="1"/>
  <c r="Q263" i="32"/>
  <c r="U263" i="32" s="1"/>
  <c r="T263" i="32"/>
  <c r="AV263" i="32" s="1"/>
  <c r="Q625" i="32"/>
  <c r="U625" i="32" s="1"/>
  <c r="T625" i="32"/>
  <c r="AV625" i="32" s="1"/>
  <c r="Q118" i="32"/>
  <c r="U118" i="32" s="1"/>
  <c r="T118" i="32"/>
  <c r="AV118" i="32" s="1"/>
  <c r="T491" i="32"/>
  <c r="AV491" i="32" s="1"/>
  <c r="Q491" i="32"/>
  <c r="U491" i="32" s="1"/>
  <c r="T593" i="32"/>
  <c r="AV593" i="32" s="1"/>
  <c r="Q593" i="32"/>
  <c r="U593" i="32" s="1"/>
  <c r="Q155" i="32"/>
  <c r="U155" i="32" s="1"/>
  <c r="T155" i="32"/>
  <c r="AV155" i="32" s="1"/>
  <c r="Q74" i="32"/>
  <c r="U74" i="32" s="1"/>
  <c r="T74" i="32"/>
  <c r="AV74" i="32" s="1"/>
  <c r="Q556" i="32"/>
  <c r="U556" i="32" s="1"/>
  <c r="T556" i="32"/>
  <c r="AV556" i="32" s="1"/>
  <c r="AX152" i="32"/>
  <c r="AY152" i="32" s="1"/>
  <c r="AW152" i="32"/>
  <c r="Q473" i="32"/>
  <c r="U473" i="32" s="1"/>
  <c r="T473" i="32"/>
  <c r="AV473" i="32" s="1"/>
  <c r="Q341" i="32"/>
  <c r="U341" i="32" s="1"/>
  <c r="T341" i="32"/>
  <c r="AV341" i="32" s="1"/>
  <c r="AW598" i="32"/>
  <c r="AX598" i="32"/>
  <c r="AY598" i="32" s="1"/>
  <c r="Q340" i="32"/>
  <c r="U340" i="32" s="1"/>
  <c r="T340" i="32"/>
  <c r="AV340" i="32" s="1"/>
  <c r="T297" i="32"/>
  <c r="AV297" i="32" s="1"/>
  <c r="Q297" i="32"/>
  <c r="U297" i="32" s="1"/>
  <c r="T108" i="32"/>
  <c r="AV108" i="32" s="1"/>
  <c r="Q108" i="32"/>
  <c r="U108" i="32" s="1"/>
  <c r="AX72" i="32"/>
  <c r="AY72" i="32" s="1"/>
  <c r="AW72" i="32"/>
  <c r="Q584" i="32"/>
  <c r="U584" i="32" s="1"/>
  <c r="T584" i="32"/>
  <c r="AV584" i="32" s="1"/>
  <c r="Q281" i="32"/>
  <c r="U281" i="32" s="1"/>
  <c r="T281" i="32"/>
  <c r="AV281" i="32" s="1"/>
  <c r="Q166" i="32"/>
  <c r="U166" i="32" s="1"/>
  <c r="T166" i="32"/>
  <c r="AV166" i="32" s="1"/>
  <c r="Q516" i="32"/>
  <c r="U516" i="32" s="1"/>
  <c r="T516" i="32"/>
  <c r="AV516" i="32" s="1"/>
  <c r="Q500" i="32"/>
  <c r="U500" i="32" s="1"/>
  <c r="T500" i="32"/>
  <c r="AV500" i="32" s="1"/>
  <c r="Q346" i="32"/>
  <c r="U346" i="32" s="1"/>
  <c r="T346" i="32"/>
  <c r="AV346" i="32" s="1"/>
  <c r="Q359" i="32"/>
  <c r="U359" i="32" s="1"/>
  <c r="T359" i="32"/>
  <c r="AV359" i="32" s="1"/>
  <c r="Q385" i="32"/>
  <c r="U385" i="32" s="1"/>
  <c r="T385" i="32"/>
  <c r="AV385" i="32" s="1"/>
  <c r="Q230" i="32"/>
  <c r="U230" i="32" s="1"/>
  <c r="T230" i="32"/>
  <c r="AV230" i="32" s="1"/>
  <c r="Q390" i="32"/>
  <c r="U390" i="32" s="1"/>
  <c r="T390" i="32"/>
  <c r="AV390" i="32" s="1"/>
  <c r="T397" i="32"/>
  <c r="AV397" i="32" s="1"/>
  <c r="Q397" i="32"/>
  <c r="U397" i="32" s="1"/>
  <c r="Q463" i="32"/>
  <c r="U463" i="32" s="1"/>
  <c r="T463" i="32"/>
  <c r="AV463" i="32" s="1"/>
  <c r="AX424" i="32"/>
  <c r="AY424" i="32" s="1"/>
  <c r="AW424" i="32"/>
  <c r="AX34" i="32"/>
  <c r="AY34" i="32" s="1"/>
  <c r="AW34" i="32"/>
  <c r="Q304" i="32"/>
  <c r="U304" i="32" s="1"/>
  <c r="T304" i="32"/>
  <c r="AV304" i="32" s="1"/>
  <c r="Q388" i="32"/>
  <c r="U388" i="32" s="1"/>
  <c r="T388" i="32"/>
  <c r="AV388" i="32" s="1"/>
  <c r="Q265" i="32"/>
  <c r="U265" i="32" s="1"/>
  <c r="T265" i="32"/>
  <c r="AV265" i="32" s="1"/>
  <c r="T479" i="32"/>
  <c r="AV479" i="32" s="1"/>
  <c r="Q479" i="32"/>
  <c r="U479" i="32" s="1"/>
  <c r="AW102" i="32"/>
  <c r="AX102" i="32"/>
  <c r="AY102" i="32" s="1"/>
  <c r="Q69" i="32"/>
  <c r="U69" i="32" s="1"/>
  <c r="T69" i="32"/>
  <c r="AV69" i="32" s="1"/>
  <c r="Q129" i="32"/>
  <c r="U129" i="32" s="1"/>
  <c r="T129" i="32"/>
  <c r="AV129" i="32" s="1"/>
  <c r="AW392" i="32"/>
  <c r="AX392" i="32"/>
  <c r="AY392" i="32" s="1"/>
  <c r="T609" i="32"/>
  <c r="AV609" i="32" s="1"/>
  <c r="Q609" i="32"/>
  <c r="U609" i="32" s="1"/>
  <c r="AW122" i="32"/>
  <c r="AX122" i="32"/>
  <c r="AY122" i="32" s="1"/>
  <c r="Q73" i="32"/>
  <c r="U73" i="32" s="1"/>
  <c r="T73" i="32"/>
  <c r="AV73" i="32" s="1"/>
  <c r="AX298" i="32"/>
  <c r="AY298" i="32" s="1"/>
  <c r="AW298" i="32"/>
  <c r="T357" i="32"/>
  <c r="AV357" i="32" s="1"/>
  <c r="Q357" i="32"/>
  <c r="U357" i="32" s="1"/>
  <c r="Q375" i="32"/>
  <c r="U375" i="32" s="1"/>
  <c r="T375" i="32"/>
  <c r="AV375" i="32" s="1"/>
  <c r="AX114" i="32"/>
  <c r="AY114" i="32" s="1"/>
  <c r="AW114" i="32"/>
  <c r="Q256" i="32"/>
  <c r="U256" i="32" s="1"/>
  <c r="T256" i="32"/>
  <c r="AV256" i="32" s="1"/>
  <c r="Q507" i="32"/>
  <c r="U507" i="32" s="1"/>
  <c r="T507" i="32"/>
  <c r="AV507" i="32" s="1"/>
  <c r="AX488" i="32"/>
  <c r="AY488" i="32" s="1"/>
  <c r="AW488" i="32"/>
  <c r="AX486" i="32"/>
  <c r="AY486" i="32" s="1"/>
  <c r="AW486" i="32"/>
  <c r="Q502" i="32"/>
  <c r="U502" i="32" s="1"/>
  <c r="T502" i="32"/>
  <c r="AV502" i="32" s="1"/>
  <c r="Q222" i="32"/>
  <c r="U222" i="32" s="1"/>
  <c r="T222" i="32"/>
  <c r="AV222" i="32" s="1"/>
  <c r="AW370" i="32"/>
  <c r="AX370" i="32"/>
  <c r="AY370" i="32" s="1"/>
  <c r="T602" i="32"/>
  <c r="AV602" i="32" s="1"/>
  <c r="Q602" i="32"/>
  <c r="U602" i="32" s="1"/>
  <c r="AW192" i="32"/>
  <c r="AX192" i="32"/>
  <c r="AY192" i="32" s="1"/>
  <c r="Q100" i="32"/>
  <c r="U100" i="32" s="1"/>
  <c r="T100" i="32"/>
  <c r="AV100" i="32" s="1"/>
  <c r="Q610" i="32"/>
  <c r="U610" i="32" s="1"/>
  <c r="T610" i="32"/>
  <c r="AV610" i="32" s="1"/>
  <c r="Q523" i="32"/>
  <c r="U523" i="32" s="1"/>
  <c r="T523" i="32"/>
  <c r="AV523" i="32" s="1"/>
  <c r="AX135" i="32"/>
  <c r="AY135" i="32" s="1"/>
  <c r="AW135" i="32"/>
  <c r="Q567" i="32"/>
  <c r="U567" i="32" s="1"/>
  <c r="T567" i="32"/>
  <c r="AV567" i="32" s="1"/>
  <c r="Q517" i="32"/>
  <c r="U517" i="32" s="1"/>
  <c r="T517" i="32"/>
  <c r="AV517" i="32" s="1"/>
  <c r="Q581" i="32"/>
  <c r="U581" i="32" s="1"/>
  <c r="T581" i="32"/>
  <c r="AV581" i="32" s="1"/>
  <c r="Q604" i="32"/>
  <c r="U604" i="32" s="1"/>
  <c r="T604" i="32"/>
  <c r="AV604" i="32" s="1"/>
  <c r="Q589" i="32"/>
  <c r="U589" i="32" s="1"/>
  <c r="T589" i="32"/>
  <c r="AV589" i="32" s="1"/>
  <c r="Q320" i="32"/>
  <c r="U320" i="32" s="1"/>
  <c r="T320" i="32"/>
  <c r="AV320" i="32" s="1"/>
  <c r="T36" i="32"/>
  <c r="AV36" i="32" s="1"/>
  <c r="Q36" i="32"/>
  <c r="U36" i="32" s="1"/>
  <c r="AW258" i="32"/>
  <c r="AX258" i="32"/>
  <c r="AY258" i="32" s="1"/>
  <c r="Q452" i="32"/>
  <c r="U452" i="32" s="1"/>
  <c r="T452" i="32"/>
  <c r="AV452" i="32" s="1"/>
  <c r="T117" i="32"/>
  <c r="AV117" i="32" s="1"/>
  <c r="Q117" i="32"/>
  <c r="U117" i="32" s="1"/>
  <c r="AX16" i="32"/>
  <c r="AY16" i="32" s="1"/>
  <c r="AW16" i="32"/>
  <c r="Q455" i="32"/>
  <c r="U455" i="32" s="1"/>
  <c r="T455" i="32"/>
  <c r="AV455" i="32" s="1"/>
  <c r="Q79" i="32"/>
  <c r="U79" i="32" s="1"/>
  <c r="T79" i="32"/>
  <c r="AV79" i="32" s="1"/>
  <c r="Q462" i="32"/>
  <c r="U462" i="32" s="1"/>
  <c r="T462" i="32"/>
  <c r="AV462" i="32" s="1"/>
  <c r="T229" i="32"/>
  <c r="AV229" i="32" s="1"/>
  <c r="Q229" i="32"/>
  <c r="U229" i="32" s="1"/>
  <c r="Q289" i="32"/>
  <c r="U289" i="32" s="1"/>
  <c r="T289" i="32"/>
  <c r="AV289" i="32" s="1"/>
  <c r="Q405" i="32"/>
  <c r="U405" i="32" s="1"/>
  <c r="T405" i="32"/>
  <c r="AV405" i="32" s="1"/>
  <c r="T250" i="32"/>
  <c r="AV250" i="32" s="1"/>
  <c r="Q250" i="32"/>
  <c r="U250" i="32" s="1"/>
  <c r="Q293" i="32"/>
  <c r="U293" i="32" s="1"/>
  <c r="T293" i="32"/>
  <c r="AV293" i="32" s="1"/>
  <c r="Q431" i="32"/>
  <c r="U431" i="32" s="1"/>
  <c r="T431" i="32"/>
  <c r="AV431" i="32" s="1"/>
  <c r="Q324" i="32"/>
  <c r="U324" i="32" s="1"/>
  <c r="T324" i="32"/>
  <c r="AV324" i="32" s="1"/>
  <c r="Q291" i="32"/>
  <c r="U291" i="32" s="1"/>
  <c r="T291" i="32"/>
  <c r="AV291" i="32" s="1"/>
  <c r="Q527" i="32"/>
  <c r="U527" i="32" s="1"/>
  <c r="T527" i="32"/>
  <c r="AV527" i="32" s="1"/>
  <c r="T186" i="32"/>
  <c r="AV186" i="32" s="1"/>
  <c r="Q186" i="32"/>
  <c r="U186" i="32" s="1"/>
  <c r="Q253" i="32"/>
  <c r="U253" i="32" s="1"/>
  <c r="T253" i="32"/>
  <c r="AV253" i="32" s="1"/>
  <c r="Q422" i="32"/>
  <c r="U422" i="32" s="1"/>
  <c r="T422" i="32"/>
  <c r="AV422" i="32" s="1"/>
  <c r="T364" i="32"/>
  <c r="AV364" i="32" s="1"/>
  <c r="Q364" i="32"/>
  <c r="U364" i="32" s="1"/>
  <c r="Q509" i="32"/>
  <c r="U509" i="32" s="1"/>
  <c r="T509" i="32"/>
  <c r="AV509" i="32" s="1"/>
  <c r="AW22" i="32"/>
  <c r="AX22" i="32"/>
  <c r="AY22" i="32" s="1"/>
  <c r="Q588" i="32"/>
  <c r="U588" i="32" s="1"/>
  <c r="T588" i="32"/>
  <c r="AV588" i="32" s="1"/>
  <c r="T165" i="32"/>
  <c r="AV165" i="32" s="1"/>
  <c r="Q165" i="32"/>
  <c r="U165" i="32" s="1"/>
  <c r="Q278" i="32"/>
  <c r="U278" i="32" s="1"/>
  <c r="T278" i="32"/>
  <c r="AV278" i="32" s="1"/>
  <c r="T447" i="32"/>
  <c r="AV447" i="32" s="1"/>
  <c r="Q447" i="32"/>
  <c r="U447" i="32" s="1"/>
  <c r="Q485" i="32"/>
  <c r="U485" i="32" s="1"/>
  <c r="T485" i="32"/>
  <c r="AV485" i="32" s="1"/>
  <c r="Q531" i="32"/>
  <c r="U531" i="32" s="1"/>
  <c r="T531" i="32"/>
  <c r="AV531" i="32" s="1"/>
  <c r="Q249" i="32"/>
  <c r="U249" i="32" s="1"/>
  <c r="T249" i="32"/>
  <c r="AV249" i="32" s="1"/>
  <c r="AW71" i="32"/>
  <c r="AX71" i="32"/>
  <c r="AY71" i="32" s="1"/>
  <c r="Q126" i="32"/>
  <c r="U126" i="32" s="1"/>
  <c r="T126" i="32"/>
  <c r="AV126" i="32" s="1"/>
  <c r="Q310" i="32"/>
  <c r="U310" i="32" s="1"/>
  <c r="T310" i="32"/>
  <c r="AV310" i="32" s="1"/>
  <c r="Q328" i="32"/>
  <c r="U328" i="32" s="1"/>
  <c r="T328" i="32"/>
  <c r="AV328" i="32" s="1"/>
  <c r="Q301" i="32"/>
  <c r="U301" i="32" s="1"/>
  <c r="T301" i="32"/>
  <c r="AV301" i="32" s="1"/>
  <c r="Q213" i="32"/>
  <c r="U213" i="32" s="1"/>
  <c r="T213" i="32"/>
  <c r="AV213" i="32" s="1"/>
  <c r="Q271" i="32"/>
  <c r="U271" i="32" s="1"/>
  <c r="T271" i="32"/>
  <c r="AV271" i="32" s="1"/>
  <c r="AW167" i="32"/>
  <c r="AX167" i="32"/>
  <c r="AY167" i="32" s="1"/>
  <c r="Q292" i="32"/>
  <c r="U292" i="32" s="1"/>
  <c r="T292" i="32"/>
  <c r="AV292" i="32" s="1"/>
  <c r="Q583" i="32"/>
  <c r="U583" i="32" s="1"/>
  <c r="T583" i="32"/>
  <c r="AV583" i="32" s="1"/>
  <c r="Q246" i="32"/>
  <c r="U246" i="32" s="1"/>
  <c r="T246" i="32"/>
  <c r="AV246" i="32" s="1"/>
  <c r="Q329" i="32"/>
  <c r="U329" i="32" s="1"/>
  <c r="T329" i="32"/>
  <c r="AV329" i="32" s="1"/>
  <c r="T492" i="32"/>
  <c r="AV492" i="32" s="1"/>
  <c r="Q492" i="32"/>
  <c r="U492" i="32" s="1"/>
  <c r="Q270" i="32"/>
  <c r="U270" i="32" s="1"/>
  <c r="T270" i="32"/>
  <c r="AV270" i="32" s="1"/>
  <c r="Q513" i="32"/>
  <c r="U513" i="32" s="1"/>
  <c r="T513" i="32"/>
  <c r="AV513" i="32" s="1"/>
  <c r="Q576" i="32"/>
  <c r="U576" i="32" s="1"/>
  <c r="T576" i="32"/>
  <c r="AV576" i="32" s="1"/>
  <c r="AX552" i="32"/>
  <c r="AY552" i="32" s="1"/>
  <c r="AW552" i="32"/>
  <c r="T302" i="32"/>
  <c r="AV302" i="32" s="1"/>
  <c r="Q302" i="32"/>
  <c r="U302" i="32" s="1"/>
  <c r="Q43" i="32"/>
  <c r="U43" i="32" s="1"/>
  <c r="T43" i="32"/>
  <c r="AV43" i="32" s="1"/>
  <c r="T267" i="32"/>
  <c r="AV267" i="32" s="1"/>
  <c r="Q267" i="32"/>
  <c r="U267" i="32" s="1"/>
  <c r="T407" i="32"/>
  <c r="AV407" i="32" s="1"/>
  <c r="Q407" i="32"/>
  <c r="U407" i="32" s="1"/>
  <c r="T475" i="32"/>
  <c r="AV475" i="32" s="1"/>
  <c r="Q475" i="32"/>
  <c r="U475" i="32" s="1"/>
  <c r="Q393" i="32"/>
  <c r="U393" i="32" s="1"/>
  <c r="T393" i="32"/>
  <c r="AV393" i="32" s="1"/>
  <c r="Q553" i="32"/>
  <c r="U553" i="32" s="1"/>
  <c r="T553" i="32"/>
  <c r="AV553" i="32" s="1"/>
  <c r="Q451" i="32"/>
  <c r="U451" i="32" s="1"/>
  <c r="T451" i="32"/>
  <c r="AV451" i="32" s="1"/>
  <c r="Q171" i="32"/>
  <c r="U171" i="32" s="1"/>
  <c r="T171" i="32"/>
  <c r="AV171" i="32" s="1"/>
  <c r="Q17" i="32"/>
  <c r="U17" i="32" s="1"/>
  <c r="T17" i="32"/>
  <c r="AV17" i="32" s="1"/>
  <c r="AX418" i="32"/>
  <c r="AY418" i="32" s="1"/>
  <c r="AW418" i="32"/>
  <c r="Q613" i="32"/>
  <c r="U613" i="32" s="1"/>
  <c r="T613" i="32"/>
  <c r="AV613" i="32" s="1"/>
  <c r="Q181" i="32"/>
  <c r="U181" i="32" s="1"/>
  <c r="T181" i="32"/>
  <c r="AV181" i="32" s="1"/>
  <c r="Q116" i="32"/>
  <c r="U116" i="32" s="1"/>
  <c r="T116" i="32"/>
  <c r="AV116" i="32" s="1"/>
  <c r="Q53" i="32"/>
  <c r="U53" i="32" s="1"/>
  <c r="T53" i="32"/>
  <c r="AV53" i="32" s="1"/>
  <c r="Q330" i="32"/>
  <c r="U330" i="32" s="1"/>
  <c r="T330" i="32"/>
  <c r="AV330" i="32" s="1"/>
  <c r="AW445" i="32"/>
  <c r="AX445" i="32"/>
  <c r="AY445" i="32" s="1"/>
  <c r="Q568" i="32"/>
  <c r="U568" i="32" s="1"/>
  <c r="T568" i="32"/>
  <c r="AV568" i="32" s="1"/>
  <c r="Q145" i="32"/>
  <c r="U145" i="32" s="1"/>
  <c r="T145" i="32"/>
  <c r="AV145" i="32" s="1"/>
  <c r="T417" i="32"/>
  <c r="AV417" i="32" s="1"/>
  <c r="Q417" i="32"/>
  <c r="U417" i="32" s="1"/>
  <c r="Q247" i="32"/>
  <c r="U247" i="32" s="1"/>
  <c r="T247" i="32"/>
  <c r="AV247" i="32" s="1"/>
  <c r="Q569" i="32"/>
  <c r="U569" i="32" s="1"/>
  <c r="T569" i="32"/>
  <c r="AV569" i="32" s="1"/>
  <c r="AW378" i="32"/>
  <c r="AX378" i="32"/>
  <c r="AY378" i="32" s="1"/>
  <c r="Q382" i="32"/>
  <c r="U382" i="32" s="1"/>
  <c r="T382" i="32"/>
  <c r="AV382" i="32" s="1"/>
  <c r="AW544" i="32"/>
  <c r="AX544" i="32"/>
  <c r="AY544" i="32" s="1"/>
  <c r="T47" i="32"/>
  <c r="AV47" i="32" s="1"/>
  <c r="Q47" i="32"/>
  <c r="U47" i="32" s="1"/>
  <c r="T279" i="32"/>
  <c r="AV279" i="32" s="1"/>
  <c r="Q279" i="32"/>
  <c r="U279" i="32" s="1"/>
  <c r="AW480" i="32"/>
  <c r="AX480" i="32"/>
  <c r="AY480" i="32" s="1"/>
  <c r="Q205" i="32"/>
  <c r="U205" i="32" s="1"/>
  <c r="T205" i="32"/>
  <c r="AV205" i="32" s="1"/>
  <c r="Q436" i="32"/>
  <c r="U436" i="32" s="1"/>
  <c r="T436" i="32"/>
  <c r="AV436" i="32" s="1"/>
  <c r="Q326" i="32"/>
  <c r="U326" i="32" s="1"/>
  <c r="T326" i="32"/>
  <c r="AV326" i="32" s="1"/>
  <c r="Q594" i="32"/>
  <c r="U594" i="32" s="1"/>
  <c r="T594" i="32"/>
  <c r="AV594" i="32" s="1"/>
  <c r="Q81" i="32"/>
  <c r="U81" i="32" s="1"/>
  <c r="T81" i="32"/>
  <c r="AV81" i="32" s="1"/>
  <c r="AW336" i="32"/>
  <c r="AX336" i="32"/>
  <c r="AY336" i="32" s="1"/>
  <c r="Q29" i="32"/>
  <c r="U29" i="32" s="1"/>
  <c r="T29" i="32"/>
  <c r="AV29" i="32" s="1"/>
  <c r="Q91" i="32"/>
  <c r="U91" i="32" s="1"/>
  <c r="T91" i="32"/>
  <c r="AV91" i="32" s="1"/>
  <c r="T338" i="32"/>
  <c r="AV338" i="32" s="1"/>
  <c r="Q338" i="32"/>
  <c r="U338" i="32" s="1"/>
  <c r="Q362" i="32"/>
  <c r="U362" i="32" s="1"/>
  <c r="T362" i="32"/>
  <c r="AV362" i="32" s="1"/>
  <c r="T489" i="32"/>
  <c r="AV489" i="32" s="1"/>
  <c r="Q489" i="32"/>
  <c r="U489" i="32" s="1"/>
  <c r="T295" i="32"/>
  <c r="AV295" i="32" s="1"/>
  <c r="Q295" i="32"/>
  <c r="U295" i="32" s="1"/>
  <c r="T83" i="32"/>
  <c r="AV83" i="32" s="1"/>
  <c r="Q83" i="32"/>
  <c r="U83" i="32" s="1"/>
  <c r="Q66" i="32"/>
  <c r="U66" i="32" s="1"/>
  <c r="T66" i="32"/>
  <c r="AV66" i="32" s="1"/>
  <c r="Q255" i="32"/>
  <c r="U255" i="32" s="1"/>
  <c r="T255" i="32"/>
  <c r="AV255" i="32" s="1"/>
  <c r="Q601" i="32"/>
  <c r="U601" i="32" s="1"/>
  <c r="T601" i="32"/>
  <c r="AV601" i="32" s="1"/>
  <c r="T411" i="32"/>
  <c r="AV411" i="32" s="1"/>
  <c r="Q411" i="32"/>
  <c r="U411" i="32" s="1"/>
  <c r="Q365" i="32"/>
  <c r="U365" i="32" s="1"/>
  <c r="T365" i="32"/>
  <c r="AV365" i="32" s="1"/>
  <c r="Q526" i="32"/>
  <c r="U526" i="32" s="1"/>
  <c r="T526" i="32"/>
  <c r="AV526" i="32" s="1"/>
  <c r="Q628" i="32"/>
  <c r="U628" i="32" s="1"/>
  <c r="T628" i="32"/>
  <c r="AV628" i="32" s="1"/>
  <c r="Q403" i="32"/>
  <c r="U403" i="32" s="1"/>
  <c r="T403" i="32"/>
  <c r="AV403" i="32" s="1"/>
  <c r="Q245" i="32"/>
  <c r="U245" i="32" s="1"/>
  <c r="T245" i="32"/>
  <c r="AV245" i="32" s="1"/>
  <c r="Q234" i="32"/>
  <c r="U234" i="32" s="1"/>
  <c r="T234" i="32"/>
  <c r="AV234" i="32" s="1"/>
  <c r="Q546" i="32"/>
  <c r="U546" i="32" s="1"/>
  <c r="T546" i="32"/>
  <c r="AV546" i="32" s="1"/>
  <c r="T540" i="32"/>
  <c r="AV540" i="32" s="1"/>
  <c r="Q540" i="32"/>
  <c r="U540" i="32" s="1"/>
  <c r="Q161" i="32"/>
  <c r="U161" i="32" s="1"/>
  <c r="T161" i="32"/>
  <c r="AV161" i="32" s="1"/>
  <c r="AX183" i="32"/>
  <c r="AY183" i="32" s="1"/>
  <c r="AW183" i="32"/>
  <c r="Q483" i="32"/>
  <c r="U483" i="32" s="1"/>
  <c r="T483" i="32"/>
  <c r="AV483" i="32" s="1"/>
  <c r="Q39" i="32"/>
  <c r="U39" i="32" s="1"/>
  <c r="T39" i="32"/>
  <c r="AV39" i="32" s="1"/>
  <c r="T433" i="32"/>
  <c r="AV433" i="32" s="1"/>
  <c r="Q433" i="32"/>
  <c r="U433" i="32" s="1"/>
  <c r="Q18" i="32"/>
  <c r="U18" i="32" s="1"/>
  <c r="T18" i="32"/>
  <c r="AV18" i="32" s="1"/>
  <c r="Q497" i="32"/>
  <c r="U497" i="32" s="1"/>
  <c r="T497" i="32"/>
  <c r="AV497" i="32" s="1"/>
  <c r="Q592" i="32"/>
  <c r="U592" i="32" s="1"/>
  <c r="T592" i="32"/>
  <c r="AV592" i="32" s="1"/>
  <c r="T572" i="32"/>
  <c r="AV572" i="32" s="1"/>
  <c r="Q572" i="32"/>
  <c r="U572" i="32" s="1"/>
  <c r="T299" i="32"/>
  <c r="AV299" i="32" s="1"/>
  <c r="Q299" i="32"/>
  <c r="U299" i="32" s="1"/>
  <c r="Q19" i="32"/>
  <c r="U19" i="32" s="1"/>
  <c r="T19" i="32"/>
  <c r="AV19" i="32" s="1"/>
  <c r="AX191" i="32"/>
  <c r="AY191" i="32" s="1"/>
  <c r="AW191" i="32"/>
  <c r="T495" i="32"/>
  <c r="AV495" i="32" s="1"/>
  <c r="Q495" i="32"/>
  <c r="U495" i="32" s="1"/>
  <c r="Q406" i="32"/>
  <c r="U406" i="32" s="1"/>
  <c r="T406" i="32"/>
  <c r="AV406" i="32" s="1"/>
  <c r="Q264" i="32"/>
  <c r="U264" i="32" s="1"/>
  <c r="T264" i="32"/>
  <c r="AV264" i="32" s="1"/>
  <c r="Q172" i="32"/>
  <c r="U172" i="32" s="1"/>
  <c r="T172" i="32"/>
  <c r="AV172" i="32" s="1"/>
  <c r="Q319" i="32"/>
  <c r="U319" i="32" s="1"/>
  <c r="T319" i="32"/>
  <c r="AV319" i="32" s="1"/>
  <c r="T537" i="32"/>
  <c r="AV537" i="32" s="1"/>
  <c r="Q537" i="32"/>
  <c r="U537" i="32" s="1"/>
  <c r="T55" i="32"/>
  <c r="AV55" i="32" s="1"/>
  <c r="Q55" i="32"/>
  <c r="U55" i="32" s="1"/>
  <c r="Q58" i="32"/>
  <c r="U58" i="32" s="1"/>
  <c r="T58" i="32"/>
  <c r="AV58" i="32" s="1"/>
  <c r="Q194" i="32"/>
  <c r="U194" i="32" s="1"/>
  <c r="T194" i="32"/>
  <c r="AV194" i="32" s="1"/>
  <c r="T570" i="32"/>
  <c r="AV570" i="32" s="1"/>
  <c r="Q570" i="32"/>
  <c r="U570" i="32" s="1"/>
  <c r="AX184" i="32"/>
  <c r="AY184" i="32" s="1"/>
  <c r="AW184" i="32"/>
  <c r="Q212" i="32"/>
  <c r="U212" i="32" s="1"/>
  <c r="T212" i="32"/>
  <c r="AV212" i="32" s="1"/>
  <c r="Q547" i="32"/>
  <c r="U547" i="32" s="1"/>
  <c r="T547" i="32"/>
  <c r="AV547" i="32" s="1"/>
  <c r="Q562" i="32"/>
  <c r="U562" i="32" s="1"/>
  <c r="T562" i="32"/>
  <c r="AV562" i="32" s="1"/>
  <c r="T158" i="32"/>
  <c r="AV158" i="32" s="1"/>
  <c r="Q158" i="32"/>
  <c r="U158" i="32" s="1"/>
  <c r="Q484" i="32"/>
  <c r="U484" i="32" s="1"/>
  <c r="T484" i="32"/>
  <c r="AV484" i="32" s="1"/>
  <c r="T398" i="32"/>
  <c r="AV398" i="32" s="1"/>
  <c r="Q398" i="32"/>
  <c r="U398" i="32" s="1"/>
  <c r="T624" i="32"/>
  <c r="AV624" i="32" s="1"/>
  <c r="Q624" i="32"/>
  <c r="U624" i="32" s="1"/>
  <c r="T599" i="32"/>
  <c r="AV599" i="32" s="1"/>
  <c r="Q599" i="32"/>
  <c r="U599" i="32" s="1"/>
  <c r="Q519" i="32"/>
  <c r="U519" i="32" s="1"/>
  <c r="T519" i="32"/>
  <c r="AV519" i="32" s="1"/>
  <c r="Q466" i="32"/>
  <c r="U466" i="32" s="1"/>
  <c r="T466" i="32"/>
  <c r="AV466" i="32" s="1"/>
  <c r="Q233" i="32"/>
  <c r="U233" i="32" s="1"/>
  <c r="T233" i="32"/>
  <c r="AV233" i="32" s="1"/>
  <c r="Q156" i="32"/>
  <c r="U156" i="32" s="1"/>
  <c r="T156" i="32"/>
  <c r="AV156" i="32" s="1"/>
  <c r="AW558" i="32"/>
  <c r="AX558" i="32"/>
  <c r="AY558" i="32" s="1"/>
  <c r="T75" i="32"/>
  <c r="AV75" i="32" s="1"/>
  <c r="Q75" i="32"/>
  <c r="U75" i="32" s="1"/>
  <c r="AW350" i="32"/>
  <c r="AX350" i="32"/>
  <c r="AY350" i="32" s="1"/>
  <c r="Q218" i="32"/>
  <c r="U218" i="32" s="1"/>
  <c r="T218" i="32"/>
  <c r="AV218" i="32" s="1"/>
  <c r="AX82" i="32"/>
  <c r="AY82" i="32" s="1"/>
  <c r="AW82" i="32"/>
  <c r="Q57" i="32"/>
  <c r="U57" i="32" s="1"/>
  <c r="T57" i="32"/>
  <c r="AV57" i="32" s="1"/>
  <c r="Q339" i="32"/>
  <c r="U339" i="32" s="1"/>
  <c r="T339" i="32"/>
  <c r="AV339" i="32" s="1"/>
  <c r="Q561" i="32"/>
  <c r="U561" i="32" s="1"/>
  <c r="T561" i="32"/>
  <c r="AV561" i="32" s="1"/>
  <c r="Q374" i="32"/>
  <c r="U374" i="32" s="1"/>
  <c r="T374" i="32"/>
  <c r="AV374" i="32" s="1"/>
  <c r="Q225" i="32"/>
  <c r="U225" i="32" s="1"/>
  <c r="T225" i="32"/>
  <c r="AV225" i="32" s="1"/>
  <c r="Q44" i="32"/>
  <c r="U44" i="32" s="1"/>
  <c r="T44" i="32"/>
  <c r="AV44" i="32" s="1"/>
  <c r="Q437" i="32"/>
  <c r="U437" i="32" s="1"/>
  <c r="T437" i="32"/>
  <c r="AV437" i="32" s="1"/>
  <c r="T471" i="32"/>
  <c r="AV471" i="32" s="1"/>
  <c r="Q471" i="32"/>
  <c r="U471" i="32" s="1"/>
  <c r="Q545" i="32"/>
  <c r="U545" i="32" s="1"/>
  <c r="T545" i="32"/>
  <c r="AV545" i="32" s="1"/>
  <c r="Q93" i="32"/>
  <c r="U93" i="32" s="1"/>
  <c r="T93" i="32"/>
  <c r="AV93" i="32" s="1"/>
  <c r="T231" i="32"/>
  <c r="AV231" i="32" s="1"/>
  <c r="Q231" i="32"/>
  <c r="U231" i="32" s="1"/>
  <c r="T157" i="32"/>
  <c r="AV157" i="32" s="1"/>
  <c r="Q157" i="32"/>
  <c r="U157" i="32" s="1"/>
  <c r="Q550" i="32"/>
  <c r="U550" i="32" s="1"/>
  <c r="T550" i="32"/>
  <c r="AV550" i="32" s="1"/>
  <c r="T456" i="32"/>
  <c r="AV456" i="32" s="1"/>
  <c r="Q456" i="32"/>
  <c r="U456" i="32" s="1"/>
  <c r="AW528" i="32"/>
  <c r="AX528" i="32"/>
  <c r="AY528" i="32" s="1"/>
  <c r="Q499" i="32"/>
  <c r="U499" i="32" s="1"/>
  <c r="T499" i="32"/>
  <c r="AV499" i="32" s="1"/>
  <c r="T611" i="32"/>
  <c r="AV611" i="32" s="1"/>
  <c r="Q611" i="32"/>
  <c r="U611" i="32" s="1"/>
  <c r="T551" i="32"/>
  <c r="AV551" i="32" s="1"/>
  <c r="Q551" i="32"/>
  <c r="U551" i="32" s="1"/>
  <c r="Q311" i="32"/>
  <c r="U311" i="32" s="1"/>
  <c r="T311" i="32"/>
  <c r="AV311" i="32" s="1"/>
  <c r="Q262" i="32"/>
  <c r="U262" i="32" s="1"/>
  <c r="T262" i="32"/>
  <c r="AV262" i="32" s="1"/>
  <c r="T160" i="32"/>
  <c r="AV160" i="32" s="1"/>
  <c r="Q160" i="32"/>
  <c r="U160" i="32" s="1"/>
  <c r="Q149" i="32"/>
  <c r="U149" i="32" s="1"/>
  <c r="T149" i="32"/>
  <c r="AV149" i="32" s="1"/>
  <c r="AW478" i="32"/>
  <c r="AX478" i="32"/>
  <c r="AY478" i="32" s="1"/>
  <c r="Q248" i="32"/>
  <c r="U248" i="32" s="1"/>
  <c r="T248" i="32"/>
  <c r="AV248" i="32" s="1"/>
  <c r="Q150" i="32"/>
  <c r="U150" i="32" s="1"/>
  <c r="T150" i="32"/>
  <c r="AV150" i="32" s="1"/>
  <c r="Q305" i="32"/>
  <c r="U305" i="32" s="1"/>
  <c r="T305" i="32"/>
  <c r="AV305" i="32" s="1"/>
  <c r="Q142" i="32"/>
  <c r="U142" i="32" s="1"/>
  <c r="T142" i="32"/>
  <c r="AV142" i="32" s="1"/>
  <c r="AW219" i="32"/>
  <c r="AX219" i="32"/>
  <c r="AY219" i="32" s="1"/>
  <c r="AX227" i="32"/>
  <c r="AY227" i="32" s="1"/>
  <c r="AW227" i="32"/>
  <c r="Q313" i="32"/>
  <c r="U313" i="32" s="1"/>
  <c r="T313" i="32"/>
  <c r="AV313" i="32" s="1"/>
  <c r="T366" i="32"/>
  <c r="AV366" i="32" s="1"/>
  <c r="Q366" i="32"/>
  <c r="U366" i="32" s="1"/>
  <c r="Q50" i="32"/>
  <c r="U50" i="32" s="1"/>
  <c r="T50" i="32"/>
  <c r="AV50" i="32" s="1"/>
  <c r="Q612" i="32"/>
  <c r="U612" i="32" s="1"/>
  <c r="T612" i="32"/>
  <c r="AV612" i="32" s="1"/>
  <c r="Q487" i="32"/>
  <c r="U487" i="32" s="1"/>
  <c r="T487" i="32"/>
  <c r="AV487" i="32" s="1"/>
  <c r="Q224" i="32"/>
  <c r="U224" i="32" s="1"/>
  <c r="T224" i="32"/>
  <c r="AV224" i="32" s="1"/>
  <c r="Q35" i="32"/>
  <c r="U35" i="32" s="1"/>
  <c r="T35" i="32"/>
  <c r="AV35" i="32" s="1"/>
  <c r="Q535" i="32"/>
  <c r="U535" i="32" s="1"/>
  <c r="T535" i="32"/>
  <c r="AV535" i="32" s="1"/>
  <c r="Q178" i="32"/>
  <c r="U178" i="32" s="1"/>
  <c r="T178" i="32"/>
  <c r="AV178" i="32" s="1"/>
  <c r="Q321" i="32"/>
  <c r="U321" i="32" s="1"/>
  <c r="T321" i="32"/>
  <c r="AV321" i="32" s="1"/>
  <c r="T465" i="32"/>
  <c r="AV465" i="32" s="1"/>
  <c r="Q465" i="32"/>
  <c r="U465" i="32" s="1"/>
  <c r="Q369" i="32"/>
  <c r="U369" i="32" s="1"/>
  <c r="T369" i="32"/>
  <c r="AV369" i="32" s="1"/>
  <c r="Q196" i="32"/>
  <c r="U196" i="32" s="1"/>
  <c r="T196" i="32"/>
  <c r="AV196" i="32" s="1"/>
  <c r="T112" i="32"/>
  <c r="AV112" i="32" s="1"/>
  <c r="Q112" i="32"/>
  <c r="U112" i="32" s="1"/>
  <c r="AX120" i="32"/>
  <c r="AY120" i="32" s="1"/>
  <c r="AW120" i="32"/>
  <c r="Q173" i="32"/>
  <c r="U173" i="32" s="1"/>
  <c r="T173" i="32"/>
  <c r="AV173" i="32" s="1"/>
  <c r="T260" i="32"/>
  <c r="AV260" i="32" s="1"/>
  <c r="Q260" i="32"/>
  <c r="U260" i="32" s="1"/>
  <c r="T56" i="32"/>
  <c r="AV56" i="32" s="1"/>
  <c r="Q56" i="32"/>
  <c r="U56" i="32" s="1"/>
  <c r="AX512" i="32"/>
  <c r="AY512" i="32" s="1"/>
  <c r="AW512" i="32"/>
  <c r="Q454" i="32"/>
  <c r="U454" i="32" s="1"/>
  <c r="T454" i="32"/>
  <c r="AV454" i="32" s="1"/>
  <c r="T273" i="32"/>
  <c r="AV273" i="32" s="1"/>
  <c r="Q273" i="32"/>
  <c r="U273" i="32" s="1"/>
  <c r="Q391" i="32"/>
  <c r="U391" i="32" s="1"/>
  <c r="T391" i="32"/>
  <c r="AV391" i="32" s="1"/>
  <c r="AW290" i="32"/>
  <c r="AX290" i="32"/>
  <c r="AY290" i="32" s="1"/>
  <c r="Q217" i="32"/>
  <c r="U217" i="32" s="1"/>
  <c r="T217" i="32"/>
  <c r="AV217" i="32" s="1"/>
  <c r="T464" i="32"/>
  <c r="AV464" i="32" s="1"/>
  <c r="Q464" i="32"/>
  <c r="U464" i="32" s="1"/>
  <c r="T51" i="32"/>
  <c r="AV51" i="32" s="1"/>
  <c r="Q51" i="32"/>
  <c r="U51" i="32" s="1"/>
  <c r="T318" i="32"/>
  <c r="AV318" i="32" s="1"/>
  <c r="Q318" i="32"/>
  <c r="U318" i="32" s="1"/>
  <c r="Q425" i="32"/>
  <c r="U425" i="32" s="1"/>
  <c r="T425" i="32"/>
  <c r="AV425" i="32" s="1"/>
  <c r="Q399" i="32"/>
  <c r="U399" i="32" s="1"/>
  <c r="T399" i="32"/>
  <c r="AV399" i="32" s="1"/>
  <c r="Q622" i="32"/>
  <c r="U622" i="32" s="1"/>
  <c r="T622" i="32"/>
  <c r="AV622" i="32" s="1"/>
  <c r="Q549" i="32"/>
  <c r="U549" i="32" s="1"/>
  <c r="T549" i="32"/>
  <c r="AV549" i="32" s="1"/>
  <c r="Q294" i="32"/>
  <c r="U294" i="32" s="1"/>
  <c r="T294" i="32"/>
  <c r="AV294" i="32" s="1"/>
  <c r="Q530" i="32"/>
  <c r="U530" i="32" s="1"/>
  <c r="T530" i="32"/>
  <c r="AV530" i="32" s="1"/>
  <c r="Q124" i="32"/>
  <c r="U124" i="32" s="1"/>
  <c r="T124" i="32"/>
  <c r="AV124" i="32" s="1"/>
  <c r="AW504" i="32"/>
  <c r="AX504" i="32"/>
  <c r="AY504" i="32" s="1"/>
  <c r="Q257" i="32"/>
  <c r="U257" i="32" s="1"/>
  <c r="T257" i="32"/>
  <c r="AV257" i="32" s="1"/>
  <c r="Q206" i="32"/>
  <c r="U206" i="32" s="1"/>
  <c r="T206" i="32"/>
  <c r="AV206" i="32" s="1"/>
  <c r="T498" i="32"/>
  <c r="AV498" i="32" s="1"/>
  <c r="Q498" i="32"/>
  <c r="U498" i="32" s="1"/>
  <c r="Q269" i="32"/>
  <c r="U269" i="32" s="1"/>
  <c r="T269" i="32"/>
  <c r="AV269" i="32" s="1"/>
  <c r="AX356" i="32"/>
  <c r="AY356" i="32" s="1"/>
  <c r="AW356" i="32"/>
  <c r="Q42" i="32"/>
  <c r="U42" i="32" s="1"/>
  <c r="T42" i="32"/>
  <c r="AV42" i="32" s="1"/>
  <c r="AW48" i="32"/>
  <c r="AX48" i="32"/>
  <c r="AY48" i="32" s="1"/>
  <c r="Q503" i="32"/>
  <c r="U503" i="32" s="1"/>
  <c r="T503" i="32"/>
  <c r="AV503" i="32" s="1"/>
  <c r="AW461" i="32"/>
  <c r="AX461" i="32"/>
  <c r="AY461" i="32" s="1"/>
  <c r="T188" i="32"/>
  <c r="AV188" i="32" s="1"/>
  <c r="Q188" i="32"/>
  <c r="U188" i="32" s="1"/>
  <c r="T449" i="32"/>
  <c r="AV449" i="32" s="1"/>
  <c r="Q449" i="32"/>
  <c r="U449" i="32" s="1"/>
  <c r="T308" i="32"/>
  <c r="AV308" i="32" s="1"/>
  <c r="Q308" i="32"/>
  <c r="U308" i="32" s="1"/>
  <c r="Q605" i="32"/>
  <c r="U605" i="32" s="1"/>
  <c r="T605" i="32"/>
  <c r="AV605" i="32" s="1"/>
  <c r="T458" i="32"/>
  <c r="AV458" i="32" s="1"/>
  <c r="Q458" i="32"/>
  <c r="U458" i="32" s="1"/>
  <c r="Q204" i="32"/>
  <c r="U204" i="32" s="1"/>
  <c r="T204" i="32"/>
  <c r="AV204" i="32" s="1"/>
  <c r="T141" i="32"/>
  <c r="AV141" i="32" s="1"/>
  <c r="Q141" i="32"/>
  <c r="U141" i="32" s="1"/>
  <c r="T169" i="32"/>
  <c r="AV169" i="32" s="1"/>
  <c r="Q169" i="32"/>
  <c r="U169" i="32" s="1"/>
  <c r="T182" i="32"/>
  <c r="AV182" i="32" s="1"/>
  <c r="Q182" i="32"/>
  <c r="U182" i="32" s="1"/>
  <c r="AX282" i="32"/>
  <c r="AY282" i="32" s="1"/>
  <c r="AW282" i="32"/>
  <c r="AX130" i="32"/>
  <c r="AY130" i="32" s="1"/>
  <c r="AW130" i="32"/>
  <c r="AW496" i="32"/>
  <c r="AX496" i="32"/>
  <c r="AY496" i="32" s="1"/>
  <c r="AX606" i="32"/>
  <c r="AY606" i="32" s="1"/>
  <c r="AW606" i="32"/>
  <c r="AW372" i="32"/>
  <c r="AX372" i="32"/>
  <c r="AY372" i="32" s="1"/>
  <c r="Q361" i="32"/>
  <c r="U361" i="32" s="1"/>
  <c r="T361" i="32"/>
  <c r="AV361" i="32" s="1"/>
  <c r="T199" i="32"/>
  <c r="AV199" i="32" s="1"/>
  <c r="Q199" i="32"/>
  <c r="U199" i="32" s="1"/>
  <c r="Q474" i="32"/>
  <c r="U474" i="32" s="1"/>
  <c r="T474" i="32"/>
  <c r="AV474" i="32" s="1"/>
  <c r="T296" i="32"/>
  <c r="AV296" i="32" s="1"/>
  <c r="Q296" i="32"/>
  <c r="U296" i="32" s="1"/>
  <c r="Q99" i="32"/>
  <c r="U99" i="32" s="1"/>
  <c r="T99" i="32"/>
  <c r="AV99" i="32" s="1"/>
  <c r="T21" i="32"/>
  <c r="AV21" i="32" s="1"/>
  <c r="Q21" i="32"/>
  <c r="U21" i="32" s="1"/>
  <c r="T208" i="32"/>
  <c r="AV208" i="32" s="1"/>
  <c r="Q208" i="32"/>
  <c r="U208" i="32" s="1"/>
  <c r="Q307" i="32"/>
  <c r="U307" i="32" s="1"/>
  <c r="T307" i="32"/>
  <c r="AV307" i="32" s="1"/>
  <c r="T608" i="32"/>
  <c r="AV608" i="32" s="1"/>
  <c r="Q608" i="32"/>
  <c r="U608" i="32" s="1"/>
  <c r="Q481" i="32"/>
  <c r="U481" i="32" s="1"/>
  <c r="T481" i="32"/>
  <c r="AV481" i="32" s="1"/>
  <c r="Q153" i="32"/>
  <c r="U153" i="32" s="1"/>
  <c r="T153" i="32"/>
  <c r="AV153" i="32" s="1"/>
  <c r="Q429" i="32"/>
  <c r="U429" i="32" s="1"/>
  <c r="T429" i="32"/>
  <c r="AV429" i="32" s="1"/>
  <c r="Q134" i="32"/>
  <c r="U134" i="32" s="1"/>
  <c r="T134" i="32"/>
  <c r="AV134" i="32" s="1"/>
  <c r="T376" i="32"/>
  <c r="AV376" i="32" s="1"/>
  <c r="Q376" i="32"/>
  <c r="U376" i="32" s="1"/>
  <c r="Q482" i="32"/>
  <c r="U482" i="32" s="1"/>
  <c r="T482" i="32"/>
  <c r="AV482" i="32" s="1"/>
  <c r="T203" i="32"/>
  <c r="AV203" i="32" s="1"/>
  <c r="Q203" i="32"/>
  <c r="U203" i="32" s="1"/>
  <c r="Q268" i="32"/>
  <c r="U268" i="32" s="1"/>
  <c r="T268" i="32"/>
  <c r="AV268" i="32" s="1"/>
  <c r="Q469" i="32"/>
  <c r="U469" i="32" s="1"/>
  <c r="T469" i="32"/>
  <c r="AV469" i="32" s="1"/>
  <c r="Q554" i="32"/>
  <c r="U554" i="32" s="1"/>
  <c r="T554" i="32"/>
  <c r="AV554" i="32" s="1"/>
  <c r="T109" i="32"/>
  <c r="AV109" i="32" s="1"/>
  <c r="Q109" i="32"/>
  <c r="U109" i="32" s="1"/>
  <c r="T331" i="32"/>
  <c r="AV331" i="32" s="1"/>
  <c r="Q331" i="32"/>
  <c r="U331" i="32" s="1"/>
  <c r="T494" i="32"/>
  <c r="AV494" i="32" s="1"/>
  <c r="Q494" i="32"/>
  <c r="U494" i="32" s="1"/>
  <c r="Q345" i="32"/>
  <c r="U345" i="32" s="1"/>
  <c r="T345" i="32"/>
  <c r="AV345" i="32" s="1"/>
  <c r="Q383" i="32"/>
  <c r="U383" i="32" s="1"/>
  <c r="T383" i="32"/>
  <c r="AV383" i="32" s="1"/>
  <c r="Q389" i="32"/>
  <c r="U389" i="32" s="1"/>
  <c r="T389" i="32"/>
  <c r="AV389" i="32" s="1"/>
  <c r="AW384" i="32"/>
  <c r="AX384" i="32"/>
  <c r="AY384" i="32" s="1"/>
  <c r="AX266" i="32"/>
  <c r="AY266" i="32" s="1"/>
  <c r="AW266" i="32"/>
  <c r="Q438" i="32"/>
  <c r="U438" i="32" s="1"/>
  <c r="T438" i="32"/>
  <c r="AV438" i="32" s="1"/>
  <c r="Q596" i="32"/>
  <c r="U596" i="32" s="1"/>
  <c r="T596" i="32"/>
  <c r="AV596" i="32" s="1"/>
  <c r="Q23" i="32"/>
  <c r="U23" i="32" s="1"/>
  <c r="T23" i="32"/>
  <c r="AV23" i="32" s="1"/>
  <c r="Q238" i="32"/>
  <c r="U238" i="32" s="1"/>
  <c r="T238" i="32"/>
  <c r="AV238" i="32" s="1"/>
  <c r="Q312" i="32"/>
  <c r="U312" i="32" s="1"/>
  <c r="T312" i="32"/>
  <c r="AV312" i="32" s="1"/>
  <c r="Q180" i="32"/>
  <c r="U180" i="32" s="1"/>
  <c r="T180" i="32"/>
  <c r="AV180" i="32" s="1"/>
  <c r="Q187" i="32"/>
  <c r="U187" i="32" s="1"/>
  <c r="T187" i="32"/>
  <c r="AV187" i="32" s="1"/>
  <c r="T533" i="32"/>
  <c r="AV533" i="32" s="1"/>
  <c r="Q533" i="32"/>
  <c r="U533" i="32" s="1"/>
  <c r="T332" i="32"/>
  <c r="AV332" i="32" s="1"/>
  <c r="Q332" i="32"/>
  <c r="U332" i="32" s="1"/>
  <c r="T254" i="32"/>
  <c r="AV254" i="32" s="1"/>
  <c r="Q254" i="32"/>
  <c r="U254" i="32" s="1"/>
  <c r="Q579" i="32"/>
  <c r="U579" i="32" s="1"/>
  <c r="T579" i="32"/>
  <c r="AV579" i="32" s="1"/>
  <c r="Q532" i="32"/>
  <c r="U532" i="32" s="1"/>
  <c r="T532" i="32"/>
  <c r="AV532" i="32" s="1"/>
  <c r="AW408" i="32"/>
  <c r="AX408" i="32"/>
  <c r="AY408" i="32" s="1"/>
  <c r="AW168" i="32"/>
  <c r="AX168" i="32"/>
  <c r="AY168" i="32" s="1"/>
  <c r="AX144" i="32"/>
  <c r="AY144" i="32" s="1"/>
  <c r="AW144" i="32"/>
  <c r="BL143" i="32" s="1"/>
  <c r="BM143" i="32" s="1"/>
  <c r="T371" i="32"/>
  <c r="AV371" i="32" s="1"/>
  <c r="Q371" i="32"/>
  <c r="U371" i="32" s="1"/>
  <c r="Q626" i="32"/>
  <c r="U626" i="32" s="1"/>
  <c r="T626" i="32"/>
  <c r="AV626" i="32" s="1"/>
  <c r="Q164" i="32"/>
  <c r="U164" i="32" s="1"/>
  <c r="T164" i="32"/>
  <c r="AV164" i="32" s="1"/>
  <c r="Q577" i="32"/>
  <c r="U577" i="32" s="1"/>
  <c r="T577" i="32"/>
  <c r="AV577" i="32" s="1"/>
  <c r="T555" i="32"/>
  <c r="AV555" i="32" s="1"/>
  <c r="Q555" i="32"/>
  <c r="U555" i="32" s="1"/>
  <c r="Q591" i="32"/>
  <c r="U591" i="32" s="1"/>
  <c r="T591" i="32"/>
  <c r="AV591" i="32" s="1"/>
  <c r="Q220" i="32"/>
  <c r="U220" i="32" s="1"/>
  <c r="T220" i="32"/>
  <c r="AV220" i="32" s="1"/>
  <c r="Q548" i="32"/>
  <c r="U548" i="32" s="1"/>
  <c r="T548" i="32"/>
  <c r="AV548" i="32" s="1"/>
  <c r="Q518" i="32"/>
  <c r="U518" i="32" s="1"/>
  <c r="T518" i="32"/>
  <c r="AV518" i="32" s="1"/>
  <c r="T316" i="32"/>
  <c r="AV316" i="32" s="1"/>
  <c r="Q316" i="32"/>
  <c r="U316" i="32" s="1"/>
  <c r="Q522" i="32"/>
  <c r="U522" i="32" s="1"/>
  <c r="T522" i="32"/>
  <c r="AV522" i="32" s="1"/>
  <c r="Q138" i="32"/>
  <c r="U138" i="32" s="1"/>
  <c r="T138" i="32"/>
  <c r="AV138" i="32" s="1"/>
  <c r="Q77" i="32"/>
  <c r="U77" i="32" s="1"/>
  <c r="T77" i="32"/>
  <c r="AV77" i="32" s="1"/>
  <c r="Q63" i="32"/>
  <c r="U63" i="32" s="1"/>
  <c r="T63" i="32"/>
  <c r="AV63" i="32" s="1"/>
  <c r="Q629" i="32"/>
  <c r="U629" i="32" s="1"/>
  <c r="T629" i="32"/>
  <c r="AV629" i="32" s="1"/>
  <c r="Q441" i="32"/>
  <c r="U441" i="32" s="1"/>
  <c r="T441" i="32"/>
  <c r="AV441" i="32" s="1"/>
  <c r="Q521" i="32"/>
  <c r="U521" i="32" s="1"/>
  <c r="T521" i="32"/>
  <c r="AV521" i="32" s="1"/>
  <c r="Q514" i="32"/>
  <c r="U514" i="32" s="1"/>
  <c r="T514" i="32"/>
  <c r="AV514" i="32" s="1"/>
  <c r="T239" i="32"/>
  <c r="AV239" i="32" s="1"/>
  <c r="Q239" i="32"/>
  <c r="U239" i="32" s="1"/>
  <c r="Q115" i="32"/>
  <c r="U115" i="32" s="1"/>
  <c r="T115" i="32"/>
  <c r="AV115" i="32" s="1"/>
  <c r="Q259" i="32"/>
  <c r="U259" i="32" s="1"/>
  <c r="T259" i="32"/>
  <c r="AV259" i="32" s="1"/>
  <c r="AX226" i="32"/>
  <c r="AY226" i="32" s="1"/>
  <c r="AW226" i="32"/>
  <c r="T65" i="32"/>
  <c r="AV65" i="32" s="1"/>
  <c r="Q65" i="32"/>
  <c r="U65" i="32" s="1"/>
  <c r="Q49" i="32"/>
  <c r="U49" i="32" s="1"/>
  <c r="T49" i="32"/>
  <c r="AV49" i="32" s="1"/>
  <c r="T587" i="32"/>
  <c r="AV587" i="32" s="1"/>
  <c r="Q587" i="32"/>
  <c r="U587" i="32" s="1"/>
  <c r="AW410" i="32"/>
  <c r="AX410" i="32"/>
  <c r="AY410" i="32" s="1"/>
  <c r="Q221" i="32"/>
  <c r="U221" i="32" s="1"/>
  <c r="T221" i="32"/>
  <c r="AV221" i="32" s="1"/>
  <c r="T284" i="32"/>
  <c r="AV284" i="32" s="1"/>
  <c r="Q284" i="32"/>
  <c r="U284" i="32" s="1"/>
  <c r="Q211" i="32"/>
  <c r="U211" i="32" s="1"/>
  <c r="T211" i="32"/>
  <c r="AV211" i="32" s="1"/>
  <c r="Q559" i="32"/>
  <c r="U559" i="32" s="1"/>
  <c r="T559" i="32"/>
  <c r="AV559" i="32" s="1"/>
  <c r="T349" i="32"/>
  <c r="AV349" i="32" s="1"/>
  <c r="Q349" i="32"/>
  <c r="U349" i="32" s="1"/>
  <c r="T46" i="32"/>
  <c r="AV46" i="32" s="1"/>
  <c r="Q46" i="32"/>
  <c r="U46" i="32" s="1"/>
  <c r="T237" i="32"/>
  <c r="AV237" i="32" s="1"/>
  <c r="Q237" i="32"/>
  <c r="U237" i="32" s="1"/>
  <c r="Q286" i="32"/>
  <c r="U286" i="32" s="1"/>
  <c r="T286" i="32"/>
  <c r="AV286" i="32" s="1"/>
  <c r="Q87" i="32"/>
  <c r="U87" i="32" s="1"/>
  <c r="T87" i="32"/>
  <c r="AV87" i="32" s="1"/>
  <c r="T590" i="32"/>
  <c r="AV590" i="32" s="1"/>
  <c r="Q590" i="32"/>
  <c r="U590" i="32" s="1"/>
  <c r="Q379" i="32"/>
  <c r="U379" i="32" s="1"/>
  <c r="T379" i="32"/>
  <c r="AV379" i="32" s="1"/>
  <c r="AX460" i="32"/>
  <c r="AY460" i="32" s="1"/>
  <c r="AW460" i="32"/>
  <c r="AW136" i="32"/>
  <c r="AX136" i="32"/>
  <c r="AY136" i="32" s="1"/>
  <c r="Q387" i="32"/>
  <c r="U387" i="32" s="1"/>
  <c r="T387" i="32"/>
  <c r="AV387" i="32" s="1"/>
  <c r="Q317" i="32"/>
  <c r="U317" i="32" s="1"/>
  <c r="T317" i="32"/>
  <c r="AV317" i="32" s="1"/>
  <c r="Q477" i="32"/>
  <c r="U477" i="32" s="1"/>
  <c r="T477" i="32"/>
  <c r="AV477" i="32" s="1"/>
  <c r="T543" i="32"/>
  <c r="AV543" i="32" s="1"/>
  <c r="Q543" i="32"/>
  <c r="U543" i="32" s="1"/>
  <c r="Q45" i="32"/>
  <c r="U45" i="32" s="1"/>
  <c r="T45" i="32"/>
  <c r="AV45" i="32" s="1"/>
  <c r="Q121" i="32"/>
  <c r="U121" i="32" s="1"/>
  <c r="T121" i="32"/>
  <c r="AV121" i="32" s="1"/>
  <c r="Q283" i="32"/>
  <c r="U283" i="32" s="1"/>
  <c r="T283" i="32"/>
  <c r="AV283" i="32" s="1"/>
  <c r="T542" i="32"/>
  <c r="AV542" i="32" s="1"/>
  <c r="Q542" i="32"/>
  <c r="U542" i="32" s="1"/>
  <c r="AX342" i="32"/>
  <c r="AY342" i="32" s="1"/>
  <c r="AW342" i="32"/>
  <c r="Q325" i="32"/>
  <c r="U325" i="32" s="1"/>
  <c r="T325" i="32"/>
  <c r="AV325" i="32" s="1"/>
  <c r="Q347" i="32"/>
  <c r="U347" i="32" s="1"/>
  <c r="T347" i="32"/>
  <c r="AV347" i="32" s="1"/>
  <c r="AX70" i="32"/>
  <c r="AY70" i="32" s="1"/>
  <c r="AW70" i="32"/>
  <c r="Q510" i="32"/>
  <c r="U510" i="32" s="1"/>
  <c r="T510" i="32"/>
  <c r="AV510" i="32" s="1"/>
  <c r="Q435" i="32"/>
  <c r="U435" i="32" s="1"/>
  <c r="T435" i="32"/>
  <c r="AV435" i="32" s="1"/>
  <c r="Q419" i="32"/>
  <c r="U419" i="32" s="1"/>
  <c r="T419" i="32"/>
  <c r="AV419" i="32" s="1"/>
  <c r="AX306" i="32"/>
  <c r="AY306" i="32" s="1"/>
  <c r="AW306" i="32"/>
  <c r="T288" i="32"/>
  <c r="AV288" i="32" s="1"/>
  <c r="Q288" i="32"/>
  <c r="U288" i="32" s="1"/>
  <c r="T285" i="32"/>
  <c r="AV285" i="32" s="1"/>
  <c r="Q285" i="32"/>
  <c r="U285" i="32" s="1"/>
  <c r="Q105" i="32"/>
  <c r="U105" i="32" s="1"/>
  <c r="T105" i="32"/>
  <c r="AV105" i="32" s="1"/>
  <c r="Q467" i="32"/>
  <c r="U467" i="32" s="1"/>
  <c r="T467" i="32"/>
  <c r="AV467" i="32" s="1"/>
  <c r="Q185" i="32"/>
  <c r="U185" i="32" s="1"/>
  <c r="T185" i="32"/>
  <c r="AV185" i="32" s="1"/>
  <c r="AX348" i="32"/>
  <c r="AY348" i="32" s="1"/>
  <c r="AW348" i="32"/>
  <c r="Q139" i="32"/>
  <c r="U139" i="32" s="1"/>
  <c r="T139" i="32"/>
  <c r="AV139" i="32" s="1"/>
  <c r="Q457" i="32"/>
  <c r="U457" i="32" s="1"/>
  <c r="T457" i="32"/>
  <c r="AV457" i="32" s="1"/>
  <c r="Q335" i="32"/>
  <c r="U335" i="32" s="1"/>
  <c r="T335" i="32"/>
  <c r="AV335" i="32" s="1"/>
  <c r="T529" i="32"/>
  <c r="AV529" i="32" s="1"/>
  <c r="Q529" i="32"/>
  <c r="U529" i="32" s="1"/>
  <c r="Q31" i="32"/>
  <c r="U31" i="32" s="1"/>
  <c r="T31" i="32"/>
  <c r="AV31" i="32" s="1"/>
  <c r="Q207" i="32"/>
  <c r="U207" i="32" s="1"/>
  <c r="T207" i="32"/>
  <c r="AV207" i="32" s="1"/>
  <c r="T421" i="32"/>
  <c r="AV421" i="32" s="1"/>
  <c r="Q421" i="32"/>
  <c r="U421" i="32" s="1"/>
  <c r="T244" i="32"/>
  <c r="AV244" i="32" s="1"/>
  <c r="Q244" i="32"/>
  <c r="U244" i="32" s="1"/>
  <c r="AW453" i="32"/>
  <c r="AX453" i="32"/>
  <c r="AY453" i="32" s="1"/>
  <c r="Q68" i="32"/>
  <c r="U68" i="32" s="1"/>
  <c r="T68" i="32"/>
  <c r="AV68" i="32" s="1"/>
  <c r="T76" i="32"/>
  <c r="AV76" i="32" s="1"/>
  <c r="Q76" i="32"/>
  <c r="U76" i="32" s="1"/>
  <c r="P13" i="32"/>
  <c r="B24" i="32" s="1"/>
  <c r="O13" i="32"/>
  <c r="Q170" i="32"/>
  <c r="U170" i="32" s="1"/>
  <c r="T170" i="32"/>
  <c r="AV170" i="32" s="1"/>
  <c r="Q490" i="32"/>
  <c r="U490" i="32" s="1"/>
  <c r="T490" i="32"/>
  <c r="AV490" i="32" s="1"/>
  <c r="Q276" i="32"/>
  <c r="U276" i="32" s="1"/>
  <c r="T276" i="32"/>
  <c r="AV276" i="32" s="1"/>
  <c r="Q261" i="32"/>
  <c r="U261" i="32" s="1"/>
  <c r="T261" i="32"/>
  <c r="AV261" i="32" s="1"/>
  <c r="Q209" i="32"/>
  <c r="U209" i="32" s="1"/>
  <c r="T209" i="32"/>
  <c r="AV209" i="32" s="1"/>
  <c r="Q448" i="32"/>
  <c r="U448" i="32" s="1"/>
  <c r="T448" i="32"/>
  <c r="AV448" i="32" s="1"/>
  <c r="Q101" i="32"/>
  <c r="U101" i="32" s="1"/>
  <c r="T101" i="32"/>
  <c r="AV101" i="32" s="1"/>
  <c r="AX574" i="32"/>
  <c r="AY574" i="32" s="1"/>
  <c r="AW574" i="32"/>
  <c r="T443" i="32"/>
  <c r="AV443" i="32" s="1"/>
  <c r="Q443" i="32"/>
  <c r="U443" i="32" s="1"/>
  <c r="Q162" i="32"/>
  <c r="U162" i="32" s="1"/>
  <c r="T162" i="32"/>
  <c r="AV162" i="32" s="1"/>
  <c r="T450" i="32"/>
  <c r="AV450" i="32" s="1"/>
  <c r="Q450" i="32"/>
  <c r="U450" i="32" s="1"/>
  <c r="AX470" i="32"/>
  <c r="AY470" i="32" s="1"/>
  <c r="AW470" i="32"/>
  <c r="T59" i="32"/>
  <c r="AV59" i="32" s="1"/>
  <c r="Q59" i="32"/>
  <c r="U59" i="32" s="1"/>
  <c r="Q84" i="32"/>
  <c r="U84" i="32" s="1"/>
  <c r="T84" i="32"/>
  <c r="AV84" i="32" s="1"/>
  <c r="Q563" i="32"/>
  <c r="U563" i="32" s="1"/>
  <c r="T563" i="32"/>
  <c r="AV563" i="32" s="1"/>
  <c r="Q177" i="32"/>
  <c r="U177" i="32" s="1"/>
  <c r="T177" i="32"/>
  <c r="AV177" i="32" s="1"/>
  <c r="Q381" i="32"/>
  <c r="U381" i="32" s="1"/>
  <c r="T381" i="32"/>
  <c r="AV381" i="32" s="1"/>
  <c r="T163" i="32"/>
  <c r="AV163" i="32" s="1"/>
  <c r="Q163" i="32"/>
  <c r="U163" i="32" s="1"/>
  <c r="Q525" i="32"/>
  <c r="U525" i="32" s="1"/>
  <c r="T525" i="32"/>
  <c r="AV525" i="32" s="1"/>
  <c r="T60" i="32"/>
  <c r="AV60" i="32" s="1"/>
  <c r="Q60" i="32"/>
  <c r="U60" i="32" s="1"/>
  <c r="Q459" i="32"/>
  <c r="U459" i="32" s="1"/>
  <c r="T459" i="32"/>
  <c r="AV459" i="32" s="1"/>
  <c r="AX322" i="32"/>
  <c r="AY322" i="32" s="1"/>
  <c r="AW322" i="32"/>
  <c r="Q241" i="32"/>
  <c r="U241" i="32" s="1"/>
  <c r="T241" i="32"/>
  <c r="AV241" i="32" s="1"/>
  <c r="Q33" i="32"/>
  <c r="U33" i="32" s="1"/>
  <c r="T33" i="32"/>
  <c r="AV33" i="32" s="1"/>
  <c r="Q95" i="32"/>
  <c r="U95" i="32" s="1"/>
  <c r="T95" i="32"/>
  <c r="AV95" i="32" s="1"/>
  <c r="Q193" i="32"/>
  <c r="U193" i="32" s="1"/>
  <c r="T193" i="32"/>
  <c r="AV193" i="32" s="1"/>
  <c r="T493" i="32"/>
  <c r="AV493" i="32" s="1"/>
  <c r="Q493" i="32"/>
  <c r="U493" i="32" s="1"/>
  <c r="Q409" i="32"/>
  <c r="U409" i="32" s="1"/>
  <c r="T409" i="32"/>
  <c r="AV409" i="32" s="1"/>
  <c r="Q137" i="32"/>
  <c r="U137" i="32" s="1"/>
  <c r="T137" i="32"/>
  <c r="AV137" i="32" s="1"/>
  <c r="Q597" i="32"/>
  <c r="U597" i="32" s="1"/>
  <c r="T597" i="32"/>
  <c r="AV597" i="32" s="1"/>
  <c r="Q303" i="32"/>
  <c r="U303" i="32" s="1"/>
  <c r="T303" i="32"/>
  <c r="AV303" i="32" s="1"/>
  <c r="Q201" i="32"/>
  <c r="U201" i="32" s="1"/>
  <c r="T201" i="32"/>
  <c r="AV201" i="32" s="1"/>
  <c r="Q315" i="32"/>
  <c r="U315" i="32" s="1"/>
  <c r="T315" i="32"/>
  <c r="AV315" i="32" s="1"/>
  <c r="T534" i="32"/>
  <c r="AV534" i="32" s="1"/>
  <c r="Q534" i="32"/>
  <c r="U534" i="32" s="1"/>
  <c r="AW468" i="32"/>
  <c r="AX468" i="32"/>
  <c r="AY468" i="32" s="1"/>
  <c r="Q430" i="32"/>
  <c r="U430" i="32" s="1"/>
  <c r="T430" i="32"/>
  <c r="AV430" i="32" s="1"/>
  <c r="T427" i="32"/>
  <c r="AV427" i="32" s="1"/>
  <c r="Q427" i="32"/>
  <c r="U427" i="32" s="1"/>
  <c r="Q26" i="32"/>
  <c r="U26" i="32" s="1"/>
  <c r="T26" i="32"/>
  <c r="AV26" i="32" s="1"/>
  <c r="T363" i="32"/>
  <c r="AV363" i="32" s="1"/>
  <c r="Q363" i="32"/>
  <c r="U363" i="32" s="1"/>
  <c r="T37" i="32"/>
  <c r="AV37" i="32" s="1"/>
  <c r="Q37" i="32"/>
  <c r="U37" i="32" s="1"/>
  <c r="Q586" i="32"/>
  <c r="U586" i="32" s="1"/>
  <c r="T586" i="32"/>
  <c r="AV586" i="32" s="1"/>
  <c r="Q300" i="32"/>
  <c r="U300" i="32" s="1"/>
  <c r="T300" i="32"/>
  <c r="AV300" i="32" s="1"/>
  <c r="Q557" i="32"/>
  <c r="U557" i="32" s="1"/>
  <c r="T557" i="32"/>
  <c r="AV557" i="32" s="1"/>
  <c r="T377" i="32"/>
  <c r="AV377" i="32" s="1"/>
  <c r="Q377" i="32"/>
  <c r="U377" i="32" s="1"/>
  <c r="Q373" i="32"/>
  <c r="U373" i="32" s="1"/>
  <c r="T373" i="32"/>
  <c r="AV373" i="32" s="1"/>
  <c r="AW243" i="32"/>
  <c r="AX243" i="32"/>
  <c r="AY243" i="32" s="1"/>
  <c r="Q353" i="32"/>
  <c r="U353" i="32" s="1"/>
  <c r="T353" i="32"/>
  <c r="AV353" i="32" s="1"/>
  <c r="AW344" i="32"/>
  <c r="AX344" i="32"/>
  <c r="AY344" i="32" s="1"/>
  <c r="Q343" i="32"/>
  <c r="U343" i="32" s="1"/>
  <c r="T343" i="32"/>
  <c r="AV343" i="32" s="1"/>
  <c r="Q413" i="32"/>
  <c r="U413" i="32" s="1"/>
  <c r="T413" i="32"/>
  <c r="AV413" i="32" s="1"/>
  <c r="AX54" i="32"/>
  <c r="AY54" i="32" s="1"/>
  <c r="AW54" i="32"/>
  <c r="T27" i="32"/>
  <c r="AV27" i="32" s="1"/>
  <c r="Q27" i="32"/>
  <c r="U27" i="32" s="1"/>
  <c r="Q216" i="32"/>
  <c r="U216" i="32" s="1"/>
  <c r="T216" i="32"/>
  <c r="AV216" i="32" s="1"/>
  <c r="Q401" i="32"/>
  <c r="U401" i="32" s="1"/>
  <c r="T401" i="32"/>
  <c r="AV401" i="32" s="1"/>
  <c r="Q380" i="32"/>
  <c r="U380" i="32" s="1"/>
  <c r="T380" i="32"/>
  <c r="AV380" i="32" s="1"/>
  <c r="AX106" i="32"/>
  <c r="AY106" i="32" s="1"/>
  <c r="AW106" i="32"/>
  <c r="Q240" i="32"/>
  <c r="U240" i="32" s="1"/>
  <c r="T240" i="32"/>
  <c r="AV240" i="32" s="1"/>
  <c r="Q337" i="32"/>
  <c r="U337" i="32" s="1"/>
  <c r="T337" i="32"/>
  <c r="AV337" i="32" s="1"/>
  <c r="T354" i="32"/>
  <c r="AV354" i="32" s="1"/>
  <c r="Q354" i="32"/>
  <c r="U354" i="32" s="1"/>
  <c r="AX96" i="32"/>
  <c r="AY96" i="32" s="1"/>
  <c r="AW96" i="32"/>
  <c r="AW582" i="32"/>
  <c r="AX582" i="32"/>
  <c r="AY582" i="32" s="1"/>
  <c r="Q395" i="32"/>
  <c r="U395" i="32" s="1"/>
  <c r="T395" i="32"/>
  <c r="AV395" i="32" s="1"/>
  <c r="Q210" i="32"/>
  <c r="U210" i="32" s="1"/>
  <c r="T210" i="32"/>
  <c r="AV210" i="32" s="1"/>
  <c r="T511" i="32"/>
  <c r="AV511" i="32" s="1"/>
  <c r="Q511" i="32"/>
  <c r="U511" i="32" s="1"/>
  <c r="T272" i="32"/>
  <c r="AV272" i="32" s="1"/>
  <c r="Q272" i="32"/>
  <c r="U272" i="32" s="1"/>
  <c r="T444" i="32"/>
  <c r="AV444" i="32" s="1"/>
  <c r="Q444" i="32"/>
  <c r="U444" i="32" s="1"/>
  <c r="T103" i="32"/>
  <c r="AV103" i="32" s="1"/>
  <c r="Q103" i="32"/>
  <c r="U103" i="32" s="1"/>
  <c r="Q423" i="32"/>
  <c r="U423" i="32" s="1"/>
  <c r="T423" i="32"/>
  <c r="AV423" i="32" s="1"/>
  <c r="Q52" i="32"/>
  <c r="U52" i="32" s="1"/>
  <c r="T52" i="32"/>
  <c r="AV52" i="32" s="1"/>
  <c r="Q200" i="32"/>
  <c r="U200" i="32" s="1"/>
  <c r="T200" i="32"/>
  <c r="AV200" i="32" s="1"/>
  <c r="T515" i="32"/>
  <c r="AV515" i="32" s="1"/>
  <c r="Q515" i="32"/>
  <c r="U515" i="32" s="1"/>
  <c r="T198" i="32"/>
  <c r="AV198" i="32" s="1"/>
  <c r="Q198" i="32"/>
  <c r="U198" i="32" s="1"/>
  <c r="AW360" i="32"/>
  <c r="AX360" i="32"/>
  <c r="AY360" i="32" s="1"/>
  <c r="Q541" i="32"/>
  <c r="U541" i="32" s="1"/>
  <c r="T541" i="32"/>
  <c r="AV541" i="32" s="1"/>
  <c r="Q627" i="32"/>
  <c r="U627" i="32" s="1"/>
  <c r="T627" i="32"/>
  <c r="AV627" i="32" s="1"/>
  <c r="Q107" i="32"/>
  <c r="U107" i="32" s="1"/>
  <c r="T107" i="32"/>
  <c r="AV107" i="32" s="1"/>
  <c r="Q400" i="32"/>
  <c r="U400" i="32" s="1"/>
  <c r="T400" i="32"/>
  <c r="AV400" i="32" s="1"/>
  <c r="AW566" i="32"/>
  <c r="AX566" i="32"/>
  <c r="AY566" i="32" s="1"/>
  <c r="Q127" i="32"/>
  <c r="U127" i="32" s="1"/>
  <c r="T127" i="32"/>
  <c r="AV127" i="32" s="1"/>
  <c r="T439" i="32"/>
  <c r="AV439" i="32" s="1"/>
  <c r="Q439" i="32"/>
  <c r="U439" i="32" s="1"/>
  <c r="Q190" i="32"/>
  <c r="U190" i="32" s="1"/>
  <c r="T190" i="32"/>
  <c r="AV190" i="32" s="1"/>
  <c r="T252" i="32"/>
  <c r="AV252" i="32" s="1"/>
  <c r="Q252" i="32"/>
  <c r="U252" i="32" s="1"/>
  <c r="Q195" i="32"/>
  <c r="U195" i="32" s="1"/>
  <c r="T195" i="32"/>
  <c r="AV195" i="32" s="1"/>
  <c r="Q396" i="32"/>
  <c r="U396" i="32" s="1"/>
  <c r="T396" i="32"/>
  <c r="AV396" i="32" s="1"/>
  <c r="AW24" i="32"/>
  <c r="AX24" i="32"/>
  <c r="AY24" i="32" s="1"/>
  <c r="Q472" i="32"/>
  <c r="U472" i="32" s="1"/>
  <c r="T472" i="32"/>
  <c r="AV472" i="32" s="1"/>
  <c r="AX560" i="32"/>
  <c r="AY560" i="32" s="1"/>
  <c r="AW560" i="32"/>
  <c r="T113" i="32"/>
  <c r="AV113" i="32" s="1"/>
  <c r="Q113" i="32"/>
  <c r="U113" i="32" s="1"/>
  <c r="Q214" i="32"/>
  <c r="U214" i="32" s="1"/>
  <c r="T214" i="32"/>
  <c r="AV214" i="32" s="1"/>
  <c r="AX426" i="32"/>
  <c r="AY426" i="32" s="1"/>
  <c r="AW426" i="32"/>
  <c r="Q334" i="32"/>
  <c r="U334" i="32" s="1"/>
  <c r="T334" i="32"/>
  <c r="AV334" i="32" s="1"/>
  <c r="T506" i="32"/>
  <c r="AV506" i="32" s="1"/>
  <c r="Q506" i="32"/>
  <c r="U506" i="32" s="1"/>
  <c r="Q367" i="32"/>
  <c r="U367" i="32" s="1"/>
  <c r="T367" i="32"/>
  <c r="AV367" i="32" s="1"/>
  <c r="Q67" i="32"/>
  <c r="U67" i="32" s="1"/>
  <c r="T67" i="32"/>
  <c r="AV67" i="32" s="1"/>
  <c r="Q228" i="32"/>
  <c r="U228" i="32" s="1"/>
  <c r="T228" i="32"/>
  <c r="AV228" i="32" s="1"/>
  <c r="AW38" i="32"/>
  <c r="AX38" i="32"/>
  <c r="AY38" i="32" s="1"/>
  <c r="T20" i="32"/>
  <c r="AV20" i="32" s="1"/>
  <c r="Q20" i="32"/>
  <c r="U20" i="32" s="1"/>
  <c r="Q309" i="32"/>
  <c r="U309" i="32" s="1"/>
  <c r="T309" i="32"/>
  <c r="AV309" i="32" s="1"/>
  <c r="AW368" i="32"/>
  <c r="AX368" i="32"/>
  <c r="AY368" i="32" s="1"/>
  <c r="T420" i="32"/>
  <c r="AV420" i="32" s="1"/>
  <c r="Q420" i="32"/>
  <c r="U420" i="32" s="1"/>
  <c r="T524" i="32"/>
  <c r="AV524" i="32" s="1"/>
  <c r="Q524" i="32"/>
  <c r="U524" i="32" s="1"/>
  <c r="T61" i="32"/>
  <c r="AV61" i="32" s="1"/>
  <c r="Q61" i="32"/>
  <c r="U61" i="32" s="1"/>
  <c r="Q202" i="32"/>
  <c r="U202" i="32" s="1"/>
  <c r="T202" i="32"/>
  <c r="AV202" i="32" s="1"/>
  <c r="Q251" i="32"/>
  <c r="U251" i="32" s="1"/>
  <c r="T251" i="32"/>
  <c r="AV251" i="32" s="1"/>
  <c r="T146" i="32"/>
  <c r="AV146" i="32" s="1"/>
  <c r="Q146" i="32"/>
  <c r="U146" i="32" s="1"/>
  <c r="T575" i="32"/>
  <c r="AV575" i="32" s="1"/>
  <c r="Q575" i="32"/>
  <c r="U575" i="32" s="1"/>
  <c r="T314" i="32"/>
  <c r="AV314" i="32" s="1"/>
  <c r="Q314" i="32"/>
  <c r="U314" i="32" s="1"/>
  <c r="Q110" i="32"/>
  <c r="U110" i="32" s="1"/>
  <c r="T110" i="32"/>
  <c r="AV110" i="32" s="1"/>
  <c r="AX128" i="32"/>
  <c r="AY128" i="32" s="1"/>
  <c r="AW128" i="32"/>
  <c r="BL167" i="32" l="1"/>
  <c r="BM167" i="32" s="1"/>
  <c r="AX146" i="32"/>
  <c r="AY146" i="32" s="1"/>
  <c r="AW146" i="32"/>
  <c r="AX272" i="32"/>
  <c r="AY272" i="32" s="1"/>
  <c r="AW272" i="32"/>
  <c r="AX542" i="32"/>
  <c r="AY542" i="32" s="1"/>
  <c r="AW542" i="32"/>
  <c r="AX107" i="32"/>
  <c r="AY107" i="32" s="1"/>
  <c r="AW107" i="32"/>
  <c r="AX216" i="32"/>
  <c r="AY216" i="32" s="1"/>
  <c r="AW216" i="32"/>
  <c r="BL215" i="32" s="1"/>
  <c r="BM215" i="32" s="1"/>
  <c r="AW586" i="32"/>
  <c r="AX586" i="32"/>
  <c r="AY586" i="32" s="1"/>
  <c r="AX137" i="32"/>
  <c r="AY137" i="32" s="1"/>
  <c r="AW137" i="32"/>
  <c r="BL136" i="32" s="1"/>
  <c r="BM136" i="32" s="1"/>
  <c r="AW381" i="32"/>
  <c r="AX381" i="32"/>
  <c r="AY381" i="32" s="1"/>
  <c r="AW31" i="32"/>
  <c r="AX31" i="32"/>
  <c r="AY31" i="32" s="1"/>
  <c r="AW105" i="32"/>
  <c r="BL105" i="32" s="1"/>
  <c r="BM105" i="32" s="1"/>
  <c r="AX105" i="32"/>
  <c r="AY105" i="32" s="1"/>
  <c r="AW283" i="32"/>
  <c r="BL282" i="32" s="1"/>
  <c r="BM282" i="32" s="1"/>
  <c r="AX283" i="32"/>
  <c r="AY283" i="32" s="1"/>
  <c r="AX420" i="32"/>
  <c r="AY420" i="32" s="1"/>
  <c r="AW420" i="32"/>
  <c r="AW506" i="32"/>
  <c r="AX506" i="32"/>
  <c r="AY506" i="32" s="1"/>
  <c r="AX113" i="32"/>
  <c r="AY113" i="32" s="1"/>
  <c r="AW113" i="32"/>
  <c r="AW439" i="32"/>
  <c r="BL439" i="32" s="1"/>
  <c r="BM439" i="32" s="1"/>
  <c r="AX439" i="32"/>
  <c r="AY439" i="32" s="1"/>
  <c r="AX198" i="32"/>
  <c r="AY198" i="32" s="1"/>
  <c r="AW198" i="32"/>
  <c r="AX511" i="32"/>
  <c r="AY511" i="32" s="1"/>
  <c r="AW511" i="32"/>
  <c r="AW427" i="32"/>
  <c r="BL426" i="32" s="1"/>
  <c r="BM426" i="32" s="1"/>
  <c r="AX427" i="32"/>
  <c r="AY427" i="32" s="1"/>
  <c r="AW59" i="32"/>
  <c r="AX59" i="32"/>
  <c r="AY59" i="32" s="1"/>
  <c r="AW443" i="32"/>
  <c r="BL442" i="32" s="1"/>
  <c r="BM442" i="32" s="1"/>
  <c r="AX443" i="32"/>
  <c r="AY443" i="32" s="1"/>
  <c r="AX316" i="32"/>
  <c r="AY316" i="32" s="1"/>
  <c r="AW316" i="32"/>
  <c r="AX332" i="32"/>
  <c r="AY332" i="32" s="1"/>
  <c r="AW332" i="32"/>
  <c r="AW383" i="32"/>
  <c r="BL383" i="32" s="1"/>
  <c r="BM383" i="32" s="1"/>
  <c r="AX383" i="32"/>
  <c r="AY383" i="32" s="1"/>
  <c r="AX429" i="32"/>
  <c r="AY429" i="32" s="1"/>
  <c r="AW429" i="32"/>
  <c r="AW307" i="32"/>
  <c r="AX307" i="32"/>
  <c r="AY307" i="32" s="1"/>
  <c r="AX99" i="32"/>
  <c r="AY99" i="32" s="1"/>
  <c r="AW99" i="32"/>
  <c r="AW361" i="32"/>
  <c r="BL360" i="32" s="1"/>
  <c r="BM360" i="32" s="1"/>
  <c r="AX361" i="32"/>
  <c r="AY361" i="32" s="1"/>
  <c r="AX169" i="32"/>
  <c r="AY169" i="32" s="1"/>
  <c r="AW169" i="32"/>
  <c r="AX257" i="32"/>
  <c r="AY257" i="32" s="1"/>
  <c r="AW257" i="32"/>
  <c r="AX294" i="32"/>
  <c r="AY294" i="32" s="1"/>
  <c r="AW294" i="32"/>
  <c r="AW425" i="32"/>
  <c r="BL425" i="32" s="1"/>
  <c r="BM425" i="32" s="1"/>
  <c r="AX425" i="32"/>
  <c r="AY425" i="32" s="1"/>
  <c r="AW217" i="32"/>
  <c r="AX217" i="32"/>
  <c r="AY217" i="32" s="1"/>
  <c r="AW454" i="32"/>
  <c r="BL453" i="32" s="1"/>
  <c r="BM453" i="32" s="1"/>
  <c r="AX454" i="32"/>
  <c r="AY454" i="32" s="1"/>
  <c r="AX173" i="32"/>
  <c r="AY173" i="32" s="1"/>
  <c r="AW173" i="32"/>
  <c r="AW369" i="32"/>
  <c r="BL368" i="32" s="1"/>
  <c r="BM368" i="32" s="1"/>
  <c r="AX369" i="32"/>
  <c r="AY369" i="32" s="1"/>
  <c r="AX535" i="32"/>
  <c r="AY535" i="32" s="1"/>
  <c r="AW535" i="32"/>
  <c r="AX612" i="32"/>
  <c r="AY612" i="32" s="1"/>
  <c r="AW612" i="32"/>
  <c r="BL226" i="32"/>
  <c r="BM226" i="32" s="1"/>
  <c r="AW551" i="32"/>
  <c r="BL551" i="32" s="1"/>
  <c r="BM551" i="32" s="1"/>
  <c r="AX551" i="32"/>
  <c r="AY551" i="32" s="1"/>
  <c r="AW456" i="32"/>
  <c r="AX456" i="32"/>
  <c r="AY456" i="32" s="1"/>
  <c r="AX624" i="32"/>
  <c r="AY624" i="32" s="1"/>
  <c r="AW624" i="32"/>
  <c r="H634" i="32" s="1"/>
  <c r="AW406" i="32"/>
  <c r="AX406" i="32"/>
  <c r="AY406" i="32" s="1"/>
  <c r="AW18" i="32"/>
  <c r="AX18" i="32"/>
  <c r="AY18" i="32" s="1"/>
  <c r="AX295" i="32"/>
  <c r="AY295" i="32" s="1"/>
  <c r="AW295" i="32"/>
  <c r="AW417" i="32"/>
  <c r="BL416" i="32" s="1"/>
  <c r="BM416" i="32" s="1"/>
  <c r="AX417" i="32"/>
  <c r="AY417" i="32" s="1"/>
  <c r="AW451" i="32"/>
  <c r="AX451" i="32"/>
  <c r="AY451" i="32" s="1"/>
  <c r="AW485" i="32"/>
  <c r="AX485" i="32"/>
  <c r="AY485" i="32" s="1"/>
  <c r="AX588" i="32"/>
  <c r="AY588" i="32" s="1"/>
  <c r="AW588" i="32"/>
  <c r="AW422" i="32"/>
  <c r="AX422" i="32"/>
  <c r="AY422" i="32" s="1"/>
  <c r="AW291" i="32"/>
  <c r="BL290" i="32" s="1"/>
  <c r="BM290" i="32" s="1"/>
  <c r="AX291" i="32"/>
  <c r="AY291" i="32" s="1"/>
  <c r="AW462" i="32"/>
  <c r="BL461" i="32" s="1"/>
  <c r="BM461" i="32" s="1"/>
  <c r="AX462" i="32"/>
  <c r="AY462" i="32" s="1"/>
  <c r="AW320" i="32"/>
  <c r="AX320" i="32"/>
  <c r="AY320" i="32" s="1"/>
  <c r="AW517" i="32"/>
  <c r="AX517" i="32"/>
  <c r="AY517" i="32" s="1"/>
  <c r="AW610" i="32"/>
  <c r="AX610" i="32"/>
  <c r="AY610" i="32" s="1"/>
  <c r="AW375" i="32"/>
  <c r="AX375" i="32"/>
  <c r="AY375" i="32" s="1"/>
  <c r="AW69" i="32"/>
  <c r="BL69" i="32" s="1"/>
  <c r="BM69" i="32" s="1"/>
  <c r="AX69" i="32"/>
  <c r="AY69" i="32" s="1"/>
  <c r="AW388" i="32"/>
  <c r="AX388" i="32"/>
  <c r="AY388" i="32" s="1"/>
  <c r="AW593" i="32"/>
  <c r="AX593" i="32"/>
  <c r="AY593" i="32" s="1"/>
  <c r="AW94" i="32"/>
  <c r="AX94" i="32"/>
  <c r="AY94" i="32" s="1"/>
  <c r="AX277" i="32"/>
  <c r="AY277" i="32" s="1"/>
  <c r="AW277" i="32"/>
  <c r="AX571" i="32"/>
  <c r="AY571" i="32" s="1"/>
  <c r="AW571" i="32"/>
  <c r="BL242" i="32"/>
  <c r="BM242" i="32" s="1"/>
  <c r="AX232" i="32"/>
  <c r="AY232" i="32" s="1"/>
  <c r="AW232" i="32"/>
  <c r="AW565" i="32"/>
  <c r="BL565" i="32" s="1"/>
  <c r="BM565" i="32" s="1"/>
  <c r="AX565" i="32"/>
  <c r="AY565" i="32" s="1"/>
  <c r="AX67" i="32"/>
  <c r="AY67" i="32" s="1"/>
  <c r="AW67" i="32"/>
  <c r="AW163" i="32"/>
  <c r="AX163" i="32"/>
  <c r="AY163" i="32" s="1"/>
  <c r="AX543" i="32"/>
  <c r="AY543" i="32" s="1"/>
  <c r="AW543" i="32"/>
  <c r="AX349" i="32"/>
  <c r="AY349" i="32" s="1"/>
  <c r="AW349" i="32"/>
  <c r="BL348" i="32" s="1"/>
  <c r="BM348" i="32" s="1"/>
  <c r="AX251" i="32"/>
  <c r="AY251" i="32" s="1"/>
  <c r="AW251" i="32"/>
  <c r="AX423" i="32"/>
  <c r="AY423" i="32" s="1"/>
  <c r="AW423" i="32"/>
  <c r="AX240" i="32"/>
  <c r="AY240" i="32" s="1"/>
  <c r="AW240" i="32"/>
  <c r="AX373" i="32"/>
  <c r="AY373" i="32" s="1"/>
  <c r="AW373" i="32"/>
  <c r="BL372" i="32" s="1"/>
  <c r="BM372" i="32" s="1"/>
  <c r="AX315" i="32"/>
  <c r="AY315" i="32" s="1"/>
  <c r="AW315" i="32"/>
  <c r="AX459" i="32"/>
  <c r="AY459" i="32" s="1"/>
  <c r="AW459" i="32"/>
  <c r="AW170" i="32"/>
  <c r="AX170" i="32"/>
  <c r="AY170" i="32" s="1"/>
  <c r="AW419" i="32"/>
  <c r="BL418" i="32" s="1"/>
  <c r="BM418" i="32" s="1"/>
  <c r="AX419" i="32"/>
  <c r="AY419" i="32" s="1"/>
  <c r="AX202" i="32"/>
  <c r="AY202" i="32" s="1"/>
  <c r="AW202" i="32"/>
  <c r="AX228" i="32"/>
  <c r="AY228" i="32" s="1"/>
  <c r="AW228" i="32"/>
  <c r="BL227" i="32" s="1"/>
  <c r="BM227" i="32" s="1"/>
  <c r="AW334" i="32"/>
  <c r="AX334" i="32"/>
  <c r="AY334" i="32" s="1"/>
  <c r="AW195" i="32"/>
  <c r="AX195" i="32"/>
  <c r="AY195" i="32" s="1"/>
  <c r="AX127" i="32"/>
  <c r="AY127" i="32" s="1"/>
  <c r="AW127" i="32"/>
  <c r="BL127" i="32" s="1"/>
  <c r="BM127" i="32" s="1"/>
  <c r="AX627" i="32"/>
  <c r="AY627" i="32" s="1"/>
  <c r="AW627" i="32"/>
  <c r="AX210" i="32"/>
  <c r="AY210" i="32" s="1"/>
  <c r="AW210" i="32"/>
  <c r="AX430" i="32"/>
  <c r="AY430" i="32" s="1"/>
  <c r="AW430" i="32"/>
  <c r="AX201" i="32"/>
  <c r="AY201" i="32" s="1"/>
  <c r="AW201" i="32"/>
  <c r="AW409" i="32"/>
  <c r="BL408" i="32" s="1"/>
  <c r="BM408" i="32" s="1"/>
  <c r="AX409" i="32"/>
  <c r="AY409" i="32" s="1"/>
  <c r="AW33" i="32"/>
  <c r="BL32" i="32" s="1"/>
  <c r="BM32" i="32" s="1"/>
  <c r="AX33" i="32"/>
  <c r="AY33" i="32" s="1"/>
  <c r="AW177" i="32"/>
  <c r="BL176" i="32" s="1"/>
  <c r="BM176" i="32" s="1"/>
  <c r="AX177" i="32"/>
  <c r="AY177" i="32" s="1"/>
  <c r="AX261" i="32"/>
  <c r="AY261" i="32" s="1"/>
  <c r="AW261" i="32"/>
  <c r="T13" i="32"/>
  <c r="AV13" i="32" s="1"/>
  <c r="Q13" i="32"/>
  <c r="AX435" i="32"/>
  <c r="AY435" i="32" s="1"/>
  <c r="AW435" i="32"/>
  <c r="AW325" i="32"/>
  <c r="AX325" i="32"/>
  <c r="AY325" i="32" s="1"/>
  <c r="AX121" i="32"/>
  <c r="AY121" i="32" s="1"/>
  <c r="AW121" i="32"/>
  <c r="BL120" i="32" s="1"/>
  <c r="BM120" i="32" s="1"/>
  <c r="AX317" i="32"/>
  <c r="AY317" i="32" s="1"/>
  <c r="AW317" i="32"/>
  <c r="AW379" i="32"/>
  <c r="BL378" i="32" s="1"/>
  <c r="BM378" i="32" s="1"/>
  <c r="AX379" i="32"/>
  <c r="AY379" i="32" s="1"/>
  <c r="AX211" i="32"/>
  <c r="AY211" i="32" s="1"/>
  <c r="AW211" i="32"/>
  <c r="AX259" i="32"/>
  <c r="AY259" i="32" s="1"/>
  <c r="AW259" i="32"/>
  <c r="AX521" i="32"/>
  <c r="AY521" i="32" s="1"/>
  <c r="AW521" i="32"/>
  <c r="BL520" i="32" s="1"/>
  <c r="BM520" i="32" s="1"/>
  <c r="AX77" i="32"/>
  <c r="AY77" i="32" s="1"/>
  <c r="AW77" i="32"/>
  <c r="AX518" i="32"/>
  <c r="AY518" i="32" s="1"/>
  <c r="AW518" i="32"/>
  <c r="AX532" i="32"/>
  <c r="AY532" i="32" s="1"/>
  <c r="AW532" i="32"/>
  <c r="AW238" i="32"/>
  <c r="AX238" i="32"/>
  <c r="AY238" i="32" s="1"/>
  <c r="AX109" i="32"/>
  <c r="AY109" i="32" s="1"/>
  <c r="AW109" i="32"/>
  <c r="AX203" i="32"/>
  <c r="AY203" i="32" s="1"/>
  <c r="AW203" i="32"/>
  <c r="BL460" i="32"/>
  <c r="BM460" i="32" s="1"/>
  <c r="AX150" i="32"/>
  <c r="AY150" i="32" s="1"/>
  <c r="AW150" i="32"/>
  <c r="AW550" i="32"/>
  <c r="AX550" i="32"/>
  <c r="AY550" i="32" s="1"/>
  <c r="AX545" i="32"/>
  <c r="AY545" i="32" s="1"/>
  <c r="AW545" i="32"/>
  <c r="BL544" i="32" s="1"/>
  <c r="BM544" i="32" s="1"/>
  <c r="AX225" i="32"/>
  <c r="AY225" i="32" s="1"/>
  <c r="AW225" i="32"/>
  <c r="BL225" i="32" s="1"/>
  <c r="BM225" i="32" s="1"/>
  <c r="AW57" i="32"/>
  <c r="AX57" i="32"/>
  <c r="AY57" i="32" s="1"/>
  <c r="AX466" i="32"/>
  <c r="AY466" i="32" s="1"/>
  <c r="AW466" i="32"/>
  <c r="AW547" i="32"/>
  <c r="AX547" i="32"/>
  <c r="AY547" i="32" s="1"/>
  <c r="AW570" i="32"/>
  <c r="AX570" i="32"/>
  <c r="AY570" i="32" s="1"/>
  <c r="AX537" i="32"/>
  <c r="AY537" i="32" s="1"/>
  <c r="AW537" i="32"/>
  <c r="BL536" i="32" s="1"/>
  <c r="BM536" i="32" s="1"/>
  <c r="AX299" i="32"/>
  <c r="AY299" i="32" s="1"/>
  <c r="AW299" i="32"/>
  <c r="BL298" i="32" s="1"/>
  <c r="BM298" i="32" s="1"/>
  <c r="AW234" i="32"/>
  <c r="AX234" i="32"/>
  <c r="AY234" i="32" s="1"/>
  <c r="AW526" i="32"/>
  <c r="AX526" i="32"/>
  <c r="AY526" i="32" s="1"/>
  <c r="AW255" i="32"/>
  <c r="AX255" i="32"/>
  <c r="AY255" i="32" s="1"/>
  <c r="AX29" i="32"/>
  <c r="AY29" i="32" s="1"/>
  <c r="AW29" i="32"/>
  <c r="AX326" i="32"/>
  <c r="AY326" i="32" s="1"/>
  <c r="AW326" i="32"/>
  <c r="BL325" i="32" s="1"/>
  <c r="BM325" i="32" s="1"/>
  <c r="AX145" i="32"/>
  <c r="AY145" i="32" s="1"/>
  <c r="AW145" i="32"/>
  <c r="BL144" i="32" s="1"/>
  <c r="BM144" i="32" s="1"/>
  <c r="AW53" i="32"/>
  <c r="BL53" i="32" s="1"/>
  <c r="BM53" i="32" s="1"/>
  <c r="AX53" i="32"/>
  <c r="AY53" i="32" s="1"/>
  <c r="AX407" i="32"/>
  <c r="AY407" i="32" s="1"/>
  <c r="AW407" i="32"/>
  <c r="AW292" i="32"/>
  <c r="AX292" i="32"/>
  <c r="AY292" i="32" s="1"/>
  <c r="AX301" i="32"/>
  <c r="AY301" i="32" s="1"/>
  <c r="AW301" i="32"/>
  <c r="AW250" i="32"/>
  <c r="AX250" i="32"/>
  <c r="AY250" i="32" s="1"/>
  <c r="AX117" i="32"/>
  <c r="AY117" i="32" s="1"/>
  <c r="AW117" i="32"/>
  <c r="AX463" i="32"/>
  <c r="AY463" i="32" s="1"/>
  <c r="AW463" i="32"/>
  <c r="AW385" i="32"/>
  <c r="BL384" i="32" s="1"/>
  <c r="BM384" i="32" s="1"/>
  <c r="AX385" i="32"/>
  <c r="AY385" i="32" s="1"/>
  <c r="AW516" i="32"/>
  <c r="AX516" i="32"/>
  <c r="AY516" i="32" s="1"/>
  <c r="BL71" i="32"/>
  <c r="BM71" i="32" s="1"/>
  <c r="AW556" i="32"/>
  <c r="AX556" i="32"/>
  <c r="AY556" i="32" s="1"/>
  <c r="AW607" i="32"/>
  <c r="BL606" i="32" s="1"/>
  <c r="BM606" i="32" s="1"/>
  <c r="AX607" i="32"/>
  <c r="AY607" i="32" s="1"/>
  <c r="AW333" i="32"/>
  <c r="AX333" i="32"/>
  <c r="AY333" i="32" s="1"/>
  <c r="AX89" i="32"/>
  <c r="AY89" i="32" s="1"/>
  <c r="AW89" i="32"/>
  <c r="BL88" i="32" s="1"/>
  <c r="BM88" i="32" s="1"/>
  <c r="AW147" i="32"/>
  <c r="BL146" i="32" s="1"/>
  <c r="BM146" i="32" s="1"/>
  <c r="AX147" i="32"/>
  <c r="AY147" i="32" s="1"/>
  <c r="AW179" i="32"/>
  <c r="AX179" i="32"/>
  <c r="AY179" i="32" s="1"/>
  <c r="AX412" i="32"/>
  <c r="AY412" i="32" s="1"/>
  <c r="AW412" i="32"/>
  <c r="AW603" i="32"/>
  <c r="AX603" i="32"/>
  <c r="AY603" i="32" s="1"/>
  <c r="AX85" i="32"/>
  <c r="AY85" i="32" s="1"/>
  <c r="AW85" i="32"/>
  <c r="BL85" i="32" s="1"/>
  <c r="BM85" i="32" s="1"/>
  <c r="AW197" i="32"/>
  <c r="AX197" i="32"/>
  <c r="AY197" i="32" s="1"/>
  <c r="AW20" i="32"/>
  <c r="AX20" i="32"/>
  <c r="AY20" i="32" s="1"/>
  <c r="AX65" i="32"/>
  <c r="AY65" i="32" s="1"/>
  <c r="AW65" i="32"/>
  <c r="BL64" i="32" s="1"/>
  <c r="BM64" i="32" s="1"/>
  <c r="AW314" i="32"/>
  <c r="AX314" i="32"/>
  <c r="AY314" i="32" s="1"/>
  <c r="AW515" i="32"/>
  <c r="AX515" i="32"/>
  <c r="AY515" i="32" s="1"/>
  <c r="AX103" i="32"/>
  <c r="AY103" i="32" s="1"/>
  <c r="AW103" i="32"/>
  <c r="BL102" i="32" s="1"/>
  <c r="BM102" i="32" s="1"/>
  <c r="AW27" i="32"/>
  <c r="AX27" i="32"/>
  <c r="AY27" i="32" s="1"/>
  <c r="AX377" i="32"/>
  <c r="AY377" i="32" s="1"/>
  <c r="AW377" i="32"/>
  <c r="BL377" i="32" s="1"/>
  <c r="BM377" i="32" s="1"/>
  <c r="AX37" i="32"/>
  <c r="AY37" i="32" s="1"/>
  <c r="AW37" i="32"/>
  <c r="BL37" i="32" s="1"/>
  <c r="BM37" i="32" s="1"/>
  <c r="AW60" i="32"/>
  <c r="AX60" i="32"/>
  <c r="AY60" i="32" s="1"/>
  <c r="AX244" i="32"/>
  <c r="AY244" i="32" s="1"/>
  <c r="AW244" i="32"/>
  <c r="BL243" i="32" s="1"/>
  <c r="BM243" i="32" s="1"/>
  <c r="AX529" i="32"/>
  <c r="AY529" i="32" s="1"/>
  <c r="AW529" i="32"/>
  <c r="BL528" i="32" s="1"/>
  <c r="BM528" i="32" s="1"/>
  <c r="AW285" i="32"/>
  <c r="AX285" i="32"/>
  <c r="AY285" i="32" s="1"/>
  <c r="AX237" i="32"/>
  <c r="AY237" i="32" s="1"/>
  <c r="AW237" i="32"/>
  <c r="AW587" i="32"/>
  <c r="BL586" i="32" s="1"/>
  <c r="BM586" i="32" s="1"/>
  <c r="AX587" i="32"/>
  <c r="AY587" i="32" s="1"/>
  <c r="AX555" i="32"/>
  <c r="AY555" i="32" s="1"/>
  <c r="AW555" i="32"/>
  <c r="AX371" i="32"/>
  <c r="AY371" i="32" s="1"/>
  <c r="AW371" i="32"/>
  <c r="BL370" i="32" s="1"/>
  <c r="BM370" i="32" s="1"/>
  <c r="AW533" i="32"/>
  <c r="AX533" i="32"/>
  <c r="AY533" i="32" s="1"/>
  <c r="AW345" i="32"/>
  <c r="BL344" i="32" s="1"/>
  <c r="BM344" i="32" s="1"/>
  <c r="AX345" i="32"/>
  <c r="AY345" i="32" s="1"/>
  <c r="AX554" i="32"/>
  <c r="AY554" i="32" s="1"/>
  <c r="AW554" i="32"/>
  <c r="AX482" i="32"/>
  <c r="AY482" i="32" s="1"/>
  <c r="AW482" i="32"/>
  <c r="AW153" i="32"/>
  <c r="BL152" i="32" s="1"/>
  <c r="BM152" i="32" s="1"/>
  <c r="AX153" i="32"/>
  <c r="AY153" i="32" s="1"/>
  <c r="AX141" i="32"/>
  <c r="AY141" i="32" s="1"/>
  <c r="AW141" i="32"/>
  <c r="AX308" i="32"/>
  <c r="AY308" i="32" s="1"/>
  <c r="AW308" i="32"/>
  <c r="AW503" i="32"/>
  <c r="BL503" i="32" s="1"/>
  <c r="BM503" i="32" s="1"/>
  <c r="AX503" i="32"/>
  <c r="AY503" i="32" s="1"/>
  <c r="AW269" i="32"/>
  <c r="AX269" i="32"/>
  <c r="AY269" i="32" s="1"/>
  <c r="AW549" i="32"/>
  <c r="AX549" i="32"/>
  <c r="AY549" i="32" s="1"/>
  <c r="BL511" i="32"/>
  <c r="BM511" i="32" s="1"/>
  <c r="AX35" i="32"/>
  <c r="AY35" i="32" s="1"/>
  <c r="AW35" i="32"/>
  <c r="BL34" i="32" s="1"/>
  <c r="BM34" i="32" s="1"/>
  <c r="AX50" i="32"/>
  <c r="AY50" i="32" s="1"/>
  <c r="AW50" i="32"/>
  <c r="AW160" i="32"/>
  <c r="BL159" i="32" s="1"/>
  <c r="BM159" i="32" s="1"/>
  <c r="AX160" i="32"/>
  <c r="AY160" i="32" s="1"/>
  <c r="AW611" i="32"/>
  <c r="AX611" i="32"/>
  <c r="AY611" i="32" s="1"/>
  <c r="AX75" i="32"/>
  <c r="AY75" i="32" s="1"/>
  <c r="AW75" i="32"/>
  <c r="AX398" i="32"/>
  <c r="AY398" i="32" s="1"/>
  <c r="AW398" i="32"/>
  <c r="AX194" i="32"/>
  <c r="AY194" i="32" s="1"/>
  <c r="AW194" i="32"/>
  <c r="AW319" i="32"/>
  <c r="AX319" i="32"/>
  <c r="AY319" i="32" s="1"/>
  <c r="AX489" i="32"/>
  <c r="AY489" i="32" s="1"/>
  <c r="AW489" i="32"/>
  <c r="BL488" i="32" s="1"/>
  <c r="BM488" i="32" s="1"/>
  <c r="AX279" i="32"/>
  <c r="AY279" i="32" s="1"/>
  <c r="AW279" i="32"/>
  <c r="AW553" i="32"/>
  <c r="BL552" i="32" s="1"/>
  <c r="BM552" i="32" s="1"/>
  <c r="AX553" i="32"/>
  <c r="AY553" i="32" s="1"/>
  <c r="AW492" i="32"/>
  <c r="AX492" i="32"/>
  <c r="AY492" i="32" s="1"/>
  <c r="BL70" i="32"/>
  <c r="AW253" i="32"/>
  <c r="AX253" i="32"/>
  <c r="AY253" i="32" s="1"/>
  <c r="AW324" i="32"/>
  <c r="AX324" i="32"/>
  <c r="AY324" i="32" s="1"/>
  <c r="AW405" i="32"/>
  <c r="AX405" i="32"/>
  <c r="AY405" i="32" s="1"/>
  <c r="AX79" i="32"/>
  <c r="AY79" i="32" s="1"/>
  <c r="AW79" i="32"/>
  <c r="BL79" i="32" s="1"/>
  <c r="BM79" i="32" s="1"/>
  <c r="AX452" i="32"/>
  <c r="AY452" i="32" s="1"/>
  <c r="AW452" i="32"/>
  <c r="AX589" i="32"/>
  <c r="AY589" i="32" s="1"/>
  <c r="AW589" i="32"/>
  <c r="AW567" i="32"/>
  <c r="BL566" i="32" s="1"/>
  <c r="BM566" i="32" s="1"/>
  <c r="AX567" i="32"/>
  <c r="AY567" i="32" s="1"/>
  <c r="AX100" i="32"/>
  <c r="AY100" i="32" s="1"/>
  <c r="AW100" i="32"/>
  <c r="AW222" i="32"/>
  <c r="AX222" i="32"/>
  <c r="AY222" i="32" s="1"/>
  <c r="AW507" i="32"/>
  <c r="BL506" i="32" s="1"/>
  <c r="BM506" i="32" s="1"/>
  <c r="AX507" i="32"/>
  <c r="AY507" i="32" s="1"/>
  <c r="AX304" i="32"/>
  <c r="AY304" i="32" s="1"/>
  <c r="AW304" i="32"/>
  <c r="AW491" i="32"/>
  <c r="AX491" i="32"/>
  <c r="AY491" i="32" s="1"/>
  <c r="AW355" i="32"/>
  <c r="BL355" i="32" s="1"/>
  <c r="BM355" i="32" s="1"/>
  <c r="AX355" i="32"/>
  <c r="AY355" i="32" s="1"/>
  <c r="AW189" i="32"/>
  <c r="AX189" i="32"/>
  <c r="AY189" i="32" s="1"/>
  <c r="AX125" i="32"/>
  <c r="AY125" i="32" s="1"/>
  <c r="AW125" i="32"/>
  <c r="AW111" i="32"/>
  <c r="AX111" i="32"/>
  <c r="AY111" i="32" s="1"/>
  <c r="AX351" i="32"/>
  <c r="AY351" i="32" s="1"/>
  <c r="AW351" i="32"/>
  <c r="BL350" i="32" s="1"/>
  <c r="BM350" i="32" s="1"/>
  <c r="AX579" i="32"/>
  <c r="AY579" i="32" s="1"/>
  <c r="AW579" i="32"/>
  <c r="AX187" i="32"/>
  <c r="AY187" i="32" s="1"/>
  <c r="AW187" i="32"/>
  <c r="AX23" i="32"/>
  <c r="AY23" i="32" s="1"/>
  <c r="AW23" i="32"/>
  <c r="BL22" i="32" s="1"/>
  <c r="BM22" i="32" s="1"/>
  <c r="AW208" i="32"/>
  <c r="AX208" i="32"/>
  <c r="AY208" i="32" s="1"/>
  <c r="AW296" i="32"/>
  <c r="AX296" i="32"/>
  <c r="AY296" i="32" s="1"/>
  <c r="AW204" i="32"/>
  <c r="AX204" i="32"/>
  <c r="AY204" i="32" s="1"/>
  <c r="AX318" i="32"/>
  <c r="AY318" i="32" s="1"/>
  <c r="AW318" i="32"/>
  <c r="AX465" i="32"/>
  <c r="AY465" i="32" s="1"/>
  <c r="AW465" i="32"/>
  <c r="AW248" i="32"/>
  <c r="AX248" i="32"/>
  <c r="AY248" i="32" s="1"/>
  <c r="AW262" i="32"/>
  <c r="AX262" i="32"/>
  <c r="AY262" i="32" s="1"/>
  <c r="AX499" i="32"/>
  <c r="AY499" i="32" s="1"/>
  <c r="AW499" i="32"/>
  <c r="AW374" i="32"/>
  <c r="AX374" i="32"/>
  <c r="AY374" i="32" s="1"/>
  <c r="AW519" i="32"/>
  <c r="BL519" i="32" s="1"/>
  <c r="BM519" i="32" s="1"/>
  <c r="AX519" i="32"/>
  <c r="AY519" i="32" s="1"/>
  <c r="AW484" i="32"/>
  <c r="AX484" i="32"/>
  <c r="AY484" i="32" s="1"/>
  <c r="AX495" i="32"/>
  <c r="AY495" i="32" s="1"/>
  <c r="AW495" i="32"/>
  <c r="AX572" i="32"/>
  <c r="AY572" i="32" s="1"/>
  <c r="AW572" i="32"/>
  <c r="AW433" i="32"/>
  <c r="BL433" i="32" s="1"/>
  <c r="BM433" i="32" s="1"/>
  <c r="AX433" i="32"/>
  <c r="AY433" i="32" s="1"/>
  <c r="AX161" i="32"/>
  <c r="AY161" i="32" s="1"/>
  <c r="AW161" i="32"/>
  <c r="AX245" i="32"/>
  <c r="AY245" i="32" s="1"/>
  <c r="AW245" i="32"/>
  <c r="AX365" i="32"/>
  <c r="AY365" i="32" s="1"/>
  <c r="AW365" i="32"/>
  <c r="AW66" i="32"/>
  <c r="AX66" i="32"/>
  <c r="AY66" i="32" s="1"/>
  <c r="AX362" i="32"/>
  <c r="AY362" i="32" s="1"/>
  <c r="AW362" i="32"/>
  <c r="AW436" i="32"/>
  <c r="AX436" i="32"/>
  <c r="AY436" i="32" s="1"/>
  <c r="AW569" i="32"/>
  <c r="AX569" i="32"/>
  <c r="AY569" i="32" s="1"/>
  <c r="AX568" i="32"/>
  <c r="AY568" i="32" s="1"/>
  <c r="AW568" i="32"/>
  <c r="AW116" i="32"/>
  <c r="AX116" i="32"/>
  <c r="AY116" i="32" s="1"/>
  <c r="AW17" i="32"/>
  <c r="BL16" i="32" s="1"/>
  <c r="BM16" i="32" s="1"/>
  <c r="AX17" i="32"/>
  <c r="AY17" i="32" s="1"/>
  <c r="AW267" i="32"/>
  <c r="BL266" i="32" s="1"/>
  <c r="BM266" i="32" s="1"/>
  <c r="AX267" i="32"/>
  <c r="AY267" i="32" s="1"/>
  <c r="AW576" i="32"/>
  <c r="AX576" i="32"/>
  <c r="AY576" i="32" s="1"/>
  <c r="AX329" i="32"/>
  <c r="AY329" i="32" s="1"/>
  <c r="AW329" i="32"/>
  <c r="AW328" i="32"/>
  <c r="AX328" i="32"/>
  <c r="AY328" i="32" s="1"/>
  <c r="AX447" i="32"/>
  <c r="AY447" i="32" s="1"/>
  <c r="AW447" i="32"/>
  <c r="AW357" i="32"/>
  <c r="BL356" i="32" s="1"/>
  <c r="BM356" i="32" s="1"/>
  <c r="AX357" i="32"/>
  <c r="AY357" i="32" s="1"/>
  <c r="AW609" i="32"/>
  <c r="AX609" i="32"/>
  <c r="AY609" i="32" s="1"/>
  <c r="AW359" i="32"/>
  <c r="BL358" i="32" s="1"/>
  <c r="BM358" i="32" s="1"/>
  <c r="AX359" i="32"/>
  <c r="AY359" i="32" s="1"/>
  <c r="AX166" i="32"/>
  <c r="AY166" i="32" s="1"/>
  <c r="AW166" i="32"/>
  <c r="BL166" i="32" s="1"/>
  <c r="BM166" i="32" s="1"/>
  <c r="AW341" i="32"/>
  <c r="BL341" i="32" s="1"/>
  <c r="BM341" i="32" s="1"/>
  <c r="AX341" i="32"/>
  <c r="AY341" i="32" s="1"/>
  <c r="AW74" i="32"/>
  <c r="AX74" i="32"/>
  <c r="AY74" i="32" s="1"/>
  <c r="AW118" i="32"/>
  <c r="AX118" i="32"/>
  <c r="AY118" i="32" s="1"/>
  <c r="AW508" i="32"/>
  <c r="AX508" i="32"/>
  <c r="AY508" i="32" s="1"/>
  <c r="AW595" i="32"/>
  <c r="AX595" i="32"/>
  <c r="AY595" i="32" s="1"/>
  <c r="AX505" i="32"/>
  <c r="AY505" i="32" s="1"/>
  <c r="AW505" i="32"/>
  <c r="AW140" i="32"/>
  <c r="AX140" i="32"/>
  <c r="AY140" i="32" s="1"/>
  <c r="AX323" i="32"/>
  <c r="AY323" i="32" s="1"/>
  <c r="AW323" i="32"/>
  <c r="AX132" i="32"/>
  <c r="AY132" i="32" s="1"/>
  <c r="AW132" i="32"/>
  <c r="AX274" i="32"/>
  <c r="AY274" i="32" s="1"/>
  <c r="AW274" i="32"/>
  <c r="AX564" i="32"/>
  <c r="AY564" i="32" s="1"/>
  <c r="AW564" i="32"/>
  <c r="AW41" i="32"/>
  <c r="BL40" i="32" s="1"/>
  <c r="BM40" i="32" s="1"/>
  <c r="AX41" i="32"/>
  <c r="AY41" i="32" s="1"/>
  <c r="AW446" i="32"/>
  <c r="BL445" i="32" s="1"/>
  <c r="BM445" i="32" s="1"/>
  <c r="AX446" i="32"/>
  <c r="AY446" i="32" s="1"/>
  <c r="AW472" i="32"/>
  <c r="AX472" i="32"/>
  <c r="AY472" i="32" s="1"/>
  <c r="AW541" i="32"/>
  <c r="AX541" i="32"/>
  <c r="AY541" i="32" s="1"/>
  <c r="AX557" i="32"/>
  <c r="AY557" i="32" s="1"/>
  <c r="AW557" i="32"/>
  <c r="AW241" i="32"/>
  <c r="AX241" i="32"/>
  <c r="AY241" i="32" s="1"/>
  <c r="AX563" i="32"/>
  <c r="AY563" i="32" s="1"/>
  <c r="AW563" i="32"/>
  <c r="AW276" i="32"/>
  <c r="AX276" i="32"/>
  <c r="AY276" i="32" s="1"/>
  <c r="AW185" i="32"/>
  <c r="BL184" i="32" s="1"/>
  <c r="BM184" i="32" s="1"/>
  <c r="AX185" i="32"/>
  <c r="AY185" i="32" s="1"/>
  <c r="AX510" i="32"/>
  <c r="AY510" i="32" s="1"/>
  <c r="AW510" i="32"/>
  <c r="AX387" i="32"/>
  <c r="AY387" i="32" s="1"/>
  <c r="AW387" i="32"/>
  <c r="BL386" i="32" s="1"/>
  <c r="BM386" i="32" s="1"/>
  <c r="AW49" i="32"/>
  <c r="BL48" i="32" s="1"/>
  <c r="BM48" i="32" s="1"/>
  <c r="AX49" i="32"/>
  <c r="AY49" i="32" s="1"/>
  <c r="AX115" i="32"/>
  <c r="AY115" i="32" s="1"/>
  <c r="AW115" i="32"/>
  <c r="BL114" i="32" s="1"/>
  <c r="BM114" i="32" s="1"/>
  <c r="AW441" i="32"/>
  <c r="AX441" i="32"/>
  <c r="AY441" i="32" s="1"/>
  <c r="AX138" i="32"/>
  <c r="AY138" i="32" s="1"/>
  <c r="AW138" i="32"/>
  <c r="AW548" i="32"/>
  <c r="AX548" i="32"/>
  <c r="AY548" i="32" s="1"/>
  <c r="AW577" i="32"/>
  <c r="AX577" i="32"/>
  <c r="AY577" i="32" s="1"/>
  <c r="AW575" i="32"/>
  <c r="BL574" i="32" s="1"/>
  <c r="BM574" i="32" s="1"/>
  <c r="AX575" i="32"/>
  <c r="AY575" i="32" s="1"/>
  <c r="AX61" i="32"/>
  <c r="AY61" i="32" s="1"/>
  <c r="AW61" i="32"/>
  <c r="AX252" i="32"/>
  <c r="AY252" i="32" s="1"/>
  <c r="AW252" i="32"/>
  <c r="AW444" i="32"/>
  <c r="AX444" i="32"/>
  <c r="AY444" i="32" s="1"/>
  <c r="AX395" i="32"/>
  <c r="AY395" i="32" s="1"/>
  <c r="AW395" i="32"/>
  <c r="BL394" i="32" s="1"/>
  <c r="BM394" i="32" s="1"/>
  <c r="AW354" i="32"/>
  <c r="AX354" i="32"/>
  <c r="AY354" i="32" s="1"/>
  <c r="AX363" i="32"/>
  <c r="AY363" i="32" s="1"/>
  <c r="AW363" i="32"/>
  <c r="AW493" i="32"/>
  <c r="AX493" i="32"/>
  <c r="AY493" i="32" s="1"/>
  <c r="AW450" i="32"/>
  <c r="AX450" i="32"/>
  <c r="AY450" i="32" s="1"/>
  <c r="AW76" i="32"/>
  <c r="AX76" i="32"/>
  <c r="AY76" i="32" s="1"/>
  <c r="AW421" i="32"/>
  <c r="AX421" i="32"/>
  <c r="AY421" i="32" s="1"/>
  <c r="AX288" i="32"/>
  <c r="AY288" i="32" s="1"/>
  <c r="AW288" i="32"/>
  <c r="AW590" i="32"/>
  <c r="AX590" i="32"/>
  <c r="AY590" i="32" s="1"/>
  <c r="AX46" i="32"/>
  <c r="AY46" i="32" s="1"/>
  <c r="AW46" i="32"/>
  <c r="AW284" i="32"/>
  <c r="AX284" i="32"/>
  <c r="AY284" i="32" s="1"/>
  <c r="AW469" i="32"/>
  <c r="BL468" i="32" s="1"/>
  <c r="BM468" i="32" s="1"/>
  <c r="AX469" i="32"/>
  <c r="AY469" i="32" s="1"/>
  <c r="AX481" i="32"/>
  <c r="AY481" i="32" s="1"/>
  <c r="AW481" i="32"/>
  <c r="BL480" i="32" s="1"/>
  <c r="BM480" i="32" s="1"/>
  <c r="AW474" i="32"/>
  <c r="AX474" i="32"/>
  <c r="AY474" i="32" s="1"/>
  <c r="AW449" i="32"/>
  <c r="AX449" i="32"/>
  <c r="AY449" i="32" s="1"/>
  <c r="AX124" i="32"/>
  <c r="AY124" i="32" s="1"/>
  <c r="AW124" i="32"/>
  <c r="AW622" i="32"/>
  <c r="H632" i="32" s="1"/>
  <c r="AX622" i="32"/>
  <c r="AY622" i="32" s="1"/>
  <c r="AW391" i="32"/>
  <c r="BL391" i="32" s="1"/>
  <c r="BM391" i="32" s="1"/>
  <c r="AX391" i="32"/>
  <c r="AY391" i="32" s="1"/>
  <c r="AW321" i="32"/>
  <c r="BL321" i="32" s="1"/>
  <c r="BM321" i="32" s="1"/>
  <c r="AX321" i="32"/>
  <c r="AY321" i="32" s="1"/>
  <c r="AX224" i="32"/>
  <c r="AY224" i="32" s="1"/>
  <c r="AW224" i="32"/>
  <c r="BL223" i="32" s="1"/>
  <c r="BM223" i="32" s="1"/>
  <c r="AX157" i="32"/>
  <c r="AY157" i="32" s="1"/>
  <c r="AW157" i="32"/>
  <c r="AX471" i="32"/>
  <c r="AY471" i="32" s="1"/>
  <c r="AW471" i="32"/>
  <c r="BL470" i="32" s="1"/>
  <c r="BM470" i="32" s="1"/>
  <c r="AW212" i="32"/>
  <c r="AX212" i="32"/>
  <c r="AY212" i="32" s="1"/>
  <c r="AW58" i="32"/>
  <c r="AX58" i="32"/>
  <c r="AY58" i="32" s="1"/>
  <c r="AW172" i="32"/>
  <c r="AX172" i="32"/>
  <c r="AY172" i="32" s="1"/>
  <c r="AX592" i="32"/>
  <c r="AY592" i="32" s="1"/>
  <c r="AW592" i="32"/>
  <c r="AX39" i="32"/>
  <c r="AY39" i="32" s="1"/>
  <c r="AW39" i="32"/>
  <c r="AW47" i="32"/>
  <c r="BL47" i="32" s="1"/>
  <c r="BM47" i="32" s="1"/>
  <c r="AX47" i="32"/>
  <c r="AY47" i="32" s="1"/>
  <c r="AW393" i="32"/>
  <c r="AX393" i="32"/>
  <c r="AY393" i="32" s="1"/>
  <c r="AX43" i="32"/>
  <c r="AY43" i="32" s="1"/>
  <c r="AW43" i="32"/>
  <c r="AX249" i="32"/>
  <c r="AY249" i="32" s="1"/>
  <c r="AW249" i="32"/>
  <c r="AW278" i="32"/>
  <c r="AX278" i="32"/>
  <c r="AY278" i="32" s="1"/>
  <c r="AX509" i="32"/>
  <c r="AY509" i="32" s="1"/>
  <c r="AW509" i="32"/>
  <c r="AX431" i="32"/>
  <c r="AY431" i="32" s="1"/>
  <c r="AW431" i="32"/>
  <c r="AX289" i="32"/>
  <c r="AY289" i="32" s="1"/>
  <c r="AW289" i="32"/>
  <c r="AX455" i="32"/>
  <c r="AY455" i="32" s="1"/>
  <c r="AW455" i="32"/>
  <c r="BL454" i="32" s="1"/>
  <c r="BM454" i="32" s="1"/>
  <c r="AX604" i="32"/>
  <c r="AY604" i="32" s="1"/>
  <c r="AW604" i="32"/>
  <c r="BL135" i="32"/>
  <c r="BM135" i="32" s="1"/>
  <c r="AW502" i="32"/>
  <c r="AX502" i="32"/>
  <c r="AY502" i="32" s="1"/>
  <c r="AX256" i="32"/>
  <c r="AY256" i="32" s="1"/>
  <c r="AW256" i="32"/>
  <c r="AX397" i="32"/>
  <c r="AY397" i="32" s="1"/>
  <c r="AW397" i="32"/>
  <c r="AX108" i="32"/>
  <c r="AY108" i="32" s="1"/>
  <c r="AW108" i="32"/>
  <c r="AX580" i="32"/>
  <c r="AY580" i="32" s="1"/>
  <c r="AW580" i="32"/>
  <c r="AW78" i="32"/>
  <c r="AX78" i="32"/>
  <c r="AY78" i="32" s="1"/>
  <c r="AX538" i="32"/>
  <c r="AY538" i="32" s="1"/>
  <c r="AW538" i="32"/>
  <c r="AW15" i="32"/>
  <c r="BL14" i="32" s="1"/>
  <c r="BM14" i="32" s="1"/>
  <c r="AX15" i="32"/>
  <c r="AY15" i="32" s="1"/>
  <c r="AW623" i="32"/>
  <c r="H633" i="32" s="1"/>
  <c r="AX623" i="32"/>
  <c r="AY623" i="32" s="1"/>
  <c r="AX131" i="32"/>
  <c r="AY131" i="32" s="1"/>
  <c r="AW131" i="32"/>
  <c r="AX309" i="32"/>
  <c r="AY309" i="32" s="1"/>
  <c r="AW309" i="32"/>
  <c r="AX200" i="32"/>
  <c r="AY200" i="32" s="1"/>
  <c r="AW200" i="32"/>
  <c r="AX380" i="32"/>
  <c r="AY380" i="32" s="1"/>
  <c r="AW380" i="32"/>
  <c r="AW353" i="32"/>
  <c r="BL352" i="32" s="1"/>
  <c r="BM352" i="32" s="1"/>
  <c r="AX353" i="32"/>
  <c r="AY353" i="32" s="1"/>
  <c r="AW303" i="32"/>
  <c r="AX303" i="32"/>
  <c r="AY303" i="32" s="1"/>
  <c r="AX525" i="32"/>
  <c r="AY525" i="32" s="1"/>
  <c r="AW525" i="32"/>
  <c r="AW101" i="32"/>
  <c r="AX101" i="32"/>
  <c r="AY101" i="32" s="1"/>
  <c r="AX335" i="32"/>
  <c r="AY335" i="32" s="1"/>
  <c r="AW335" i="32"/>
  <c r="AX45" i="32"/>
  <c r="AY45" i="32" s="1"/>
  <c r="AW45" i="32"/>
  <c r="AW367" i="32"/>
  <c r="AX367" i="32"/>
  <c r="AY367" i="32" s="1"/>
  <c r="AW214" i="32"/>
  <c r="AX214" i="32"/>
  <c r="AY214" i="32" s="1"/>
  <c r="AW190" i="32"/>
  <c r="AX190" i="32"/>
  <c r="AY190" i="32" s="1"/>
  <c r="AW400" i="32"/>
  <c r="AX400" i="32"/>
  <c r="AY400" i="32" s="1"/>
  <c r="AX52" i="32"/>
  <c r="AY52" i="32" s="1"/>
  <c r="AW52" i="32"/>
  <c r="AW337" i="32"/>
  <c r="BL336" i="32" s="1"/>
  <c r="BM336" i="32" s="1"/>
  <c r="AX337" i="32"/>
  <c r="AY337" i="32" s="1"/>
  <c r="AX401" i="32"/>
  <c r="AY401" i="32" s="1"/>
  <c r="AW401" i="32"/>
  <c r="AX413" i="32"/>
  <c r="AY413" i="32" s="1"/>
  <c r="AW413" i="32"/>
  <c r="AX300" i="32"/>
  <c r="AY300" i="32" s="1"/>
  <c r="AW300" i="32"/>
  <c r="AW26" i="32"/>
  <c r="AX26" i="32"/>
  <c r="AY26" i="32" s="1"/>
  <c r="AX597" i="32"/>
  <c r="AY597" i="32" s="1"/>
  <c r="AW597" i="32"/>
  <c r="AX193" i="32"/>
  <c r="AY193" i="32" s="1"/>
  <c r="AW193" i="32"/>
  <c r="BL192" i="32" s="1"/>
  <c r="BM192" i="32" s="1"/>
  <c r="AX84" i="32"/>
  <c r="AY84" i="32" s="1"/>
  <c r="AW84" i="32"/>
  <c r="AX162" i="32"/>
  <c r="AY162" i="32" s="1"/>
  <c r="AW162" i="32"/>
  <c r="AX448" i="32"/>
  <c r="AY448" i="32" s="1"/>
  <c r="AW448" i="32"/>
  <c r="AX490" i="32"/>
  <c r="AY490" i="32" s="1"/>
  <c r="AW490" i="32"/>
  <c r="AX68" i="32"/>
  <c r="AY68" i="32" s="1"/>
  <c r="AW68" i="32"/>
  <c r="AW207" i="32"/>
  <c r="AX207" i="32"/>
  <c r="AY207" i="32" s="1"/>
  <c r="AW457" i="32"/>
  <c r="AX457" i="32"/>
  <c r="AY457" i="32" s="1"/>
  <c r="AX467" i="32"/>
  <c r="AY467" i="32" s="1"/>
  <c r="AW467" i="32"/>
  <c r="BL306" i="32"/>
  <c r="BM306" i="32" s="1"/>
  <c r="AX87" i="32"/>
  <c r="AY87" i="32" s="1"/>
  <c r="AW87" i="32"/>
  <c r="BL86" i="32" s="1"/>
  <c r="BM86" i="32" s="1"/>
  <c r="AW221" i="32"/>
  <c r="AX221" i="32"/>
  <c r="AY221" i="32" s="1"/>
  <c r="AX629" i="32"/>
  <c r="AY629" i="32" s="1"/>
  <c r="AW629" i="32"/>
  <c r="AW522" i="32"/>
  <c r="AX522" i="32"/>
  <c r="AY522" i="32" s="1"/>
  <c r="AX220" i="32"/>
  <c r="AY220" i="32" s="1"/>
  <c r="AW220" i="32"/>
  <c r="AX164" i="32"/>
  <c r="AY164" i="32" s="1"/>
  <c r="AW164" i="32"/>
  <c r="AW180" i="32"/>
  <c r="AX180" i="32"/>
  <c r="AY180" i="32" s="1"/>
  <c r="AX596" i="32"/>
  <c r="AY596" i="32" s="1"/>
  <c r="AW596" i="32"/>
  <c r="AW494" i="32"/>
  <c r="AX494" i="32"/>
  <c r="AY494" i="32" s="1"/>
  <c r="AW376" i="32"/>
  <c r="AX376" i="32"/>
  <c r="AY376" i="32" s="1"/>
  <c r="AX21" i="32"/>
  <c r="AY21" i="32" s="1"/>
  <c r="AW21" i="32"/>
  <c r="AX498" i="32"/>
  <c r="AY498" i="32" s="1"/>
  <c r="AW498" i="32"/>
  <c r="AX51" i="32"/>
  <c r="AY51" i="32" s="1"/>
  <c r="AW51" i="32"/>
  <c r="AW56" i="32"/>
  <c r="AX56" i="32"/>
  <c r="AY56" i="32" s="1"/>
  <c r="AW112" i="32"/>
  <c r="AX112" i="32"/>
  <c r="AY112" i="32" s="1"/>
  <c r="AW366" i="32"/>
  <c r="AX366" i="32"/>
  <c r="AY366" i="32" s="1"/>
  <c r="AW142" i="32"/>
  <c r="AX142" i="32"/>
  <c r="AY142" i="32" s="1"/>
  <c r="AW311" i="32"/>
  <c r="AX311" i="32"/>
  <c r="AY311" i="32" s="1"/>
  <c r="AX437" i="32"/>
  <c r="AY437" i="32" s="1"/>
  <c r="AW437" i="32"/>
  <c r="AW561" i="32"/>
  <c r="BL560" i="32" s="1"/>
  <c r="BM560" i="32" s="1"/>
  <c r="AX561" i="32"/>
  <c r="AY561" i="32" s="1"/>
  <c r="AW218" i="32"/>
  <c r="AX218" i="32"/>
  <c r="AY218" i="32" s="1"/>
  <c r="AX156" i="32"/>
  <c r="AY156" i="32" s="1"/>
  <c r="AW156" i="32"/>
  <c r="AW403" i="32"/>
  <c r="BL402" i="32" s="1"/>
  <c r="BM402" i="32" s="1"/>
  <c r="AX403" i="32"/>
  <c r="AY403" i="32" s="1"/>
  <c r="AX81" i="32"/>
  <c r="AY81" i="32" s="1"/>
  <c r="AW81" i="32"/>
  <c r="BL80" i="32" s="1"/>
  <c r="BM80" i="32" s="1"/>
  <c r="AW205" i="32"/>
  <c r="AX205" i="32"/>
  <c r="AY205" i="32" s="1"/>
  <c r="AX247" i="32"/>
  <c r="AY247" i="32" s="1"/>
  <c r="AW247" i="32"/>
  <c r="AW181" i="32"/>
  <c r="AX181" i="32"/>
  <c r="AY181" i="32" s="1"/>
  <c r="AW171" i="32"/>
  <c r="BL170" i="32" s="1"/>
  <c r="BM170" i="32" s="1"/>
  <c r="AX171" i="32"/>
  <c r="AY171" i="32" s="1"/>
  <c r="AW513" i="32"/>
  <c r="BL512" i="32" s="1"/>
  <c r="BM512" i="32" s="1"/>
  <c r="AX513" i="32"/>
  <c r="AY513" i="32" s="1"/>
  <c r="AW246" i="32"/>
  <c r="AX246" i="32"/>
  <c r="AY246" i="32" s="1"/>
  <c r="AX271" i="32"/>
  <c r="AY271" i="32" s="1"/>
  <c r="AW271" i="32"/>
  <c r="AW310" i="32"/>
  <c r="AX310" i="32"/>
  <c r="AY310" i="32" s="1"/>
  <c r="AW186" i="32"/>
  <c r="AX186" i="32"/>
  <c r="AY186" i="32" s="1"/>
  <c r="BL257" i="32"/>
  <c r="BM257" i="32" s="1"/>
  <c r="BL191" i="32"/>
  <c r="BM191" i="32" s="1"/>
  <c r="AW479" i="32"/>
  <c r="BL478" i="32" s="1"/>
  <c r="BM478" i="32" s="1"/>
  <c r="AX479" i="32"/>
  <c r="AY479" i="32" s="1"/>
  <c r="AX390" i="32"/>
  <c r="AY390" i="32" s="1"/>
  <c r="AW390" i="32"/>
  <c r="AW346" i="32"/>
  <c r="AX346" i="32"/>
  <c r="AY346" i="32" s="1"/>
  <c r="AW281" i="32"/>
  <c r="BL281" i="32" s="1"/>
  <c r="BM281" i="32" s="1"/>
  <c r="AX281" i="32"/>
  <c r="AY281" i="32" s="1"/>
  <c r="AW473" i="32"/>
  <c r="AX473" i="32"/>
  <c r="AY473" i="32" s="1"/>
  <c r="AX155" i="32"/>
  <c r="AY155" i="32" s="1"/>
  <c r="AW155" i="32"/>
  <c r="AX625" i="32"/>
  <c r="AY625" i="32" s="1"/>
  <c r="AW625" i="32"/>
  <c r="H635" i="32" s="1"/>
  <c r="AX404" i="32"/>
  <c r="AY404" i="32" s="1"/>
  <c r="AW404" i="32"/>
  <c r="BL175" i="32"/>
  <c r="BM175" i="32" s="1"/>
  <c r="AW25" i="32"/>
  <c r="BL24" i="32" s="1"/>
  <c r="BM24" i="32" s="1"/>
  <c r="AX25" i="32"/>
  <c r="AY25" i="32" s="1"/>
  <c r="AX174" i="32"/>
  <c r="AY174" i="32" s="1"/>
  <c r="AW174" i="32"/>
  <c r="BL173" i="32" s="1"/>
  <c r="BM173" i="32" s="1"/>
  <c r="AW123" i="32"/>
  <c r="BL122" i="32" s="1"/>
  <c r="BM122" i="32" s="1"/>
  <c r="AX123" i="32"/>
  <c r="AY123" i="32" s="1"/>
  <c r="AX280" i="32"/>
  <c r="AY280" i="32" s="1"/>
  <c r="AW280" i="32"/>
  <c r="AW539" i="32"/>
  <c r="AX539" i="32"/>
  <c r="AY539" i="32" s="1"/>
  <c r="AW133" i="32"/>
  <c r="AX133" i="32"/>
  <c r="AY133" i="32" s="1"/>
  <c r="AW254" i="32"/>
  <c r="AX254" i="32"/>
  <c r="AY254" i="32" s="1"/>
  <c r="AW389" i="32"/>
  <c r="AX389" i="32"/>
  <c r="AY389" i="32" s="1"/>
  <c r="AW268" i="32"/>
  <c r="AX268" i="32"/>
  <c r="AY268" i="32" s="1"/>
  <c r="AX134" i="32"/>
  <c r="AY134" i="32" s="1"/>
  <c r="AW134" i="32"/>
  <c r="AX182" i="32"/>
  <c r="AY182" i="32" s="1"/>
  <c r="AW182" i="32"/>
  <c r="AW458" i="32"/>
  <c r="AX458" i="32"/>
  <c r="AY458" i="32" s="1"/>
  <c r="AW42" i="32"/>
  <c r="AX42" i="32"/>
  <c r="AY42" i="32" s="1"/>
  <c r="AW206" i="32"/>
  <c r="AX206" i="32"/>
  <c r="AY206" i="32" s="1"/>
  <c r="AW530" i="32"/>
  <c r="AX530" i="32"/>
  <c r="AY530" i="32" s="1"/>
  <c r="AW399" i="32"/>
  <c r="AX399" i="32"/>
  <c r="AY399" i="32" s="1"/>
  <c r="AW196" i="32"/>
  <c r="AX196" i="32"/>
  <c r="AY196" i="32" s="1"/>
  <c r="AW178" i="32"/>
  <c r="AX178" i="32"/>
  <c r="AY178" i="32" s="1"/>
  <c r="AX487" i="32"/>
  <c r="AY487" i="32" s="1"/>
  <c r="AW487" i="32"/>
  <c r="BL486" i="32" s="1"/>
  <c r="BM486" i="32" s="1"/>
  <c r="AX313" i="32"/>
  <c r="AY313" i="32" s="1"/>
  <c r="AW313" i="32"/>
  <c r="AX231" i="32"/>
  <c r="AY231" i="32" s="1"/>
  <c r="AW231" i="32"/>
  <c r="AW599" i="32"/>
  <c r="BL598" i="32" s="1"/>
  <c r="BM598" i="32" s="1"/>
  <c r="AX599" i="32"/>
  <c r="AY599" i="32" s="1"/>
  <c r="AX158" i="32"/>
  <c r="AY158" i="32" s="1"/>
  <c r="AW158" i="32"/>
  <c r="BL183" i="32"/>
  <c r="BM183" i="32" s="1"/>
  <c r="AW264" i="32"/>
  <c r="AX264" i="32"/>
  <c r="AY264" i="32" s="1"/>
  <c r="AX19" i="32"/>
  <c r="AY19" i="32" s="1"/>
  <c r="AW19" i="32"/>
  <c r="BL18" i="32" s="1"/>
  <c r="BM18" i="32" s="1"/>
  <c r="AX497" i="32"/>
  <c r="AY497" i="32" s="1"/>
  <c r="AW497" i="32"/>
  <c r="AW483" i="32"/>
  <c r="AX483" i="32"/>
  <c r="AY483" i="32" s="1"/>
  <c r="AX540" i="32"/>
  <c r="AY540" i="32" s="1"/>
  <c r="AW540" i="32"/>
  <c r="AX411" i="32"/>
  <c r="AY411" i="32" s="1"/>
  <c r="AW411" i="32"/>
  <c r="BL410" i="32" s="1"/>
  <c r="BM410" i="32" s="1"/>
  <c r="AW83" i="32"/>
  <c r="BL82" i="32" s="1"/>
  <c r="BM82" i="32" s="1"/>
  <c r="AX83" i="32"/>
  <c r="AY83" i="32" s="1"/>
  <c r="AW338" i="32"/>
  <c r="AX338" i="32"/>
  <c r="AY338" i="32" s="1"/>
  <c r="BL543" i="32"/>
  <c r="BM543" i="32" s="1"/>
  <c r="AX531" i="32"/>
  <c r="AY531" i="32" s="1"/>
  <c r="AW531" i="32"/>
  <c r="AX527" i="32"/>
  <c r="AY527" i="32" s="1"/>
  <c r="AW527" i="32"/>
  <c r="AX293" i="32"/>
  <c r="AY293" i="32" s="1"/>
  <c r="AW293" i="32"/>
  <c r="AX581" i="32"/>
  <c r="AY581" i="32" s="1"/>
  <c r="AW581" i="32"/>
  <c r="AW523" i="32"/>
  <c r="AX523" i="32"/>
  <c r="AY523" i="32" s="1"/>
  <c r="BL485" i="32"/>
  <c r="BM485" i="32" s="1"/>
  <c r="AW73" i="32"/>
  <c r="BL72" i="32" s="1"/>
  <c r="BM72" i="32" s="1"/>
  <c r="AX73" i="32"/>
  <c r="AY73" i="32" s="1"/>
  <c r="AX129" i="32"/>
  <c r="AY129" i="32" s="1"/>
  <c r="AW129" i="32"/>
  <c r="BL129" i="32" s="1"/>
  <c r="BM129" i="32" s="1"/>
  <c r="AX265" i="32"/>
  <c r="AY265" i="32" s="1"/>
  <c r="AW265" i="32"/>
  <c r="AX297" i="32"/>
  <c r="AY297" i="32" s="1"/>
  <c r="AW297" i="32"/>
  <c r="AW275" i="32"/>
  <c r="AX275" i="32"/>
  <c r="AY275" i="32" s="1"/>
  <c r="AX428" i="32"/>
  <c r="AY428" i="32" s="1"/>
  <c r="AW428" i="32"/>
  <c r="BL427" i="32" s="1"/>
  <c r="BM427" i="32" s="1"/>
  <c r="AX28" i="32"/>
  <c r="AY28" i="32" s="1"/>
  <c r="AW28" i="32"/>
  <c r="AW573" i="32"/>
  <c r="AX573" i="32"/>
  <c r="AY573" i="32" s="1"/>
  <c r="AX97" i="32"/>
  <c r="AY97" i="32" s="1"/>
  <c r="AW97" i="32"/>
  <c r="BL96" i="32" s="1"/>
  <c r="BM96" i="32" s="1"/>
  <c r="AW154" i="32"/>
  <c r="AX154" i="32"/>
  <c r="AY154" i="32" s="1"/>
  <c r="AX287" i="32"/>
  <c r="AY287" i="32" s="1"/>
  <c r="AW287" i="32"/>
  <c r="AX578" i="32"/>
  <c r="AY578" i="32" s="1"/>
  <c r="AW578" i="32"/>
  <c r="AW236" i="32"/>
  <c r="BL235" i="32" s="1"/>
  <c r="BM235" i="32" s="1"/>
  <c r="AX236" i="32"/>
  <c r="AY236" i="32" s="1"/>
  <c r="AX98" i="32"/>
  <c r="AY98" i="32" s="1"/>
  <c r="AW98" i="32"/>
  <c r="AX585" i="32"/>
  <c r="AY585" i="32" s="1"/>
  <c r="AW585" i="32"/>
  <c r="AW92" i="32"/>
  <c r="AX92" i="32"/>
  <c r="AY92" i="32" s="1"/>
  <c r="AX414" i="32"/>
  <c r="AY414" i="32" s="1"/>
  <c r="AW414" i="32"/>
  <c r="AW524" i="32"/>
  <c r="AX524" i="32"/>
  <c r="AY524" i="32" s="1"/>
  <c r="AW534" i="32"/>
  <c r="AX534" i="32"/>
  <c r="AY534" i="32" s="1"/>
  <c r="AW239" i="32"/>
  <c r="BL238" i="32" s="1"/>
  <c r="BM238" i="32" s="1"/>
  <c r="AX239" i="32"/>
  <c r="AY239" i="32" s="1"/>
  <c r="AX110" i="32"/>
  <c r="AY110" i="32" s="1"/>
  <c r="AW110" i="32"/>
  <c r="AX396" i="32"/>
  <c r="AY396" i="32" s="1"/>
  <c r="AW396" i="32"/>
  <c r="AW343" i="32"/>
  <c r="BL342" i="32" s="1"/>
  <c r="BM342" i="32" s="1"/>
  <c r="AX343" i="32"/>
  <c r="AY343" i="32" s="1"/>
  <c r="AW95" i="32"/>
  <c r="BL94" i="32" s="1"/>
  <c r="BM94" i="32" s="1"/>
  <c r="AX95" i="32"/>
  <c r="AY95" i="32" s="1"/>
  <c r="AW209" i="32"/>
  <c r="AX209" i="32"/>
  <c r="AY209" i="32" s="1"/>
  <c r="AX139" i="32"/>
  <c r="AY139" i="32" s="1"/>
  <c r="AW139" i="32"/>
  <c r="AW347" i="32"/>
  <c r="AX347" i="32"/>
  <c r="AY347" i="32" s="1"/>
  <c r="AX477" i="32"/>
  <c r="AY477" i="32" s="1"/>
  <c r="AW477" i="32"/>
  <c r="BL459" i="32"/>
  <c r="BM459" i="32" s="1"/>
  <c r="AW286" i="32"/>
  <c r="AX286" i="32"/>
  <c r="AY286" i="32" s="1"/>
  <c r="AX559" i="32"/>
  <c r="AY559" i="32" s="1"/>
  <c r="AW559" i="32"/>
  <c r="BL558" i="32" s="1"/>
  <c r="BM558" i="32" s="1"/>
  <c r="AW514" i="32"/>
  <c r="AX514" i="32"/>
  <c r="AY514" i="32" s="1"/>
  <c r="AX63" i="32"/>
  <c r="AY63" i="32" s="1"/>
  <c r="AW63" i="32"/>
  <c r="AX591" i="32"/>
  <c r="AY591" i="32" s="1"/>
  <c r="AW591" i="32"/>
  <c r="AX626" i="32"/>
  <c r="AY626" i="32" s="1"/>
  <c r="AW626" i="32"/>
  <c r="H636" i="32" s="1"/>
  <c r="AW312" i="32"/>
  <c r="AX312" i="32"/>
  <c r="AY312" i="32" s="1"/>
  <c r="AX438" i="32"/>
  <c r="AY438" i="32" s="1"/>
  <c r="AW438" i="32"/>
  <c r="AW331" i="32"/>
  <c r="AX331" i="32"/>
  <c r="AY331" i="32" s="1"/>
  <c r="AW608" i="32"/>
  <c r="AX608" i="32"/>
  <c r="AY608" i="32" s="1"/>
  <c r="AX199" i="32"/>
  <c r="AY199" i="32" s="1"/>
  <c r="AW199" i="32"/>
  <c r="AX605" i="32"/>
  <c r="AY605" i="32" s="1"/>
  <c r="AW605" i="32"/>
  <c r="AW188" i="32"/>
  <c r="AX188" i="32"/>
  <c r="AY188" i="32" s="1"/>
  <c r="AX464" i="32"/>
  <c r="AY464" i="32" s="1"/>
  <c r="AW464" i="32"/>
  <c r="AX273" i="32"/>
  <c r="AY273" i="32" s="1"/>
  <c r="AW273" i="32"/>
  <c r="BL272" i="32" s="1"/>
  <c r="BM272" i="32" s="1"/>
  <c r="AW260" i="32"/>
  <c r="AX260" i="32"/>
  <c r="AY260" i="32" s="1"/>
  <c r="AW305" i="32"/>
  <c r="BL305" i="32" s="1"/>
  <c r="BM305" i="32" s="1"/>
  <c r="AX305" i="32"/>
  <c r="AY305" i="32" s="1"/>
  <c r="AX149" i="32"/>
  <c r="AY149" i="32" s="1"/>
  <c r="AW149" i="32"/>
  <c r="AX93" i="32"/>
  <c r="AY93" i="32" s="1"/>
  <c r="AW93" i="32"/>
  <c r="BL92" i="32" s="1"/>
  <c r="BM92" i="32" s="1"/>
  <c r="AW44" i="32"/>
  <c r="AX44" i="32"/>
  <c r="AY44" i="32" s="1"/>
  <c r="AX339" i="32"/>
  <c r="AY339" i="32" s="1"/>
  <c r="AW339" i="32"/>
  <c r="AX233" i="32"/>
  <c r="AY233" i="32" s="1"/>
  <c r="AW233" i="32"/>
  <c r="AW562" i="32"/>
  <c r="AX562" i="32"/>
  <c r="AY562" i="32" s="1"/>
  <c r="AW55" i="32"/>
  <c r="BL54" i="32" s="1"/>
  <c r="BM54" i="32" s="1"/>
  <c r="AX55" i="32"/>
  <c r="AY55" i="32" s="1"/>
  <c r="AX546" i="32"/>
  <c r="AY546" i="32" s="1"/>
  <c r="AW546" i="32"/>
  <c r="AW628" i="32"/>
  <c r="H637" i="32" s="1"/>
  <c r="AX628" i="32"/>
  <c r="AY628" i="32" s="1"/>
  <c r="AW601" i="32"/>
  <c r="AX601" i="32"/>
  <c r="AY601" i="32" s="1"/>
  <c r="AW91" i="32"/>
  <c r="BL90" i="32" s="1"/>
  <c r="BM90" i="32" s="1"/>
  <c r="AX91" i="32"/>
  <c r="AY91" i="32" s="1"/>
  <c r="AX594" i="32"/>
  <c r="AY594" i="32" s="1"/>
  <c r="AW594" i="32"/>
  <c r="BL593" i="32" s="1"/>
  <c r="BM593" i="32" s="1"/>
  <c r="AW382" i="32"/>
  <c r="AX382" i="32"/>
  <c r="AY382" i="32" s="1"/>
  <c r="AX330" i="32"/>
  <c r="AY330" i="32" s="1"/>
  <c r="AW330" i="32"/>
  <c r="AX613" i="32"/>
  <c r="AY613" i="32" s="1"/>
  <c r="AW613" i="32"/>
  <c r="AW475" i="32"/>
  <c r="AX475" i="32"/>
  <c r="AY475" i="32" s="1"/>
  <c r="AW302" i="32"/>
  <c r="AX302" i="32"/>
  <c r="AY302" i="32" s="1"/>
  <c r="AW270" i="32"/>
  <c r="AX270" i="32"/>
  <c r="AY270" i="32" s="1"/>
  <c r="AW583" i="32"/>
  <c r="BL582" i="32" s="1"/>
  <c r="BM582" i="32" s="1"/>
  <c r="AX583" i="32"/>
  <c r="AY583" i="32" s="1"/>
  <c r="AX213" i="32"/>
  <c r="AY213" i="32" s="1"/>
  <c r="AW213" i="32"/>
  <c r="AW126" i="32"/>
  <c r="AX126" i="32"/>
  <c r="AY126" i="32" s="1"/>
  <c r="AW165" i="32"/>
  <c r="AX165" i="32"/>
  <c r="AY165" i="32" s="1"/>
  <c r="AW364" i="32"/>
  <c r="AX364" i="32"/>
  <c r="AY364" i="32" s="1"/>
  <c r="AX229" i="32"/>
  <c r="AY229" i="32" s="1"/>
  <c r="AW229" i="32"/>
  <c r="AX36" i="32"/>
  <c r="AY36" i="32" s="1"/>
  <c r="AW36" i="32"/>
  <c r="AX602" i="32"/>
  <c r="AY602" i="32" s="1"/>
  <c r="AW602" i="32"/>
  <c r="BL423" i="32"/>
  <c r="BM423" i="32" s="1"/>
  <c r="AW230" i="32"/>
  <c r="AX230" i="32"/>
  <c r="AY230" i="32" s="1"/>
  <c r="AW500" i="32"/>
  <c r="AX500" i="32"/>
  <c r="AY500" i="32" s="1"/>
  <c r="AX584" i="32"/>
  <c r="AY584" i="32" s="1"/>
  <c r="AW584" i="32"/>
  <c r="AX340" i="32"/>
  <c r="AY340" i="32" s="1"/>
  <c r="AW340" i="32"/>
  <c r="BL151" i="32"/>
  <c r="BM151" i="32" s="1"/>
  <c r="AW263" i="32"/>
  <c r="AX263" i="32"/>
  <c r="AY263" i="32" s="1"/>
  <c r="AX415" i="32"/>
  <c r="AY415" i="32" s="1"/>
  <c r="AW415" i="32"/>
  <c r="AW148" i="32"/>
  <c r="AX148" i="32"/>
  <c r="AY148" i="32" s="1"/>
  <c r="AX119" i="32"/>
  <c r="AY119" i="32" s="1"/>
  <c r="AW119" i="32"/>
  <c r="AX600" i="32"/>
  <c r="AY600" i="32" s="1"/>
  <c r="AW600" i="32"/>
  <c r="AX327" i="32"/>
  <c r="AY327" i="32" s="1"/>
  <c r="AW327" i="32"/>
  <c r="AW476" i="32"/>
  <c r="AX476" i="32"/>
  <c r="AY476" i="32" s="1"/>
  <c r="AX501" i="32"/>
  <c r="AY501" i="32" s="1"/>
  <c r="AW501" i="32"/>
  <c r="BL269" i="32" l="1"/>
  <c r="BM269" i="32" s="1"/>
  <c r="BL50" i="32"/>
  <c r="BM50" i="32" s="1"/>
  <c r="BL104" i="32"/>
  <c r="BM104" i="32" s="1"/>
  <c r="BL451" i="32"/>
  <c r="BM451" i="32" s="1"/>
  <c r="BL291" i="32"/>
  <c r="BM291" i="32" s="1"/>
  <c r="BL216" i="32"/>
  <c r="BM216" i="32" s="1"/>
  <c r="BL610" i="32"/>
  <c r="BM610" i="32" s="1"/>
  <c r="BL521" i="32"/>
  <c r="BM521" i="32" s="1"/>
  <c r="BL537" i="32"/>
  <c r="BM537" i="32" s="1"/>
  <c r="BL307" i="32"/>
  <c r="BM307" i="32" s="1"/>
  <c r="BL285" i="32"/>
  <c r="BM285" i="32" s="1"/>
  <c r="BL561" i="32"/>
  <c r="BM561" i="32" s="1"/>
  <c r="BL279" i="32"/>
  <c r="BM279" i="32" s="1"/>
  <c r="BL317" i="32"/>
  <c r="BM317" i="32" s="1"/>
  <c r="BL253" i="32"/>
  <c r="BM253" i="32" s="1"/>
  <c r="BL208" i="32"/>
  <c r="BM208" i="32" s="1"/>
  <c r="BL267" i="32"/>
  <c r="BM267" i="32" s="1"/>
  <c r="BL385" i="32"/>
  <c r="BM385" i="32" s="1"/>
  <c r="BL179" i="32"/>
  <c r="BM179" i="32" s="1"/>
  <c r="BL316" i="32"/>
  <c r="BM316" i="32" s="1"/>
  <c r="BL323" i="32"/>
  <c r="BM323" i="32" s="1"/>
  <c r="BL294" i="32"/>
  <c r="BM294" i="32" s="1"/>
  <c r="BL424" i="32"/>
  <c r="BM424" i="32" s="1"/>
  <c r="BL299" i="32"/>
  <c r="BM299" i="32" s="1"/>
  <c r="BL195" i="32"/>
  <c r="BM195" i="32" s="1"/>
  <c r="BL381" i="32"/>
  <c r="BM381" i="32" s="1"/>
  <c r="BL375" i="32"/>
  <c r="BM375" i="32" s="1"/>
  <c r="BL311" i="32"/>
  <c r="BM311" i="32" s="1"/>
  <c r="BL60" i="32"/>
  <c r="BM60" i="32" s="1"/>
  <c r="BL533" i="32"/>
  <c r="BM533" i="32" s="1"/>
  <c r="BL20" i="32"/>
  <c r="BM20" i="32" s="1"/>
  <c r="BL153" i="32"/>
  <c r="BM153" i="32" s="1"/>
  <c r="BL590" i="32"/>
  <c r="BM590" i="32" s="1"/>
  <c r="BL109" i="32"/>
  <c r="BM109" i="32" s="1"/>
  <c r="BL492" i="32"/>
  <c r="BM492" i="32" s="1"/>
  <c r="BL556" i="32"/>
  <c r="BM556" i="32" s="1"/>
  <c r="BL65" i="32"/>
  <c r="BM65" i="32" s="1"/>
  <c r="BL141" i="32"/>
  <c r="BM141" i="32" s="1"/>
  <c r="BL283" i="32"/>
  <c r="BM283" i="32" s="1"/>
  <c r="BL436" i="32"/>
  <c r="BM436" i="32" s="1"/>
  <c r="BL580" i="32"/>
  <c r="BM580" i="32" s="1"/>
  <c r="BL118" i="32"/>
  <c r="BM118" i="32" s="1"/>
  <c r="BL337" i="32"/>
  <c r="BM337" i="32" s="1"/>
  <c r="BL100" i="32"/>
  <c r="BM100" i="32" s="1"/>
  <c r="BL507" i="32"/>
  <c r="BM507" i="32" s="1"/>
  <c r="BL395" i="32"/>
  <c r="BM395" i="32" s="1"/>
  <c r="BL472" i="32"/>
  <c r="BM472" i="32" s="1"/>
  <c r="BL292" i="32"/>
  <c r="BM292" i="32" s="1"/>
  <c r="BL329" i="32"/>
  <c r="BM329" i="32" s="1"/>
  <c r="BL499" i="32"/>
  <c r="BM499" i="32" s="1"/>
  <c r="BL301" i="32"/>
  <c r="BM301" i="32" s="1"/>
  <c r="BL138" i="32"/>
  <c r="BM138" i="32" s="1"/>
  <c r="BL255" i="32"/>
  <c r="BM255" i="32" s="1"/>
  <c r="BL57" i="32"/>
  <c r="BM57" i="32" s="1"/>
  <c r="BL261" i="32"/>
  <c r="BM261" i="32" s="1"/>
  <c r="BL157" i="32"/>
  <c r="BM157" i="32" s="1"/>
  <c r="BL371" i="32"/>
  <c r="BM371" i="32" s="1"/>
  <c r="BL571" i="32"/>
  <c r="BM571" i="32" s="1"/>
  <c r="BL532" i="32"/>
  <c r="BM532" i="32" s="1"/>
  <c r="BL217" i="32"/>
  <c r="BM217" i="32" s="1"/>
  <c r="BL443" i="32"/>
  <c r="BM443" i="32" s="1"/>
  <c r="BL518" i="32"/>
  <c r="BM518" i="32" s="1"/>
  <c r="BL463" i="32"/>
  <c r="BM463" i="32" s="1"/>
  <c r="BL41" i="32"/>
  <c r="BM41" i="32" s="1"/>
  <c r="BL430" i="32"/>
  <c r="BM430" i="32" s="1"/>
  <c r="BL295" i="32"/>
  <c r="BM295" i="32" s="1"/>
  <c r="BL262" i="32"/>
  <c r="BM262" i="32" s="1"/>
  <c r="BL111" i="32"/>
  <c r="BM111" i="32" s="1"/>
  <c r="BL308" i="32"/>
  <c r="BM308" i="32" s="1"/>
  <c r="BL607" i="32"/>
  <c r="BM607" i="32" s="1"/>
  <c r="BL529" i="32"/>
  <c r="BM529" i="32" s="1"/>
  <c r="BL61" i="32"/>
  <c r="BM61" i="32" s="1"/>
  <c r="BL369" i="32"/>
  <c r="BM369" i="32" s="1"/>
  <c r="BL547" i="32"/>
  <c r="BM547" i="32" s="1"/>
  <c r="BL59" i="32"/>
  <c r="BM59" i="32" s="1"/>
  <c r="BL189" i="32"/>
  <c r="BM189" i="32" s="1"/>
  <c r="BL363" i="32"/>
  <c r="BM363" i="32" s="1"/>
  <c r="BL577" i="32"/>
  <c r="BM577" i="32" s="1"/>
  <c r="BL379" i="32"/>
  <c r="BM379" i="32" s="1"/>
  <c r="BL33" i="32"/>
  <c r="BM33" i="32" s="1"/>
  <c r="BL361" i="32"/>
  <c r="BM361" i="32" s="1"/>
  <c r="BL160" i="32"/>
  <c r="BM160" i="32" s="1"/>
  <c r="BL99" i="32"/>
  <c r="BM99" i="32" s="1"/>
  <c r="BL185" i="32"/>
  <c r="BM185" i="32" s="1"/>
  <c r="BL77" i="32"/>
  <c r="BM77" i="32" s="1"/>
  <c r="BL277" i="32"/>
  <c r="BM277" i="32" s="1"/>
  <c r="BL240" i="32"/>
  <c r="BM240" i="32" s="1"/>
  <c r="BL462" i="32"/>
  <c r="BM462" i="32" s="1"/>
  <c r="BL557" i="32"/>
  <c r="BM557" i="32" s="1"/>
  <c r="BL429" i="32"/>
  <c r="BM429" i="32" s="1"/>
  <c r="BL132" i="32"/>
  <c r="BM132" i="32" s="1"/>
  <c r="BL204" i="32"/>
  <c r="BM204" i="32" s="1"/>
  <c r="BL357" i="32"/>
  <c r="BM357" i="32" s="1"/>
  <c r="BL212" i="32"/>
  <c r="BM212" i="32" s="1"/>
  <c r="BL444" i="32"/>
  <c r="BM444" i="32" s="1"/>
  <c r="BL493" i="32"/>
  <c r="BM493" i="32" s="1"/>
  <c r="BL67" i="32"/>
  <c r="BM67" i="32" s="1"/>
  <c r="BL309" i="32"/>
  <c r="BM309" i="32" s="1"/>
  <c r="BL417" i="32"/>
  <c r="BM417" i="32" s="1"/>
  <c r="BL251" i="32"/>
  <c r="BM251" i="32" s="1"/>
  <c r="BL147" i="32"/>
  <c r="BM147" i="32" s="1"/>
  <c r="BL457" i="32"/>
  <c r="BM457" i="32" s="1"/>
  <c r="BL388" i="32"/>
  <c r="BM388" i="32" s="1"/>
  <c r="BL248" i="32"/>
  <c r="BM248" i="32" s="1"/>
  <c r="BL599" i="32"/>
  <c r="BM599" i="32" s="1"/>
  <c r="BL576" i="32"/>
  <c r="BM576" i="32" s="1"/>
  <c r="BL346" i="32"/>
  <c r="BM346" i="32" s="1"/>
  <c r="BL604" i="32"/>
  <c r="BM604" i="32" s="1"/>
  <c r="BL413" i="32"/>
  <c r="BM413" i="32" s="1"/>
  <c r="BL15" i="32"/>
  <c r="BM15" i="32" s="1"/>
  <c r="BL538" i="32"/>
  <c r="BM538" i="32" s="1"/>
  <c r="BL595" i="32"/>
  <c r="BM595" i="32" s="1"/>
  <c r="BM70" i="32"/>
  <c r="BL513" i="32"/>
  <c r="BM513" i="32" s="1"/>
  <c r="BL320" i="32"/>
  <c r="BM320" i="32" s="1"/>
  <c r="BL365" i="32"/>
  <c r="BM365" i="32" s="1"/>
  <c r="BL603" i="32"/>
  <c r="BM603" i="32" s="1"/>
  <c r="BL508" i="32"/>
  <c r="BM508" i="32" s="1"/>
  <c r="BL517" i="32"/>
  <c r="BM517" i="32" s="1"/>
  <c r="BL572" i="32"/>
  <c r="BM572" i="32" s="1"/>
  <c r="BL137" i="32"/>
  <c r="BM137" i="32" s="1"/>
  <c r="BL373" i="32"/>
  <c r="BM373" i="32" s="1"/>
  <c r="BL322" i="32"/>
  <c r="BM322" i="32" s="1"/>
  <c r="BL542" i="32"/>
  <c r="BM542" i="32" s="1"/>
  <c r="BL522" i="32"/>
  <c r="BM522" i="32" s="1"/>
  <c r="BL447" i="32"/>
  <c r="BM447" i="32" s="1"/>
  <c r="BL579" i="32"/>
  <c r="BM579" i="32" s="1"/>
  <c r="BL589" i="32"/>
  <c r="BM589" i="32" s="1"/>
  <c r="BL449" i="32"/>
  <c r="BM449" i="32" s="1"/>
  <c r="BL27" i="32"/>
  <c r="BM27" i="32" s="1"/>
  <c r="BL338" i="32"/>
  <c r="BM338" i="32" s="1"/>
  <c r="BL177" i="32"/>
  <c r="BM177" i="32" s="1"/>
  <c r="BL345" i="32"/>
  <c r="BM345" i="32" s="1"/>
  <c r="BL456" i="32"/>
  <c r="BM456" i="32" s="1"/>
  <c r="BL474" i="32"/>
  <c r="BM474" i="32" s="1"/>
  <c r="BL174" i="32"/>
  <c r="BM174" i="32" s="1"/>
  <c r="BL286" i="32"/>
  <c r="BM286" i="32" s="1"/>
  <c r="BL180" i="32"/>
  <c r="BM180" i="32" s="1"/>
  <c r="BL568" i="32"/>
  <c r="BM568" i="32" s="1"/>
  <c r="BL581" i="32"/>
  <c r="BM581" i="32" s="1"/>
  <c r="BL133" i="32"/>
  <c r="BM133" i="32" s="1"/>
  <c r="BL246" i="32"/>
  <c r="BM246" i="32" s="1"/>
  <c r="BL563" i="32"/>
  <c r="BM563" i="32" s="1"/>
  <c r="BL328" i="32"/>
  <c r="BM328" i="32" s="1"/>
  <c r="BL475" i="32"/>
  <c r="BM475" i="32" s="1"/>
  <c r="BL154" i="32"/>
  <c r="BM154" i="32" s="1"/>
  <c r="BL389" i="32"/>
  <c r="BM389" i="32" s="1"/>
  <c r="BL115" i="32"/>
  <c r="BM115" i="32" s="1"/>
  <c r="BL500" i="32"/>
  <c r="BM500" i="32" s="1"/>
  <c r="BL229" i="32"/>
  <c r="BM229" i="32" s="1"/>
  <c r="BL228" i="32"/>
  <c r="BM228" i="32" s="1"/>
  <c r="BL330" i="32"/>
  <c r="BM330" i="32" s="1"/>
  <c r="BL97" i="32"/>
  <c r="BM97" i="32" s="1"/>
  <c r="BL205" i="32"/>
  <c r="BM205" i="32" s="1"/>
  <c r="BL310" i="32"/>
  <c r="BM310" i="32" s="1"/>
  <c r="BL55" i="32"/>
  <c r="BM55" i="32" s="1"/>
  <c r="BL164" i="32"/>
  <c r="BM164" i="32" s="1"/>
  <c r="BL163" i="32"/>
  <c r="BM163" i="32" s="1"/>
  <c r="BL366" i="32"/>
  <c r="BM366" i="32" s="1"/>
  <c r="BL131" i="32"/>
  <c r="BM131" i="32" s="1"/>
  <c r="BL130" i="32"/>
  <c r="BM130" i="32" s="1"/>
  <c r="BL448" i="32"/>
  <c r="BM448" i="32" s="1"/>
  <c r="BL142" i="32"/>
  <c r="BM142" i="32" s="1"/>
  <c r="BL274" i="32"/>
  <c r="BM274" i="32" s="1"/>
  <c r="BL273" i="32"/>
  <c r="BM273" i="32" s="1"/>
  <c r="BL505" i="32"/>
  <c r="BM505" i="32" s="1"/>
  <c r="BL504" i="32"/>
  <c r="BM504" i="32" s="1"/>
  <c r="BL101" i="32"/>
  <c r="BM101" i="32" s="1"/>
  <c r="BL245" i="32"/>
  <c r="BM245" i="32" s="1"/>
  <c r="BL244" i="32"/>
  <c r="BM244" i="32" s="1"/>
  <c r="BL494" i="32"/>
  <c r="BM494" i="32" s="1"/>
  <c r="BL218" i="32"/>
  <c r="BM218" i="32" s="1"/>
  <c r="BL187" i="32"/>
  <c r="BM187" i="32" s="1"/>
  <c r="BL186" i="32"/>
  <c r="BM186" i="32" s="1"/>
  <c r="BL125" i="32"/>
  <c r="BM125" i="32" s="1"/>
  <c r="BL124" i="32"/>
  <c r="BM124" i="32" s="1"/>
  <c r="BL502" i="32"/>
  <c r="BM502" i="32" s="1"/>
  <c r="BL284" i="32"/>
  <c r="BM284" i="32" s="1"/>
  <c r="BL555" i="32"/>
  <c r="BM555" i="32" s="1"/>
  <c r="BL52" i="32"/>
  <c r="BM52" i="32" s="1"/>
  <c r="BL254" i="32"/>
  <c r="BM254" i="32" s="1"/>
  <c r="BL149" i="32"/>
  <c r="BM149" i="32" s="1"/>
  <c r="BL150" i="32"/>
  <c r="BM150" i="32" s="1"/>
  <c r="BL347" i="32"/>
  <c r="BM347" i="32" s="1"/>
  <c r="BL89" i="32"/>
  <c r="BM89" i="32" s="1"/>
  <c r="BL387" i="32"/>
  <c r="BM387" i="32" s="1"/>
  <c r="BL405" i="32"/>
  <c r="BM405" i="32" s="1"/>
  <c r="BL382" i="32"/>
  <c r="BM382" i="32" s="1"/>
  <c r="BL420" i="32"/>
  <c r="BM420" i="32" s="1"/>
  <c r="BL419" i="32"/>
  <c r="BM419" i="32" s="1"/>
  <c r="BL107" i="32"/>
  <c r="BM107" i="32" s="1"/>
  <c r="BL106" i="32"/>
  <c r="BM106" i="32" s="1"/>
  <c r="BL546" i="32"/>
  <c r="BM546" i="32" s="1"/>
  <c r="BL545" i="32"/>
  <c r="BM545" i="32" s="1"/>
  <c r="BL340" i="32"/>
  <c r="BM340" i="32" s="1"/>
  <c r="BL339" i="32"/>
  <c r="BM339" i="32" s="1"/>
  <c r="BL613" i="32"/>
  <c r="BM613" i="32" s="1"/>
  <c r="BL612" i="32"/>
  <c r="BM612" i="32" s="1"/>
  <c r="BL438" i="32"/>
  <c r="BM438" i="32" s="1"/>
  <c r="BL437" i="32"/>
  <c r="BM437" i="32" s="1"/>
  <c r="BL62" i="32"/>
  <c r="BM62" i="32" s="1"/>
  <c r="BL63" i="32"/>
  <c r="BM63" i="32" s="1"/>
  <c r="BL523" i="32"/>
  <c r="BM523" i="32" s="1"/>
  <c r="BL540" i="32"/>
  <c r="BM540" i="32" s="1"/>
  <c r="BL539" i="32"/>
  <c r="BM539" i="32" s="1"/>
  <c r="BL230" i="32"/>
  <c r="BM230" i="32" s="1"/>
  <c r="BL524" i="32"/>
  <c r="BM524" i="32" s="1"/>
  <c r="BL190" i="32"/>
  <c r="BM190" i="32" s="1"/>
  <c r="BL605" i="32"/>
  <c r="BM605" i="32" s="1"/>
  <c r="BL362" i="32"/>
  <c r="BM362" i="32" s="1"/>
  <c r="BL73" i="32"/>
  <c r="BM73" i="32" s="1"/>
  <c r="BL464" i="32"/>
  <c r="BM464" i="32" s="1"/>
  <c r="BL304" i="32"/>
  <c r="BM304" i="32" s="1"/>
  <c r="BL303" i="32"/>
  <c r="BM303" i="32" s="1"/>
  <c r="BL491" i="32"/>
  <c r="BM491" i="32" s="1"/>
  <c r="BL119" i="32"/>
  <c r="BM119" i="32" s="1"/>
  <c r="BL553" i="32"/>
  <c r="BM553" i="32" s="1"/>
  <c r="BL554" i="32"/>
  <c r="BM554" i="32" s="1"/>
  <c r="BL376" i="32"/>
  <c r="BM376" i="32" s="1"/>
  <c r="BL514" i="32"/>
  <c r="BM514" i="32" s="1"/>
  <c r="BL19" i="32"/>
  <c r="BM19" i="32" s="1"/>
  <c r="BL412" i="32"/>
  <c r="BM412" i="32" s="1"/>
  <c r="BL411" i="32"/>
  <c r="BM411" i="32" s="1"/>
  <c r="BL103" i="32"/>
  <c r="BM103" i="32" s="1"/>
  <c r="BL121" i="32"/>
  <c r="BM121" i="32" s="1"/>
  <c r="BL56" i="32"/>
  <c r="BM56" i="32" s="1"/>
  <c r="U13" i="32"/>
  <c r="B18" i="32"/>
  <c r="B25" i="32"/>
  <c r="BL201" i="32"/>
  <c r="BM201" i="32" s="1"/>
  <c r="BL314" i="32"/>
  <c r="BM314" i="32" s="1"/>
  <c r="BL250" i="32"/>
  <c r="BM250" i="32" s="1"/>
  <c r="BL359" i="32"/>
  <c r="BM359" i="32" s="1"/>
  <c r="BL232" i="32"/>
  <c r="BM232" i="32" s="1"/>
  <c r="BL231" i="32"/>
  <c r="BM231" i="32" s="1"/>
  <c r="BL276" i="32"/>
  <c r="BM276" i="32" s="1"/>
  <c r="BL516" i="32"/>
  <c r="BM516" i="32" s="1"/>
  <c r="BL421" i="32"/>
  <c r="BM421" i="32" s="1"/>
  <c r="BL611" i="32"/>
  <c r="BM611" i="32" s="1"/>
  <c r="BL256" i="32"/>
  <c r="BM256" i="32" s="1"/>
  <c r="BL98" i="32"/>
  <c r="BM98" i="32" s="1"/>
  <c r="BL332" i="32"/>
  <c r="BM332" i="32" s="1"/>
  <c r="BL331" i="32"/>
  <c r="BM331" i="32" s="1"/>
  <c r="BL380" i="32"/>
  <c r="BM380" i="32" s="1"/>
  <c r="BL263" i="32"/>
  <c r="BM263" i="32" s="1"/>
  <c r="BL220" i="32"/>
  <c r="BM220" i="32" s="1"/>
  <c r="BL219" i="32"/>
  <c r="BM219" i="32" s="1"/>
  <c r="BL399" i="32"/>
  <c r="BM399" i="32" s="1"/>
  <c r="BL128" i="32"/>
  <c r="BM128" i="32" s="1"/>
  <c r="BL158" i="32"/>
  <c r="BM158" i="32" s="1"/>
  <c r="BL392" i="32"/>
  <c r="BM392" i="32" s="1"/>
  <c r="BL393" i="32"/>
  <c r="BM393" i="32" s="1"/>
  <c r="BL390" i="32"/>
  <c r="BM390" i="32" s="1"/>
  <c r="BL608" i="32"/>
  <c r="BM608" i="32" s="1"/>
  <c r="BL498" i="32"/>
  <c r="BM498" i="32" s="1"/>
  <c r="BL578" i="32"/>
  <c r="BM578" i="32" s="1"/>
  <c r="BL318" i="32"/>
  <c r="BM318" i="32" s="1"/>
  <c r="BL367" i="32"/>
  <c r="BM367" i="32" s="1"/>
  <c r="BL87" i="32"/>
  <c r="BM87" i="32" s="1"/>
  <c r="BL525" i="32"/>
  <c r="BM525" i="32" s="1"/>
  <c r="BL224" i="32"/>
  <c r="BM224" i="32" s="1"/>
  <c r="BL531" i="32"/>
  <c r="BM531" i="32" s="1"/>
  <c r="BL259" i="32"/>
  <c r="BM259" i="32" s="1"/>
  <c r="BL258" i="32"/>
  <c r="BM258" i="32" s="1"/>
  <c r="AX13" i="32"/>
  <c r="AY13" i="32" s="1"/>
  <c r="AW13" i="32"/>
  <c r="BL13" i="32" s="1"/>
  <c r="BL95" i="32"/>
  <c r="BM95" i="32" s="1"/>
  <c r="BL194" i="32"/>
  <c r="BM194" i="32" s="1"/>
  <c r="BL66" i="32"/>
  <c r="BM66" i="32" s="1"/>
  <c r="BL68" i="32"/>
  <c r="BM68" i="32" s="1"/>
  <c r="BL588" i="32"/>
  <c r="BM588" i="32" s="1"/>
  <c r="BL587" i="32"/>
  <c r="BM587" i="32" s="1"/>
  <c r="BL479" i="32"/>
  <c r="BM479" i="32" s="1"/>
  <c r="BL58" i="32"/>
  <c r="BM58" i="32" s="1"/>
  <c r="BL541" i="32"/>
  <c r="BM541" i="32" s="1"/>
  <c r="BL327" i="32"/>
  <c r="BM327" i="32" s="1"/>
  <c r="BL326" i="32"/>
  <c r="BM326" i="32" s="1"/>
  <c r="BL199" i="32"/>
  <c r="BM199" i="32" s="1"/>
  <c r="BL198" i="32"/>
  <c r="BM198" i="32" s="1"/>
  <c r="BL477" i="32"/>
  <c r="BM477" i="32" s="1"/>
  <c r="BL476" i="32"/>
  <c r="BM476" i="32" s="1"/>
  <c r="BL313" i="32"/>
  <c r="BM313" i="32" s="1"/>
  <c r="BL312" i="32"/>
  <c r="BM312" i="32" s="1"/>
  <c r="BL162" i="32"/>
  <c r="BM162" i="32" s="1"/>
  <c r="BL161" i="32"/>
  <c r="BM161" i="32" s="1"/>
  <c r="BL597" i="32"/>
  <c r="BM597" i="32" s="1"/>
  <c r="BL596" i="32"/>
  <c r="BM596" i="32" s="1"/>
  <c r="BL400" i="32"/>
  <c r="BM400" i="32" s="1"/>
  <c r="BL401" i="32"/>
  <c r="BM401" i="32" s="1"/>
  <c r="BL44" i="32"/>
  <c r="BM44" i="32" s="1"/>
  <c r="BL171" i="32"/>
  <c r="BM171" i="32" s="1"/>
  <c r="BL473" i="32"/>
  <c r="BM473" i="32" s="1"/>
  <c r="BL45" i="32"/>
  <c r="BM45" i="32" s="1"/>
  <c r="BL594" i="32"/>
  <c r="BM594" i="32" s="1"/>
  <c r="BL483" i="32"/>
  <c r="BM483" i="32" s="1"/>
  <c r="BL188" i="32"/>
  <c r="BM188" i="32" s="1"/>
  <c r="BL193" i="32"/>
  <c r="BM193" i="32" s="1"/>
  <c r="BL140" i="32"/>
  <c r="BM140" i="32" s="1"/>
  <c r="BL343" i="32"/>
  <c r="BM343" i="32" s="1"/>
  <c r="BL117" i="32"/>
  <c r="BM117" i="32" s="1"/>
  <c r="BL116" i="32"/>
  <c r="BM116" i="32" s="1"/>
  <c r="BL569" i="32"/>
  <c r="BM569" i="32" s="1"/>
  <c r="BL260" i="32"/>
  <c r="BM260" i="32" s="1"/>
  <c r="BL209" i="32"/>
  <c r="BM209" i="32" s="1"/>
  <c r="BL559" i="32"/>
  <c r="BM559" i="32" s="1"/>
  <c r="BL351" i="32"/>
  <c r="BM351" i="32" s="1"/>
  <c r="BL319" i="32"/>
  <c r="BM319" i="32" s="1"/>
  <c r="BL349" i="32"/>
  <c r="BM349" i="32" s="1"/>
  <c r="BL534" i="32"/>
  <c r="BM534" i="32" s="1"/>
  <c r="BL535" i="32"/>
  <c r="BM535" i="32" s="1"/>
  <c r="BL315" i="32"/>
  <c r="BM315" i="32" s="1"/>
  <c r="BL113" i="32"/>
  <c r="BM113" i="32" s="1"/>
  <c r="BL112" i="32"/>
  <c r="BM112" i="32" s="1"/>
  <c r="BL414" i="32"/>
  <c r="BM414" i="32" s="1"/>
  <c r="BL415" i="32"/>
  <c r="BM415" i="32" s="1"/>
  <c r="BL600" i="32"/>
  <c r="BM600" i="32" s="1"/>
  <c r="BL206" i="32"/>
  <c r="BM206" i="32" s="1"/>
  <c r="BL302" i="32"/>
  <c r="BM302" i="32" s="1"/>
  <c r="BL289" i="32"/>
  <c r="BM289" i="32" s="1"/>
  <c r="BL288" i="32"/>
  <c r="BM288" i="32" s="1"/>
  <c r="BL46" i="32"/>
  <c r="BM46" i="32" s="1"/>
  <c r="BL353" i="32"/>
  <c r="BM353" i="32" s="1"/>
  <c r="BL275" i="32"/>
  <c r="BM275" i="32" s="1"/>
  <c r="BL165" i="32"/>
  <c r="BM165" i="32" s="1"/>
  <c r="BL567" i="32"/>
  <c r="BM567" i="32" s="1"/>
  <c r="BL548" i="32"/>
  <c r="BM548" i="32" s="1"/>
  <c r="BL196" i="32"/>
  <c r="BM196" i="32" s="1"/>
  <c r="BL178" i="32"/>
  <c r="BM178" i="32" s="1"/>
  <c r="BL515" i="32"/>
  <c r="BM515" i="32" s="1"/>
  <c r="BL407" i="32"/>
  <c r="BM407" i="32" s="1"/>
  <c r="BL406" i="32"/>
  <c r="BM406" i="32" s="1"/>
  <c r="BL233" i="32"/>
  <c r="BM233" i="32" s="1"/>
  <c r="BL234" i="32"/>
  <c r="BM234" i="32" s="1"/>
  <c r="BL203" i="32"/>
  <c r="BM203" i="32" s="1"/>
  <c r="BL202" i="32"/>
  <c r="BM202" i="32" s="1"/>
  <c r="BL211" i="32"/>
  <c r="BM211" i="32" s="1"/>
  <c r="BL210" i="32"/>
  <c r="BM210" i="32" s="1"/>
  <c r="BL93" i="32"/>
  <c r="BM93" i="32" s="1"/>
  <c r="BL374" i="32"/>
  <c r="BM374" i="32" s="1"/>
  <c r="BL169" i="32"/>
  <c r="BM169" i="32" s="1"/>
  <c r="BL168" i="32"/>
  <c r="BM168" i="32" s="1"/>
  <c r="BL271" i="32"/>
  <c r="BM271" i="32" s="1"/>
  <c r="BL583" i="32"/>
  <c r="BM583" i="32" s="1"/>
  <c r="BL602" i="32"/>
  <c r="BM602" i="32" s="1"/>
  <c r="BL601" i="32"/>
  <c r="BM601" i="32" s="1"/>
  <c r="BL36" i="32"/>
  <c r="BM36" i="32" s="1"/>
  <c r="BL35" i="32"/>
  <c r="BM35" i="32" s="1"/>
  <c r="BL148" i="32"/>
  <c r="BM148" i="32" s="1"/>
  <c r="BL91" i="32"/>
  <c r="BM91" i="32" s="1"/>
  <c r="BL297" i="32"/>
  <c r="BM297" i="32" s="1"/>
  <c r="BL296" i="32"/>
  <c r="BM296" i="32" s="1"/>
  <c r="BL527" i="32"/>
  <c r="BM527" i="32" s="1"/>
  <c r="BL526" i="32"/>
  <c r="BM526" i="32" s="1"/>
  <c r="BL497" i="32"/>
  <c r="BM497" i="32" s="1"/>
  <c r="BL496" i="32"/>
  <c r="BM496" i="32" s="1"/>
  <c r="BL181" i="32"/>
  <c r="BM181" i="32" s="1"/>
  <c r="BL270" i="32"/>
  <c r="BM270" i="32" s="1"/>
  <c r="BL83" i="32"/>
  <c r="BM83" i="32" s="1"/>
  <c r="BL335" i="32"/>
  <c r="BM335" i="32" s="1"/>
  <c r="BL334" i="32"/>
  <c r="BM334" i="32" s="1"/>
  <c r="BL501" i="32"/>
  <c r="BM501" i="32" s="1"/>
  <c r="BL38" i="32"/>
  <c r="BM38" i="32" s="1"/>
  <c r="BL39" i="32"/>
  <c r="BM39" i="32" s="1"/>
  <c r="BL123" i="32"/>
  <c r="BM123" i="32" s="1"/>
  <c r="BL562" i="32"/>
  <c r="BM562" i="32" s="1"/>
  <c r="BL21" i="32"/>
  <c r="BM21" i="32" s="1"/>
  <c r="BL575" i="32"/>
  <c r="BM575" i="32" s="1"/>
  <c r="BL207" i="32"/>
  <c r="BM207" i="32" s="1"/>
  <c r="BL354" i="32"/>
  <c r="BM354" i="32" s="1"/>
  <c r="BL278" i="32"/>
  <c r="BM278" i="32" s="1"/>
  <c r="BL398" i="32"/>
  <c r="BM398" i="32" s="1"/>
  <c r="BL397" i="32"/>
  <c r="BM397" i="32" s="1"/>
  <c r="BL49" i="32"/>
  <c r="BM49" i="32" s="1"/>
  <c r="BL237" i="32"/>
  <c r="BM237" i="32" s="1"/>
  <c r="BL236" i="32"/>
  <c r="BM236" i="32" s="1"/>
  <c r="BL26" i="32"/>
  <c r="BM26" i="32" s="1"/>
  <c r="BL84" i="32"/>
  <c r="BM84" i="32" s="1"/>
  <c r="BL29" i="32"/>
  <c r="BM29" i="32" s="1"/>
  <c r="BL28" i="32"/>
  <c r="BM28" i="32" s="1"/>
  <c r="BL182" i="32"/>
  <c r="BM182" i="32" s="1"/>
  <c r="BL324" i="32"/>
  <c r="BM324" i="32" s="1"/>
  <c r="BL573" i="32"/>
  <c r="BM573" i="32" s="1"/>
  <c r="BL200" i="32"/>
  <c r="BM200" i="32" s="1"/>
  <c r="BL239" i="32"/>
  <c r="BM239" i="32" s="1"/>
  <c r="BL564" i="32"/>
  <c r="BM564" i="32" s="1"/>
  <c r="BL241" i="32"/>
  <c r="BM241" i="32" s="1"/>
  <c r="BL487" i="32"/>
  <c r="BM487" i="32" s="1"/>
  <c r="BL484" i="32"/>
  <c r="BM484" i="32" s="1"/>
  <c r="BL455" i="32"/>
  <c r="BM455" i="32" s="1"/>
  <c r="BL428" i="32"/>
  <c r="BM428" i="32" s="1"/>
  <c r="BL409" i="32"/>
  <c r="BM409" i="32" s="1"/>
  <c r="BL585" i="32"/>
  <c r="BM585" i="32" s="1"/>
  <c r="BL584" i="32"/>
  <c r="BM584" i="32" s="1"/>
  <c r="BL404" i="32"/>
  <c r="BM404" i="32" s="1"/>
  <c r="BL403" i="32"/>
  <c r="BM403" i="32" s="1"/>
  <c r="BL25" i="32"/>
  <c r="BM25" i="32" s="1"/>
  <c r="BL213" i="32"/>
  <c r="BM213" i="32" s="1"/>
  <c r="BL214" i="32"/>
  <c r="BM214" i="32" s="1"/>
  <c r="BL134" i="32"/>
  <c r="BM134" i="32" s="1"/>
  <c r="BL446" i="32"/>
  <c r="BM446" i="32" s="1"/>
  <c r="BL364" i="32"/>
  <c r="BM364" i="32" s="1"/>
  <c r="BL81" i="32"/>
  <c r="BM81" i="32" s="1"/>
  <c r="BL221" i="32"/>
  <c r="BM221" i="32" s="1"/>
  <c r="BL222" i="32"/>
  <c r="BM222" i="32" s="1"/>
  <c r="BL252" i="32"/>
  <c r="BM252" i="32" s="1"/>
  <c r="BL268" i="32"/>
  <c r="BM268" i="32" s="1"/>
  <c r="BL249" i="32"/>
  <c r="BM249" i="32" s="1"/>
  <c r="BL465" i="32"/>
  <c r="BM465" i="32" s="1"/>
  <c r="BL108" i="32"/>
  <c r="BM108" i="32" s="1"/>
  <c r="BL76" i="32"/>
  <c r="BM76" i="32" s="1"/>
  <c r="BL435" i="32"/>
  <c r="BM435" i="32" s="1"/>
  <c r="BL434" i="32"/>
  <c r="BM434" i="32" s="1"/>
  <c r="BL469" i="32"/>
  <c r="BM469" i="32" s="1"/>
  <c r="BL333" i="32"/>
  <c r="BM333" i="32" s="1"/>
  <c r="BL431" i="32"/>
  <c r="BM431" i="32" s="1"/>
  <c r="BL17" i="32"/>
  <c r="BM17" i="32" s="1"/>
  <c r="BL495" i="32"/>
  <c r="BM495" i="32" s="1"/>
  <c r="BL452" i="32"/>
  <c r="BM452" i="32" s="1"/>
  <c r="BL145" i="32"/>
  <c r="BM145" i="32" s="1"/>
  <c r="BL265" i="32"/>
  <c r="BM265" i="32" s="1"/>
  <c r="BL264" i="32"/>
  <c r="BM264" i="32" s="1"/>
  <c r="BL530" i="32"/>
  <c r="BM530" i="32" s="1"/>
  <c r="BL280" i="32"/>
  <c r="BM280" i="32" s="1"/>
  <c r="BL156" i="32"/>
  <c r="BM156" i="32" s="1"/>
  <c r="BL155" i="32"/>
  <c r="BM155" i="32" s="1"/>
  <c r="BL467" i="32"/>
  <c r="BM467" i="32" s="1"/>
  <c r="BL466" i="32"/>
  <c r="BM466" i="32" s="1"/>
  <c r="BL490" i="32"/>
  <c r="BM490" i="32" s="1"/>
  <c r="BL489" i="32"/>
  <c r="BM489" i="32" s="1"/>
  <c r="BL51" i="32"/>
  <c r="BM51" i="32" s="1"/>
  <c r="BL396" i="32"/>
  <c r="BM396" i="32" s="1"/>
  <c r="BL43" i="32"/>
  <c r="BM43" i="32" s="1"/>
  <c r="BL42" i="32"/>
  <c r="BM42" i="32" s="1"/>
  <c r="BL592" i="32"/>
  <c r="BM592" i="32" s="1"/>
  <c r="BL591" i="32"/>
  <c r="BM591" i="32" s="1"/>
  <c r="BL287" i="32"/>
  <c r="BM287" i="32" s="1"/>
  <c r="BL440" i="32"/>
  <c r="BM440" i="32" s="1"/>
  <c r="BL441" i="32"/>
  <c r="BM441" i="32" s="1"/>
  <c r="BL510" i="32"/>
  <c r="BM510" i="32" s="1"/>
  <c r="BL509" i="32"/>
  <c r="BM509" i="32" s="1"/>
  <c r="BL471" i="32"/>
  <c r="BM471" i="32" s="1"/>
  <c r="BL139" i="32"/>
  <c r="BM139" i="32" s="1"/>
  <c r="BL247" i="32"/>
  <c r="BM247" i="32" s="1"/>
  <c r="BL110" i="32"/>
  <c r="BM110" i="32" s="1"/>
  <c r="BL78" i="32"/>
  <c r="BM78" i="32" s="1"/>
  <c r="BL75" i="32"/>
  <c r="BM75" i="32" s="1"/>
  <c r="BL74" i="32"/>
  <c r="BM74" i="32" s="1"/>
  <c r="BL482" i="32"/>
  <c r="BM482" i="32" s="1"/>
  <c r="BL481" i="32"/>
  <c r="BM481" i="32" s="1"/>
  <c r="BL23" i="32"/>
  <c r="BM23" i="32" s="1"/>
  <c r="BL300" i="32"/>
  <c r="BM300" i="32" s="1"/>
  <c r="BL549" i="32"/>
  <c r="BM549" i="32" s="1"/>
  <c r="BL126" i="32"/>
  <c r="BM126" i="32" s="1"/>
  <c r="BL458" i="32"/>
  <c r="BM458" i="32" s="1"/>
  <c r="BL422" i="32"/>
  <c r="BM422" i="32" s="1"/>
  <c r="BL432" i="32"/>
  <c r="BM432" i="32" s="1"/>
  <c r="BL570" i="32"/>
  <c r="BM570" i="32" s="1"/>
  <c r="BL609" i="32"/>
  <c r="BM609" i="32" s="1"/>
  <c r="BL450" i="32"/>
  <c r="BM450" i="32" s="1"/>
  <c r="BL550" i="32"/>
  <c r="BM550" i="32" s="1"/>
  <c r="BL172" i="32"/>
  <c r="BM172" i="32" s="1"/>
  <c r="BL293" i="32"/>
  <c r="BM293" i="32" s="1"/>
  <c r="BL197" i="32"/>
  <c r="BM197" i="32" s="1"/>
  <c r="BL30" i="32"/>
  <c r="BM30" i="32" s="1"/>
  <c r="BL31" i="32"/>
  <c r="BM31" i="32" s="1"/>
  <c r="BM13" i="32" l="1"/>
  <c r="BM9" i="32" s="1"/>
  <c r="U5" i="32" s="1"/>
  <c r="D505" i="2" s="1"/>
  <c r="BM8" i="32"/>
  <c r="U4" i="32" s="1"/>
  <c r="D504" i="2" l="1"/>
  <c r="D617" i="32"/>
  <c r="C639" i="32"/>
  <c r="C640" i="32"/>
  <c r="A505" i="2"/>
  <c r="B505" i="2"/>
  <c r="A475" i="2"/>
  <c r="W617" i="32" l="1"/>
  <c r="AM617" i="32"/>
  <c r="G617" i="32"/>
  <c r="H617" i="32" s="1"/>
  <c r="I617" i="32" s="1"/>
  <c r="AC617" i="32"/>
  <c r="F617" i="32"/>
  <c r="AP617" i="32"/>
  <c r="K617" i="32"/>
  <c r="Z617" i="32"/>
  <c r="E617" i="32"/>
  <c r="AJ617" i="32"/>
  <c r="D618" i="32"/>
  <c r="D619" i="32" s="1"/>
  <c r="B504" i="2"/>
  <c r="A504" i="2"/>
  <c r="C72" i="16"/>
  <c r="D72" i="16" s="1"/>
  <c r="B475" i="2"/>
  <c r="AS617" i="32" l="1"/>
  <c r="BB617" i="32" s="1"/>
  <c r="AA617" i="32"/>
  <c r="AB617" i="32"/>
  <c r="AQ617" i="32"/>
  <c r="AR617" i="32"/>
  <c r="J617" i="32"/>
  <c r="M617" i="32" s="1"/>
  <c r="AE617" i="32"/>
  <c r="AD617" i="32"/>
  <c r="AL617" i="32"/>
  <c r="AK617" i="32"/>
  <c r="AO617" i="32"/>
  <c r="AN617" i="32"/>
  <c r="Y617" i="32"/>
  <c r="X617" i="32"/>
  <c r="AF617" i="32"/>
  <c r="BC617" i="32" l="1"/>
  <c r="AT617" i="32"/>
  <c r="AU617" i="32"/>
  <c r="AH617" i="32"/>
  <c r="AG617" i="32"/>
  <c r="N617" i="32"/>
  <c r="S617" i="32"/>
  <c r="P617" i="32" l="1"/>
  <c r="O617" i="32"/>
  <c r="BE617" i="32"/>
  <c r="BF617" i="32"/>
  <c r="T617" i="32" l="1"/>
  <c r="AV617" i="32" s="1"/>
  <c r="Q617" i="32"/>
  <c r="U617" i="32" s="1"/>
  <c r="AX617" i="32" l="1"/>
  <c r="AW617" i="32"/>
  <c r="AX619" i="32" l="1"/>
  <c r="AY619" i="32" s="1"/>
  <c r="AY617" i="32"/>
  <c r="AY618" i="32" s="1"/>
  <c r="AX620" i="32"/>
  <c r="AY620" i="3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BMC-BCS</author>
    <author>BDATSC</author>
  </authors>
  <commentList>
    <comment ref="A3" authorId="0" shapeId="0" xr:uid="{00000000-0006-0000-0000-000001000000}">
      <text>
        <r>
          <rPr>
            <b/>
            <sz val="12"/>
            <color indexed="10"/>
            <rFont val="Tahoma"/>
            <family val="2"/>
          </rPr>
          <t>Welcome to the LM51772 Quickstart Design Tool</t>
        </r>
        <r>
          <rPr>
            <sz val="9"/>
            <color indexed="81"/>
            <rFont val="Tahoma"/>
            <family val="2"/>
          </rPr>
          <t xml:space="preserve">
This stand-alone tool facilitates and assists the power supply engineer with design of a DC/DC buck-boost converter based on the </t>
        </r>
        <r>
          <rPr>
            <b/>
            <sz val="9"/>
            <color indexed="81"/>
            <rFont val="Tahoma"/>
            <family val="2"/>
          </rPr>
          <t>LM51772 current-mode buck-boost controller</t>
        </r>
        <r>
          <rPr>
            <sz val="9"/>
            <color indexed="81"/>
            <rFont val="Tahoma"/>
            <family val="2"/>
          </rPr>
          <t xml:space="preserve">. As such, the user can expeditiously arrive at an optimized design by virtue of the following:
- Determine filter inductance and input and output filter capacitances
- Select components for soft-start, input UVLO and dither
- Optimize compensation values, slope compensation, and pole/zero placement in terms of control loop stability using crossover frequency as a performance metric
- Inspect converter efficiency and component power dissipations vs. line and load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
</t>
        </r>
      </text>
    </comment>
    <comment ref="F7" authorId="0" shapeId="0" xr:uid="{0E7DE9E0-DE80-4F14-97D5-922DAC45C135}">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LM51772 input voltage operating range is 3.3V to 55V.
</t>
        </r>
        <r>
          <rPr>
            <b/>
            <sz val="9"/>
            <color indexed="81"/>
            <rFont val="Tahoma"/>
            <family val="2"/>
          </rPr>
          <t>The text in the cell is flagged red if:</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text>
    </comment>
    <comment ref="F8"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LM51772 input voltage operating range is 3.3V to 55V.
</t>
        </r>
        <r>
          <rPr>
            <b/>
            <sz val="9"/>
            <color indexed="81"/>
            <rFont val="Tahoma"/>
            <family val="2"/>
          </rPr>
          <t>The text in the cell is flagged red if:</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text>
    </comment>
    <comment ref="F9" authorId="0" shapeId="0" xr:uid="{52FC8C5E-1EAD-44CD-ADC2-7790DC54AC85}">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LM51772 input voltage operating range is 3.3V to 55V.
</t>
        </r>
        <r>
          <rPr>
            <b/>
            <sz val="9"/>
            <color indexed="81"/>
            <rFont val="Tahoma"/>
            <family val="2"/>
          </rPr>
          <t>The text in the cell is flagged red if:</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text>
    </comment>
    <comment ref="F10"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The text in the cell is flagged red if:
</t>
        </r>
        <r>
          <rPr>
            <sz val="9"/>
            <color indexed="81"/>
            <rFont val="Tahoma"/>
            <family val="2"/>
          </rPr>
          <t>-The output voltage is below</t>
        </r>
        <r>
          <rPr>
            <b/>
            <sz val="9"/>
            <color indexed="10"/>
            <rFont val="Tahoma"/>
            <family val="2"/>
          </rPr>
          <t xml:space="preserve"> 3.3V 
</t>
        </r>
        <r>
          <rPr>
            <sz val="9"/>
            <color indexed="81"/>
            <rFont val="Tahoma"/>
            <family val="2"/>
          </rPr>
          <t>-The output voltage is above</t>
        </r>
        <r>
          <rPr>
            <b/>
            <sz val="9"/>
            <color indexed="10"/>
            <rFont val="Tahoma"/>
            <family val="2"/>
          </rPr>
          <t xml:space="preserve"> 78V</t>
        </r>
      </text>
    </comment>
    <comment ref="F12"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T</t>
        </r>
        <r>
          <rPr>
            <b/>
            <sz val="9"/>
            <color indexed="81"/>
            <rFont val="Tahoma"/>
            <family val="2"/>
          </rPr>
          <t>):</t>
        </r>
        <r>
          <rPr>
            <sz val="9"/>
            <color indexed="81"/>
            <rFont val="Tahoma"/>
            <family val="2"/>
          </rPr>
          <t xml:space="preserve">
This cell defines the free-running switching frequency set by the R</t>
        </r>
        <r>
          <rPr>
            <vertAlign val="subscript"/>
            <sz val="9"/>
            <color indexed="81"/>
            <rFont val="Tahoma"/>
            <family val="2"/>
          </rPr>
          <t>T</t>
        </r>
        <r>
          <rPr>
            <sz val="9"/>
            <color indexed="81"/>
            <rFont val="Tahoma"/>
            <family val="2"/>
          </rPr>
          <t xml:space="preserve"> resistor. 
</t>
        </r>
        <r>
          <rPr>
            <b/>
            <sz val="9"/>
            <color indexed="81"/>
            <rFont val="Tahoma"/>
            <family val="2"/>
          </rPr>
          <t xml:space="preserve">The text in the cell is flagged red if:
</t>
        </r>
        <r>
          <rPr>
            <sz val="9"/>
            <color indexed="81"/>
            <rFont val="Tahoma"/>
            <family val="2"/>
          </rPr>
          <t>-The frequency is below</t>
        </r>
        <r>
          <rPr>
            <b/>
            <sz val="9"/>
            <color indexed="10"/>
            <rFont val="Tahoma"/>
            <family val="2"/>
          </rPr>
          <t xml:space="preserve"> 100 kHz
</t>
        </r>
        <r>
          <rPr>
            <sz val="9"/>
            <color indexed="81"/>
            <rFont val="Tahoma"/>
            <family val="2"/>
          </rPr>
          <t>-The frequency is above</t>
        </r>
        <r>
          <rPr>
            <b/>
            <sz val="9"/>
            <color indexed="10"/>
            <rFont val="Tahoma"/>
            <family val="2"/>
          </rPr>
          <t xml:space="preserve"> 2200 kHz</t>
        </r>
        <r>
          <rPr>
            <sz val="11"/>
            <color indexed="81"/>
            <rFont val="Tahoma"/>
            <family val="2"/>
          </rPr>
          <t xml:space="preserve">
</t>
        </r>
      </text>
    </comment>
    <comment ref="F16" authorId="0" shapeId="0" xr:uid="{ADE317F7-0535-4759-B8C4-F021D13DCFA8}">
      <text>
        <r>
          <rPr>
            <b/>
            <u/>
            <sz val="9"/>
            <color indexed="81"/>
            <rFont val="Tahoma"/>
            <family val="2"/>
          </rPr>
          <t>Recommended Filter Inductance</t>
        </r>
        <r>
          <rPr>
            <b/>
            <sz val="9"/>
            <color indexed="81"/>
            <rFont val="Tahoma"/>
            <family val="2"/>
          </rPr>
          <t xml:space="preserve">:
</t>
        </r>
        <r>
          <rPr>
            <sz val="9"/>
            <color indexed="81"/>
            <rFont val="Tahoma"/>
            <family val="2"/>
          </rPr>
          <t xml:space="preserve">The recommended inductor is selected for an average current of ~ 60% of the peak current limit (nominal value) and a slope factor of 1.
The recommended value is limited by the limits defined in the datasheet:
- Equation 12
- Equation 13
</t>
        </r>
      </text>
    </comment>
    <comment ref="F17" authorId="0" shapeId="0" xr:uid="{025DE409-06DA-46C2-98B1-A2630EE759DE}">
      <text>
        <r>
          <rPr>
            <b/>
            <u/>
            <sz val="9"/>
            <color indexed="81"/>
            <rFont val="Tahoma"/>
            <family val="2"/>
          </rPr>
          <t>Filter Inductance</t>
        </r>
        <r>
          <rPr>
            <b/>
            <sz val="9"/>
            <color indexed="81"/>
            <rFont val="Tahoma"/>
            <family val="2"/>
          </rPr>
          <t xml:space="preserve">:
</t>
        </r>
        <r>
          <rPr>
            <sz val="9"/>
            <color indexed="81"/>
            <rFont val="Tahoma"/>
            <family val="2"/>
          </rPr>
          <t xml:space="preserve">Enter the filter inductance here.
</t>
        </r>
        <r>
          <rPr>
            <sz val="9"/>
            <color indexed="81"/>
            <rFont val="Tahoma"/>
            <family val="2"/>
          </rPr>
          <t xml:space="preserve">
The largest inductor (peak-to-peak) ripple currrent appears at the DC full load </t>
        </r>
        <r>
          <rPr>
            <u/>
            <sz val="9"/>
            <color indexed="81"/>
            <rFont val="Tahoma"/>
            <family val="2"/>
          </rPr>
          <t>output</t>
        </r>
        <r>
          <rPr>
            <sz val="9"/>
            <color indexed="81"/>
            <rFont val="Tahoma"/>
            <family val="2"/>
          </rPr>
          <t xml:space="preserve"> current in BUCK mode at highest input voltage.
The highest inductor average currrent appears at the DC full load </t>
        </r>
        <r>
          <rPr>
            <u/>
            <sz val="9"/>
            <color indexed="81"/>
            <rFont val="Tahoma"/>
            <family val="2"/>
          </rPr>
          <t>output</t>
        </r>
        <r>
          <rPr>
            <sz val="9"/>
            <color indexed="81"/>
            <rFont val="Tahoma"/>
            <family val="2"/>
          </rPr>
          <t xml:space="preserve"> current in BOOST mode at lowest input voltage.
The cell gets marked red if the value is outside the recommended range.</t>
        </r>
      </text>
    </comment>
    <comment ref="F18" authorId="0" shapeId="0" xr:uid="{575C06E1-3E0A-4744-84D6-27FF04CE04BB}">
      <text>
        <r>
          <rPr>
            <b/>
            <u/>
            <sz val="9"/>
            <color indexed="81"/>
            <rFont val="Tahoma"/>
            <family val="2"/>
          </rPr>
          <t>Filter Inductance</t>
        </r>
        <r>
          <rPr>
            <b/>
            <sz val="9"/>
            <color indexed="81"/>
            <rFont val="Tahoma"/>
            <family val="2"/>
          </rPr>
          <t xml:space="preserve">:
</t>
        </r>
        <r>
          <rPr>
            <sz val="9"/>
            <color indexed="81"/>
            <rFont val="Tahoma"/>
            <family val="2"/>
          </rPr>
          <t xml:space="preserve">Enter the filter inductance here.
</t>
        </r>
        <r>
          <rPr>
            <b/>
            <sz val="9"/>
            <color indexed="81"/>
            <rFont val="Tahoma"/>
            <family val="2"/>
          </rPr>
          <t>Use the derated value of the inductance at the Peak Inductor Over-Current Limit, I</t>
        </r>
        <r>
          <rPr>
            <b/>
            <vertAlign val="subscript"/>
            <sz val="9"/>
            <color indexed="81"/>
            <rFont val="Tahoma"/>
            <family val="2"/>
          </rPr>
          <t>LPK,Limit</t>
        </r>
        <r>
          <rPr>
            <b/>
            <sz val="9"/>
            <color indexed="81"/>
            <rFont val="Tahoma"/>
            <family val="2"/>
          </rPr>
          <t xml:space="preserve">
</t>
        </r>
        <r>
          <rPr>
            <sz val="9"/>
            <color indexed="81"/>
            <rFont val="Tahoma"/>
            <family val="2"/>
          </rPr>
          <t xml:space="preserve">
The cell gets marked red if the value is outside the recommended range.</t>
        </r>
      </text>
    </comment>
    <comment ref="F19" authorId="0" shapeId="0" xr:uid="{6CB1E1F7-7C69-4233-A324-3F47EC3D5A2B}">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26" authorId="0" shapeId="0" xr:uid="{32516B19-C134-453D-92AB-D40AB30FCF64}">
      <text>
        <r>
          <rPr>
            <b/>
            <u/>
            <sz val="9"/>
            <color indexed="81"/>
            <rFont val="Tahoma"/>
            <family val="2"/>
          </rPr>
          <t>Current Sense Filter</t>
        </r>
        <r>
          <rPr>
            <b/>
            <sz val="9"/>
            <color indexed="81"/>
            <rFont val="Tahoma"/>
            <family val="2"/>
          </rPr>
          <t>:</t>
        </r>
        <r>
          <rPr>
            <sz val="9"/>
            <color indexed="81"/>
            <rFont val="Tahoma"/>
            <family val="2"/>
          </rPr>
          <t xml:space="preserve">
Use this filter on in the input of CSA/CSB.
The resistances of </t>
        </r>
        <r>
          <rPr>
            <b/>
            <sz val="9"/>
            <color indexed="81"/>
            <rFont val="Tahoma"/>
            <family val="2"/>
          </rPr>
          <t>R</t>
        </r>
        <r>
          <rPr>
            <b/>
            <vertAlign val="subscript"/>
            <sz val="9"/>
            <color indexed="81"/>
            <rFont val="Tahoma"/>
            <family val="2"/>
          </rPr>
          <t>CSA</t>
        </r>
        <r>
          <rPr>
            <sz val="9"/>
            <color indexed="81"/>
            <rFont val="Tahoma"/>
            <family val="2"/>
          </rPr>
          <t xml:space="preserve"> and </t>
        </r>
        <r>
          <rPr>
            <b/>
            <sz val="9"/>
            <color indexed="81"/>
            <rFont val="Tahoma"/>
            <family val="2"/>
          </rPr>
          <t>R</t>
        </r>
        <r>
          <rPr>
            <b/>
            <vertAlign val="subscript"/>
            <sz val="9"/>
            <color indexed="81"/>
            <rFont val="Tahoma"/>
            <family val="2"/>
          </rPr>
          <t>CSB</t>
        </r>
        <r>
          <rPr>
            <sz val="9"/>
            <color indexed="81"/>
            <rFont val="Tahoma"/>
            <family val="2"/>
          </rPr>
          <t xml:space="preserve"> are equal for balanced common-mode filtering to the CSA and CSB pins.</t>
        </r>
      </text>
    </comment>
    <comment ref="F30" authorId="1" shapeId="0" xr:uid="{C173A9EE-DAC3-4249-8D12-09990EC43A66}">
      <text>
        <r>
          <rPr>
            <b/>
            <sz val="9"/>
            <color indexed="81"/>
            <rFont val="Tahoma"/>
            <family val="2"/>
          </rPr>
          <t>Peak Current Limit Margin</t>
        </r>
        <r>
          <rPr>
            <sz val="9"/>
            <color indexed="81"/>
            <rFont val="Tahoma"/>
            <family val="2"/>
          </rPr>
          <t xml:space="preserve">
Margin above the calculated peak inductor current. Margin must be given to allow for load transients and component tolerances.
Value should be higher then 15% to avoid false triggers.
</t>
        </r>
      </text>
    </comment>
    <comment ref="F31" authorId="0" shapeId="0" xr:uid="{A0D18336-96C9-4A5F-B6DF-31B2F877AF2E}">
      <text>
        <r>
          <rPr>
            <b/>
            <u/>
            <sz val="9"/>
            <color indexed="81"/>
            <rFont val="Tahoma"/>
            <family val="2"/>
          </rPr>
          <t>Sense Resistance</t>
        </r>
        <r>
          <rPr>
            <b/>
            <sz val="9"/>
            <color indexed="81"/>
            <rFont val="Tahoma"/>
            <family val="2"/>
          </rPr>
          <t>:</t>
        </r>
        <r>
          <rPr>
            <sz val="9"/>
            <color indexed="81"/>
            <rFont val="Tahoma"/>
            <family val="2"/>
          </rPr>
          <t xml:space="preserve">
Use this resistor to sense current and set the cycle-by-cycle overcurrent protection. As such, the calculation takes the required current limit setpoint and the inductor ripple current amplitude to calculate </t>
        </r>
        <r>
          <rPr>
            <b/>
            <sz val="9"/>
            <color indexed="81"/>
            <rFont val="Tahoma"/>
            <family val="2"/>
          </rPr>
          <t>R</t>
        </r>
        <r>
          <rPr>
            <b/>
            <vertAlign val="subscript"/>
            <sz val="9"/>
            <color indexed="81"/>
            <rFont val="Tahoma"/>
            <family val="2"/>
          </rPr>
          <t>S</t>
        </r>
        <r>
          <rPr>
            <sz val="9"/>
            <color indexed="81"/>
            <rFont val="Tahoma"/>
            <family val="2"/>
          </rPr>
          <t xml:space="preserve">.
The threshold in BUCK and BOOST modes is 50mV. The variance of the the peak current limit threshold needs toi be considered within the Peak Current Limit Margin. 
The resistances of </t>
        </r>
        <r>
          <rPr>
            <b/>
            <sz val="9"/>
            <color indexed="81"/>
            <rFont val="Tahoma"/>
            <family val="2"/>
          </rPr>
          <t>R</t>
        </r>
        <r>
          <rPr>
            <b/>
            <vertAlign val="subscript"/>
            <sz val="9"/>
            <color indexed="81"/>
            <rFont val="Tahoma"/>
            <family val="2"/>
          </rPr>
          <t>CSA</t>
        </r>
        <r>
          <rPr>
            <sz val="9"/>
            <color indexed="81"/>
            <rFont val="Tahoma"/>
            <family val="2"/>
          </rPr>
          <t xml:space="preserve"> and </t>
        </r>
        <r>
          <rPr>
            <b/>
            <sz val="9"/>
            <color indexed="81"/>
            <rFont val="Tahoma"/>
            <family val="2"/>
          </rPr>
          <t>R</t>
        </r>
        <r>
          <rPr>
            <b/>
            <vertAlign val="subscript"/>
            <sz val="9"/>
            <color indexed="81"/>
            <rFont val="Tahoma"/>
            <family val="2"/>
          </rPr>
          <t>CSB</t>
        </r>
        <r>
          <rPr>
            <sz val="9"/>
            <color indexed="81"/>
            <rFont val="Tahoma"/>
            <family val="2"/>
          </rPr>
          <t xml:space="preserve"> are equal for balanced common-mode filtering to the CSA and CSB pins.</t>
        </r>
      </text>
    </comment>
    <comment ref="F32" authorId="0" shapeId="0" xr:uid="{4A5BDDD2-82AA-4460-8C16-2BB4F3628929}">
      <text>
        <r>
          <rPr>
            <b/>
            <u/>
            <sz val="9"/>
            <color indexed="81"/>
            <rFont val="Tahoma"/>
            <family val="2"/>
          </rPr>
          <t>Selected Sense Resistance</t>
        </r>
        <r>
          <rPr>
            <b/>
            <sz val="9"/>
            <color indexed="81"/>
            <rFont val="Tahoma"/>
            <family val="2"/>
          </rPr>
          <t>:</t>
        </r>
        <r>
          <rPr>
            <sz val="9"/>
            <color indexed="81"/>
            <rFont val="Tahoma"/>
            <family val="2"/>
          </rPr>
          <t xml:space="preserve">
This resistor to sense current and set the cycle-by-cycle overcurrent protection. 
The cell gets marked orange if the value is greater then the recommended Sense Resistor.</t>
        </r>
      </text>
    </comment>
    <comment ref="F33" authorId="0" shapeId="0" xr:uid="{013CACC7-722E-4132-924F-F417DA568C55}">
      <text>
        <r>
          <rPr>
            <b/>
            <u/>
            <sz val="9"/>
            <color indexed="81"/>
            <rFont val="Tahoma"/>
            <family val="2"/>
          </rPr>
          <t>Peak Inductor Current Limit</t>
        </r>
        <r>
          <rPr>
            <b/>
            <sz val="9"/>
            <color indexed="81"/>
            <rFont val="Tahoma"/>
            <family val="2"/>
          </rPr>
          <t>:</t>
        </r>
        <r>
          <rPr>
            <sz val="9"/>
            <color indexed="81"/>
            <rFont val="Tahoma"/>
            <family val="2"/>
          </rPr>
          <t xml:space="preserve">
Maximum current in the inductor usually occurs at V</t>
        </r>
        <r>
          <rPr>
            <vertAlign val="subscript"/>
            <sz val="9"/>
            <color indexed="81"/>
            <rFont val="Tahoma"/>
            <family val="2"/>
          </rPr>
          <t>IN(min)</t>
        </r>
        <r>
          <rPr>
            <sz val="9"/>
            <color indexed="81"/>
            <rFont val="Tahoma"/>
            <family val="2"/>
          </rPr>
          <t xml:space="preserve"> or V</t>
        </r>
        <r>
          <rPr>
            <vertAlign val="subscript"/>
            <sz val="9"/>
            <color indexed="81"/>
            <rFont val="Tahoma"/>
            <family val="2"/>
          </rPr>
          <t>IN(max)</t>
        </r>
        <r>
          <rPr>
            <sz val="9"/>
            <color indexed="81"/>
            <rFont val="Tahoma"/>
            <family val="2"/>
          </rPr>
          <t>. The result corresponds to current limit and is intended as a guide to inductor selection as it relates to saturation current.
The upper limit of the peak current limit is used for calculation but tolerance of the R</t>
        </r>
        <r>
          <rPr>
            <vertAlign val="subscript"/>
            <sz val="9"/>
            <color indexed="81"/>
            <rFont val="Tahoma"/>
            <family val="2"/>
          </rPr>
          <t>S</t>
        </r>
        <r>
          <rPr>
            <sz val="9"/>
            <color indexed="81"/>
            <rFont val="Tahoma"/>
            <family val="2"/>
          </rPr>
          <t xml:space="preserve"> and margin needs to be added.
The cell gets marked red if the Peak Inductor Current plus given Peak Current Limit Margin is above this Peak Inductor Current Limit
(upper limit of over current limit is used).
</t>
        </r>
      </text>
    </comment>
    <comment ref="F34" authorId="0" shapeId="0" xr:uid="{7C44227D-09C1-478C-AD61-8BE069CBDBB7}">
      <text>
        <r>
          <rPr>
            <b/>
            <u/>
            <sz val="9"/>
            <color indexed="81"/>
            <rFont val="Tahoma"/>
            <family val="2"/>
          </rPr>
          <t>Max Peak Inductor Current</t>
        </r>
        <r>
          <rPr>
            <b/>
            <sz val="9"/>
            <color indexed="81"/>
            <rFont val="Tahoma"/>
            <family val="2"/>
          </rPr>
          <t>:</t>
        </r>
        <r>
          <rPr>
            <sz val="9"/>
            <color indexed="81"/>
            <rFont val="Tahoma"/>
            <family val="2"/>
          </rPr>
          <t xml:space="preserve">
Maximum current in the inductor usually occurs at V</t>
        </r>
        <r>
          <rPr>
            <vertAlign val="subscript"/>
            <sz val="9"/>
            <color indexed="81"/>
            <rFont val="Tahoma"/>
            <family val="2"/>
          </rPr>
          <t>IN(min)</t>
        </r>
        <r>
          <rPr>
            <sz val="9"/>
            <color indexed="81"/>
            <rFont val="Tahoma"/>
            <family val="2"/>
          </rPr>
          <t xml:space="preserve"> or V</t>
        </r>
        <r>
          <rPr>
            <vertAlign val="subscript"/>
            <sz val="9"/>
            <color indexed="81"/>
            <rFont val="Tahoma"/>
            <family val="2"/>
          </rPr>
          <t>IN(max)</t>
        </r>
        <r>
          <rPr>
            <sz val="9"/>
            <color indexed="81"/>
            <rFont val="Tahoma"/>
            <family val="2"/>
          </rPr>
          <t xml:space="preserve">. 
The cell gets marked red if the Peak Inductor Current plus given Peak Current Limit Margin is above this Peak Inductor Current Limit
(lower limit of over current limit is used).
</t>
        </r>
      </text>
    </comment>
    <comment ref="F35" authorId="0" shapeId="0" xr:uid="{ADAEA951-2318-4A5D-8C25-ACEDDF02FF7E}">
      <text>
        <r>
          <rPr>
            <b/>
            <u/>
            <sz val="9"/>
            <color indexed="81"/>
            <rFont val="Tahoma"/>
            <family val="2"/>
          </rPr>
          <t>Max Shunt Dissipation</t>
        </r>
        <r>
          <rPr>
            <b/>
            <sz val="9"/>
            <color indexed="81"/>
            <rFont val="Tahoma"/>
            <family val="2"/>
          </rPr>
          <t>:</t>
        </r>
        <r>
          <rPr>
            <sz val="9"/>
            <color indexed="81"/>
            <rFont val="Tahoma"/>
            <family val="2"/>
          </rPr>
          <t xml:space="preserve">
Maximum power loss in the shunt resistor occurs at V</t>
        </r>
        <r>
          <rPr>
            <vertAlign val="subscript"/>
            <sz val="9"/>
            <color indexed="81"/>
            <rFont val="Tahoma"/>
            <family val="2"/>
          </rPr>
          <t>IN(min)</t>
        </r>
        <r>
          <rPr>
            <sz val="9"/>
            <color indexed="81"/>
            <rFont val="Tahoma"/>
            <family val="2"/>
          </rPr>
          <t xml:space="preserve"> or V</t>
        </r>
        <r>
          <rPr>
            <vertAlign val="subscript"/>
            <sz val="9"/>
            <color indexed="81"/>
            <rFont val="Tahoma"/>
            <family val="2"/>
          </rPr>
          <t>IN(max)</t>
        </r>
        <r>
          <rPr>
            <sz val="9"/>
            <color indexed="81"/>
            <rFont val="Tahoma"/>
            <family val="2"/>
          </rPr>
          <t>. The result is provided at full load current.
Of course, the dissipation is higher in an overcurrent condition, and the shunt should be rated for this condition.</t>
        </r>
      </text>
    </comment>
    <comment ref="F36" authorId="0" shapeId="0" xr:uid="{975699AB-7684-4604-82B5-8349670B95FA}">
      <text>
        <r>
          <rPr>
            <b/>
            <u/>
            <sz val="9"/>
            <color indexed="81"/>
            <rFont val="Tahoma"/>
            <family val="2"/>
          </rPr>
          <t>Slope Compensation Resistance</t>
        </r>
        <r>
          <rPr>
            <b/>
            <sz val="9"/>
            <color indexed="81"/>
            <rFont val="Tahoma"/>
            <family val="2"/>
          </rPr>
          <t>:</t>
        </r>
        <r>
          <rPr>
            <sz val="9"/>
            <color indexed="81"/>
            <rFont val="Tahoma"/>
            <family val="2"/>
          </rPr>
          <t xml:space="preserve">
According to peak current mode control theory, slope compensation is required at a operation with duty cycle greater than 50%.
It gets marked red if R</t>
        </r>
        <r>
          <rPr>
            <vertAlign val="subscript"/>
            <sz val="9"/>
            <color indexed="81"/>
            <rFont val="Tahoma"/>
            <family val="2"/>
          </rPr>
          <t>s</t>
        </r>
        <r>
          <rPr>
            <sz val="9"/>
            <color indexed="81"/>
            <rFont val="Tahoma"/>
            <family val="2"/>
          </rPr>
          <t>/L</t>
        </r>
        <r>
          <rPr>
            <vertAlign val="subscript"/>
            <sz val="9"/>
            <color indexed="81"/>
            <rFont val="Tahoma"/>
            <family val="2"/>
          </rPr>
          <t>f</t>
        </r>
        <r>
          <rPr>
            <sz val="9"/>
            <color indexed="81"/>
            <rFont val="Tahoma"/>
            <family val="2"/>
          </rPr>
          <t xml:space="preserve"> is not within the recommended range, see Datasheet
This needs to be set via R_CFG1 or I2C.</t>
        </r>
      </text>
    </comment>
    <comment ref="F37" authorId="0" shapeId="0" xr:uid="{D0B6C9D1-432B-49B2-AFEE-F35D52C90E1E}">
      <text>
        <r>
          <rPr>
            <b/>
            <u/>
            <sz val="9"/>
            <color indexed="81"/>
            <rFont val="Tahoma"/>
            <family val="2"/>
          </rPr>
          <t>Inductor De-Rate</t>
        </r>
        <r>
          <rPr>
            <b/>
            <sz val="9"/>
            <color indexed="81"/>
            <rFont val="Tahoma"/>
            <family val="2"/>
          </rPr>
          <t>:</t>
        </r>
        <r>
          <rPr>
            <sz val="9"/>
            <color indexed="81"/>
            <rFont val="Tahoma"/>
            <family val="2"/>
          </rPr>
          <t xml:space="preserve">
The percentage of the inducutor de-rate between the nominal value and the effecitve inductance at max current. The value is calculated out of the inductance values given above. 
The value can be used to set the Indcutor-Derate value within the registers accessed by I2C or the R2D interface.</t>
        </r>
      </text>
    </comment>
    <comment ref="F43" authorId="0" shapeId="0" xr:uid="{00000000-0006-0000-0000-000010000000}">
      <text>
        <r>
          <rPr>
            <b/>
            <u/>
            <sz val="9"/>
            <color indexed="81"/>
            <rFont val="Tahoma"/>
            <family val="2"/>
          </rPr>
          <t>Output Voltage Ripple</t>
        </r>
        <r>
          <rPr>
            <b/>
            <sz val="9"/>
            <color indexed="81"/>
            <rFont val="Tahoma"/>
            <family val="2"/>
          </rPr>
          <t xml:space="preserve">:
</t>
        </r>
        <r>
          <rPr>
            <sz val="9"/>
            <color indexed="81"/>
            <rFont val="Tahoma"/>
            <family val="2"/>
          </rPr>
          <t xml:space="preserve">Enter the desired maximum peak-to-peak output voltage ripple here. This will set the ideal output capacitance value.
</t>
        </r>
        <r>
          <rPr>
            <sz val="9"/>
            <color indexed="39"/>
            <rFont val="Tahoma"/>
            <family val="2"/>
          </rPr>
          <t xml:space="preserve">
Max output ripple will likely occur at VIN(min) in BOOST mode or perhaps at VIN(max) in BUCK mode.</t>
        </r>
        <r>
          <rPr>
            <b/>
            <sz val="9"/>
            <color indexed="81"/>
            <rFont val="Tahoma"/>
            <family val="2"/>
          </rPr>
          <t xml:space="preserve">
The text in the cell is flagged red if:
</t>
        </r>
        <r>
          <rPr>
            <b/>
            <sz val="9"/>
            <color indexed="10"/>
            <rFont val="Tahoma"/>
            <family val="2"/>
          </rPr>
          <t>-The output voltage ripple is zero.</t>
        </r>
      </text>
    </comment>
    <comment ref="F45" authorId="0" shapeId="0" xr:uid="{00000000-0006-0000-0000-000011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derated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the cell is flagged red if:</t>
        </r>
        <r>
          <rPr>
            <sz val="9"/>
            <color indexed="81"/>
            <rFont val="Tahoma"/>
            <family val="2"/>
          </rPr>
          <t xml:space="preserve">
</t>
        </r>
        <r>
          <rPr>
            <b/>
            <sz val="9"/>
            <color indexed="10"/>
            <rFont val="Tahoma"/>
            <family val="2"/>
          </rPr>
          <t>-The chosen output capacitor is smaller than the minimum ideal capacitance.</t>
        </r>
      </text>
    </comment>
    <comment ref="P46" authorId="0" shapeId="0" xr:uid="{49EC0340-0798-4130-8984-384D8814CDB6}">
      <text>
        <r>
          <rPr>
            <b/>
            <u/>
            <sz val="9"/>
            <color indexed="81"/>
            <rFont val="Tahoma"/>
            <family val="2"/>
          </rPr>
          <t xml:space="preserve">R2D Configuration:
</t>
        </r>
        <r>
          <rPr>
            <sz val="9"/>
            <color indexed="81"/>
            <rFont val="Tahoma"/>
            <family val="2"/>
          </rPr>
          <t>The resistor value R</t>
        </r>
        <r>
          <rPr>
            <vertAlign val="subscript"/>
            <sz val="9"/>
            <color indexed="81"/>
            <rFont val="Tahoma"/>
            <family val="2"/>
          </rPr>
          <t>CFG</t>
        </r>
        <r>
          <rPr>
            <sz val="9"/>
            <color indexed="81"/>
            <rFont val="Tahoma"/>
            <family val="2"/>
          </rPr>
          <t xml:space="preserve"> to be attached to the CFG pin.
If using I2C, set the Slope compensation value via I2C.</t>
        </r>
      </text>
    </comment>
    <comment ref="F47" authorId="0" shapeId="0" xr:uid="{00000000-0006-0000-0000-000012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P47" authorId="0" shapeId="0" xr:uid="{08320127-A5B0-47A3-A689-88F70A67B928}">
      <text>
        <r>
          <rPr>
            <b/>
            <u/>
            <sz val="9"/>
            <color indexed="81"/>
            <rFont val="Tahoma"/>
            <family val="2"/>
          </rPr>
          <t xml:space="preserve">R2D Configuration:
</t>
        </r>
        <r>
          <rPr>
            <sz val="9"/>
            <color indexed="81"/>
            <rFont val="Tahoma"/>
            <family val="2"/>
          </rPr>
          <t>The resistor value R</t>
        </r>
        <r>
          <rPr>
            <vertAlign val="subscript"/>
            <sz val="9"/>
            <color indexed="81"/>
            <rFont val="Tahoma"/>
            <family val="2"/>
          </rPr>
          <t>CFG</t>
        </r>
        <r>
          <rPr>
            <sz val="9"/>
            <color indexed="81"/>
            <rFont val="Tahoma"/>
            <family val="2"/>
          </rPr>
          <t xml:space="preserve"> to be attached to the CFG pin.</t>
        </r>
      </text>
    </comment>
    <comment ref="P48" authorId="0" shapeId="0" xr:uid="{81FCD381-C5F1-4C08-B2EA-A05BAE7BC3C6}">
      <text>
        <r>
          <rPr>
            <b/>
            <u/>
            <sz val="9"/>
            <color indexed="81"/>
            <rFont val="Tahoma"/>
            <family val="2"/>
          </rPr>
          <t xml:space="preserve">R2D Configuration:
</t>
        </r>
        <r>
          <rPr>
            <sz val="9"/>
            <color indexed="81"/>
            <rFont val="Tahoma"/>
            <family val="2"/>
          </rPr>
          <t>The resistor value R</t>
        </r>
        <r>
          <rPr>
            <vertAlign val="subscript"/>
            <sz val="9"/>
            <color indexed="81"/>
            <rFont val="Tahoma"/>
            <family val="2"/>
          </rPr>
          <t>CFG</t>
        </r>
        <r>
          <rPr>
            <sz val="9"/>
            <color indexed="81"/>
            <rFont val="Tahoma"/>
            <family val="2"/>
          </rPr>
          <t xml:space="preserve"> to be attached to the CFG pin.
If using I2C, set the configuration value via I2C.</t>
        </r>
      </text>
    </comment>
    <comment ref="P49" authorId="0" shapeId="0" xr:uid="{677E049C-59DC-4763-8EB5-0F6A83C48408}">
      <text>
        <r>
          <rPr>
            <b/>
            <u/>
            <sz val="9"/>
            <color indexed="81"/>
            <rFont val="Tahoma"/>
            <family val="2"/>
          </rPr>
          <t xml:space="preserve">R2D Configuration:
</t>
        </r>
        <r>
          <rPr>
            <sz val="9"/>
            <color indexed="81"/>
            <rFont val="Tahoma"/>
            <family val="2"/>
          </rPr>
          <t>The resistor value R</t>
        </r>
        <r>
          <rPr>
            <vertAlign val="subscript"/>
            <sz val="9"/>
            <color indexed="81"/>
            <rFont val="Tahoma"/>
            <family val="2"/>
          </rPr>
          <t>CFG</t>
        </r>
        <r>
          <rPr>
            <sz val="9"/>
            <color indexed="81"/>
            <rFont val="Tahoma"/>
            <family val="2"/>
          </rPr>
          <t xml:space="preserve"> to be attached to the CFG pin.
If using I2C, set the configuration value via I2C.</t>
        </r>
      </text>
    </comment>
    <comment ref="F52" authorId="0" shapeId="0" xr:uid="{00000000-0006-0000-0000-000013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thiecell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L53" authorId="0" shapeId="0" xr:uid="{BF897946-09B9-4D4A-AA82-9356B8136A77}">
      <text>
        <r>
          <rPr>
            <b/>
            <u/>
            <sz val="9"/>
            <color indexed="81"/>
            <rFont val="Tahoma"/>
            <family val="2"/>
          </rPr>
          <t>Maximum Current</t>
        </r>
        <r>
          <rPr>
            <b/>
            <sz val="9"/>
            <color indexed="81"/>
            <rFont val="Tahoma"/>
            <family val="2"/>
          </rPr>
          <t>:</t>
        </r>
        <r>
          <rPr>
            <sz val="9"/>
            <color indexed="81"/>
            <rFont val="Tahoma"/>
            <family val="2"/>
          </rPr>
          <t xml:space="preserve">
Enter the maximum current in "A" if this optional feature is being used.
</t>
        </r>
      </text>
    </comment>
    <comment ref="P53" authorId="0" shapeId="0" xr:uid="{DA3369A6-BADA-4BE7-A710-4CB375F3FD74}">
      <text>
        <r>
          <rPr>
            <b/>
            <u/>
            <sz val="9"/>
            <color indexed="81"/>
            <rFont val="Tahoma"/>
            <family val="2"/>
          </rPr>
          <t>Constant Current Loop</t>
        </r>
        <r>
          <rPr>
            <b/>
            <sz val="9"/>
            <color indexed="81"/>
            <rFont val="Tahoma"/>
            <family val="2"/>
          </rPr>
          <t>:</t>
        </r>
        <r>
          <rPr>
            <sz val="9"/>
            <color indexed="81"/>
            <rFont val="Tahoma"/>
            <family val="2"/>
          </rPr>
          <t xml:space="preserve">
Enter the required current limit in "A" if this optional feature is being used.
</t>
        </r>
      </text>
    </comment>
    <comment ref="F54" authorId="0" shapeId="0" xr:uid="{00000000-0006-0000-0000-000014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the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P54" authorId="0" shapeId="0" xr:uid="{56441EA2-F386-425B-940F-88E62671CC96}">
      <text>
        <r>
          <rPr>
            <b/>
            <u/>
            <sz val="9"/>
            <color indexed="81"/>
            <rFont val="Tahoma"/>
            <family val="2"/>
          </rPr>
          <t>DAC ILIM Thresholdutput Shunt Resistance</t>
        </r>
        <r>
          <rPr>
            <b/>
            <sz val="9"/>
            <color indexed="81"/>
            <rFont val="Tahoma"/>
            <family val="2"/>
          </rPr>
          <t xml:space="preserve">:
</t>
        </r>
        <r>
          <rPr>
            <sz val="9"/>
            <color indexed="81"/>
            <rFont val="Tahoma"/>
            <family val="2"/>
          </rPr>
          <t>This the the value of the DAC to be set for the targeted current limit threshold.</t>
        </r>
        <r>
          <rPr>
            <b/>
            <sz val="9"/>
            <color indexed="81"/>
            <rFont val="Tahoma"/>
            <family val="2"/>
          </rPr>
          <t xml:space="preserve">
</t>
        </r>
        <r>
          <rPr>
            <sz val="9"/>
            <color indexed="81"/>
            <rFont val="Tahoma"/>
            <family val="2"/>
          </rPr>
          <t>The value can be set between 0 and 255. If set outside then the cell becomes red.
As the value is clamped at 10 and 140 the cell becomes orange when set outside this values.</t>
        </r>
      </text>
    </comment>
    <comment ref="L55" authorId="0" shapeId="0" xr:uid="{C5B8A289-8E85-496D-A31D-6416FB8444FA}">
      <text>
        <r>
          <rPr>
            <b/>
            <u/>
            <sz val="9"/>
            <color indexed="81"/>
            <rFont val="Tahoma"/>
            <family val="2"/>
          </rPr>
          <t>Output Shunt Resistance</t>
        </r>
        <r>
          <rPr>
            <b/>
            <sz val="9"/>
            <color indexed="81"/>
            <rFont val="Tahoma"/>
            <family val="2"/>
          </rPr>
          <t>:
R</t>
        </r>
        <r>
          <rPr>
            <b/>
            <vertAlign val="subscript"/>
            <sz val="9"/>
            <color indexed="81"/>
            <rFont val="Tahoma"/>
            <family val="2"/>
          </rPr>
          <t>SNS</t>
        </r>
        <r>
          <rPr>
            <sz val="9"/>
            <color indexed="81"/>
            <rFont val="Tahoma"/>
            <family val="2"/>
          </rPr>
          <t xml:space="preserve"> is calculated based on the threshold voltage of 50mV and the selected maximum current.
</t>
        </r>
      </text>
    </comment>
    <comment ref="P55" authorId="0" shapeId="0" xr:uid="{09AE9C4E-CC11-45A3-998B-DB517B5FBDC6}">
      <text>
        <r>
          <rPr>
            <b/>
            <u/>
            <sz val="9"/>
            <color indexed="81"/>
            <rFont val="Tahoma"/>
            <family val="2"/>
          </rPr>
          <t>Output Shunt Resistance</t>
        </r>
        <r>
          <rPr>
            <b/>
            <sz val="9"/>
            <color indexed="81"/>
            <rFont val="Tahoma"/>
            <family val="2"/>
          </rPr>
          <t>:
R</t>
        </r>
        <r>
          <rPr>
            <b/>
            <vertAlign val="subscript"/>
            <sz val="9"/>
            <color indexed="81"/>
            <rFont val="Tahoma"/>
            <family val="2"/>
          </rPr>
          <t>ISNS</t>
        </r>
        <r>
          <rPr>
            <sz val="9"/>
            <color indexed="81"/>
            <rFont val="Tahoma"/>
            <family val="2"/>
          </rPr>
          <t xml:space="preserve"> is calculated based on the desired constant current loop setpoint.
</t>
        </r>
      </text>
    </comment>
    <comment ref="F56" authorId="0" shapeId="0" xr:uid="{00000000-0006-0000-0000-000015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L56" authorId="0" shapeId="0" xr:uid="{C696B84B-D9BE-491F-8408-A824944A9F96}">
      <text>
        <r>
          <rPr>
            <b/>
            <u/>
            <sz val="9"/>
            <color indexed="81"/>
            <rFont val="Tahoma"/>
            <family val="2"/>
          </rPr>
          <t>Output Shunt Resistance</t>
        </r>
        <r>
          <rPr>
            <b/>
            <sz val="9"/>
            <color indexed="81"/>
            <rFont val="Tahoma"/>
            <family val="2"/>
          </rPr>
          <t>:
R</t>
        </r>
        <r>
          <rPr>
            <b/>
            <vertAlign val="subscript"/>
            <sz val="9"/>
            <color indexed="81"/>
            <rFont val="Tahoma"/>
            <family val="2"/>
          </rPr>
          <t>ISNS</t>
        </r>
        <r>
          <rPr>
            <sz val="9"/>
            <color indexed="81"/>
            <rFont val="Tahoma"/>
            <family val="2"/>
          </rPr>
          <t xml:space="preserve"> which is used in the design.</t>
        </r>
      </text>
    </comment>
    <comment ref="P56" authorId="0" shapeId="0" xr:uid="{186033A6-215B-40E6-9F74-1365AA5E4631}">
      <text>
        <r>
          <rPr>
            <b/>
            <u/>
            <sz val="9"/>
            <color indexed="81"/>
            <rFont val="Tahoma"/>
            <family val="2"/>
          </rPr>
          <t>Output Shunt Resistance</t>
        </r>
        <r>
          <rPr>
            <b/>
            <sz val="9"/>
            <color indexed="81"/>
            <rFont val="Tahoma"/>
            <family val="2"/>
          </rPr>
          <t>:
R</t>
        </r>
        <r>
          <rPr>
            <b/>
            <vertAlign val="subscript"/>
            <sz val="9"/>
            <color indexed="81"/>
            <rFont val="Tahoma"/>
            <family val="2"/>
          </rPr>
          <t>ISNS</t>
        </r>
        <r>
          <rPr>
            <sz val="9"/>
            <color indexed="81"/>
            <rFont val="Tahoma"/>
            <family val="2"/>
          </rPr>
          <t xml:space="preserve"> used in the design.
</t>
        </r>
      </text>
    </comment>
    <comment ref="L57" authorId="0" shapeId="0" xr:uid="{3B5F3C25-66BA-4E47-B9C4-7D6D2622F110}">
      <text>
        <r>
          <rPr>
            <b/>
            <u/>
            <sz val="9"/>
            <color indexed="81"/>
            <rFont val="Tahoma"/>
            <family val="2"/>
          </rPr>
          <t>Current Monitor Resistance</t>
        </r>
        <r>
          <rPr>
            <b/>
            <sz val="9"/>
            <color indexed="81"/>
            <rFont val="Tahoma"/>
            <family val="2"/>
          </rPr>
          <t>:
R</t>
        </r>
        <r>
          <rPr>
            <b/>
            <vertAlign val="subscript"/>
            <sz val="9"/>
            <color indexed="81"/>
            <rFont val="Tahoma"/>
            <family val="2"/>
          </rPr>
          <t>CDC</t>
        </r>
        <r>
          <rPr>
            <sz val="9"/>
            <color indexed="81"/>
            <rFont val="Tahoma"/>
            <family val="2"/>
          </rPr>
          <t xml:space="preserve"> is calculated based on the desired current monitor voltage or CDC level.
This is set based on the provided inputs for the maximum average current and the desired output voltage which should be representing this current.</t>
        </r>
      </text>
    </comment>
    <comment ref="P57" authorId="0" shapeId="0" xr:uid="{578210F2-10FD-4174-A85D-1AAC2452B104}">
      <text>
        <r>
          <rPr>
            <b/>
            <u/>
            <sz val="9"/>
            <color indexed="81"/>
            <rFont val="Tahoma"/>
            <family val="2"/>
          </rPr>
          <t>Current Monitor Resistance</t>
        </r>
        <r>
          <rPr>
            <b/>
            <sz val="9"/>
            <color indexed="81"/>
            <rFont val="Tahoma"/>
            <family val="2"/>
          </rPr>
          <t>:
R</t>
        </r>
        <r>
          <rPr>
            <b/>
            <vertAlign val="subscript"/>
            <sz val="9"/>
            <color indexed="81"/>
            <rFont val="Tahoma"/>
            <family val="2"/>
          </rPr>
          <t>IMON</t>
        </r>
        <r>
          <rPr>
            <sz val="9"/>
            <color indexed="81"/>
            <rFont val="Tahoma"/>
            <family val="2"/>
          </rPr>
          <t xml:space="preserve"> is calculated based on the desired average current monitor voltage level.
This is set based on the provided inputs for the maximum average current and the desired output voltage which should be representing this current.
</t>
        </r>
        <r>
          <rPr>
            <b/>
            <sz val="9"/>
            <color indexed="81"/>
            <rFont val="Tahoma"/>
            <family val="2"/>
          </rPr>
          <t>Effective average Current Limit (when ILIOM_DAC selected):</t>
        </r>
        <r>
          <rPr>
            <sz val="9"/>
            <color indexed="81"/>
            <rFont val="Tahoma"/>
            <family val="2"/>
          </rPr>
          <t xml:space="preserve">
Shows the effective average Current Limit when ILIOM_DAC is selected.</t>
        </r>
      </text>
    </comment>
    <comment ref="P58" authorId="0" shapeId="0" xr:uid="{C0AC026F-D5EF-488F-92D8-2F9C1E325DB6}">
      <text>
        <r>
          <rPr>
            <b/>
            <u/>
            <sz val="9"/>
            <color indexed="81"/>
            <rFont val="Tahoma"/>
            <family val="2"/>
          </rPr>
          <t>Current Limiter Filter Capacitor</t>
        </r>
        <r>
          <rPr>
            <b/>
            <sz val="9"/>
            <color indexed="81"/>
            <rFont val="Tahoma"/>
            <family val="2"/>
          </rPr>
          <t xml:space="preserve">
C</t>
        </r>
        <r>
          <rPr>
            <b/>
            <vertAlign val="subscript"/>
            <sz val="9"/>
            <color indexed="81"/>
            <rFont val="Tahoma"/>
            <family val="2"/>
          </rPr>
          <t>ILIM</t>
        </r>
        <r>
          <rPr>
            <sz val="9"/>
            <color indexed="81"/>
            <rFont val="Tahoma"/>
            <family val="2"/>
          </rPr>
          <t xml:space="preserve"> is calculated based powerstage bandwidth and the used current sense resistors.
</t>
        </r>
        <r>
          <rPr>
            <b/>
            <sz val="9"/>
            <color indexed="81"/>
            <rFont val="Tahoma"/>
            <family val="2"/>
          </rPr>
          <t>C</t>
        </r>
        <r>
          <rPr>
            <b/>
            <vertAlign val="subscript"/>
            <sz val="9"/>
            <color indexed="81"/>
            <rFont val="Tahoma"/>
            <family val="2"/>
          </rPr>
          <t>ILIM,HF</t>
        </r>
        <r>
          <rPr>
            <sz val="9"/>
            <color indexed="81"/>
            <rFont val="Tahoma"/>
            <family val="2"/>
          </rPr>
          <t xml:space="preserve"> is used to avoid HF distrubance and is set to halve of the switching frequency.
</t>
        </r>
      </text>
    </comment>
    <comment ref="P59" authorId="0" shapeId="0" xr:uid="{1DF8DE9B-857E-4753-843B-6F368416DF2E}">
      <text>
        <r>
          <rPr>
            <b/>
            <u/>
            <sz val="9"/>
            <color indexed="81"/>
            <rFont val="Tahoma"/>
            <family val="2"/>
          </rPr>
          <t>Output Capacitor C</t>
        </r>
        <r>
          <rPr>
            <b/>
            <u/>
            <vertAlign val="subscript"/>
            <sz val="9"/>
            <color indexed="81"/>
            <rFont val="Tahoma"/>
            <family val="2"/>
          </rPr>
          <t xml:space="preserve">OUT2
</t>
        </r>
        <r>
          <rPr>
            <b/>
            <sz val="9"/>
            <color indexed="81"/>
            <rFont val="Tahoma"/>
            <family val="2"/>
          </rPr>
          <t xml:space="preserve">
</t>
        </r>
        <r>
          <rPr>
            <sz val="9"/>
            <color indexed="81"/>
            <rFont val="Tahoma"/>
            <family val="2"/>
          </rPr>
          <t>C</t>
        </r>
        <r>
          <rPr>
            <vertAlign val="subscript"/>
            <sz val="9"/>
            <color indexed="81"/>
            <rFont val="Tahoma"/>
            <family val="2"/>
          </rPr>
          <t>OUT2</t>
        </r>
        <r>
          <rPr>
            <sz val="9"/>
            <color indexed="81"/>
            <rFont val="Tahoma"/>
            <family val="2"/>
          </rPr>
          <t xml:space="preserve"> is placed behind the current sense resistor R</t>
        </r>
        <r>
          <rPr>
            <vertAlign val="subscript"/>
            <sz val="9"/>
            <color indexed="81"/>
            <rFont val="Tahoma"/>
            <family val="2"/>
          </rPr>
          <t>ISNS</t>
        </r>
        <r>
          <rPr>
            <sz val="9"/>
            <color indexed="81"/>
            <rFont val="Tahoma"/>
            <family val="2"/>
          </rPr>
          <t>.
The total output capacitance C</t>
        </r>
        <r>
          <rPr>
            <vertAlign val="subscript"/>
            <sz val="9"/>
            <color indexed="81"/>
            <rFont val="Tahoma"/>
            <family val="2"/>
          </rPr>
          <t>OUT</t>
        </r>
        <r>
          <rPr>
            <sz val="9"/>
            <color indexed="81"/>
            <rFont val="Tahoma"/>
            <family val="2"/>
          </rPr>
          <t xml:space="preserve"> should be splitted to C</t>
        </r>
        <r>
          <rPr>
            <vertAlign val="subscript"/>
            <sz val="9"/>
            <color indexed="81"/>
            <rFont val="Tahoma"/>
            <family val="2"/>
          </rPr>
          <t>OUT1</t>
        </r>
        <r>
          <rPr>
            <sz val="9"/>
            <color indexed="81"/>
            <rFont val="Tahoma"/>
            <family val="2"/>
          </rPr>
          <t xml:space="preserve"> and C</t>
        </r>
        <r>
          <rPr>
            <vertAlign val="subscript"/>
            <sz val="9"/>
            <color indexed="81"/>
            <rFont val="Tahoma"/>
            <family val="2"/>
          </rPr>
          <t>OUT2</t>
        </r>
        <r>
          <rPr>
            <sz val="9"/>
            <color indexed="81"/>
            <rFont val="Tahoma"/>
            <family val="2"/>
          </rPr>
          <t xml:space="preserve"> if the current limit function is used. </t>
        </r>
      </text>
    </comment>
    <comment ref="F61" authorId="0" shapeId="0" xr:uid="{00000000-0006-0000-0000-000016000000}">
      <text>
        <r>
          <rPr>
            <b/>
            <u/>
            <sz val="8"/>
            <color indexed="81"/>
            <rFont val="Tahoma"/>
            <family val="2"/>
          </rPr>
          <t>Soft-Start Time</t>
        </r>
        <r>
          <rPr>
            <b/>
            <sz val="8"/>
            <color indexed="81"/>
            <rFont val="Tahoma"/>
            <family val="2"/>
          </rPr>
          <t xml:space="preserve">:
</t>
        </r>
        <r>
          <rPr>
            <sz val="8"/>
            <color indexed="81"/>
            <rFont val="Tahoma"/>
            <family val="2"/>
          </rPr>
          <t>Minimum soft-start time to not trigger overcurrent set with I</t>
        </r>
        <r>
          <rPr>
            <vertAlign val="subscript"/>
            <sz val="8"/>
            <color indexed="81"/>
            <rFont val="Tahoma"/>
            <family val="2"/>
          </rPr>
          <t>SCP</t>
        </r>
        <r>
          <rPr>
            <sz val="8"/>
            <color indexed="81"/>
            <rFont val="Tahoma"/>
            <family val="2"/>
          </rPr>
          <t>. It does consider load current during startup phase.</t>
        </r>
      </text>
    </comment>
    <comment ref="F62" authorId="0" shapeId="0" xr:uid="{49FF2FC0-2D92-4262-A525-252EE6320BD5}">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The soft-start time cannot be shorter than the internal 1.28 ms soft-start timer.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1.28 ms.</t>
        </r>
      </text>
    </comment>
    <comment ref="F65" authorId="0" shapeId="0" xr:uid="{00000000-0006-0000-0000-000018000000}">
      <text>
        <r>
          <rPr>
            <b/>
            <u/>
            <sz val="9"/>
            <color indexed="81"/>
            <rFont val="Tahoma"/>
            <family val="2"/>
          </rPr>
          <t>Nominal UVLO Turn-On Input Voltage</t>
        </r>
        <r>
          <rPr>
            <b/>
            <sz val="9"/>
            <color indexed="81"/>
            <rFont val="Tahoma"/>
            <family val="2"/>
          </rPr>
          <t xml:space="preserve">:
</t>
        </r>
        <r>
          <rPr>
            <sz val="9"/>
            <color indexed="81"/>
            <rFont val="Tahoma"/>
            <family val="2"/>
          </rPr>
          <t xml:space="preserve">Enter the nominal input voltage at turn on.
The LM5177 input operating voltage range is 2.8V to 78V.
</t>
        </r>
        <r>
          <rPr>
            <b/>
            <sz val="9"/>
            <color indexed="81"/>
            <rFont val="Tahoma"/>
            <family val="2"/>
          </rPr>
          <t>The text in the cell is flagged red if:</t>
        </r>
        <r>
          <rPr>
            <sz val="9"/>
            <color indexed="81"/>
            <rFont val="Tahoma"/>
            <family val="2"/>
          </rPr>
          <t xml:space="preserve">
-The input voltage is below </t>
        </r>
        <r>
          <rPr>
            <b/>
            <sz val="9"/>
            <color indexed="10"/>
            <rFont val="Tahoma"/>
            <family val="2"/>
          </rPr>
          <t>2.8V</t>
        </r>
        <r>
          <rPr>
            <sz val="9"/>
            <color indexed="81"/>
            <rFont val="Tahoma"/>
            <family val="2"/>
          </rPr>
          <t xml:space="preserve">
-The input voltage is above </t>
        </r>
        <r>
          <rPr>
            <b/>
            <sz val="9"/>
            <color indexed="10"/>
            <rFont val="Tahoma"/>
            <family val="2"/>
          </rPr>
          <t>78V</t>
        </r>
      </text>
    </comment>
    <comment ref="F67" authorId="0" shapeId="0" xr:uid="{00000000-0006-0000-0000-000019000000}">
      <text>
        <r>
          <rPr>
            <b/>
            <u/>
            <sz val="9"/>
            <color indexed="81"/>
            <rFont val="Tahoma"/>
            <family val="2"/>
          </rPr>
          <t>Nominal UVLO Upper Resistor</t>
        </r>
        <r>
          <rPr>
            <b/>
            <sz val="9"/>
            <color indexed="81"/>
            <rFont val="Tahoma"/>
            <family val="2"/>
          </rPr>
          <t>:</t>
        </r>
        <r>
          <rPr>
            <sz val="9"/>
            <color indexed="81"/>
            <rFont val="Tahoma"/>
            <family val="2"/>
          </rPr>
          <t xml:space="preserve">
This is the upper UVLO resistor that sets the input voltage turn on. </t>
        </r>
        <r>
          <rPr>
            <sz val="9"/>
            <color indexed="81"/>
            <rFont val="Tahoma"/>
            <family val="2"/>
          </rPr>
          <t xml:space="preserve">
If the hysteresis is selected to low N/A is shown.</t>
        </r>
      </text>
    </comment>
    <comment ref="F76" authorId="0" shapeId="0" xr:uid="{00000000-0006-0000-0000-00001A000000}">
      <text>
        <r>
          <rPr>
            <b/>
            <u/>
            <sz val="9"/>
            <color indexed="81"/>
            <rFont val="Tahoma"/>
            <family val="2"/>
          </rPr>
          <t>Crossover Frequency</t>
        </r>
        <r>
          <rPr>
            <b/>
            <sz val="9"/>
            <color indexed="81"/>
            <rFont val="Tahoma"/>
            <family val="2"/>
          </rPr>
          <t>:</t>
        </r>
        <r>
          <rPr>
            <sz val="9"/>
            <color indexed="81"/>
            <rFont val="Tahoma"/>
            <family val="2"/>
          </rPr>
          <t xml:space="preserve">
Enter the desired crossover frequency (the lower value of 5% to 20% of switching frequency and f</t>
        </r>
        <r>
          <rPr>
            <vertAlign val="subscript"/>
            <sz val="9"/>
            <color indexed="81"/>
            <rFont val="Tahoma"/>
            <family val="2"/>
          </rPr>
          <t>RHPZ</t>
        </r>
        <r>
          <rPr>
            <sz val="9"/>
            <color indexed="81"/>
            <rFont val="Tahoma"/>
            <family val="2"/>
          </rPr>
          <t xml:space="preserve">/4). This feedback compensation components are determined based on this target performance metric.
</t>
        </r>
        <r>
          <rPr>
            <b/>
            <sz val="9"/>
            <color indexed="39"/>
            <rFont val="Tahoma"/>
            <family val="2"/>
          </rPr>
          <t>Note:</t>
        </r>
        <r>
          <rPr>
            <sz val="9"/>
            <color indexed="81"/>
            <rFont val="Tahoma"/>
            <family val="2"/>
          </rPr>
          <t xml:space="preserve">
</t>
        </r>
        <r>
          <rPr>
            <b/>
            <sz val="9"/>
            <color indexed="81"/>
            <rFont val="Tahoma"/>
            <family val="2"/>
          </rPr>
          <t>Compensaton components are calculated based on the nominal input voltage entered in Step 1.</t>
        </r>
        <r>
          <rPr>
            <sz val="9"/>
            <color indexed="81"/>
            <rFont val="Tahoma"/>
            <family val="2"/>
          </rPr>
          <t xml:space="preserve">
</t>
        </r>
        <r>
          <rPr>
            <b/>
            <sz val="9"/>
            <color indexed="10"/>
            <rFont val="Tahoma"/>
            <family val="2"/>
          </rPr>
          <t xml:space="preserve">
** After fixing the compensation components, sweep VIN(nom) across the input range to ensure adequate stability performance, especially at low VIN **</t>
        </r>
      </text>
    </comment>
    <comment ref="F78" authorId="0" shapeId="0" xr:uid="{00000000-0006-0000-0000-00001B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FBT</t>
        </r>
        <r>
          <rPr>
            <sz val="9"/>
            <color indexed="81"/>
            <rFont val="Tahoma"/>
            <family val="2"/>
          </rPr>
          <t xml:space="preserve"> is 100kΩ.</t>
        </r>
      </text>
    </comment>
    <comment ref="F89" authorId="0" shapeId="0" xr:uid="{00000000-0006-0000-0000-00001C000000}">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nominal input voltage from Step 1 and the desired crossover frequency from Step 7.</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1. Fix the compensation values by clicking the FIX VALUES button.</t>
        </r>
        <r>
          <rPr>
            <b/>
            <sz val="9"/>
            <color indexed="10"/>
            <rFont val="Tahoma"/>
            <family val="2"/>
          </rPr>
          <t xml:space="preserve">
</t>
        </r>
        <r>
          <rPr>
            <b/>
            <sz val="9"/>
            <color indexed="39"/>
            <rFont val="Tahoma"/>
            <family val="2"/>
          </rPr>
          <t>2. Sweep VIN(nom) across the required input range to ensure adequate stability performance, especially at low VIN.</t>
        </r>
      </text>
    </comment>
    <comment ref="O89" authorId="0" shapeId="0" xr:uid="{1D5F5C95-AEAE-4972-A4B7-0E23431A7248}">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nominal input voltage from Step 1 and Compensation of the voltage loop.</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Sweep VIN(nom) across the required input range to ensure adequate stability performance, especially at low VIN.</t>
        </r>
      </text>
    </comment>
    <comment ref="E99" authorId="2" shapeId="0" xr:uid="{458B588D-0E24-44BC-906A-EDA44992119F}">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7.5V).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99" authorId="2" shapeId="0" xr:uid="{2C0CE323-6798-492B-8268-5EEF0395BA3D}">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7.5V).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100" authorId="2" shapeId="0" xr:uid="{CE6D5A61-2CB1-4C9C-9667-9A58799FD6A3}">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7.5V).</t>
        </r>
      </text>
    </comment>
    <comment ref="F100" authorId="2" shapeId="0" xr:uid="{AA261E3E-42CF-4193-9F39-4FD39834E382}">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7.5V).</t>
        </r>
      </text>
    </comment>
    <comment ref="E101" authorId="2" shapeId="0" xr:uid="{2AD52FCD-54A4-416D-8EE7-A1BBDE98628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101" authorId="2" shapeId="0" xr:uid="{D69027B8-5411-4E3A-83C1-CB639E1C928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E102" authorId="2" shapeId="0" xr:uid="{AE6EC439-2C3E-44AD-B857-6DD28DBBDC09}">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F102" authorId="2" shapeId="0" xr:uid="{6685CB03-13AF-4036-B018-8BF0311E3D08}">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103" authorId="2" shapeId="0" xr:uid="{E1CD17BD-A5F2-4F67-B67D-E7E523BFDF01}">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103" authorId="2" shapeId="0" xr:uid="{1D53B343-75FC-40AF-9837-5778DECA504D}">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104" authorId="2" shapeId="0" xr:uid="{21B81A84-F742-43F3-8C1C-DFE20F80F2A5}">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104" authorId="2" shapeId="0" xr:uid="{98975F12-9E5F-4AFA-B465-7E3B5FF7491E}">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105" authorId="2" shapeId="0" xr:uid="{4CC216A4-146C-4A22-94A4-7B578F57D17E}">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105" authorId="2" shapeId="0" xr:uid="{A14B684C-FA96-490F-8811-37C9F752FF17}">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106" authorId="2" shapeId="0" xr:uid="{6AF299C2-554C-41F7-9B14-8EFC34DC6466}">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106" authorId="2" shapeId="0" xr:uid="{CCA51F66-638E-42B8-B68B-45F167663FC1}">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107" authorId="2" shapeId="0" xr:uid="{740FB857-9A78-4D87-BC16-28A95C8917DF}">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108" authorId="2" shapeId="0" xr:uid="{DEE6977B-FF4A-454B-8A93-A80871F011B3}">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108" authorId="2" shapeId="0" xr:uid="{DB6A72B9-097E-455B-9B07-0F8D79D839F8}">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12" authorId="2" shapeId="0" xr:uid="{A9990DA7-1058-4634-95CB-67C68CD95949}">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7.5V).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112" authorId="2" shapeId="0" xr:uid="{5BCD6D38-250F-4C50-B467-E7C2A23B109D}">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7.5V).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113" authorId="2" shapeId="0" xr:uid="{A0F33137-B0CF-475D-9E77-BE291972FB72}">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7.5V).</t>
        </r>
      </text>
    </comment>
    <comment ref="F113" authorId="2" shapeId="0" xr:uid="{D10205D4-5896-463A-ACCB-1BA88673789A}">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7.5V).</t>
        </r>
      </text>
    </comment>
    <comment ref="E114" authorId="2" shapeId="0" xr:uid="{49F0D0B6-DD19-4DB8-9058-32C34E044D36}">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114" authorId="2" shapeId="0" xr:uid="{3BD61B88-2EA3-4950-BEF4-FC3EF058FA49}">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E115" authorId="2" shapeId="0" xr:uid="{521BBB48-C1D6-4693-B2E6-7F17B98954BF}">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F115" authorId="2" shapeId="0" xr:uid="{B1437302-1EDB-40F5-8EBB-187DB7577322}">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116" authorId="2" shapeId="0" xr:uid="{D17F2257-66F0-4014-BE1F-21D087B7257D}">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116" authorId="2" shapeId="0" xr:uid="{0010656E-30A0-4C69-8924-72E14E0DF0D6}">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117" authorId="2" shapeId="0" xr:uid="{4CEDCACC-88AA-430B-BF20-C9AEE7BE6022}">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117" authorId="2" shapeId="0" xr:uid="{F25312DB-6EAE-4B64-83EB-D29C4CE04138}">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118" authorId="2" shapeId="0" xr:uid="{341B4330-8995-4AF5-A8B1-AA3E2520C8D5}">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118" authorId="2" shapeId="0" xr:uid="{7B880678-F22B-4DA4-86CC-CFF53BE51B73}">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119" authorId="2" shapeId="0" xr:uid="{A388C7D6-7322-4922-8EFE-215CB2C8F746}">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119" authorId="2" shapeId="0" xr:uid="{0C52903E-327B-4827-B302-C6CAC8E6A94C}">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120" authorId="2" shapeId="0" xr:uid="{00000000-0006-0000-0000-000042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boost high-side MOSFET body diode here. </t>
        </r>
      </text>
    </comment>
    <comment ref="E121" authorId="2" shapeId="0" xr:uid="{00000000-0006-0000-0000-000043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121" authorId="2" shapeId="0" xr:uid="{00000000-0006-0000-0000-000044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24" authorId="2" shapeId="0" xr:uid="{00000000-0006-0000-0000-000045000000}">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F124" authorId="2" shapeId="0" xr:uid="{00000000-0006-0000-0000-000046000000}">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E125" authorId="2" shapeId="0" xr:uid="{00000000-0006-0000-0000-000047000000}">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 ref="F125" authorId="2" shapeId="0" xr:uid="{00000000-0006-0000-0000-000048000000}">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Timothy Hegarty</author>
  </authors>
  <commentList>
    <comment ref="F7" authorId="0" shapeId="0" xr:uid="{5CB57432-789D-4911-AE6E-7C746698B0AC}">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FBT</t>
        </r>
        <r>
          <rPr>
            <sz val="9"/>
            <color indexed="81"/>
            <rFont val="Tahoma"/>
            <family val="2"/>
          </rPr>
          <t xml:space="preserve"> is 100kΩ.</t>
        </r>
      </text>
    </comment>
    <comment ref="F20" authorId="0" shapeId="0" xr:uid="{F0510F79-FE30-41B1-BE6F-799F1102A4B8}">
      <text>
        <r>
          <rPr>
            <b/>
            <u/>
            <sz val="9"/>
            <color indexed="81"/>
            <rFont val="Tahoma"/>
            <family val="2"/>
          </rPr>
          <t>Mode Transition on Vin</t>
        </r>
        <r>
          <rPr>
            <b/>
            <sz val="9"/>
            <color indexed="81"/>
            <rFont val="Tahoma"/>
            <family val="2"/>
          </rPr>
          <t>:</t>
        </r>
        <r>
          <rPr>
            <sz val="9"/>
            <color indexed="81"/>
            <rFont val="Tahoma"/>
            <family val="2"/>
          </rPr>
          <t xml:space="preserve">
Device Transtion from Buck to BuckBoost mode at this input voltage.</t>
        </r>
      </text>
    </comment>
    <comment ref="F21" authorId="0" shapeId="0" xr:uid="{0B1BF78A-9F5F-442C-963B-20CE790C1D56}">
      <text>
        <r>
          <rPr>
            <b/>
            <u/>
            <sz val="9"/>
            <color indexed="81"/>
            <rFont val="Tahoma"/>
            <family val="2"/>
          </rPr>
          <t xml:space="preserve">Mode Transition on Vin:
</t>
        </r>
        <r>
          <rPr>
            <sz val="9"/>
            <color indexed="81"/>
            <rFont val="Tahoma"/>
            <family val="2"/>
          </rPr>
          <t>Device Transtion from BuckBoost to Buck mode at this input voltage.</t>
        </r>
      </text>
    </comment>
    <comment ref="F22" authorId="0" shapeId="0" xr:uid="{6C7FD7DC-2361-4458-8B54-FD96BA98A6EE}">
      <text>
        <r>
          <rPr>
            <b/>
            <u/>
            <sz val="9"/>
            <color indexed="81"/>
            <rFont val="Tahoma"/>
            <family val="2"/>
          </rPr>
          <t xml:space="preserve">Mode Transition on Vin:
</t>
        </r>
        <r>
          <rPr>
            <sz val="9"/>
            <color indexed="81"/>
            <rFont val="Tahoma"/>
            <family val="2"/>
          </rPr>
          <t>Device Transtion from Boost to BuckBoost mode at this input voltage.</t>
        </r>
      </text>
    </comment>
    <comment ref="F23" authorId="0" shapeId="0" xr:uid="{A70C801F-3FE8-4154-8AD5-0B38B88F1DEA}">
      <text>
        <r>
          <rPr>
            <b/>
            <u/>
            <sz val="9"/>
            <color indexed="81"/>
            <rFont val="Tahoma"/>
            <family val="2"/>
          </rPr>
          <t xml:space="preserve">Mode Transition on Vin:
</t>
        </r>
        <r>
          <rPr>
            <sz val="9"/>
            <color indexed="81"/>
            <rFont val="Tahoma"/>
            <family val="2"/>
          </rPr>
          <t>Device Transtion from BuckBoost to Boost mode at this input voltage.</t>
        </r>
      </text>
    </comment>
  </commentList>
</comments>
</file>

<file path=xl/sharedStrings.xml><?xml version="1.0" encoding="utf-8"?>
<sst xmlns="http://schemas.openxmlformats.org/spreadsheetml/2006/main" count="2678" uniqueCount="1293">
  <si>
    <t>V</t>
  </si>
  <si>
    <t>Output Voltage</t>
  </si>
  <si>
    <t>A</t>
  </si>
  <si>
    <t>kHz</t>
  </si>
  <si>
    <t>Vin</t>
  </si>
  <si>
    <t>Vout</t>
  </si>
  <si>
    <t>Iout</t>
  </si>
  <si>
    <t>Fsw</t>
  </si>
  <si>
    <t>Value</t>
  </si>
  <si>
    <t>STD Units</t>
  </si>
  <si>
    <t>Hz</t>
  </si>
  <si>
    <t>uH</t>
  </si>
  <si>
    <t>Rdcr</t>
  </si>
  <si>
    <t>Notes</t>
  </si>
  <si>
    <t>Nominal input voltage</t>
  </si>
  <si>
    <t>Don1</t>
  </si>
  <si>
    <t>Doff1</t>
  </si>
  <si>
    <t>Don2</t>
  </si>
  <si>
    <t>Doff2</t>
  </si>
  <si>
    <t>index</t>
  </si>
  <si>
    <t>H</t>
  </si>
  <si>
    <t>Ohms</t>
  </si>
  <si>
    <t>Vripple1</t>
  </si>
  <si>
    <t>Minimum Output Capacitnace</t>
  </si>
  <si>
    <t>Coutmin</t>
  </si>
  <si>
    <t>uF</t>
  </si>
  <si>
    <t>F</t>
  </si>
  <si>
    <t>Cout</t>
  </si>
  <si>
    <t>Fesr</t>
  </si>
  <si>
    <t>Q</t>
  </si>
  <si>
    <t>V/V</t>
  </si>
  <si>
    <t>Rfb1</t>
  </si>
  <si>
    <t>pF</t>
  </si>
  <si>
    <t>Cc1ea</t>
  </si>
  <si>
    <t>Cc2ea</t>
  </si>
  <si>
    <t>Rcea1</t>
  </si>
  <si>
    <t>Rcea1_u</t>
  </si>
  <si>
    <t>Cc1ea_u</t>
  </si>
  <si>
    <t>Cc2ea_u</t>
  </si>
  <si>
    <t>Fz1</t>
  </si>
  <si>
    <t>Fp1</t>
  </si>
  <si>
    <t>Pi</t>
  </si>
  <si>
    <t>Vp-p</t>
  </si>
  <si>
    <t>Rfb2</t>
  </si>
  <si>
    <t>Vref</t>
  </si>
  <si>
    <t>Reference Voltage</t>
  </si>
  <si>
    <t>Ro</t>
  </si>
  <si>
    <t>xover</t>
  </si>
  <si>
    <t>phase margin</t>
  </si>
  <si>
    <t>Total</t>
  </si>
  <si>
    <t>XOVER SEARCH</t>
  </si>
  <si>
    <t>Variable Name</t>
  </si>
  <si>
    <t>Resrmax</t>
  </si>
  <si>
    <t>mΩ</t>
  </si>
  <si>
    <t>kΩ</t>
  </si>
  <si>
    <t>TERMS OF USE</t>
  </si>
  <si>
    <t>IQ</t>
  </si>
  <si>
    <t>Step</t>
  </si>
  <si>
    <t>Total Loss</t>
  </si>
  <si>
    <t>Design</t>
  </si>
  <si>
    <t>L</t>
  </si>
  <si>
    <t>Cin</t>
  </si>
  <si>
    <t>Components</t>
  </si>
  <si>
    <t>Top FET</t>
  </si>
  <si>
    <t>RdsonDRB</t>
  </si>
  <si>
    <t>RdsonDRT</t>
  </si>
  <si>
    <t>Deadtime</t>
  </si>
  <si>
    <t>mOhms</t>
  </si>
  <si>
    <t>mA</t>
  </si>
  <si>
    <t>nC</t>
  </si>
  <si>
    <t>S</t>
  </si>
  <si>
    <t>QgBot</t>
  </si>
  <si>
    <t>RdsonBot</t>
  </si>
  <si>
    <t>GfsTop</t>
  </si>
  <si>
    <t>QgTop</t>
  </si>
  <si>
    <t>RdsonTop</t>
  </si>
  <si>
    <t>VsdBot</t>
  </si>
  <si>
    <t>QrrBot</t>
  </si>
  <si>
    <t>TrrBot</t>
  </si>
  <si>
    <t>ns</t>
  </si>
  <si>
    <t>Units</t>
  </si>
  <si>
    <t>Outputs</t>
  </si>
  <si>
    <t>Dprime</t>
  </si>
  <si>
    <t>RdsonTopTc</t>
  </si>
  <si>
    <t>RdsonBotTc</t>
  </si>
  <si>
    <t>ppm</t>
  </si>
  <si>
    <t>LTc</t>
  </si>
  <si>
    <t>Ta</t>
  </si>
  <si>
    <t>RCoutEsr</t>
  </si>
  <si>
    <t>RCinEsr</t>
  </si>
  <si>
    <t>DCR    Loss</t>
  </si>
  <si>
    <t>Tr</t>
  </si>
  <si>
    <t>Tf</t>
  </si>
  <si>
    <t>RGateTop</t>
  </si>
  <si>
    <t>RGateBot</t>
  </si>
  <si>
    <t>VthTop</t>
  </si>
  <si>
    <t>Switching Frequency</t>
  </si>
  <si>
    <t>Max Output Current</t>
  </si>
  <si>
    <t>Ambient Temperature</t>
  </si>
  <si>
    <t>Inductor Series Resistance Temp Co</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</si>
  <si>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</si>
  <si>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</si>
  <si>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</si>
  <si>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</si>
  <si>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</si>
  <si>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</si>
  <si>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</si>
  <si>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</si>
  <si>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</si>
  <si>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</si>
  <si>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</si>
  <si>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Drain to Source Resistance Temp Co</t>
  </si>
  <si>
    <t>Reverse Recovery Charge of Body Diode</t>
  </si>
  <si>
    <t>Input Value</t>
  </si>
  <si>
    <t>Top Driver</t>
  </si>
  <si>
    <t>Bottom Driver</t>
  </si>
  <si>
    <t>Part Power</t>
  </si>
  <si>
    <t>Power Dis</t>
  </si>
  <si>
    <t>W</t>
  </si>
  <si>
    <t>Controller</t>
  </si>
  <si>
    <t>Theta Ja</t>
  </si>
  <si>
    <t>Temp rise</t>
  </si>
  <si>
    <t>θJA=80</t>
  </si>
  <si>
    <t>θJA=100</t>
  </si>
  <si>
    <t>θJA=120</t>
  </si>
  <si>
    <t>θJA=140</t>
  </si>
  <si>
    <t>θJA=160</t>
  </si>
  <si>
    <t>θJA=180</t>
  </si>
  <si>
    <t>QgdTop</t>
  </si>
  <si>
    <t>Gate to Drain Charge</t>
  </si>
  <si>
    <t>Qg</t>
  </si>
  <si>
    <t>θJA=20</t>
  </si>
  <si>
    <t>θJA=30</t>
  </si>
  <si>
    <t>θJA=40</t>
  </si>
  <si>
    <t>θJA=50</t>
  </si>
  <si>
    <t>250kHz / 5-1.2V /25A</t>
  </si>
  <si>
    <t>250kHz / 12-5V / 30A</t>
  </si>
  <si>
    <t>500kHz / 5-1.2V / 15A</t>
  </si>
  <si>
    <t>1Mhz / 5-1.2V / 10A</t>
  </si>
  <si>
    <t>1Mhz / 12-1.2V/ 10A</t>
  </si>
  <si>
    <t>500kHz / 12-5V / 15A</t>
  </si>
  <si>
    <t>250kHz / 18-1.2V / 20A</t>
  </si>
  <si>
    <t>500kHz / 18-1.2V / 20A</t>
  </si>
  <si>
    <t>θJA=120°C/W - 160°C/W</t>
  </si>
  <si>
    <t>θJA=30°C/W - 50°C/W</t>
  </si>
  <si>
    <t>VspTop</t>
  </si>
  <si>
    <t>QgsTop</t>
  </si>
  <si>
    <t>RdsonDRB2</t>
  </si>
  <si>
    <t>RdsonDRT2</t>
  </si>
  <si>
    <t>EFF_1 @ 25°C</t>
  </si>
  <si>
    <t>Efficiency</t>
  </si>
  <si>
    <t>Pdis</t>
  </si>
  <si>
    <t>Vin=10V</t>
  </si>
  <si>
    <t>Vout=5.1V</t>
  </si>
  <si>
    <t xml:space="preserve">L=3.3uH/30mOhm </t>
  </si>
  <si>
    <t>4394 Top and Bottom Fets</t>
  </si>
  <si>
    <t xml:space="preserve">IQ </t>
  </si>
  <si>
    <t>ThetaCa</t>
  </si>
  <si>
    <t>Core to Ambient Thermal Resistance</t>
  </si>
  <si>
    <t>Quiescent Current Of Controller (Not Switching!)</t>
  </si>
  <si>
    <t>This pole cancels the zero from the Output Cap ESR</t>
  </si>
  <si>
    <t>s</t>
  </si>
  <si>
    <t>Part Characteristics</t>
  </si>
  <si>
    <t>C</t>
  </si>
  <si>
    <t>Switching Current Loss</t>
  </si>
  <si>
    <t>Rfb2_u</t>
  </si>
  <si>
    <t>CoutEsr</t>
  </si>
  <si>
    <t>Ω</t>
  </si>
  <si>
    <t>Step 4: Output Capacitor</t>
  </si>
  <si>
    <t>Step 5: Input Capacitor</t>
  </si>
  <si>
    <t>nF</t>
  </si>
  <si>
    <t>R1</t>
  </si>
  <si>
    <t>R2</t>
  </si>
  <si>
    <t>VIN</t>
  </si>
  <si>
    <t>A (rms)</t>
  </si>
  <si>
    <t>= Input Box</t>
  </si>
  <si>
    <t>Input capacitance</t>
  </si>
  <si>
    <t>Step 1: Operational Specs</t>
  </si>
  <si>
    <t>ms</t>
  </si>
  <si>
    <t>Tss</t>
  </si>
  <si>
    <t>Iss</t>
  </si>
  <si>
    <t>Css</t>
  </si>
  <si>
    <t>C1</t>
  </si>
  <si>
    <t>C2</t>
  </si>
  <si>
    <t>Ripple I</t>
  </si>
  <si>
    <t>%</t>
  </si>
  <si>
    <t xml:space="preserve">I1 </t>
  </si>
  <si>
    <t xml:space="preserve">I2 </t>
  </si>
  <si>
    <t>Part Number</t>
  </si>
  <si>
    <t>Rh</t>
  </si>
  <si>
    <t>Capacitors</t>
  </si>
  <si>
    <t>(pF)</t>
  </si>
  <si>
    <t>Standard Result</t>
  </si>
  <si>
    <t>Inputs</t>
  </si>
  <si>
    <t>Css_u</t>
  </si>
  <si>
    <t>Resistors</t>
  </si>
  <si>
    <t>inputs</t>
  </si>
  <si>
    <t>Rs</t>
  </si>
  <si>
    <t xml:space="preserve">                </t>
  </si>
  <si>
    <t>Cc1</t>
  </si>
  <si>
    <t>Cc2</t>
  </si>
  <si>
    <t>Csby</t>
  </si>
  <si>
    <t>Rc1</t>
  </si>
  <si>
    <t>Other Input Variables</t>
  </si>
  <si>
    <r>
      <t>R</t>
    </r>
    <r>
      <rPr>
        <vertAlign val="subscript"/>
        <sz val="10"/>
        <rFont val="Arial"/>
        <family val="2"/>
      </rPr>
      <t>PG</t>
    </r>
  </si>
  <si>
    <r>
      <t>R</t>
    </r>
    <r>
      <rPr>
        <vertAlign val="subscript"/>
        <sz val="10"/>
        <rFont val="Arial"/>
        <family val="2"/>
      </rPr>
      <t>SB</t>
    </r>
  </si>
  <si>
    <t>Rfets</t>
  </si>
  <si>
    <t>cap loss eq res</t>
  </si>
  <si>
    <t>Fet loss eq res</t>
  </si>
  <si>
    <t>Diode loss eq res</t>
  </si>
  <si>
    <t>Sw cap</t>
  </si>
  <si>
    <t xml:space="preserve"> </t>
  </si>
  <si>
    <t>Rc1ea</t>
  </si>
  <si>
    <t>Frequency of Ringing</t>
  </si>
  <si>
    <t>MHz</t>
  </si>
  <si>
    <t>STD UNITS</t>
  </si>
  <si>
    <t>UNITS</t>
  </si>
  <si>
    <t>SW capacitance</t>
  </si>
  <si>
    <t>Csnub</t>
  </si>
  <si>
    <t>Lpar</t>
  </si>
  <si>
    <t>nH</t>
  </si>
  <si>
    <t>Rsnub</t>
  </si>
  <si>
    <t>Rset</t>
  </si>
  <si>
    <t>Blank out</t>
  </si>
  <si>
    <t>Input from user =</t>
  </si>
  <si>
    <t>Constant</t>
  </si>
  <si>
    <t>Step 8: Efficiency</t>
  </si>
  <si>
    <t>Vripple</t>
  </si>
  <si>
    <t>VfdSky</t>
  </si>
  <si>
    <t>QrrSky</t>
  </si>
  <si>
    <t>Ireverse</t>
  </si>
  <si>
    <t>Diode Forward Voltage</t>
  </si>
  <si>
    <t>Diode Reverse Recovery Charge</t>
  </si>
  <si>
    <t>Reverse Leakage Current</t>
  </si>
  <si>
    <t>External Diode</t>
  </si>
  <si>
    <t>VsdTop</t>
  </si>
  <si>
    <t>Switching Current Diss</t>
  </si>
  <si>
    <t>°C/W</t>
  </si>
  <si>
    <t>SCHEMATIC LABELS</t>
  </si>
  <si>
    <t>OUTPUT CURRENT</t>
  </si>
  <si>
    <t>Dmax</t>
  </si>
  <si>
    <t>Ipp</t>
  </si>
  <si>
    <t>Current (switching)</t>
  </si>
  <si>
    <t>Qrr Current</t>
  </si>
  <si>
    <t>Diode Current</t>
  </si>
  <si>
    <t>Std Units</t>
  </si>
  <si>
    <t>Total Application Switching IQ</t>
  </si>
  <si>
    <t xml:space="preserve">VIN </t>
  </si>
  <si>
    <t>CBOOT</t>
  </si>
  <si>
    <t>VDD</t>
  </si>
  <si>
    <t>SYNC</t>
  </si>
  <si>
    <t>EN</t>
  </si>
  <si>
    <t>PGOOD</t>
  </si>
  <si>
    <t>SS/TRACK</t>
  </si>
  <si>
    <t>FADJ</t>
  </si>
  <si>
    <t>GND</t>
  </si>
  <si>
    <t>COMP</t>
  </si>
  <si>
    <t>FB</t>
  </si>
  <si>
    <t>CS-</t>
  </si>
  <si>
    <t>CS+</t>
  </si>
  <si>
    <t>LG</t>
  </si>
  <si>
    <t>SW</t>
  </si>
  <si>
    <t>HG</t>
  </si>
  <si>
    <t>CIN</t>
  </si>
  <si>
    <t>DCR at hot</t>
  </si>
  <si>
    <t>Temp</t>
  </si>
  <si>
    <t>µH</t>
  </si>
  <si>
    <t>µF</t>
  </si>
  <si>
    <t>Cinmin</t>
  </si>
  <si>
    <t>Vinripple1</t>
  </si>
  <si>
    <t>CinEsrMax</t>
  </si>
  <si>
    <t>Vinripple2</t>
  </si>
  <si>
    <t>Output =</t>
  </si>
  <si>
    <t>OTP</t>
  </si>
  <si>
    <t>RS</t>
  </si>
  <si>
    <t>Bottom Schottky</t>
  </si>
  <si>
    <t>Step 2: Filter Inductor</t>
  </si>
  <si>
    <t>Step 1: Operating Specifications</t>
  </si>
  <si>
    <t>°C</t>
  </si>
  <si>
    <t>Std Values</t>
  </si>
  <si>
    <t>Actual P/Z Frequencies</t>
  </si>
  <si>
    <r>
      <t>A</t>
    </r>
    <r>
      <rPr>
        <vertAlign val="subscript"/>
        <sz val="10"/>
        <rFont val="Arial"/>
        <family val="2"/>
      </rPr>
      <t>pk-pk</t>
    </r>
  </si>
  <si>
    <r>
      <t>mV</t>
    </r>
    <r>
      <rPr>
        <b/>
        <vertAlign val="subscript"/>
        <sz val="10"/>
        <rFont val="Arial"/>
        <family val="2"/>
      </rPr>
      <t>pk-pk</t>
    </r>
  </si>
  <si>
    <r>
      <t>mV</t>
    </r>
    <r>
      <rPr>
        <vertAlign val="subscript"/>
        <sz val="10"/>
        <rFont val="Arial"/>
        <family val="2"/>
      </rPr>
      <t>pk-pk</t>
    </r>
  </si>
  <si>
    <t>Efficiency / Power Loss Analyzer</t>
  </si>
  <si>
    <t>Step 7: Compensation Design</t>
  </si>
  <si>
    <t>Calculated /</t>
  </si>
  <si>
    <t xml:space="preserve">Recommended Filter Inductance </t>
  </si>
  <si>
    <t xml:space="preserve">Inductor DCR </t>
  </si>
  <si>
    <t xml:space="preserve">Maximum Permitted ESR </t>
  </si>
  <si>
    <t xml:space="preserve">Output Capacitor ESR </t>
  </si>
  <si>
    <t xml:space="preserve">Input Capacitor ESR </t>
  </si>
  <si>
    <t>About</t>
  </si>
  <si>
    <t>xx</t>
  </si>
  <si>
    <t>Max ESR before ripple exceeds Vripple1</t>
  </si>
  <si>
    <t>Chosen ESR</t>
  </si>
  <si>
    <t>Input capacitance series resistance (ESR)</t>
  </si>
  <si>
    <r>
      <t>VIN</t>
    </r>
    <r>
      <rPr>
        <vertAlign val="subscript"/>
        <sz val="10"/>
        <rFont val="Arial"/>
        <family val="2"/>
      </rPr>
      <t>UVLO_ON</t>
    </r>
  </si>
  <si>
    <t>Rising UVLO/EN Threshold</t>
  </si>
  <si>
    <t>Falling UVLO/EN Threshold</t>
  </si>
  <si>
    <t>UVLO/EN Current Hysteresis</t>
  </si>
  <si>
    <t>kΩ</t>
  </si>
  <si>
    <r>
      <t>VIN</t>
    </r>
    <r>
      <rPr>
        <vertAlign val="subscript"/>
        <sz val="10"/>
        <rFont val="Arial"/>
        <family val="2"/>
      </rPr>
      <t>UVLO_ON_ACTUAL</t>
    </r>
  </si>
  <si>
    <r>
      <t>VIN</t>
    </r>
    <r>
      <rPr>
        <vertAlign val="subscript"/>
        <sz val="10"/>
        <rFont val="Arial"/>
        <family val="2"/>
      </rPr>
      <t>UVLO_OFF_ACTUAL</t>
    </r>
  </si>
  <si>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</si>
  <si>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</si>
  <si>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</si>
  <si>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</si>
  <si>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</si>
  <si>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</si>
  <si>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</si>
  <si>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</si>
  <si>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CS</t>
    </r>
  </si>
  <si>
    <r>
      <t>C</t>
    </r>
    <r>
      <rPr>
        <vertAlign val="subscript"/>
        <sz val="10"/>
        <rFont val="Arial"/>
        <family val="2"/>
      </rPr>
      <t>IN</t>
    </r>
  </si>
  <si>
    <r>
      <t>C</t>
    </r>
    <r>
      <rPr>
        <vertAlign val="subscript"/>
        <sz val="10"/>
        <rFont val="Arial"/>
        <family val="2"/>
      </rPr>
      <t>OUT</t>
    </r>
  </si>
  <si>
    <r>
      <t>C</t>
    </r>
    <r>
      <rPr>
        <vertAlign val="subscript"/>
        <sz val="10"/>
        <rFont val="Arial"/>
        <family val="2"/>
      </rPr>
      <t>SS</t>
    </r>
  </si>
  <si>
    <r>
      <t>C</t>
    </r>
    <r>
      <rPr>
        <vertAlign val="subscript"/>
        <sz val="10"/>
        <rFont val="Arial"/>
        <family val="2"/>
      </rPr>
      <t>VIN</t>
    </r>
  </si>
  <si>
    <t>Ref Des</t>
  </si>
  <si>
    <t>Count</t>
  </si>
  <si>
    <t>Various</t>
  </si>
  <si>
    <t>-</t>
  </si>
  <si>
    <r>
      <t>R</t>
    </r>
    <r>
      <rPr>
        <vertAlign val="subscript"/>
        <sz val="10"/>
        <rFont val="Arial"/>
        <family val="2"/>
      </rPr>
      <t>C1</t>
    </r>
  </si>
  <si>
    <r>
      <t>R</t>
    </r>
    <r>
      <rPr>
        <vertAlign val="subscript"/>
        <sz val="10"/>
        <rFont val="Arial"/>
        <family val="2"/>
      </rPr>
      <t>UV1</t>
    </r>
  </si>
  <si>
    <r>
      <t>R</t>
    </r>
    <r>
      <rPr>
        <vertAlign val="subscript"/>
        <sz val="10"/>
        <rFont val="Arial"/>
        <family val="2"/>
      </rPr>
      <t>UV2</t>
    </r>
  </si>
  <si>
    <r>
      <t>R</t>
    </r>
    <r>
      <rPr>
        <vertAlign val="subscript"/>
        <sz val="10"/>
        <rFont val="Arial"/>
        <family val="2"/>
      </rPr>
      <t>VIN</t>
    </r>
  </si>
  <si>
    <r>
      <t>R</t>
    </r>
    <r>
      <rPr>
        <vertAlign val="subscript"/>
        <sz val="10"/>
        <rFont val="Arial"/>
        <family val="2"/>
      </rPr>
      <t>S</t>
    </r>
  </si>
  <si>
    <r>
      <t>R</t>
    </r>
    <r>
      <rPr>
        <vertAlign val="subscript"/>
        <sz val="10"/>
        <rFont val="Arial"/>
        <family val="2"/>
      </rPr>
      <t>PGOOD</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</si>
  <si>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</si>
  <si>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</si>
  <si>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</si>
  <si>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</si>
  <si>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</si>
  <si>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Ruv1</t>
  </si>
  <si>
    <t>Ruv2</t>
  </si>
  <si>
    <t># of input caps</t>
  </si>
  <si>
    <t>Capacitance per component (Cin)</t>
  </si>
  <si>
    <t>Capacitance per component (Cout)</t>
  </si>
  <si>
    <t># of output caps</t>
  </si>
  <si>
    <t>Input Voltage UVLO Off</t>
  </si>
  <si>
    <t>Ω</t>
  </si>
  <si>
    <r>
      <rPr>
        <b/>
        <u/>
        <sz val="10"/>
        <rFont val="Arial"/>
        <family val="2"/>
      </rPr>
      <t>NOTES</t>
    </r>
    <r>
      <rPr>
        <b/>
        <sz val="10"/>
        <rFont val="Arial"/>
        <family val="2"/>
      </rPr>
      <t>:</t>
    </r>
  </si>
  <si>
    <t>Series resistance due to FETs</t>
  </si>
  <si>
    <t>Output Resistance</t>
  </si>
  <si>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</si>
  <si>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</si>
  <si>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</si>
  <si>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</si>
  <si>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</si>
  <si>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</si>
  <si>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</si>
  <si>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t>%/°C</t>
  </si>
  <si>
    <t>Rt</t>
  </si>
  <si>
    <r>
      <t>Output Voltage, V</t>
    </r>
    <r>
      <rPr>
        <b/>
        <vertAlign val="subscript"/>
        <sz val="10"/>
        <color theme="1"/>
        <rFont val="Arial"/>
        <family val="2"/>
      </rPr>
      <t>OUT</t>
    </r>
    <r>
      <rPr>
        <b/>
        <sz val="10"/>
        <color theme="1"/>
        <rFont val="Arial"/>
        <family val="2"/>
      </rPr>
      <t xml:space="preserve"> </t>
    </r>
  </si>
  <si>
    <r>
      <t>Inductance, L</t>
    </r>
    <r>
      <rPr>
        <b/>
        <vertAlign val="subscript"/>
        <sz val="10"/>
        <color theme="1"/>
        <rFont val="Arial"/>
        <family val="2"/>
      </rPr>
      <t>F</t>
    </r>
    <r>
      <rPr>
        <b/>
        <sz val="10"/>
        <color theme="1"/>
        <rFont val="Arial"/>
        <family val="2"/>
      </rPr>
      <t xml:space="preserve"> </t>
    </r>
  </si>
  <si>
    <r>
      <t>Frequency Set Resistor, R</t>
    </r>
    <r>
      <rPr>
        <vertAlign val="subscript"/>
        <sz val="10"/>
        <rFont val="Arial"/>
        <family val="2"/>
      </rPr>
      <t>T</t>
    </r>
    <r>
      <rPr>
        <sz val="10"/>
        <rFont val="Arial"/>
        <family val="2"/>
      </rPr>
      <t xml:space="preserve"> </t>
    </r>
  </si>
  <si>
    <r>
      <t>Output Capacitance, C</t>
    </r>
    <r>
      <rPr>
        <b/>
        <vertAlign val="subscript"/>
        <sz val="10"/>
        <rFont val="Arial"/>
        <family val="2"/>
      </rPr>
      <t>OUT</t>
    </r>
    <r>
      <rPr>
        <b/>
        <sz val="10"/>
        <rFont val="Arial"/>
        <family val="2"/>
      </rPr>
      <t xml:space="preserve"> </t>
    </r>
  </si>
  <si>
    <r>
      <t>Input Capacitance, C</t>
    </r>
    <r>
      <rPr>
        <b/>
        <vertAlign val="subscript"/>
        <sz val="10"/>
        <color theme="1"/>
        <rFont val="Arial"/>
        <family val="2"/>
      </rPr>
      <t>IN</t>
    </r>
    <r>
      <rPr>
        <b/>
        <sz val="10"/>
        <color theme="1"/>
        <rFont val="Arial"/>
        <family val="2"/>
      </rPr>
      <t xml:space="preserve"> </t>
    </r>
  </si>
  <si>
    <r>
      <t>Soft-Start Capacitance, C</t>
    </r>
    <r>
      <rPr>
        <vertAlign val="subscript"/>
        <sz val="10"/>
        <rFont val="Arial"/>
        <family val="2"/>
      </rPr>
      <t>SS</t>
    </r>
    <r>
      <rPr>
        <sz val="10"/>
        <rFont val="Arial"/>
        <family val="2"/>
      </rPr>
      <t xml:space="preserve"> </t>
    </r>
  </si>
  <si>
    <r>
      <t>Soft-Start Time, t</t>
    </r>
    <r>
      <rPr>
        <b/>
        <vertAlign val="subscript"/>
        <sz val="10"/>
        <color theme="1"/>
        <rFont val="Arial"/>
        <family val="2"/>
      </rPr>
      <t>SS</t>
    </r>
    <r>
      <rPr>
        <b/>
        <sz val="10"/>
        <color theme="1"/>
        <rFont val="Arial"/>
        <family val="2"/>
      </rPr>
      <t xml:space="preserve"> </t>
    </r>
  </si>
  <si>
    <r>
      <t>V</t>
    </r>
    <r>
      <rPr>
        <vertAlign val="subscript"/>
        <sz val="10"/>
        <color theme="1"/>
        <rFont val="Arial"/>
        <family val="2"/>
      </rPr>
      <t>IN(min)</t>
    </r>
  </si>
  <si>
    <r>
      <t>V</t>
    </r>
    <r>
      <rPr>
        <vertAlign val="subscript"/>
        <sz val="10"/>
        <color theme="1"/>
        <rFont val="Arial"/>
        <family val="2"/>
      </rPr>
      <t>IN(nom)</t>
    </r>
  </si>
  <si>
    <r>
      <t>V</t>
    </r>
    <r>
      <rPr>
        <vertAlign val="subscript"/>
        <sz val="10"/>
        <color theme="1"/>
        <rFont val="Arial"/>
        <family val="2"/>
      </rPr>
      <t>IN(max)</t>
    </r>
  </si>
  <si>
    <t>VIN_max</t>
  </si>
  <si>
    <t>VIN_min</t>
  </si>
  <si>
    <t>Minimum input voltage</t>
  </si>
  <si>
    <t>Maximum input voltage</t>
  </si>
  <si>
    <t>Maximum Output Current</t>
  </si>
  <si>
    <t>Nominal Switching Frequency</t>
  </si>
  <si>
    <t>Voltage Hysteresis</t>
  </si>
  <si>
    <t>Falling UVLO/EN Current</t>
  </si>
  <si>
    <t>Rising UVLO/EN Current</t>
  </si>
  <si>
    <t>mV</t>
  </si>
  <si>
    <r>
      <t>Lower UVLO Resistor, R</t>
    </r>
    <r>
      <rPr>
        <vertAlign val="subscript"/>
        <sz val="10"/>
        <rFont val="Arial"/>
        <family val="2"/>
      </rPr>
      <t>UV2</t>
    </r>
  </si>
  <si>
    <r>
      <t>Upper UVLO Resistor, R</t>
    </r>
    <r>
      <rPr>
        <b/>
        <vertAlign val="subscript"/>
        <sz val="10"/>
        <rFont val="Arial"/>
        <family val="2"/>
      </rPr>
      <t>UV1</t>
    </r>
  </si>
  <si>
    <t>Required Input Voltage UVLO On</t>
  </si>
  <si>
    <r>
      <t>C</t>
    </r>
    <r>
      <rPr>
        <vertAlign val="subscript"/>
        <sz val="10"/>
        <rFont val="Arial"/>
        <family val="2"/>
      </rPr>
      <t>OUT</t>
    </r>
    <r>
      <rPr>
        <sz val="10"/>
        <rFont val="Arial"/>
        <family val="2"/>
      </rPr>
      <t xml:space="preserve"> ESR Zero Frequency </t>
    </r>
  </si>
  <si>
    <t>Load Pole Frequency</t>
  </si>
  <si>
    <t>Ideal Duty Cycle at VIN(nom)</t>
  </si>
  <si>
    <t>Ideal 1- Duty Cycle at VIN(nom)</t>
  </si>
  <si>
    <t>Don_Vinmin</t>
  </si>
  <si>
    <t>Don_Vinmax</t>
  </si>
  <si>
    <t>Lf_Vinmin</t>
  </si>
  <si>
    <t>Lf_Vinmax</t>
  </si>
  <si>
    <t>Lf</t>
  </si>
  <si>
    <t>Pout</t>
  </si>
  <si>
    <t>Iin_Vinmin</t>
  </si>
  <si>
    <t>Iin_Vinnom</t>
  </si>
  <si>
    <t>Iin_Vinmax</t>
  </si>
  <si>
    <t>Pin</t>
  </si>
  <si>
    <t>Iripple_Vinmin</t>
  </si>
  <si>
    <t>Iripple_Vinnom</t>
  </si>
  <si>
    <t>Iripple_Vinmax</t>
  </si>
  <si>
    <t>L_Vinmin</t>
  </si>
  <si>
    <t>L_Vinnom</t>
  </si>
  <si>
    <t>L_Vinmax</t>
  </si>
  <si>
    <t>Lf_Vinnom</t>
  </si>
  <si>
    <t>Lopt</t>
  </si>
  <si>
    <t>Don_Vinnom</t>
  </si>
  <si>
    <t>Don_Vinmin_2</t>
  </si>
  <si>
    <t>Don_Vinnom_2</t>
  </si>
  <si>
    <t>Don_Vinmax_2</t>
  </si>
  <si>
    <t>% Ripple Current</t>
  </si>
  <si>
    <t>Iin</t>
  </si>
  <si>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IN(min)</t>
    </r>
  </si>
  <si>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IN(nom)</t>
    </r>
  </si>
  <si>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IN(max)</t>
    </r>
  </si>
  <si>
    <r>
      <t>Sense Resistance, R</t>
    </r>
    <r>
      <rPr>
        <b/>
        <vertAlign val="subscript"/>
        <sz val="10"/>
        <color theme="1"/>
        <rFont val="Arial"/>
        <family val="2"/>
      </rPr>
      <t>S</t>
    </r>
  </si>
  <si>
    <t>Recommended Sense Resistance</t>
  </si>
  <si>
    <t>Buck CS threshold</t>
  </si>
  <si>
    <t>Boost CS Threshold</t>
  </si>
  <si>
    <t>Max inductor ripple current</t>
  </si>
  <si>
    <t>Calculate input power assuming 90% efficiency</t>
  </si>
  <si>
    <t>Output power</t>
  </si>
  <si>
    <t>Input currents at min, nom, max Vin</t>
  </si>
  <si>
    <t>Frequency Set Resistor</t>
  </si>
  <si>
    <t>Rs_ideal</t>
  </si>
  <si>
    <t>Selected (starndard value) current limit sense resistor</t>
  </si>
  <si>
    <t>Cslope_ideal</t>
  </si>
  <si>
    <t>mΩ</t>
  </si>
  <si>
    <t>Cslope</t>
  </si>
  <si>
    <t>V/s</t>
  </si>
  <si>
    <t>at VIN_min</t>
  </si>
  <si>
    <t>at VIN_nom</t>
  </si>
  <si>
    <t>at VIN_max</t>
  </si>
  <si>
    <t>Islope_fixed</t>
  </si>
  <si>
    <t>SLOPE comp dv/dt = I_slope_total/Cslope</t>
  </si>
  <si>
    <t xml:space="preserve">BUCK </t>
  </si>
  <si>
    <t>BOOST</t>
  </si>
  <si>
    <t>Required Constant Current Loop Setpoint</t>
  </si>
  <si>
    <t>Current Limit Threshold</t>
  </si>
  <si>
    <t>Shunt Resistor in Output Leg</t>
  </si>
  <si>
    <t>Rshunt</t>
  </si>
  <si>
    <t>TBD</t>
  </si>
  <si>
    <t>Output Cap RMS current</t>
  </si>
  <si>
    <t>Icoutrms_VINmin</t>
  </si>
  <si>
    <t>Icoutrms_VINnom</t>
  </si>
  <si>
    <t>Icoutrms_VINmax</t>
  </si>
  <si>
    <r>
      <rPr>
        <sz val="10"/>
        <rFont val="Symbol"/>
        <family val="1"/>
        <charset val="2"/>
      </rPr>
      <t>D</t>
    </r>
    <r>
      <rPr>
        <sz val="10"/>
        <rFont val="Arial"/>
        <family val="2"/>
      </rPr>
      <t>V_SLOPEcomp at Vinmin</t>
    </r>
  </si>
  <si>
    <r>
      <rPr>
        <sz val="10"/>
        <rFont val="Symbol"/>
        <family val="1"/>
        <charset val="2"/>
      </rPr>
      <t>D</t>
    </r>
    <r>
      <rPr>
        <sz val="10"/>
        <rFont val="Arial"/>
        <family val="2"/>
      </rPr>
      <t>V_SLOPEcomp at Vinnom</t>
    </r>
  </si>
  <si>
    <r>
      <rPr>
        <sz val="10"/>
        <rFont val="Symbol"/>
        <family val="1"/>
        <charset val="2"/>
      </rPr>
      <t>D</t>
    </r>
    <r>
      <rPr>
        <sz val="10"/>
        <rFont val="Arial"/>
        <family val="2"/>
      </rPr>
      <t>V_SLOPEcomp at Vinmax</t>
    </r>
  </si>
  <si>
    <t>Chosen Output Capacitance</t>
  </si>
  <si>
    <t>Frhp</t>
  </si>
  <si>
    <t>Rout</t>
  </si>
  <si>
    <t>Load resistance</t>
  </si>
  <si>
    <r>
      <t xml:space="preserve">Chosen Compensation Components from the </t>
    </r>
    <r>
      <rPr>
        <b/>
        <u/>
        <sz val="10"/>
        <color indexed="10"/>
        <rFont val="Arial"/>
        <family val="2"/>
      </rPr>
      <t>standard value sheet</t>
    </r>
  </si>
  <si>
    <t>Modulator</t>
  </si>
  <si>
    <t>Total System</t>
  </si>
  <si>
    <t>Afb1</t>
  </si>
  <si>
    <t>Acs</t>
  </si>
  <si>
    <t>z1</t>
  </si>
  <si>
    <t>p3</t>
  </si>
  <si>
    <t>Adc</t>
  </si>
  <si>
    <t>z2</t>
  </si>
  <si>
    <t>Am</t>
  </si>
  <si>
    <t>p1</t>
  </si>
  <si>
    <t>pterm1</t>
  </si>
  <si>
    <t>Crossover</t>
  </si>
  <si>
    <t>p2</t>
  </si>
  <si>
    <t>pterm2</t>
  </si>
  <si>
    <t>Phase Margin</t>
  </si>
  <si>
    <t>Aea</t>
  </si>
  <si>
    <t>radconv</t>
  </si>
  <si>
    <t>p4</t>
  </si>
  <si>
    <t>k</t>
  </si>
  <si>
    <t>gm</t>
  </si>
  <si>
    <t>Power Stage</t>
  </si>
  <si>
    <t>Error Amplifier</t>
  </si>
  <si>
    <t>Sampling Double Pole</t>
  </si>
  <si>
    <t>System Response</t>
  </si>
  <si>
    <t>ERROR AMP Response</t>
  </si>
  <si>
    <t>PLANT Response</t>
  </si>
  <si>
    <t>Gain(V/V)</t>
  </si>
  <si>
    <t>Phase(rad)</t>
  </si>
  <si>
    <t>Phase (°)</t>
  </si>
  <si>
    <t>Gain(dB)</t>
  </si>
  <si>
    <t>Phase(Deg)</t>
  </si>
  <si>
    <t>Pole/Zero Locations for Chart</t>
  </si>
  <si>
    <t>crossover</t>
  </si>
  <si>
    <t>System</t>
  </si>
  <si>
    <t>Plant</t>
  </si>
  <si>
    <t>Ri</t>
  </si>
  <si>
    <t>Error Amp Transconductance</t>
  </si>
  <si>
    <t>Se</t>
  </si>
  <si>
    <t>A/s</t>
  </si>
  <si>
    <t>Sn</t>
  </si>
  <si>
    <t>On-time Slope</t>
  </si>
  <si>
    <t>mc</t>
  </si>
  <si>
    <t>GBW</t>
  </si>
  <si>
    <t>Cbw</t>
  </si>
  <si>
    <t>RoEA</t>
  </si>
  <si>
    <t>AEA</t>
  </si>
  <si>
    <t>Afb</t>
  </si>
  <si>
    <t>p</t>
  </si>
  <si>
    <t>This component will largely determine the crossover frequency</t>
  </si>
  <si>
    <t>This along with Rcea1 places a pole at the output cap ESR zero</t>
  </si>
  <si>
    <t>1/(Pi*(k-0.5))</t>
  </si>
  <si>
    <t>Acs = 1/Ri</t>
  </si>
  <si>
    <t>Current Sense effective resistance = shunt resistor Rs * CS amp gain</t>
  </si>
  <si>
    <t>Fp_EA</t>
  </si>
  <si>
    <t>Fp_HF</t>
  </si>
  <si>
    <t>mc*D</t>
  </si>
  <si>
    <t>Off-time Slope</t>
  </si>
  <si>
    <t>Sf</t>
  </si>
  <si>
    <t>mc = 1 + Se/Sf for valley current-mode buck</t>
  </si>
  <si>
    <t>gm_slopecomp</t>
  </si>
  <si>
    <t>adaptive slope comp gm amplifier transconductance</t>
  </si>
  <si>
    <t>CS Amp Gain</t>
  </si>
  <si>
    <t>Slope Comp Slope - referred to inductor current</t>
  </si>
  <si>
    <t>Se_int</t>
  </si>
  <si>
    <t>Step 3: Sense Resistors, Slope Comp, Current Limit</t>
  </si>
  <si>
    <t>Q = 2/Pi = 0.636 gives ideal one-cycle damping</t>
  </si>
  <si>
    <t>Error Amp HF pole cancels zero related to Output Cap ESR</t>
  </si>
  <si>
    <t>EXCEL Variables Names/Calculations</t>
  </si>
  <si>
    <t>Resulting Pole/Zero Locations</t>
  </si>
  <si>
    <t>Sn_int</t>
  </si>
  <si>
    <t>Sf_int</t>
  </si>
  <si>
    <t>Slope Comp Slope - referred to IC</t>
  </si>
  <si>
    <t>etc</t>
  </si>
  <si>
    <t>Isc_const</t>
  </si>
  <si>
    <t>°</t>
  </si>
  <si>
    <t>Std Value Lower Feedback Resistance</t>
  </si>
  <si>
    <t>Lower Feedback Resistance</t>
  </si>
  <si>
    <t>Upper Feedback Resistance - chosen by user</t>
  </si>
  <si>
    <t>Drain-Source Resistance of Pullup High-side FET Driver</t>
  </si>
  <si>
    <t>Drain-Source Resistance of Pulldown High-side FET Driver</t>
  </si>
  <si>
    <t>Drain-Source Resistance of Pullup Low-side FET Driver</t>
  </si>
  <si>
    <t>Drain-Source Resistance of Pulldown Low-side FET Driver</t>
  </si>
  <si>
    <t>Drain-Source Resistance Temp Co</t>
  </si>
  <si>
    <t>Diode Forward Voltage of Low-side FET Body Diode</t>
  </si>
  <si>
    <t>slope comp constant current source</t>
  </si>
  <si>
    <t>Duty cycles adjusted for DCR and shunt voltage drops</t>
  </si>
  <si>
    <t>Desired Crossover Frequency</t>
  </si>
  <si>
    <t>Cout ESR zero frequency</t>
  </si>
  <si>
    <t>Boost RHP zero frequency (if applicable)</t>
  </si>
  <si>
    <t>Error Amp LF pole -- related to amplifier ouptut resistance and comp cap</t>
  </si>
  <si>
    <t>Buck dominant pole frequency -- note slope comp influence</t>
  </si>
  <si>
    <t>Boost dominant pole frequency -- need to add slope comp component</t>
  </si>
  <si>
    <t>Fp_load_boost</t>
  </si>
  <si>
    <t>Fp_load_buck</t>
  </si>
  <si>
    <t>IC Power Disipation</t>
  </si>
  <si>
    <t>Iteration</t>
  </si>
  <si>
    <t>Output Ripple Spec (pk-pk)</t>
  </si>
  <si>
    <t>Rmode</t>
  </si>
  <si>
    <t>zero-order sample and hold effects of current-mode control modeled as pole at Fsw/2</t>
  </si>
  <si>
    <t>F_mod</t>
  </si>
  <si>
    <t>Am_buck</t>
  </si>
  <si>
    <t>mc_boost</t>
  </si>
  <si>
    <t>k_boost</t>
  </si>
  <si>
    <t>Am_boost</t>
  </si>
  <si>
    <t>DC Gain is Adc = AEA*Afb*Am</t>
  </si>
  <si>
    <t>A/V</t>
  </si>
  <si>
    <t>Power Stage Poles/Zeros</t>
  </si>
  <si>
    <t>Complex Pole Pair</t>
  </si>
  <si>
    <t>Divider Network &amp; EA Poles/Zeros</t>
  </si>
  <si>
    <t>mc_buck</t>
  </si>
  <si>
    <t>k_buck</t>
  </si>
  <si>
    <t>mV/μs</t>
  </si>
  <si>
    <t>mc*(1-D)</t>
  </si>
  <si>
    <t>Error Amp (EA)</t>
  </si>
  <si>
    <t>Boost modulator gain -- need to adjust for adaptive slope comp</t>
  </si>
  <si>
    <r>
      <t>need to include R</t>
    </r>
    <r>
      <rPr>
        <vertAlign val="subscript"/>
        <sz val="10"/>
        <color rgb="FFFF0000"/>
        <rFont val="Arial"/>
        <family val="2"/>
      </rPr>
      <t>DS(on)</t>
    </r>
    <r>
      <rPr>
        <sz val="10"/>
        <color rgb="FFFF0000"/>
        <rFont val="Arial"/>
        <family val="2"/>
      </rPr>
      <t xml:space="preserve"> later</t>
    </r>
  </si>
  <si>
    <t>BOOST current limit - peak</t>
  </si>
  <si>
    <t>Iout_OCP_Vinmin</t>
  </si>
  <si>
    <t>Iout_OCP_Vinmax</t>
  </si>
  <si>
    <t>ILpeak_OCP_Vinmin</t>
  </si>
  <si>
    <t>ILpeak_OCP_Vinnom</t>
  </si>
  <si>
    <t>ILpeak_OCP_Vinmax</t>
  </si>
  <si>
    <t>Peak inductor currents in OCP</t>
  </si>
  <si>
    <r>
      <t>Current limit setpoints (i.e. I</t>
    </r>
    <r>
      <rPr>
        <vertAlign val="subscript"/>
        <sz val="10"/>
        <rFont val="Arial"/>
        <family val="2"/>
      </rPr>
      <t>OUT</t>
    </r>
    <r>
      <rPr>
        <sz val="10"/>
        <rFont val="Arial"/>
        <family val="2"/>
      </rPr>
      <t>) after standard components are selected</t>
    </r>
  </si>
  <si>
    <t>Output voltage ripple spec(pk-pk)</t>
  </si>
  <si>
    <t>Vout ripple spec at Vin(nom)</t>
  </si>
  <si>
    <t xml:space="preserve">Minimum Output Capacitance </t>
  </si>
  <si>
    <t>Load cap current during soft start</t>
  </si>
  <si>
    <t>Soft-start time</t>
  </si>
  <si>
    <t>zRHP</t>
  </si>
  <si>
    <t>p-dom</t>
  </si>
  <si>
    <t>p_dom</t>
  </si>
  <si>
    <t>z_ESR</t>
  </si>
  <si>
    <t>z_RHP</t>
  </si>
  <si>
    <t>uses Vin(nom)!!</t>
  </si>
  <si>
    <t>Low-side MOSFET/Diode</t>
  </si>
  <si>
    <t>EA pole, p2</t>
  </si>
  <si>
    <t>EA pole, p1</t>
  </si>
  <si>
    <t>EA zero, z1</t>
  </si>
  <si>
    <t>Fp_dominant</t>
  </si>
  <si>
    <t>p_sampling</t>
  </si>
  <si>
    <t>ESR zero</t>
  </si>
  <si>
    <t>EA pole</t>
  </si>
  <si>
    <t>EA zero</t>
  </si>
  <si>
    <t>RHP zero</t>
  </si>
  <si>
    <t>This zero is set at or close to the dominant load pole</t>
  </si>
  <si>
    <t>Freq (Hz)</t>
  </si>
  <si>
    <t>scaling factor to calculate Rcomp - buck</t>
  </si>
  <si>
    <t>scaling factor to calculate Rcomp - boost</t>
  </si>
  <si>
    <r>
      <t>Hz  (F</t>
    </r>
    <r>
      <rPr>
        <vertAlign val="subscript"/>
        <sz val="10"/>
        <rFont val="Arial"/>
        <family val="2"/>
      </rPr>
      <t>PEA</t>
    </r>
    <r>
      <rPr>
        <sz val="10"/>
        <rFont val="Arial"/>
        <family val="2"/>
      </rPr>
      <t>)</t>
    </r>
  </si>
  <si>
    <t>KM</t>
  </si>
  <si>
    <t>KD</t>
  </si>
  <si>
    <t>Se_fixed</t>
  </si>
  <si>
    <t>Se_proportional</t>
  </si>
  <si>
    <t>Se_ext</t>
  </si>
  <si>
    <t>Buck modulator gain</t>
  </si>
  <si>
    <t>Feedback gain from Vout to FB</t>
  </si>
  <si>
    <t>V_sc_fixed</t>
  </si>
  <si>
    <t>V_sc_proportional</t>
  </si>
  <si>
    <t>V_sc_total</t>
  </si>
  <si>
    <t>Slope comp slope - internal</t>
  </si>
  <si>
    <t>EA DC gain = gm*RoEA</t>
  </si>
  <si>
    <t>EA output resistance</t>
  </si>
  <si>
    <t>EA effective bandwidth limiting capacitance = gm/(2*Pi*GBW)</t>
  </si>
  <si>
    <t>EA gain-bandwidth product</t>
  </si>
  <si>
    <t>mc = 1 + Se/Sn for peak current-mode boost</t>
  </si>
  <si>
    <t>K_SL</t>
  </si>
  <si>
    <t>Fixed slope comp amplitude over full period</t>
  </si>
  <si>
    <t>Proportional slope comp amplitude over full period</t>
  </si>
  <si>
    <t>Total slope comp amplitude over full period</t>
  </si>
  <si>
    <t>Proportional slope comp factor, where Vslope= Abs(Vin-Vout)*KSL</t>
  </si>
  <si>
    <t>KSL = gm/(Cslope*Fsw)</t>
  </si>
  <si>
    <t>K_1</t>
  </si>
  <si>
    <t>Take the buck or boost parameter as appropriate</t>
  </si>
  <si>
    <t>2*Pi*Ri/gm -- scaling factor to calculate Rcomp given desired buck crossover frequency</t>
  </si>
  <si>
    <t>2*Pi*Ri/gm -- scaling factor to calculate Rcomp given desired boost crossover frequency</t>
  </si>
  <si>
    <t>Diode/FET</t>
  </si>
  <si>
    <t>High Efficiency Synchronous Buck-Boost Regulator BOM</t>
  </si>
  <si>
    <t>Iout_OCP_Vinnom</t>
  </si>
  <si>
    <t>IL_peak_OCP</t>
  </si>
  <si>
    <t>Peak inductor current over the full input range</t>
  </si>
  <si>
    <r>
      <t>L</t>
    </r>
    <r>
      <rPr>
        <vertAlign val="subscript"/>
        <sz val="10"/>
        <rFont val="Arial"/>
        <family val="2"/>
      </rPr>
      <t>F</t>
    </r>
  </si>
  <si>
    <r>
      <t>R</t>
    </r>
    <r>
      <rPr>
        <vertAlign val="subscript"/>
        <sz val="10"/>
        <rFont val="Arial"/>
        <family val="2"/>
      </rPr>
      <t>CS</t>
    </r>
    <r>
      <rPr>
        <sz val="10"/>
        <rFont val="Arial"/>
        <family val="2"/>
      </rPr>
      <t>, R</t>
    </r>
    <r>
      <rPr>
        <vertAlign val="subscript"/>
        <sz val="10"/>
        <rFont val="Arial"/>
        <family val="2"/>
      </rPr>
      <t>CSG</t>
    </r>
  </si>
  <si>
    <r>
      <t>R</t>
    </r>
    <r>
      <rPr>
        <vertAlign val="subscript"/>
        <sz val="10"/>
        <rFont val="Arial"/>
        <family val="2"/>
      </rPr>
      <t>T</t>
    </r>
  </si>
  <si>
    <t>** Effective input and output capacitances should be appropriately derated for applied voltage and temperature, particularly with ceramics **</t>
  </si>
  <si>
    <t>Schottky Diode, 200mA</t>
  </si>
  <si>
    <r>
      <t>D</t>
    </r>
    <r>
      <rPr>
        <vertAlign val="subscript"/>
        <sz val="10"/>
        <rFont val="Arial"/>
        <family val="2"/>
      </rPr>
      <t>BOOT1</t>
    </r>
    <r>
      <rPr>
        <sz val="10"/>
        <rFont val="Arial"/>
        <family val="2"/>
      </rPr>
      <t>, D</t>
    </r>
    <r>
      <rPr>
        <vertAlign val="subscript"/>
        <sz val="10"/>
        <rFont val="Arial"/>
        <family val="2"/>
      </rPr>
      <t xml:space="preserve">BOOT2, </t>
    </r>
    <r>
      <rPr>
        <sz val="10"/>
        <rFont val="Arial"/>
        <family val="2"/>
      </rPr>
      <t>D</t>
    </r>
    <r>
      <rPr>
        <vertAlign val="subscript"/>
        <sz val="10"/>
        <rFont val="Arial"/>
        <family val="2"/>
      </rPr>
      <t xml:space="preserve">VIN </t>
    </r>
  </si>
  <si>
    <r>
      <t>C</t>
    </r>
    <r>
      <rPr>
        <vertAlign val="subscript"/>
        <sz val="10"/>
        <rFont val="Arial"/>
        <family val="2"/>
      </rPr>
      <t>DITH</t>
    </r>
  </si>
  <si>
    <r>
      <t>C</t>
    </r>
    <r>
      <rPr>
        <vertAlign val="subscript"/>
        <sz val="10"/>
        <rFont val="Arial"/>
        <family val="2"/>
      </rPr>
      <t>BOOT1</t>
    </r>
    <r>
      <rPr>
        <sz val="10"/>
        <rFont val="Arial"/>
        <family val="2"/>
      </rPr>
      <t>, C</t>
    </r>
    <r>
      <rPr>
        <vertAlign val="subscript"/>
        <sz val="10"/>
        <rFont val="Arial"/>
        <family val="2"/>
      </rPr>
      <t>BOOT2</t>
    </r>
  </si>
  <si>
    <r>
      <t>C</t>
    </r>
    <r>
      <rPr>
        <vertAlign val="subscript"/>
        <sz val="10"/>
        <rFont val="Arial"/>
        <family val="2"/>
      </rPr>
      <t>VCC</t>
    </r>
  </si>
  <si>
    <t>Step 3: OCP, Sense Resistors, Slope Comp</t>
  </si>
  <si>
    <t>** Inductor saturation current should be higher than the peak inductor current at the OCP setpoint for all input voltages and operating temperatures **</t>
  </si>
  <si>
    <r>
      <rPr>
        <sz val="10"/>
        <rFont val="Symbol"/>
        <family val="1"/>
        <charset val="2"/>
      </rPr>
      <t>°</t>
    </r>
    <r>
      <rPr>
        <sz val="10"/>
        <rFont val="Arial"/>
        <family val="2"/>
      </rPr>
      <t>C</t>
    </r>
  </si>
  <si>
    <r>
      <t>m</t>
    </r>
    <r>
      <rPr>
        <sz val="10"/>
        <rFont val="Symbol"/>
        <family val="1"/>
        <charset val="2"/>
      </rPr>
      <t>W</t>
    </r>
  </si>
  <si>
    <t>μF</t>
  </si>
  <si>
    <t>Filter Inductance</t>
  </si>
  <si>
    <r>
      <t>Inductor DCR at 25</t>
    </r>
    <r>
      <rPr>
        <sz val="10"/>
        <rFont val="Symbol"/>
        <family val="1"/>
        <charset val="2"/>
      </rPr>
      <t>°</t>
    </r>
    <r>
      <rPr>
        <sz val="10"/>
        <rFont val="Arial"/>
        <family val="2"/>
      </rPr>
      <t>C</t>
    </r>
  </si>
  <si>
    <r>
      <rPr>
        <sz val="10"/>
        <rFont val="Calibri"/>
        <family val="2"/>
      </rPr>
      <t>θ</t>
    </r>
    <r>
      <rPr>
        <vertAlign val="subscript"/>
        <sz val="10"/>
        <rFont val="Arial"/>
        <family val="2"/>
      </rPr>
      <t>JA</t>
    </r>
  </si>
  <si>
    <r>
      <t>θ</t>
    </r>
    <r>
      <rPr>
        <vertAlign val="subscript"/>
        <sz val="10"/>
        <rFont val="Arial"/>
        <family val="2"/>
      </rPr>
      <t>JABot</t>
    </r>
  </si>
  <si>
    <r>
      <t>θ</t>
    </r>
    <r>
      <rPr>
        <vertAlign val="subscript"/>
        <sz val="10"/>
        <rFont val="Arial"/>
        <family val="2"/>
      </rPr>
      <t>JATop</t>
    </r>
  </si>
  <si>
    <t>θJACtrl</t>
  </si>
  <si>
    <r>
      <t>Enter the values of your design and MOSFET datasheet specifications below. Note that thermal resistance (</t>
    </r>
    <r>
      <rPr>
        <b/>
        <sz val="10"/>
        <rFont val="Calibri"/>
        <family val="2"/>
      </rPr>
      <t>θ</t>
    </r>
    <r>
      <rPr>
        <b/>
        <vertAlign val="subscript"/>
        <sz val="10"/>
        <rFont val="Arial"/>
        <family val="2"/>
      </rPr>
      <t>JA</t>
    </r>
    <r>
      <rPr>
        <b/>
        <sz val="10"/>
        <rFont val="Arial"/>
        <family val="2"/>
      </rPr>
      <t>) will change when components are placed on the PCB</t>
    </r>
  </si>
  <si>
    <t>Subregulated VCC Voltage</t>
  </si>
  <si>
    <t>Vcc</t>
  </si>
  <si>
    <t>Junction-to-ambient thermal resistance of controller</t>
  </si>
  <si>
    <t>with 85mA current limit</t>
  </si>
  <si>
    <r>
      <rPr>
        <sz val="10"/>
        <rFont val="Calibri"/>
        <family val="2"/>
      </rPr>
      <t>θ</t>
    </r>
    <r>
      <rPr>
        <vertAlign val="subscript"/>
        <sz val="10"/>
        <rFont val="Arial"/>
        <family val="2"/>
      </rPr>
      <t>CA</t>
    </r>
  </si>
  <si>
    <t>Inductor Core to Ambient Thermal Resistance</t>
  </si>
  <si>
    <t>Input Capacitor ESR</t>
  </si>
  <si>
    <t>Inductor DCR Temp Co</t>
  </si>
  <si>
    <t>Output Capacitor ESR</t>
  </si>
  <si>
    <t>Output Capcitance</t>
  </si>
  <si>
    <t>Input Capacitance</t>
  </si>
  <si>
    <t>Filter Inductor</t>
  </si>
  <si>
    <t>Ripple Current pk-pk</t>
  </si>
  <si>
    <t>Cout ESR Loss</t>
  </si>
  <si>
    <t>Irms Cout</t>
  </si>
  <si>
    <t>Irms Cin</t>
  </si>
  <si>
    <t>Cin ESR Loss</t>
  </si>
  <si>
    <t>Controller IC Losses</t>
  </si>
  <si>
    <t>Total IC Loss</t>
  </si>
  <si>
    <r>
      <t>I</t>
    </r>
    <r>
      <rPr>
        <b/>
        <vertAlign val="subscript"/>
        <sz val="10"/>
        <rFont val="Arial"/>
        <family val="2"/>
      </rPr>
      <t>Q</t>
    </r>
    <r>
      <rPr>
        <b/>
        <sz val="10"/>
        <rFont val="Arial"/>
        <family val="2"/>
      </rPr>
      <t xml:space="preserve"> Loss</t>
    </r>
  </si>
  <si>
    <t>h</t>
  </si>
  <si>
    <r>
      <t xml:space="preserve">EFF, </t>
    </r>
    <r>
      <rPr>
        <b/>
        <sz val="10"/>
        <rFont val="Symbol"/>
        <family val="1"/>
        <charset val="2"/>
      </rPr>
      <t>h</t>
    </r>
  </si>
  <si>
    <t>QrrTop</t>
  </si>
  <si>
    <t>TrrTop</t>
  </si>
  <si>
    <t>RESULTS</t>
  </si>
  <si>
    <t>Consolidated Buck/Boost Efficiency &amp; Losses</t>
  </si>
  <si>
    <t>Output Rs</t>
  </si>
  <si>
    <t>Iout Shunt Loss</t>
  </si>
  <si>
    <t>Isense Shunt Loss</t>
  </si>
  <si>
    <t>Sense Rs</t>
  </si>
  <si>
    <t>Drain to Source Resistance of pulldown Bottom FET Driver</t>
  </si>
  <si>
    <t>Drain to Source Resistance of pullup Bottom FET Driver</t>
  </si>
  <si>
    <t>Drain to Source Resistance of pulldown Top FET Driver</t>
  </si>
  <si>
    <t>Drain to Source Resistance of pullup Top FET Driver</t>
  </si>
  <si>
    <t>Turn on of MOSFET -&gt; Rise time of current</t>
  </si>
  <si>
    <t>Turn off of MOSFET -&gt; Fall time of current</t>
  </si>
  <si>
    <t>External Schottky Diode (if applicable)</t>
  </si>
  <si>
    <r>
      <t>kHz (F</t>
    </r>
    <r>
      <rPr>
        <vertAlign val="subscript"/>
        <sz val="10"/>
        <rFont val="Arial"/>
        <family val="2"/>
      </rPr>
      <t>ZCOMP</t>
    </r>
    <r>
      <rPr>
        <sz val="10"/>
        <rFont val="Arial"/>
        <family val="2"/>
      </rPr>
      <t>)</t>
    </r>
  </si>
  <si>
    <r>
      <t>kHz (F</t>
    </r>
    <r>
      <rPr>
        <vertAlign val="subscript"/>
        <sz val="10"/>
        <rFont val="Arial"/>
        <family val="2"/>
      </rPr>
      <t>PCOMP</t>
    </r>
    <r>
      <rPr>
        <sz val="10"/>
        <rFont val="Arial"/>
        <family val="2"/>
      </rPr>
      <t>)</t>
    </r>
  </si>
  <si>
    <t>Reported Cinmin</t>
  </si>
  <si>
    <t>Reported Cout ESR max</t>
  </si>
  <si>
    <t>Reported Cin ESR max</t>
  </si>
  <si>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</si>
  <si>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</si>
  <si>
    <r>
      <t>Input Voltage - Max, V</t>
    </r>
    <r>
      <rPr>
        <b/>
        <vertAlign val="subscript"/>
        <sz val="10"/>
        <color theme="1"/>
        <rFont val="Arial"/>
        <family val="2"/>
      </rPr>
      <t>IN(max)</t>
    </r>
  </si>
  <si>
    <r>
      <t>Pk-to-Pk Ripple Current at V</t>
    </r>
    <r>
      <rPr>
        <vertAlign val="subscript"/>
        <sz val="10"/>
        <rFont val="Arial"/>
        <family val="2"/>
      </rPr>
      <t>IN(min)</t>
    </r>
    <r>
      <rPr>
        <sz val="10"/>
        <rFont val="Arial"/>
        <family val="2"/>
      </rPr>
      <t xml:space="preserve">, </t>
    </r>
    <r>
      <rPr>
        <sz val="10"/>
        <rFont val="Symbol"/>
        <family val="1"/>
        <charset val="2"/>
      </rPr>
      <t>D</t>
    </r>
    <r>
      <rPr>
        <sz val="10"/>
        <rFont val="Arial"/>
        <family val="2"/>
      </rPr>
      <t>I</t>
    </r>
    <r>
      <rPr>
        <vertAlign val="subscript"/>
        <sz val="10"/>
        <rFont val="Arial"/>
        <family val="2"/>
      </rPr>
      <t>L1</t>
    </r>
  </si>
  <si>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t>
    </r>
    <r>
      <rPr>
        <vertAlign val="subscript"/>
        <sz val="10"/>
        <rFont val="Arial"/>
        <family val="2"/>
      </rPr>
      <t>L2</t>
    </r>
  </si>
  <si>
    <r>
      <t>Pk-to-Pk Ripple Current at V</t>
    </r>
    <r>
      <rPr>
        <vertAlign val="subscript"/>
        <sz val="10"/>
        <rFont val="Arial"/>
        <family val="2"/>
      </rPr>
      <t>IN(max)</t>
    </r>
    <r>
      <rPr>
        <sz val="10"/>
        <rFont val="Arial"/>
        <family val="2"/>
      </rPr>
      <t xml:space="preserve">, </t>
    </r>
    <r>
      <rPr>
        <sz val="10"/>
        <rFont val="Symbol"/>
        <family val="1"/>
        <charset val="2"/>
      </rPr>
      <t>D</t>
    </r>
    <r>
      <rPr>
        <sz val="10"/>
        <rFont val="Arial"/>
        <family val="2"/>
      </rPr>
      <t>I</t>
    </r>
    <r>
      <rPr>
        <vertAlign val="subscript"/>
        <sz val="10"/>
        <rFont val="Arial"/>
        <family val="2"/>
      </rPr>
      <t>L3</t>
    </r>
  </si>
  <si>
    <t>Buck CS threshold_min</t>
  </si>
  <si>
    <t>Boost CS Threshold_min</t>
  </si>
  <si>
    <t>Chosen OCP level - based on output current</t>
  </si>
  <si>
    <r>
      <t>I</t>
    </r>
    <r>
      <rPr>
        <vertAlign val="subscript"/>
        <sz val="10"/>
        <rFont val="Arial"/>
        <family val="2"/>
      </rPr>
      <t>OUT(typ)</t>
    </r>
    <r>
      <rPr>
        <sz val="10"/>
        <rFont val="Arial"/>
        <family val="2"/>
      </rPr>
      <t xml:space="preserve"> at OCP Inception:</t>
    </r>
  </si>
  <si>
    <t>Buck CS threshold_max</t>
  </si>
  <si>
    <t>Boost CS Threshold_max</t>
  </si>
  <si>
    <t>RMS current in Rs</t>
  </si>
  <si>
    <t>Power diss in Rs</t>
  </si>
  <si>
    <t>Total Cin Loss</t>
  </si>
  <si>
    <t>Inductor Cu &amp; Core Loss</t>
  </si>
  <si>
    <t>Total Cout Loss</t>
  </si>
  <si>
    <t>Total Inductor Loss</t>
  </si>
  <si>
    <t>Gate Charge at VCC = 7.5V</t>
  </si>
  <si>
    <t>Boost hi-side</t>
  </si>
  <si>
    <t>Buck lo-side</t>
  </si>
  <si>
    <t>Anti-parallel Schottky Diode (optional)</t>
  </si>
  <si>
    <t>High- &amp; low-side boost MOSFETs</t>
  </si>
  <si>
    <t>High- &amp; low-side buck MOSFETs</t>
  </si>
  <si>
    <t>Drain-Source Resistances of Boost FETs</t>
  </si>
  <si>
    <t>Gate Charge Of Boost FETs</t>
  </si>
  <si>
    <t>Transconductance of Boost FETs</t>
  </si>
  <si>
    <t>Threshold Voltage Boost FETs</t>
  </si>
  <si>
    <t>Switch Point Voltage of Boost FETs</t>
  </si>
  <si>
    <t>Transconductance of Buck FETs</t>
  </si>
  <si>
    <t>Drain-Source Resistances of Buck FETs</t>
  </si>
  <si>
    <t>Threshold Voltage of Buck FETs</t>
  </si>
  <si>
    <t>Switch Point Voltage of Buck FETs</t>
  </si>
  <si>
    <r>
      <t>Q</t>
    </r>
    <r>
      <rPr>
        <vertAlign val="subscript"/>
        <sz val="10"/>
        <rFont val="Arial"/>
        <family val="2"/>
      </rPr>
      <t>1</t>
    </r>
    <r>
      <rPr>
        <sz val="10"/>
        <rFont val="Arial"/>
        <family val="2"/>
      </rPr>
      <t>, Q</t>
    </r>
    <r>
      <rPr>
        <vertAlign val="subscript"/>
        <sz val="10"/>
        <rFont val="Arial"/>
        <family val="2"/>
      </rPr>
      <t>2</t>
    </r>
  </si>
  <si>
    <r>
      <t>Q</t>
    </r>
    <r>
      <rPr>
        <vertAlign val="subscript"/>
        <sz val="10"/>
        <rFont val="Arial"/>
        <family val="2"/>
      </rPr>
      <t>3</t>
    </r>
    <r>
      <rPr>
        <sz val="10"/>
        <rFont val="Arial"/>
        <family val="2"/>
      </rPr>
      <t>, Q</t>
    </r>
    <r>
      <rPr>
        <vertAlign val="subscript"/>
        <sz val="10"/>
        <rFont val="Arial"/>
        <family val="2"/>
      </rPr>
      <t>4</t>
    </r>
  </si>
  <si>
    <t>Hi-side</t>
  </si>
  <si>
    <t>High-side FET</t>
  </si>
  <si>
    <t>Low-side FET</t>
  </si>
  <si>
    <t>Drain-Source Resistance of Low-side FET</t>
  </si>
  <si>
    <t xml:space="preserve">Drain-Source Resistance of Top FET </t>
  </si>
  <si>
    <t>Q3: high-side</t>
  </si>
  <si>
    <t>Q4: low-side</t>
  </si>
  <si>
    <t>Q1: high-side</t>
  </si>
  <si>
    <t>Q2: low-side</t>
  </si>
  <si>
    <t>Rdson</t>
  </si>
  <si>
    <t>Qgd</t>
  </si>
  <si>
    <t>Qgs</t>
  </si>
  <si>
    <t>Rgate</t>
  </si>
  <si>
    <t>Gfs</t>
  </si>
  <si>
    <t>Vth</t>
  </si>
  <si>
    <t>Vsp</t>
  </si>
  <si>
    <t>Diode Forward Voltage of MOSFET Body diode</t>
  </si>
  <si>
    <t>VsdBot - Boost</t>
  </si>
  <si>
    <t>Vsd - Buck</t>
  </si>
  <si>
    <r>
      <rPr>
        <i/>
        <sz val="10"/>
        <rFont val="Arial"/>
        <family val="2"/>
      </rPr>
      <t>Buck</t>
    </r>
    <r>
      <rPr>
        <sz val="10"/>
        <rFont val="Arial"/>
        <family val="2"/>
      </rPr>
      <t xml:space="preserve"> Leg</t>
    </r>
  </si>
  <si>
    <r>
      <t>Body Diode Forward Voltage, V</t>
    </r>
    <r>
      <rPr>
        <b/>
        <vertAlign val="subscript"/>
        <sz val="10"/>
        <rFont val="Arial"/>
        <family val="2"/>
      </rPr>
      <t>BD</t>
    </r>
    <r>
      <rPr>
        <b/>
        <sz val="10"/>
        <rFont val="Arial"/>
        <family val="2"/>
      </rPr>
      <t xml:space="preserve"> </t>
    </r>
  </si>
  <si>
    <r>
      <t>Schottky Rev Recovery Charge, Q</t>
    </r>
    <r>
      <rPr>
        <b/>
        <vertAlign val="subscript"/>
        <sz val="10"/>
        <rFont val="Arial"/>
        <family val="2"/>
      </rPr>
      <t>RRsch</t>
    </r>
    <r>
      <rPr>
        <b/>
        <sz val="10"/>
        <rFont val="Arial"/>
        <family val="2"/>
      </rPr>
      <t xml:space="preserve"> </t>
    </r>
  </si>
  <si>
    <r>
      <t>Body Diode Rev Recovery Charge, Q</t>
    </r>
    <r>
      <rPr>
        <b/>
        <vertAlign val="subscript"/>
        <sz val="10"/>
        <rFont val="Arial"/>
        <family val="2"/>
      </rPr>
      <t>RR</t>
    </r>
    <r>
      <rPr>
        <b/>
        <sz val="10"/>
        <rFont val="Arial"/>
        <family val="2"/>
      </rPr>
      <t xml:space="preserve"> </t>
    </r>
  </si>
  <si>
    <r>
      <t>Gate-Source Threshold Voltage, V</t>
    </r>
    <r>
      <rPr>
        <b/>
        <vertAlign val="subscript"/>
        <sz val="10"/>
        <rFont val="Arial"/>
        <family val="2"/>
      </rPr>
      <t>TH</t>
    </r>
    <r>
      <rPr>
        <b/>
        <sz val="10"/>
        <rFont val="Arial"/>
        <family val="2"/>
      </rPr>
      <t xml:space="preserve"> </t>
    </r>
  </si>
  <si>
    <r>
      <t>Schottky Fwd Voltage, V</t>
    </r>
    <r>
      <rPr>
        <b/>
        <vertAlign val="subscript"/>
        <sz val="10"/>
        <rFont val="Arial"/>
        <family val="2"/>
      </rPr>
      <t>FWDsch</t>
    </r>
    <r>
      <rPr>
        <b/>
        <sz val="10"/>
        <rFont val="Arial"/>
        <family val="2"/>
      </rPr>
      <t xml:space="preserve"> </t>
    </r>
  </si>
  <si>
    <r>
      <t>R</t>
    </r>
    <r>
      <rPr>
        <vertAlign val="subscript"/>
        <sz val="10"/>
        <rFont val="Arial"/>
        <family val="2"/>
      </rPr>
      <t>CS(out)</t>
    </r>
  </si>
  <si>
    <r>
      <rPr>
        <b/>
        <i/>
        <u/>
        <sz val="10"/>
        <color rgb="FF0000FF"/>
        <rFont val="Arial"/>
        <family val="2"/>
      </rPr>
      <t>Boost</t>
    </r>
    <r>
      <rPr>
        <b/>
        <sz val="10"/>
        <color rgb="FF0000FF"/>
        <rFont val="Arial"/>
        <family val="2"/>
      </rPr>
      <t>-Leg Power MOSFETs (Q</t>
    </r>
    <r>
      <rPr>
        <b/>
        <vertAlign val="subscript"/>
        <sz val="10"/>
        <color rgb="FF0000FF"/>
        <rFont val="Arial"/>
        <family val="2"/>
      </rPr>
      <t>3</t>
    </r>
    <r>
      <rPr>
        <b/>
        <sz val="10"/>
        <color rgb="FF0000FF"/>
        <rFont val="Arial"/>
        <family val="2"/>
      </rPr>
      <t>, Q</t>
    </r>
    <r>
      <rPr>
        <b/>
        <vertAlign val="subscript"/>
        <sz val="10"/>
        <color rgb="FF0000FF"/>
        <rFont val="Arial"/>
        <family val="2"/>
      </rPr>
      <t>4</t>
    </r>
    <r>
      <rPr>
        <b/>
        <sz val="10"/>
        <color rgb="FF0000FF"/>
        <rFont val="Arial"/>
        <family val="2"/>
      </rPr>
      <t xml:space="preserve">) </t>
    </r>
  </si>
  <si>
    <r>
      <rPr>
        <b/>
        <i/>
        <u/>
        <sz val="10"/>
        <color rgb="FF0000FF"/>
        <rFont val="Arial"/>
        <family val="2"/>
      </rPr>
      <t>Buck</t>
    </r>
    <r>
      <rPr>
        <b/>
        <sz val="10"/>
        <color rgb="FF0000FF"/>
        <rFont val="Arial"/>
        <family val="2"/>
      </rPr>
      <t>-Leg Power MOSFETs (Q</t>
    </r>
    <r>
      <rPr>
        <b/>
        <vertAlign val="subscript"/>
        <sz val="10"/>
        <color rgb="FF0000FF"/>
        <rFont val="Arial"/>
        <family val="2"/>
      </rPr>
      <t>1</t>
    </r>
    <r>
      <rPr>
        <b/>
        <sz val="10"/>
        <color rgb="FF0000FF"/>
        <rFont val="Arial"/>
        <family val="2"/>
      </rPr>
      <t>, Q</t>
    </r>
    <r>
      <rPr>
        <b/>
        <vertAlign val="subscript"/>
        <sz val="10"/>
        <color rgb="FF0000FF"/>
        <rFont val="Arial"/>
        <family val="2"/>
      </rPr>
      <t>2</t>
    </r>
    <r>
      <rPr>
        <b/>
        <sz val="10"/>
        <color rgb="FF0000FF"/>
        <rFont val="Arial"/>
        <family val="2"/>
      </rPr>
      <t xml:space="preserve">) </t>
    </r>
  </si>
  <si>
    <t xml:space="preserve">  Low-side</t>
  </si>
  <si>
    <r>
      <rPr>
        <i/>
        <sz val="10"/>
        <rFont val="Arial"/>
        <family val="2"/>
      </rPr>
      <t xml:space="preserve">   Boost</t>
    </r>
    <r>
      <rPr>
        <sz val="10"/>
        <rFont val="Arial"/>
        <family val="2"/>
      </rPr>
      <t xml:space="preserve"> Leg</t>
    </r>
  </si>
  <si>
    <t>Tie to GND or VCC for DCM/CCM, respectively. Use 93.1k or 200k for hiccup in DCM, CCM, respectively.</t>
  </si>
  <si>
    <t>sec</t>
  </si>
  <si>
    <t>Toff_Vinmax</t>
  </si>
  <si>
    <t>COMP max voltage</t>
  </si>
  <si>
    <t>COMP min voltage</t>
  </si>
  <si>
    <t>BUCK</t>
  </si>
  <si>
    <t>Ton_Vinmin</t>
  </si>
  <si>
    <t>VIN_edgebuckboost</t>
  </si>
  <si>
    <t>LM5175EVM-HD PCB Layout</t>
  </si>
  <si>
    <t>LM5175EVM-HP PCB Layout</t>
  </si>
  <si>
    <t>LM5175EVM PCB Layout</t>
  </si>
  <si>
    <t>Calculated inductance for 30% ripple at VIN(min)</t>
  </si>
  <si>
    <t>Chosen inductance</t>
  </si>
  <si>
    <t>Chosen inductor DCR</t>
  </si>
  <si>
    <t>edge of buck-boost</t>
  </si>
  <si>
    <r>
      <rPr>
        <b/>
        <sz val="10"/>
        <rFont val="Arial"/>
        <family val="2"/>
      </rPr>
      <t>Peak</t>
    </r>
    <r>
      <rPr>
        <sz val="10"/>
        <rFont val="Arial"/>
        <family val="2"/>
      </rPr>
      <t xml:space="preserve"> inductor current limit in </t>
    </r>
    <r>
      <rPr>
        <b/>
        <sz val="10"/>
        <rFont val="Arial"/>
        <family val="2"/>
      </rPr>
      <t>BOOST</t>
    </r>
  </si>
  <si>
    <t>Shunt required to get OCP at VIN(min)</t>
  </si>
  <si>
    <t>Shunt required to get OCP at VIN(nom)</t>
  </si>
  <si>
    <t>Shunt required to get OCP at VIN(max)</t>
  </si>
  <si>
    <t>Ideal Rs for the required OCP -- based on 80mV or 160mV CL threshold</t>
  </si>
  <si>
    <t>Assume we'd like to achieve current limit particularly at VIN(min) and boost side of buck-boost region; accept inevitable variation over line thereafter</t>
  </si>
  <si>
    <t>Icinrms_VINmin</t>
  </si>
  <si>
    <t>Icinrms_VINnom</t>
  </si>
  <si>
    <t>Icinrms_VINmiax</t>
  </si>
  <si>
    <t>Max Cout rms current</t>
  </si>
  <si>
    <t xml:space="preserve">Resulting Input Voltage Ripple (max) </t>
  </si>
  <si>
    <t xml:space="preserve">Resulting Output Voltage Ripple (max) </t>
  </si>
  <si>
    <t xml:space="preserve">Output Capacitor RMS Current (max) </t>
  </si>
  <si>
    <t>Input Capacitor RMS Current (max)</t>
  </si>
  <si>
    <t>Max Cin rms current</t>
  </si>
  <si>
    <t>Input voltage ripple spec (pk-pk)</t>
  </si>
  <si>
    <t>Reported Coutmin</t>
  </si>
  <si>
    <t>Output Voltage Ripple Spec</t>
  </si>
  <si>
    <t>Input Voltage Ripple Spec</t>
  </si>
  <si>
    <t>Minimum Input Capacitance</t>
  </si>
  <si>
    <t>Period</t>
  </si>
  <si>
    <t>Ts</t>
  </si>
  <si>
    <t>VIN_boost_to_BB</t>
  </si>
  <si>
    <t>VIN_BB_to_boost</t>
  </si>
  <si>
    <t>VIN_BB_to_buck</t>
  </si>
  <si>
    <t>VIN_buck_to_BB</t>
  </si>
  <si>
    <t>Ishunt_rms_Vinmin</t>
  </si>
  <si>
    <t>Ishunt_rms_Vinnom</t>
  </si>
  <si>
    <t>Ishunt_rms_Vinmax</t>
  </si>
  <si>
    <t>Max shunt power loss at full load</t>
  </si>
  <si>
    <t>Shunt Loss</t>
  </si>
  <si>
    <t>Cinmin_Vinmax</t>
  </si>
  <si>
    <t>Buck 50% typically worst case</t>
  </si>
  <si>
    <t>CinEsrMax_Vinmax</t>
  </si>
  <si>
    <t>CinEsrMax_50%D</t>
  </si>
  <si>
    <t>Cinmin_50%D</t>
  </si>
  <si>
    <t>Vinripple2_Vinmax</t>
  </si>
  <si>
    <t>Vinripple2_50%D</t>
  </si>
  <si>
    <t>Calculate ripple at Vinmax and 50% duty cycle (Vin = 2*Vout)</t>
  </si>
  <si>
    <t>Calculate cap at Vinmax and 50% duty cycle (Vin = 2*Vout)</t>
  </si>
  <si>
    <t>Calculate ESR at Vinmax and 50% duty cycle (Vin = 2*Vout)</t>
  </si>
  <si>
    <t>Step 7: Compensation</t>
  </si>
  <si>
    <t>Step 6b: Other Components - UVLO, Dither, MODE</t>
  </si>
  <si>
    <t>Step 6a: Soft Start</t>
  </si>
  <si>
    <t>…report highest of these</t>
  </si>
  <si>
    <t>…report this</t>
  </si>
  <si>
    <t>PLOT_TYPE</t>
  </si>
  <si>
    <r>
      <t>Full Load Output Current, I</t>
    </r>
    <r>
      <rPr>
        <b/>
        <vertAlign val="subscript"/>
        <sz val="10"/>
        <color theme="1"/>
        <rFont val="Arial"/>
        <family val="2"/>
      </rPr>
      <t>OUT(max)</t>
    </r>
  </si>
  <si>
    <t>BUCK-BOOST CONTROLLER POWER TOOL</t>
  </si>
  <si>
    <r>
      <t>Q1/Q3 R</t>
    </r>
    <r>
      <rPr>
        <b/>
        <vertAlign val="subscript"/>
        <sz val="10"/>
        <rFont val="Arial"/>
        <family val="2"/>
      </rPr>
      <t>DS(on)</t>
    </r>
    <r>
      <rPr>
        <b/>
        <sz val="10"/>
        <rFont val="Arial"/>
        <family val="2"/>
      </rPr>
      <t xml:space="preserve"> Loss @ D = 100%</t>
    </r>
  </si>
  <si>
    <t>Pass FET</t>
  </si>
  <si>
    <t>Control FET Temp Rise</t>
  </si>
  <si>
    <t>Sync FET Temp Rise</t>
  </si>
  <si>
    <t>Core Loss</t>
  </si>
  <si>
    <t>Irms Lf</t>
  </si>
  <si>
    <t xml:space="preserve">High-side BUCK "Control" MOSFET Losses </t>
  </si>
  <si>
    <t xml:space="preserve">Low-side BUCK "Sync" MOSFET Losses </t>
  </si>
  <si>
    <t xml:space="preserve">Low-side BOOST "Control" MOSFET Losses </t>
  </si>
  <si>
    <t xml:space="preserve">High-side BOOST "Sync" MOSFET Losses </t>
  </si>
  <si>
    <t>Mode</t>
  </si>
  <si>
    <t>Operating Point Condtions</t>
  </si>
  <si>
    <t>Mode Digit</t>
  </si>
  <si>
    <t>Duty Cycle BOOST Leg</t>
  </si>
  <si>
    <t>Duty Cycle BUCK Leg</t>
  </si>
  <si>
    <t>Avg IL</t>
  </si>
  <si>
    <t>Total MOSFET Loss</t>
  </si>
  <si>
    <t>Full-load/high line efficiency</t>
  </si>
  <si>
    <t>Half-load/mid-line efficiency</t>
  </si>
  <si>
    <t>Low line efficiency</t>
  </si>
  <si>
    <t>θJA-MOSFET</t>
  </si>
  <si>
    <t>θJA</t>
  </si>
  <si>
    <t>10% load</t>
  </si>
  <si>
    <t>100% load</t>
  </si>
  <si>
    <t>50% load</t>
  </si>
  <si>
    <t>Low VIN</t>
  </si>
  <si>
    <t>High VIN</t>
  </si>
  <si>
    <t>Nom VIN</t>
  </si>
  <si>
    <r>
      <t xml:space="preserve">Efficiency vs </t>
    </r>
    <r>
      <rPr>
        <b/>
        <sz val="10"/>
        <rFont val="Arial"/>
        <family val="2"/>
      </rPr>
      <t>IOUT</t>
    </r>
    <r>
      <rPr>
        <sz val="10"/>
        <rFont val="Arial"/>
        <family val="2"/>
      </rPr>
      <t xml:space="preserve"> Plot</t>
    </r>
  </si>
  <si>
    <t>Efficiency vs VIN Plot</t>
  </si>
  <si>
    <t xml:space="preserve"> LM5175 Quickstart Design Tool</t>
  </si>
  <si>
    <t>http://www.ti.com/nexfet</t>
  </si>
  <si>
    <r>
      <t>** For information on TI NexFET</t>
    </r>
    <r>
      <rPr>
        <vertAlign val="superscript"/>
        <sz val="10"/>
        <rFont val="Arial"/>
        <family val="2"/>
      </rPr>
      <t>TM</t>
    </r>
    <r>
      <rPr>
        <sz val="10"/>
        <rFont val="Arial"/>
        <family val="2"/>
      </rPr>
      <t xml:space="preserve"> MOSFETs, see **</t>
    </r>
  </si>
  <si>
    <t xml:space="preserve">   **</t>
  </si>
  <si>
    <t>VIN range</t>
  </si>
  <si>
    <t>1 = Yes, 2 = No</t>
  </si>
  <si>
    <t>Worst case peak inductor current</t>
  </si>
  <si>
    <r>
      <t>V</t>
    </r>
    <r>
      <rPr>
        <b/>
        <vertAlign val="subscript"/>
        <sz val="10"/>
        <color theme="1"/>
        <rFont val="Arial"/>
        <family val="2"/>
      </rPr>
      <t>IN(nom)</t>
    </r>
  </si>
  <si>
    <t>dB</t>
  </si>
  <si>
    <t>EA Gain</t>
  </si>
  <si>
    <t>EA Gain (dB)</t>
  </si>
  <si>
    <t>Restored to 50mV as ICTRL went away and the 25mV centering also went away.</t>
  </si>
  <si>
    <t>Edited by Vijay from 96% to 90% to match datasheet calculations.</t>
  </si>
  <si>
    <t>Cc2 calculation updated to place at 5-10x the crossover. Vijay 10/7/2016</t>
  </si>
  <si>
    <t>Vijay Edit. Changed from Fcross/2 to 1.5x of Fp_dominant</t>
  </si>
  <si>
    <t>** Tie MODE to VCC (or voltage &gt; 2.4V) for No Hiccup **</t>
  </si>
  <si>
    <t>LM5177</t>
  </si>
  <si>
    <t>IC, LM5177, Buck-Boost PWM Controller</t>
  </si>
  <si>
    <t>LM5177HTSSOP</t>
  </si>
  <si>
    <t>TSSOP-38</t>
  </si>
  <si>
    <t>edited based on LM5177 curve fit.</t>
  </si>
  <si>
    <t>50ns for LM5177</t>
  </si>
  <si>
    <t>Quiescent Current of LM5177 Controller (Not Switching!)</t>
  </si>
  <si>
    <t xml:space="preserve">to check </t>
  </si>
  <si>
    <t>Pos and neg. is identical - otherwise take lower value</t>
  </si>
  <si>
    <t>Identical for Buck and Boost</t>
  </si>
  <si>
    <t>Rslope_ideal</t>
  </si>
  <si>
    <t>Setting</t>
  </si>
  <si>
    <t>DRSS</t>
  </si>
  <si>
    <t>HICCUP</t>
  </si>
  <si>
    <t>USLEEP</t>
  </si>
  <si>
    <t>IMON_LIMIT</t>
  </si>
  <si>
    <t>R_CFG [</t>
  </si>
  <si>
    <t>CFG</t>
  </si>
  <si>
    <t>Step 6: Soft-start, UVLO, CFG</t>
  </si>
  <si>
    <t>Vref_eff</t>
  </si>
  <si>
    <t>effective Vref with Tracking</t>
  </si>
  <si>
    <r>
      <t>R</t>
    </r>
    <r>
      <rPr>
        <vertAlign val="subscript"/>
        <sz val="10"/>
        <rFont val="Arial"/>
        <family val="2"/>
      </rPr>
      <t>SLOPE</t>
    </r>
  </si>
  <si>
    <t>=Ro*(1-Don_Vinnom_2)/(Ri*KD)</t>
  </si>
  <si>
    <t>=Ro/Ri*1/((1+Ro*(k-0.5)/(Fsw*Lf)))</t>
  </si>
  <si>
    <t>=1/(2*Pi*Ro*Cout)+(k-0.5)/(2*Pi*Fsw*Lf*Cout)</t>
  </si>
  <si>
    <t>Version Number</t>
  </si>
  <si>
    <t>Version History</t>
  </si>
  <si>
    <t>Version</t>
  </si>
  <si>
    <t>Change List Description</t>
  </si>
  <si>
    <t>Initial Release</t>
  </si>
  <si>
    <r>
      <t>Upper Feedback Resistor, R</t>
    </r>
    <r>
      <rPr>
        <b/>
        <vertAlign val="subscript"/>
        <sz val="10"/>
        <rFont val="Arial"/>
        <family val="2"/>
      </rPr>
      <t xml:space="preserve">FBT </t>
    </r>
  </si>
  <si>
    <r>
      <t>Lower Feedback Resistor, R</t>
    </r>
    <r>
      <rPr>
        <vertAlign val="subscript"/>
        <sz val="10"/>
        <rFont val="Arial"/>
        <family val="2"/>
      </rPr>
      <t>FBB</t>
    </r>
    <r>
      <rPr>
        <sz val="10"/>
        <rFont val="Arial"/>
        <family val="2"/>
      </rPr>
      <t xml:space="preserve"> </t>
    </r>
  </si>
  <si>
    <t>Limit Min. output Cap</t>
  </si>
  <si>
    <t>Frhp_Vinmin</t>
  </si>
  <si>
    <t>uses Vin(min)!!</t>
  </si>
  <si>
    <r>
      <t>Boost RHP Zero Frequency @ V</t>
    </r>
    <r>
      <rPr>
        <vertAlign val="subscript"/>
        <sz val="10"/>
        <rFont val="Arial"/>
        <family val="2"/>
      </rPr>
      <t>IN(NOM)</t>
    </r>
  </si>
  <si>
    <r>
      <t>Boost RHP Zero Frequency @ V</t>
    </r>
    <r>
      <rPr>
        <vertAlign val="subscript"/>
        <sz val="10"/>
        <rFont val="Arial"/>
        <family val="2"/>
      </rPr>
      <t>IN(MIN)</t>
    </r>
  </si>
  <si>
    <t>Internal Slope Compensation Capacitor</t>
  </si>
  <si>
    <r>
      <t>recommended Soft-Start Time, t</t>
    </r>
    <r>
      <rPr>
        <vertAlign val="subscript"/>
        <sz val="10"/>
        <color theme="1"/>
        <rFont val="Arial"/>
        <family val="2"/>
      </rPr>
      <t>SS</t>
    </r>
    <r>
      <rPr>
        <sz val="10"/>
        <color theme="1"/>
        <rFont val="Arial"/>
        <family val="2"/>
      </rPr>
      <t xml:space="preserve"> for I</t>
    </r>
    <r>
      <rPr>
        <vertAlign val="subscript"/>
        <sz val="10"/>
        <color theme="1"/>
        <rFont val="Arial"/>
        <family val="2"/>
      </rPr>
      <t>SCP(MIN)</t>
    </r>
  </si>
  <si>
    <t>IL</t>
  </si>
  <si>
    <t>D</t>
  </si>
  <si>
    <t>With Rcs</t>
  </si>
  <si>
    <t>1.0.0</t>
  </si>
  <si>
    <t>removing the factor of 2 does make if fit much better to simplis - why?</t>
  </si>
  <si>
    <t>Lbuck</t>
  </si>
  <si>
    <t>Lmin</t>
  </si>
  <si>
    <t>Lboost</t>
  </si>
  <si>
    <t>Lmax</t>
  </si>
  <si>
    <t>L_avg</t>
  </si>
  <si>
    <t>L_min</t>
  </si>
  <si>
    <t>Joerg's Calculation</t>
  </si>
  <si>
    <t>average of calculated inductances at VIN(min), VIN(max) and VIN(nom)</t>
  </si>
  <si>
    <t>Ifb</t>
  </si>
  <si>
    <t>Rfb2_max</t>
  </si>
  <si>
    <t>Max value for Rfb2</t>
  </si>
  <si>
    <r>
      <t>VIN</t>
    </r>
    <r>
      <rPr>
        <vertAlign val="subscript"/>
        <sz val="10"/>
        <rFont val="Arial"/>
        <family val="2"/>
      </rPr>
      <t>UVLO_OFF</t>
    </r>
  </si>
  <si>
    <t>Error Amp</t>
  </si>
  <si>
    <t>Step 6c: Current Monitor / Current Limiter</t>
  </si>
  <si>
    <t>Monitor</t>
  </si>
  <si>
    <r>
      <t>I</t>
    </r>
    <r>
      <rPr>
        <vertAlign val="subscript"/>
        <sz val="10"/>
        <rFont val="Arial"/>
        <family val="2"/>
      </rPr>
      <t>monitor,Max</t>
    </r>
  </si>
  <si>
    <t>Flag to show current sense is used</t>
  </si>
  <si>
    <t>g_m</t>
  </si>
  <si>
    <t>g_m of Current monitor amplifier</t>
  </si>
  <si>
    <t>Resistor to be connected to IMONOUT</t>
  </si>
  <si>
    <t>max Voltage at IMONOUT</t>
  </si>
  <si>
    <t>IMONLIM_select</t>
  </si>
  <si>
    <t>CFG Setting</t>
  </si>
  <si>
    <t>IMON_LIMIT: off</t>
  </si>
  <si>
    <t>IMON: on</t>
  </si>
  <si>
    <t>DRSS: off</t>
  </si>
  <si>
    <t>DRSS: on</t>
  </si>
  <si>
    <t>HICCUP: on</t>
  </si>
  <si>
    <t>HICCUP: off</t>
  </si>
  <si>
    <t>uSleep: off</t>
  </si>
  <si>
    <t>uSleep: on</t>
  </si>
  <si>
    <t>ILimit Amplifier</t>
  </si>
  <si>
    <t>Ilimit</t>
  </si>
  <si>
    <t>AIL</t>
  </si>
  <si>
    <t>IL zero, z1</t>
  </si>
  <si>
    <t>IL pole, p1</t>
  </si>
  <si>
    <t>IL pole, p2</t>
  </si>
  <si>
    <t>gm_IL</t>
  </si>
  <si>
    <t>GBW_IL</t>
  </si>
  <si>
    <t>Cbw_IL</t>
  </si>
  <si>
    <t>RoEA_IL</t>
  </si>
  <si>
    <t>ILIMIT: negative</t>
  </si>
  <si>
    <t>ILIMIT: positive</t>
  </si>
  <si>
    <t>Column14</t>
  </si>
  <si>
    <t>Column1</t>
  </si>
  <si>
    <t>Buck ''Control'' MOSFET Loss</t>
  </si>
  <si>
    <t>Buck ''SYNC'' MOSFET Loss</t>
  </si>
  <si>
    <t>'CONTROL'' MOSFET Temp Rise</t>
  </si>
  <si>
    <t>'SYNC'' MOSFET Temp Rise</t>
  </si>
  <si>
    <t>Device</t>
  </si>
  <si>
    <t>LM51772</t>
  </si>
  <si>
    <t>CFG1</t>
  </si>
  <si>
    <t>CFG2</t>
  </si>
  <si>
    <t>CFG3</t>
  </si>
  <si>
    <t>R_CFG2 [</t>
  </si>
  <si>
    <t>SYNC_IN_FALLING</t>
  </si>
  <si>
    <t>This cell give 1 for disable and 2 for enable</t>
  </si>
  <si>
    <t>Disabled</t>
  </si>
  <si>
    <t>n/a</t>
  </si>
  <si>
    <t>CFG4</t>
  </si>
  <si>
    <t>R_CFG3 [</t>
  </si>
  <si>
    <t>R_CFG4 [</t>
  </si>
  <si>
    <t>EN_VCC1</t>
  </si>
  <si>
    <t>INC_INDUCT_De-Rate</t>
  </si>
  <si>
    <t>SCP – Hiccup Mode</t>
  </si>
  <si>
    <t>Current Limit</t>
  </si>
  <si>
    <t>Calc Setting</t>
  </si>
  <si>
    <t>Slope Comp.</t>
  </si>
  <si>
    <t>Rslope select LM51772</t>
  </si>
  <si>
    <t>SEL_SLOPE</t>
  </si>
  <si>
    <t>Factor</t>
  </si>
  <si>
    <t>LM51772 Slope table</t>
  </si>
  <si>
    <t>Rslope calc LM51772</t>
  </si>
  <si>
    <t>Rslope setting for CFG1 in LM51772</t>
  </si>
  <si>
    <t>Rslope_equ_772</t>
  </si>
  <si>
    <t>Rslope</t>
  </si>
  <si>
    <t>:Loop Phase Margin (°)</t>
  </si>
  <si>
    <t>BODEPLOT_TYPE</t>
  </si>
  <si>
    <t xml:space="preserve">EXCEL Device Parameter </t>
  </si>
  <si>
    <t>Selected Value</t>
  </si>
  <si>
    <t>LM51771</t>
  </si>
  <si>
    <t>MaxVin</t>
  </si>
  <si>
    <t>MinVin</t>
  </si>
  <si>
    <t>MaxfSW</t>
  </si>
  <si>
    <t>Decoded IMON/Limiter</t>
  </si>
  <si>
    <r>
      <t>Maximum Voltage at V</t>
    </r>
    <r>
      <rPr>
        <vertAlign val="subscript"/>
        <sz val="10"/>
        <color theme="1"/>
        <rFont val="Arial"/>
        <family val="2"/>
      </rPr>
      <t>CDC</t>
    </r>
  </si>
  <si>
    <t>CDC Gain</t>
  </si>
  <si>
    <t>Lopt_Limit</t>
  </si>
  <si>
    <t>Peak Current Limit Margin</t>
  </si>
  <si>
    <t>Ipeak_inductor_Vinmin</t>
  </si>
  <si>
    <t>Ipeak_inductor_Vinnom</t>
  </si>
  <si>
    <t>Ipeak_inductor_Vinmax</t>
  </si>
  <si>
    <t>Ipeak_inductor_buckboost</t>
  </si>
  <si>
    <t>Ilimit_Margin</t>
  </si>
  <si>
    <t>gm_CDC</t>
  </si>
  <si>
    <t>CDC Transconductance</t>
  </si>
  <si>
    <t>I2C</t>
  </si>
  <si>
    <t>ADDR LSB: 0</t>
  </si>
  <si>
    <t>ADDR LSB: 1</t>
  </si>
  <si>
    <r>
      <t>CDC Resistance, R</t>
    </r>
    <r>
      <rPr>
        <vertAlign val="subscript"/>
        <sz val="10"/>
        <rFont val="Arial"/>
        <family val="2"/>
      </rPr>
      <t>CDC</t>
    </r>
  </si>
  <si>
    <t>1.0.1</t>
  </si>
  <si>
    <t>Calculated inductance for 40% ripple at VIN(max)</t>
  </si>
  <si>
    <t>Calculated inductance for 35% ripple at VIN(nom)</t>
  </si>
  <si>
    <t>Lmax(0.5d boost)</t>
  </si>
  <si>
    <t>Iinpeakmax</t>
  </si>
  <si>
    <t>Ltyp</t>
  </si>
  <si>
    <t>Lminheadroom</t>
  </si>
  <si>
    <t>LminSC</t>
  </si>
  <si>
    <r>
      <t>Peak Inductor Over-Current Limit, I</t>
    </r>
    <r>
      <rPr>
        <vertAlign val="subscript"/>
        <sz val="10"/>
        <color theme="1"/>
        <rFont val="Arial"/>
        <family val="2"/>
      </rPr>
      <t>LPK,Limit</t>
    </r>
  </si>
  <si>
    <r>
      <t>Max Peak Inductor Current, I</t>
    </r>
    <r>
      <rPr>
        <vertAlign val="subscript"/>
        <sz val="10"/>
        <color theme="1"/>
        <rFont val="Arial"/>
        <family val="2"/>
      </rPr>
      <t>LPk,Max</t>
    </r>
  </si>
  <si>
    <t>BUCK current limit - peak</t>
  </si>
  <si>
    <r>
      <rPr>
        <b/>
        <sz val="10"/>
        <rFont val="Arial"/>
        <family val="2"/>
      </rPr>
      <t>Peak</t>
    </r>
    <r>
      <rPr>
        <sz val="10"/>
        <rFont val="Arial"/>
        <family val="2"/>
      </rPr>
      <t xml:space="preserve"> inductor current limit in </t>
    </r>
    <r>
      <rPr>
        <b/>
        <sz val="10"/>
        <rFont val="Arial"/>
        <family val="2"/>
      </rPr>
      <t>BUCK</t>
    </r>
  </si>
  <si>
    <t>Rs_in_range</t>
  </si>
  <si>
    <t>Recommended SLOPE Factor</t>
  </si>
  <si>
    <t>Ipeak_inductor_max</t>
  </si>
  <si>
    <t>Ipeak_inductor_max_margin</t>
  </si>
  <si>
    <t>Max inductor of Boost and Buck</t>
  </si>
  <si>
    <t>with added margin</t>
  </si>
  <si>
    <t>Ltyp_sugguest</t>
  </si>
  <si>
    <t>Rsns_suggest</t>
  </si>
  <si>
    <t>Ltyp_sugguest_limit</t>
  </si>
  <si>
    <t>gm_monitor</t>
  </si>
  <si>
    <r>
      <t>Used Current Sense, R</t>
    </r>
    <r>
      <rPr>
        <vertAlign val="subscript"/>
        <sz val="10"/>
        <rFont val="Arial"/>
        <family val="2"/>
      </rPr>
      <t>ISNS(out/in)</t>
    </r>
  </si>
  <si>
    <r>
      <t>Recommended Current Sense, R</t>
    </r>
    <r>
      <rPr>
        <vertAlign val="subscript"/>
        <sz val="10"/>
        <rFont val="Arial"/>
        <family val="2"/>
      </rPr>
      <t>ISNS(out/in)</t>
    </r>
  </si>
  <si>
    <t>gm_IL_DAC</t>
  </si>
  <si>
    <t>CDC_Threshold</t>
  </si>
  <si>
    <t>IMON_Threshold</t>
  </si>
  <si>
    <t>ILIM_Threshold</t>
  </si>
  <si>
    <t>Ripple</t>
  </si>
  <si>
    <t>Ripple Ratio</t>
  </si>
  <si>
    <t>IL Peak,Peak</t>
  </si>
  <si>
    <t>IL Peak</t>
  </si>
  <si>
    <t>Reworked inductor selection, updated current monitor and limiter configuration</t>
  </si>
  <si>
    <t>updated input limit to 55V</t>
  </si>
  <si>
    <t>fixed error in efficency calculation - R for ISNS was not implemented right</t>
  </si>
  <si>
    <t>Irms BuCtrl</t>
  </si>
  <si>
    <r>
      <t>R</t>
    </r>
    <r>
      <rPr>
        <b/>
        <vertAlign val="subscript"/>
        <sz val="10"/>
        <rFont val="Arial"/>
        <family val="2"/>
      </rPr>
      <t>DS(on)</t>
    </r>
    <r>
      <rPr>
        <b/>
        <sz val="10"/>
        <rFont val="Arial"/>
        <family val="2"/>
      </rPr>
      <t xml:space="preserve"> Loss BuCtrl</t>
    </r>
  </si>
  <si>
    <t>Transition Loss BuCtrl</t>
  </si>
  <si>
    <t>Dead Time Loss BuCtrl</t>
  </si>
  <si>
    <t>Total Control Bu MOSFET Loss</t>
  </si>
  <si>
    <t>Irms BuSync</t>
  </si>
  <si>
    <t>RDS(on) Loss BuSync</t>
  </si>
  <si>
    <t>Deadtime Loss BuSync</t>
  </si>
  <si>
    <t>Total Sync Bu MOSFET Loss</t>
  </si>
  <si>
    <t>Irms BoSync</t>
  </si>
  <si>
    <t>RDS(on) Loss BoSync</t>
  </si>
  <si>
    <t>Deadtime Loss BoSync</t>
  </si>
  <si>
    <t>Total Sync Bo MOSFET Loss</t>
  </si>
  <si>
    <t>Total Control Bo MOSFET Loss</t>
  </si>
  <si>
    <t>Irms BoCtlr</t>
  </si>
  <si>
    <t>RDS(on) Loss BoCtlr</t>
  </si>
  <si>
    <t>Transition Loss BoCtlr</t>
  </si>
  <si>
    <t>Dead Time Loss BoCtlr</t>
  </si>
  <si>
    <t>Deadtime Loss ext D</t>
  </si>
  <si>
    <t>"SCH772_NO_RCS"</t>
  </si>
  <si>
    <t>"SCH772_RCS_LIM"</t>
  </si>
  <si>
    <t>"SCH772_RCS_LIM_DAC"</t>
  </si>
  <si>
    <t>Fixed labeling in efficiency graph</t>
  </si>
  <si>
    <t>Co2</t>
  </si>
  <si>
    <t>from Joergs calculation</t>
  </si>
  <si>
    <t>f_p</t>
  </si>
  <si>
    <t>f_bwilim</t>
  </si>
  <si>
    <t>C_limitcomp</t>
  </si>
  <si>
    <t>HZ</t>
  </si>
  <si>
    <t>0:off / 1: ILIM (ext) / 2: ILIM (DAC)</t>
  </si>
  <si>
    <t>RiLim</t>
  </si>
  <si>
    <t>V_ILIM</t>
  </si>
  <si>
    <t>used Shunt Resistor in Output Leg</t>
  </si>
  <si>
    <t>With_CDC</t>
  </si>
  <si>
    <t>Flag to show CDC is used</t>
  </si>
  <si>
    <t>"SCH772_NO_RCS_NO_CDC"</t>
  </si>
  <si>
    <t>"SCH772_RCS_LIM_NO_CDC"</t>
  </si>
  <si>
    <t>"SCH772_RCS_LIM_DAC_NO_CDC"</t>
  </si>
  <si>
    <t>Updated Current Limit and Monitor configuration</t>
  </si>
  <si>
    <t>Internal FB disabled</t>
  </si>
  <si>
    <t>CDC disabled</t>
  </si>
  <si>
    <t>CDC enabled</t>
  </si>
  <si>
    <t>Int. FB (SEL_DIV20 = 0)</t>
  </si>
  <si>
    <t>Int. FB (SEL_DIV20 = 1)</t>
  </si>
  <si>
    <t>1.1.0</t>
  </si>
  <si>
    <t>1.1.1</t>
  </si>
  <si>
    <t>Added internal FB divider configuration</t>
  </si>
  <si>
    <t>V_Ilimit</t>
  </si>
  <si>
    <t>C_ILimit_HF</t>
  </si>
  <si>
    <t>.</t>
  </si>
  <si>
    <t>C_ILimit_HF_STD</t>
  </si>
  <si>
    <t>C_limitcomp_STD</t>
  </si>
  <si>
    <t>updated calculation for ILIM with DAC and ISET</t>
  </si>
  <si>
    <t>1.1.2</t>
  </si>
  <si>
    <r>
      <t>R</t>
    </r>
    <r>
      <rPr>
        <b/>
        <vertAlign val="subscript"/>
        <sz val="10"/>
        <rFont val="Arial"/>
        <family val="2"/>
      </rPr>
      <t>COMP</t>
    </r>
  </si>
  <si>
    <r>
      <t>C</t>
    </r>
    <r>
      <rPr>
        <b/>
        <vertAlign val="subscript"/>
        <sz val="10"/>
        <rFont val="Arial"/>
        <family val="2"/>
      </rPr>
      <t>COMP</t>
    </r>
  </si>
  <si>
    <r>
      <t>C</t>
    </r>
    <r>
      <rPr>
        <b/>
        <vertAlign val="subscript"/>
        <sz val="10"/>
        <rFont val="Arial"/>
        <family val="2"/>
      </rPr>
      <t>HF</t>
    </r>
  </si>
  <si>
    <t>Fixed calculation of Softstart time</t>
  </si>
  <si>
    <t>Fixed resistor value for R(CFG) setting 3</t>
  </si>
  <si>
    <t>Adjusted Rt calculation formula</t>
  </si>
  <si>
    <r>
      <t>Recommended R</t>
    </r>
    <r>
      <rPr>
        <vertAlign val="subscript"/>
        <sz val="10"/>
        <rFont val="Arial"/>
        <family val="2"/>
      </rPr>
      <t>DIFF</t>
    </r>
    <r>
      <rPr>
        <sz val="10"/>
        <rFont val="Arial"/>
        <family val="2"/>
      </rPr>
      <t xml:space="preserve"> for Current Sense Filter</t>
    </r>
  </si>
  <si>
    <r>
      <t>Recommended C</t>
    </r>
    <r>
      <rPr>
        <vertAlign val="subscript"/>
        <sz val="10"/>
        <rFont val="Arial"/>
        <family val="2"/>
      </rPr>
      <t>DIFF</t>
    </r>
    <r>
      <rPr>
        <sz val="10"/>
        <rFont val="Arial"/>
        <family val="2"/>
      </rPr>
      <t xml:space="preserve"> for Current Sense Filter</t>
    </r>
  </si>
  <si>
    <t>t_on_min_Boost</t>
  </si>
  <si>
    <t>R_CS</t>
  </si>
  <si>
    <t>C_CS</t>
  </si>
  <si>
    <t>Added Filter for CSA/CSB</t>
  </si>
  <si>
    <t>fixed issue when selecting internal FB</t>
  </si>
  <si>
    <t>Freq[Mhz]</t>
  </si>
  <si>
    <t>Minimum off-time  Boost[ns]</t>
  </si>
  <si>
    <t>C_CS_ideal</t>
  </si>
  <si>
    <t>C_cs</t>
  </si>
  <si>
    <t>1:LM5177 / 2:LM51772</t>
  </si>
  <si>
    <t>Transition</t>
  </si>
  <si>
    <t>BuckBoost</t>
  </si>
  <si>
    <t>iripple,avg_L</t>
  </si>
  <si>
    <t>di = du/L * dt</t>
  </si>
  <si>
    <t>avg = 1/T * (I1 * dt1 + …</t>
  </si>
  <si>
    <t>Fsw [kHz]</t>
  </si>
  <si>
    <t>Buck -&gt; BuBo</t>
  </si>
  <si>
    <t>IL [A]</t>
  </si>
  <si>
    <t>BuBo -&gt; Buck</t>
  </si>
  <si>
    <t>Boost -&gt; BuBo</t>
  </si>
  <si>
    <t>Vout [V]</t>
  </si>
  <si>
    <t>BuBo -&gt; Boost</t>
  </si>
  <si>
    <t>iavg</t>
  </si>
  <si>
    <t>dI1</t>
  </si>
  <si>
    <t>dI2</t>
  </si>
  <si>
    <t>eff</t>
  </si>
  <si>
    <t>Timings [ns]</t>
  </si>
  <si>
    <t>Phase II (Q1-Q4)</t>
  </si>
  <si>
    <t>Phase I (Q1-Q3)</t>
  </si>
  <si>
    <t>Phase III (Q2-Q4)</t>
  </si>
  <si>
    <t>dI3</t>
  </si>
  <si>
    <t>Abs currents at</t>
  </si>
  <si>
    <t>BuBo center</t>
  </si>
  <si>
    <t>Simplis Align factor</t>
  </si>
  <si>
    <t>I_0</t>
  </si>
  <si>
    <t>default 0.5</t>
  </si>
  <si>
    <t>I_1</t>
  </si>
  <si>
    <t>I_2</t>
  </si>
  <si>
    <t>Duty cycles [%]</t>
  </si>
  <si>
    <t>Timings</t>
  </si>
  <si>
    <t>I_PP</t>
  </si>
  <si>
    <t>t1 - Ph. II</t>
  </si>
  <si>
    <t>t2 - Ph. I</t>
  </si>
  <si>
    <t>i_rms</t>
  </si>
  <si>
    <t>t3 - Ph. III</t>
  </si>
  <si>
    <t>t period</t>
  </si>
  <si>
    <t>Simplis</t>
  </si>
  <si>
    <t>Boost</t>
  </si>
  <si>
    <t>Ref - Calc</t>
  </si>
  <si>
    <t>Vin &lt; vout</t>
  </si>
  <si>
    <t>t[ns]</t>
  </si>
  <si>
    <t>Delta t [ns]</t>
  </si>
  <si>
    <t>t0</t>
  </si>
  <si>
    <t>I start</t>
  </si>
  <si>
    <t>Delta</t>
  </si>
  <si>
    <t>Ph. II</t>
  </si>
  <si>
    <t>Ph. I</t>
  </si>
  <si>
    <t>Ph. III</t>
  </si>
  <si>
    <t>Buck</t>
  </si>
  <si>
    <t>EVM</t>
  </si>
  <si>
    <t>XGL1060-332MEC</t>
  </si>
  <si>
    <t>T period</t>
  </si>
  <si>
    <t>Volt second balance</t>
  </si>
  <si>
    <t>U = L dI/dt</t>
  </si>
  <si>
    <t>V dt = L dI</t>
  </si>
  <si>
    <t>(Ui - Uo)* t1 + Ui * t2 - Uo * t3 = 0</t>
  </si>
  <si>
    <t>math</t>
  </si>
  <si>
    <t>t3 = T -t1 -t2</t>
  </si>
  <si>
    <t>(Ui - Uo)* t1 + Ui * t2 - Uo * (T -t1 -t2) = 0</t>
  </si>
  <si>
    <t>(Ui - Uo)*t1 -Uo*T+Uo*t1 +Uo*t2 + Ui * t2 = 0</t>
  </si>
  <si>
    <t>(Ui *t1 + (Uo + Ui) * t2 -Uo*T = 0</t>
  </si>
  <si>
    <t>(Ui *t1 + (Uo + ui) * t2 -Uo*T = 0</t>
  </si>
  <si>
    <t>t2 = (Uo*T - Ui*t1)/(Ui+Uo)</t>
  </si>
  <si>
    <t>rms = sqrt(1/T * t1 (i0 * i1 + (i1-i0)^2/3)</t>
  </si>
  <si>
    <t>rms = sqrt(1/T *   ( t1 * (i0 * i1 + ((i1-i0)^2)/3) +  t2 * (i1 * i2 + ((i2-i1)^2)/3)   +   t2 *  (i2 * i0 + ((i0-i2)^2)/3) ) )</t>
  </si>
  <si>
    <t>iripple,avg_L_out_path</t>
  </si>
  <si>
    <t>iripple,avg_L_in_path</t>
  </si>
  <si>
    <t>0: PSM  1: FPWM 2: ACM</t>
  </si>
  <si>
    <t>t1_Ph_II</t>
  </si>
  <si>
    <t>t2_Ph_I</t>
  </si>
  <si>
    <t>t3_Ph_III</t>
  </si>
  <si>
    <t>Boost ''Control'' MOSFET Loss</t>
  </si>
  <si>
    <t>Boost ''SYNC'' MOSFET Loss</t>
  </si>
  <si>
    <r>
      <t>Inductance at max Current, L</t>
    </r>
    <r>
      <rPr>
        <b/>
        <vertAlign val="subscript"/>
        <sz val="10"/>
        <color theme="1"/>
        <rFont val="Arial"/>
        <family val="2"/>
      </rPr>
      <t>F,eff</t>
    </r>
    <r>
      <rPr>
        <b/>
        <sz val="10"/>
        <color theme="1"/>
        <rFont val="Arial"/>
        <family val="2"/>
      </rPr>
      <t xml:space="preserve"> </t>
    </r>
  </si>
  <si>
    <t>Recommended Inductor De-Rating</t>
  </si>
  <si>
    <t>Updated description of Inductor Derate</t>
  </si>
  <si>
    <t>Added MOSFET details to efficiency plots</t>
  </si>
  <si>
    <t>RcIL</t>
  </si>
  <si>
    <t>Cc2IL</t>
  </si>
  <si>
    <t>Cc1IL</t>
  </si>
  <si>
    <t>IL_CompMode</t>
  </si>
  <si>
    <t>1: C only</t>
  </si>
  <si>
    <t>Adc [dB]</t>
  </si>
  <si>
    <t>ADC</t>
  </si>
  <si>
    <t>Complex</t>
  </si>
  <si>
    <t>ADC_EA</t>
  </si>
  <si>
    <t>Divider Network &amp; IL Poles/Zeros</t>
  </si>
  <si>
    <t>ADC_IL</t>
  </si>
  <si>
    <t>Iload</t>
  </si>
  <si>
    <t>Co1</t>
  </si>
  <si>
    <t>Co1_esr</t>
  </si>
  <si>
    <t>CO2_esr</t>
  </si>
  <si>
    <t>Duty</t>
  </si>
  <si>
    <t>Current limit with DAC</t>
  </si>
  <si>
    <t>L_dcr</t>
  </si>
  <si>
    <t>Zout</t>
  </si>
  <si>
    <t>ZCo1</t>
  </si>
  <si>
    <t>ZCo2</t>
  </si>
  <si>
    <t>Zout_sns</t>
  </si>
  <si>
    <t>Rsns</t>
  </si>
  <si>
    <t>Zout_all</t>
  </si>
  <si>
    <t>Rload</t>
  </si>
  <si>
    <t>IL ERROR AMP Response</t>
  </si>
  <si>
    <t>G_vc_isns</t>
  </si>
  <si>
    <t>G_d_il</t>
  </si>
  <si>
    <t>G_d_isns</t>
  </si>
  <si>
    <t>G_d_vo</t>
  </si>
  <si>
    <t>ZL</t>
  </si>
  <si>
    <t>G_d_mid</t>
  </si>
  <si>
    <t>G_vc_Il</t>
  </si>
  <si>
    <t>G_vc_vo</t>
  </si>
  <si>
    <t>He</t>
  </si>
  <si>
    <t>Vse</t>
  </si>
  <si>
    <t>Fm</t>
  </si>
  <si>
    <t>i_sns_gain</t>
  </si>
  <si>
    <t>Gm_csa</t>
  </si>
  <si>
    <t>r_v2i_ipeak</t>
  </si>
  <si>
    <t>G_d_iout</t>
  </si>
  <si>
    <t>Ilimit DAC</t>
  </si>
  <si>
    <t>Limit iSet</t>
  </si>
  <si>
    <r>
      <t>IMONOUT Filter , C</t>
    </r>
    <r>
      <rPr>
        <vertAlign val="subscript"/>
        <sz val="10"/>
        <rFont val="Arial"/>
        <family val="2"/>
      </rPr>
      <t>ISET</t>
    </r>
  </si>
  <si>
    <r>
      <t>IMONOUT Filter , R</t>
    </r>
    <r>
      <rPr>
        <vertAlign val="subscript"/>
        <sz val="10"/>
        <rFont val="Arial"/>
        <family val="2"/>
      </rPr>
      <t>ISET</t>
    </r>
  </si>
  <si>
    <r>
      <t>R</t>
    </r>
    <r>
      <rPr>
        <b/>
        <vertAlign val="subscript"/>
        <sz val="10"/>
        <rFont val="Arial"/>
        <family val="2"/>
      </rPr>
      <t>IL,COMP</t>
    </r>
  </si>
  <si>
    <r>
      <t>C</t>
    </r>
    <r>
      <rPr>
        <b/>
        <vertAlign val="subscript"/>
        <sz val="10"/>
        <rFont val="Arial"/>
        <family val="2"/>
      </rPr>
      <t>IL,COMP</t>
    </r>
  </si>
  <si>
    <r>
      <t>C</t>
    </r>
    <r>
      <rPr>
        <b/>
        <vertAlign val="subscript"/>
        <sz val="10"/>
        <rFont val="Arial"/>
        <family val="2"/>
      </rPr>
      <t>IL,HF</t>
    </r>
  </si>
  <si>
    <t>Approach:</t>
  </si>
  <si>
    <t>Cc1il</t>
  </si>
  <si>
    <t>Cc2il</t>
  </si>
  <si>
    <t>Rc1il</t>
  </si>
  <si>
    <t>calc</t>
  </si>
  <si>
    <t>STD value</t>
  </si>
  <si>
    <t>ILIMIT: iSET</t>
  </si>
  <si>
    <t>ILIMIT: ILIM_DAC</t>
  </si>
  <si>
    <t>Ilimit DAC Filter , CcIL</t>
  </si>
  <si>
    <t>Neg. Current Limit</t>
  </si>
  <si>
    <t>Current Monitor via CDC</t>
  </si>
  <si>
    <t>Added Bode plot for current limit</t>
  </si>
  <si>
    <t>Step 7.2: Current Limiter Compensation Design</t>
  </si>
  <si>
    <t>Step 7.1: Compensation Components</t>
  </si>
  <si>
    <t>"SCH772_RCS_LIM_DAC+_NO_CDC"</t>
  </si>
  <si>
    <t>"SCH772_RCS_LIM_DAC+"</t>
  </si>
  <si>
    <t>fc,IL= 1/5 * Fbw,VoltageLoop</t>
  </si>
  <si>
    <t>Fp,IL = Fz_ea</t>
  </si>
  <si>
    <t>Fz,IL:  1 Decade under Fload</t>
  </si>
  <si>
    <r>
      <t>C</t>
    </r>
    <r>
      <rPr>
        <vertAlign val="subscript"/>
        <sz val="10"/>
        <rFont val="Arial"/>
        <family val="2"/>
      </rPr>
      <t>OUT2</t>
    </r>
    <r>
      <rPr>
        <sz val="10"/>
        <rFont val="Arial"/>
        <family val="2"/>
      </rPr>
      <t xml:space="preserve"> Output Capacitance </t>
    </r>
  </si>
  <si>
    <t>ILIMIT: ILIM_DAC (RC-Filter)</t>
  </si>
  <si>
    <t>Cout2</t>
  </si>
  <si>
    <t xml:space="preserve">updated limits for peak current limit threshold </t>
  </si>
  <si>
    <t>1.1.3</t>
  </si>
  <si>
    <t>Added Inductor De-Rate and updated Comment for Inductor to use derated Inductance</t>
  </si>
  <si>
    <t>Fixed R_CFG4 value when selecting iSet</t>
  </si>
  <si>
    <t>useI2C</t>
  </si>
  <si>
    <t>Added note to set config via corresponding registers via when I2C is enabled</t>
  </si>
  <si>
    <r>
      <t>R</t>
    </r>
    <r>
      <rPr>
        <vertAlign val="subscript"/>
        <sz val="10"/>
        <rFont val="Arial"/>
        <family val="2"/>
      </rPr>
      <t>UV1</t>
    </r>
    <r>
      <rPr>
        <sz val="10"/>
        <rFont val="Arial"/>
        <family val="2"/>
      </rPr>
      <t>_STD</t>
    </r>
  </si>
  <si>
    <r>
      <t>R</t>
    </r>
    <r>
      <rPr>
        <vertAlign val="subscript"/>
        <sz val="10"/>
        <rFont val="Arial"/>
        <family val="2"/>
      </rPr>
      <t>UV2</t>
    </r>
    <r>
      <rPr>
        <sz val="10"/>
        <rFont val="Arial"/>
        <family val="2"/>
      </rPr>
      <t>_STD</t>
    </r>
  </si>
  <si>
    <t>ISZ034N06LM5ATMA1</t>
  </si>
  <si>
    <t>Reverse Recovery Loss MOSFET D BUCK</t>
  </si>
  <si>
    <t>Reverse Recovery Loss MOSFET D BOOST</t>
  </si>
  <si>
    <t>Improved calculation of Desired Crossover Frequency</t>
  </si>
  <si>
    <t>Suggested Crossover Frequency</t>
  </si>
  <si>
    <t>Error Amp Pole Frequency</t>
  </si>
  <si>
    <t>Fixed Bit naming of CFG3 (uSleep replaced by EN_CONST_TDEAD)</t>
  </si>
  <si>
    <r>
      <t>Lower Feedback Resistor, R</t>
    </r>
    <r>
      <rPr>
        <b/>
        <vertAlign val="subscript"/>
        <sz val="10"/>
        <rFont val="Arial"/>
        <family val="2"/>
      </rPr>
      <t>FBB</t>
    </r>
    <r>
      <rPr>
        <b/>
        <sz val="10"/>
        <rFont val="Arial"/>
        <family val="2"/>
      </rPr>
      <t xml:space="preserve"> </t>
    </r>
  </si>
  <si>
    <r>
      <t>FB Resisitor (calc R</t>
    </r>
    <r>
      <rPr>
        <b/>
        <vertAlign val="subscript"/>
        <sz val="12"/>
        <color rgb="FF0000FF"/>
        <rFont val="Arial"/>
        <family val="2"/>
      </rPr>
      <t>FBT</t>
    </r>
    <r>
      <rPr>
        <b/>
        <sz val="12"/>
        <color indexed="12"/>
        <rFont val="Arial"/>
        <family val="2"/>
      </rPr>
      <t>)</t>
    </r>
  </si>
  <si>
    <t>Mode Transitions</t>
  </si>
  <si>
    <t>deadtime linear approx</t>
  </si>
  <si>
    <t>m</t>
  </si>
  <si>
    <t>t</t>
  </si>
  <si>
    <t>updated deadtime dependency with fsw</t>
  </si>
  <si>
    <t>added support for LM51772-Q1</t>
  </si>
  <si>
    <t>1.2.0</t>
  </si>
  <si>
    <t>CONST_TDEAD</t>
  </si>
  <si>
    <t>PCM_HYST</t>
  </si>
  <si>
    <t>VDET</t>
  </si>
  <si>
    <t>SYNC_OUT</t>
  </si>
  <si>
    <t>LM51772-Q1</t>
  </si>
  <si>
    <t>Scale_DT</t>
  </si>
  <si>
    <t>Const_DT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</si>
</sst>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43" formatCode="_(* #,##0.00_);_(* \(#,##0.00\);_(* &quot;-&quot;??_);_(@_)"/>
    <numFmt numFmtId="164" formatCode="_-* #,##0.00\ _€_-;\-* #,##0.00\ _€_-;_-* &quot;-&quot;??\ _€_-;_-@_-"/>
    <numFmt numFmtId="165" formatCode="0.000000"/>
    <numFmt numFmtId="166" formatCode="0.00000"/>
    <numFmt numFmtId="167" formatCode="0.0000"/>
    <numFmt numFmtId="168" formatCode="0.000"/>
    <numFmt numFmtId="169" formatCode="0.0"/>
    <numFmt numFmtId="170" formatCode="0.000E+00"/>
    <numFmt numFmtId="171" formatCode="#0.0#"/>
    <numFmt numFmtId="172" formatCode="General&quot;nF&quot;"/>
    <numFmt numFmtId="173" formatCode="General&quot;k&quot;"/>
    <numFmt numFmtId="174" formatCode="General&quot;pF&quot;"/>
    <numFmt numFmtId="175" formatCode="General&quot;µF&quot;"/>
    <numFmt numFmtId="176" formatCode="&quot;Capacitor, Ceramic, &quot;General&quot;-µF, 25V, X5R, 20%&quot;"/>
    <numFmt numFmtId="177" formatCode="&quot;Capacitor, Ceramic, &quot;General&quot;-pF, 50V, NP0, 5%&quot;"/>
    <numFmt numFmtId="178" formatCode="&quot;Capacitor, Ceramic, &quot;General&quot;-nF, 16V, X7R, 10%&quot;"/>
    <numFmt numFmtId="179" formatCode="&quot;Capacitor, Ceramic, &quot;General&quot;-pF, 16V, X7R, 10%&quot;"/>
    <numFmt numFmtId="180" formatCode="&quot;Capacitor, Ceramic, &quot;General&quot;-µF, 25V, X7R, 20%&quot;"/>
    <numFmt numFmtId="181" formatCode="General&quot;µH&quot;"/>
    <numFmt numFmtId="182" formatCode="&quot;Inductor, &quot;General&quot;-µH, 10%&quot;"/>
    <numFmt numFmtId="183" formatCode="&quot;Resistor, Chip, &quot;General&quot;-kΩ, 1/16W, 1%&quot;"/>
    <numFmt numFmtId="184" formatCode="&quot;Resistor, Chip, &quot;General&quot;-Ω, 1/16W, 1%&quot;"/>
    <numFmt numFmtId="185" formatCode="0.E+00"/>
    <numFmt numFmtId="186" formatCode="0.0%"/>
    <numFmt numFmtId="187" formatCode="0.0E+00"/>
    <numFmt numFmtId="188" formatCode="&quot;MOSFET, N-CH, 60V, &quot;General&quot;mΩ&quot;"/>
    <numFmt numFmtId="189" formatCode="General&quot;m&quot;"/>
    <numFmt numFmtId="190" formatCode="&quot;Capacitor, Ceramic, &quot;General&quot;-µF, 50V, X7R, 20%&quot;"/>
    <numFmt numFmtId="191" formatCode="&quot;Capacitor, Ceramic, &quot;General&quot;-µF, 100V, X7R, 20%&quot;"/>
    <numFmt numFmtId="192" formatCode="&quot;Resistor, Chip, &quot;General&quot;-mΩ, 2W, 1%&quot;"/>
    <numFmt numFmtId="193" formatCode="##0.00E+0"/>
  </numFmts>
  <fonts count="11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sz val="10"/>
      <color indexed="13"/>
      <name val="Calibri"/>
      <family val="2"/>
    </font>
    <font>
      <b/>
      <u/>
      <sz val="10"/>
      <color indexed="10"/>
      <name val="Arial"/>
      <family val="2"/>
    </font>
    <font>
      <sz val="10"/>
      <color indexed="56"/>
      <name val="Calibri"/>
      <family val="2"/>
    </font>
    <font>
      <sz val="10"/>
      <color indexed="8"/>
      <name val="Arial"/>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sz val="8"/>
      <color indexed="10"/>
      <name val="Tahoma"/>
      <family val="2"/>
    </font>
    <font>
      <b/>
      <vertAlign val="subscript"/>
      <sz val="10"/>
      <color indexed="81"/>
      <name val="Tahoma"/>
      <family val="2"/>
    </font>
    <font>
      <vertAlign val="subscript"/>
      <sz val="10"/>
      <color indexed="81"/>
      <name val="Tahoma"/>
      <family val="2"/>
    </font>
    <font>
      <sz val="36"/>
      <color rgb="FFFF0000"/>
      <name val="Arial"/>
      <family val="2"/>
    </font>
    <font>
      <sz val="32"/>
      <color theme="0"/>
      <name val="Arial"/>
      <family val="2"/>
    </font>
    <font>
      <sz val="16"/>
      <color theme="0"/>
      <name val="Arial"/>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vertAlign val="superscript"/>
      <sz val="10"/>
      <name val="Arial"/>
      <family val="2"/>
    </font>
    <font>
      <vertAlign val="subscript"/>
      <sz val="10"/>
      <color theme="1"/>
      <name val="Arial"/>
      <family val="2"/>
    </font>
    <font>
      <u/>
      <sz val="9"/>
      <color indexed="81"/>
      <name val="Tahoma"/>
      <family val="2"/>
    </font>
    <font>
      <b/>
      <sz val="11"/>
      <name val="Arial"/>
      <family val="2"/>
    </font>
    <font>
      <sz val="10"/>
      <color rgb="FFFF0000"/>
      <name val="Arial"/>
      <family val="2"/>
    </font>
    <font>
      <vertAlign val="subscript"/>
      <sz val="10"/>
      <color rgb="FFFF0000"/>
      <name val="Arial"/>
      <family val="2"/>
    </font>
    <font>
      <b/>
      <sz val="10"/>
      <name val="Symbol"/>
      <family val="1"/>
      <charset val="2"/>
    </font>
    <font>
      <b/>
      <i/>
      <u/>
      <sz val="10"/>
      <color rgb="FF0000FF"/>
      <name val="Arial"/>
      <family val="2"/>
    </font>
    <font>
      <sz val="10"/>
      <color theme="0"/>
      <name val="Arial"/>
      <family val="2"/>
    </font>
    <font>
      <u/>
      <sz val="10"/>
      <color theme="0" tint="-0.499984740745262"/>
      <name val="Arial"/>
      <family val="2"/>
    </font>
    <font>
      <b/>
      <sz val="12"/>
      <color indexed="10"/>
      <name val="Tahoma"/>
      <family val="2"/>
    </font>
    <font>
      <b/>
      <sz val="10"/>
      <color rgb="FFFF00FF"/>
      <name val="Arial"/>
      <family val="2"/>
    </font>
    <font>
      <b/>
      <sz val="10"/>
      <color rgb="FFC00000"/>
      <name val="Arial"/>
      <family val="2"/>
    </font>
    <font>
      <b/>
      <vertAlign val="subscript"/>
      <sz val="9"/>
      <color indexed="10"/>
      <name val="Tahoma"/>
      <family val="2"/>
    </font>
    <font>
      <b/>
      <sz val="9"/>
      <color indexed="14"/>
      <name val="Tahoma"/>
      <family val="2"/>
    </font>
    <font>
      <b/>
      <sz val="9"/>
      <color rgb="FF000000"/>
      <name val="Arial"/>
      <family val="2"/>
    </font>
    <font>
      <sz val="11"/>
      <color theme="1"/>
      <name val="Arial"/>
      <family val="2"/>
    </font>
    <font>
      <u/>
      <sz val="11"/>
      <color theme="10"/>
      <name val="Calibri"/>
      <family val="2"/>
      <scheme val="minor"/>
    </font>
    <font>
      <b/>
      <u/>
      <sz val="10"/>
      <color theme="10"/>
      <name val="Arial"/>
      <family val="2"/>
    </font>
    <font>
      <b/>
      <sz val="10"/>
      <color theme="0"/>
      <name val="Arial"/>
      <family val="2"/>
    </font>
    <font>
      <b/>
      <u/>
      <sz val="11"/>
      <color theme="10"/>
      <name val="Arial"/>
      <family val="2"/>
    </font>
    <font>
      <vertAlign val="subscript"/>
      <sz val="8"/>
      <color indexed="81"/>
      <name val="Tahoma"/>
      <family val="2"/>
    </font>
    <font>
      <u/>
      <sz val="10"/>
      <color theme="0"/>
      <name val="Arial"/>
      <family val="2"/>
    </font>
    <font>
      <b/>
      <sz val="22"/>
      <color theme="0"/>
      <name val="Calibri"/>
      <family val="2"/>
    </font>
    <font>
      <sz val="11"/>
      <color rgb="FF006100"/>
      <name val="Calibri"/>
      <family val="2"/>
      <scheme val="minor"/>
    </font>
    <font>
      <sz val="11"/>
      <color rgb="FF3F3F76"/>
      <name val="Calibri"/>
      <family val="2"/>
      <scheme val="minor"/>
    </font>
    <font>
      <b/>
      <sz val="11"/>
      <color rgb="FF3F3F3F"/>
      <name val="Calibri"/>
      <family val="2"/>
      <scheme val="minor"/>
    </font>
    <font>
      <sz val="8"/>
      <color rgb="FF000000"/>
      <name val="Segoe UI"/>
      <family val="2"/>
    </font>
    <font>
      <sz val="10"/>
      <color theme="1"/>
      <name val="Calibri"/>
      <family val="2"/>
      <scheme val="minor"/>
    </font>
    <font>
      <sz val="10"/>
      <color indexed="9"/>
      <name val="Arial"/>
      <family val="2"/>
    </font>
    <font>
      <sz val="10"/>
      <name val="Arial"/>
      <family val="2"/>
    </font>
    <font>
      <b/>
      <sz val="12"/>
      <name val="Arial"/>
      <family val="2"/>
    </font>
    <font>
      <sz val="11"/>
      <color rgb="FF9C5700"/>
      <name val="Calibri"/>
      <family val="2"/>
      <scheme val="minor"/>
    </font>
    <font>
      <b/>
      <sz val="11"/>
      <color rgb="FFFA7D00"/>
      <name val="Calibri"/>
      <family val="2"/>
      <scheme val="minor"/>
    </font>
    <font>
      <sz val="11"/>
      <name val="Calibri"/>
      <family val="2"/>
      <scheme val="minor"/>
    </font>
    <font>
      <b/>
      <sz val="11"/>
      <color rgb="FF3F3F76"/>
      <name val="Calibri"/>
      <family val="2"/>
      <scheme val="minor"/>
    </font>
    <font>
      <b/>
      <sz val="11"/>
      <name val="Calibri"/>
      <family val="2"/>
      <scheme val="minor"/>
    </font>
    <font>
      <b/>
      <sz val="10"/>
      <color theme="0"/>
      <name val="Calibri"/>
      <family val="2"/>
    </font>
    <font>
      <b/>
      <u/>
      <vertAlign val="subscript"/>
      <sz val="9"/>
      <color indexed="81"/>
      <name val="Tahoma"/>
      <family val="2"/>
    </font>
    <font>
      <b/>
      <vertAlign val="subscript"/>
      <sz val="12"/>
      <color rgb="FF0000FF"/>
      <name val="Arial"/>
      <family val="2"/>
    </font>
  </fonts>
  <fills count="35">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theme="0" tint="-0.499984740745262"/>
        <bgColor indexed="64"/>
      </patternFill>
    </fill>
    <fill>
      <patternFill patternType="solid">
        <fgColor rgb="FFFFFFCC"/>
        <bgColor indexed="64"/>
      </patternFill>
    </fill>
    <fill>
      <patternFill patternType="solid">
        <fgColor theme="5" tint="0.59999389629810485"/>
        <bgColor indexed="64"/>
      </patternFill>
    </fill>
    <fill>
      <patternFill patternType="solid">
        <fgColor rgb="FF92D050"/>
        <bgColor indexed="64"/>
      </patternFill>
    </fill>
    <fill>
      <patternFill patternType="solid">
        <fgColor rgb="FFDE0000"/>
        <bgColor indexed="64"/>
      </patternFill>
    </fill>
    <fill>
      <patternFill patternType="solid">
        <fgColor rgb="FFC6EFCE"/>
      </patternFill>
    </fill>
    <fill>
      <patternFill patternType="solid">
        <fgColor rgb="FFFFC000"/>
        <bgColor indexed="64"/>
      </patternFill>
    </fill>
    <fill>
      <patternFill patternType="solid">
        <fgColor rgb="FFFFCC99"/>
      </patternFill>
    </fill>
    <fill>
      <patternFill patternType="solid">
        <fgColor rgb="FFF2F2F2"/>
      </patternFill>
    </fill>
    <fill>
      <patternFill patternType="solid">
        <fgColor rgb="FFFFEB9C"/>
      </patternFill>
    </fill>
  </fills>
  <borders count="8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hair">
        <color auto="1"/>
      </left>
      <right style="hair">
        <color auto="1"/>
      </right>
      <top style="hair">
        <color auto="1"/>
      </top>
      <bottom style="hair">
        <color auto="1"/>
      </bottom>
      <diagonal/>
    </border>
    <border>
      <left style="medium">
        <color auto="1"/>
      </left>
      <right/>
      <top/>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bottom style="thin">
        <color indexed="64"/>
      </bottom>
      <diagonal/>
    </border>
  </borders>
  <cellStyleXfs count="25">
    <xf numFmtId="0" fontId="0" fillId="0" borderId="0"/>
    <xf numFmtId="43" fontId="7" fillId="0" borderId="0" applyFont="0" applyFill="0" applyBorder="0" applyAlignment="0" applyProtection="0"/>
    <xf numFmtId="0" fontId="15" fillId="0" borderId="0" applyNumberFormat="0" applyFill="0" applyBorder="0" applyAlignment="0" applyProtection="0">
      <alignment vertical="top"/>
      <protection locked="0"/>
    </xf>
    <xf numFmtId="0" fontId="7" fillId="0" borderId="0"/>
    <xf numFmtId="0" fontId="6" fillId="0" borderId="0"/>
    <xf numFmtId="43" fontId="6" fillId="0" borderId="0" applyFont="0" applyFill="0" applyBorder="0" applyAlignment="0" applyProtection="0"/>
    <xf numFmtId="0" fontId="5" fillId="0" borderId="0"/>
    <xf numFmtId="0" fontId="95" fillId="0" borderId="0" applyNumberFormat="0" applyFill="0" applyBorder="0" applyAlignment="0" applyProtection="0"/>
    <xf numFmtId="0" fontId="4" fillId="0" borderId="0"/>
    <xf numFmtId="0" fontId="102" fillId="30" borderId="0" applyNumberFormat="0" applyBorder="0" applyAlignment="0" applyProtection="0"/>
    <xf numFmtId="0" fontId="103" fillId="32" borderId="79" applyNumberFormat="0" applyAlignment="0" applyProtection="0"/>
    <xf numFmtId="0" fontId="104" fillId="33" borderId="80" applyNumberFormat="0" applyAlignment="0" applyProtection="0"/>
    <xf numFmtId="164" fontId="7" fillId="0" borderId="0" applyFont="0" applyFill="0" applyBorder="0" applyAlignment="0" applyProtection="0"/>
    <xf numFmtId="0" fontId="3" fillId="0" borderId="0"/>
    <xf numFmtId="164" fontId="3" fillId="0" borderId="0" applyFont="0" applyFill="0" applyBorder="0" applyAlignment="0" applyProtection="0"/>
    <xf numFmtId="0" fontId="3" fillId="0" borderId="0"/>
    <xf numFmtId="0" fontId="3" fillId="0" borderId="0"/>
    <xf numFmtId="0" fontId="2" fillId="0" borderId="0"/>
    <xf numFmtId="164" fontId="2" fillId="0" borderId="0" applyFont="0" applyFill="0" applyBorder="0" applyAlignment="0" applyProtection="0"/>
    <xf numFmtId="0" fontId="2" fillId="0" borderId="0"/>
    <xf numFmtId="0" fontId="2" fillId="0" borderId="0"/>
    <xf numFmtId="9" fontId="108" fillId="0" borderId="0" applyFont="0" applyFill="0" applyBorder="0" applyAlignment="0" applyProtection="0"/>
    <xf numFmtId="0" fontId="110" fillId="34" borderId="0" applyNumberFormat="0" applyBorder="0" applyAlignment="0" applyProtection="0"/>
    <xf numFmtId="0" fontId="111" fillId="33" borderId="79" applyNumberFormat="0" applyAlignment="0" applyProtection="0"/>
    <xf numFmtId="0" fontId="1" fillId="0" borderId="0"/>
  </cellStyleXfs>
  <cellXfs count="934">
    <xf numFmtId="0" fontId="0" fillId="0" borderId="0" xfId="0"/>
    <xf numFmtId="0" fontId="12" fillId="0" borderId="0" xfId="0" applyFont="1"/>
    <xf numFmtId="0" fontId="8" fillId="0" borderId="0" xfId="0" applyFont="1"/>
    <xf numFmtId="0" fontId="13" fillId="0" borderId="0" xfId="0" applyFont="1"/>
    <xf numFmtId="2" fontId="0" fillId="0" borderId="0" xfId="0" applyNumberFormat="1"/>
    <xf numFmtId="0" fontId="0" fillId="2" borderId="0" xfId="0" applyFill="1"/>
    <xf numFmtId="0" fontId="0" fillId="3" borderId="0" xfId="0" applyFill="1"/>
    <xf numFmtId="0" fontId="8" fillId="2" borderId="0" xfId="0" applyFont="1" applyFill="1"/>
    <xf numFmtId="170" fontId="0" fillId="0" borderId="0" xfId="0" applyNumberFormat="1"/>
    <xf numFmtId="10" fontId="0" fillId="0" borderId="0" xfId="0" applyNumberFormat="1"/>
    <xf numFmtId="0" fontId="19" fillId="3" borderId="0" xfId="0" applyFont="1" applyFill="1" applyAlignment="1">
      <alignment horizontal="right"/>
    </xf>
    <xf numFmtId="0" fontId="19" fillId="3" borderId="0" xfId="0" applyFont="1" applyFill="1"/>
    <xf numFmtId="0" fontId="0" fillId="4" borderId="2" xfId="0" applyFill="1" applyBorder="1"/>
    <xf numFmtId="0" fontId="21" fillId="3" borderId="4" xfId="0" applyFont="1" applyFill="1" applyBorder="1"/>
    <xf numFmtId="0" fontId="8" fillId="5" borderId="8" xfId="0" applyFont="1" applyFill="1" applyBorder="1"/>
    <xf numFmtId="0" fontId="8" fillId="5" borderId="9" xfId="0" applyFont="1" applyFill="1" applyBorder="1"/>
    <xf numFmtId="0" fontId="8" fillId="5" borderId="10" xfId="0" applyFont="1" applyFill="1" applyBorder="1"/>
    <xf numFmtId="0" fontId="8" fillId="5" borderId="11" xfId="0" applyFont="1" applyFill="1" applyBorder="1"/>
    <xf numFmtId="0" fontId="13"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8" fillId="5" borderId="0" xfId="0" applyFont="1" applyFill="1"/>
    <xf numFmtId="0" fontId="0" fillId="6" borderId="0" xfId="0" applyFill="1"/>
    <xf numFmtId="0" fontId="0" fillId="0" borderId="13" xfId="0" applyBorder="1"/>
    <xf numFmtId="0" fontId="13" fillId="2" borderId="0" xfId="0" applyFont="1" applyFill="1"/>
    <xf numFmtId="0" fontId="0" fillId="6" borderId="13" xfId="0" applyFill="1" applyBorder="1"/>
    <xf numFmtId="0" fontId="0" fillId="4" borderId="0" xfId="0" applyFill="1"/>
    <xf numFmtId="11" fontId="0" fillId="0" borderId="0" xfId="0" applyNumberFormat="1"/>
    <xf numFmtId="0" fontId="17" fillId="3" borderId="0" xfId="0" applyFont="1" applyFill="1"/>
    <xf numFmtId="0" fontId="0" fillId="4" borderId="12" xfId="0" applyFill="1" applyBorder="1"/>
    <xf numFmtId="0" fontId="0" fillId="4" borderId="14" xfId="0" applyFill="1" applyBorder="1"/>
    <xf numFmtId="0" fontId="8" fillId="4" borderId="11" xfId="0" applyFont="1" applyFill="1" applyBorder="1"/>
    <xf numFmtId="0" fontId="0" fillId="6" borderId="8" xfId="0" applyFill="1" applyBorder="1"/>
    <xf numFmtId="0" fontId="0" fillId="4" borderId="8" xfId="0" applyFill="1" applyBorder="1"/>
    <xf numFmtId="0" fontId="8"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20" fillId="0" borderId="0" xfId="0" applyFont="1"/>
    <xf numFmtId="0" fontId="0" fillId="10" borderId="0" xfId="0" applyFill="1"/>
    <xf numFmtId="0" fontId="0" fillId="0" borderId="0" xfId="0" applyAlignment="1">
      <alignment horizontal="right"/>
    </xf>
    <xf numFmtId="0" fontId="22" fillId="0" borderId="0" xfId="0" applyFont="1"/>
    <xf numFmtId="11" fontId="12" fillId="0" borderId="0" xfId="0" applyNumberFormat="1" applyFont="1"/>
    <xf numFmtId="0" fontId="0" fillId="11" borderId="0" xfId="0" applyFill="1"/>
    <xf numFmtId="169" fontId="0" fillId="0" borderId="0" xfId="0" applyNumberFormat="1"/>
    <xf numFmtId="0" fontId="8" fillId="0" borderId="0" xfId="0" applyFont="1" applyAlignment="1">
      <alignment horizontal="center"/>
    </xf>
    <xf numFmtId="0" fontId="8" fillId="4" borderId="0" xfId="0" applyFont="1" applyFill="1" applyAlignment="1">
      <alignment horizontal="center"/>
    </xf>
    <xf numFmtId="0" fontId="8" fillId="12" borderId="0" xfId="0" applyFont="1" applyFill="1" applyAlignment="1">
      <alignment horizontal="center"/>
    </xf>
    <xf numFmtId="0" fontId="8" fillId="13" borderId="0" xfId="0" applyFont="1" applyFill="1" applyAlignment="1">
      <alignment horizontal="center"/>
    </xf>
    <xf numFmtId="166" fontId="0" fillId="0" borderId="0" xfId="0" applyNumberFormat="1"/>
    <xf numFmtId="171" fontId="22" fillId="3" borderId="0" xfId="0" applyNumberFormat="1" applyFont="1" applyFill="1" applyAlignment="1">
      <alignment horizontal="center"/>
    </xf>
    <xf numFmtId="171" fontId="30" fillId="3" borderId="0" xfId="0" applyNumberFormat="1" applyFont="1" applyFill="1" applyAlignment="1">
      <alignment horizontal="center"/>
    </xf>
    <xf numFmtId="0" fontId="0" fillId="0" borderId="28" xfId="0" applyBorder="1"/>
    <xf numFmtId="0" fontId="0" fillId="0" borderId="29" xfId="0" applyBorder="1"/>
    <xf numFmtId="0" fontId="13" fillId="0" borderId="28" xfId="0" applyFont="1" applyBorder="1"/>
    <xf numFmtId="0" fontId="0" fillId="13" borderId="0" xfId="0" applyFill="1"/>
    <xf numFmtId="0" fontId="0" fillId="0" borderId="30" xfId="0" applyBorder="1"/>
    <xf numFmtId="0" fontId="0" fillId="0" borderId="31" xfId="0" applyBorder="1"/>
    <xf numFmtId="0" fontId="0" fillId="0" borderId="32" xfId="0" applyBorder="1"/>
    <xf numFmtId="0" fontId="0" fillId="0" borderId="2" xfId="0" applyBorder="1"/>
    <xf numFmtId="0" fontId="0" fillId="0" borderId="3" xfId="0" applyBorder="1"/>
    <xf numFmtId="0" fontId="12" fillId="0" borderId="28" xfId="0" applyFont="1" applyBorder="1"/>
    <xf numFmtId="0" fontId="8" fillId="0" borderId="28" xfId="0" applyFont="1" applyBorder="1"/>
    <xf numFmtId="11" fontId="0" fillId="12" borderId="0" xfId="0" applyNumberFormat="1" applyFill="1"/>
    <xf numFmtId="0" fontId="0" fillId="0" borderId="31" xfId="0" applyBorder="1" applyAlignment="1">
      <alignment horizontal="right"/>
    </xf>
    <xf numFmtId="11" fontId="12" fillId="0" borderId="31"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9" borderId="0" xfId="0" applyFill="1"/>
    <xf numFmtId="0" fontId="0" fillId="0" borderId="8" xfId="0" applyBorder="1"/>
    <xf numFmtId="0" fontId="0" fillId="4" borderId="13" xfId="0" applyFill="1" applyBorder="1"/>
    <xf numFmtId="0" fontId="0" fillId="7" borderId="11" xfId="0" applyFill="1" applyBorder="1"/>
    <xf numFmtId="0" fontId="20" fillId="7" borderId="11" xfId="0" applyFont="1" applyFill="1" applyBorder="1"/>
    <xf numFmtId="0" fontId="13" fillId="7" borderId="11" xfId="0" applyFont="1" applyFill="1" applyBorder="1"/>
    <xf numFmtId="0" fontId="13" fillId="9" borderId="11" xfId="0" applyFont="1" applyFill="1" applyBorder="1"/>
    <xf numFmtId="0" fontId="22" fillId="3" borderId="0" xfId="0" applyFont="1" applyFill="1"/>
    <xf numFmtId="0" fontId="23" fillId="9" borderId="0" xfId="0" applyFont="1" applyFill="1"/>
    <xf numFmtId="0" fontId="22" fillId="9" borderId="0" xfId="0" applyFont="1" applyFill="1" applyAlignment="1">
      <alignment horizontal="right"/>
    </xf>
    <xf numFmtId="0" fontId="23" fillId="9" borderId="0" xfId="0" applyFont="1" applyFill="1" applyAlignment="1">
      <alignment horizontal="right"/>
    </xf>
    <xf numFmtId="0" fontId="22" fillId="9" borderId="0" xfId="0" applyFont="1" applyFill="1"/>
    <xf numFmtId="0" fontId="30" fillId="15" borderId="19" xfId="0" applyFont="1" applyFill="1" applyBorder="1"/>
    <xf numFmtId="0" fontId="30" fillId="15" borderId="20" xfId="0" applyFont="1" applyFill="1" applyBorder="1"/>
    <xf numFmtId="0" fontId="30" fillId="3" borderId="0" xfId="0" applyFont="1" applyFill="1"/>
    <xf numFmtId="0" fontId="22" fillId="9" borderId="0" xfId="0" applyFont="1" applyFill="1" applyAlignment="1">
      <alignment horizontal="center"/>
    </xf>
    <xf numFmtId="0" fontId="22" fillId="9" borderId="0" xfId="0" applyFont="1" applyFill="1" applyAlignment="1">
      <alignment horizontal="left"/>
    </xf>
    <xf numFmtId="0" fontId="26" fillId="0" borderId="0" xfId="0" applyFont="1"/>
    <xf numFmtId="0" fontId="0" fillId="0" borderId="1" xfId="0" applyBorder="1"/>
    <xf numFmtId="0" fontId="8" fillId="0" borderId="1" xfId="0" applyFont="1" applyBorder="1"/>
    <xf numFmtId="0" fontId="0" fillId="0" borderId="2" xfId="0" applyBorder="1" applyAlignment="1">
      <alignment horizontal="right"/>
    </xf>
    <xf numFmtId="0" fontId="27" fillId="0" borderId="0" xfId="0" applyFont="1"/>
    <xf numFmtId="0" fontId="35" fillId="0" borderId="0" xfId="0" applyFont="1"/>
    <xf numFmtId="0" fontId="35" fillId="4" borderId="0" xfId="0" applyFont="1" applyFill="1"/>
    <xf numFmtId="0" fontId="26" fillId="0" borderId="38" xfId="0" applyFont="1" applyBorder="1"/>
    <xf numFmtId="0" fontId="0" fillId="0" borderId="33" xfId="0" applyBorder="1"/>
    <xf numFmtId="0" fontId="0" fillId="0" borderId="35" xfId="0" applyBorder="1"/>
    <xf numFmtId="0" fontId="13" fillId="0" borderId="39" xfId="0" applyFont="1" applyBorder="1"/>
    <xf numFmtId="0" fontId="0" fillId="0" borderId="36" xfId="0" applyBorder="1"/>
    <xf numFmtId="0" fontId="35" fillId="0" borderId="39" xfId="0" applyFont="1" applyBorder="1"/>
    <xf numFmtId="0" fontId="35" fillId="0" borderId="40" xfId="0" applyFont="1" applyBorder="1"/>
    <xf numFmtId="0" fontId="35" fillId="0" borderId="34" xfId="0" applyFont="1" applyBorder="1"/>
    <xf numFmtId="0" fontId="0" fillId="0" borderId="34" xfId="0" applyBorder="1"/>
    <xf numFmtId="0" fontId="0" fillId="0" borderId="37" xfId="0" applyBorder="1"/>
    <xf numFmtId="0" fontId="13" fillId="0" borderId="31" xfId="0" applyFont="1" applyBorder="1"/>
    <xf numFmtId="0" fontId="13" fillId="13" borderId="0" xfId="0" applyFont="1" applyFill="1"/>
    <xf numFmtId="0" fontId="22" fillId="9" borderId="29" xfId="0" applyFont="1" applyFill="1" applyBorder="1"/>
    <xf numFmtId="0" fontId="24" fillId="9" borderId="0" xfId="0" applyFont="1" applyFill="1"/>
    <xf numFmtId="168" fontId="22" fillId="9" borderId="0" xfId="0" applyNumberFormat="1" applyFont="1" applyFill="1"/>
    <xf numFmtId="2" fontId="35" fillId="12" borderId="0" xfId="0" applyNumberFormat="1" applyFont="1" applyFill="1"/>
    <xf numFmtId="0" fontId="22" fillId="16" borderId="0" xfId="0" applyFont="1" applyFill="1"/>
    <xf numFmtId="0" fontId="7" fillId="0" borderId="0" xfId="0" applyFont="1"/>
    <xf numFmtId="2" fontId="7" fillId="0" borderId="0" xfId="0" quotePrefix="1" applyNumberFormat="1" applyFont="1"/>
    <xf numFmtId="0" fontId="0" fillId="0" borderId="0" xfId="0" applyAlignment="1">
      <alignment horizontal="left"/>
    </xf>
    <xf numFmtId="0" fontId="7" fillId="0" borderId="2" xfId="0" applyFont="1" applyBorder="1"/>
    <xf numFmtId="0" fontId="7" fillId="0" borderId="31" xfId="0" applyFont="1" applyBorder="1"/>
    <xf numFmtId="0" fontId="37" fillId="9" borderId="0" xfId="0" applyFont="1" applyFill="1"/>
    <xf numFmtId="0" fontId="25" fillId="19" borderId="0" xfId="0" applyFont="1" applyFill="1" applyAlignment="1">
      <alignment vertical="center"/>
    </xf>
    <xf numFmtId="0" fontId="0" fillId="18" borderId="0" xfId="0" applyFill="1"/>
    <xf numFmtId="0" fontId="56" fillId="18" borderId="0" xfId="0" applyFont="1" applyFill="1"/>
    <xf numFmtId="0" fontId="28" fillId="9" borderId="0" xfId="0" applyFont="1" applyFill="1" applyAlignment="1">
      <alignment horizontal="right"/>
    </xf>
    <xf numFmtId="0" fontId="8" fillId="9" borderId="0" xfId="0" applyFont="1" applyFill="1" applyAlignment="1">
      <alignment horizontal="right"/>
    </xf>
    <xf numFmtId="0" fontId="7" fillId="9" borderId="0" xfId="0" applyFont="1" applyFill="1" applyAlignment="1">
      <alignment horizontal="right"/>
    </xf>
    <xf numFmtId="0" fontId="7" fillId="9" borderId="31" xfId="0" applyFont="1" applyFill="1" applyBorder="1" applyAlignment="1">
      <alignment horizontal="right"/>
    </xf>
    <xf numFmtId="0" fontId="7" fillId="9" borderId="28" xfId="0" applyFont="1" applyFill="1" applyBorder="1"/>
    <xf numFmtId="0" fontId="7" fillId="9" borderId="0" xfId="0" applyFont="1" applyFill="1"/>
    <xf numFmtId="0" fontId="8" fillId="19" borderId="0" xfId="0" applyFont="1" applyFill="1" applyProtection="1">
      <protection locked="0"/>
    </xf>
    <xf numFmtId="0" fontId="59" fillId="9" borderId="0" xfId="0" applyFont="1" applyFill="1"/>
    <xf numFmtId="1" fontId="8" fillId="19" borderId="0" xfId="0" applyNumberFormat="1" applyFont="1" applyFill="1" applyProtection="1">
      <protection locked="0"/>
    </xf>
    <xf numFmtId="0" fontId="60" fillId="9" borderId="0" xfId="0" applyFont="1" applyFill="1"/>
    <xf numFmtId="0" fontId="11" fillId="9" borderId="0" xfId="0" applyFont="1" applyFill="1" applyAlignment="1">
      <alignment horizontal="right"/>
    </xf>
    <xf numFmtId="0" fontId="58" fillId="9" borderId="0" xfId="0" applyFont="1" applyFill="1"/>
    <xf numFmtId="0" fontId="61" fillId="9" borderId="0" xfId="0" applyFont="1" applyFill="1"/>
    <xf numFmtId="0" fontId="8" fillId="9" borderId="0" xfId="0" applyFont="1" applyFill="1"/>
    <xf numFmtId="169" fontId="8" fillId="9" borderId="0" xfId="0" applyNumberFormat="1" applyFont="1" applyFill="1"/>
    <xf numFmtId="0" fontId="7" fillId="16" borderId="0" xfId="0" applyFont="1" applyFill="1"/>
    <xf numFmtId="0" fontId="8" fillId="9" borderId="28" xfId="0" applyFont="1" applyFill="1" applyBorder="1"/>
    <xf numFmtId="0" fontId="61" fillId="16" borderId="0" xfId="0" applyFont="1" applyFill="1"/>
    <xf numFmtId="0" fontId="63" fillId="15" borderId="19" xfId="0" applyFont="1" applyFill="1" applyBorder="1"/>
    <xf numFmtId="0" fontId="61" fillId="9" borderId="0" xfId="0" applyFont="1" applyFill="1" applyAlignment="1">
      <alignment vertical="center"/>
    </xf>
    <xf numFmtId="0" fontId="12" fillId="9" borderId="0" xfId="0" applyFont="1" applyFill="1" applyAlignment="1">
      <alignment horizontal="right"/>
    </xf>
    <xf numFmtId="169" fontId="12" fillId="9" borderId="0" xfId="0" applyNumberFormat="1" applyFont="1" applyFill="1"/>
    <xf numFmtId="0" fontId="12" fillId="9" borderId="0" xfId="0" applyFont="1" applyFill="1"/>
    <xf numFmtId="0" fontId="7" fillId="16" borderId="0" xfId="0" applyFont="1" applyFill="1" applyAlignment="1">
      <alignment horizontal="left"/>
    </xf>
    <xf numFmtId="1" fontId="7" fillId="16" borderId="0" xfId="0" applyNumberFormat="1" applyFont="1" applyFill="1" applyAlignment="1">
      <alignment horizontal="right"/>
    </xf>
    <xf numFmtId="0" fontId="64" fillId="9" borderId="0" xfId="0" applyFont="1" applyFill="1"/>
    <xf numFmtId="0" fontId="7" fillId="9" borderId="0" xfId="0" applyFont="1" applyFill="1" applyAlignment="1">
      <alignment horizontal="left"/>
    </xf>
    <xf numFmtId="0" fontId="62" fillId="19" borderId="0" xfId="0" applyFont="1" applyFill="1" applyAlignment="1" applyProtection="1">
      <alignment horizontal="right"/>
      <protection locked="0" hidden="1"/>
    </xf>
    <xf numFmtId="0" fontId="65" fillId="15" borderId="19" xfId="0" applyFont="1" applyFill="1" applyBorder="1"/>
    <xf numFmtId="0" fontId="27" fillId="9" borderId="28" xfId="0" applyFont="1" applyFill="1" applyBorder="1"/>
    <xf numFmtId="1" fontId="7" fillId="9" borderId="0" xfId="0" applyNumberFormat="1" applyFont="1" applyFill="1"/>
    <xf numFmtId="0" fontId="67" fillId="9" borderId="0" xfId="0" applyFont="1" applyFill="1" applyAlignment="1">
      <alignment horizontal="right"/>
    </xf>
    <xf numFmtId="0" fontId="7" fillId="9" borderId="2" xfId="0" applyFont="1" applyFill="1" applyBorder="1"/>
    <xf numFmtId="0" fontId="7" fillId="9" borderId="2" xfId="0" applyFont="1" applyFill="1" applyBorder="1" applyAlignment="1">
      <alignment horizontal="right"/>
    </xf>
    <xf numFmtId="0" fontId="67" fillId="9" borderId="2" xfId="0" applyFont="1" applyFill="1" applyBorder="1" applyAlignment="1">
      <alignment horizontal="right"/>
    </xf>
    <xf numFmtId="0" fontId="8" fillId="9" borderId="3" xfId="0" applyFont="1" applyFill="1" applyBorder="1"/>
    <xf numFmtId="0" fontId="8" fillId="9" borderId="29" xfId="0" applyFont="1" applyFill="1" applyBorder="1"/>
    <xf numFmtId="0" fontId="7" fillId="9" borderId="30" xfId="0" applyFont="1" applyFill="1" applyBorder="1"/>
    <xf numFmtId="0" fontId="7" fillId="9" borderId="31" xfId="0" applyFont="1" applyFill="1" applyBorder="1"/>
    <xf numFmtId="0" fontId="7" fillId="9" borderId="32" xfId="0" applyFont="1" applyFill="1" applyBorder="1"/>
    <xf numFmtId="0" fontId="7" fillId="9" borderId="29" xfId="0" applyFont="1" applyFill="1" applyBorder="1"/>
    <xf numFmtId="169" fontId="7" fillId="9" borderId="31" xfId="0" applyNumberFormat="1" applyFont="1" applyFill="1" applyBorder="1"/>
    <xf numFmtId="0" fontId="8" fillId="9" borderId="2" xfId="0" applyFont="1" applyFill="1" applyBorder="1"/>
    <xf numFmtId="0" fontId="8" fillId="9" borderId="2" xfId="0" applyFont="1" applyFill="1" applyBorder="1" applyAlignment="1">
      <alignment horizontal="right"/>
    </xf>
    <xf numFmtId="1" fontId="8" fillId="19" borderId="2" xfId="0" applyNumberFormat="1" applyFont="1" applyFill="1" applyBorder="1" applyProtection="1">
      <protection locked="0"/>
    </xf>
    <xf numFmtId="0" fontId="7" fillId="16" borderId="41" xfId="0" applyFont="1" applyFill="1" applyBorder="1" applyAlignment="1">
      <alignment horizontal="left"/>
    </xf>
    <xf numFmtId="0" fontId="62" fillId="19" borderId="41" xfId="0" applyFont="1" applyFill="1" applyBorder="1" applyAlignment="1" applyProtection="1">
      <alignment horizontal="right"/>
      <protection locked="0" hidden="1"/>
    </xf>
    <xf numFmtId="0" fontId="62" fillId="9" borderId="42" xfId="0" applyFont="1" applyFill="1" applyBorder="1" applyAlignment="1">
      <alignment horizontal="left"/>
    </xf>
    <xf numFmtId="0" fontId="62" fillId="9" borderId="29" xfId="0" applyFont="1" applyFill="1" applyBorder="1" applyAlignment="1">
      <alignment horizontal="left"/>
    </xf>
    <xf numFmtId="0" fontId="8" fillId="9" borderId="43" xfId="0" applyFont="1" applyFill="1" applyBorder="1" applyAlignment="1">
      <alignment horizontal="center"/>
    </xf>
    <xf numFmtId="0" fontId="8" fillId="9" borderId="28" xfId="0" applyFont="1" applyFill="1" applyBorder="1" applyAlignment="1">
      <alignment horizontal="center"/>
    </xf>
    <xf numFmtId="0" fontId="8" fillId="9" borderId="43" xfId="0" applyFont="1" applyFill="1" applyBorder="1"/>
    <xf numFmtId="0" fontId="8" fillId="9" borderId="41" xfId="0" applyFont="1" applyFill="1" applyBorder="1"/>
    <xf numFmtId="0" fontId="7" fillId="9" borderId="41" xfId="0" applyFont="1" applyFill="1" applyBorder="1"/>
    <xf numFmtId="0" fontId="7" fillId="9" borderId="42" xfId="0" applyFont="1" applyFill="1" applyBorder="1"/>
    <xf numFmtId="0" fontId="7" fillId="9" borderId="41" xfId="0" applyFont="1" applyFill="1" applyBorder="1" applyAlignment="1">
      <alignment vertical="center"/>
    </xf>
    <xf numFmtId="0" fontId="7" fillId="9" borderId="45" xfId="0" applyFont="1" applyFill="1" applyBorder="1"/>
    <xf numFmtId="0" fontId="8" fillId="9" borderId="45" xfId="0" applyFont="1" applyFill="1" applyBorder="1" applyAlignment="1">
      <alignment horizontal="right"/>
    </xf>
    <xf numFmtId="0" fontId="7" fillId="9" borderId="46" xfId="0" applyFont="1" applyFill="1" applyBorder="1"/>
    <xf numFmtId="0" fontId="7" fillId="16" borderId="45" xfId="0" applyFont="1" applyFill="1" applyBorder="1" applyAlignment="1">
      <alignment horizontal="left"/>
    </xf>
    <xf numFmtId="0" fontId="62" fillId="19" borderId="45" xfId="0" applyFont="1" applyFill="1" applyBorder="1" applyAlignment="1" applyProtection="1">
      <alignment horizontal="right"/>
      <protection locked="0" hidden="1"/>
    </xf>
    <xf numFmtId="0" fontId="62" fillId="9" borderId="46" xfId="0" applyFont="1" applyFill="1" applyBorder="1" applyAlignment="1">
      <alignment horizontal="left"/>
    </xf>
    <xf numFmtId="169" fontId="7" fillId="9" borderId="41" xfId="0" applyNumberFormat="1" applyFont="1" applyFill="1" applyBorder="1" applyAlignment="1">
      <alignment horizontal="left" vertical="center"/>
    </xf>
    <xf numFmtId="1" fontId="7" fillId="9" borderId="45" xfId="0" applyNumberFormat="1" applyFont="1" applyFill="1" applyBorder="1" applyAlignment="1">
      <alignment horizontal="left" vertical="center"/>
    </xf>
    <xf numFmtId="0" fontId="27" fillId="9" borderId="28" xfId="0" applyFont="1" applyFill="1" applyBorder="1" applyAlignment="1">
      <alignment vertical="center"/>
    </xf>
    <xf numFmtId="0" fontId="7" fillId="9" borderId="43" xfId="0" applyFont="1" applyFill="1" applyBorder="1"/>
    <xf numFmtId="0" fontId="7" fillId="16" borderId="28" xfId="0" applyFont="1" applyFill="1" applyBorder="1"/>
    <xf numFmtId="0" fontId="63" fillId="15" borderId="47" xfId="0" applyFont="1" applyFill="1" applyBorder="1"/>
    <xf numFmtId="0" fontId="22" fillId="3" borderId="28" xfId="0" applyFont="1" applyFill="1" applyBorder="1"/>
    <xf numFmtId="171" fontId="22" fillId="18" borderId="0" xfId="0" applyNumberFormat="1" applyFont="1" applyFill="1" applyAlignment="1">
      <alignment horizontal="center"/>
    </xf>
    <xf numFmtId="0" fontId="22" fillId="18" borderId="0" xfId="0" applyFont="1" applyFill="1"/>
    <xf numFmtId="171" fontId="30" fillId="18" borderId="0" xfId="0" applyNumberFormat="1" applyFont="1" applyFill="1" applyAlignment="1">
      <alignment horizontal="center"/>
    </xf>
    <xf numFmtId="0" fontId="30" fillId="18" borderId="0" xfId="0" applyFont="1" applyFill="1"/>
    <xf numFmtId="0" fontId="7" fillId="9" borderId="44" xfId="0" applyFont="1" applyFill="1" applyBorder="1"/>
    <xf numFmtId="0" fontId="8" fillId="9" borderId="45" xfId="0" applyFont="1" applyFill="1" applyBorder="1"/>
    <xf numFmtId="0" fontId="7" fillId="9" borderId="48" xfId="0" applyFont="1" applyFill="1" applyBorder="1"/>
    <xf numFmtId="171" fontId="71" fillId="18" borderId="0" xfId="0" applyNumberFormat="1" applyFont="1" applyFill="1" applyAlignment="1">
      <alignment horizontal="center"/>
    </xf>
    <xf numFmtId="0" fontId="71" fillId="18" borderId="0" xfId="0" applyFont="1" applyFill="1"/>
    <xf numFmtId="171" fontId="71" fillId="3" borderId="0" xfId="0" applyNumberFormat="1" applyFont="1" applyFill="1" applyAlignment="1">
      <alignment horizontal="center"/>
    </xf>
    <xf numFmtId="0" fontId="71" fillId="3" borderId="0" xfId="0" applyFont="1" applyFill="1"/>
    <xf numFmtId="0" fontId="69" fillId="9" borderId="41" xfId="0" applyFont="1" applyFill="1" applyBorder="1" applyAlignment="1">
      <alignment horizontal="right"/>
    </xf>
    <xf numFmtId="0" fontId="7" fillId="16" borderId="31" xfId="0" applyFont="1" applyFill="1" applyBorder="1"/>
    <xf numFmtId="0" fontId="22" fillId="9" borderId="31" xfId="0" applyFont="1" applyFill="1" applyBorder="1"/>
    <xf numFmtId="0" fontId="22" fillId="9" borderId="32" xfId="0" applyFont="1" applyFill="1" applyBorder="1"/>
    <xf numFmtId="0" fontId="70" fillId="9" borderId="28" xfId="0" applyFont="1" applyFill="1" applyBorder="1" applyAlignment="1">
      <alignment vertical="center"/>
    </xf>
    <xf numFmtId="0" fontId="69" fillId="9" borderId="0" xfId="0" applyFont="1" applyFill="1" applyAlignment="1">
      <alignment horizontal="right" vertical="center"/>
    </xf>
    <xf numFmtId="169" fontId="69" fillId="9" borderId="45" xfId="0" applyNumberFormat="1" applyFont="1" applyFill="1" applyBorder="1" applyAlignment="1">
      <alignment horizontal="center" vertical="center"/>
    </xf>
    <xf numFmtId="0" fontId="7" fillId="0" borderId="1" xfId="0" applyFont="1" applyBorder="1"/>
    <xf numFmtId="0" fontId="7" fillId="0" borderId="28" xfId="0" applyFont="1" applyBorder="1"/>
    <xf numFmtId="2" fontId="0" fillId="0" borderId="0" xfId="0" applyNumberFormat="1" applyAlignment="1">
      <alignment horizontal="right"/>
    </xf>
    <xf numFmtId="0" fontId="74" fillId="0" borderId="0" xfId="0" applyFont="1"/>
    <xf numFmtId="0" fontId="7" fillId="9" borderId="0" xfId="3" applyFill="1"/>
    <xf numFmtId="49" fontId="7" fillId="9" borderId="0" xfId="3" applyNumberFormat="1" applyFill="1"/>
    <xf numFmtId="0" fontId="16" fillId="9" borderId="0" xfId="3" applyFont="1" applyFill="1" applyAlignment="1">
      <alignment vertical="center"/>
    </xf>
    <xf numFmtId="0" fontId="7" fillId="20" borderId="18" xfId="3" applyFill="1" applyBorder="1" applyAlignment="1">
      <alignment horizontal="center" vertical="center"/>
    </xf>
    <xf numFmtId="0" fontId="7" fillId="9" borderId="18" xfId="3" applyFill="1" applyBorder="1" applyAlignment="1">
      <alignment horizontal="center" vertical="center"/>
    </xf>
    <xf numFmtId="0" fontId="7" fillId="9" borderId="11" xfId="3" applyFill="1" applyBorder="1" applyAlignment="1">
      <alignment vertical="center" wrapText="1"/>
    </xf>
    <xf numFmtId="0" fontId="7" fillId="9" borderId="11" xfId="3" applyFill="1" applyBorder="1" applyAlignment="1">
      <alignment horizontal="left" vertical="center"/>
    </xf>
    <xf numFmtId="0" fontId="7" fillId="9" borderId="0" xfId="3" applyFill="1" applyAlignment="1">
      <alignment vertical="center"/>
    </xf>
    <xf numFmtId="49" fontId="7" fillId="9" borderId="0" xfId="3" applyNumberFormat="1" applyFill="1" applyAlignment="1">
      <alignment vertical="center"/>
    </xf>
    <xf numFmtId="0" fontId="7" fillId="21" borderId="18" xfId="3" applyFill="1" applyBorder="1" applyAlignment="1">
      <alignment horizontal="center" vertical="center"/>
    </xf>
    <xf numFmtId="0" fontId="7" fillId="21" borderId="11" xfId="3" applyFill="1" applyBorder="1" applyAlignment="1">
      <alignment vertical="center" wrapText="1"/>
    </xf>
    <xf numFmtId="173" fontId="7" fillId="21" borderId="11" xfId="3" applyNumberFormat="1" applyFill="1" applyBorder="1" applyAlignment="1">
      <alignment horizontal="center" vertical="center"/>
    </xf>
    <xf numFmtId="0" fontId="7" fillId="21" borderId="11" xfId="3" quotePrefix="1" applyFill="1" applyBorder="1" applyAlignment="1">
      <alignment horizontal="left" vertical="center"/>
    </xf>
    <xf numFmtId="0" fontId="7" fillId="21" borderId="11" xfId="3" applyFill="1" applyBorder="1" applyAlignment="1">
      <alignment horizontal="left" vertical="center"/>
    </xf>
    <xf numFmtId="0" fontId="7" fillId="16" borderId="18" xfId="3" applyFill="1" applyBorder="1" applyAlignment="1">
      <alignment horizontal="center" vertical="center"/>
    </xf>
    <xf numFmtId="0" fontId="7" fillId="16" borderId="11" xfId="3" applyFill="1" applyBorder="1" applyAlignment="1">
      <alignment vertical="center" wrapText="1"/>
    </xf>
    <xf numFmtId="173" fontId="7" fillId="16" borderId="11" xfId="3" applyNumberFormat="1" applyFill="1" applyBorder="1" applyAlignment="1">
      <alignment horizontal="center" vertical="center"/>
    </xf>
    <xf numFmtId="0" fontId="7" fillId="16" borderId="11" xfId="3" quotePrefix="1" applyFill="1" applyBorder="1" applyAlignment="1">
      <alignment horizontal="left" vertical="center"/>
    </xf>
    <xf numFmtId="0" fontId="7" fillId="16" borderId="11" xfId="3" applyFill="1" applyBorder="1" applyAlignment="1">
      <alignment horizontal="left" vertical="center"/>
    </xf>
    <xf numFmtId="175" fontId="7" fillId="9" borderId="11" xfId="3" applyNumberFormat="1" applyFill="1" applyBorder="1" applyAlignment="1">
      <alignment horizontal="center" vertical="center"/>
    </xf>
    <xf numFmtId="0" fontId="7" fillId="9" borderId="15" xfId="3" applyFill="1" applyBorder="1" applyAlignment="1">
      <alignment horizontal="left" vertical="center"/>
    </xf>
    <xf numFmtId="49" fontId="7" fillId="9" borderId="11" xfId="3" applyNumberFormat="1" applyFill="1" applyBorder="1" applyAlignment="1">
      <alignment horizontal="left" vertical="center"/>
    </xf>
    <xf numFmtId="0" fontId="7" fillId="20" borderId="11" xfId="3" applyFill="1" applyBorder="1" applyAlignment="1">
      <alignment vertical="center" wrapText="1"/>
    </xf>
    <xf numFmtId="174" fontId="7" fillId="20" borderId="11" xfId="3" applyNumberFormat="1" applyFill="1" applyBorder="1" applyAlignment="1">
      <alignment horizontal="center" vertical="center"/>
    </xf>
    <xf numFmtId="0" fontId="7" fillId="20" borderId="15" xfId="3" applyFill="1" applyBorder="1" applyAlignment="1">
      <alignment horizontal="left" vertical="center"/>
    </xf>
    <xf numFmtId="0" fontId="7" fillId="20" borderId="11" xfId="3" quotePrefix="1" applyFill="1" applyBorder="1" applyAlignment="1">
      <alignment horizontal="left" vertical="center"/>
    </xf>
    <xf numFmtId="0" fontId="7" fillId="20" borderId="11" xfId="3" applyFill="1" applyBorder="1" applyAlignment="1">
      <alignment horizontal="left" vertical="center"/>
    </xf>
    <xf numFmtId="174" fontId="7" fillId="16" borderId="11" xfId="3" applyNumberFormat="1" applyFill="1" applyBorder="1" applyAlignment="1">
      <alignment horizontal="center" vertical="center"/>
    </xf>
    <xf numFmtId="0" fontId="7" fillId="16" borderId="15" xfId="3" applyFill="1" applyBorder="1" applyAlignment="1">
      <alignment horizontal="left" vertical="center"/>
    </xf>
    <xf numFmtId="175" fontId="7" fillId="16" borderId="11" xfId="3" applyNumberFormat="1" applyFill="1" applyBorder="1" applyAlignment="1">
      <alignment horizontal="center" vertical="center"/>
    </xf>
    <xf numFmtId="175" fontId="7" fillId="20" borderId="11" xfId="3" applyNumberFormat="1" applyFill="1" applyBorder="1" applyAlignment="1">
      <alignment horizontal="center" vertical="center"/>
    </xf>
    <xf numFmtId="172" fontId="7" fillId="20" borderId="11" xfId="3" applyNumberFormat="1" applyFill="1" applyBorder="1" applyAlignment="1">
      <alignment horizontal="center" vertical="center"/>
    </xf>
    <xf numFmtId="0" fontId="7" fillId="16" borderId="11" xfId="3" applyFill="1" applyBorder="1" applyAlignment="1">
      <alignment horizontal="center" vertical="center"/>
    </xf>
    <xf numFmtId="49" fontId="7" fillId="16" borderId="11" xfId="3" applyNumberFormat="1" applyFill="1" applyBorder="1" applyAlignment="1">
      <alignment horizontal="left" vertical="center"/>
    </xf>
    <xf numFmtId="181" fontId="7" fillId="20" borderId="11" xfId="3" applyNumberFormat="1" applyFill="1" applyBorder="1" applyAlignment="1">
      <alignment horizontal="center" vertical="center"/>
    </xf>
    <xf numFmtId="0" fontId="7" fillId="16" borderId="0" xfId="3" applyFill="1"/>
    <xf numFmtId="49" fontId="7" fillId="16" borderId="0" xfId="3" applyNumberFormat="1" applyFill="1"/>
    <xf numFmtId="0" fontId="8" fillId="19" borderId="45" xfId="0" applyFont="1" applyFill="1" applyBorder="1" applyProtection="1">
      <protection locked="0"/>
    </xf>
    <xf numFmtId="0" fontId="8" fillId="19" borderId="0" xfId="0" applyFont="1" applyFill="1" applyAlignment="1" applyProtection="1">
      <alignment horizontal="right"/>
      <protection locked="0"/>
    </xf>
    <xf numFmtId="0" fontId="8" fillId="19" borderId="45" xfId="0" applyFont="1" applyFill="1" applyBorder="1" applyAlignment="1" applyProtection="1">
      <alignment horizontal="right"/>
      <protection locked="0"/>
    </xf>
    <xf numFmtId="0" fontId="76" fillId="16" borderId="0" xfId="0" applyFont="1" applyFill="1"/>
    <xf numFmtId="169" fontId="8" fillId="19" borderId="0" xfId="0" applyNumberFormat="1" applyFont="1" applyFill="1" applyProtection="1">
      <protection locked="0"/>
    </xf>
    <xf numFmtId="0" fontId="8" fillId="9" borderId="0" xfId="3" applyFont="1" applyFill="1"/>
    <xf numFmtId="0" fontId="64" fillId="9" borderId="41" xfId="0" applyFont="1" applyFill="1" applyBorder="1" applyProtection="1">
      <protection locked="0"/>
    </xf>
    <xf numFmtId="1" fontId="0" fillId="4" borderId="0" xfId="0" applyNumberFormat="1" applyFill="1"/>
    <xf numFmtId="0" fontId="7" fillId="9" borderId="0" xfId="0" applyFont="1" applyFill="1" applyAlignment="1">
      <alignment vertical="center"/>
    </xf>
    <xf numFmtId="0" fontId="7" fillId="9" borderId="28" xfId="0" applyFont="1" applyFill="1" applyBorder="1" applyAlignment="1">
      <alignment vertical="center"/>
    </xf>
    <xf numFmtId="0" fontId="7" fillId="9" borderId="0" xfId="0" applyFont="1" applyFill="1" applyAlignment="1">
      <alignment horizontal="right" vertical="center"/>
    </xf>
    <xf numFmtId="169" fontId="7" fillId="9" borderId="0" xfId="0" applyNumberFormat="1" applyFont="1" applyFill="1" applyAlignment="1">
      <alignment vertical="center"/>
    </xf>
    <xf numFmtId="0" fontId="7" fillId="9" borderId="29" xfId="0" applyFont="1" applyFill="1" applyBorder="1" applyAlignment="1">
      <alignment vertical="center"/>
    </xf>
    <xf numFmtId="1" fontId="7" fillId="9" borderId="0" xfId="0" applyNumberFormat="1" applyFont="1" applyFill="1" applyAlignment="1">
      <alignment vertical="center"/>
    </xf>
    <xf numFmtId="0" fontId="7" fillId="9" borderId="30" xfId="0" applyFont="1" applyFill="1" applyBorder="1" applyAlignment="1">
      <alignment vertical="center"/>
    </xf>
    <xf numFmtId="0" fontId="7" fillId="9" borderId="31" xfId="0" applyFont="1" applyFill="1" applyBorder="1" applyAlignment="1">
      <alignment vertical="center"/>
    </xf>
    <xf numFmtId="0" fontId="7" fillId="9" borderId="31" xfId="0" applyFont="1" applyFill="1" applyBorder="1" applyAlignment="1">
      <alignment horizontal="right" vertical="center"/>
    </xf>
    <xf numFmtId="0" fontId="7" fillId="9" borderId="32" xfId="0" applyFont="1" applyFill="1" applyBorder="1" applyAlignment="1">
      <alignment vertical="center"/>
    </xf>
    <xf numFmtId="0" fontId="7" fillId="9" borderId="43" xfId="0" applyFont="1" applyFill="1" applyBorder="1" applyAlignment="1">
      <alignment vertical="center"/>
    </xf>
    <xf numFmtId="0" fontId="7" fillId="9" borderId="2" xfId="0" applyFont="1" applyFill="1" applyBorder="1" applyAlignment="1">
      <alignment vertical="center"/>
    </xf>
    <xf numFmtId="0" fontId="7" fillId="9" borderId="2" xfId="0" applyFont="1" applyFill="1" applyBorder="1" applyAlignment="1">
      <alignment horizontal="right" vertical="center"/>
    </xf>
    <xf numFmtId="0" fontId="67" fillId="9" borderId="0" xfId="0" applyFont="1" applyFill="1" applyAlignment="1">
      <alignment horizontal="right" vertical="center"/>
    </xf>
    <xf numFmtId="0" fontId="8" fillId="19" borderId="0" xfId="0" applyFont="1" applyFill="1" applyAlignment="1" applyProtection="1">
      <alignment vertical="center"/>
      <protection locked="0"/>
    </xf>
    <xf numFmtId="0" fontId="8" fillId="9" borderId="29" xfId="0" applyFont="1" applyFill="1" applyBorder="1" applyAlignment="1">
      <alignment vertical="center"/>
    </xf>
    <xf numFmtId="1" fontId="8" fillId="19" borderId="0" xfId="0" applyNumberFormat="1" applyFont="1" applyFill="1" applyAlignment="1" applyProtection="1">
      <alignment vertical="center"/>
      <protection locked="0"/>
    </xf>
    <xf numFmtId="1" fontId="7" fillId="9" borderId="0" xfId="0" applyNumberFormat="1" applyFont="1" applyFill="1" applyAlignment="1">
      <alignment horizontal="right" vertical="center"/>
    </xf>
    <xf numFmtId="0" fontId="67" fillId="16" borderId="0" xfId="0" applyFont="1" applyFill="1" applyAlignment="1">
      <alignment horizontal="right" vertical="center"/>
    </xf>
    <xf numFmtId="0" fontId="8" fillId="9" borderId="0" xfId="0" applyFont="1" applyFill="1" applyAlignment="1">
      <alignment vertical="center"/>
    </xf>
    <xf numFmtId="0" fontId="8" fillId="9" borderId="0" xfId="0" applyFont="1" applyFill="1" applyAlignment="1">
      <alignment horizontal="right" vertical="center"/>
    </xf>
    <xf numFmtId="0" fontId="8" fillId="19" borderId="0" xfId="0" applyFont="1" applyFill="1" applyAlignment="1" applyProtection="1">
      <alignment horizontal="right" vertical="center"/>
      <protection locked="0"/>
    </xf>
    <xf numFmtId="0" fontId="7" fillId="9" borderId="45" xfId="0" applyFont="1" applyFill="1" applyBorder="1" applyAlignment="1">
      <alignment horizontal="right" vertical="center"/>
    </xf>
    <xf numFmtId="0" fontId="7" fillId="9" borderId="44" xfId="0" applyFont="1" applyFill="1" applyBorder="1" applyAlignment="1">
      <alignment vertical="center"/>
    </xf>
    <xf numFmtId="0" fontId="7" fillId="9" borderId="45" xfId="0" applyFont="1" applyFill="1" applyBorder="1" applyAlignment="1">
      <alignment vertical="center"/>
    </xf>
    <xf numFmtId="0" fontId="7" fillId="9" borderId="46" xfId="0" applyFont="1" applyFill="1" applyBorder="1" applyAlignment="1">
      <alignment vertical="center"/>
    </xf>
    <xf numFmtId="0" fontId="7" fillId="9" borderId="3" xfId="0" applyFont="1" applyFill="1" applyBorder="1" applyAlignment="1">
      <alignment vertical="center"/>
    </xf>
    <xf numFmtId="1" fontId="67" fillId="19" borderId="0" xfId="0" applyNumberFormat="1" applyFont="1" applyFill="1" applyAlignment="1" applyProtection="1">
      <alignment horizontal="right" vertical="center"/>
      <protection locked="0"/>
    </xf>
    <xf numFmtId="0" fontId="8" fillId="9" borderId="29" xfId="0" applyFont="1" applyFill="1" applyBorder="1" applyAlignment="1">
      <alignment horizontal="left" vertical="center"/>
    </xf>
    <xf numFmtId="0" fontId="67" fillId="19" borderId="0" xfId="0" applyFont="1" applyFill="1" applyAlignment="1" applyProtection="1">
      <alignment vertical="center"/>
      <protection locked="0"/>
    </xf>
    <xf numFmtId="2" fontId="12" fillId="12" borderId="2" xfId="0" applyNumberFormat="1" applyFont="1" applyFill="1" applyBorder="1"/>
    <xf numFmtId="2" fontId="12" fillId="12" borderId="0" xfId="0" applyNumberFormat="1" applyFont="1" applyFill="1"/>
    <xf numFmtId="0" fontId="0" fillId="0" borderId="41" xfId="0" applyBorder="1"/>
    <xf numFmtId="0" fontId="0" fillId="22" borderId="0" xfId="0" applyFill="1"/>
    <xf numFmtId="0" fontId="7" fillId="0" borderId="0" xfId="0" applyFont="1" applyAlignment="1">
      <alignment horizontal="right"/>
    </xf>
    <xf numFmtId="0" fontId="8" fillId="0" borderId="41" xfId="0" applyFont="1" applyBorder="1" applyAlignment="1">
      <alignment horizontal="right"/>
    </xf>
    <xf numFmtId="0" fontId="8" fillId="0" borderId="31" xfId="0" applyFont="1" applyBorder="1" applyAlignment="1">
      <alignment horizontal="right"/>
    </xf>
    <xf numFmtId="0" fontId="8" fillId="0" borderId="0" xfId="0" applyFont="1" applyAlignment="1">
      <alignment horizontal="right"/>
    </xf>
    <xf numFmtId="0" fontId="8" fillId="0" borderId="41" xfId="0" applyFont="1" applyBorder="1"/>
    <xf numFmtId="0" fontId="8" fillId="0" borderId="31" xfId="0" applyFont="1" applyBorder="1"/>
    <xf numFmtId="0" fontId="8" fillId="0" borderId="0" xfId="0" applyFont="1" applyAlignment="1">
      <alignment horizontal="left"/>
    </xf>
    <xf numFmtId="168" fontId="12" fillId="12" borderId="0" xfId="0" applyNumberFormat="1" applyFont="1" applyFill="1"/>
    <xf numFmtId="168" fontId="13" fillId="12" borderId="0" xfId="0" applyNumberFormat="1" applyFont="1" applyFill="1"/>
    <xf numFmtId="168" fontId="8" fillId="22" borderId="2" xfId="0" applyNumberFormat="1" applyFont="1" applyFill="1" applyBorder="1"/>
    <xf numFmtId="0" fontId="66" fillId="16" borderId="0" xfId="0" applyFont="1" applyFill="1" applyAlignment="1">
      <alignment horizontal="center"/>
    </xf>
    <xf numFmtId="169" fontId="7" fillId="9" borderId="0" xfId="0" applyNumberFormat="1" applyFont="1" applyFill="1"/>
    <xf numFmtId="2" fontId="0" fillId="13" borderId="0" xfId="0" applyNumberFormat="1" applyFill="1"/>
    <xf numFmtId="2" fontId="0" fillId="22" borderId="0" xfId="0" applyNumberFormat="1" applyFill="1"/>
    <xf numFmtId="1" fontId="0" fillId="12" borderId="0" xfId="0" applyNumberFormat="1" applyFill="1"/>
    <xf numFmtId="1" fontId="0" fillId="22" borderId="0" xfId="0" applyNumberFormat="1" applyFill="1"/>
    <xf numFmtId="1" fontId="0" fillId="0" borderId="0" xfId="0" applyNumberFormat="1"/>
    <xf numFmtId="1" fontId="0" fillId="24" borderId="0" xfId="0" applyNumberFormat="1" applyFill="1"/>
    <xf numFmtId="167" fontId="0" fillId="0" borderId="0" xfId="0" applyNumberFormat="1"/>
    <xf numFmtId="0" fontId="0" fillId="23" borderId="0" xfId="0" applyFill="1"/>
    <xf numFmtId="169" fontId="0" fillId="22" borderId="0" xfId="0" applyNumberFormat="1" applyFill="1"/>
    <xf numFmtId="0" fontId="7" fillId="0" borderId="41" xfId="0" applyFont="1" applyBorder="1"/>
    <xf numFmtId="169" fontId="0" fillId="12" borderId="2" xfId="0" applyNumberFormat="1" applyFill="1" applyBorder="1"/>
    <xf numFmtId="0" fontId="7" fillId="0" borderId="30" xfId="0" applyFont="1" applyBorder="1"/>
    <xf numFmtId="0" fontId="12" fillId="0" borderId="31" xfId="0" applyFont="1" applyBorder="1"/>
    <xf numFmtId="0" fontId="8" fillId="0" borderId="54" xfId="0" applyFont="1" applyBorder="1"/>
    <xf numFmtId="0" fontId="0" fillId="24" borderId="0" xfId="0" applyFill="1"/>
    <xf numFmtId="0" fontId="20" fillId="0" borderId="34" xfId="0" applyFont="1" applyBorder="1"/>
    <xf numFmtId="0" fontId="7" fillId="0" borderId="18" xfId="3" applyBorder="1" applyAlignment="1">
      <alignment horizontal="left"/>
    </xf>
    <xf numFmtId="0" fontId="7" fillId="0" borderId="11" xfId="3" applyBorder="1"/>
    <xf numFmtId="0" fontId="7" fillId="0" borderId="58" xfId="3" applyBorder="1"/>
    <xf numFmtId="0" fontId="7" fillId="0" borderId="18" xfId="3" applyBorder="1"/>
    <xf numFmtId="1" fontId="7" fillId="0" borderId="11" xfId="3" applyNumberFormat="1" applyBorder="1"/>
    <xf numFmtId="0" fontId="7" fillId="0" borderId="15" xfId="3" applyBorder="1"/>
    <xf numFmtId="0" fontId="7" fillId="8" borderId="18" xfId="3" applyFill="1" applyBorder="1"/>
    <xf numFmtId="0" fontId="7" fillId="8" borderId="11" xfId="3" applyFill="1" applyBorder="1"/>
    <xf numFmtId="0" fontId="7" fillId="8" borderId="58" xfId="3" applyFill="1" applyBorder="1"/>
    <xf numFmtId="169" fontId="7" fillId="0" borderId="11" xfId="3" applyNumberFormat="1" applyBorder="1"/>
    <xf numFmtId="0" fontId="12" fillId="0" borderId="5" xfId="3" applyFont="1" applyBorder="1" applyAlignment="1">
      <alignment horizontal="center"/>
    </xf>
    <xf numFmtId="0" fontId="12" fillId="0" borderId="6" xfId="3" applyFont="1" applyBorder="1" applyAlignment="1">
      <alignment horizontal="center"/>
    </xf>
    <xf numFmtId="0" fontId="12" fillId="0" borderId="7" xfId="3" applyFont="1" applyBorder="1" applyAlignment="1">
      <alignment horizontal="center"/>
    </xf>
    <xf numFmtId="0" fontId="12" fillId="0" borderId="18" xfId="3" applyFont="1" applyBorder="1"/>
    <xf numFmtId="0" fontId="12" fillId="0" borderId="58" xfId="3" applyFont="1" applyBorder="1"/>
    <xf numFmtId="0" fontId="7" fillId="0" borderId="66" xfId="3" applyBorder="1" applyAlignment="1">
      <alignment horizontal="center"/>
    </xf>
    <xf numFmtId="167" fontId="7" fillId="0" borderId="67" xfId="3" applyNumberFormat="1" applyBorder="1" applyAlignment="1">
      <alignment horizontal="center"/>
    </xf>
    <xf numFmtId="167" fontId="7" fillId="0" borderId="12" xfId="3" applyNumberFormat="1" applyBorder="1" applyAlignment="1">
      <alignment horizontal="center"/>
    </xf>
    <xf numFmtId="167" fontId="7" fillId="0" borderId="68" xfId="3" applyNumberFormat="1" applyBorder="1" applyAlignment="1">
      <alignment horizontal="center"/>
    </xf>
    <xf numFmtId="167" fontId="7" fillId="0" borderId="69" xfId="3" applyNumberFormat="1" applyBorder="1" applyAlignment="1">
      <alignment horizontal="center"/>
    </xf>
    <xf numFmtId="2" fontId="7" fillId="0" borderId="67" xfId="3" applyNumberFormat="1" applyBorder="1" applyAlignment="1">
      <alignment horizontal="center"/>
    </xf>
    <xf numFmtId="2" fontId="7" fillId="0" borderId="12" xfId="3" applyNumberFormat="1" applyBorder="1" applyAlignment="1">
      <alignment horizontal="center"/>
    </xf>
    <xf numFmtId="2" fontId="7" fillId="0" borderId="18" xfId="3" applyNumberFormat="1" applyBorder="1" applyAlignment="1">
      <alignment horizontal="center"/>
    </xf>
    <xf numFmtId="2" fontId="7" fillId="0" borderId="58" xfId="3" applyNumberFormat="1" applyBorder="1" applyAlignment="1">
      <alignment horizontal="center"/>
    </xf>
    <xf numFmtId="0" fontId="7" fillId="0" borderId="63" xfId="3" applyBorder="1" applyAlignment="1">
      <alignment horizontal="center"/>
    </xf>
    <xf numFmtId="167" fontId="7" fillId="0" borderId="11" xfId="3" applyNumberFormat="1" applyBorder="1" applyAlignment="1">
      <alignment horizontal="center"/>
    </xf>
    <xf numFmtId="167" fontId="7" fillId="0" borderId="58" xfId="3" applyNumberFormat="1" applyBorder="1" applyAlignment="1">
      <alignment horizontal="center"/>
    </xf>
    <xf numFmtId="0" fontId="7" fillId="0" borderId="0" xfId="3" applyAlignment="1">
      <alignment horizontal="center"/>
    </xf>
    <xf numFmtId="167" fontId="7" fillId="0" borderId="0" xfId="3" applyNumberFormat="1" applyAlignment="1">
      <alignment horizontal="center"/>
    </xf>
    <xf numFmtId="165" fontId="7" fillId="0" borderId="0" xfId="3" applyNumberFormat="1" applyAlignment="1">
      <alignment horizontal="center"/>
    </xf>
    <xf numFmtId="2" fontId="7" fillId="0" borderId="0" xfId="3" applyNumberFormat="1" applyAlignment="1">
      <alignment horizontal="center"/>
    </xf>
    <xf numFmtId="0" fontId="7" fillId="0" borderId="0" xfId="3" applyAlignment="1">
      <alignment horizontal="right"/>
    </xf>
    <xf numFmtId="2" fontId="7" fillId="0" borderId="0" xfId="3" applyNumberFormat="1"/>
    <xf numFmtId="168" fontId="0" fillId="0" borderId="0" xfId="0" applyNumberFormat="1"/>
    <xf numFmtId="1" fontId="12" fillId="12" borderId="0" xfId="0" applyNumberFormat="1" applyFont="1" applyFill="1"/>
    <xf numFmtId="0" fontId="64" fillId="0" borderId="0" xfId="0" applyFont="1"/>
    <xf numFmtId="2" fontId="7" fillId="0" borderId="11" xfId="3" applyNumberFormat="1" applyBorder="1"/>
    <xf numFmtId="2" fontId="7" fillId="0" borderId="58" xfId="3" applyNumberFormat="1" applyBorder="1"/>
    <xf numFmtId="2" fontId="12" fillId="0" borderId="7" xfId="3" applyNumberFormat="1" applyFont="1" applyBorder="1" applyAlignment="1">
      <alignment horizontal="center"/>
    </xf>
    <xf numFmtId="2" fontId="7" fillId="0" borderId="68" xfId="3" applyNumberFormat="1" applyBorder="1"/>
    <xf numFmtId="1" fontId="7" fillId="9" borderId="2" xfId="0" applyNumberFormat="1" applyFont="1" applyFill="1" applyBorder="1" applyAlignment="1">
      <alignment vertical="center"/>
    </xf>
    <xf numFmtId="0" fontId="8" fillId="9" borderId="44" xfId="0" applyFont="1" applyFill="1" applyBorder="1" applyAlignment="1">
      <alignment horizontal="center"/>
    </xf>
    <xf numFmtId="11" fontId="7" fillId="0" borderId="0" xfId="0" applyNumberFormat="1" applyFont="1"/>
    <xf numFmtId="1" fontId="7" fillId="0" borderId="0" xfId="0" applyNumberFormat="1" applyFont="1"/>
    <xf numFmtId="1" fontId="7" fillId="12" borderId="0" xfId="0" applyNumberFormat="1" applyFont="1" applyFill="1"/>
    <xf numFmtId="0" fontId="7" fillId="23" borderId="0" xfId="0" applyFont="1" applyFill="1"/>
    <xf numFmtId="0" fontId="7" fillId="0" borderId="73" xfId="0" applyFont="1" applyBorder="1"/>
    <xf numFmtId="11" fontId="12" fillId="0" borderId="75" xfId="0" applyNumberFormat="1" applyFont="1" applyBorder="1"/>
    <xf numFmtId="0" fontId="74" fillId="0" borderId="75" xfId="0" applyFont="1" applyBorder="1"/>
    <xf numFmtId="1" fontId="64" fillId="0" borderId="0" xfId="0" applyNumberFormat="1" applyFont="1"/>
    <xf numFmtId="0" fontId="82" fillId="0" borderId="0" xfId="0" applyFont="1"/>
    <xf numFmtId="1" fontId="66" fillId="0" borderId="0" xfId="0" applyNumberFormat="1" applyFont="1"/>
    <xf numFmtId="0" fontId="66" fillId="0" borderId="0" xfId="0" applyFont="1"/>
    <xf numFmtId="2" fontId="66" fillId="0" borderId="0" xfId="0" applyNumberFormat="1" applyFont="1"/>
    <xf numFmtId="168" fontId="64" fillId="0" borderId="0" xfId="0" applyNumberFormat="1" applyFont="1"/>
    <xf numFmtId="0" fontId="8" fillId="0" borderId="30" xfId="0" applyFont="1" applyBorder="1"/>
    <xf numFmtId="166" fontId="8" fillId="0" borderId="0" xfId="0" applyNumberFormat="1" applyFont="1"/>
    <xf numFmtId="11" fontId="8" fillId="0" borderId="0" xfId="0" applyNumberFormat="1" applyFont="1"/>
    <xf numFmtId="1" fontId="7" fillId="22" borderId="0" xfId="0" applyNumberFormat="1" applyFont="1" applyFill="1"/>
    <xf numFmtId="1" fontId="67" fillId="0" borderId="0" xfId="0" applyNumberFormat="1" applyFont="1"/>
    <xf numFmtId="0" fontId="67" fillId="0" borderId="0" xfId="0" applyFont="1"/>
    <xf numFmtId="0" fontId="74" fillId="0" borderId="58" xfId="3" applyFont="1" applyBorder="1"/>
    <xf numFmtId="168" fontId="0" fillId="12" borderId="0" xfId="0" applyNumberFormat="1" applyFill="1"/>
    <xf numFmtId="185" fontId="7" fillId="0" borderId="0" xfId="0" applyNumberFormat="1" applyFont="1"/>
    <xf numFmtId="167" fontId="12" fillId="12" borderId="0" xfId="0" applyNumberFormat="1" applyFont="1" applyFill="1"/>
    <xf numFmtId="185" fontId="0" fillId="23" borderId="0" xfId="0" applyNumberFormat="1" applyFill="1"/>
    <xf numFmtId="11" fontId="0" fillId="22" borderId="0" xfId="0" applyNumberFormat="1" applyFill="1" applyAlignment="1">
      <alignment horizontal="right"/>
    </xf>
    <xf numFmtId="0" fontId="0" fillId="24" borderId="0" xfId="0" applyFill="1" applyAlignment="1">
      <alignment horizontal="right"/>
    </xf>
    <xf numFmtId="168" fontId="35" fillId="22" borderId="0" xfId="0" applyNumberFormat="1" applyFont="1" applyFill="1"/>
    <xf numFmtId="167" fontId="35" fillId="22" borderId="34" xfId="0" applyNumberFormat="1" applyFont="1" applyFill="1" applyBorder="1"/>
    <xf numFmtId="0" fontId="0" fillId="23" borderId="0" xfId="0" applyFill="1" applyAlignment="1">
      <alignment horizontal="right"/>
    </xf>
    <xf numFmtId="2" fontId="0" fillId="22" borderId="0" xfId="0" applyNumberFormat="1" applyFill="1" applyAlignment="1">
      <alignment horizontal="right"/>
    </xf>
    <xf numFmtId="0" fontId="82" fillId="0" borderId="28" xfId="0" applyFont="1" applyBorder="1"/>
    <xf numFmtId="168" fontId="7" fillId="0" borderId="0" xfId="0" applyNumberFormat="1" applyFont="1"/>
    <xf numFmtId="0" fontId="7" fillId="0" borderId="24" xfId="3" applyBorder="1" applyAlignment="1">
      <alignment horizontal="left"/>
    </xf>
    <xf numFmtId="0" fontId="7" fillId="0" borderId="45" xfId="3" applyBorder="1"/>
    <xf numFmtId="0" fontId="7" fillId="0" borderId="46" xfId="3" applyBorder="1"/>
    <xf numFmtId="168" fontId="7" fillId="0" borderId="45" xfId="3" applyNumberFormat="1" applyBorder="1"/>
    <xf numFmtId="0" fontId="7" fillId="8" borderId="15" xfId="3" applyFill="1" applyBorder="1"/>
    <xf numFmtId="11" fontId="7" fillId="0" borderId="11" xfId="3" applyNumberFormat="1" applyBorder="1"/>
    <xf numFmtId="1" fontId="7" fillId="0" borderId="45" xfId="3" applyNumberFormat="1" applyBorder="1"/>
    <xf numFmtId="168" fontId="7" fillId="0" borderId="11" xfId="3" applyNumberFormat="1" applyBorder="1"/>
    <xf numFmtId="0" fontId="7" fillId="0" borderId="0" xfId="3" applyAlignment="1">
      <alignment horizontal="left"/>
    </xf>
    <xf numFmtId="1" fontId="7" fillId="0" borderId="0" xfId="3" applyNumberFormat="1"/>
    <xf numFmtId="0" fontId="7" fillId="0" borderId="0" xfId="3"/>
    <xf numFmtId="168" fontId="7" fillId="0" borderId="0" xfId="3" applyNumberFormat="1"/>
    <xf numFmtId="185" fontId="7" fillId="23" borderId="0" xfId="0" applyNumberFormat="1" applyFont="1" applyFill="1" applyAlignment="1">
      <alignment horizontal="right" vertical="center"/>
    </xf>
    <xf numFmtId="186" fontId="13" fillId="12" borderId="0" xfId="0" applyNumberFormat="1" applyFont="1" applyFill="1"/>
    <xf numFmtId="2" fontId="7" fillId="0" borderId="0" xfId="0" applyNumberFormat="1" applyFont="1"/>
    <xf numFmtId="1" fontId="7" fillId="24" borderId="0" xfId="0" applyNumberFormat="1" applyFont="1" applyFill="1"/>
    <xf numFmtId="0" fontId="7" fillId="24" borderId="0" xfId="0" applyFont="1" applyFill="1"/>
    <xf numFmtId="167" fontId="7" fillId="22" borderId="31" xfId="0" applyNumberFormat="1" applyFont="1" applyFill="1" applyBorder="1"/>
    <xf numFmtId="169" fontId="66" fillId="9" borderId="2" xfId="1" applyNumberFormat="1" applyFont="1" applyFill="1" applyBorder="1" applyAlignment="1" applyProtection="1">
      <alignment horizontal="right"/>
    </xf>
    <xf numFmtId="0" fontId="7" fillId="0" borderId="8" xfId="3" applyBorder="1"/>
    <xf numFmtId="169" fontId="7" fillId="0" borderId="8" xfId="3" applyNumberFormat="1" applyBorder="1"/>
    <xf numFmtId="0" fontId="7" fillId="8" borderId="64" xfId="3" applyFill="1" applyBorder="1"/>
    <xf numFmtId="168" fontId="7" fillId="0" borderId="44" xfId="3" applyNumberFormat="1" applyBorder="1"/>
    <xf numFmtId="168" fontId="67" fillId="0" borderId="0" xfId="0" applyNumberFormat="1" applyFont="1"/>
    <xf numFmtId="1" fontId="8" fillId="0" borderId="0" xfId="0" applyNumberFormat="1" applyFont="1"/>
    <xf numFmtId="187" fontId="8" fillId="12" borderId="0" xfId="0" applyNumberFormat="1" applyFont="1" applyFill="1"/>
    <xf numFmtId="187" fontId="7" fillId="4" borderId="0" xfId="0" applyNumberFormat="1" applyFont="1" applyFill="1"/>
    <xf numFmtId="187" fontId="35" fillId="4" borderId="0" xfId="0" applyNumberFormat="1" applyFont="1" applyFill="1"/>
    <xf numFmtId="0" fontId="7" fillId="0" borderId="8" xfId="3" applyBorder="1" applyAlignment="1">
      <alignment horizontal="left"/>
    </xf>
    <xf numFmtId="2" fontId="7" fillId="0" borderId="59" xfId="3" applyNumberFormat="1" applyBorder="1" applyAlignment="1">
      <alignment horizontal="center"/>
    </xf>
    <xf numFmtId="1" fontId="7" fillId="0" borderId="0" xfId="3" applyNumberFormat="1" applyAlignment="1">
      <alignment horizontal="right"/>
    </xf>
    <xf numFmtId="168" fontId="7" fillId="8" borderId="11" xfId="3" applyNumberFormat="1" applyFill="1" applyBorder="1"/>
    <xf numFmtId="0" fontId="7" fillId="9" borderId="74" xfId="0" applyFont="1" applyFill="1" applyBorder="1" applyAlignment="1">
      <alignment horizontal="left"/>
    </xf>
    <xf numFmtId="169" fontId="7" fillId="9" borderId="28" xfId="0" applyNumberFormat="1" applyFont="1" applyFill="1" applyBorder="1" applyAlignment="1">
      <alignment horizontal="right"/>
    </xf>
    <xf numFmtId="0" fontId="7" fillId="9" borderId="29" xfId="0" applyFont="1" applyFill="1" applyBorder="1" applyAlignment="1">
      <alignment horizontal="left"/>
    </xf>
    <xf numFmtId="0" fontId="7" fillId="9" borderId="46" xfId="0" applyFont="1" applyFill="1" applyBorder="1" applyAlignment="1">
      <alignment horizontal="left"/>
    </xf>
    <xf numFmtId="167" fontId="66" fillId="0" borderId="0" xfId="0" applyNumberFormat="1" applyFont="1"/>
    <xf numFmtId="169" fontId="7" fillId="22" borderId="0" xfId="0" applyNumberFormat="1" applyFont="1" applyFill="1"/>
    <xf numFmtId="1" fontId="8" fillId="22" borderId="0" xfId="0" applyNumberFormat="1" applyFont="1" applyFill="1"/>
    <xf numFmtId="1" fontId="7" fillId="9" borderId="44" xfId="0" applyNumberFormat="1" applyFont="1" applyFill="1" applyBorder="1" applyAlignment="1">
      <alignment horizontal="right"/>
    </xf>
    <xf numFmtId="0" fontId="7" fillId="16" borderId="0" xfId="3" applyFill="1" applyAlignment="1">
      <alignment vertical="center"/>
    </xf>
    <xf numFmtId="49" fontId="7" fillId="16" borderId="0" xfId="3" applyNumberFormat="1" applyFill="1" applyAlignment="1">
      <alignment vertical="center"/>
    </xf>
    <xf numFmtId="189" fontId="7" fillId="21" borderId="11" xfId="3" applyNumberFormat="1" applyFill="1" applyBorder="1" applyAlignment="1">
      <alignment horizontal="center" vertical="center"/>
    </xf>
    <xf numFmtId="172" fontId="7" fillId="21" borderId="11" xfId="3" applyNumberFormat="1" applyFill="1" applyBorder="1" applyAlignment="1">
      <alignment horizontal="center" vertical="center"/>
    </xf>
    <xf numFmtId="0" fontId="7" fillId="21" borderId="15" xfId="3" applyFill="1" applyBorder="1" applyAlignment="1">
      <alignment horizontal="left" vertical="center"/>
    </xf>
    <xf numFmtId="0" fontId="7" fillId="0" borderId="11" xfId="0" applyFont="1" applyBorder="1"/>
    <xf numFmtId="0" fontId="7" fillId="0" borderId="15" xfId="0" applyFont="1" applyBorder="1"/>
    <xf numFmtId="0" fontId="7" fillId="0" borderId="16" xfId="0" applyFont="1" applyBorder="1"/>
    <xf numFmtId="0" fontId="7" fillId="0" borderId="17" xfId="0" applyFont="1" applyBorder="1"/>
    <xf numFmtId="0" fontId="74" fillId="0" borderId="11" xfId="0" applyFont="1" applyBorder="1"/>
    <xf numFmtId="0" fontId="7" fillId="0" borderId="13" xfId="0" applyFont="1" applyBorder="1"/>
    <xf numFmtId="0" fontId="7" fillId="4" borderId="11" xfId="0" applyFont="1" applyFill="1" applyBorder="1"/>
    <xf numFmtId="2" fontId="0" fillId="2" borderId="0" xfId="0" applyNumberFormat="1" applyFill="1"/>
    <xf numFmtId="0" fontId="7" fillId="6" borderId="11" xfId="0" applyFont="1" applyFill="1" applyBorder="1"/>
    <xf numFmtId="167" fontId="20" fillId="7" borderId="0" xfId="0" applyNumberFormat="1" applyFont="1" applyFill="1"/>
    <xf numFmtId="2" fontId="20" fillId="7" borderId="0" xfId="0" applyNumberFormat="1" applyFont="1" applyFill="1"/>
    <xf numFmtId="0" fontId="8" fillId="2" borderId="5" xfId="0" applyFont="1" applyFill="1" applyBorder="1" applyAlignment="1">
      <alignment horizontal="center" vertical="center" wrapText="1"/>
    </xf>
    <xf numFmtId="0" fontId="8" fillId="2" borderId="6" xfId="0" applyFont="1" applyFill="1" applyBorder="1" applyAlignment="1">
      <alignment horizontal="center" vertical="center" wrapText="1"/>
    </xf>
    <xf numFmtId="0" fontId="8" fillId="7" borderId="7" xfId="0" applyFont="1" applyFill="1" applyBorder="1" applyAlignment="1">
      <alignment horizontal="center" vertical="center" wrapText="1"/>
    </xf>
    <xf numFmtId="170" fontId="8" fillId="2" borderId="6" xfId="0" applyNumberFormat="1" applyFont="1" applyFill="1" applyBorder="1" applyAlignment="1">
      <alignment horizontal="center" vertical="center" wrapText="1"/>
    </xf>
    <xf numFmtId="0" fontId="8" fillId="2" borderId="21" xfId="0" applyFont="1" applyFill="1" applyBorder="1" applyAlignment="1">
      <alignment horizontal="center" vertical="center" wrapText="1"/>
    </xf>
    <xf numFmtId="0" fontId="8" fillId="7" borderId="22" xfId="0" applyFont="1" applyFill="1" applyBorder="1" applyAlignment="1">
      <alignment horizontal="center" vertical="center" wrapText="1"/>
    </xf>
    <xf numFmtId="0" fontId="8" fillId="2" borderId="24" xfId="0" applyFont="1" applyFill="1" applyBorder="1" applyAlignment="1">
      <alignment horizontal="center" vertical="center" wrapText="1"/>
    </xf>
    <xf numFmtId="0" fontId="8" fillId="2" borderId="25" xfId="0" applyFont="1" applyFill="1" applyBorder="1" applyAlignment="1">
      <alignment horizontal="center" vertical="center" wrapText="1"/>
    </xf>
    <xf numFmtId="0" fontId="8" fillId="2" borderId="26" xfId="0" applyFont="1" applyFill="1" applyBorder="1" applyAlignment="1">
      <alignment horizontal="center" vertical="center" wrapText="1"/>
    </xf>
    <xf numFmtId="0" fontId="8" fillId="7" borderId="27" xfId="0" applyFont="1" applyFill="1" applyBorder="1" applyAlignment="1">
      <alignment horizontal="center" vertical="center" wrapText="1"/>
    </xf>
    <xf numFmtId="0" fontId="8" fillId="14" borderId="5" xfId="0" applyFont="1" applyFill="1" applyBorder="1" applyAlignment="1">
      <alignment horizontal="center" vertical="center" wrapText="1"/>
    </xf>
    <xf numFmtId="2" fontId="8" fillId="14" borderId="6" xfId="0" applyNumberFormat="1" applyFont="1" applyFill="1" applyBorder="1" applyAlignment="1">
      <alignment horizontal="center" vertical="center" wrapText="1"/>
    </xf>
    <xf numFmtId="168" fontId="8" fillId="2" borderId="6" xfId="0" applyNumberFormat="1" applyFont="1" applyFill="1" applyBorder="1" applyAlignment="1">
      <alignment horizontal="center" vertical="center" wrapText="1"/>
    </xf>
    <xf numFmtId="167" fontId="8" fillId="2" borderId="5" xfId="0" applyNumberFormat="1" applyFont="1" applyFill="1" applyBorder="1" applyAlignment="1">
      <alignment horizontal="center" vertical="center" wrapText="1"/>
    </xf>
    <xf numFmtId="167" fontId="8" fillId="2" borderId="6" xfId="0" applyNumberFormat="1" applyFont="1" applyFill="1" applyBorder="1" applyAlignment="1">
      <alignment horizontal="center" vertical="center" wrapText="1"/>
    </xf>
    <xf numFmtId="0" fontId="8" fillId="4" borderId="3" xfId="0" applyFont="1" applyFill="1" applyBorder="1" applyAlignment="1">
      <alignment horizontal="center"/>
    </xf>
    <xf numFmtId="0" fontId="8" fillId="4" borderId="2" xfId="0" applyFont="1" applyFill="1" applyBorder="1" applyAlignment="1">
      <alignment horizontal="center"/>
    </xf>
    <xf numFmtId="167" fontId="8" fillId="4" borderId="78" xfId="0" applyNumberFormat="1" applyFont="1" applyFill="1" applyBorder="1" applyAlignment="1">
      <alignment horizontal="center"/>
    </xf>
    <xf numFmtId="167" fontId="8" fillId="4" borderId="2" xfId="0" applyNumberFormat="1" applyFont="1" applyFill="1" applyBorder="1" applyAlignment="1">
      <alignment horizontal="center"/>
    </xf>
    <xf numFmtId="167" fontId="8" fillId="7" borderId="23" xfId="0" applyNumberFormat="1" applyFont="1" applyFill="1" applyBorder="1" applyAlignment="1">
      <alignment horizontal="center" vertical="center" wrapText="1"/>
    </xf>
    <xf numFmtId="0" fontId="64" fillId="19" borderId="23" xfId="0" applyFont="1" applyFill="1" applyBorder="1" applyAlignment="1">
      <alignment horizontal="center" vertical="center" wrapText="1"/>
    </xf>
    <xf numFmtId="0" fontId="8" fillId="9" borderId="75" xfId="0" applyFont="1" applyFill="1" applyBorder="1"/>
    <xf numFmtId="0" fontId="7" fillId="9" borderId="75" xfId="0" applyFont="1" applyFill="1" applyBorder="1"/>
    <xf numFmtId="0" fontId="7" fillId="9" borderId="74" xfId="0" applyFont="1" applyFill="1" applyBorder="1"/>
    <xf numFmtId="0" fontId="81" fillId="9" borderId="28" xfId="0" applyFont="1" applyFill="1" applyBorder="1"/>
    <xf numFmtId="0" fontId="20" fillId="0" borderId="39" xfId="0" applyFont="1" applyBorder="1"/>
    <xf numFmtId="2" fontId="20" fillId="4" borderId="0" xfId="0" applyNumberFormat="1" applyFont="1" applyFill="1" applyAlignment="1">
      <alignment horizontal="right"/>
    </xf>
    <xf numFmtId="2" fontId="35" fillId="22" borderId="0" xfId="0" applyNumberFormat="1" applyFont="1" applyFill="1" applyAlignment="1">
      <alignment horizontal="right"/>
    </xf>
    <xf numFmtId="167" fontId="8" fillId="12" borderId="0" xfId="0" applyNumberFormat="1" applyFont="1" applyFill="1"/>
    <xf numFmtId="168" fontId="13" fillId="0" borderId="0" xfId="0" applyNumberFormat="1" applyFont="1"/>
    <xf numFmtId="168" fontId="0" fillId="13" borderId="0" xfId="0" applyNumberFormat="1" applyFill="1"/>
    <xf numFmtId="0" fontId="84" fillId="0" borderId="0" xfId="0" applyFont="1"/>
    <xf numFmtId="2" fontId="8" fillId="0" borderId="0" xfId="0" applyNumberFormat="1" applyFont="1"/>
    <xf numFmtId="0" fontId="22" fillId="16" borderId="28" xfId="0" applyFont="1" applyFill="1" applyBorder="1"/>
    <xf numFmtId="0" fontId="7" fillId="9" borderId="0" xfId="0" applyFont="1" applyFill="1" applyAlignment="1">
      <alignment horizontal="right" vertical="top"/>
    </xf>
    <xf numFmtId="169" fontId="7" fillId="9" borderId="0" xfId="0" applyNumberFormat="1" applyFont="1" applyFill="1" applyAlignment="1">
      <alignment horizontal="left" vertical="center"/>
    </xf>
    <xf numFmtId="0" fontId="69" fillId="9" borderId="75" xfId="0" applyFont="1" applyFill="1" applyBorder="1" applyAlignment="1">
      <alignment horizontal="left"/>
    </xf>
    <xf numFmtId="0" fontId="8" fillId="4" borderId="0" xfId="0" applyFont="1" applyFill="1"/>
    <xf numFmtId="0" fontId="75" fillId="3" borderId="49" xfId="3" applyFont="1" applyFill="1" applyBorder="1" applyAlignment="1">
      <alignment horizontal="center" vertical="center"/>
    </xf>
    <xf numFmtId="0" fontId="75" fillId="3" borderId="50" xfId="3" applyFont="1" applyFill="1" applyBorder="1" applyAlignment="1">
      <alignment horizontal="center" vertical="center"/>
    </xf>
    <xf numFmtId="0" fontId="75" fillId="3" borderId="50" xfId="3" applyFont="1" applyFill="1" applyBorder="1" applyAlignment="1">
      <alignment horizontal="left" vertical="center"/>
    </xf>
    <xf numFmtId="0" fontId="7" fillId="9" borderId="75" xfId="0" applyFont="1" applyFill="1" applyBorder="1" applyAlignment="1">
      <alignment horizontal="right" vertical="center"/>
    </xf>
    <xf numFmtId="0" fontId="7" fillId="9" borderId="41" xfId="0" applyFont="1" applyFill="1" applyBorder="1" applyAlignment="1">
      <alignment horizontal="left" vertical="center"/>
    </xf>
    <xf numFmtId="0" fontId="7" fillId="9" borderId="0" xfId="0" applyFont="1" applyFill="1" applyAlignment="1">
      <alignment horizontal="left" vertical="top"/>
    </xf>
    <xf numFmtId="0" fontId="7" fillId="9" borderId="0" xfId="0" applyFont="1" applyFill="1" applyAlignment="1">
      <alignment horizontal="right" vertical="top" readingOrder="1"/>
    </xf>
    <xf numFmtId="169" fontId="0" fillId="0" borderId="0" xfId="0" applyNumberFormat="1" applyAlignment="1">
      <alignment horizontal="left"/>
    </xf>
    <xf numFmtId="187" fontId="66" fillId="0" borderId="0" xfId="0" applyNumberFormat="1" applyFont="1"/>
    <xf numFmtId="11" fontId="66" fillId="0" borderId="0" xfId="0" applyNumberFormat="1" applyFont="1"/>
    <xf numFmtId="168" fontId="69" fillId="0" borderId="0" xfId="0" applyNumberFormat="1" applyFont="1"/>
    <xf numFmtId="0" fontId="69" fillId="0" borderId="0" xfId="0" applyFont="1"/>
    <xf numFmtId="0" fontId="86" fillId="0" borderId="0" xfId="0" applyFont="1"/>
    <xf numFmtId="0" fontId="8" fillId="5" borderId="69" xfId="0" applyFont="1" applyFill="1" applyBorder="1"/>
    <xf numFmtId="0" fontId="25" fillId="25" borderId="43" xfId="0" applyFont="1" applyFill="1" applyBorder="1"/>
    <xf numFmtId="0" fontId="25" fillId="25" borderId="41" xfId="0" applyFont="1" applyFill="1" applyBorder="1"/>
    <xf numFmtId="0" fontId="22" fillId="25" borderId="41" xfId="0" applyFont="1" applyFill="1" applyBorder="1"/>
    <xf numFmtId="171" fontId="22" fillId="25" borderId="0" xfId="0" applyNumberFormat="1" applyFont="1" applyFill="1" applyAlignment="1">
      <alignment horizontal="center"/>
    </xf>
    <xf numFmtId="0" fontId="22" fillId="25" borderId="0" xfId="0" applyFont="1" applyFill="1"/>
    <xf numFmtId="171" fontId="71" fillId="25" borderId="0" xfId="0" applyNumberFormat="1" applyFont="1" applyFill="1" applyAlignment="1">
      <alignment horizontal="center"/>
    </xf>
    <xf numFmtId="171" fontId="30" fillId="25" borderId="0" xfId="0" applyNumberFormat="1" applyFont="1" applyFill="1" applyAlignment="1">
      <alignment horizontal="center"/>
    </xf>
    <xf numFmtId="0" fontId="31" fillId="25" borderId="28" xfId="0" applyFont="1" applyFill="1" applyBorder="1" applyAlignment="1">
      <alignment horizontal="left"/>
    </xf>
    <xf numFmtId="0" fontId="31" fillId="25" borderId="0" xfId="0" applyFont="1" applyFill="1" applyAlignment="1">
      <alignment horizontal="left"/>
    </xf>
    <xf numFmtId="0" fontId="29" fillId="25" borderId="28" xfId="0" applyFont="1" applyFill="1" applyBorder="1" applyAlignment="1">
      <alignment horizontal="left" vertical="center"/>
    </xf>
    <xf numFmtId="0" fontId="29" fillId="25" borderId="0" xfId="0" applyFont="1" applyFill="1" applyAlignment="1">
      <alignment horizontal="left" vertical="center"/>
    </xf>
    <xf numFmtId="0" fontId="73" fillId="25" borderId="0" xfId="0" applyFont="1" applyFill="1" applyAlignment="1">
      <alignment horizontal="left" vertical="center"/>
    </xf>
    <xf numFmtId="0" fontId="25" fillId="25" borderId="31" xfId="0" applyFont="1" applyFill="1" applyBorder="1"/>
    <xf numFmtId="0" fontId="29" fillId="25" borderId="0" xfId="0" quotePrefix="1" applyFont="1" applyFill="1" applyAlignment="1">
      <alignment vertical="center"/>
    </xf>
    <xf numFmtId="0" fontId="25" fillId="25" borderId="0" xfId="0" applyFont="1" applyFill="1" applyAlignment="1">
      <alignment vertical="center"/>
    </xf>
    <xf numFmtId="0" fontId="34" fillId="25" borderId="0" xfId="0" applyFont="1" applyFill="1" applyAlignment="1">
      <alignment vertical="center"/>
    </xf>
    <xf numFmtId="0" fontId="32" fillId="25" borderId="31" xfId="0" applyFont="1" applyFill="1" applyBorder="1"/>
    <xf numFmtId="0" fontId="32" fillId="25" borderId="45" xfId="0" applyFont="1" applyFill="1" applyBorder="1"/>
    <xf numFmtId="0" fontId="87" fillId="25" borderId="0" xfId="2" applyFont="1" applyFill="1" applyBorder="1" applyAlignment="1" applyProtection="1">
      <alignment horizontal="left" vertical="center"/>
    </xf>
    <xf numFmtId="1" fontId="7" fillId="9" borderId="73" xfId="0" applyNumberFormat="1" applyFont="1" applyFill="1" applyBorder="1" applyAlignment="1">
      <alignment horizontal="right"/>
    </xf>
    <xf numFmtId="0" fontId="89" fillId="0" borderId="28" xfId="0" applyFont="1" applyBorder="1"/>
    <xf numFmtId="169" fontId="8" fillId="22" borderId="0" xfId="0" applyNumberFormat="1" applyFont="1" applyFill="1"/>
    <xf numFmtId="169" fontId="8" fillId="0" borderId="0" xfId="0" applyNumberFormat="1" applyFont="1"/>
    <xf numFmtId="168" fontId="0" fillId="22" borderId="0" xfId="0" applyNumberFormat="1" applyFill="1"/>
    <xf numFmtId="2" fontId="13" fillId="12" borderId="0" xfId="0" applyNumberFormat="1" applyFont="1" applyFill="1"/>
    <xf numFmtId="169" fontId="20" fillId="4" borderId="0" xfId="0" applyNumberFormat="1" applyFont="1" applyFill="1" applyAlignment="1">
      <alignment horizontal="right"/>
    </xf>
    <xf numFmtId="187" fontId="8" fillId="0" borderId="0" xfId="0" applyNumberFormat="1" applyFont="1"/>
    <xf numFmtId="2" fontId="35" fillId="0" borderId="0" xfId="0" applyNumberFormat="1" applyFont="1"/>
    <xf numFmtId="0" fontId="76" fillId="0" borderId="0" xfId="0" applyFont="1"/>
    <xf numFmtId="169" fontId="7" fillId="9" borderId="0" xfId="0" applyNumberFormat="1" applyFont="1" applyFill="1" applyAlignment="1">
      <alignment horizontal="right"/>
    </xf>
    <xf numFmtId="169" fontId="7" fillId="9" borderId="0" xfId="0" applyNumberFormat="1" applyFont="1" applyFill="1" applyAlignment="1">
      <alignment horizontal="right" vertical="center"/>
    </xf>
    <xf numFmtId="11" fontId="66" fillId="22" borderId="0" xfId="0" applyNumberFormat="1" applyFont="1" applyFill="1"/>
    <xf numFmtId="2" fontId="0" fillId="4" borderId="0" xfId="0" applyNumberFormat="1" applyFill="1"/>
    <xf numFmtId="0" fontId="0" fillId="0" borderId="31" xfId="0" applyBorder="1" applyAlignment="1">
      <alignment horizontal="left"/>
    </xf>
    <xf numFmtId="0" fontId="66" fillId="9" borderId="0" xfId="0" applyFont="1" applyFill="1" applyAlignment="1">
      <alignment horizontal="right"/>
    </xf>
    <xf numFmtId="2" fontId="7" fillId="16" borderId="0" xfId="0" applyNumberFormat="1" applyFont="1" applyFill="1"/>
    <xf numFmtId="11" fontId="35" fillId="22" borderId="0" xfId="0" applyNumberFormat="1" applyFont="1" applyFill="1" applyAlignment="1">
      <alignment horizontal="right"/>
    </xf>
    <xf numFmtId="11" fontId="0" fillId="22" borderId="0" xfId="0" applyNumberFormat="1" applyFill="1"/>
    <xf numFmtId="167" fontId="0" fillId="22" borderId="0" xfId="0" applyNumberFormat="1" applyFill="1"/>
    <xf numFmtId="168" fontId="35" fillId="0" borderId="0" xfId="0" applyNumberFormat="1" applyFont="1"/>
    <xf numFmtId="0" fontId="76" fillId="0" borderId="0" xfId="0" applyFont="1" applyAlignment="1">
      <alignment horizontal="left"/>
    </xf>
    <xf numFmtId="0" fontId="64" fillId="0" borderId="0" xfId="0" applyFont="1" applyAlignment="1">
      <alignment horizontal="right"/>
    </xf>
    <xf numFmtId="0" fontId="0" fillId="16" borderId="0" xfId="0" applyFill="1"/>
    <xf numFmtId="0" fontId="8" fillId="2" borderId="23" xfId="0" applyFont="1" applyFill="1" applyBorder="1" applyAlignment="1">
      <alignment horizontal="center" vertical="center" wrapText="1"/>
    </xf>
    <xf numFmtId="2" fontId="8" fillId="2" borderId="5" xfId="0" applyNumberFormat="1" applyFont="1" applyFill="1" applyBorder="1" applyAlignment="1">
      <alignment horizontal="center" vertical="center" wrapText="1"/>
    </xf>
    <xf numFmtId="2" fontId="8" fillId="2" borderId="7" xfId="0" applyNumberFormat="1" applyFont="1" applyFill="1" applyBorder="1" applyAlignment="1">
      <alignment horizontal="center" vertical="center" wrapText="1"/>
    </xf>
    <xf numFmtId="168" fontId="0" fillId="0" borderId="0" xfId="0" applyNumberFormat="1" applyAlignment="1">
      <alignment horizontal="right"/>
    </xf>
    <xf numFmtId="186" fontId="0" fillId="0" borderId="0" xfId="0" applyNumberFormat="1"/>
    <xf numFmtId="0" fontId="8" fillId="0" borderId="28" xfId="0" applyFont="1" applyBorder="1" applyAlignment="1">
      <alignment horizontal="center"/>
    </xf>
    <xf numFmtId="167" fontId="8" fillId="26" borderId="0" xfId="0" applyNumberFormat="1" applyFont="1" applyFill="1" applyAlignment="1">
      <alignment horizontal="center" vertical="center" wrapText="1"/>
    </xf>
    <xf numFmtId="0" fontId="8" fillId="2" borderId="23" xfId="0" applyFont="1" applyFill="1" applyBorder="1" applyAlignment="1">
      <alignment horizontal="center" wrapText="1"/>
    </xf>
    <xf numFmtId="0" fontId="0" fillId="0" borderId="0" xfId="0" applyAlignment="1">
      <alignment horizontal="center"/>
    </xf>
    <xf numFmtId="2" fontId="0" fillId="0" borderId="0" xfId="0" applyNumberFormat="1" applyAlignment="1">
      <alignment horizontal="center"/>
    </xf>
    <xf numFmtId="168" fontId="8" fillId="2" borderId="21" xfId="0" applyNumberFormat="1" applyFont="1" applyFill="1" applyBorder="1" applyAlignment="1">
      <alignment horizontal="center" vertical="center" wrapText="1"/>
    </xf>
    <xf numFmtId="1" fontId="8" fillId="16" borderId="0" xfId="0" applyNumberFormat="1" applyFont="1" applyFill="1" applyAlignment="1" applyProtection="1">
      <alignment horizontal="right" vertical="center"/>
      <protection hidden="1"/>
    </xf>
    <xf numFmtId="0" fontId="64" fillId="2" borderId="6" xfId="0" applyFont="1" applyFill="1" applyBorder="1" applyAlignment="1">
      <alignment horizontal="center" vertical="center" wrapText="1"/>
    </xf>
    <xf numFmtId="169" fontId="82" fillId="0" borderId="0" xfId="0" applyNumberFormat="1" applyFont="1"/>
    <xf numFmtId="10" fontId="82" fillId="0" borderId="0" xfId="0" applyNumberFormat="1" applyFont="1" applyAlignment="1">
      <alignment horizontal="center"/>
    </xf>
    <xf numFmtId="0" fontId="15" fillId="9" borderId="0" xfId="2" applyFill="1" applyAlignment="1" applyProtection="1"/>
    <xf numFmtId="0" fontId="64" fillId="0" borderId="0" xfId="0" applyFont="1" applyAlignment="1">
      <alignment horizontal="left"/>
    </xf>
    <xf numFmtId="169" fontId="7" fillId="16" borderId="0" xfId="0" applyNumberFormat="1" applyFont="1" applyFill="1"/>
    <xf numFmtId="0" fontId="8" fillId="9" borderId="45" xfId="0" applyFont="1" applyFill="1" applyBorder="1" applyAlignment="1">
      <alignment horizontal="left" vertical="center"/>
    </xf>
    <xf numFmtId="0" fontId="0" fillId="19" borderId="0" xfId="0" applyFill="1"/>
    <xf numFmtId="0" fontId="7" fillId="19" borderId="0" xfId="0" applyFont="1" applyFill="1"/>
    <xf numFmtId="169" fontId="7" fillId="19" borderId="0" xfId="0" applyNumberFormat="1" applyFont="1" applyFill="1"/>
    <xf numFmtId="0" fontId="8" fillId="27" borderId="0" xfId="0" applyFont="1" applyFill="1" applyAlignment="1">
      <alignment horizontal="center"/>
    </xf>
    <xf numFmtId="2" fontId="7" fillId="19" borderId="0" xfId="0" applyNumberFormat="1" applyFont="1" applyFill="1"/>
    <xf numFmtId="0" fontId="7" fillId="0" borderId="0" xfId="0" applyFont="1" applyAlignment="1">
      <alignment horizontal="center"/>
    </xf>
    <xf numFmtId="0" fontId="7" fillId="9" borderId="0" xfId="0" applyFont="1" applyFill="1" applyAlignment="1" applyProtection="1">
      <alignment horizontal="right" vertical="center"/>
      <protection hidden="1"/>
    </xf>
    <xf numFmtId="0" fontId="7" fillId="28" borderId="75" xfId="0" applyFont="1" applyFill="1" applyBorder="1"/>
    <xf numFmtId="0" fontId="7" fillId="28" borderId="0" xfId="0" applyFont="1" applyFill="1"/>
    <xf numFmtId="48" fontId="0" fillId="22" borderId="0" xfId="0" applyNumberFormat="1" applyFill="1"/>
    <xf numFmtId="48" fontId="7" fillId="28" borderId="0" xfId="0" applyNumberFormat="1" applyFont="1" applyFill="1"/>
    <xf numFmtId="173" fontId="7" fillId="20" borderId="11" xfId="3" applyNumberFormat="1" applyFill="1" applyBorder="1" applyAlignment="1">
      <alignment horizontal="center" vertical="center"/>
    </xf>
    <xf numFmtId="0" fontId="7" fillId="0" borderId="0" xfId="0" quotePrefix="1" applyFont="1"/>
    <xf numFmtId="0" fontId="0" fillId="0" borderId="0" xfId="0" quotePrefix="1"/>
    <xf numFmtId="0" fontId="94" fillId="0" borderId="0" xfId="6" applyFont="1"/>
    <xf numFmtId="0" fontId="67" fillId="0" borderId="0" xfId="6" applyFont="1" applyAlignment="1">
      <alignment horizontal="center"/>
    </xf>
    <xf numFmtId="0" fontId="67" fillId="0" borderId="0" xfId="6" applyFont="1" applyAlignment="1">
      <alignment horizontal="left"/>
    </xf>
    <xf numFmtId="0" fontId="66" fillId="0" borderId="0" xfId="6" applyFont="1"/>
    <xf numFmtId="0" fontId="96" fillId="0" borderId="0" xfId="7" applyFont="1" applyFill="1" applyBorder="1" applyAlignment="1">
      <alignment vertical="center"/>
    </xf>
    <xf numFmtId="0" fontId="96" fillId="0" borderId="0" xfId="7" applyFont="1" applyFill="1" applyBorder="1" applyAlignment="1">
      <alignment horizontal="right" vertical="center"/>
    </xf>
    <xf numFmtId="0" fontId="94" fillId="0" borderId="0" xfId="6" applyFont="1" applyAlignment="1">
      <alignment horizontal="center"/>
    </xf>
    <xf numFmtId="0" fontId="94" fillId="0" borderId="0" xfId="6" applyFont="1" applyAlignment="1">
      <alignment horizontal="left"/>
    </xf>
    <xf numFmtId="0" fontId="66" fillId="0" borderId="0" xfId="6" applyFont="1" applyAlignment="1">
      <alignment horizontal="center"/>
    </xf>
    <xf numFmtId="0" fontId="7" fillId="0" borderId="0" xfId="6" applyFont="1"/>
    <xf numFmtId="0" fontId="97" fillId="18" borderId="0" xfId="6" applyFont="1" applyFill="1" applyAlignment="1">
      <alignment horizontal="center"/>
    </xf>
    <xf numFmtId="0" fontId="98" fillId="0" borderId="0" xfId="7" applyFont="1" applyFill="1" applyBorder="1" applyAlignment="1">
      <alignment vertical="center"/>
    </xf>
    <xf numFmtId="0" fontId="8" fillId="0" borderId="0" xfId="0" applyFont="1" applyProtection="1">
      <protection hidden="1"/>
    </xf>
    <xf numFmtId="0" fontId="66" fillId="16" borderId="2" xfId="0" applyFont="1" applyFill="1" applyBorder="1" applyAlignment="1">
      <alignment horizontal="right" vertical="center"/>
    </xf>
    <xf numFmtId="169" fontId="7" fillId="0" borderId="2" xfId="0" applyNumberFormat="1" applyFont="1" applyBorder="1" applyAlignment="1" applyProtection="1">
      <alignment vertical="center"/>
      <protection hidden="1"/>
    </xf>
    <xf numFmtId="0" fontId="90" fillId="27" borderId="0" xfId="0" applyFont="1" applyFill="1" applyAlignment="1">
      <alignment horizontal="left"/>
    </xf>
    <xf numFmtId="2" fontId="90" fillId="27" borderId="0" xfId="0" applyNumberFormat="1" applyFont="1" applyFill="1" applyAlignment="1">
      <alignment horizontal="left"/>
    </xf>
    <xf numFmtId="1" fontId="0" fillId="27" borderId="0" xfId="0" applyNumberFormat="1" applyFill="1" applyAlignment="1">
      <alignment horizontal="left"/>
    </xf>
    <xf numFmtId="0" fontId="0" fillId="27" borderId="0" xfId="0" applyFill="1"/>
    <xf numFmtId="0" fontId="8" fillId="27" borderId="0" xfId="0" applyFont="1" applyFill="1" applyAlignment="1">
      <alignment horizontal="left"/>
    </xf>
    <xf numFmtId="2" fontId="8" fillId="27" borderId="0" xfId="0" applyNumberFormat="1" applyFont="1" applyFill="1" applyAlignment="1">
      <alignment horizontal="left"/>
    </xf>
    <xf numFmtId="48" fontId="0" fillId="27" borderId="0" xfId="0" applyNumberFormat="1" applyFill="1"/>
    <xf numFmtId="48" fontId="7" fillId="27" borderId="0" xfId="0" applyNumberFormat="1" applyFont="1" applyFill="1"/>
    <xf numFmtId="48" fontId="0" fillId="0" borderId="0" xfId="0" applyNumberFormat="1"/>
    <xf numFmtId="48" fontId="0" fillId="12" borderId="0" xfId="0" applyNumberFormat="1" applyFill="1"/>
    <xf numFmtId="48" fontId="8" fillId="24" borderId="0" xfId="0" applyNumberFormat="1" applyFont="1" applyFill="1" applyAlignment="1">
      <alignment horizontal="right"/>
    </xf>
    <xf numFmtId="48" fontId="0" fillId="4" borderId="31" xfId="0" applyNumberFormat="1" applyFill="1" applyBorder="1"/>
    <xf numFmtId="0" fontId="101" fillId="25" borderId="0" xfId="0" applyFont="1" applyFill="1" applyAlignment="1">
      <alignment horizontal="left"/>
    </xf>
    <xf numFmtId="0" fontId="100" fillId="25" borderId="0" xfId="2" applyFont="1" applyFill="1" applyAlignment="1" applyProtection="1">
      <alignment horizontal="left"/>
      <protection locked="0"/>
    </xf>
    <xf numFmtId="0" fontId="90" fillId="0" borderId="0" xfId="0" applyFont="1"/>
    <xf numFmtId="0" fontId="8" fillId="19" borderId="0" xfId="0" applyFont="1" applyFill="1" applyAlignment="1">
      <alignment horizontal="left" vertical="center"/>
    </xf>
    <xf numFmtId="48" fontId="12" fillId="12" borderId="0" xfId="0" applyNumberFormat="1" applyFont="1" applyFill="1"/>
    <xf numFmtId="0" fontId="69" fillId="9" borderId="0" xfId="0" applyFont="1" applyFill="1" applyAlignment="1">
      <alignment vertical="center"/>
    </xf>
    <xf numFmtId="0" fontId="69" fillId="0" borderId="45" xfId="0" applyFont="1" applyBorder="1" applyAlignment="1">
      <alignment horizontal="left" vertical="center"/>
    </xf>
    <xf numFmtId="0" fontId="70" fillId="9" borderId="45" xfId="0" applyFont="1" applyFill="1" applyBorder="1" applyAlignment="1">
      <alignment vertical="center"/>
    </xf>
    <xf numFmtId="48" fontId="0" fillId="13" borderId="0" xfId="0" applyNumberFormat="1" applyFill="1"/>
    <xf numFmtId="0" fontId="7" fillId="0" borderId="45" xfId="0" applyFont="1" applyBorder="1"/>
    <xf numFmtId="0" fontId="74" fillId="0" borderId="4" xfId="0" applyFont="1" applyBorder="1"/>
    <xf numFmtId="0" fontId="0" fillId="0" borderId="41" xfId="0" applyBorder="1" applyAlignment="1">
      <alignment horizontal="right"/>
    </xf>
    <xf numFmtId="0" fontId="0" fillId="0" borderId="74" xfId="0" applyBorder="1"/>
    <xf numFmtId="0" fontId="0" fillId="0" borderId="45" xfId="0" applyBorder="1"/>
    <xf numFmtId="0" fontId="0" fillId="0" borderId="46" xfId="0" applyBorder="1"/>
    <xf numFmtId="0" fontId="8" fillId="0" borderId="73" xfId="0" applyFont="1" applyBorder="1"/>
    <xf numFmtId="48" fontId="0" fillId="28" borderId="0" xfId="0" applyNumberFormat="1" applyFill="1"/>
    <xf numFmtId="48" fontId="0" fillId="31" borderId="0" xfId="0" applyNumberFormat="1" applyFill="1" applyAlignment="1">
      <alignment horizontal="right"/>
    </xf>
    <xf numFmtId="0" fontId="67" fillId="16" borderId="0" xfId="0" applyFont="1" applyFill="1" applyAlignment="1">
      <alignment horizontal="right"/>
    </xf>
    <xf numFmtId="1" fontId="7" fillId="9" borderId="0" xfId="0" applyNumberFormat="1" applyFont="1" applyFill="1" applyAlignment="1" applyProtection="1">
      <alignment horizontal="right"/>
      <protection hidden="1"/>
    </xf>
    <xf numFmtId="0" fontId="66" fillId="16" borderId="45" xfId="0" applyFont="1" applyFill="1" applyBorder="1" applyAlignment="1">
      <alignment horizontal="center"/>
    </xf>
    <xf numFmtId="169" fontId="7" fillId="9" borderId="45" xfId="0" applyNumberFormat="1" applyFont="1" applyFill="1" applyBorder="1" applyAlignment="1">
      <alignment vertical="center"/>
    </xf>
    <xf numFmtId="11" fontId="7" fillId="0" borderId="0" xfId="3" applyNumberFormat="1"/>
    <xf numFmtId="1" fontId="7" fillId="16" borderId="0" xfId="0" applyNumberFormat="1" applyFont="1" applyFill="1"/>
    <xf numFmtId="48" fontId="7" fillId="0" borderId="0" xfId="3" applyNumberFormat="1"/>
    <xf numFmtId="0" fontId="64" fillId="2" borderId="6" xfId="0" quotePrefix="1" applyFont="1" applyFill="1" applyBorder="1" applyAlignment="1">
      <alignment horizontal="center" vertical="center" wrapText="1"/>
    </xf>
    <xf numFmtId="48" fontId="7" fillId="13" borderId="0" xfId="0" applyNumberFormat="1" applyFont="1" applyFill="1"/>
    <xf numFmtId="0" fontId="104" fillId="33" borderId="80" xfId="11"/>
    <xf numFmtId="0" fontId="103" fillId="32" borderId="79" xfId="10"/>
    <xf numFmtId="0" fontId="22" fillId="9" borderId="29" xfId="0" applyFont="1" applyFill="1" applyBorder="1" applyAlignment="1">
      <alignment vertical="center"/>
    </xf>
    <xf numFmtId="0" fontId="22" fillId="9" borderId="45" xfId="0" applyFont="1" applyFill="1" applyBorder="1"/>
    <xf numFmtId="0" fontId="22" fillId="9" borderId="46" xfId="0" applyFont="1" applyFill="1" applyBorder="1"/>
    <xf numFmtId="0" fontId="22" fillId="9" borderId="28" xfId="0" applyFont="1" applyFill="1" applyBorder="1" applyAlignment="1">
      <alignment vertical="top"/>
    </xf>
    <xf numFmtId="0" fontId="8" fillId="0" borderId="0" xfId="0" applyFont="1" applyAlignment="1" applyProtection="1">
      <alignment horizontal="right" vertical="center"/>
      <protection hidden="1"/>
    </xf>
    <xf numFmtId="0" fontId="0" fillId="0" borderId="6" xfId="0" applyBorder="1"/>
    <xf numFmtId="0" fontId="0" fillId="0" borderId="12" xfId="0" applyBorder="1"/>
    <xf numFmtId="0" fontId="0" fillId="0" borderId="12" xfId="0" applyBorder="1" applyAlignment="1">
      <alignment horizontal="right" vertical="top"/>
    </xf>
    <xf numFmtId="0" fontId="0" fillId="0" borderId="13" xfId="0" applyBorder="1" applyAlignment="1">
      <alignment horizontal="right" vertical="top"/>
    </xf>
    <xf numFmtId="0" fontId="0" fillId="0" borderId="11" xfId="0" applyBorder="1" applyAlignment="1">
      <alignment horizontal="right" vertical="top"/>
    </xf>
    <xf numFmtId="1" fontId="74" fillId="0" borderId="0" xfId="0" applyNumberFormat="1" applyFont="1"/>
    <xf numFmtId="0" fontId="64" fillId="0" borderId="0" xfId="0" applyFont="1" applyAlignment="1">
      <alignment horizontal="center" vertical="top"/>
    </xf>
    <xf numFmtId="0" fontId="66" fillId="9" borderId="0" xfId="0" applyFont="1" applyFill="1" applyAlignment="1" applyProtection="1">
      <alignment horizontal="right"/>
      <protection hidden="1"/>
    </xf>
    <xf numFmtId="0" fontId="8" fillId="9" borderId="29" xfId="0" applyFont="1" applyFill="1" applyBorder="1" applyProtection="1">
      <protection hidden="1"/>
    </xf>
    <xf numFmtId="0" fontId="0" fillId="4" borderId="41" xfId="0" applyFill="1" applyBorder="1"/>
    <xf numFmtId="0" fontId="7" fillId="28" borderId="2" xfId="0" applyFont="1" applyFill="1" applyBorder="1"/>
    <xf numFmtId="0" fontId="0" fillId="28" borderId="2" xfId="0" applyFill="1" applyBorder="1"/>
    <xf numFmtId="0" fontId="0" fillId="28" borderId="0" xfId="0" applyFill="1"/>
    <xf numFmtId="0" fontId="106" fillId="16" borderId="41" xfId="3" applyFont="1" applyFill="1" applyBorder="1" applyAlignment="1" applyProtection="1">
      <alignment horizontal="right"/>
      <protection hidden="1"/>
    </xf>
    <xf numFmtId="0" fontId="0" fillId="19" borderId="41" xfId="0" applyFill="1" applyBorder="1" applyProtection="1">
      <protection locked="0" hidden="1"/>
    </xf>
    <xf numFmtId="0" fontId="107" fillId="25" borderId="30" xfId="0" applyFont="1" applyFill="1" applyBorder="1"/>
    <xf numFmtId="0" fontId="107" fillId="25" borderId="31" xfId="0" applyFont="1" applyFill="1" applyBorder="1"/>
    <xf numFmtId="0" fontId="7" fillId="0" borderId="44" xfId="3" applyBorder="1"/>
    <xf numFmtId="48" fontId="7" fillId="28" borderId="0" xfId="3" applyNumberFormat="1" applyFill="1"/>
    <xf numFmtId="0" fontId="67" fillId="16" borderId="0" xfId="3" applyFont="1" applyFill="1" applyAlignment="1">
      <alignment horizontal="right" vertical="center"/>
    </xf>
    <xf numFmtId="0" fontId="15" fillId="25" borderId="0" xfId="2" applyFill="1" applyAlignment="1" applyProtection="1">
      <alignment horizontal="left"/>
      <protection locked="0"/>
    </xf>
    <xf numFmtId="0" fontId="22" fillId="9" borderId="41" xfId="0" applyFont="1" applyFill="1" applyBorder="1"/>
    <xf numFmtId="0" fontId="22" fillId="9" borderId="74" xfId="0" applyFont="1" applyFill="1" applyBorder="1" applyAlignment="1">
      <alignment vertical="center"/>
    </xf>
    <xf numFmtId="48" fontId="102" fillId="30" borderId="0" xfId="9" applyNumberFormat="1"/>
    <xf numFmtId="0" fontId="7" fillId="9" borderId="73" xfId="0" applyFont="1" applyFill="1" applyBorder="1"/>
    <xf numFmtId="0" fontId="66" fillId="9" borderId="41" xfId="0" applyFont="1" applyFill="1" applyBorder="1" applyAlignment="1">
      <alignment horizontal="right"/>
    </xf>
    <xf numFmtId="0" fontId="8" fillId="19" borderId="41" xfId="0" applyFont="1" applyFill="1" applyBorder="1" applyAlignment="1" applyProtection="1">
      <alignment horizontal="right" vertical="center"/>
      <protection locked="0"/>
    </xf>
    <xf numFmtId="0" fontId="8" fillId="9" borderId="74" xfId="0" applyFont="1" applyFill="1" applyBorder="1"/>
    <xf numFmtId="9" fontId="0" fillId="0" borderId="0" xfId="21" applyFont="1"/>
    <xf numFmtId="43" fontId="0" fillId="0" borderId="0" xfId="1" applyFont="1"/>
    <xf numFmtId="168" fontId="84" fillId="23" borderId="0" xfId="0" applyNumberFormat="1" applyFont="1" applyFill="1" applyAlignment="1">
      <alignment horizontal="center" vertical="center"/>
    </xf>
    <xf numFmtId="167" fontId="8" fillId="23" borderId="0" xfId="0" applyNumberFormat="1" applyFont="1" applyFill="1" applyAlignment="1">
      <alignment horizontal="center" vertical="center" wrapText="1"/>
    </xf>
    <xf numFmtId="0" fontId="109" fillId="0" borderId="0" xfId="0" applyFont="1"/>
    <xf numFmtId="0" fontId="109" fillId="16" borderId="0" xfId="0" applyFont="1" applyFill="1"/>
    <xf numFmtId="48" fontId="0" fillId="24" borderId="0" xfId="0" applyNumberFormat="1" applyFill="1"/>
    <xf numFmtId="0" fontId="0" fillId="0" borderId="0" xfId="0" applyProtection="1">
      <protection hidden="1"/>
    </xf>
    <xf numFmtId="1" fontId="11" fillId="12" borderId="0" xfId="0" applyNumberFormat="1" applyFont="1" applyFill="1"/>
    <xf numFmtId="49" fontId="66" fillId="0" borderId="0" xfId="6" applyNumberFormat="1" applyFont="1" applyAlignment="1">
      <alignment horizontal="center"/>
    </xf>
    <xf numFmtId="169" fontId="7" fillId="9" borderId="0" xfId="0" applyNumberFormat="1" applyFont="1" applyFill="1" applyAlignment="1" applyProtection="1">
      <alignment horizontal="right"/>
      <protection hidden="1"/>
    </xf>
    <xf numFmtId="169" fontId="7" fillId="19" borderId="0" xfId="0" applyNumberFormat="1" applyFont="1" applyFill="1" applyAlignment="1" applyProtection="1">
      <alignment horizontal="right"/>
      <protection locked="0" hidden="1"/>
    </xf>
    <xf numFmtId="49" fontId="94" fillId="0" borderId="0" xfId="6" applyNumberFormat="1" applyFont="1" applyAlignment="1">
      <alignment horizontal="center"/>
    </xf>
    <xf numFmtId="0" fontId="8" fillId="0" borderId="0" xfId="3" applyFont="1"/>
    <xf numFmtId="0" fontId="7" fillId="9" borderId="45" xfId="0" applyFont="1" applyFill="1" applyBorder="1" applyAlignment="1" applyProtection="1">
      <alignment horizontal="right" vertical="center"/>
      <protection hidden="1"/>
    </xf>
    <xf numFmtId="0" fontId="7" fillId="9" borderId="29" xfId="0" applyFont="1" applyFill="1" applyBorder="1" applyProtection="1">
      <protection hidden="1"/>
    </xf>
    <xf numFmtId="0" fontId="7" fillId="9" borderId="46" xfId="0" applyFont="1" applyFill="1" applyBorder="1" applyProtection="1">
      <protection hidden="1"/>
    </xf>
    <xf numFmtId="0" fontId="0" fillId="31" borderId="0" xfId="0" applyFill="1"/>
    <xf numFmtId="48" fontId="0" fillId="31" borderId="0" xfId="0" applyNumberFormat="1" applyFill="1"/>
    <xf numFmtId="1" fontId="7" fillId="9" borderId="0" xfId="0" applyNumberFormat="1" applyFont="1" applyFill="1" applyAlignment="1" applyProtection="1">
      <alignment vertical="center"/>
      <protection hidden="1"/>
    </xf>
    <xf numFmtId="1" fontId="7" fillId="9" borderId="45" xfId="0" applyNumberFormat="1" applyFont="1" applyFill="1" applyBorder="1" applyAlignment="1" applyProtection="1">
      <alignment vertical="center"/>
      <protection hidden="1"/>
    </xf>
    <xf numFmtId="0" fontId="66" fillId="0" borderId="0" xfId="6" applyFont="1" applyAlignment="1">
      <alignment wrapText="1"/>
    </xf>
    <xf numFmtId="168" fontId="102" fillId="30" borderId="0" xfId="9" applyNumberFormat="1"/>
    <xf numFmtId="0" fontId="112" fillId="16" borderId="81" xfId="24" applyFont="1" applyFill="1" applyBorder="1"/>
    <xf numFmtId="48" fontId="112" fillId="16" borderId="81" xfId="24" applyNumberFormat="1" applyFont="1" applyFill="1" applyBorder="1"/>
    <xf numFmtId="11" fontId="110" fillId="34" borderId="81" xfId="22" applyNumberFormat="1" applyBorder="1"/>
    <xf numFmtId="0" fontId="111" fillId="33" borderId="79" xfId="23"/>
    <xf numFmtId="0" fontId="111" fillId="33" borderId="79" xfId="23" applyProtection="1"/>
    <xf numFmtId="48" fontId="111" fillId="33" borderId="79" xfId="23" applyNumberFormat="1"/>
    <xf numFmtId="0" fontId="1" fillId="0" borderId="0" xfId="24"/>
    <xf numFmtId="48" fontId="111" fillId="33" borderId="79" xfId="23" applyNumberFormat="1" applyProtection="1"/>
    <xf numFmtId="0" fontId="110" fillId="34" borderId="81" xfId="22" applyBorder="1"/>
    <xf numFmtId="11" fontId="112" fillId="16" borderId="81" xfId="24" applyNumberFormat="1" applyFont="1" applyFill="1" applyBorder="1"/>
    <xf numFmtId="169" fontId="111" fillId="33" borderId="79" xfId="23" applyNumberFormat="1"/>
    <xf numFmtId="169" fontId="111" fillId="33" borderId="79" xfId="23" applyNumberFormat="1" applyProtection="1"/>
    <xf numFmtId="0" fontId="111" fillId="33" borderId="79" xfId="23" applyNumberFormat="1" applyProtection="1"/>
    <xf numFmtId="0" fontId="112" fillId="16" borderId="0" xfId="24" applyFont="1" applyFill="1"/>
    <xf numFmtId="0" fontId="113" fillId="32" borderId="79" xfId="10" applyFont="1" applyProtection="1"/>
    <xf numFmtId="0" fontId="114" fillId="16" borderId="0" xfId="24" applyFont="1" applyFill="1"/>
    <xf numFmtId="0" fontId="103" fillId="32" borderId="79" xfId="10" applyProtection="1"/>
    <xf numFmtId="0" fontId="110" fillId="34" borderId="0" xfId="22" applyProtection="1"/>
    <xf numFmtId="48" fontId="103" fillId="32" borderId="79" xfId="10" applyNumberFormat="1" applyProtection="1"/>
    <xf numFmtId="48" fontId="112" fillId="16" borderId="0" xfId="24" applyNumberFormat="1" applyFont="1" applyFill="1"/>
    <xf numFmtId="193" fontId="0" fillId="0" borderId="0" xfId="0" applyNumberFormat="1"/>
    <xf numFmtId="0" fontId="7" fillId="9" borderId="82" xfId="0" applyFont="1" applyFill="1" applyBorder="1"/>
    <xf numFmtId="1" fontId="67" fillId="9" borderId="0" xfId="0" applyNumberFormat="1" applyFont="1" applyFill="1" applyAlignment="1">
      <alignment horizontal="right"/>
    </xf>
    <xf numFmtId="0" fontId="8" fillId="0" borderId="55" xfId="3" applyFont="1" applyBorder="1" applyAlignment="1">
      <alignment horizontal="center"/>
    </xf>
    <xf numFmtId="0" fontId="8" fillId="0" borderId="56" xfId="3" applyFont="1" applyBorder="1" applyAlignment="1">
      <alignment horizontal="center"/>
    </xf>
    <xf numFmtId="0" fontId="8" fillId="0" borderId="57" xfId="3" applyFont="1" applyBorder="1" applyAlignment="1">
      <alignment horizontal="center"/>
    </xf>
    <xf numFmtId="0" fontId="8" fillId="0" borderId="18" xfId="3" applyFont="1" applyBorder="1" applyAlignment="1">
      <alignment horizontal="center"/>
    </xf>
    <xf numFmtId="0" fontId="7" fillId="0" borderId="56" xfId="3" applyBorder="1" applyAlignment="1">
      <alignment horizontal="center"/>
    </xf>
    <xf numFmtId="0" fontId="7" fillId="0" borderId="57" xfId="3" applyBorder="1" applyAlignment="1">
      <alignment horizontal="center"/>
    </xf>
    <xf numFmtId="0" fontId="81" fillId="4" borderId="60" xfId="3" applyFont="1" applyFill="1" applyBorder="1" applyAlignment="1">
      <alignment horizontal="center"/>
    </xf>
    <xf numFmtId="0" fontId="7" fillId="0" borderId="82" xfId="0" applyFont="1" applyBorder="1"/>
    <xf numFmtId="0" fontId="0" fillId="12" borderId="0" xfId="0" applyFill="1"/>
    <xf numFmtId="0" fontId="7" fillId="2" borderId="0" xfId="3" applyFill="1"/>
    <xf numFmtId="0" fontId="7" fillId="0" borderId="63" xfId="3" applyBorder="1"/>
    <xf numFmtId="0" fontId="8" fillId="0" borderId="83" xfId="3" applyFont="1" applyBorder="1" applyAlignment="1">
      <alignment horizontal="center"/>
    </xf>
    <xf numFmtId="0" fontId="12" fillId="0" borderId="6" xfId="3" applyFont="1" applyBorder="1"/>
    <xf numFmtId="0" fontId="12" fillId="0" borderId="0" xfId="3" applyFont="1"/>
    <xf numFmtId="0" fontId="7" fillId="0" borderId="84" xfId="3" applyBorder="1" applyAlignment="1">
      <alignment horizontal="center"/>
    </xf>
    <xf numFmtId="167" fontId="7" fillId="0" borderId="61" xfId="3" applyNumberFormat="1" applyBorder="1" applyAlignment="1">
      <alignment horizontal="center"/>
    </xf>
    <xf numFmtId="167" fontId="7" fillId="0" borderId="62" xfId="3" applyNumberFormat="1" applyBorder="1" applyAlignment="1">
      <alignment horizontal="center"/>
    </xf>
    <xf numFmtId="167" fontId="7" fillId="0" borderId="4" xfId="3" applyNumberFormat="1" applyBorder="1" applyAlignment="1">
      <alignment horizontal="center"/>
    </xf>
    <xf numFmtId="167" fontId="7" fillId="0" borderId="17" xfId="3" applyNumberFormat="1" applyBorder="1" applyAlignment="1">
      <alignment horizontal="center"/>
    </xf>
    <xf numFmtId="167" fontId="7" fillId="0" borderId="60" xfId="3" applyNumberFormat="1" applyBorder="1" applyAlignment="1">
      <alignment horizontal="center"/>
    </xf>
    <xf numFmtId="167" fontId="7" fillId="0" borderId="85" xfId="3" applyNumberFormat="1" applyBorder="1" applyAlignment="1">
      <alignment horizontal="center"/>
    </xf>
    <xf numFmtId="167" fontId="7" fillId="0" borderId="86" xfId="3" applyNumberFormat="1" applyBorder="1" applyAlignment="1">
      <alignment horizontal="center"/>
    </xf>
    <xf numFmtId="165" fontId="7" fillId="0" borderId="4" xfId="3" applyNumberFormat="1" applyBorder="1" applyAlignment="1">
      <alignment horizontal="center"/>
    </xf>
    <xf numFmtId="0" fontId="7" fillId="0" borderId="5" xfId="3" applyBorder="1"/>
    <xf numFmtId="169" fontId="7" fillId="0" borderId="6" xfId="3" applyNumberFormat="1" applyBorder="1"/>
    <xf numFmtId="0" fontId="7" fillId="0" borderId="7" xfId="3" applyBorder="1"/>
    <xf numFmtId="167" fontId="7" fillId="0" borderId="66" xfId="3" applyNumberFormat="1" applyBorder="1" applyAlignment="1">
      <alignment horizontal="center"/>
    </xf>
    <xf numFmtId="167" fontId="7" fillId="0" borderId="87" xfId="3" applyNumberFormat="1" applyBorder="1" applyAlignment="1">
      <alignment horizontal="center"/>
    </xf>
    <xf numFmtId="0" fontId="8" fillId="0" borderId="64" xfId="3" applyFont="1" applyBorder="1" applyAlignment="1">
      <alignment horizontal="center"/>
    </xf>
    <xf numFmtId="0" fontId="8" fillId="0" borderId="9" xfId="3" applyFont="1" applyBorder="1" applyAlignment="1">
      <alignment horizontal="center"/>
    </xf>
    <xf numFmtId="0" fontId="8" fillId="0" borderId="65" xfId="3" applyFont="1" applyBorder="1" applyAlignment="1">
      <alignment horizontal="center"/>
    </xf>
    <xf numFmtId="0" fontId="7" fillId="0" borderId="9" xfId="3" applyBorder="1" applyAlignment="1">
      <alignment horizontal="left"/>
    </xf>
    <xf numFmtId="169" fontId="7" fillId="0" borderId="9" xfId="3" applyNumberFormat="1" applyBorder="1"/>
    <xf numFmtId="0" fontId="7" fillId="8" borderId="9" xfId="3" applyFill="1" applyBorder="1"/>
    <xf numFmtId="0" fontId="12" fillId="0" borderId="10" xfId="3" applyFont="1" applyBorder="1" applyAlignment="1">
      <alignment horizontal="center"/>
    </xf>
    <xf numFmtId="48" fontId="7" fillId="0" borderId="0" xfId="0" applyNumberFormat="1" applyFont="1"/>
    <xf numFmtId="48" fontId="8" fillId="2" borderId="0" xfId="0" applyNumberFormat="1" applyFont="1" applyFill="1"/>
    <xf numFmtId="0" fontId="115" fillId="25" borderId="31" xfId="0" applyFont="1" applyFill="1" applyBorder="1"/>
    <xf numFmtId="0" fontId="22" fillId="9" borderId="0" xfId="0" applyFont="1" applyFill="1" applyProtection="1">
      <protection hidden="1"/>
    </xf>
    <xf numFmtId="0" fontId="8" fillId="9" borderId="43" xfId="0" applyFont="1" applyFill="1" applyBorder="1" applyAlignment="1" applyProtection="1">
      <alignment horizontal="center"/>
      <protection hidden="1"/>
    </xf>
    <xf numFmtId="169" fontId="7" fillId="9" borderId="41" xfId="0" applyNumberFormat="1" applyFont="1" applyFill="1" applyBorder="1" applyAlignment="1" applyProtection="1">
      <alignment horizontal="left" vertical="center"/>
      <protection hidden="1"/>
    </xf>
    <xf numFmtId="0" fontId="7" fillId="16" borderId="41" xfId="0" applyFont="1" applyFill="1" applyBorder="1" applyAlignment="1" applyProtection="1">
      <alignment horizontal="left"/>
      <protection hidden="1"/>
    </xf>
    <xf numFmtId="0" fontId="8" fillId="9" borderId="0" xfId="0" applyFont="1" applyFill="1" applyAlignment="1" applyProtection="1">
      <alignment horizontal="left"/>
      <protection hidden="1"/>
    </xf>
    <xf numFmtId="0" fontId="8" fillId="9" borderId="28" xfId="0" applyFont="1" applyFill="1" applyBorder="1" applyAlignment="1" applyProtection="1">
      <alignment horizontal="center"/>
      <protection hidden="1"/>
    </xf>
    <xf numFmtId="169" fontId="7" fillId="9" borderId="0" xfId="0" applyNumberFormat="1" applyFont="1" applyFill="1" applyAlignment="1" applyProtection="1">
      <alignment horizontal="left" vertical="center"/>
      <protection hidden="1"/>
    </xf>
    <xf numFmtId="48" fontId="7" fillId="16" borderId="0" xfId="0" applyNumberFormat="1" applyFont="1" applyFill="1" applyAlignment="1" applyProtection="1">
      <alignment horizontal="left"/>
      <protection hidden="1"/>
    </xf>
    <xf numFmtId="0" fontId="8" fillId="9" borderId="44" xfId="0" applyFont="1" applyFill="1" applyBorder="1" applyAlignment="1" applyProtection="1">
      <alignment horizontal="center"/>
      <protection hidden="1"/>
    </xf>
    <xf numFmtId="169" fontId="7" fillId="9" borderId="45" xfId="0" applyNumberFormat="1" applyFont="1" applyFill="1" applyBorder="1" applyAlignment="1" applyProtection="1">
      <alignment horizontal="left" vertical="center"/>
      <protection hidden="1"/>
    </xf>
    <xf numFmtId="48" fontId="7" fillId="16" borderId="45" xfId="0" applyNumberFormat="1" applyFont="1" applyFill="1" applyBorder="1" applyAlignment="1" applyProtection="1">
      <alignment horizontal="left"/>
      <protection hidden="1"/>
    </xf>
    <xf numFmtId="0" fontId="8" fillId="9" borderId="45" xfId="0" applyFont="1" applyFill="1" applyBorder="1" applyAlignment="1" applyProtection="1">
      <alignment horizontal="left"/>
      <protection hidden="1"/>
    </xf>
    <xf numFmtId="0" fontId="62" fillId="9" borderId="42" xfId="0" applyFont="1" applyFill="1" applyBorder="1" applyAlignment="1" applyProtection="1">
      <alignment horizontal="left"/>
      <protection hidden="1"/>
    </xf>
    <xf numFmtId="0" fontId="22" fillId="9" borderId="29" xfId="0" applyFont="1" applyFill="1" applyBorder="1" applyProtection="1">
      <protection hidden="1"/>
    </xf>
    <xf numFmtId="0" fontId="62" fillId="9" borderId="29" xfId="0" applyFont="1" applyFill="1" applyBorder="1" applyAlignment="1" applyProtection="1">
      <alignment horizontal="left"/>
      <protection hidden="1"/>
    </xf>
    <xf numFmtId="0" fontId="62" fillId="9" borderId="46" xfId="0" applyFont="1" applyFill="1" applyBorder="1" applyAlignment="1" applyProtection="1">
      <alignment horizontal="left"/>
      <protection hidden="1"/>
    </xf>
    <xf numFmtId="0" fontId="81" fillId="9" borderId="0" xfId="0" applyFont="1" applyFill="1" applyProtection="1">
      <protection hidden="1"/>
    </xf>
    <xf numFmtId="0" fontId="61" fillId="9" borderId="0" xfId="0" applyFont="1" applyFill="1" applyAlignment="1" applyProtection="1">
      <alignment vertical="center"/>
      <protection hidden="1"/>
    </xf>
    <xf numFmtId="0" fontId="8" fillId="9" borderId="0" xfId="0" applyFont="1" applyFill="1" applyProtection="1">
      <protection hidden="1"/>
    </xf>
    <xf numFmtId="0" fontId="8" fillId="9" borderId="0" xfId="0" applyFont="1" applyFill="1" applyAlignment="1" applyProtection="1">
      <alignment horizontal="left" vertical="center"/>
      <protection hidden="1"/>
    </xf>
    <xf numFmtId="169" fontId="8" fillId="9" borderId="0" xfId="0" applyNumberFormat="1" applyFont="1" applyFill="1" applyProtection="1">
      <protection hidden="1"/>
    </xf>
    <xf numFmtId="0" fontId="71" fillId="9" borderId="0" xfId="0" applyFont="1" applyFill="1" applyProtection="1">
      <protection hidden="1"/>
    </xf>
    <xf numFmtId="0" fontId="70" fillId="9" borderId="45" xfId="0" applyFont="1" applyFill="1" applyBorder="1" applyAlignment="1" applyProtection="1">
      <alignment vertical="center"/>
      <protection hidden="1"/>
    </xf>
    <xf numFmtId="0" fontId="69" fillId="9" borderId="0" xfId="0" applyFont="1" applyFill="1" applyAlignment="1" applyProtection="1">
      <alignment horizontal="right" vertical="center"/>
      <protection hidden="1"/>
    </xf>
    <xf numFmtId="0" fontId="69" fillId="0" borderId="45" xfId="0" applyFont="1" applyBorder="1" applyAlignment="1" applyProtection="1">
      <alignment horizontal="left" vertical="center"/>
      <protection hidden="1"/>
    </xf>
    <xf numFmtId="169" fontId="69" fillId="9" borderId="45" xfId="0" applyNumberFormat="1" applyFont="1" applyFill="1" applyBorder="1" applyAlignment="1" applyProtection="1">
      <alignment horizontal="center" vertical="center"/>
      <protection hidden="1"/>
    </xf>
    <xf numFmtId="0" fontId="8" fillId="9" borderId="45" xfId="0" applyFont="1" applyFill="1" applyBorder="1" applyAlignment="1" applyProtection="1">
      <alignment horizontal="left" vertical="center"/>
      <protection hidden="1"/>
    </xf>
    <xf numFmtId="0" fontId="71" fillId="9" borderId="29" xfId="0" applyFont="1" applyFill="1" applyBorder="1" applyProtection="1">
      <protection hidden="1"/>
    </xf>
    <xf numFmtId="0" fontId="7" fillId="9" borderId="28" xfId="0" applyFont="1" applyFill="1" applyBorder="1" applyAlignment="1" applyProtection="1">
      <alignment vertical="center"/>
      <protection hidden="1"/>
    </xf>
    <xf numFmtId="0" fontId="7" fillId="9" borderId="0" xfId="0" applyFont="1" applyFill="1" applyAlignment="1" applyProtection="1">
      <alignment vertical="center"/>
      <protection hidden="1"/>
    </xf>
    <xf numFmtId="0" fontId="7" fillId="9" borderId="0" xfId="0" applyFont="1" applyFill="1" applyProtection="1">
      <protection hidden="1"/>
    </xf>
    <xf numFmtId="0" fontId="67" fillId="16" borderId="0" xfId="0" applyFont="1" applyFill="1" applyAlignment="1" applyProtection="1">
      <alignment horizontal="right"/>
      <protection hidden="1"/>
    </xf>
    <xf numFmtId="169" fontId="7" fillId="9" borderId="0" xfId="0" applyNumberFormat="1" applyFont="1" applyFill="1" applyAlignment="1" applyProtection="1">
      <alignment vertical="center"/>
      <protection hidden="1"/>
    </xf>
    <xf numFmtId="0" fontId="7" fillId="9" borderId="41" xfId="0" applyFont="1" applyFill="1" applyBorder="1" applyAlignment="1" applyProtection="1">
      <alignment vertical="center"/>
      <protection hidden="1"/>
    </xf>
    <xf numFmtId="1" fontId="8" fillId="16" borderId="28" xfId="0" applyNumberFormat="1" applyFont="1" applyFill="1" applyBorder="1" applyAlignment="1" applyProtection="1">
      <alignment horizontal="right" vertical="center"/>
      <protection hidden="1"/>
    </xf>
    <xf numFmtId="0" fontId="7" fillId="16" borderId="0" xfId="0" applyFont="1" applyFill="1" applyProtection="1">
      <protection hidden="1"/>
    </xf>
    <xf numFmtId="0" fontId="7" fillId="0" borderId="44" xfId="0" applyFont="1" applyBorder="1"/>
    <xf numFmtId="48" fontId="0" fillId="24" borderId="45" xfId="0" applyNumberFormat="1" applyFill="1" applyBorder="1"/>
    <xf numFmtId="0" fontId="8" fillId="0" borderId="45" xfId="0" applyFont="1" applyBorder="1" applyAlignment="1">
      <alignment horizontal="left"/>
    </xf>
    <xf numFmtId="0" fontId="22" fillId="9" borderId="82" xfId="0" applyFont="1" applyFill="1" applyBorder="1"/>
    <xf numFmtId="2" fontId="7" fillId="9" borderId="0" xfId="0" applyNumberFormat="1" applyFont="1" applyFill="1"/>
    <xf numFmtId="0" fontId="7" fillId="9" borderId="44" xfId="0" applyFont="1" applyFill="1" applyBorder="1" applyProtection="1">
      <protection hidden="1"/>
    </xf>
    <xf numFmtId="0" fontId="22" fillId="9" borderId="45" xfId="0" applyFont="1" applyFill="1" applyBorder="1" applyProtection="1">
      <protection hidden="1"/>
    </xf>
    <xf numFmtId="0" fontId="22" fillId="9" borderId="46" xfId="0" applyFont="1" applyFill="1" applyBorder="1" applyProtection="1">
      <protection hidden="1"/>
    </xf>
    <xf numFmtId="0" fontId="22" fillId="9" borderId="44" xfId="0" applyFont="1" applyFill="1" applyBorder="1" applyProtection="1">
      <protection hidden="1"/>
    </xf>
    <xf numFmtId="0" fontId="7" fillId="9" borderId="45" xfId="0" applyFont="1" applyFill="1" applyBorder="1" applyAlignment="1" applyProtection="1">
      <alignment horizontal="right"/>
      <protection hidden="1"/>
    </xf>
    <xf numFmtId="0" fontId="7" fillId="9" borderId="45" xfId="0" applyFont="1" applyFill="1" applyBorder="1" applyProtection="1">
      <protection hidden="1"/>
    </xf>
    <xf numFmtId="49" fontId="67" fillId="0" borderId="0" xfId="6" applyNumberFormat="1" applyFont="1" applyAlignment="1">
      <alignment horizontal="left"/>
    </xf>
    <xf numFmtId="0" fontId="27" fillId="9" borderId="28" xfId="0" applyFont="1" applyFill="1" applyBorder="1" applyAlignment="1" applyProtection="1">
      <alignment vertical="center"/>
      <protection hidden="1"/>
    </xf>
    <xf numFmtId="0" fontId="37" fillId="9" borderId="0" xfId="0" applyFont="1" applyFill="1" applyProtection="1">
      <protection hidden="1"/>
    </xf>
    <xf numFmtId="0" fontId="23" fillId="9" borderId="0" xfId="0" applyFont="1" applyFill="1" applyProtection="1">
      <protection hidden="1"/>
    </xf>
    <xf numFmtId="0" fontId="23" fillId="9" borderId="0" xfId="0" applyFont="1" applyFill="1" applyAlignment="1" applyProtection="1">
      <alignment horizontal="right"/>
      <protection hidden="1"/>
    </xf>
    <xf numFmtId="0" fontId="7" fillId="9" borderId="43" xfId="0" applyFont="1" applyFill="1" applyBorder="1" applyAlignment="1" applyProtection="1">
      <alignment vertical="center"/>
      <protection hidden="1"/>
    </xf>
    <xf numFmtId="0" fontId="7" fillId="9" borderId="2" xfId="0" applyFont="1" applyFill="1" applyBorder="1" applyAlignment="1" applyProtection="1">
      <alignment vertical="center"/>
      <protection hidden="1"/>
    </xf>
    <xf numFmtId="0" fontId="7" fillId="9" borderId="2" xfId="0" applyFont="1" applyFill="1" applyBorder="1" applyAlignment="1" applyProtection="1">
      <alignment horizontal="right" vertical="center"/>
      <protection hidden="1"/>
    </xf>
    <xf numFmtId="0" fontId="67" fillId="9" borderId="2" xfId="0" applyFont="1" applyFill="1" applyBorder="1" applyAlignment="1" applyProtection="1">
      <alignment horizontal="right" vertical="center"/>
      <protection hidden="1"/>
    </xf>
    <xf numFmtId="0" fontId="67" fillId="9" borderId="0" xfId="0" applyFont="1" applyFill="1" applyAlignment="1" applyProtection="1">
      <alignment horizontal="right" vertical="center"/>
      <protection hidden="1"/>
    </xf>
    <xf numFmtId="0" fontId="7" fillId="9" borderId="30" xfId="0" applyFont="1" applyFill="1" applyBorder="1" applyAlignment="1" applyProtection="1">
      <alignment vertical="center"/>
      <protection hidden="1"/>
    </xf>
    <xf numFmtId="0" fontId="7" fillId="9" borderId="31" xfId="0" applyFont="1" applyFill="1" applyBorder="1" applyAlignment="1" applyProtection="1">
      <alignment vertical="center"/>
      <protection hidden="1"/>
    </xf>
    <xf numFmtId="0" fontId="7" fillId="9" borderId="31" xfId="0" applyFont="1" applyFill="1" applyBorder="1" applyAlignment="1" applyProtection="1">
      <alignment horizontal="right" vertical="center"/>
      <protection hidden="1"/>
    </xf>
    <xf numFmtId="0" fontId="7" fillId="9" borderId="32" xfId="0" applyFont="1" applyFill="1" applyBorder="1" applyAlignment="1" applyProtection="1">
      <alignment vertical="center"/>
      <protection hidden="1"/>
    </xf>
    <xf numFmtId="0" fontId="8" fillId="9" borderId="0" xfId="0" applyFont="1" applyFill="1" applyAlignment="1" applyProtection="1">
      <alignment horizontal="right" vertical="center"/>
      <protection hidden="1"/>
    </xf>
    <xf numFmtId="0" fontId="7" fillId="9" borderId="73" xfId="0" applyFont="1" applyFill="1" applyBorder="1" applyAlignment="1" applyProtection="1">
      <alignment vertical="center"/>
      <protection hidden="1"/>
    </xf>
    <xf numFmtId="0" fontId="7" fillId="9" borderId="41" xfId="0" applyFont="1" applyFill="1" applyBorder="1" applyAlignment="1" applyProtection="1">
      <alignment horizontal="right" vertical="center"/>
      <protection hidden="1"/>
    </xf>
    <xf numFmtId="0" fontId="8" fillId="9" borderId="41" xfId="0" applyFont="1" applyFill="1" applyBorder="1" applyAlignment="1" applyProtection="1">
      <alignment horizontal="right" vertical="center"/>
      <protection hidden="1"/>
    </xf>
    <xf numFmtId="0" fontId="8" fillId="9" borderId="74" xfId="0" applyFont="1" applyFill="1" applyBorder="1" applyAlignment="1" applyProtection="1">
      <alignment vertical="center"/>
      <protection hidden="1"/>
    </xf>
    <xf numFmtId="0" fontId="8" fillId="9" borderId="31" xfId="0" applyFont="1" applyFill="1" applyBorder="1" applyAlignment="1" applyProtection="1">
      <alignment horizontal="right" vertical="center"/>
      <protection hidden="1"/>
    </xf>
    <xf numFmtId="1" fontId="8" fillId="0" borderId="0" xfId="0" applyNumberFormat="1" applyFont="1" applyAlignment="1" applyProtection="1">
      <alignment vertical="center"/>
      <protection hidden="1"/>
    </xf>
    <xf numFmtId="0" fontId="8" fillId="9" borderId="41" xfId="0" applyFont="1" applyFill="1" applyBorder="1" applyAlignment="1" applyProtection="1">
      <alignment vertical="center"/>
      <protection hidden="1"/>
    </xf>
    <xf numFmtId="0" fontId="67" fillId="19" borderId="41" xfId="0" applyFont="1" applyFill="1" applyBorder="1" applyAlignment="1" applyProtection="1">
      <alignment vertical="center"/>
      <protection locked="0" hidden="1"/>
    </xf>
    <xf numFmtId="2" fontId="7" fillId="16" borderId="2" xfId="0" applyNumberFormat="1" applyFont="1" applyFill="1" applyBorder="1" applyAlignment="1" applyProtection="1">
      <alignment vertical="center"/>
      <protection hidden="1"/>
    </xf>
    <xf numFmtId="0" fontId="7" fillId="9" borderId="3" xfId="0" applyFont="1" applyFill="1" applyBorder="1" applyAlignment="1" applyProtection="1">
      <alignment vertical="center"/>
      <protection hidden="1"/>
    </xf>
    <xf numFmtId="2" fontId="7" fillId="16" borderId="0" xfId="0" applyNumberFormat="1" applyFont="1" applyFill="1" applyAlignment="1" applyProtection="1">
      <alignment vertical="center"/>
      <protection hidden="1"/>
    </xf>
    <xf numFmtId="0" fontId="7" fillId="9" borderId="29" xfId="0" applyFont="1" applyFill="1" applyBorder="1" applyAlignment="1" applyProtection="1">
      <alignment horizontal="left" vertical="center"/>
      <protection hidden="1"/>
    </xf>
    <xf numFmtId="0" fontId="7" fillId="9" borderId="29" xfId="0" applyFont="1" applyFill="1" applyBorder="1" applyAlignment="1" applyProtection="1">
      <alignment vertical="center"/>
      <protection hidden="1"/>
    </xf>
    <xf numFmtId="0" fontId="8" fillId="9" borderId="3" xfId="0" applyFont="1" applyFill="1" applyBorder="1" applyAlignment="1" applyProtection="1">
      <alignment vertical="center"/>
      <protection hidden="1"/>
    </xf>
    <xf numFmtId="0" fontId="24" fillId="9" borderId="0" xfId="0" applyFont="1" applyFill="1" applyProtection="1">
      <protection hidden="1"/>
    </xf>
    <xf numFmtId="0" fontId="22" fillId="25" borderId="0" xfId="0" applyFont="1" applyFill="1" applyProtection="1">
      <protection hidden="1"/>
    </xf>
    <xf numFmtId="0" fontId="22" fillId="3" borderId="0" xfId="0" applyFont="1" applyFill="1" applyProtection="1">
      <protection hidden="1"/>
    </xf>
    <xf numFmtId="0" fontId="8" fillId="19" borderId="2" xfId="0" applyFont="1" applyFill="1" applyBorder="1" applyAlignment="1" applyProtection="1">
      <alignment vertical="center"/>
      <protection locked="0" hidden="1"/>
    </xf>
    <xf numFmtId="0" fontId="7" fillId="9" borderId="82" xfId="0" applyFont="1" applyFill="1" applyBorder="1" applyAlignment="1">
      <alignment vertical="center"/>
    </xf>
    <xf numFmtId="48" fontId="0" fillId="4" borderId="0" xfId="0" applyNumberFormat="1" applyFill="1"/>
    <xf numFmtId="0" fontId="55" fillId="17" borderId="43" xfId="0" applyFont="1" applyFill="1" applyBorder="1" applyAlignment="1">
      <alignment horizontal="center" vertical="center"/>
    </xf>
    <xf numFmtId="0" fontId="55" fillId="17" borderId="41" xfId="0" applyFont="1" applyFill="1" applyBorder="1" applyAlignment="1">
      <alignment horizontal="center" vertical="center"/>
    </xf>
    <xf numFmtId="0" fontId="7" fillId="9" borderId="0" xfId="0" applyFont="1" applyFill="1" applyAlignment="1">
      <alignment horizontal="left" vertical="top"/>
    </xf>
    <xf numFmtId="0" fontId="7" fillId="9" borderId="29" xfId="0" applyFont="1" applyFill="1" applyBorder="1" applyAlignment="1">
      <alignment horizontal="left" vertical="top"/>
    </xf>
    <xf numFmtId="0" fontId="22" fillId="9" borderId="29" xfId="0" applyFont="1" applyFill="1" applyBorder="1" applyAlignment="1">
      <alignment horizontal="left" vertical="center"/>
    </xf>
    <xf numFmtId="0" fontId="66" fillId="0" borderId="0" xfId="6" applyFont="1"/>
    <xf numFmtId="0" fontId="94" fillId="0" borderId="0" xfId="6" applyFont="1" applyAlignment="1">
      <alignment horizontal="center"/>
    </xf>
    <xf numFmtId="0" fontId="94" fillId="29" borderId="0" xfId="6" applyFont="1" applyFill="1" applyAlignment="1">
      <alignment horizontal="center"/>
    </xf>
    <xf numFmtId="0" fontId="97" fillId="18" borderId="0" xfId="6" applyFont="1" applyFill="1" applyAlignment="1">
      <alignment horizontal="left"/>
    </xf>
    <xf numFmtId="0" fontId="66" fillId="0" borderId="0" xfId="6" applyFont="1" applyAlignment="1">
      <alignment horizontal="left"/>
    </xf>
    <xf numFmtId="0" fontId="8" fillId="9" borderId="77" xfId="3" applyFont="1" applyFill="1" applyBorder="1" applyAlignment="1">
      <alignment horizontal="center" vertical="center"/>
    </xf>
    <xf numFmtId="0" fontId="8" fillId="9" borderId="67" xfId="3" applyFont="1" applyFill="1" applyBorder="1" applyAlignment="1">
      <alignment horizontal="center" vertical="center"/>
    </xf>
    <xf numFmtId="0" fontId="8" fillId="9" borderId="14" xfId="3" applyFont="1" applyFill="1" applyBorder="1" applyAlignment="1">
      <alignment horizontal="left" vertical="center"/>
    </xf>
    <xf numFmtId="0" fontId="8" fillId="9" borderId="12" xfId="3" applyFont="1" applyFill="1" applyBorder="1" applyAlignment="1">
      <alignment horizontal="left" vertical="center"/>
    </xf>
    <xf numFmtId="0" fontId="8" fillId="9" borderId="76" xfId="3" applyFont="1" applyFill="1" applyBorder="1" applyAlignment="1">
      <alignment horizontal="left" vertical="center"/>
    </xf>
    <xf numFmtId="0" fontId="8" fillId="9" borderId="10" xfId="3" applyFont="1" applyFill="1" applyBorder="1" applyAlignment="1">
      <alignment horizontal="left" vertical="center"/>
    </xf>
    <xf numFmtId="0" fontId="8" fillId="9" borderId="16" xfId="3" applyFont="1" applyFill="1" applyBorder="1" applyAlignment="1">
      <alignment horizontal="left" vertical="center"/>
    </xf>
    <xf numFmtId="0" fontId="8" fillId="9" borderId="69" xfId="3" applyFont="1" applyFill="1" applyBorder="1" applyAlignment="1">
      <alignment horizontal="left" vertical="center"/>
    </xf>
    <xf numFmtId="0" fontId="8" fillId="9" borderId="4" xfId="3" applyFont="1" applyFill="1" applyBorder="1" applyAlignment="1">
      <alignment horizontal="left" vertical="center"/>
    </xf>
    <xf numFmtId="0" fontId="8" fillId="9" borderId="17" xfId="3" applyFont="1" applyFill="1" applyBorder="1" applyAlignment="1">
      <alignment horizontal="left" vertical="center"/>
    </xf>
    <xf numFmtId="0" fontId="64" fillId="9" borderId="14" xfId="3" applyFont="1" applyFill="1" applyBorder="1" applyAlignment="1">
      <alignment horizontal="center" vertical="center"/>
    </xf>
    <xf numFmtId="0" fontId="64" fillId="9" borderId="12" xfId="3" applyFont="1" applyFill="1" applyBorder="1" applyAlignment="1">
      <alignment horizontal="center" vertical="center"/>
    </xf>
    <xf numFmtId="0" fontId="8" fillId="9" borderId="14" xfId="3" applyFont="1" applyFill="1" applyBorder="1" applyAlignment="1">
      <alignment horizontal="left" vertical="center" wrapText="1"/>
    </xf>
    <xf numFmtId="0" fontId="8" fillId="9" borderId="12" xfId="3" applyFont="1" applyFill="1" applyBorder="1" applyAlignment="1">
      <alignment horizontal="left" vertical="center" wrapText="1"/>
    </xf>
    <xf numFmtId="0" fontId="75" fillId="3" borderId="51" xfId="3" applyFont="1" applyFill="1" applyBorder="1" applyAlignment="1">
      <alignment horizontal="left" vertical="center"/>
    </xf>
    <xf numFmtId="0" fontId="75" fillId="3" borderId="52" xfId="3" applyFont="1" applyFill="1" applyBorder="1" applyAlignment="1">
      <alignment horizontal="left" vertical="center"/>
    </xf>
    <xf numFmtId="0" fontId="75" fillId="3" borderId="53" xfId="3" applyFont="1" applyFill="1" applyBorder="1" applyAlignment="1">
      <alignment horizontal="left" vertical="center"/>
    </xf>
    <xf numFmtId="178" fontId="7" fillId="21" borderId="8" xfId="3" applyNumberFormat="1" applyFill="1" applyBorder="1" applyAlignment="1">
      <alignment horizontal="left" vertical="center"/>
    </xf>
    <xf numFmtId="178" fontId="7" fillId="21" borderId="9" xfId="3" applyNumberFormat="1" applyFill="1" applyBorder="1" applyAlignment="1">
      <alignment horizontal="left" vertical="center"/>
    </xf>
    <xf numFmtId="183" fontId="7" fillId="16" borderId="8" xfId="3" applyNumberFormat="1" applyFill="1" applyBorder="1" applyAlignment="1">
      <alignment horizontal="left" vertical="center"/>
    </xf>
    <xf numFmtId="183" fontId="7" fillId="16" borderId="9" xfId="3" applyNumberFormat="1" applyFill="1" applyBorder="1" applyAlignment="1">
      <alignment horizontal="left" vertical="center"/>
    </xf>
    <xf numFmtId="183" fontId="7" fillId="16" borderId="15" xfId="3" applyNumberFormat="1" applyFill="1" applyBorder="1" applyAlignment="1">
      <alignment horizontal="left" vertical="center"/>
    </xf>
    <xf numFmtId="183" fontId="7" fillId="21" borderId="8" xfId="3" applyNumberFormat="1" applyFill="1" applyBorder="1" applyAlignment="1">
      <alignment horizontal="left" vertical="center"/>
    </xf>
    <xf numFmtId="183" fontId="7" fillId="21" borderId="9" xfId="3" applyNumberFormat="1" applyFill="1" applyBorder="1" applyAlignment="1">
      <alignment horizontal="left" vertical="center"/>
    </xf>
    <xf numFmtId="183" fontId="7" fillId="21" borderId="15" xfId="3" applyNumberFormat="1" applyFill="1" applyBorder="1" applyAlignment="1">
      <alignment horizontal="left" vertical="center"/>
    </xf>
    <xf numFmtId="188" fontId="7" fillId="16" borderId="8" xfId="3" applyNumberFormat="1" applyFill="1" applyBorder="1" applyAlignment="1">
      <alignment horizontal="left" vertical="center"/>
    </xf>
    <xf numFmtId="188" fontId="7" fillId="16" borderId="9" xfId="3" applyNumberFormat="1" applyFill="1" applyBorder="1" applyAlignment="1">
      <alignment horizontal="left" vertical="center"/>
    </xf>
    <xf numFmtId="188" fontId="7" fillId="16" borderId="15" xfId="3" applyNumberFormat="1" applyFill="1" applyBorder="1" applyAlignment="1">
      <alignment horizontal="left" vertical="center"/>
    </xf>
    <xf numFmtId="192" fontId="7" fillId="21" borderId="8" xfId="3" applyNumberFormat="1" applyFill="1" applyBorder="1" applyAlignment="1">
      <alignment horizontal="left" vertical="center"/>
    </xf>
    <xf numFmtId="192" fontId="7" fillId="21" borderId="9" xfId="3" applyNumberFormat="1" applyFill="1" applyBorder="1" applyAlignment="1">
      <alignment horizontal="left" vertical="center"/>
    </xf>
    <xf numFmtId="192" fontId="7" fillId="21" borderId="15" xfId="3" applyNumberFormat="1" applyFill="1" applyBorder="1" applyAlignment="1">
      <alignment horizontal="left" vertical="center"/>
    </xf>
    <xf numFmtId="182" fontId="7" fillId="20" borderId="8" xfId="3" applyNumberFormat="1" applyFill="1" applyBorder="1" applyAlignment="1">
      <alignment horizontal="left" vertical="center"/>
    </xf>
    <xf numFmtId="182" fontId="7" fillId="20" borderId="9" xfId="3" applyNumberFormat="1" applyFill="1" applyBorder="1" applyAlignment="1">
      <alignment horizontal="left" vertical="center"/>
    </xf>
    <xf numFmtId="182" fontId="7" fillId="20" borderId="15" xfId="3" applyNumberFormat="1" applyFill="1" applyBorder="1" applyAlignment="1">
      <alignment horizontal="left" vertical="center"/>
    </xf>
    <xf numFmtId="184" fontId="7" fillId="16" borderId="8" xfId="3" applyNumberFormat="1" applyFill="1" applyBorder="1" applyAlignment="1">
      <alignment horizontal="left" vertical="center"/>
    </xf>
    <xf numFmtId="184" fontId="7" fillId="16" borderId="9" xfId="3" applyNumberFormat="1" applyFill="1" applyBorder="1" applyAlignment="1">
      <alignment horizontal="left" vertical="center"/>
    </xf>
    <xf numFmtId="184" fontId="7" fillId="16" borderId="15" xfId="3" applyNumberFormat="1" applyFill="1" applyBorder="1" applyAlignment="1">
      <alignment horizontal="left" vertical="center"/>
    </xf>
    <xf numFmtId="190" fontId="7" fillId="9" borderId="8" xfId="3" applyNumberFormat="1" applyFill="1" applyBorder="1" applyAlignment="1">
      <alignment horizontal="left" vertical="center"/>
    </xf>
    <xf numFmtId="190" fontId="7" fillId="9" borderId="9" xfId="3" applyNumberFormat="1" applyFill="1" applyBorder="1" applyAlignment="1">
      <alignment horizontal="left" vertical="center"/>
    </xf>
    <xf numFmtId="178" fontId="7" fillId="20" borderId="8" xfId="3" applyNumberFormat="1" applyFill="1" applyBorder="1" applyAlignment="1">
      <alignment horizontal="left" vertical="center"/>
    </xf>
    <xf numFmtId="178" fontId="7" fillId="20" borderId="9" xfId="3" applyNumberFormat="1" applyFill="1" applyBorder="1" applyAlignment="1">
      <alignment horizontal="left" vertical="center"/>
    </xf>
    <xf numFmtId="176" fontId="7" fillId="20" borderId="8" xfId="3" applyNumberFormat="1" applyFill="1" applyBorder="1" applyAlignment="1">
      <alignment horizontal="left" vertical="center"/>
    </xf>
    <xf numFmtId="176" fontId="7" fillId="20" borderId="9" xfId="3" applyNumberFormat="1" applyFill="1" applyBorder="1" applyAlignment="1">
      <alignment horizontal="left" vertical="center"/>
    </xf>
    <xf numFmtId="191" fontId="7" fillId="16" borderId="8" xfId="3" applyNumberFormat="1" applyFill="1" applyBorder="1" applyAlignment="1">
      <alignment horizontal="left" vertical="center"/>
    </xf>
    <xf numFmtId="191" fontId="7" fillId="16" borderId="9" xfId="3" applyNumberFormat="1" applyFill="1" applyBorder="1" applyAlignment="1">
      <alignment horizontal="left" vertical="center"/>
    </xf>
    <xf numFmtId="177" fontId="7" fillId="20" borderId="8" xfId="3" applyNumberFormat="1" applyFill="1" applyBorder="1" applyAlignment="1">
      <alignment horizontal="left" vertical="center"/>
    </xf>
    <xf numFmtId="177" fontId="7" fillId="20" borderId="9" xfId="3" applyNumberFormat="1" applyFill="1" applyBorder="1" applyAlignment="1">
      <alignment horizontal="left" vertical="center"/>
    </xf>
    <xf numFmtId="179" fontId="7" fillId="16" borderId="8" xfId="3" applyNumberFormat="1" applyFill="1" applyBorder="1" applyAlignment="1">
      <alignment horizontal="left" vertical="center"/>
    </xf>
    <xf numFmtId="179" fontId="7" fillId="16" borderId="9" xfId="3" applyNumberFormat="1" applyFill="1" applyBorder="1" applyAlignment="1">
      <alignment horizontal="left" vertical="center"/>
    </xf>
    <xf numFmtId="180" fontId="7" fillId="16" borderId="8" xfId="3" applyNumberFormat="1" applyFill="1" applyBorder="1" applyAlignment="1">
      <alignment horizontal="left" vertical="center"/>
    </xf>
    <xf numFmtId="180" fontId="7" fillId="16" borderId="9" xfId="3" applyNumberFormat="1" applyFill="1" applyBorder="1" applyAlignment="1">
      <alignment horizontal="left" vertical="center"/>
    </xf>
    <xf numFmtId="190" fontId="7" fillId="20" borderId="8" xfId="3" applyNumberFormat="1" applyFill="1" applyBorder="1" applyAlignment="1">
      <alignment horizontal="left" vertical="center"/>
    </xf>
    <xf numFmtId="190" fontId="7" fillId="20" borderId="9" xfId="3" applyNumberFormat="1" applyFill="1" applyBorder="1" applyAlignment="1">
      <alignment horizontal="left" vertical="center"/>
    </xf>
    <xf numFmtId="176" fontId="7" fillId="16" borderId="8" xfId="3" applyNumberFormat="1" applyFill="1" applyBorder="1" applyAlignment="1">
      <alignment horizontal="left" vertical="center"/>
    </xf>
    <xf numFmtId="0" fontId="0" fillId="0" borderId="9" xfId="0" applyBorder="1"/>
    <xf numFmtId="0" fontId="54" fillId="16" borderId="28" xfId="0" applyFont="1" applyFill="1" applyBorder="1" applyAlignment="1">
      <alignment horizontal="left" vertical="center"/>
    </xf>
    <xf numFmtId="0" fontId="54" fillId="16" borderId="0" xfId="0" applyFont="1" applyFill="1" applyAlignment="1">
      <alignment horizontal="left" vertical="center"/>
    </xf>
    <xf numFmtId="0" fontId="9" fillId="3" borderId="0" xfId="0" applyFont="1" applyFill="1" applyAlignment="1">
      <alignment horizontal="center"/>
    </xf>
    <xf numFmtId="0" fontId="8" fillId="0" borderId="0" xfId="0" applyFont="1" applyAlignment="1">
      <alignment horizontal="center"/>
    </xf>
    <xf numFmtId="0" fontId="8" fillId="0" borderId="55" xfId="3" applyFont="1" applyBorder="1" applyAlignment="1">
      <alignment horizontal="center"/>
    </xf>
    <xf numFmtId="0" fontId="8" fillId="0" borderId="56" xfId="3" applyFont="1" applyBorder="1" applyAlignment="1">
      <alignment horizontal="center"/>
    </xf>
    <xf numFmtId="0" fontId="8" fillId="0" borderId="57" xfId="3" applyFont="1" applyBorder="1" applyAlignment="1">
      <alignment horizontal="center"/>
    </xf>
    <xf numFmtId="0" fontId="81" fillId="4" borderId="72" xfId="3" applyFont="1" applyFill="1" applyBorder="1" applyAlignment="1">
      <alignment horizontal="center" vertical="top" shrinkToFit="1"/>
    </xf>
    <xf numFmtId="0" fontId="7" fillId="4" borderId="71" xfId="3" applyFill="1" applyBorder="1" applyAlignment="1">
      <alignment horizontal="center" vertical="top" shrinkToFit="1"/>
    </xf>
    <xf numFmtId="0" fontId="7" fillId="4" borderId="70" xfId="3" applyFill="1" applyBorder="1" applyAlignment="1">
      <alignment horizontal="center" vertical="top" shrinkToFit="1"/>
    </xf>
    <xf numFmtId="0" fontId="81" fillId="4" borderId="55" xfId="3" applyFont="1" applyFill="1" applyBorder="1" applyAlignment="1">
      <alignment horizontal="center"/>
    </xf>
    <xf numFmtId="0" fontId="81" fillId="4" borderId="56" xfId="3" applyFont="1" applyFill="1" applyBorder="1" applyAlignment="1">
      <alignment horizontal="center"/>
    </xf>
    <xf numFmtId="0" fontId="81" fillId="4" borderId="57" xfId="3" applyFont="1" applyFill="1" applyBorder="1" applyAlignment="1">
      <alignment horizontal="center"/>
    </xf>
    <xf numFmtId="0" fontId="8" fillId="0" borderId="64" xfId="3" applyFont="1" applyBorder="1" applyAlignment="1">
      <alignment horizontal="center"/>
    </xf>
    <xf numFmtId="0" fontId="8" fillId="0" borderId="9" xfId="3" applyFont="1" applyBorder="1" applyAlignment="1">
      <alignment horizontal="center"/>
    </xf>
    <xf numFmtId="0" fontId="8" fillId="0" borderId="65" xfId="3" applyFont="1" applyBorder="1" applyAlignment="1">
      <alignment horizontal="center"/>
    </xf>
    <xf numFmtId="0" fontId="81" fillId="4" borderId="53" xfId="3" applyFont="1" applyFill="1" applyBorder="1" applyAlignment="1">
      <alignment horizontal="center"/>
    </xf>
    <xf numFmtId="0" fontId="7" fillId="4" borderId="61" xfId="3" applyFill="1" applyBorder="1" applyAlignment="1">
      <alignment horizontal="center"/>
    </xf>
    <xf numFmtId="0" fontId="7" fillId="4" borderId="62" xfId="3" applyFill="1" applyBorder="1" applyAlignment="1">
      <alignment horizontal="center"/>
    </xf>
    <xf numFmtId="0" fontId="8" fillId="4" borderId="60" xfId="3" applyFont="1" applyFill="1" applyBorder="1"/>
    <xf numFmtId="0" fontId="8" fillId="4" borderId="62" xfId="3" applyFont="1" applyFill="1" applyBorder="1"/>
    <xf numFmtId="0" fontId="8" fillId="0" borderId="15" xfId="3" applyFont="1" applyBorder="1" applyAlignment="1">
      <alignment horizontal="center"/>
    </xf>
    <xf numFmtId="0" fontId="8" fillId="0" borderId="8" xfId="3" applyFont="1" applyBorder="1" applyAlignment="1">
      <alignment horizontal="center"/>
    </xf>
    <xf numFmtId="0" fontId="8" fillId="4" borderId="55" xfId="0" applyFont="1" applyFill="1" applyBorder="1" applyAlignment="1">
      <alignment horizontal="center"/>
    </xf>
    <xf numFmtId="0" fontId="8" fillId="4" borderId="56" xfId="0" applyFont="1" applyFill="1" applyBorder="1" applyAlignment="1">
      <alignment horizontal="center"/>
    </xf>
    <xf numFmtId="0" fontId="8" fillId="4" borderId="57" xfId="0" applyFont="1" applyFill="1" applyBorder="1" applyAlignment="1">
      <alignment horizontal="center"/>
    </xf>
    <xf numFmtId="0" fontId="8" fillId="4" borderId="47" xfId="0" applyFont="1" applyFill="1" applyBorder="1" applyAlignment="1">
      <alignment horizontal="center"/>
    </xf>
    <xf numFmtId="0" fontId="8" fillId="4" borderId="48" xfId="0" applyFont="1" applyFill="1" applyBorder="1" applyAlignment="1">
      <alignment horizontal="center"/>
    </xf>
    <xf numFmtId="0" fontId="8" fillId="4" borderId="20" xfId="0" applyFont="1" applyFill="1" applyBorder="1" applyAlignment="1">
      <alignment horizontal="center"/>
    </xf>
    <xf numFmtId="0" fontId="8" fillId="24" borderId="0" xfId="0" applyFont="1" applyFill="1" applyAlignment="1">
      <alignment horizontal="center"/>
    </xf>
    <xf numFmtId="0" fontId="18" fillId="3" borderId="0" xfId="0" applyFont="1" applyFill="1" applyAlignment="1">
      <alignment horizontal="left"/>
    </xf>
    <xf numFmtId="0" fontId="8" fillId="0" borderId="0" xfId="0" applyFont="1" applyAlignment="1">
      <alignment horizontal="left" wrapText="1"/>
    </xf>
    <xf numFmtId="170" fontId="8" fillId="4" borderId="55" xfId="0" applyNumberFormat="1" applyFont="1" applyFill="1" applyBorder="1" applyAlignment="1">
      <alignment horizontal="center"/>
    </xf>
    <xf numFmtId="170" fontId="8" fillId="4" borderId="56" xfId="0" applyNumberFormat="1" applyFont="1" applyFill="1" applyBorder="1" applyAlignment="1">
      <alignment horizontal="center"/>
    </xf>
    <xf numFmtId="170" fontId="8" fillId="4" borderId="57" xfId="0" applyNumberFormat="1" applyFont="1" applyFill="1" applyBorder="1" applyAlignment="1">
      <alignment horizontal="center"/>
    </xf>
  </cellXfs>
  <cellStyles count="25">
    <cellStyle name="Calculation" xfId="23" builtinId="22"/>
    <cellStyle name="Comma" xfId="1" builtinId="3"/>
    <cellStyle name="Comma 2" xfId="5" xr:uid="{00000000-0005-0000-0000-000001000000}"/>
    <cellStyle name="Comma 2 2" xfId="14" xr:uid="{00000000-0005-0000-0000-000001000000}"/>
    <cellStyle name="Comma 2 3" xfId="18" xr:uid="{00000000-0005-0000-0000-000001000000}"/>
    <cellStyle name="Comma 3" xfId="12" xr:uid="{00000000-0005-0000-0000-000037000000}"/>
    <cellStyle name="Good" xfId="9" builtinId="26"/>
    <cellStyle name="Hyperlink" xfId="2" builtinId="8"/>
    <cellStyle name="Hyperlink 2" xfId="7" xr:uid="{F9D1D541-CD73-4814-9B85-00B709F7B410}"/>
    <cellStyle name="Input" xfId="10" builtinId="20"/>
    <cellStyle name="Neutral" xfId="22" builtinId="28"/>
    <cellStyle name="Normal" xfId="0" builtinId="0"/>
    <cellStyle name="Normal 2" xfId="3" xr:uid="{00000000-0005-0000-0000-000004000000}"/>
    <cellStyle name="Normal 3" xfId="4" xr:uid="{00000000-0005-0000-0000-000005000000}"/>
    <cellStyle name="Normal 3 2" xfId="13" xr:uid="{00000000-0005-0000-0000-000005000000}"/>
    <cellStyle name="Normal 3 3" xfId="17" xr:uid="{00000000-0005-0000-0000-000005000000}"/>
    <cellStyle name="Normal 4" xfId="6" xr:uid="{CDE138C0-FC15-4C2D-B327-45A7741F15BA}"/>
    <cellStyle name="Normal 4 2" xfId="15" xr:uid="{CDE138C0-FC15-4C2D-B327-45A7741F15BA}"/>
    <cellStyle name="Normal 4 3" xfId="19" xr:uid="{CDE138C0-FC15-4C2D-B327-45A7741F15BA}"/>
    <cellStyle name="Normal 5" xfId="8" xr:uid="{C3EAB774-DFF2-4E39-8A42-95F6F7C23D18}"/>
    <cellStyle name="Normal 5 2" xfId="16" xr:uid="{C3EAB774-DFF2-4E39-8A42-95F6F7C23D18}"/>
    <cellStyle name="Normal 5 3" xfId="20" xr:uid="{C3EAB774-DFF2-4E39-8A42-95F6F7C23D18}"/>
    <cellStyle name="Normal 6" xfId="24" xr:uid="{D87B6CF3-F7DC-4ADD-AEBF-D74FE2034E7F}"/>
    <cellStyle name="Output" xfId="11" builtinId="21"/>
    <cellStyle name="Percent" xfId="21" builtinId="5"/>
  </cellStyles>
  <dxfs count="180">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2" formatCode="0.00"/>
    </dxf>
    <dxf>
      <numFmt numFmtId="14" formatCode="0.00%"/>
    </dxf>
    <dxf>
      <font>
        <b val="0"/>
        <i val="0"/>
        <strike val="0"/>
        <condense val="0"/>
        <extend val="0"/>
        <outline val="0"/>
        <shadow val="0"/>
        <u val="none"/>
        <vertAlign val="baseline"/>
        <sz val="10"/>
        <color rgb="FFFF0000"/>
        <name val="Arial"/>
        <family val="2"/>
        <scheme val="none"/>
      </font>
      <numFmt numFmtId="169" formatCode="0.0"/>
    </dxf>
    <dxf>
      <font>
        <b val="0"/>
        <i val="0"/>
        <strike val="0"/>
        <condense val="0"/>
        <extend val="0"/>
        <outline val="0"/>
        <shadow val="0"/>
        <u val="none"/>
        <vertAlign val="baseline"/>
        <sz val="10"/>
        <color rgb="FFFF0000"/>
        <name val="Arial"/>
        <family val="2"/>
        <scheme val="none"/>
      </font>
      <numFmt numFmtId="169" formatCode="0.0"/>
    </dxf>
    <dxf>
      <numFmt numFmtId="186" formatCode="0.0%"/>
    </dxf>
    <dxf>
      <numFmt numFmtId="0" formatCode="General"/>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0" formatCode="General"/>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0" formatCode="General"/>
    </dxf>
    <dxf>
      <numFmt numFmtId="168" formatCode="0.000"/>
    </dxf>
    <dxf>
      <numFmt numFmtId="168" formatCode="0.000"/>
    </dxf>
    <dxf>
      <numFmt numFmtId="168" formatCode="0.000"/>
    </dxf>
    <dxf>
      <numFmt numFmtId="168" formatCode="0.000"/>
      <alignment horizontal="right" vertical="bottom" textRotation="0" wrapText="0" indent="0" justifyLastLine="0" shrinkToFit="0" readingOrder="0"/>
    </dxf>
    <dxf>
      <numFmt numFmtId="168" formatCode="0.000"/>
      <alignment horizontal="general" vertical="bottom" textRotation="0" wrapText="0" indent="0" justifyLastLine="0" shrinkToFit="0" readingOrder="0"/>
    </dxf>
    <dxf>
      <numFmt numFmtId="168" formatCode="0.000"/>
    </dxf>
    <dxf>
      <numFmt numFmtId="168" formatCode="0.000"/>
    </dxf>
    <dxf>
      <numFmt numFmtId="168" formatCode="0.000"/>
    </dxf>
    <dxf>
      <numFmt numFmtId="2" formatCode="0.00"/>
    </dxf>
    <dxf>
      <numFmt numFmtId="168" formatCode="0.000"/>
    </dxf>
    <dxf>
      <numFmt numFmtId="168" formatCode="0.000"/>
    </dxf>
    <dxf>
      <numFmt numFmtId="168" formatCode="0.000"/>
    </dxf>
    <dxf>
      <numFmt numFmtId="168" formatCode="0.000"/>
    </dxf>
    <dxf>
      <numFmt numFmtId="2" formatCode="0.00"/>
    </dxf>
    <dxf>
      <numFmt numFmtId="168" formatCode="0.000"/>
    </dxf>
    <dxf>
      <numFmt numFmtId="168" formatCode="0.000"/>
    </dxf>
    <dxf>
      <numFmt numFmtId="2" formatCode="0.00"/>
    </dxf>
    <dxf>
      <numFmt numFmtId="2" formatCode="0.00"/>
    </dxf>
    <dxf>
      <numFmt numFmtId="2" formatCode="0.00"/>
    </dxf>
    <dxf>
      <numFmt numFmtId="2" formatCode="0.00"/>
    </dxf>
    <dxf>
      <numFmt numFmtId="16" formatCode="##0.0E+0"/>
    </dxf>
    <dxf>
      <numFmt numFmtId="16" formatCode="##0.0E+0"/>
    </dxf>
    <dxf>
      <numFmt numFmtId="193" formatCode="##0.00E+0"/>
    </dxf>
    <dxf>
      <numFmt numFmtId="2" formatCode="0.00"/>
    </dxf>
    <dxf>
      <numFmt numFmtId="168" formatCode="0.000"/>
    </dxf>
    <dxf>
      <numFmt numFmtId="0" formatCode="General"/>
    </dxf>
    <dxf>
      <numFmt numFmtId="2" formatCode="0.00"/>
    </dxf>
    <dxf>
      <numFmt numFmtId="2" formatCode="0.0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numFmt numFmtId="167" formatCode="0.0000"/>
      <fill>
        <patternFill patternType="solid">
          <fgColor indexed="64"/>
          <bgColor rgb="FFFFFFCC"/>
        </patternFill>
      </fill>
      <alignment horizontal="center" vertical="center" textRotation="0" wrapText="1" indent="0" justifyLastLine="0" shrinkToFit="0" readingOrder="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2" formatCode="0.00"/>
    </dxf>
    <dxf>
      <numFmt numFmtId="14" formatCode="0.00%"/>
    </dxf>
    <dxf>
      <font>
        <b val="0"/>
        <i val="0"/>
        <strike val="0"/>
        <condense val="0"/>
        <extend val="0"/>
        <outline val="0"/>
        <shadow val="0"/>
        <u val="none"/>
        <vertAlign val="baseline"/>
        <sz val="10"/>
        <color rgb="FFFF0000"/>
        <name val="Arial"/>
        <family val="2"/>
        <scheme val="none"/>
      </font>
      <numFmt numFmtId="169" formatCode="0.0"/>
    </dxf>
    <dxf>
      <font>
        <b val="0"/>
        <i val="0"/>
        <strike val="0"/>
        <condense val="0"/>
        <extend val="0"/>
        <outline val="0"/>
        <shadow val="0"/>
        <u val="none"/>
        <vertAlign val="baseline"/>
        <sz val="10"/>
        <color rgb="FFFF0000"/>
        <name val="Arial"/>
        <family val="2"/>
        <scheme val="none"/>
      </font>
      <numFmt numFmtId="169" formatCode="0.0"/>
    </dxf>
    <dxf>
      <numFmt numFmtId="186" formatCode="0.0%"/>
    </dxf>
    <dxf>
      <numFmt numFmtId="0" formatCode="General"/>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0" formatCode="General"/>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0" formatCode="General"/>
    </dxf>
    <dxf>
      <numFmt numFmtId="168" formatCode="0.000"/>
    </dxf>
    <dxf>
      <numFmt numFmtId="168" formatCode="0.000"/>
    </dxf>
    <dxf>
      <numFmt numFmtId="168" formatCode="0.000"/>
    </dxf>
    <dxf>
      <numFmt numFmtId="168" formatCode="0.000"/>
      <alignment horizontal="right" vertical="bottom" textRotation="0" wrapText="0" indent="0" justifyLastLine="0" shrinkToFit="0" readingOrder="0"/>
    </dxf>
    <dxf>
      <numFmt numFmtId="168" formatCode="0.000"/>
      <alignment horizontal="general" vertical="bottom" textRotation="0" wrapText="0" indent="0" justifyLastLine="0" shrinkToFit="0" readingOrder="0"/>
    </dxf>
    <dxf>
      <numFmt numFmtId="168" formatCode="0.000"/>
    </dxf>
    <dxf>
      <numFmt numFmtId="168" formatCode="0.000"/>
    </dxf>
    <dxf>
      <numFmt numFmtId="168" formatCode="0.000"/>
    </dxf>
    <dxf>
      <numFmt numFmtId="2" formatCode="0.00"/>
    </dxf>
    <dxf>
      <numFmt numFmtId="168" formatCode="0.000"/>
    </dxf>
    <dxf>
      <numFmt numFmtId="168" formatCode="0.000"/>
    </dxf>
    <dxf>
      <numFmt numFmtId="168" formatCode="0.000"/>
    </dxf>
    <dxf>
      <numFmt numFmtId="168" formatCode="0.000"/>
    </dxf>
    <dxf>
      <numFmt numFmtId="2" formatCode="0.00"/>
    </dxf>
    <dxf>
      <numFmt numFmtId="168" formatCode="0.000"/>
    </dxf>
    <dxf>
      <numFmt numFmtId="168" formatCode="0.000"/>
    </dxf>
    <dxf>
      <numFmt numFmtId="2" formatCode="0.00"/>
    </dxf>
    <dxf>
      <numFmt numFmtId="2" formatCode="0.00"/>
    </dxf>
    <dxf>
      <numFmt numFmtId="2" formatCode="0.00"/>
    </dxf>
    <dxf>
      <numFmt numFmtId="2" formatCode="0.00"/>
    </dxf>
    <dxf>
      <numFmt numFmtId="16" formatCode="##0.0E+0"/>
    </dxf>
    <dxf>
      <numFmt numFmtId="16" formatCode="##0.0E+0"/>
    </dxf>
    <dxf>
      <numFmt numFmtId="193" formatCode="##0.00E+0"/>
    </dxf>
    <dxf>
      <numFmt numFmtId="2" formatCode="0.00"/>
    </dxf>
    <dxf>
      <numFmt numFmtId="0" formatCode="General"/>
    </dxf>
    <dxf>
      <numFmt numFmtId="2" formatCode="0.00"/>
    </dxf>
    <dxf>
      <numFmt numFmtId="2" formatCode="0.0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numFmt numFmtId="167" formatCode="0.0000"/>
      <fill>
        <patternFill patternType="solid">
          <fgColor indexed="64"/>
          <bgColor rgb="FFFFFFCC"/>
        </patternFill>
      </fill>
      <alignment horizontal="center" vertical="center" textRotation="0" wrapText="1" indent="0" justifyLastLine="0" shrinkToFit="0" readingOrder="0"/>
    </dxf>
    <dxf>
      <font>
        <color theme="0"/>
      </font>
      <fill>
        <patternFill patternType="solid">
          <bgColor theme="0"/>
        </patternFill>
      </fill>
    </dxf>
    <dxf>
      <font>
        <color theme="0"/>
      </font>
      <fill>
        <patternFill patternType="solid">
          <bgColor theme="0"/>
        </patternFill>
      </fill>
    </dxf>
    <dxf>
      <font>
        <b/>
        <i val="0"/>
      </font>
      <fill>
        <patternFill>
          <bgColor rgb="FFFF0000"/>
        </patternFill>
      </fill>
    </dxf>
    <dxf>
      <font>
        <b/>
        <i val="0"/>
        <condense val="0"/>
        <extend val="0"/>
        <color indexed="10"/>
      </font>
    </dxf>
    <dxf>
      <font>
        <b/>
        <i val="0"/>
        <condense val="0"/>
        <extend val="0"/>
        <color indexed="10"/>
      </font>
    </dxf>
    <dxf>
      <font>
        <color rgb="FFFF0000"/>
      </font>
    </dxf>
    <dxf>
      <font>
        <b/>
        <i val="0"/>
        <color rgb="FFFF0000"/>
      </font>
    </dxf>
    <dxf>
      <font>
        <b/>
        <i val="0"/>
        <condense val="0"/>
        <extend val="0"/>
        <color indexed="10"/>
      </font>
    </dxf>
    <dxf>
      <font>
        <strike/>
        <color theme="0"/>
      </font>
      <fill>
        <patternFill>
          <bgColor theme="0"/>
        </patternFill>
      </fill>
    </dxf>
    <dxf>
      <font>
        <color theme="0"/>
      </font>
    </dxf>
    <dxf>
      <font>
        <color theme="0"/>
      </font>
      <fill>
        <patternFill>
          <bgColor theme="0"/>
        </patternFill>
      </fill>
      <border>
        <left/>
        <right/>
        <top/>
        <bottom/>
      </border>
    </dxf>
    <dxf>
      <font>
        <color theme="0"/>
      </font>
      <fill>
        <patternFill patternType="none">
          <bgColor auto="1"/>
        </patternFill>
      </fill>
      <border>
        <left/>
        <right style="thin">
          <color theme="0"/>
        </right>
        <top style="thin">
          <color theme="0"/>
        </top>
        <bottom style="thin">
          <color theme="0"/>
        </bottom>
      </border>
    </dxf>
    <dxf>
      <font>
        <b/>
        <i val="0"/>
      </font>
      <fill>
        <patternFill>
          <bgColor rgb="FFFF0000"/>
        </patternFill>
      </fill>
    </dxf>
    <dxf>
      <font>
        <b/>
        <i val="0"/>
      </font>
      <fill>
        <patternFill>
          <bgColor rgb="FFFF0000"/>
        </patternFill>
      </fill>
    </dxf>
    <dxf>
      <font>
        <color theme="0"/>
      </font>
      <fill>
        <patternFill patternType="solid">
          <bgColor theme="0"/>
        </patternFill>
      </fill>
    </dxf>
    <dxf>
      <font>
        <color theme="0"/>
      </font>
      <fill>
        <patternFill>
          <bgColor theme="0"/>
        </patternFill>
      </fill>
    </dxf>
    <dxf>
      <font>
        <strike/>
        <color theme="0"/>
      </font>
      <fill>
        <patternFill>
          <bgColor theme="0"/>
        </patternFill>
      </fill>
    </dxf>
    <dxf>
      <font>
        <strike/>
        <color theme="0"/>
      </font>
      <fill>
        <patternFill>
          <bgColor theme="0"/>
        </patternFill>
      </fill>
    </dxf>
    <dxf>
      <font>
        <strike/>
        <color theme="0"/>
      </font>
      <fill>
        <patternFill>
          <bgColor theme="0"/>
        </patternFill>
      </fill>
    </dxf>
    <dxf>
      <font>
        <strike/>
        <color theme="0"/>
      </font>
      <fill>
        <patternFill>
          <bgColor theme="0"/>
        </patternFill>
      </fill>
    </dxf>
    <dxf>
      <font>
        <strike/>
        <color theme="0"/>
      </font>
      <fill>
        <patternFill>
          <bgColor theme="0"/>
        </patternFill>
      </fill>
    </dxf>
    <dxf>
      <font>
        <color theme="0"/>
      </font>
      <fill>
        <patternFill>
          <bgColor theme="0"/>
        </patternFill>
      </fill>
    </dxf>
    <dxf>
      <font>
        <strike val="0"/>
        <color theme="0"/>
      </font>
      <fill>
        <patternFill>
          <bgColor theme="0"/>
        </patternFill>
      </fill>
    </dxf>
    <dxf>
      <fill>
        <patternFill>
          <bgColor theme="0" tint="-0.499984740745262"/>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condense val="0"/>
        <extend val="0"/>
        <color indexed="10"/>
      </font>
    </dxf>
    <dxf>
      <font>
        <b/>
        <i val="0"/>
        <condense val="0"/>
        <extend val="0"/>
        <color indexed="10"/>
      </font>
    </dxf>
    <dxf>
      <fill>
        <patternFill>
          <bgColor rgb="FFFFC000"/>
        </patternFill>
      </fill>
    </dxf>
    <dxf>
      <font>
        <b/>
        <i val="0"/>
        <color rgb="FFFF0000"/>
      </font>
      <fill>
        <patternFill>
          <bgColor rgb="FFFFFF00"/>
        </patternFill>
      </fill>
    </dxf>
    <dxf>
      <fill>
        <patternFill>
          <bgColor rgb="FFFFC000"/>
        </patternFill>
      </fill>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s>
  <tableStyles count="0" defaultTableStyle="TableStyleMedium9" defaultPivotStyle="PivotStyleLight16"/>
  <colors>
    <mruColors>
      <color rgb="FFFF9900"/>
      <color rgb="FF0000FF"/>
      <color rgb="FFC0C0C0"/>
      <color rgb="FFC00000"/>
      <color rgb="FFCC00FF"/>
      <color rgb="FFCCFFFF"/>
      <color rgb="FFFFFFCC"/>
      <color rgb="FFFF00FF"/>
      <color rgb="FF99CC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2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I</a:t>
            </a:r>
            <a:r>
              <a:rPr lang="en-US" sz="1800" b="1" i="0" u="none" strike="noStrike" baseline="-25000"/>
              <a:t>OUT</a:t>
            </a:r>
            <a:r>
              <a:rPr lang="en-US" sz="1800" b="1" i="0" u="none" strike="noStrike" baseline="0"/>
              <a:t> = I</a:t>
            </a:r>
            <a:r>
              <a:rPr lang="en-US" sz="1800" b="1" i="0" u="none" strike="noStrike" baseline="-25000"/>
              <a:t>OUT(max)</a:t>
            </a:r>
            <a:endParaRPr lang="en-US" sz="1800">
              <a:latin typeface="Arial" pitchFamily="34" charset="0"/>
              <a:cs typeface="Arial" pitchFamily="34" charset="0"/>
            </a:endParaRPr>
          </a:p>
        </c:rich>
      </c:tx>
      <c:layout>
        <c:manualLayout>
          <c:xMode val="edge"/>
          <c:yMode val="edge"/>
          <c:x val="8.6461554556559683E-2"/>
          <c:y val="5.1078541245190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31750">
              <a:solidFill>
                <a:srgbClr val="FF0000"/>
              </a:solidFill>
              <a:prstDash val="solid"/>
            </a:ln>
          </c:spPr>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Calculations'!$BO$9:$BO$209</c:f>
              <c:numCache>
                <c:formatCode>0.00</c:formatCode>
                <c:ptCount val="201"/>
                <c:pt idx="0">
                  <c:v>95.549377136149715</c:v>
                </c:pt>
                <c:pt idx="1">
                  <c:v>95.532263889966728</c:v>
                </c:pt>
                <c:pt idx="2">
                  <c:v>95.515110946792703</c:v>
                </c:pt>
                <c:pt idx="3">
                  <c:v>95.497921563735773</c:v>
                </c:pt>
                <c:pt idx="4">
                  <c:v>95.480698874935015</c:v>
                </c:pt>
                <c:pt idx="5">
                  <c:v>95.46344589523342</c:v>
                </c:pt>
                <c:pt idx="6">
                  <c:v>95.446165523831439</c:v>
                </c:pt>
                <c:pt idx="7">
                  <c:v>95.428860547907206</c:v>
                </c:pt>
                <c:pt idx="8">
                  <c:v>95.411533646191657</c:v>
                </c:pt>
                <c:pt idx="9">
                  <c:v>95.394187392488902</c:v>
                </c:pt>
                <c:pt idx="10">
                  <c:v>95.37682425913394</c:v>
                </c:pt>
                <c:pt idx="11">
                  <c:v>95.359446620381874</c:v>
                </c:pt>
                <c:pt idx="12">
                  <c:v>95.342056755723192</c:v>
                </c:pt>
                <c:pt idx="13">
                  <c:v>95.324656853121752</c:v>
                </c:pt>
                <c:pt idx="14">
                  <c:v>95.307249012172193</c:v>
                </c:pt>
                <c:pt idx="15">
                  <c:v>95.289835247175219</c:v>
                </c:pt>
                <c:pt idx="16">
                  <c:v>95.272417490129016</c:v>
                </c:pt>
                <c:pt idx="17">
                  <c:v>95.254997593636375</c:v>
                </c:pt>
                <c:pt idx="18">
                  <c:v>95.237577333727103</c:v>
                </c:pt>
                <c:pt idx="19">
                  <c:v>95.220158412596007</c:v>
                </c:pt>
                <c:pt idx="20">
                  <c:v>95.202742461257046</c:v>
                </c:pt>
                <c:pt idx="21">
                  <c:v>95.185331042114257</c:v>
                </c:pt>
                <c:pt idx="22">
                  <c:v>95.167925651451057</c:v>
                </c:pt>
                <c:pt idx="23">
                  <c:v>95.150527721838614</c:v>
                </c:pt>
                <c:pt idx="24">
                  <c:v>95.133138624465204</c:v>
                </c:pt>
                <c:pt idx="25">
                  <c:v>95.11575967138802</c:v>
                </c:pt>
                <c:pt idx="26">
                  <c:v>95.09839211770911</c:v>
                </c:pt>
                <c:pt idx="27">
                  <c:v>95.081037163677209</c:v>
                </c:pt>
                <c:pt idx="28">
                  <c:v>95.063695956717481</c:v>
                </c:pt>
                <c:pt idx="29">
                  <c:v>95.046369593390949</c:v>
                </c:pt>
                <c:pt idx="30">
                  <c:v>95.029059121285471</c:v>
                </c:pt>
                <c:pt idx="31">
                  <c:v>95.011765540840386</c:v>
                </c:pt>
                <c:pt idx="32">
                  <c:v>94.99448980710666</c:v>
                </c:pt>
                <c:pt idx="33">
                  <c:v>94.977232831444454</c:v>
                </c:pt>
                <c:pt idx="34">
                  <c:v>94.959995483160171</c:v>
                </c:pt>
                <c:pt idx="35">
                  <c:v>94.942778591084732</c:v>
                </c:pt>
                <c:pt idx="36">
                  <c:v>94.925582945095016</c:v>
                </c:pt>
                <c:pt idx="37">
                  <c:v>94.908409297580505</c:v>
                </c:pt>
                <c:pt idx="38">
                  <c:v>94.89125836485654</c:v>
                </c:pt>
                <c:pt idx="39">
                  <c:v>94.874130828526404</c:v>
                </c:pt>
                <c:pt idx="40">
                  <c:v>94.85702733679372</c:v>
                </c:pt>
                <c:pt idx="41">
                  <c:v>94.839948505726966</c:v>
                </c:pt>
                <c:pt idx="42">
                  <c:v>94.822894920477651</c:v>
                </c:pt>
                <c:pt idx="43">
                  <c:v>94.805867136453983</c:v>
                </c:pt>
                <c:pt idx="44">
                  <c:v>94.788865680451295</c:v>
                </c:pt>
                <c:pt idx="45">
                  <c:v>94.771891051741136</c:v>
                </c:pt>
                <c:pt idx="46">
                  <c:v>94.754943723120022</c:v>
                </c:pt>
                <c:pt idx="47">
                  <c:v>94.738024141919936</c:v>
                </c:pt>
                <c:pt idx="48">
                  <c:v>94.721132730981111</c:v>
                </c:pt>
                <c:pt idx="49">
                  <c:v>94.704269889589369</c:v>
                </c:pt>
                <c:pt idx="50">
                  <c:v>94.687435994378674</c:v>
                </c:pt>
                <c:pt idx="51">
                  <c:v>94.670631400200222</c:v>
                </c:pt>
                <c:pt idx="52">
                  <c:v>94.653856440959743</c:v>
                </c:pt>
                <c:pt idx="53">
                  <c:v>94.637111430423587</c:v>
                </c:pt>
                <c:pt idx="54">
                  <c:v>94.620396662995148</c:v>
                </c:pt>
                <c:pt idx="55">
                  <c:v>94.603712414462677</c:v>
                </c:pt>
                <c:pt idx="56">
                  <c:v>94.587058942719167</c:v>
                </c:pt>
                <c:pt idx="57">
                  <c:v>94.570436488455982</c:v>
                </c:pt>
                <c:pt idx="58">
                  <c:v>94.553845275830568</c:v>
                </c:pt>
                <c:pt idx="59">
                  <c:v>94.537285513109723</c:v>
                </c:pt>
                <c:pt idx="60">
                  <c:v>94.520757393288861</c:v>
                </c:pt>
                <c:pt idx="61">
                  <c:v>94.504261094688616</c:v>
                </c:pt>
                <c:pt idx="62">
                  <c:v>94.487796781529269</c:v>
                </c:pt>
                <c:pt idx="63">
                  <c:v>94.471364604484052</c:v>
                </c:pt>
                <c:pt idx="64">
                  <c:v>94.454964701211992</c:v>
                </c:pt>
                <c:pt idx="65">
                  <c:v>94.438597196871086</c:v>
                </c:pt>
                <c:pt idx="66">
                  <c:v>94.422262204612551</c:v>
                </c:pt>
                <c:pt idx="67">
                  <c:v>94.405959826056929</c:v>
                </c:pt>
                <c:pt idx="68">
                  <c:v>94.38969015175249</c:v>
                </c:pt>
                <c:pt idx="69">
                  <c:v>94.373453261616874</c:v>
                </c:pt>
                <c:pt idx="70">
                  <c:v>94.357249225362452</c:v>
                </c:pt>
                <c:pt idx="71">
                  <c:v>94.341078102905968</c:v>
                </c:pt>
                <c:pt idx="72">
                  <c:v>94.324939944763088</c:v>
                </c:pt>
                <c:pt idx="73">
                  <c:v>94.308834792428613</c:v>
                </c:pt>
                <c:pt idx="74">
                  <c:v>94.292762678742449</c:v>
                </c:pt>
                <c:pt idx="75">
                  <c:v>94.276723628242337</c:v>
                </c:pt>
                <c:pt idx="76">
                  <c:v>94.260717657503506</c:v>
                </c:pt>
                <c:pt idx="77">
                  <c:v>94.244744775465847</c:v>
                </c:pt>
                <c:pt idx="78">
                  <c:v>94.228804983749185</c:v>
                </c:pt>
                <c:pt idx="79">
                  <c:v>94.212898276956778</c:v>
                </c:pt>
                <c:pt idx="80">
                  <c:v>94.197024642967918</c:v>
                </c:pt>
                <c:pt idx="81">
                  <c:v>94.181184063219547</c:v>
                </c:pt>
                <c:pt idx="82">
                  <c:v>94.165376512977744</c:v>
                </c:pt>
                <c:pt idx="83">
                  <c:v>94.149601961599117</c:v>
                </c:pt>
                <c:pt idx="84">
                  <c:v>94.133860372782678</c:v>
                </c:pt>
                <c:pt idx="85">
                  <c:v>94.118151704812476</c:v>
                </c:pt>
                <c:pt idx="86">
                  <c:v>94.102475910791313</c:v>
                </c:pt>
                <c:pt idx="87">
                  <c:v>94.086832938865825</c:v>
                </c:pt>
                <c:pt idx="88">
                  <c:v>94.071222732443502</c:v>
                </c:pt>
                <c:pt idx="89">
                  <c:v>94.055645230401524</c:v>
                </c:pt>
                <c:pt idx="90">
                  <c:v>94.040100367288105</c:v>
                </c:pt>
                <c:pt idx="91">
                  <c:v>94.024588073516355</c:v>
                </c:pt>
                <c:pt idx="92">
                  <c:v>94.009108275551071</c:v>
                </c:pt>
                <c:pt idx="93">
                  <c:v>93.993660896088684</c:v>
                </c:pt>
                <c:pt idx="94">
                  <c:v>93.978245854230579</c:v>
                </c:pt>
                <c:pt idx="95">
                  <c:v>93.962863065650055</c:v>
                </c:pt>
                <c:pt idx="96">
                  <c:v>93.947512442753165</c:v>
                </c:pt>
                <c:pt idx="97">
                  <c:v>93.932193894833617</c:v>
                </c:pt>
                <c:pt idx="98">
                  <c:v>93.916907328222067</c:v>
                </c:pt>
                <c:pt idx="99">
                  <c:v>93.901652646429781</c:v>
                </c:pt>
                <c:pt idx="100">
                  <c:v>93.886429750287149</c:v>
                </c:pt>
                <c:pt idx="101">
                  <c:v>93.871238538076966</c:v>
                </c:pt>
                <c:pt idx="102">
                  <c:v>93.856078905662983</c:v>
                </c:pt>
                <c:pt idx="103">
                  <c:v>93.840950746613487</c:v>
                </c:pt>
                <c:pt idx="104">
                  <c:v>93.825853952320529</c:v>
                </c:pt>
                <c:pt idx="105">
                  <c:v>93.810788412114604</c:v>
                </c:pt>
                <c:pt idx="106">
                  <c:v>93.795754013375131</c:v>
                </c:pt>
                <c:pt idx="107">
                  <c:v>93.780750641636914</c:v>
                </c:pt>
                <c:pt idx="108">
                  <c:v>93.765778180692536</c:v>
                </c:pt>
                <c:pt idx="109">
                  <c:v>93.750836512691038</c:v>
                </c:pt>
                <c:pt idx="110">
                  <c:v>93.735925518232875</c:v>
                </c:pt>
                <c:pt idx="111">
                  <c:v>93.721045076461408</c:v>
                </c:pt>
                <c:pt idx="112">
                  <c:v>93.706195065150894</c:v>
                </c:pt>
                <c:pt idx="113">
                  <c:v>93.691375360791255</c:v>
                </c:pt>
                <c:pt idx="114">
                  <c:v>93.676585838669695</c:v>
                </c:pt>
                <c:pt idx="115">
                  <c:v>93.661826372949122</c:v>
                </c:pt>
                <c:pt idx="116">
                  <c:v>93.647096836743856</c:v>
                </c:pt>
                <c:pt idx="117">
                  <c:v>93.632397102192272</c:v>
                </c:pt>
                <c:pt idx="118">
                  <c:v>93.617727040526759</c:v>
                </c:pt>
                <c:pt idx="119">
                  <c:v>93.60308652214114</c:v>
                </c:pt>
                <c:pt idx="120">
                  <c:v>93.588475416655456</c:v>
                </c:pt>
                <c:pt idx="121">
                  <c:v>93.573893592978251</c:v>
                </c:pt>
                <c:pt idx="122">
                  <c:v>93.559340919366534</c:v>
                </c:pt>
                <c:pt idx="123">
                  <c:v>93.54481726348348</c:v>
                </c:pt>
                <c:pt idx="124">
                  <c:v>93.530322492453863</c:v>
                </c:pt>
                <c:pt idx="125">
                  <c:v>93.515856472917392</c:v>
                </c:pt>
                <c:pt idx="126">
                  <c:v>93.501419071079965</c:v>
                </c:pt>
                <c:pt idx="127">
                  <c:v>93.48701015276302</c:v>
                </c:pt>
                <c:pt idx="128">
                  <c:v>93.472629583450811</c:v>
                </c:pt>
                <c:pt idx="129">
                  <c:v>93.458277228336087</c:v>
                </c:pt>
                <c:pt idx="130">
                  <c:v>93.443952952363645</c:v>
                </c:pt>
                <c:pt idx="131">
                  <c:v>93.429656620272553</c:v>
                </c:pt>
                <c:pt idx="132">
                  <c:v>93.415388096636448</c:v>
                </c:pt>
                <c:pt idx="133">
                  <c:v>93.401147245902294</c:v>
                </c:pt>
                <c:pt idx="134">
                  <c:v>93.386933932427667</c:v>
                </c:pt>
                <c:pt idx="135">
                  <c:v>93.372748020516511</c:v>
                </c:pt>
                <c:pt idx="136">
                  <c:v>93.358589374453373</c:v>
                </c:pt>
                <c:pt idx="137">
                  <c:v>93.34445785853643</c:v>
                </c:pt>
                <c:pt idx="138">
                  <c:v>93.330353337109045</c:v>
                </c:pt>
                <c:pt idx="139">
                  <c:v>93.316275674590059</c:v>
                </c:pt>
                <c:pt idx="140">
                  <c:v>93.302224735502875</c:v>
                </c:pt>
                <c:pt idx="141">
                  <c:v>93.288200384503256</c:v>
                </c:pt>
                <c:pt idx="142">
                  <c:v>93.274202486406182</c:v>
                </c:pt>
                <c:pt idx="143">
                  <c:v>93.260230906211234</c:v>
                </c:pt>
                <c:pt idx="144">
                  <c:v>93.246285509127276</c:v>
                </c:pt>
                <c:pt idx="145">
                  <c:v>93.23236616059576</c:v>
                </c:pt>
                <c:pt idx="146">
                  <c:v>93.218472726313394</c:v>
                </c:pt>
                <c:pt idx="147">
                  <c:v>93.204605072253472</c:v>
                </c:pt>
                <c:pt idx="148">
                  <c:v>93.190763064686479</c:v>
                </c:pt>
                <c:pt idx="149">
                  <c:v>93.176946570199775</c:v>
                </c:pt>
                <c:pt idx="150">
                  <c:v>93.163155455716378</c:v>
                </c:pt>
                <c:pt idx="151">
                  <c:v>93.14938958851296</c:v>
                </c:pt>
                <c:pt idx="152">
                  <c:v>93.135648836236882</c:v>
                </c:pt>
                <c:pt idx="153">
                  <c:v>93.121933066922693</c:v>
                </c:pt>
                <c:pt idx="154">
                  <c:v>93.108242149007651</c:v>
                </c:pt>
                <c:pt idx="155">
                  <c:v>93.094575951346641</c:v>
                </c:pt>
                <c:pt idx="156">
                  <c:v>93.080934343226374</c:v>
                </c:pt>
                <c:pt idx="157">
                  <c:v>93.06731719437883</c:v>
                </c:pt>
                <c:pt idx="158">
                  <c:v>93.053724374994232</c:v>
                </c:pt>
                <c:pt idx="159">
                  <c:v>93.040155755733153</c:v>
                </c:pt>
                <c:pt idx="160">
                  <c:v>93.026611207738256</c:v>
                </c:pt>
                <c:pt idx="161">
                  <c:v>93.013090602645221</c:v>
                </c:pt>
                <c:pt idx="162">
                  <c:v>92.999593812593289</c:v>
                </c:pt>
                <c:pt idx="163">
                  <c:v>92.986120710235198</c:v>
                </c:pt>
                <c:pt idx="164">
                  <c:v>92.97267116874653</c:v>
                </c:pt>
                <c:pt idx="165">
                  <c:v>92.959245061834693</c:v>
                </c:pt>
                <c:pt idx="166">
                  <c:v>92.945842263747238</c:v>
                </c:pt>
                <c:pt idx="167">
                  <c:v>92.932462649279884</c:v>
                </c:pt>
                <c:pt idx="168">
                  <c:v>92.919106093784023</c:v>
                </c:pt>
                <c:pt idx="169">
                  <c:v>92.905772473173627</c:v>
                </c:pt>
                <c:pt idx="170">
                  <c:v>92.892461663932096</c:v>
                </c:pt>
                <c:pt idx="171">
                  <c:v>92.879173543118284</c:v>
                </c:pt>
                <c:pt idx="172">
                  <c:v>92.86590798837247</c:v>
                </c:pt>
                <c:pt idx="173">
                  <c:v>92.852664877921754</c:v>
                </c:pt>
                <c:pt idx="174">
                  <c:v>92.839444090585204</c:v>
                </c:pt>
                <c:pt idx="175">
                  <c:v>92.826245505778488</c:v>
                </c:pt>
                <c:pt idx="176">
                  <c:v>92.813069003518436</c:v>
                </c:pt>
                <c:pt idx="177">
                  <c:v>92.799914464427019</c:v>
                </c:pt>
                <c:pt idx="178">
                  <c:v>92.786781769735157</c:v>
                </c:pt>
                <c:pt idx="179">
                  <c:v>92.773670801286173</c:v>
                </c:pt>
                <c:pt idx="180">
                  <c:v>92.76058144153896</c:v>
                </c:pt>
                <c:pt idx="181">
                  <c:v>92.747513573570956</c:v>
                </c:pt>
                <c:pt idx="182">
                  <c:v>92.73446708108068</c:v>
                </c:pt>
                <c:pt idx="183">
                  <c:v>92.721441848390143</c:v>
                </c:pt>
                <c:pt idx="184">
                  <c:v>92.708437760446998</c:v>
                </c:pt>
                <c:pt idx="185">
                  <c:v>92.695454702826368</c:v>
                </c:pt>
                <c:pt idx="186">
                  <c:v>92.682492561732573</c:v>
                </c:pt>
                <c:pt idx="187">
                  <c:v>92.669551224000486</c:v>
                </c:pt>
                <c:pt idx="188">
                  <c:v>92.656630577096749</c:v>
                </c:pt>
                <c:pt idx="189">
                  <c:v>92.6437305091209</c:v>
                </c:pt>
                <c:pt idx="190">
                  <c:v>92.630850908806082</c:v>
                </c:pt>
                <c:pt idx="191">
                  <c:v>92.617991665519611</c:v>
                </c:pt>
                <c:pt idx="192">
                  <c:v>92.605152669263575</c:v>
                </c:pt>
                <c:pt idx="193">
                  <c:v>92.592333810675029</c:v>
                </c:pt>
                <c:pt idx="194">
                  <c:v>92.579534981026043</c:v>
                </c:pt>
                <c:pt idx="195">
                  <c:v>92.56675607222374</c:v>
                </c:pt>
                <c:pt idx="196">
                  <c:v>92.553996976809941</c:v>
                </c:pt>
                <c:pt idx="197">
                  <c:v>92.541257587960942</c:v>
                </c:pt>
                <c:pt idx="198">
                  <c:v>92.528537799486955</c:v>
                </c:pt>
                <c:pt idx="199">
                  <c:v>92.515837505831371</c:v>
                </c:pt>
                <c:pt idx="200">
                  <c:v>92.503156602070149</c:v>
                </c:pt>
              </c:numCache>
            </c:numRef>
          </c:val>
          <c:smooth val="0"/>
          <c:extLst>
            <c:ext xmlns:c16="http://schemas.microsoft.com/office/drawing/2014/chart" uri="{C3380CC4-5D6E-409C-BE32-E72D297353CC}">
              <c16:uniqueId val="{00000000-AFE0-4300-9BF2-235D7250B897}"/>
            </c:ext>
          </c:extLst>
        </c:ser>
        <c:dLbls>
          <c:showLegendKey val="0"/>
          <c:showVal val="0"/>
          <c:showCatName val="0"/>
          <c:showSerName val="0"/>
          <c:showPercent val="0"/>
          <c:showBubbleSize val="0"/>
        </c:dLbls>
        <c:marker val="1"/>
        <c:smooth val="0"/>
        <c:axId val="196417792"/>
        <c:axId val="196419968"/>
      </c:lineChart>
      <c:lineChart>
        <c:grouping val="standard"/>
        <c:varyColors val="0"/>
        <c:ser>
          <c:idx val="3"/>
          <c:order val="1"/>
          <c:tx>
            <c:v>Inductor Loss</c:v>
          </c:tx>
          <c:spPr>
            <a:ln w="38100">
              <a:solidFill>
                <a:srgbClr val="800080"/>
              </a:solidFill>
              <a:prstDash val="dash"/>
            </a:ln>
          </c:spPr>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Calculations'!$BP$9:$BP$209</c:f>
              <c:numCache>
                <c:formatCode>0.000</c:formatCode>
                <c:ptCount val="201"/>
                <c:pt idx="0">
                  <c:v>1.1664963483138355</c:v>
                </c:pt>
                <c:pt idx="1">
                  <c:v>1.1783832701555945</c:v>
                </c:pt>
                <c:pt idx="2">
                  <c:v>1.1903891876899488</c:v>
                </c:pt>
                <c:pt idx="3">
                  <c:v>1.2025073878656187</c:v>
                </c:pt>
                <c:pt idx="4">
                  <c:v>1.2147313975756808</c:v>
                </c:pt>
                <c:pt idx="5">
                  <c:v>1.2270549766372592</c:v>
                </c:pt>
                <c:pt idx="6">
                  <c:v>1.2394721108087612</c:v>
                </c:pt>
                <c:pt idx="7">
                  <c:v>1.2519770048712224</c:v>
                </c:pt>
                <c:pt idx="8">
                  <c:v>1.2645640757957135</c:v>
                </c:pt>
                <c:pt idx="9">
                  <c:v>1.2772279460147808</c:v>
                </c:pt>
                <c:pt idx="10">
                  <c:v>1.2899634368125192</c:v>
                </c:pt>
                <c:pt idx="11">
                  <c:v>1.3027655618449869</c:v>
                </c:pt>
                <c:pt idx="12">
                  <c:v>1.3156295208001829</c:v>
                </c:pt>
                <c:pt idx="13">
                  <c:v>1.3285506932047102</c:v>
                </c:pt>
                <c:pt idx="14">
                  <c:v>1.3415246323824344</c:v>
                </c:pt>
                <c:pt idx="15">
                  <c:v>1.3545470595689051</c:v>
                </c:pt>
                <c:pt idx="16">
                  <c:v>1.3676138581840214</c:v>
                </c:pt>
                <c:pt idx="17">
                  <c:v>1.3807210682642745</c:v>
                </c:pt>
                <c:pt idx="18">
                  <c:v>1.3938648810549974</c:v>
                </c:pt>
                <c:pt idx="19">
                  <c:v>1.4070416337622322</c:v>
                </c:pt>
                <c:pt idx="20">
                  <c:v>1.4202478044631612</c:v>
                </c:pt>
                <c:pt idx="21">
                  <c:v>1.4334800071735168</c:v>
                </c:pt>
                <c:pt idx="22">
                  <c:v>1.4467349870698509</c:v>
                </c:pt>
                <c:pt idx="23">
                  <c:v>1.4600096158642786</c:v>
                </c:pt>
                <c:pt idx="24">
                  <c:v>1.4733008873288647</c:v>
                </c:pt>
                <c:pt idx="25">
                  <c:v>1.4866059129666853</c:v>
                </c:pt>
                <c:pt idx="26">
                  <c:v>1.4999219178263286</c:v>
                </c:pt>
                <c:pt idx="27">
                  <c:v>1.5132462364564618</c:v>
                </c:pt>
                <c:pt idx="28">
                  <c:v>1.5265763089970132</c:v>
                </c:pt>
                <c:pt idx="29">
                  <c:v>1.5399096774033554</c:v>
                </c:pt>
                <c:pt idx="30">
                  <c:v>1.5532439817999366</c:v>
                </c:pt>
                <c:pt idx="31">
                  <c:v>1.5665769569596513</c:v>
                </c:pt>
                <c:pt idx="32">
                  <c:v>1.5799064289053455</c:v>
                </c:pt>
                <c:pt idx="33">
                  <c:v>1.5932303116297901</c:v>
                </c:pt>
                <c:pt idx="34">
                  <c:v>1.6065466039305125</c:v>
                </c:pt>
                <c:pt idx="35">
                  <c:v>1.6198533863558988</c:v>
                </c:pt>
                <c:pt idx="36">
                  <c:v>1.6331488182590457</c:v>
                </c:pt>
                <c:pt idx="37">
                  <c:v>1.6464311349558671</c:v>
                </c:pt>
                <c:pt idx="38">
                  <c:v>1.6596986449840616</c:v>
                </c:pt>
                <c:pt idx="39">
                  <c:v>1.6729497274595779</c:v>
                </c:pt>
                <c:pt idx="40">
                  <c:v>1.6861828295273189</c:v>
                </c:pt>
                <c:pt idx="41">
                  <c:v>1.6993964639028876</c:v>
                </c:pt>
                <c:pt idx="42">
                  <c:v>1.7125892065022597</c:v>
                </c:pt>
                <c:pt idx="43">
                  <c:v>1.7257596941563396</c:v>
                </c:pt>
                <c:pt idx="44">
                  <c:v>1.7389066224074852</c:v>
                </c:pt>
                <c:pt idx="45">
                  <c:v>1.7520287433850754</c:v>
                </c:pt>
                <c:pt idx="46">
                  <c:v>1.7651248637574086</c:v>
                </c:pt>
                <c:pt idx="47">
                  <c:v>1.778193842757178</c:v>
                </c:pt>
                <c:pt idx="48">
                  <c:v>1.7912345902779312</c:v>
                </c:pt>
                <c:pt idx="49">
                  <c:v>1.8042460650389902</c:v>
                </c:pt>
                <c:pt idx="50">
                  <c:v>1.8172272728163485</c:v>
                </c:pt>
                <c:pt idx="51">
                  <c:v>1.8301772647372176</c:v>
                </c:pt>
                <c:pt idx="52">
                  <c:v>1.8430951356358847</c:v>
                </c:pt>
                <c:pt idx="53">
                  <c:v>1.855980022468706</c:v>
                </c:pt>
                <c:pt idx="54">
                  <c:v>1.8688311027860562</c:v>
                </c:pt>
                <c:pt idx="55">
                  <c:v>1.8816475932591961</c:v>
                </c:pt>
                <c:pt idx="56">
                  <c:v>1.894428748260059</c:v>
                </c:pt>
                <c:pt idx="57">
                  <c:v>1.9071738584920055</c:v>
                </c:pt>
                <c:pt idx="58">
                  <c:v>1.919882249669723</c:v>
                </c:pt>
                <c:pt idx="59">
                  <c:v>1.932553281246455</c:v>
                </c:pt>
                <c:pt idx="60">
                  <c:v>1.9451863451868334</c:v>
                </c:pt>
                <c:pt idx="61">
                  <c:v>1.9577808647836685</c:v>
                </c:pt>
                <c:pt idx="62">
                  <c:v>1.9703362935170581</c:v>
                </c:pt>
                <c:pt idx="63">
                  <c:v>1.9828521139542974</c:v>
                </c:pt>
                <c:pt idx="64">
                  <c:v>1.9953278366890872</c:v>
                </c:pt>
                <c:pt idx="65">
                  <c:v>2.0077629993186012</c:v>
                </c:pt>
                <c:pt idx="66">
                  <c:v>2.0201571654570234</c:v>
                </c:pt>
                <c:pt idx="67">
                  <c:v>2.0325099237842568</c:v>
                </c:pt>
                <c:pt idx="68">
                  <c:v>2.0448208871284654</c:v>
                </c:pt>
                <c:pt idx="69">
                  <c:v>2.0570896915812473</c:v>
                </c:pt>
                <c:pt idx="70">
                  <c:v>2.0693159956442653</c:v>
                </c:pt>
                <c:pt idx="71">
                  <c:v>2.0814994794061419</c:v>
                </c:pt>
                <c:pt idx="72">
                  <c:v>2.0936398437485524</c:v>
                </c:pt>
                <c:pt idx="73">
                  <c:v>2.1057368095804256</c:v>
                </c:pt>
                <c:pt idx="74">
                  <c:v>2.1177901170992759</c:v>
                </c:pt>
                <c:pt idx="75">
                  <c:v>2.1297995250786137</c:v>
                </c:pt>
                <c:pt idx="76">
                  <c:v>2.1417648101805451</c:v>
                </c:pt>
                <c:pt idx="77">
                  <c:v>2.1536857662926252</c:v>
                </c:pt>
                <c:pt idx="78">
                  <c:v>2.1655622038880722</c:v>
                </c:pt>
                <c:pt idx="79">
                  <c:v>2.1773939494085326</c:v>
                </c:pt>
                <c:pt idx="80">
                  <c:v>2.1891808446685435</c:v>
                </c:pt>
                <c:pt idx="81">
                  <c:v>2.2009227462809351</c:v>
                </c:pt>
                <c:pt idx="82">
                  <c:v>2.2126195251023999</c:v>
                </c:pt>
                <c:pt idx="83">
                  <c:v>2.2242710656985385</c:v>
                </c:pt>
                <c:pt idx="84">
                  <c:v>2.2358772658276242</c:v>
                </c:pt>
                <c:pt idx="85">
                  <c:v>2.2474380359424622</c:v>
                </c:pt>
                <c:pt idx="86">
                  <c:v>2.2589532987096708</c:v>
                </c:pt>
                <c:pt idx="87">
                  <c:v>2.2704229885457834</c:v>
                </c:pt>
                <c:pt idx="88">
                  <c:v>2.2818470511695303</c:v>
                </c:pt>
                <c:pt idx="89">
                  <c:v>2.2932254431697614</c:v>
                </c:pt>
                <c:pt idx="90">
                  <c:v>2.3045581315884411</c:v>
                </c:pt>
                <c:pt idx="91">
                  <c:v>2.315845093518158</c:v>
                </c:pt>
                <c:pt idx="92">
                  <c:v>2.3270863157136645</c:v>
                </c:pt>
                <c:pt idx="93">
                  <c:v>2.3382817942169294</c:v>
                </c:pt>
                <c:pt idx="94">
                  <c:v>2.3494315339952312</c:v>
                </c:pt>
                <c:pt idx="95">
                  <c:v>2.3605355485918111</c:v>
                </c:pt>
                <c:pt idx="96">
                  <c:v>2.371593859788693</c:v>
                </c:pt>
                <c:pt idx="97">
                  <c:v>2.3826064972811754</c:v>
                </c:pt>
                <c:pt idx="98">
                  <c:v>2.3935734983636308</c:v>
                </c:pt>
                <c:pt idx="99">
                  <c:v>2.4044949076261926</c:v>
                </c:pt>
                <c:pt idx="100">
                  <c:v>2.4153707766619683</c:v>
                </c:pt>
                <c:pt idx="101">
                  <c:v>2.4262011637843726</c:v>
                </c:pt>
                <c:pt idx="102">
                  <c:v>2.4369861337542753</c:v>
                </c:pt>
                <c:pt idx="103">
                  <c:v>2.4477257575165736</c:v>
                </c:pt>
                <c:pt idx="104">
                  <c:v>2.4584201119458911</c:v>
                </c:pt>
                <c:pt idx="105">
                  <c:v>2.4690692796010674</c:v>
                </c:pt>
                <c:pt idx="106">
                  <c:v>2.4796733484881606</c:v>
                </c:pt>
                <c:pt idx="107">
                  <c:v>2.4902324118316193</c:v>
                </c:pt>
                <c:pt idx="108">
                  <c:v>2.500746567853386</c:v>
                </c:pt>
                <c:pt idx="109">
                  <c:v>2.5112159195596222</c:v>
                </c:pt>
                <c:pt idx="110">
                  <c:v>2.5216405745348349</c:v>
                </c:pt>
                <c:pt idx="111">
                  <c:v>2.5320206447430897</c:v>
                </c:pt>
                <c:pt idx="112">
                  <c:v>2.5423562463361331</c:v>
                </c:pt>
                <c:pt idx="113">
                  <c:v>2.5526474994681063</c:v>
                </c:pt>
                <c:pt idx="114">
                  <c:v>2.5628945281167259</c:v>
                </c:pt>
                <c:pt idx="115">
                  <c:v>2.5730974599105907</c:v>
                </c:pt>
                <c:pt idx="116">
                  <c:v>2.5832564259625181</c:v>
                </c:pt>
                <c:pt idx="117">
                  <c:v>2.5933715607086176</c:v>
                </c:pt>
                <c:pt idx="118">
                  <c:v>2.603443001752956</c:v>
                </c:pt>
                <c:pt idx="119">
                  <c:v>2.6134708897176</c:v>
                </c:pt>
                <c:pt idx="120">
                  <c:v>2.6234553680978552</c:v>
                </c:pt>
                <c:pt idx="121">
                  <c:v>2.6333965831225461</c:v>
                </c:pt>
                <c:pt idx="122">
                  <c:v>2.6432946836191182</c:v>
                </c:pt>
                <c:pt idx="123">
                  <c:v>2.6531498208834532</c:v>
                </c:pt>
                <c:pt idx="124">
                  <c:v>2.6629621485542092</c:v>
                </c:pt>
                <c:pt idx="125">
                  <c:v>2.6727318224915084</c:v>
                </c:pt>
                <c:pt idx="126">
                  <c:v>2.6824590006599012</c:v>
                </c:pt>
                <c:pt idx="127">
                  <c:v>2.6921438430153604</c:v>
                </c:pt>
                <c:pt idx="128">
                  <c:v>2.7017865113962718</c:v>
                </c:pt>
                <c:pt idx="129">
                  <c:v>2.7113871694181775</c:v>
                </c:pt>
                <c:pt idx="130">
                  <c:v>2.7209459823722768</c:v>
                </c:pt>
                <c:pt idx="131">
                  <c:v>2.7304631171274143</c:v>
                </c:pt>
                <c:pt idx="132">
                  <c:v>2.7399387420355716</c:v>
                </c:pt>
                <c:pt idx="133">
                  <c:v>2.7493730268406344</c:v>
                </c:pt>
                <c:pt idx="134">
                  <c:v>2.7587661425904031</c:v>
                </c:pt>
                <c:pt idx="135">
                  <c:v>2.7681182615516926</c:v>
                </c:pt>
                <c:pt idx="136">
                  <c:v>2.7774295571284675</c:v>
                </c:pt>
                <c:pt idx="137">
                  <c:v>2.786700203782805</c:v>
                </c:pt>
                <c:pt idx="138">
                  <c:v>2.7959303769587605</c:v>
                </c:pt>
                <c:pt idx="139">
                  <c:v>2.8051202530088668</c:v>
                </c:pt>
                <c:pt idx="140">
                  <c:v>2.8142700091232733</c:v>
                </c:pt>
                <c:pt idx="141">
                  <c:v>2.8233798232614471</c:v>
                </c:pt>
                <c:pt idx="142">
                  <c:v>2.8324498740862958</c:v>
                </c:pt>
                <c:pt idx="143">
                  <c:v>2.8414803409006462</c:v>
                </c:pt>
                <c:pt idx="144">
                  <c:v>2.8504714035860528</c:v>
                </c:pt>
                <c:pt idx="145">
                  <c:v>2.8594232425437807</c:v>
                </c:pt>
                <c:pt idx="146">
                  <c:v>2.8683360386379468</c:v>
                </c:pt>
                <c:pt idx="147">
                  <c:v>2.8772099731407152</c:v>
                </c:pt>
                <c:pt idx="148">
                  <c:v>2.8860452276795168</c:v>
                </c:pt>
                <c:pt idx="149">
                  <c:v>2.8948419841861779</c:v>
                </c:pt>
                <c:pt idx="150">
                  <c:v>2.9036004248479235</c:v>
                </c:pt>
                <c:pt idx="151">
                  <c:v>2.9123207320601949</c:v>
                </c:pt>
                <c:pt idx="152">
                  <c:v>2.9210030883812217</c:v>
                </c:pt>
                <c:pt idx="153">
                  <c:v>2.9296476764882482</c:v>
                </c:pt>
                <c:pt idx="154">
                  <c:v>2.9382546791354534</c:v>
                </c:pt>
                <c:pt idx="155">
                  <c:v>2.946824279113383</c:v>
                </c:pt>
                <c:pt idx="156">
                  <c:v>2.9553566592099756</c:v>
                </c:pt>
                <c:pt idx="157">
                  <c:v>2.9638520021730042</c:v>
                </c:pt>
                <c:pt idx="158">
                  <c:v>2.9723104906739937</c:v>
                </c:pt>
                <c:pt idx="159">
                  <c:v>2.9807323072734979</c:v>
                </c:pt>
                <c:pt idx="160">
                  <c:v>2.9891176343877293</c:v>
                </c:pt>
                <c:pt idx="161">
                  <c:v>2.9974666542564368</c:v>
                </c:pt>
                <c:pt idx="162">
                  <c:v>3.0057795489121002</c:v>
                </c:pt>
                <c:pt idx="163">
                  <c:v>3.0140565001502693</c:v>
                </c:pt>
                <c:pt idx="164">
                  <c:v>3.022297689501122</c:v>
                </c:pt>
                <c:pt idx="165">
                  <c:v>3.0305032982021118</c:v>
                </c:pt>
                <c:pt idx="166">
                  <c:v>3.0386735071717261</c:v>
                </c:pt>
                <c:pt idx="167">
                  <c:v>3.0468084969843141</c:v>
                </c:pt>
                <c:pt idx="168">
                  <c:v>3.0549084478459001</c:v>
                </c:pt>
                <c:pt idx="169">
                  <c:v>3.0629735395710243</c:v>
                </c:pt>
                <c:pt idx="170">
                  <c:v>3.0710039515605132</c:v>
                </c:pt>
                <c:pt idx="171">
                  <c:v>3.0789998627801798</c:v>
                </c:pt>
                <c:pt idx="172">
                  <c:v>3.0869614517404202</c:v>
                </c:pt>
                <c:pt idx="173">
                  <c:v>3.0948888964766708</c:v>
                </c:pt>
                <c:pt idx="174">
                  <c:v>3.1027823745307059</c:v>
                </c:pt>
                <c:pt idx="175">
                  <c:v>3.1106420629327314</c:v>
                </c:pt>
                <c:pt idx="176">
                  <c:v>3.1184681381842694</c:v>
                </c:pt>
                <c:pt idx="177">
                  <c:v>3.1262607762417902</c:v>
                </c:pt>
                <c:pt idx="178">
                  <c:v>3.1340201525010878</c:v>
                </c:pt>
                <c:pt idx="179">
                  <c:v>3.1417464417823471</c:v>
                </c:pt>
                <c:pt idx="180">
                  <c:v>3.1494398183158863</c:v>
                </c:pt>
                <c:pt idx="181">
                  <c:v>3.1571004557285822</c:v>
                </c:pt>
                <c:pt idx="182">
                  <c:v>3.1647285270309249</c:v>
                </c:pt>
                <c:pt idx="183">
                  <c:v>3.1723242046046685</c:v>
                </c:pt>
                <c:pt idx="184">
                  <c:v>3.1798876601911026</c:v>
                </c:pt>
                <c:pt idx="185">
                  <c:v>3.1874190648798884</c:v>
                </c:pt>
                <c:pt idx="186">
                  <c:v>3.1949185890984602</c:v>
                </c:pt>
                <c:pt idx="187">
                  <c:v>3.2023864026019524</c:v>
                </c:pt>
                <c:pt idx="188">
                  <c:v>3.2098226744636373</c:v>
                </c:pt>
                <c:pt idx="189">
                  <c:v>3.2172275730659141</c:v>
                </c:pt>
                <c:pt idx="190">
                  <c:v>3.2246012660917165</c:v>
                </c:pt>
                <c:pt idx="191">
                  <c:v>3.2319439205164397</c:v>
                </c:pt>
                <c:pt idx="192">
                  <c:v>3.2392557026002953</c:v>
                </c:pt>
                <c:pt idx="193">
                  <c:v>3.2465367778811265</c:v>
                </c:pt>
                <c:pt idx="194">
                  <c:v>3.2537873111676001</c:v>
                </c:pt>
                <c:pt idx="195">
                  <c:v>3.2610074665328819</c:v>
                </c:pt>
                <c:pt idx="196">
                  <c:v>3.2681974073086364</c:v>
                </c:pt>
                <c:pt idx="197">
                  <c:v>3.275357296079433</c:v>
                </c:pt>
                <c:pt idx="198">
                  <c:v>3.2824872946775505</c:v>
                </c:pt>
                <c:pt idx="199">
                  <c:v>3.289587564178075</c:v>
                </c:pt>
                <c:pt idx="200">
                  <c:v>3.2966582648944049</c:v>
                </c:pt>
              </c:numCache>
            </c:numRef>
          </c:val>
          <c:smooth val="0"/>
          <c:extLst>
            <c:ext xmlns:c16="http://schemas.microsoft.com/office/drawing/2014/chart" uri="{C3380CC4-5D6E-409C-BE32-E72D297353CC}">
              <c16:uniqueId val="{00000001-AFE0-4300-9BF2-235D7250B897}"/>
            </c:ext>
          </c:extLst>
        </c:ser>
        <c:ser>
          <c:idx val="1"/>
          <c:order val="3"/>
          <c:tx>
            <c:v>Shunt Loss</c:v>
          </c:tx>
          <c:spPr>
            <a:ln w="38100">
              <a:solidFill>
                <a:srgbClr val="002060"/>
              </a:solidFill>
              <a:prstDash val="sysDot"/>
            </a:ln>
          </c:spPr>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Calculations'!$BV$9:$BV$209</c:f>
              <c:numCache>
                <c:formatCode>0.000</c:formatCode>
                <c:ptCount val="201"/>
                <c:pt idx="0">
                  <c:v>9.5243761045760475E-2</c:v>
                </c:pt>
                <c:pt idx="1">
                  <c:v>9.7103942143320229E-2</c:v>
                </c:pt>
                <c:pt idx="2">
                  <c:v>9.8939226247063222E-2</c:v>
                </c:pt>
                <c:pt idx="3">
                  <c:v>0.10075012281131032</c:v>
                </c:pt>
                <c:pt idx="4">
                  <c:v>0.10253712712614538</c:v>
                </c:pt>
                <c:pt idx="5">
                  <c:v>0.10430072081800383</c:v>
                </c:pt>
                <c:pt idx="6">
                  <c:v>0.10604137232874646</c:v>
                </c:pt>
                <c:pt idx="7">
                  <c:v>0.10775953737430781</c:v>
                </c:pt>
                <c:pt idx="8">
                  <c:v>0.10945565938394397</c:v>
                </c:pt>
                <c:pt idx="9">
                  <c:v>0.11113016992104552</c:v>
                </c:pt>
                <c:pt idx="10">
                  <c:v>0.11278348908642792</c:v>
                </c:pt>
                <c:pt idx="11">
                  <c:v>0.11441602590495836</c:v>
                </c:pt>
                <c:pt idx="12">
                  <c:v>0.11602817869632817</c:v>
                </c:pt>
                <c:pt idx="13">
                  <c:v>0.11762033543073909</c:v>
                </c:pt>
                <c:pt idx="14">
                  <c:v>0.11919287407022439</c:v>
                </c:pt>
                <c:pt idx="15">
                  <c:v>0.1207461628962888</c:v>
                </c:pt>
                <c:pt idx="16">
                  <c:v>0.12228056082451272</c:v>
                </c:pt>
                <c:pt idx="17">
                  <c:v>0.12379641770673275</c:v>
                </c:pt>
                <c:pt idx="18">
                  <c:v>0.12529407462137399</c:v>
                </c:pt>
                <c:pt idx="19">
                  <c:v>0.12677386415248401</c:v>
                </c:pt>
                <c:pt idx="20">
                  <c:v>0.12823611065798432</c:v>
                </c:pt>
                <c:pt idx="21">
                  <c:v>0.12968113052763078</c:v>
                </c:pt>
                <c:pt idx="22">
                  <c:v>0.13110923243114761</c:v>
                </c:pt>
                <c:pt idx="23">
                  <c:v>0.13252071755697739</c:v>
                </c:pt>
                <c:pt idx="24">
                  <c:v>0.13391587984206133</c:v>
                </c:pt>
                <c:pt idx="25">
                  <c:v>0.13529500619305165</c:v>
                </c:pt>
                <c:pt idx="26">
                  <c:v>0.13665837669932793</c:v>
                </c:pt>
                <c:pt idx="27">
                  <c:v>0.13800626483817699</c:v>
                </c:pt>
                <c:pt idx="28">
                  <c:v>0.1393389376724771</c:v>
                </c:pt>
                <c:pt idx="29">
                  <c:v>0.1406566560412052</c:v>
                </c:pt>
                <c:pt idx="30">
                  <c:v>0.14195967474307819</c:v>
                </c:pt>
                <c:pt idx="31">
                  <c:v>0.14324824271361644</c:v>
                </c:pt>
                <c:pt idx="32">
                  <c:v>0.14452260319590926</c:v>
                </c:pt>
                <c:pt idx="33">
                  <c:v>0.14578299390534422</c:v>
                </c:pt>
                <c:pt idx="34">
                  <c:v>0.14702964718855258</c:v>
                </c:pt>
                <c:pt idx="35">
                  <c:v>0.14826279017681024</c:v>
                </c:pt>
                <c:pt idx="36">
                  <c:v>0.1494826449341207</c:v>
                </c:pt>
                <c:pt idx="37">
                  <c:v>0.15068942860019804</c:v>
                </c:pt>
                <c:pt idx="38">
                  <c:v>0.1518833535285565</c:v>
                </c:pt>
                <c:pt idx="39">
                  <c:v>0.15306462741990351</c:v>
                </c:pt>
                <c:pt idx="40">
                  <c:v>0.15423345345102449</c:v>
                </c:pt>
                <c:pt idx="41">
                  <c:v>0.15539003039933866</c:v>
                </c:pt>
                <c:pt idx="42">
                  <c:v>0.15653455276329697</c:v>
                </c:pt>
                <c:pt idx="43">
                  <c:v>0.15766721087878552</c:v>
                </c:pt>
                <c:pt idx="44">
                  <c:v>0.15878819103169034</c:v>
                </c:pt>
                <c:pt idx="45">
                  <c:v>0.15989767556677256</c:v>
                </c:pt>
                <c:pt idx="46">
                  <c:v>0.16099584299299696</c:v>
                </c:pt>
                <c:pt idx="47">
                  <c:v>0.16208286808544808</c:v>
                </c:pt>
                <c:pt idx="48">
                  <c:v>0.163158921983966</c:v>
                </c:pt>
                <c:pt idx="49">
                  <c:v>0.16422417228862493</c:v>
                </c:pt>
                <c:pt idx="50">
                  <c:v>0.1652787831521734</c:v>
                </c:pt>
                <c:pt idx="51">
                  <c:v>0.1663229153695501</c:v>
                </c:pt>
                <c:pt idx="52">
                  <c:v>0.16735672646458483</c:v>
                </c:pt>
                <c:pt idx="53">
                  <c:v>0.16838037077398726</c:v>
                </c:pt>
                <c:pt idx="54">
                  <c:v>0.16939399952872411</c:v>
                </c:pt>
                <c:pt idx="55">
                  <c:v>0.17039776093288103</c:v>
                </c:pt>
                <c:pt idx="56">
                  <c:v>0.17139180024009879</c:v>
                </c:pt>
                <c:pt idx="57">
                  <c:v>0.17237625982767349</c:v>
                </c:pt>
                <c:pt idx="58">
                  <c:v>0.17335127926840257</c:v>
                </c:pt>
                <c:pt idx="59">
                  <c:v>0.17431699540026038</c:v>
                </c:pt>
                <c:pt idx="60">
                  <c:v>0.17527354239397575</c:v>
                </c:pt>
                <c:pt idx="61">
                  <c:v>0.17622105181859207</c:v>
                </c:pt>
                <c:pt idx="62">
                  <c:v>0.17715965270507372</c:v>
                </c:pt>
                <c:pt idx="63">
                  <c:v>0.17808947160803332</c:v>
                </c:pt>
                <c:pt idx="64">
                  <c:v>0.17901063266564149</c:v>
                </c:pt>
                <c:pt idx="65">
                  <c:v>0.17992325765778311</c:v>
                </c:pt>
                <c:pt idx="66">
                  <c:v>0.18082746606252023</c:v>
                </c:pt>
                <c:pt idx="67">
                  <c:v>0.18172337511092054</c:v>
                </c:pt>
                <c:pt idx="68">
                  <c:v>0.18261109984030491</c:v>
                </c:pt>
                <c:pt idx="69">
                  <c:v>0.18349075314596974</c:v>
                </c:pt>
                <c:pt idx="70">
                  <c:v>0.18436244583143466</c:v>
                </c:pt>
                <c:pt idx="71">
                  <c:v>0.18522628665726396</c:v>
                </c:pt>
                <c:pt idx="72">
                  <c:v>0.18608238238851102</c:v>
                </c:pt>
                <c:pt idx="73">
                  <c:v>0.18693083784083039</c:v>
                </c:pt>
                <c:pt idx="74">
                  <c:v>0.18777175592530185</c:v>
                </c:pt>
                <c:pt idx="75">
                  <c:v>0.18860523769200777</c:v>
                </c:pt>
                <c:pt idx="76">
                  <c:v>0.18943138237240628</c:v>
                </c:pt>
                <c:pt idx="77">
                  <c:v>0.19025028742053757</c:v>
                </c:pt>
                <c:pt idx="78">
                  <c:v>0.19106204855310263</c:v>
                </c:pt>
                <c:pt idx="79">
                  <c:v>0.19186675978844844</c:v>
                </c:pt>
                <c:pt idx="80">
                  <c:v>0.19266451348449792</c:v>
                </c:pt>
                <c:pt idx="81">
                  <c:v>0.19345540037565465</c:v>
                </c:pt>
                <c:pt idx="82">
                  <c:v>0.19423950960871764</c:v>
                </c:pt>
                <c:pt idx="83">
                  <c:v>0.19501692877783569</c:v>
                </c:pt>
                <c:pt idx="84">
                  <c:v>0.19578774395853263</c:v>
                </c:pt>
                <c:pt idx="85">
                  <c:v>0.1965520397408313</c:v>
                </c:pt>
                <c:pt idx="86">
                  <c:v>0.197309899261505</c:v>
                </c:pt>
                <c:pt idx="87">
                  <c:v>0.19806140423548393</c:v>
                </c:pt>
                <c:pt idx="88">
                  <c:v>0.19880663498644066</c:v>
                </c:pt>
                <c:pt idx="89">
                  <c:v>0.19954567047658259</c:v>
                </c:pt>
                <c:pt idx="90">
                  <c:v>0.20027858833567269</c:v>
                </c:pt>
                <c:pt idx="91">
                  <c:v>0.20100546488930435</c:v>
                </c:pt>
                <c:pt idx="92">
                  <c:v>0.20172637518645123</c:v>
                </c:pt>
                <c:pt idx="93">
                  <c:v>0.202441393026315</c:v>
                </c:pt>
                <c:pt idx="94">
                  <c:v>0.20315059098449087</c:v>
                </c:pt>
                <c:pt idx="95">
                  <c:v>0.20385404043847249</c:v>
                </c:pt>
                <c:pt idx="96">
                  <c:v>0.2045518115925147</c:v>
                </c:pt>
                <c:pt idx="97">
                  <c:v>0.20524397350187404</c:v>
                </c:pt>
                <c:pt idx="98">
                  <c:v>0.20593059409644426</c:v>
                </c:pt>
                <c:pt idx="99">
                  <c:v>0.20661174020380574</c:v>
                </c:pt>
                <c:pt idx="100">
                  <c:v>0.20728747757170468</c:v>
                </c:pt>
                <c:pt idx="101">
                  <c:v>0.20795787088997914</c:v>
                </c:pt>
                <c:pt idx="102">
                  <c:v>0.20862298381194871</c:v>
                </c:pt>
                <c:pt idx="103">
                  <c:v>0.20928287897528172</c:v>
                </c:pt>
                <c:pt idx="104">
                  <c:v>0.20993761802235544</c:v>
                </c:pt>
                <c:pt idx="105">
                  <c:v>0.21058726162012459</c:v>
                </c:pt>
                <c:pt idx="106">
                  <c:v>0.21123186947951084</c:v>
                </c:pt>
                <c:pt idx="107">
                  <c:v>0.21187150037432789</c:v>
                </c:pt>
                <c:pt idx="108">
                  <c:v>0.21250621215975474</c:v>
                </c:pt>
                <c:pt idx="109">
                  <c:v>0.21313606179036876</c:v>
                </c:pt>
                <c:pt idx="110">
                  <c:v>0.21376110533775314</c:v>
                </c:pt>
                <c:pt idx="111">
                  <c:v>0.21438139800768866</c:v>
                </c:pt>
                <c:pt idx="112">
                  <c:v>0.21499699415694171</c:v>
                </c:pt>
                <c:pt idx="113">
                  <c:v>0.21560794730966026</c:v>
                </c:pt>
                <c:pt idx="114">
                  <c:v>0.2162143101733871</c:v>
                </c:pt>
                <c:pt idx="115">
                  <c:v>0.21681613465470315</c:v>
                </c:pt>
                <c:pt idx="116">
                  <c:v>0.21741347187450827</c:v>
                </c:pt>
                <c:pt idx="117">
                  <c:v>0.21800637218295166</c:v>
                </c:pt>
                <c:pt idx="118">
                  <c:v>0.21859488517401926</c:v>
                </c:pt>
                <c:pt idx="119">
                  <c:v>0.21917905969978904</c:v>
                </c:pt>
                <c:pt idx="120">
                  <c:v>0.21975894388436168</c:v>
                </c:pt>
                <c:pt idx="121">
                  <c:v>0.22033458513747775</c:v>
                </c:pt>
                <c:pt idx="122">
                  <c:v>0.22090603016782495</c:v>
                </c:pt>
                <c:pt idx="123">
                  <c:v>0.2214733249960496</c:v>
                </c:pt>
                <c:pt idx="124">
                  <c:v>0.22203651496747479</c:v>
                </c:pt>
                <c:pt idx="125">
                  <c:v>0.22259564476453733</c:v>
                </c:pt>
                <c:pt idx="126">
                  <c:v>0.22315075841894647</c:v>
                </c:pt>
                <c:pt idx="127">
                  <c:v>0.22370189932357584</c:v>
                </c:pt>
                <c:pt idx="128">
                  <c:v>0.22424911024409255</c:v>
                </c:pt>
                <c:pt idx="129">
                  <c:v>0.22479243333033139</c:v>
                </c:pt>
                <c:pt idx="130">
                  <c:v>0.22533191012742079</c:v>
                </c:pt>
                <c:pt idx="131">
                  <c:v>0.22586758158666595</c:v>
                </c:pt>
                <c:pt idx="132">
                  <c:v>0.22639948807619728</c:v>
                </c:pt>
                <c:pt idx="133">
                  <c:v>0.22692766939138773</c:v>
                </c:pt>
                <c:pt idx="134">
                  <c:v>0.22745216476504573</c:v>
                </c:pt>
                <c:pt idx="135">
                  <c:v>0.22797301287739116</c:v>
                </c:pt>
                <c:pt idx="136">
                  <c:v>0.22849025186581715</c:v>
                </c:pt>
                <c:pt idx="137">
                  <c:v>0.22900391933444325</c:v>
                </c:pt>
                <c:pt idx="138">
                  <c:v>0.22951405236346914</c:v>
                </c:pt>
                <c:pt idx="139">
                  <c:v>0.23002068751832727</c:v>
                </c:pt>
                <c:pt idx="140">
                  <c:v>0.23052386085864507</c:v>
                </c:pt>
                <c:pt idx="141">
                  <c:v>0.23102360794701915</c:v>
                </c:pt>
                <c:pt idx="142">
                  <c:v>0.23151996385760495</c:v>
                </c:pt>
                <c:pt idx="143">
                  <c:v>0.23201296318452952</c:v>
                </c:pt>
                <c:pt idx="144">
                  <c:v>0.23250264005012811</c:v>
                </c:pt>
                <c:pt idx="145">
                  <c:v>0.23298902811301139</c:v>
                </c:pt>
                <c:pt idx="146">
                  <c:v>0.23347216057596715</c:v>
                </c:pt>
                <c:pt idx="147">
                  <c:v>0.23395207019369849</c:v>
                </c:pt>
                <c:pt idx="148">
                  <c:v>0.23442878928040528</c:v>
                </c:pt>
                <c:pt idx="149">
                  <c:v>0.23490234971721058</c:v>
                </c:pt>
                <c:pt idx="150">
                  <c:v>0.23537278295943564</c:v>
                </c:pt>
                <c:pt idx="151">
                  <c:v>0.23584012004372967</c:v>
                </c:pt>
                <c:pt idx="152">
                  <c:v>0.23630439159505356</c:v>
                </c:pt>
                <c:pt idx="153">
                  <c:v>0.23676562783352612</c:v>
                </c:pt>
                <c:pt idx="154">
                  <c:v>0.23722385858113001</c:v>
                </c:pt>
                <c:pt idx="155">
                  <c:v>0.23767911326828725</c:v>
                </c:pt>
                <c:pt idx="156">
                  <c:v>0.2381314209403014</c:v>
                </c:pt>
                <c:pt idx="157">
                  <c:v>0.23858081026367448</c:v>
                </c:pt>
                <c:pt idx="158">
                  <c:v>0.23902730953229676</c:v>
                </c:pt>
                <c:pt idx="159">
                  <c:v>0.23947094667351709</c:v>
                </c:pt>
                <c:pt idx="160">
                  <c:v>0.23991174925409328</c:v>
                </c:pt>
                <c:pt idx="161">
                  <c:v>0.24034974448602492</c:v>
                </c:pt>
                <c:pt idx="162">
                  <c:v>0.24078495923227614</c:v>
                </c:pt>
                <c:pt idx="163">
                  <c:v>0.24121742001238292</c:v>
                </c:pt>
                <c:pt idx="164">
                  <c:v>0.24164715300795586</c:v>
                </c:pt>
                <c:pt idx="165">
                  <c:v>0.24207418406807468</c:v>
                </c:pt>
                <c:pt idx="166">
                  <c:v>0.24249853871457924</c:v>
                </c:pt>
                <c:pt idx="167">
                  <c:v>0.24292024214726035</c:v>
                </c:pt>
                <c:pt idx="168">
                  <c:v>0.2433393192489508</c:v>
                </c:pt>
                <c:pt idx="169">
                  <c:v>0.24375579459051933</c:v>
                </c:pt>
                <c:pt idx="170">
                  <c:v>0.24416969243577061</c:v>
                </c:pt>
                <c:pt idx="171">
                  <c:v>0.24458103674625206</c:v>
                </c:pt>
                <c:pt idx="172">
                  <c:v>0.24498985118597091</c:v>
                </c:pt>
                <c:pt idx="173">
                  <c:v>0.24539615912602142</c:v>
                </c:pt>
                <c:pt idx="174">
                  <c:v>0.245799983649127</c:v>
                </c:pt>
                <c:pt idx="175">
                  <c:v>0.24620134755409687</c:v>
                </c:pt>
                <c:pt idx="176">
                  <c:v>0.24660027336019974</c:v>
                </c:pt>
                <c:pt idx="177">
                  <c:v>0.24699678331145661</c:v>
                </c:pt>
                <c:pt idx="178">
                  <c:v>0.2473908993808549</c:v>
                </c:pt>
                <c:pt idx="179">
                  <c:v>0.24778264327448393</c:v>
                </c:pt>
                <c:pt idx="180">
                  <c:v>0.2481720364355956</c:v>
                </c:pt>
                <c:pt idx="181">
                  <c:v>0.24855910004858903</c:v>
                </c:pt>
                <c:pt idx="182">
                  <c:v>0.24894385504292538</c:v>
                </c:pt>
                <c:pt idx="183">
                  <c:v>0.24932632209696848</c:v>
                </c:pt>
                <c:pt idx="184">
                  <c:v>0.24970652164175824</c:v>
                </c:pt>
                <c:pt idx="185">
                  <c:v>0.25008447386471383</c:v>
                </c:pt>
                <c:pt idx="186">
                  <c:v>0.2504601987132723</c:v>
                </c:pt>
                <c:pt idx="187">
                  <c:v>0.25083371589846032</c:v>
                </c:pt>
                <c:pt idx="188">
                  <c:v>0.25120504489840212</c:v>
                </c:pt>
                <c:pt idx="189">
                  <c:v>0.25157420496176591</c:v>
                </c:pt>
                <c:pt idx="190">
                  <c:v>0.25194121511114775</c:v>
                </c:pt>
                <c:pt idx="191">
                  <c:v>0.25230609414639615</c:v>
                </c:pt>
                <c:pt idx="192">
                  <c:v>0.25266886064787791</c:v>
                </c:pt>
                <c:pt idx="193">
                  <c:v>0.25302953297968561</c:v>
                </c:pt>
                <c:pt idx="194">
                  <c:v>0.25338812929278987</c:v>
                </c:pt>
                <c:pt idx="195">
                  <c:v>0.25374466752813574</c:v>
                </c:pt>
                <c:pt idx="196">
                  <c:v>0.25409916541968491</c:v>
                </c:pt>
                <c:pt idx="197">
                  <c:v>0.25445164049740482</c:v>
                </c:pt>
                <c:pt idx="198">
                  <c:v>0.25480211009020742</c:v>
                </c:pt>
                <c:pt idx="199">
                  <c:v>0.25515059132883422</c:v>
                </c:pt>
                <c:pt idx="200">
                  <c:v>0.25549710114869434</c:v>
                </c:pt>
              </c:numCache>
            </c:numRef>
          </c:val>
          <c:smooth val="0"/>
          <c:extLst>
            <c:ext xmlns:c16="http://schemas.microsoft.com/office/drawing/2014/chart" uri="{C3380CC4-5D6E-409C-BE32-E72D297353CC}">
              <c16:uniqueId val="{00000003-AFE0-4300-9BF2-235D7250B897}"/>
            </c:ext>
          </c:extLst>
        </c:ser>
        <c:ser>
          <c:idx val="4"/>
          <c:order val="4"/>
          <c:tx>
            <c:strRef>
              <c:f>'Efficiency vs VIN Calculations'!$AK$8</c:f>
              <c:strCache>
                <c:ptCount val="1"/>
                <c:pt idx="0">
                  <c:v>Total Control Bu MOSFET Loss</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Calculations'!$AK$9:$AK$209</c:f>
              <c:numCache>
                <c:formatCode>0.000</c:formatCode>
                <c:ptCount val="201"/>
                <c:pt idx="0">
                  <c:v>3.1666385121192331</c:v>
                </c:pt>
                <c:pt idx="1">
                  <c:v>3.1792936199445592</c:v>
                </c:pt>
                <c:pt idx="2">
                  <c:v>3.1920114162546822</c:v>
                </c:pt>
                <c:pt idx="3">
                  <c:v>3.2047904127596665</c:v>
                </c:pt>
                <c:pt idx="4">
                  <c:v>3.2176291686049869</c:v>
                </c:pt>
                <c:pt idx="5">
                  <c:v>3.2305262884760442</c:v>
                </c:pt>
                <c:pt idx="6">
                  <c:v>3.2434804207935253</c:v>
                </c:pt>
                <c:pt idx="7">
                  <c:v>3.2564902559945779</c:v>
                </c:pt>
                <c:pt idx="8">
                  <c:v>3.2695545248950224</c:v>
                </c:pt>
                <c:pt idx="9">
                  <c:v>3.282671997128169</c:v>
                </c:pt>
                <c:pt idx="10">
                  <c:v>3.2958414796560689</c:v>
                </c:pt>
                <c:pt idx="11">
                  <c:v>3.3090618153492928</c:v>
                </c:pt>
                <c:pt idx="12">
                  <c:v>3.3223318816315497</c:v>
                </c:pt>
                <c:pt idx="13">
                  <c:v>3.3356505891857298</c:v>
                </c:pt>
                <c:pt idx="14">
                  <c:v>3.3490168807180889</c:v>
                </c:pt>
                <c:pt idx="15">
                  <c:v>3.3624297297775882</c:v>
                </c:pt>
                <c:pt idx="16">
                  <c:v>3.3758881396274552</c:v>
                </c:pt>
                <c:pt idx="17">
                  <c:v>3.3893911421663523</c:v>
                </c:pt>
                <c:pt idx="18">
                  <c:v>3.4029377968965386</c:v>
                </c:pt>
                <c:pt idx="19">
                  <c:v>3.4165271899367062</c:v>
                </c:pt>
                <c:pt idx="20">
                  <c:v>3.4301584330771866</c:v>
                </c:pt>
                <c:pt idx="21">
                  <c:v>3.4438306628754507</c:v>
                </c:pt>
                <c:pt idx="22">
                  <c:v>3.4575430397898574</c:v>
                </c:pt>
                <c:pt idx="23">
                  <c:v>3.4712947473498188</c:v>
                </c:pt>
                <c:pt idx="24">
                  <c:v>3.4850849913605462</c:v>
                </c:pt>
                <c:pt idx="25">
                  <c:v>3.4989129991407326</c:v>
                </c:pt>
                <c:pt idx="26">
                  <c:v>3.5127780187915696</c:v>
                </c:pt>
                <c:pt idx="27">
                  <c:v>3.5266793184955949</c:v>
                </c:pt>
                <c:pt idx="28">
                  <c:v>3.5406161858439678</c:v>
                </c:pt>
                <c:pt idx="29">
                  <c:v>3.5545879271908016</c:v>
                </c:pt>
                <c:pt idx="30">
                  <c:v>3.5685938670333135</c:v>
                </c:pt>
                <c:pt idx="31">
                  <c:v>3.5826333474165679</c:v>
                </c:pt>
                <c:pt idx="32">
                  <c:v>3.5967057273616909</c:v>
                </c:pt>
                <c:pt idx="33">
                  <c:v>3.6108103823164601</c:v>
                </c:pt>
                <c:pt idx="34">
                  <c:v>3.6249467036272716</c:v>
                </c:pt>
                <c:pt idx="35">
                  <c:v>3.639114098031488</c:v>
                </c:pt>
                <c:pt idx="36">
                  <c:v>3.6533119871692743</c:v>
                </c:pt>
                <c:pt idx="37">
                  <c:v>3.667539807114029</c:v>
                </c:pt>
                <c:pt idx="38">
                  <c:v>3.681797007920609</c:v>
                </c:pt>
                <c:pt idx="39">
                  <c:v>3.6960830531905251</c:v>
                </c:pt>
                <c:pt idx="40">
                  <c:v>3.710397419653416</c:v>
                </c:pt>
                <c:pt idx="41">
                  <c:v>3.724739596764028</c:v>
                </c:pt>
                <c:pt idx="42">
                  <c:v>3.7391090863140954</c:v>
                </c:pt>
                <c:pt idx="43">
                  <c:v>3.7535054020584204</c:v>
                </c:pt>
                <c:pt idx="44">
                  <c:v>3.7679280693545913</c:v>
                </c:pt>
                <c:pt idx="45">
                  <c:v>3.782376624815734</c:v>
                </c:pt>
                <c:pt idx="46">
                  <c:v>3.7968506159757478</c:v>
                </c:pt>
                <c:pt idx="47">
                  <c:v>3.8113496009665213</c:v>
                </c:pt>
                <c:pt idx="48">
                  <c:v>3.8258731482066044</c:v>
                </c:pt>
                <c:pt idx="49">
                  <c:v>3.8404208361008707</c:v>
                </c:pt>
                <c:pt idx="50">
                  <c:v>3.8549922527507312</c:v>
                </c:pt>
                <c:pt idx="51">
                  <c:v>3.8695869956744389</c:v>
                </c:pt>
                <c:pt idx="52">
                  <c:v>3.8842046715371072</c:v>
                </c:pt>
                <c:pt idx="53">
                  <c:v>3.8988448958900173</c:v>
                </c:pt>
                <c:pt idx="54">
                  <c:v>3.9135072929188652</c:v>
                </c:pt>
                <c:pt idx="55">
                  <c:v>3.9281914952005765</c:v>
                </c:pt>
                <c:pt idx="56">
                  <c:v>3.9428971434683557</c:v>
                </c:pt>
                <c:pt idx="57">
                  <c:v>3.9576238863846478</c:v>
                </c:pt>
                <c:pt idx="58">
                  <c:v>3.9723713803216838</c:v>
                </c:pt>
                <c:pt idx="59">
                  <c:v>3.9871392891493405</c:v>
                </c:pt>
                <c:pt idx="60">
                  <c:v>4.0019272840300033</c:v>
                </c:pt>
                <c:pt idx="61">
                  <c:v>4.0167350432201943</c:v>
                </c:pt>
                <c:pt idx="62">
                  <c:v>4.0315622518786576</c:v>
                </c:pt>
                <c:pt idx="63">
                  <c:v>4.0464086018807217</c:v>
                </c:pt>
                <c:pt idx="64">
                  <c:v>4.0612737916386248</c:v>
                </c:pt>
                <c:pt idx="65">
                  <c:v>4.0761575259276572</c:v>
                </c:pt>
                <c:pt idx="66">
                  <c:v>4.0910595157178191</c:v>
                </c:pt>
                <c:pt idx="67">
                  <c:v>4.1059794780108732</c:v>
                </c:pt>
                <c:pt idx="68">
                  <c:v>4.1209171356825163</c:v>
                </c:pt>
                <c:pt idx="69">
                  <c:v>4.1358722173295401</c:v>
                </c:pt>
                <c:pt idx="70">
                  <c:v>4.1508444571217513</c:v>
                </c:pt>
                <c:pt idx="71">
                  <c:v>4.1658335946585154</c:v>
                </c:pt>
                <c:pt idx="72">
                  <c:v>4.1808393748297306</c:v>
                </c:pt>
                <c:pt idx="73">
                  <c:v>4.1958615476810754</c:v>
                </c:pt>
                <c:pt idx="74">
                  <c:v>4.2108998682834038</c:v>
                </c:pt>
                <c:pt idx="75">
                  <c:v>4.2259540966060865</c:v>
                </c:pt>
                <c:pt idx="76">
                  <c:v>4.2410239973942145</c:v>
                </c:pt>
                <c:pt idx="77">
                  <c:v>4.2561093400494903</c:v>
                </c:pt>
                <c:pt idx="78">
                  <c:v>4.2712098985146936</c:v>
                </c:pt>
                <c:pt idx="79">
                  <c:v>4.2863254511615922</c:v>
                </c:pt>
                <c:pt idx="80">
                  <c:v>4.3014557806821747</c:v>
                </c:pt>
                <c:pt idx="81">
                  <c:v>4.3166006739831015</c:v>
                </c:pt>
                <c:pt idx="82">
                  <c:v>4.3317599220832506</c:v>
                </c:pt>
                <c:pt idx="83">
                  <c:v>4.3469333200142533</c:v>
                </c:pt>
                <c:pt idx="84">
                  <c:v>4.3621206667239312</c:v>
                </c:pt>
                <c:pt idx="85">
                  <c:v>4.3773217649825149</c:v>
                </c:pt>
                <c:pt idx="86">
                  <c:v>4.3925364212915738</c:v>
                </c:pt>
                <c:pt idx="87">
                  <c:v>4.4077644457955403</c:v>
                </c:pt>
                <c:pt idx="88">
                  <c:v>4.4230056521957737</c:v>
                </c:pt>
                <c:pt idx="89">
                  <c:v>4.4382598576670347</c:v>
                </c:pt>
                <c:pt idx="90">
                  <c:v>4.4535268827763517</c:v>
                </c:pt>
                <c:pt idx="91">
                  <c:v>4.4688065514041266</c:v>
                </c:pt>
                <c:pt idx="92">
                  <c:v>4.48409869066748</c:v>
                </c:pt>
                <c:pt idx="93">
                  <c:v>4.499403130845705</c:v>
                </c:pt>
                <c:pt idx="94">
                  <c:v>4.5147197053077956</c:v>
                </c:pt>
                <c:pt idx="95">
                  <c:v>4.5300482504419648</c:v>
                </c:pt>
                <c:pt idx="96">
                  <c:v>4.545388605587104</c:v>
                </c:pt>
                <c:pt idx="97">
                  <c:v>4.5607406129661037</c:v>
                </c:pt>
                <c:pt idx="98">
                  <c:v>4.5761041176209867</c:v>
                </c:pt>
                <c:pt idx="99">
                  <c:v>4.591478967349798</c:v>
                </c:pt>
                <c:pt idx="100">
                  <c:v>4.6068650126451924</c:v>
                </c:pt>
                <c:pt idx="101">
                  <c:v>4.6222621066346665</c:v>
                </c:pt>
                <c:pt idx="102">
                  <c:v>4.6376701050223774</c:v>
                </c:pt>
                <c:pt idx="103">
                  <c:v>4.6530888660325154</c:v>
                </c:pt>
                <c:pt idx="104">
                  <c:v>4.6685182503541647</c:v>
                </c:pt>
                <c:pt idx="105">
                  <c:v>4.6839581210876222</c:v>
                </c:pt>
                <c:pt idx="106">
                  <c:v>4.6994083436921086</c:v>
                </c:pt>
                <c:pt idx="107">
                  <c:v>4.714868785934855</c:v>
                </c:pt>
                <c:pt idx="108">
                  <c:v>4.730339317841505</c:v>
                </c:pt>
                <c:pt idx="109">
                  <c:v>4.7458198116477925</c:v>
                </c:pt>
                <c:pt idx="110">
                  <c:v>4.7613101417524719</c:v>
                </c:pt>
                <c:pt idx="111">
                  <c:v>4.7768101846714428</c:v>
                </c:pt>
                <c:pt idx="112">
                  <c:v>4.7923198189930547</c:v>
                </c:pt>
                <c:pt idx="113">
                  <c:v>4.8078389253345382</c:v>
                </c:pt>
                <c:pt idx="114">
                  <c:v>4.8233673862995339</c:v>
                </c:pt>
                <c:pt idx="115">
                  <c:v>4.8389050864366983</c:v>
                </c:pt>
                <c:pt idx="116">
                  <c:v>4.8544519121993428</c:v>
                </c:pt>
                <c:pt idx="117">
                  <c:v>4.8700077519060789</c:v>
                </c:pt>
                <c:pt idx="118">
                  <c:v>4.8855724957024345</c:v>
                </c:pt>
                <c:pt idx="119">
                  <c:v>4.9011460355234302</c:v>
                </c:pt>
                <c:pt idx="120">
                  <c:v>4.9167282650570714</c:v>
                </c:pt>
                <c:pt idx="121">
                  <c:v>4.9323190797087335</c:v>
                </c:pt>
                <c:pt idx="122">
                  <c:v>4.9479183765664159</c:v>
                </c:pt>
                <c:pt idx="123">
                  <c:v>4.9635260543668487</c:v>
                </c:pt>
                <c:pt idx="124">
                  <c:v>4.9791420134624138</c:v>
                </c:pt>
                <c:pt idx="125">
                  <c:v>4.994766155788855</c:v>
                </c:pt>
                <c:pt idx="126">
                  <c:v>5.0103983848337839</c:v>
                </c:pt>
                <c:pt idx="127">
                  <c:v>5.0260386056059225</c:v>
                </c:pt>
                <c:pt idx="128">
                  <c:v>5.0416867246050758</c:v>
                </c:pt>
                <c:pt idx="129">
                  <c:v>5.0573426497928375</c:v>
                </c:pt>
                <c:pt idx="130">
                  <c:v>5.0730062905639581</c:v>
                </c:pt>
                <c:pt idx="131">
                  <c:v>5.0886775577184107</c:v>
                </c:pt>
                <c:pt idx="132">
                  <c:v>5.1043563634341016</c:v>
                </c:pt>
                <c:pt idx="133">
                  <c:v>5.1200426212402128</c:v>
                </c:pt>
                <c:pt idx="134">
                  <c:v>5.1357362459911782</c:v>
                </c:pt>
                <c:pt idx="135">
                  <c:v>5.1514371538412389</c:v>
                </c:pt>
                <c:pt idx="136">
                  <c:v>5.1671452622196163</c:v>
                </c:pt>
                <c:pt idx="137">
                  <c:v>5.1828604898062229</c:v>
                </c:pt>
                <c:pt idx="138">
                  <c:v>5.1985827565079603</c:v>
                </c:pt>
                <c:pt idx="139">
                  <c:v>5.2143119834355218</c:v>
                </c:pt>
                <c:pt idx="140">
                  <c:v>5.2300480928807591</c:v>
                </c:pt>
                <c:pt idx="141">
                  <c:v>5.2457910082945265</c:v>
                </c:pt>
                <c:pt idx="142">
                  <c:v>5.2615406542650494</c:v>
                </c:pt>
                <c:pt idx="143">
                  <c:v>5.2772969564967696</c:v>
                </c:pt>
                <c:pt idx="144">
                  <c:v>5.2930598417896526</c:v>
                </c:pt>
                <c:pt idx="145">
                  <c:v>5.3088292380189737</c:v>
                </c:pt>
                <c:pt idx="146">
                  <c:v>5.3246050741155377</c:v>
                </c:pt>
                <c:pt idx="147">
                  <c:v>5.3403872800463441</c:v>
                </c:pt>
                <c:pt idx="148">
                  <c:v>5.356175786795677</c:v>
                </c:pt>
                <c:pt idx="149">
                  <c:v>5.3719705263466038</c:v>
                </c:pt>
                <c:pt idx="150">
                  <c:v>5.3877714316628849</c:v>
                </c:pt>
                <c:pt idx="151">
                  <c:v>5.4035784366712702</c:v>
                </c:pt>
                <c:pt idx="152">
                  <c:v>5.419391476244189</c:v>
                </c:pt>
                <c:pt idx="153">
                  <c:v>5.4352104861828012</c:v>
                </c:pt>
                <c:pt idx="154">
                  <c:v>5.4510354032004251</c:v>
                </c:pt>
                <c:pt idx="155">
                  <c:v>5.4668661649063148</c:v>
                </c:pt>
                <c:pt idx="156">
                  <c:v>5.4827027097897849</c:v>
                </c:pt>
                <c:pt idx="157">
                  <c:v>5.4985449772046664</c:v>
                </c:pt>
                <c:pt idx="158">
                  <c:v>5.5143929073541109</c:v>
                </c:pt>
                <c:pt idx="159">
                  <c:v>5.5302464412756924</c:v>
                </c:pt>
                <c:pt idx="160">
                  <c:v>5.5461055208268428</c:v>
                </c:pt>
                <c:pt idx="161">
                  <c:v>5.5619700886705772</c:v>
                </c:pt>
                <c:pt idx="162">
                  <c:v>5.5778400882615262</c:v>
                </c:pt>
                <c:pt idx="163">
                  <c:v>5.5937154638322673</c:v>
                </c:pt>
                <c:pt idx="164">
                  <c:v>5.6095961603799127</c:v>
                </c:pt>
                <c:pt idx="165">
                  <c:v>5.625482123653005</c:v>
                </c:pt>
                <c:pt idx="166">
                  <c:v>5.6413733001386666</c:v>
                </c:pt>
                <c:pt idx="167">
                  <c:v>5.6572696370500175</c:v>
                </c:pt>
                <c:pt idx="168">
                  <c:v>5.6731710823138402</c:v>
                </c:pt>
                <c:pt idx="169">
                  <c:v>5.68907758455852</c:v>
                </c:pt>
                <c:pt idx="170">
                  <c:v>5.7049890931022018</c:v>
                </c:pt>
                <c:pt idx="171">
                  <c:v>5.720905557941216</c:v>
                </c:pt>
                <c:pt idx="172">
                  <c:v>5.7368269297387027</c:v>
                </c:pt>
                <c:pt idx="173">
                  <c:v>5.7527531598135013</c:v>
                </c:pt>
                <c:pt idx="174">
                  <c:v>5.7686842001292371</c:v>
                </c:pt>
                <c:pt idx="175">
                  <c:v>5.7846200032836395</c:v>
                </c:pt>
                <c:pt idx="176">
                  <c:v>5.8005605224980643</c:v>
                </c:pt>
                <c:pt idx="177">
                  <c:v>5.8165057116072241</c:v>
                </c:pt>
                <c:pt idx="178">
                  <c:v>5.8324555250491361</c:v>
                </c:pt>
                <c:pt idx="179">
                  <c:v>5.8484099178552462</c:v>
                </c:pt>
                <c:pt idx="180">
                  <c:v>5.8643688456407688</c:v>
                </c:pt>
                <c:pt idx="181">
                  <c:v>5.8803322645951868</c:v>
                </c:pt>
                <c:pt idx="182">
                  <c:v>5.8963001314729748</c:v>
                </c:pt>
                <c:pt idx="183">
                  <c:v>5.9122724035844731</c:v>
                </c:pt>
                <c:pt idx="184">
                  <c:v>5.9282490387869435</c:v>
                </c:pt>
                <c:pt idx="185">
                  <c:v>5.9442299954758111</c:v>
                </c:pt>
                <c:pt idx="186">
                  <c:v>5.9602152325760605</c:v>
                </c:pt>
                <c:pt idx="187">
                  <c:v>5.9762047095338078</c:v>
                </c:pt>
                <c:pt idx="188">
                  <c:v>5.992198386308023</c:v>
                </c:pt>
                <c:pt idx="189">
                  <c:v>6.0081962233624155</c:v>
                </c:pt>
                <c:pt idx="190">
                  <c:v>6.0241981816574759</c:v>
                </c:pt>
                <c:pt idx="191">
                  <c:v>6.0402042226426733</c:v>
                </c:pt>
                <c:pt idx="192">
                  <c:v>6.0562143082487809</c:v>
                </c:pt>
                <c:pt idx="193">
                  <c:v>6.0722284008803644</c:v>
                </c:pt>
                <c:pt idx="194">
                  <c:v>6.0882464634084013</c:v>
                </c:pt>
                <c:pt idx="195">
                  <c:v>6.1042684591630518</c:v>
                </c:pt>
                <c:pt idx="196">
                  <c:v>6.120294351926546</c:v>
                </c:pt>
                <c:pt idx="197">
                  <c:v>6.1363241059262092</c:v>
                </c:pt>
                <c:pt idx="198">
                  <c:v>6.1523576858276297</c:v>
                </c:pt>
                <c:pt idx="199">
                  <c:v>6.1683950567279311</c:v>
                </c:pt>
                <c:pt idx="200">
                  <c:v>6.1844361841491873</c:v>
                </c:pt>
              </c:numCache>
            </c:numRef>
          </c:val>
          <c:smooth val="0"/>
          <c:extLst>
            <c:ext xmlns:c16="http://schemas.microsoft.com/office/drawing/2014/chart" uri="{C3380CC4-5D6E-409C-BE32-E72D297353CC}">
              <c16:uniqueId val="{00000004-AFE0-4300-9BF2-235D7250B897}"/>
            </c:ext>
          </c:extLst>
        </c:ser>
        <c:ser>
          <c:idx val="5"/>
          <c:order val="5"/>
          <c:tx>
            <c:strRef>
              <c:f>'Efficiency vs VIN Calculations'!$AO$8</c:f>
              <c:strCache>
                <c:ptCount val="1"/>
                <c:pt idx="0">
                  <c:v>Total Sync Bu MOSFET Loss</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Calculations'!$AO$9:$AO$209</c:f>
              <c:numCache>
                <c:formatCode>0.000</c:formatCode>
                <c:ptCount val="201"/>
                <c:pt idx="0">
                  <c:v>0.76682892981848416</c:v>
                </c:pt>
                <c:pt idx="1">
                  <c:v>0.77067995133071665</c:v>
                </c:pt>
                <c:pt idx="2">
                  <c:v>0.77448532657974101</c:v>
                </c:pt>
                <c:pt idx="3">
                  <c:v>0.77824588924239702</c:v>
                </c:pt>
                <c:pt idx="4">
                  <c:v>0.78196245207250448</c:v>
                </c:pt>
                <c:pt idx="5">
                  <c:v>0.78563580757727103</c:v>
                </c:pt>
                <c:pt idx="6">
                  <c:v>0.78926672866675163</c:v>
                </c:pt>
                <c:pt idx="7">
                  <c:v>0.7928559692776449</c:v>
                </c:pt>
                <c:pt idx="8">
                  <c:v>0.79640426497262817</c:v>
                </c:pt>
                <c:pt idx="9">
                  <c:v>0.79991233351637692</c:v>
                </c:pt>
                <c:pt idx="10">
                  <c:v>0.80338087542934766</c:v>
                </c:pt>
                <c:pt idx="11">
                  <c:v>0.80681057452034755</c:v>
                </c:pt>
                <c:pt idx="12">
                  <c:v>0.81020209839885504</c:v>
                </c:pt>
                <c:pt idx="13">
                  <c:v>0.81355609896801429</c:v>
                </c:pt>
                <c:pt idx="14">
                  <c:v>0.81687321289916603</c:v>
                </c:pt>
                <c:pt idx="15">
                  <c:v>0.82015406208874098</c:v>
                </c:pt>
                <c:pt idx="16">
                  <c:v>0.82339925409829551</c:v>
                </c:pt>
                <c:pt idx="17">
                  <c:v>0.82660938257843231</c:v>
                </c:pt>
                <c:pt idx="18">
                  <c:v>0.82978502767730455</c:v>
                </c:pt>
                <c:pt idx="19">
                  <c:v>0.83292675643437541</c:v>
                </c:pt>
                <c:pt idx="20">
                  <c:v>0.83603512316006456</c:v>
                </c:pt>
                <c:pt idx="21">
                  <c:v>0.8391106698018832</c:v>
                </c:pt>
                <c:pt idx="22">
                  <c:v>0.84215392629763086</c:v>
                </c:pt>
                <c:pt idx="23">
                  <c:v>0.84516541091620023</c:v>
                </c:pt>
                <c:pt idx="24">
                  <c:v>0.8481456305865015</c:v>
                </c:pt>
                <c:pt idx="25">
                  <c:v>0.85109508121500776</c:v>
                </c:pt>
                <c:pt idx="26">
                  <c:v>0.8540142479923819</c:v>
                </c:pt>
                <c:pt idx="27">
                  <c:v>0.85690360568963519</c:v>
                </c:pt>
                <c:pt idx="28">
                  <c:v>0.85976361894424647</c:v>
                </c:pt>
                <c:pt idx="29">
                  <c:v>0.86259474253663693</c:v>
                </c:pt>
                <c:pt idx="30">
                  <c:v>0.86539742165739941</c:v>
                </c:pt>
                <c:pt idx="31">
                  <c:v>0.86817209216563918</c:v>
                </c:pt>
                <c:pt idx="32">
                  <c:v>0.87091918083878606</c:v>
                </c:pt>
                <c:pt idx="33">
                  <c:v>0.87363910561420688</c:v>
                </c:pt>
                <c:pt idx="34">
                  <c:v>0.87633227582294171</c:v>
                </c:pt>
                <c:pt idx="35">
                  <c:v>0.87899909241586827</c:v>
                </c:pt>
                <c:pt idx="36">
                  <c:v>0.8816399481825854</c:v>
                </c:pt>
                <c:pt idx="37">
                  <c:v>0.88425522796329536</c:v>
                </c:pt>
                <c:pt idx="38">
                  <c:v>0.88684530885394941</c:v>
                </c:pt>
                <c:pt idx="39">
                  <c:v>0.88941056040491417</c:v>
                </c:pt>
                <c:pt idx="40">
                  <c:v>0.89195134481339899</c:v>
                </c:pt>
                <c:pt idx="41">
                  <c:v>0.89446801710987722</c:v>
                </c:pt>
                <c:pt idx="42">
                  <c:v>0.89696092533872873</c:v>
                </c:pt>
                <c:pt idx="43">
                  <c:v>0.89943041073330832</c:v>
                </c:pt>
                <c:pt idx="44">
                  <c:v>0.90187680788565172</c:v>
                </c:pt>
                <c:pt idx="45">
                  <c:v>0.9043004449110108</c:v>
                </c:pt>
                <c:pt idx="46">
                  <c:v>0.90670164360740579</c:v>
                </c:pt>
                <c:pt idx="47">
                  <c:v>0.90908071961037218</c:v>
                </c:pt>
                <c:pt idx="48">
                  <c:v>0.91143798254307751</c:v>
                </c:pt>
                <c:pt idx="49">
                  <c:v>0.91377373616196889</c:v>
                </c:pt>
                <c:pt idx="50">
                  <c:v>0.91608827849811103</c:v>
                </c:pt>
                <c:pt idx="51">
                  <c:v>0.91838190199436642</c:v>
                </c:pt>
                <c:pt idx="52">
                  <c:v>0.92065489363856057</c:v>
                </c:pt>
                <c:pt idx="53">
                  <c:v>0.92290753509277534</c:v>
                </c:pt>
                <c:pt idx="54">
                  <c:v>0.92514010281889936</c:v>
                </c:pt>
                <c:pt idx="55">
                  <c:v>0.92735286820056895</c:v>
                </c:pt>
                <c:pt idx="56">
                  <c:v>0.92954609766161789</c:v>
                </c:pt>
                <c:pt idx="57">
                  <c:v>0.9317200527811591</c:v>
                </c:pt>
                <c:pt idx="58">
                  <c:v>0.933874990405406</c:v>
                </c:pt>
                <c:pt idx="59">
                  <c:v>0.93601116275635154</c:v>
                </c:pt>
                <c:pt idx="60">
                  <c:v>0.93812881753739774</c:v>
                </c:pt>
                <c:pt idx="61">
                  <c:v>0.94022819803605207</c:v>
                </c:pt>
                <c:pt idx="62">
                  <c:v>0.94230954322377058</c:v>
                </c:pt>
                <c:pt idx="63">
                  <c:v>0.94437308785305663</c:v>
                </c:pt>
                <c:pt idx="64">
                  <c:v>0.9464190625518949</c:v>
                </c:pt>
                <c:pt idx="65">
                  <c:v>0.94844769391561101</c:v>
                </c:pt>
                <c:pt idx="66">
                  <c:v>0.95045920459623856</c:v>
                </c:pt>
                <c:pt idx="67">
                  <c:v>0.95245381338947666</c:v>
                </c:pt>
                <c:pt idx="68">
                  <c:v>0.95443173531931014</c:v>
                </c:pt>
                <c:pt idx="69">
                  <c:v>0.95639318172037024</c:v>
                </c:pt>
                <c:pt idx="70">
                  <c:v>0.95833836031810749</c:v>
                </c:pt>
                <c:pt idx="71">
                  <c:v>0.96026747530684109</c:v>
                </c:pt>
                <c:pt idx="72">
                  <c:v>0.962180727425758</c:v>
                </c:pt>
                <c:pt idx="73">
                  <c:v>0.96407831403291944</c:v>
                </c:pt>
                <c:pt idx="74">
                  <c:v>0.96596042917734182</c:v>
                </c:pt>
                <c:pt idx="75">
                  <c:v>0.96782726366920513</c:v>
                </c:pt>
                <c:pt idx="76">
                  <c:v>0.96967900514825323</c:v>
                </c:pt>
                <c:pt idx="77">
                  <c:v>0.97151583815043518</c:v>
                </c:pt>
                <c:pt idx="78">
                  <c:v>0.9733379441728468</c:v>
                </c:pt>
                <c:pt idx="79">
                  <c:v>0.97514550173701653</c:v>
                </c:pt>
                <c:pt idx="80">
                  <c:v>0.97693868645059367</c:v>
                </c:pt>
                <c:pt idx="81">
                  <c:v>0.97871767106747887</c:v>
                </c:pt>
                <c:pt idx="82">
                  <c:v>0.9804826255464496</c:v>
                </c:pt>
                <c:pt idx="83">
                  <c:v>0.98223371710832152</c:v>
                </c:pt>
                <c:pt idx="84">
                  <c:v>0.98397111029169038</c:v>
                </c:pt>
                <c:pt idx="85">
                  <c:v>0.98569496700729542</c:v>
                </c:pt>
                <c:pt idx="86">
                  <c:v>0.9874054465910439</c:v>
                </c:pt>
                <c:pt idx="87">
                  <c:v>0.98910270585573901</c:v>
                </c:pt>
                <c:pt idx="88">
                  <c:v>0.99078689914154328</c:v>
                </c:pt>
                <c:pt idx="89">
                  <c:v>0.99245817836521943</c:v>
                </c:pt>
                <c:pt idx="90">
                  <c:v>0.99411669306817918</c:v>
                </c:pt>
                <c:pt idx="91">
                  <c:v>0.99576259046337701</c:v>
                </c:pt>
                <c:pt idx="92">
                  <c:v>0.9973960154810807</c:v>
                </c:pt>
                <c:pt idx="93">
                  <c:v>0.99901711081355027</c:v>
                </c:pt>
                <c:pt idx="94">
                  <c:v>1.0006260169586552</c:v>
                </c:pt>
                <c:pt idx="95">
                  <c:v>1.0022228722624618</c:v>
                </c:pt>
                <c:pt idx="96">
                  <c:v>1.0038078129608174</c:v>
                </c:pt>
                <c:pt idx="97">
                  <c:v>1.0053809732199614</c:v>
                </c:pt>
                <c:pt idx="98">
                  <c:v>1.0069424851761863</c:v>
                </c:pt>
                <c:pt idx="99">
                  <c:v>1.0084924789745804</c:v>
                </c:pt>
                <c:pt idx="100">
                  <c:v>1.010031082806871</c:v>
                </c:pt>
                <c:pt idx="101">
                  <c:v>1.011558422948398</c:v>
                </c:pt>
                <c:pt idx="102">
                  <c:v>1.0130746237942396</c:v>
                </c:pt>
                <c:pt idx="103">
                  <c:v>1.0145798078945107</c:v>
                </c:pt>
                <c:pt idx="104">
                  <c:v>1.0160740959888612</c:v>
                </c:pt>
                <c:pt idx="105">
                  <c:v>1.0175576070401895</c:v>
                </c:pt>
                <c:pt idx="106">
                  <c:v>1.0190304582675984</c:v>
                </c:pt>
                <c:pt idx="107">
                  <c:v>1.0204927651786095</c:v>
                </c:pt>
                <c:pt idx="108">
                  <c:v>1.0219446416006575</c:v>
                </c:pt>
                <c:pt idx="109">
                  <c:v>1.0233861997118798</c:v>
                </c:pt>
                <c:pt idx="110">
                  <c:v>1.0248175500712282</c:v>
                </c:pt>
                <c:pt idx="111">
                  <c:v>1.0262388016479096</c:v>
                </c:pt>
                <c:pt idx="112">
                  <c:v>1.027650061850182</c:v>
                </c:pt>
                <c:pt idx="113">
                  <c:v>1.0290514365535188</c:v>
                </c:pt>
                <c:pt idx="114">
                  <c:v>1.0304430301281553</c:v>
                </c:pt>
                <c:pt idx="115">
                  <c:v>1.0318249454660404</c:v>
                </c:pt>
                <c:pt idx="116">
                  <c:v>1.0331972840072012</c:v>
                </c:pt>
                <c:pt idx="117">
                  <c:v>1.0345601457655385</c:v>
                </c:pt>
                <c:pt idx="118">
                  <c:v>1.0359136293540712</c:v>
                </c:pt>
                <c:pt idx="119">
                  <c:v>1.0372578320096353</c:v>
                </c:pt>
                <c:pt idx="120">
                  <c:v>1.0385928496170584</c:v>
                </c:pt>
                <c:pt idx="121">
                  <c:v>1.0399187767328253</c:v>
                </c:pt>
                <c:pt idx="122">
                  <c:v>1.0412357066082309</c:v>
                </c:pt>
                <c:pt idx="123">
                  <c:v>1.0425437312120578</c:v>
                </c:pt>
                <c:pt idx="124">
                  <c:v>1.043842941252769</c:v>
                </c:pt>
                <c:pt idx="125">
                  <c:v>1.0451334262002403</c:v>
                </c:pt>
                <c:pt idx="126">
                  <c:v>1.0464152743070376</c:v>
                </c:pt>
                <c:pt idx="127">
                  <c:v>1.0476885726292535</c:v>
                </c:pt>
                <c:pt idx="128">
                  <c:v>1.0489534070469129</c:v>
                </c:pt>
                <c:pt idx="129">
                  <c:v>1.0502098622839555</c:v>
                </c:pt>
                <c:pt idx="130">
                  <c:v>1.0514580219278122</c:v>
                </c:pt>
                <c:pt idx="131">
                  <c:v>1.0526979684485769</c:v>
                </c:pt>
                <c:pt idx="132">
                  <c:v>1.0539297832177901</c:v>
                </c:pt>
                <c:pt idx="133">
                  <c:v>1.05515354652684</c:v>
                </c:pt>
                <c:pt idx="134">
                  <c:v>1.0563693376049894</c:v>
                </c:pt>
                <c:pt idx="135">
                  <c:v>1.0575772346370429</c:v>
                </c:pt>
                <c:pt idx="136">
                  <c:v>1.0587773147806565</c:v>
                </c:pt>
                <c:pt idx="137">
                  <c:v>1.0599696541833008</c:v>
                </c:pt>
                <c:pt idx="138">
                  <c:v>1.0611543279988866</c:v>
                </c:pt>
                <c:pt idx="139">
                  <c:v>1.06233141040406</c:v>
                </c:pt>
                <c:pt idx="140">
                  <c:v>1.0635009746141726</c:v>
                </c:pt>
                <c:pt idx="141">
                  <c:v>1.0646630928989416</c:v>
                </c:pt>
                <c:pt idx="142">
                  <c:v>1.0658178365977951</c:v>
                </c:pt>
                <c:pt idx="143">
                  <c:v>1.0669652761349229</c:v>
                </c:pt>
                <c:pt idx="144">
                  <c:v>1.0681054810340289</c:v>
                </c:pt>
                <c:pt idx="145">
                  <c:v>1.0692385199327992</c:v>
                </c:pt>
                <c:pt idx="146">
                  <c:v>1.0703644605970881</c:v>
                </c:pt>
                <c:pt idx="147">
                  <c:v>1.0714833699348296</c:v>
                </c:pt>
                <c:pt idx="148">
                  <c:v>1.0725953140096836</c:v>
                </c:pt>
                <c:pt idx="149">
                  <c:v>1.0737003580544169</c:v>
                </c:pt>
                <c:pt idx="150">
                  <c:v>1.0747985664840289</c:v>
                </c:pt>
                <c:pt idx="151">
                  <c:v>1.0758900029086298</c:v>
                </c:pt>
                <c:pt idx="152">
                  <c:v>1.0769747301460695</c:v>
                </c:pt>
                <c:pt idx="153">
                  <c:v>1.0780528102343332</c:v>
                </c:pt>
                <c:pt idx="154">
                  <c:v>1.0791243044436958</c:v>
                </c:pt>
                <c:pt idx="155">
                  <c:v>1.0801892732886553</c:v>
                </c:pt>
                <c:pt idx="156">
                  <c:v>1.081247776539636</c:v>
                </c:pt>
                <c:pt idx="157">
                  <c:v>1.0822998732344777</c:v>
                </c:pt>
                <c:pt idx="158">
                  <c:v>1.0833456216897084</c:v>
                </c:pt>
                <c:pt idx="159">
                  <c:v>1.0843850795116077</c:v>
                </c:pt>
                <c:pt idx="160">
                  <c:v>1.0854183036070688</c:v>
                </c:pt>
                <c:pt idx="161">
                  <c:v>1.0864453501942528</c:v>
                </c:pt>
                <c:pt idx="162">
                  <c:v>1.0874662748130592</c:v>
                </c:pt>
                <c:pt idx="163">
                  <c:v>1.0884811323353889</c:v>
                </c:pt>
                <c:pt idx="164">
                  <c:v>1.0894899769752358</c:v>
                </c:pt>
                <c:pt idx="165">
                  <c:v>1.090492862298583</c:v>
                </c:pt>
                <c:pt idx="166">
                  <c:v>1.0914898412331246</c:v>
                </c:pt>
                <c:pt idx="167">
                  <c:v>1.0924809660778108</c:v>
                </c:pt>
                <c:pt idx="168">
                  <c:v>1.0934662885122206</c:v>
                </c:pt>
                <c:pt idx="169">
                  <c:v>1.0944458596057665</c:v>
                </c:pt>
                <c:pt idx="170">
                  <c:v>1.0954197298267341</c:v>
                </c:pt>
                <c:pt idx="171">
                  <c:v>1.0963879490511599</c:v>
                </c:pt>
                <c:pt idx="172">
                  <c:v>1.0973505665715522</c:v>
                </c:pt>
                <c:pt idx="173">
                  <c:v>1.0983076311054543</c:v>
                </c:pt>
                <c:pt idx="174">
                  <c:v>1.0992591908038609</c:v>
                </c:pt>
                <c:pt idx="175">
                  <c:v>1.1002052932594828</c:v>
                </c:pt>
                <c:pt idx="176">
                  <c:v>1.1011459855148649</c:v>
                </c:pt>
                <c:pt idx="177">
                  <c:v>1.1020813140703669</c:v>
                </c:pt>
                <c:pt idx="178">
                  <c:v>1.1030113248920004</c:v>
                </c:pt>
                <c:pt idx="179">
                  <c:v>1.1039360634191298</c:v>
                </c:pt>
                <c:pt idx="180">
                  <c:v>1.1048555745720428</c:v>
                </c:pt>
                <c:pt idx="181">
                  <c:v>1.1057699027593837</c:v>
                </c:pt>
                <c:pt idx="182">
                  <c:v>1.1066790918854659</c:v>
                </c:pt>
                <c:pt idx="183">
                  <c:v>1.1075831853574523</c:v>
                </c:pt>
                <c:pt idx="184">
                  <c:v>1.1084822260924161</c:v>
                </c:pt>
                <c:pt idx="185">
                  <c:v>1.1093762565242786</c:v>
                </c:pt>
                <c:pt idx="186">
                  <c:v>1.110265318610631</c:v>
                </c:pt>
                <c:pt idx="187">
                  <c:v>1.1111494538394386</c:v>
                </c:pt>
                <c:pt idx="188">
                  <c:v>1.1120287032356302</c:v>
                </c:pt>
                <c:pt idx="189">
                  <c:v>1.1129031073675799</c:v>
                </c:pt>
                <c:pt idx="190">
                  <c:v>1.1137727063534753</c:v>
                </c:pt>
                <c:pt idx="191">
                  <c:v>1.1146375398675825</c:v>
                </c:pt>
                <c:pt idx="192">
                  <c:v>1.1154976471464033</c:v>
                </c:pt>
                <c:pt idx="193">
                  <c:v>1.1163530669947295</c:v>
                </c:pt>
                <c:pt idx="194">
                  <c:v>1.1172038377916007</c:v>
                </c:pt>
                <c:pt idx="195">
                  <c:v>1.1180499974961573</c:v>
                </c:pt>
                <c:pt idx="196">
                  <c:v>1.1188915836533992</c:v>
                </c:pt>
                <c:pt idx="197">
                  <c:v>1.11972863339985</c:v>
                </c:pt>
                <c:pt idx="198">
                  <c:v>1.1205611834691289</c:v>
                </c:pt>
                <c:pt idx="199">
                  <c:v>1.1213892701974255</c:v>
                </c:pt>
                <c:pt idx="200">
                  <c:v>1.1222129295288936</c:v>
                </c:pt>
              </c:numCache>
            </c:numRef>
          </c:val>
          <c:smooth val="0"/>
          <c:extLst>
            <c:ext xmlns:c16="http://schemas.microsoft.com/office/drawing/2014/chart" uri="{C3380CC4-5D6E-409C-BE32-E72D297353CC}">
              <c16:uniqueId val="{00000005-AFE0-4300-9BF2-235D7250B897}"/>
            </c:ext>
          </c:extLst>
        </c:ser>
        <c:ser>
          <c:idx val="6"/>
          <c:order val="6"/>
          <c:tx>
            <c:strRef>
              <c:f>'Efficiency vs VIN Calculations'!$AT$8</c:f>
              <c:strCache>
                <c:ptCount val="1"/>
                <c:pt idx="0">
                  <c:v>Total Control Bo MOSFET Loss</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Calculations'!$AT$9:$AT$209</c:f>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6-AFE0-4300-9BF2-235D7250B897}"/>
            </c:ext>
          </c:extLst>
        </c:ser>
        <c:ser>
          <c:idx val="7"/>
          <c:order val="7"/>
          <c:tx>
            <c:strRef>
              <c:f>'Efficiency vs VIN Calculations'!$AX$8</c:f>
              <c:strCache>
                <c:ptCount val="1"/>
                <c:pt idx="0">
                  <c:v>Total Sync Bo MOSFET Loss</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Calculations'!$AX$9:$AX$209</c:f>
              <c:numCache>
                <c:formatCode>0.000</c:formatCode>
                <c:ptCount val="201"/>
                <c:pt idx="0">
                  <c:v>0.71051455693915033</c:v>
                </c:pt>
                <c:pt idx="1">
                  <c:v>0.71062929431359978</c:v>
                </c:pt>
                <c:pt idx="2">
                  <c:v>0.7107445488526366</c:v>
                </c:pt>
                <c:pt idx="3">
                  <c:v>0.71086026741060471</c:v>
                </c:pt>
                <c:pt idx="4">
                  <c:v>0.71097639943322877</c:v>
                </c:pt>
                <c:pt idx="5">
                  <c:v>0.71109289683160382</c:v>
                </c:pt>
                <c:pt idx="6">
                  <c:v>0.71120971386280474</c:v>
                </c:pt>
                <c:pt idx="7">
                  <c:v>0.71132680701673412</c:v>
                </c:pt>
                <c:pt idx="8">
                  <c:v>0.71144413490885572</c:v>
                </c:pt>
                <c:pt idx="9">
                  <c:v>0.71156165817847028</c:v>
                </c:pt>
                <c:pt idx="10">
                  <c:v>0.71167933939222783</c:v>
                </c:pt>
                <c:pt idx="11">
                  <c:v>0.71179714295257812</c:v>
                </c:pt>
                <c:pt idx="12">
                  <c:v>0.71191503501088294</c:v>
                </c:pt>
                <c:pt idx="13">
                  <c:v>0.71203298338493093</c:v>
                </c:pt>
                <c:pt idx="14">
                  <c:v>0.7121509574806143</c:v>
                </c:pt>
                <c:pt idx="15">
                  <c:v>0.71226892821753163</c:v>
                </c:pt>
                <c:pt idx="16">
                  <c:v>0.71238686795830952</c:v>
                </c:pt>
                <c:pt idx="17">
                  <c:v>0.71250475044143669</c:v>
                </c:pt>
                <c:pt idx="18">
                  <c:v>0.71262255071741665</c:v>
                </c:pt>
                <c:pt idx="19">
                  <c:v>0.71274024508807221</c:v>
                </c:pt>
                <c:pt idx="20">
                  <c:v>0.7128578110488154</c:v>
                </c:pt>
                <c:pt idx="21">
                  <c:v>0.71297522723374396</c:v>
                </c:pt>
                <c:pt idx="22">
                  <c:v>0.71309247336339565</c:v>
                </c:pt>
                <c:pt idx="23">
                  <c:v>0.71320953019503774</c:v>
                </c:pt>
                <c:pt idx="24">
                  <c:v>0.71332637947534305</c:v>
                </c:pt>
                <c:pt idx="25">
                  <c:v>0.71344300389534065</c:v>
                </c:pt>
                <c:pt idx="26">
                  <c:v>0.71355938704751409</c:v>
                </c:pt>
                <c:pt idx="27">
                  <c:v>0.71367551338493884</c:v>
                </c:pt>
                <c:pt idx="28">
                  <c:v>0.71379136818235966</c:v>
                </c:pt>
                <c:pt idx="29">
                  <c:v>0.71390693749909595</c:v>
                </c:pt>
                <c:pt idx="30">
                  <c:v>0.71402220814369499</c:v>
                </c:pt>
                <c:pt idx="31">
                  <c:v>0.71413716764023671</c:v>
                </c:pt>
                <c:pt idx="32">
                  <c:v>0.71425180419620959</c:v>
                </c:pt>
                <c:pt idx="33">
                  <c:v>0.71436610667187483</c:v>
                </c:pt>
                <c:pt idx="34">
                  <c:v>0.7144800645510524</c:v>
                </c:pt>
                <c:pt idx="35">
                  <c:v>0.71459366791324774</c:v>
                </c:pt>
                <c:pt idx="36">
                  <c:v>0.71470690740706289</c:v>
                </c:pt>
                <c:pt idx="37">
                  <c:v>0.71481977422481846</c:v>
                </c:pt>
                <c:pt idx="38">
                  <c:v>0.7149322600783371</c:v>
                </c:pt>
                <c:pt idx="39">
                  <c:v>0.71504435717582426</c:v>
                </c:pt>
                <c:pt idx="40">
                  <c:v>0.71515605819979522</c:v>
                </c:pt>
                <c:pt idx="41">
                  <c:v>0.71526735628599858</c:v>
                </c:pt>
                <c:pt idx="42">
                  <c:v>0.71537824500328751</c:v>
                </c:pt>
                <c:pt idx="43">
                  <c:v>0.71548871833439087</c:v>
                </c:pt>
                <c:pt idx="44">
                  <c:v>0.71559877065754696</c:v>
                </c:pt>
                <c:pt idx="45">
                  <c:v>0.7157083967289497</c:v>
                </c:pt>
                <c:pt idx="46">
                  <c:v>0.71581759166598036</c:v>
                </c:pt>
                <c:pt idx="47">
                  <c:v>0.71592635093117518</c:v>
                </c:pt>
                <c:pt idx="48">
                  <c:v>0.71603467031690382</c:v>
                </c:pt>
                <c:pt idx="49">
                  <c:v>0.71614254593072213</c:v>
                </c:pt>
                <c:pt idx="50">
                  <c:v>0.71624997418136394</c:v>
                </c:pt>
                <c:pt idx="51">
                  <c:v>0.71635695176534997</c:v>
                </c:pt>
                <c:pt idx="52">
                  <c:v>0.71646347565417712</c:v>
                </c:pt>
                <c:pt idx="53">
                  <c:v>0.71656954308206799</c:v>
                </c:pt>
                <c:pt idx="54">
                  <c:v>0.71667515153424932</c:v>
                </c:pt>
                <c:pt idx="55">
                  <c:v>0.71678029873573956</c:v>
                </c:pt>
                <c:pt idx="56">
                  <c:v>0.71688498264061973</c:v>
                </c:pt>
                <c:pt idx="57">
                  <c:v>0.71698920142176636</c:v>
                </c:pt>
                <c:pt idx="58">
                  <c:v>0.71709295346102542</c:v>
                </c:pt>
                <c:pt idx="59">
                  <c:v>0.71719623733980808</c:v>
                </c:pt>
                <c:pt idx="60">
                  <c:v>0.71729905183008602</c:v>
                </c:pt>
                <c:pt idx="61">
                  <c:v>0.71740139588577734</c:v>
                </c:pt>
                <c:pt idx="62">
                  <c:v>0.71750326863448888</c:v>
                </c:pt>
                <c:pt idx="63">
                  <c:v>0.71760466936962075</c:v>
                </c:pt>
                <c:pt idx="64">
                  <c:v>0.71770559754279717</c:v>
                </c:pt>
                <c:pt idx="65">
                  <c:v>0.71780605275662246</c:v>
                </c:pt>
                <c:pt idx="66">
                  <c:v>0.71790603475773995</c:v>
                </c:pt>
                <c:pt idx="67">
                  <c:v>0.71800554343018774</c:v>
                </c:pt>
                <c:pt idx="68">
                  <c:v>0.71810457878902823</c:v>
                </c:pt>
                <c:pt idx="69">
                  <c:v>0.7182031409742512</c:v>
                </c:pt>
                <c:pt idx="70">
                  <c:v>0.71830123024492853</c:v>
                </c:pt>
                <c:pt idx="71">
                  <c:v>0.71839884697361778</c:v>
                </c:pt>
                <c:pt idx="72">
                  <c:v>0.71849599164099476</c:v>
                </c:pt>
                <c:pt idx="73">
                  <c:v>0.71859266483071604</c:v>
                </c:pt>
                <c:pt idx="74">
                  <c:v>0.71868886722449099</c:v>
                </c:pt>
                <c:pt idx="75">
                  <c:v>0.71878459959736318</c:v>
                </c:pt>
                <c:pt idx="76">
                  <c:v>0.71887986281318372</c:v>
                </c:pt>
                <c:pt idx="77">
                  <c:v>0.71897465782027836</c:v>
                </c:pt>
                <c:pt idx="78">
                  <c:v>0.71906898564729005</c:v>
                </c:pt>
                <c:pt idx="79">
                  <c:v>0.719162847399196</c:v>
                </c:pt>
                <c:pt idx="80">
                  <c:v>0.71925624425349088</c:v>
                </c:pt>
                <c:pt idx="81">
                  <c:v>0.71934917745652505</c:v>
                </c:pt>
                <c:pt idx="82">
                  <c:v>0.71944164831999735</c:v>
                </c:pt>
                <c:pt idx="83">
                  <c:v>0.71953365821759319</c:v>
                </c:pt>
                <c:pt idx="84">
                  <c:v>0.7196252085817596</c:v>
                </c:pt>
                <c:pt idx="85">
                  <c:v>0.71971630090061556</c:v>
                </c:pt>
                <c:pt idx="86">
                  <c:v>0.71980693671498774</c:v>
                </c:pt>
                <c:pt idx="87">
                  <c:v>0.71989711761557373</c:v>
                </c:pt>
                <c:pt idx="88">
                  <c:v>0.71998684524021606</c:v>
                </c:pt>
                <c:pt idx="89">
                  <c:v>0.72007612127129417</c:v>
                </c:pt>
                <c:pt idx="90">
                  <c:v>0.72016494743322113</c:v>
                </c:pt>
                <c:pt idx="91">
                  <c:v>0.72025332549004506</c:v>
                </c:pt>
                <c:pt idx="92">
                  <c:v>0.72034125724315157</c:v>
                </c:pt>
                <c:pt idx="93">
                  <c:v>0.72042874452905614</c:v>
                </c:pt>
                <c:pt idx="94">
                  <c:v>0.72051578921729431</c:v>
                </c:pt>
                <c:pt idx="95">
                  <c:v>0.7206023932083947</c:v>
                </c:pt>
                <c:pt idx="96">
                  <c:v>0.72068855843193713</c:v>
                </c:pt>
                <c:pt idx="97">
                  <c:v>0.72077428684469491</c:v>
                </c:pt>
                <c:pt idx="98">
                  <c:v>0.72085958042884679</c:v>
                </c:pt>
                <c:pt idx="99">
                  <c:v>0.72094444119027157</c:v>
                </c:pt>
                <c:pt idx="100">
                  <c:v>0.7210288711569085</c:v>
                </c:pt>
                <c:pt idx="101">
                  <c:v>0.72111287237718669</c:v>
                </c:pt>
                <c:pt idx="102">
                  <c:v>0.72119644691852336</c:v>
                </c:pt>
                <c:pt idx="103">
                  <c:v>0.72127959686588061</c:v>
                </c:pt>
                <c:pt idx="104">
                  <c:v>0.72136232432038594</c:v>
                </c:pt>
                <c:pt idx="105">
                  <c:v>0.72144463139800885</c:v>
                </c:pt>
                <c:pt idx="106">
                  <c:v>0.72152652022829278</c:v>
                </c:pt>
                <c:pt idx="107">
                  <c:v>0.72160799295314437</c:v>
                </c:pt>
                <c:pt idx="108">
                  <c:v>0.72168905172567044</c:v>
                </c:pt>
                <c:pt idx="109">
                  <c:v>0.72176969870906138</c:v>
                </c:pt>
                <c:pt idx="110">
                  <c:v>0.72184993607553116</c:v>
                </c:pt>
                <c:pt idx="111">
                  <c:v>0.72192976600529313</c:v>
                </c:pt>
                <c:pt idx="112">
                  <c:v>0.72200919068558667</c:v>
                </c:pt>
                <c:pt idx="113">
                  <c:v>0.7220882123097393</c:v>
                </c:pt>
                <c:pt idx="114">
                  <c:v>0.72216683307627494</c:v>
                </c:pt>
                <c:pt idx="115">
                  <c:v>0.72224505518805848</c:v>
                </c:pt>
                <c:pt idx="116">
                  <c:v>0.72232288085147489</c:v>
                </c:pt>
                <c:pt idx="117">
                  <c:v>0.72240031227564994</c:v>
                </c:pt>
                <c:pt idx="118">
                  <c:v>0.72247735167169913</c:v>
                </c:pt>
                <c:pt idx="119">
                  <c:v>0.72255400125201374</c:v>
                </c:pt>
                <c:pt idx="120">
                  <c:v>0.72263026322957558</c:v>
                </c:pt>
                <c:pt idx="121">
                  <c:v>0.72270613981730636</c:v>
                </c:pt>
                <c:pt idx="122">
                  <c:v>0.72278163322743916</c:v>
                </c:pt>
                <c:pt idx="123">
                  <c:v>0.72285674567092728</c:v>
                </c:pt>
                <c:pt idx="124">
                  <c:v>0.7229314793568713</c:v>
                </c:pt>
                <c:pt idx="125">
                  <c:v>0.72300583649197769</c:v>
                </c:pt>
                <c:pt idx="126">
                  <c:v>0.7230798192800395</c:v>
                </c:pt>
                <c:pt idx="127">
                  <c:v>0.72315342992144316</c:v>
                </c:pt>
                <c:pt idx="128">
                  <c:v>0.72322667061269541</c:v>
                </c:pt>
                <c:pt idx="129">
                  <c:v>0.72329954354597548</c:v>
                </c:pt>
                <c:pt idx="130">
                  <c:v>0.72337205090870649</c:v>
                </c:pt>
                <c:pt idx="131">
                  <c:v>0.72344419488314715</c:v>
                </c:pt>
                <c:pt idx="132">
                  <c:v>0.72351597764600373</c:v>
                </c:pt>
                <c:pt idx="133">
                  <c:v>0.72358740136806232</c:v>
                </c:pt>
                <c:pt idx="134">
                  <c:v>0.7236584682138355</c:v>
                </c:pt>
                <c:pt idx="135">
                  <c:v>0.72372918034122879</c:v>
                </c:pt>
                <c:pt idx="136">
                  <c:v>0.72379953990122581</c:v>
                </c:pt>
                <c:pt idx="137">
                  <c:v>0.7238695490375836</c:v>
                </c:pt>
                <c:pt idx="138">
                  <c:v>0.72393920988655047</c:v>
                </c:pt>
                <c:pt idx="139">
                  <c:v>0.72400852457659237</c:v>
                </c:pt>
                <c:pt idx="140">
                  <c:v>0.72407749522813869</c:v>
                </c:pt>
                <c:pt idx="141">
                  <c:v>0.72414612395333677</c:v>
                </c:pt>
                <c:pt idx="142">
                  <c:v>0.72421441285582466</c:v>
                </c:pt>
                <c:pt idx="143">
                  <c:v>0.72428236403051205</c:v>
                </c:pt>
                <c:pt idx="144">
                  <c:v>0.72434997956337643</c:v>
                </c:pt>
                <c:pt idx="145">
                  <c:v>0.72441726153126862</c:v>
                </c:pt>
                <c:pt idx="146">
                  <c:v>0.72448421200173219</c:v>
                </c:pt>
                <c:pt idx="147">
                  <c:v>0.72455083303282952</c:v>
                </c:pt>
                <c:pt idx="148">
                  <c:v>0.72461712667298406</c:v>
                </c:pt>
                <c:pt idx="149">
                  <c:v>0.72468309496082528</c:v>
                </c:pt>
                <c:pt idx="150">
                  <c:v>0.7247487399250504</c:v>
                </c:pt>
                <c:pt idx="151">
                  <c:v>0.72481406358428946</c:v>
                </c:pt>
                <c:pt idx="152">
                  <c:v>0.72487906794698231</c:v>
                </c:pt>
                <c:pt idx="153">
                  <c:v>0.72494375501126473</c:v>
                </c:pt>
                <c:pt idx="154">
                  <c:v>0.72500812676485804</c:v>
                </c:pt>
                <c:pt idx="155">
                  <c:v>0.72507218518497207</c:v>
                </c:pt>
                <c:pt idx="156">
                  <c:v>0.72513593223821315</c:v>
                </c:pt>
                <c:pt idx="157">
                  <c:v>0.72519936988049805</c:v>
                </c:pt>
                <c:pt idx="158">
                  <c:v>0.72526250005697446</c:v>
                </c:pt>
                <c:pt idx="159">
                  <c:v>0.72532532470195432</c:v>
                </c:pt>
                <c:pt idx="160">
                  <c:v>0.72538784573884518</c:v>
                </c:pt>
                <c:pt idx="161">
                  <c:v>0.72545006508009025</c:v>
                </c:pt>
                <c:pt idx="162">
                  <c:v>0.7255119846271183</c:v>
                </c:pt>
                <c:pt idx="163">
                  <c:v>0.72557360627029333</c:v>
                </c:pt>
                <c:pt idx="164">
                  <c:v>0.72563493188887418</c:v>
                </c:pt>
                <c:pt idx="165">
                  <c:v>0.72569596335097608</c:v>
                </c:pt>
                <c:pt idx="166">
                  <c:v>0.72575670251353852</c:v>
                </c:pt>
                <c:pt idx="167">
                  <c:v>0.72581715122229762</c:v>
                </c:pt>
                <c:pt idx="168">
                  <c:v>0.72587731131176469</c:v>
                </c:pt>
                <c:pt idx="169">
                  <c:v>0.7259371846052034</c:v>
                </c:pt>
                <c:pt idx="170">
                  <c:v>0.7259967729146205</c:v>
                </c:pt>
                <c:pt idx="171">
                  <c:v>0.72605607804075101</c:v>
                </c:pt>
                <c:pt idx="172">
                  <c:v>0.72611510177305316</c:v>
                </c:pt>
                <c:pt idx="173">
                  <c:v>0.72617384588970457</c:v>
                </c:pt>
                <c:pt idx="174">
                  <c:v>0.72623231215760287</c:v>
                </c:pt>
                <c:pt idx="175">
                  <c:v>0.7262905023323688</c:v>
                </c:pt>
                <c:pt idx="176">
                  <c:v>0.72634841815835371</c:v>
                </c:pt>
                <c:pt idx="177">
                  <c:v>0.72640606136864783</c:v>
                </c:pt>
                <c:pt idx="178">
                  <c:v>0.72646343368509503</c:v>
                </c:pt>
                <c:pt idx="179">
                  <c:v>0.72652053681830564</c:v>
                </c:pt>
                <c:pt idx="180">
                  <c:v>0.7265773724676784</c:v>
                </c:pt>
                <c:pt idx="181">
                  <c:v>0.72663394232141587</c:v>
                </c:pt>
                <c:pt idx="182">
                  <c:v>0.72669024805655202</c:v>
                </c:pt>
                <c:pt idx="183">
                  <c:v>0.72674629133897484</c:v>
                </c:pt>
                <c:pt idx="184">
                  <c:v>0.72680207382345574</c:v>
                </c:pt>
                <c:pt idx="185">
                  <c:v>0.7268575971536767</c:v>
                </c:pt>
                <c:pt idx="186">
                  <c:v>0.72691286296226487</c:v>
                </c:pt>
                <c:pt idx="187">
                  <c:v>0.72696787287082365</c:v>
                </c:pt>
                <c:pt idx="188">
                  <c:v>0.7270226284899689</c:v>
                </c:pt>
                <c:pt idx="189">
                  <c:v>0.7270771314193657</c:v>
                </c:pt>
                <c:pt idx="190">
                  <c:v>0.72713138324776716</c:v>
                </c:pt>
                <c:pt idx="191">
                  <c:v>0.7271853855530559</c:v>
                </c:pt>
                <c:pt idx="192">
                  <c:v>0.72723913990228151</c:v>
                </c:pt>
                <c:pt idx="193">
                  <c:v>0.72729264785170977</c:v>
                </c:pt>
                <c:pt idx="194">
                  <c:v>0.72734591094686085</c:v>
                </c:pt>
                <c:pt idx="195">
                  <c:v>0.72739893072255946</c:v>
                </c:pt>
                <c:pt idx="196">
                  <c:v>0.72745170870297959</c:v>
                </c:pt>
                <c:pt idx="197">
                  <c:v>0.72750424640169165</c:v>
                </c:pt>
                <c:pt idx="198">
                  <c:v>0.72755654532171454</c:v>
                </c:pt>
                <c:pt idx="199">
                  <c:v>0.72760860695556173</c:v>
                </c:pt>
                <c:pt idx="200">
                  <c:v>0.7276604327852948</c:v>
                </c:pt>
              </c:numCache>
            </c:numRef>
          </c:val>
          <c:smooth val="0"/>
          <c:extLst>
            <c:ext xmlns:c16="http://schemas.microsoft.com/office/drawing/2014/chart" uri="{C3380CC4-5D6E-409C-BE32-E72D297353CC}">
              <c16:uniqueId val="{00000007-AFE0-4300-9BF2-235D7250B897}"/>
            </c:ext>
          </c:extLst>
        </c:ser>
        <c:ser>
          <c:idx val="8"/>
          <c:order val="8"/>
          <c:tx>
            <c:strRef>
              <c:f>'Efficiency vs VIN Calculations'!$BB$8</c:f>
              <c:strCache>
                <c:ptCount val="1"/>
                <c:pt idx="0">
                  <c:v>Reverse Recovery Loss MOSFET D BOOST</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Calculations'!$BB$9:$BB$209</c:f>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8-AFE0-4300-9BF2-235D7250B897}"/>
            </c:ext>
          </c:extLst>
        </c:ser>
        <c:dLbls>
          <c:showLegendKey val="0"/>
          <c:showVal val="0"/>
          <c:showCatName val="0"/>
          <c:showSerName val="0"/>
          <c:showPercent val="0"/>
          <c:showBubbleSize val="0"/>
        </c:dLbls>
        <c:marker val="1"/>
        <c:smooth val="0"/>
        <c:axId val="196432256"/>
        <c:axId val="196421888"/>
        <c:extLst>
          <c:ext xmlns:c15="http://schemas.microsoft.com/office/drawing/2012/chart" uri="{02D57815-91ED-43cb-92C2-25804820EDAC}">
            <c15:filteredLineSeries>
              <c15:ser>
                <c:idx val="2"/>
                <c:order val="2"/>
                <c:tx>
                  <c:v>Total MOSFET Loss</c:v>
                </c:tx>
                <c:spPr>
                  <a:ln w="38100">
                    <a:solidFill>
                      <a:srgbClr val="808000"/>
                    </a:solidFill>
                    <a:prstDash val="sysDash"/>
                  </a:ln>
                </c:spPr>
                <c:marker>
                  <c:symbol val="none"/>
                </c:marker>
                <c:cat>
                  <c:numRef>
                    <c:extLst>
                      <c:ex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c:ext uri="{02D57815-91ED-43cb-92C2-25804820EDAC}">
                        <c15:formulaRef>
                          <c15:sqref>'Efficiency vs VIN Calculations'!$BQ$9:$BQ$209</c15:sqref>
                        </c15:formulaRef>
                      </c:ext>
                    </c:extLst>
                    <c:numCache>
                      <c:formatCode>0.000</c:formatCode>
                      <c:ptCount val="201"/>
                      <c:pt idx="0">
                        <c:v>4.8833771988768673</c:v>
                      </c:pt>
                      <c:pt idx="1">
                        <c:v>4.9016780655888761</c:v>
                      </c:pt>
                      <c:pt idx="2">
                        <c:v>4.9199964916870602</c:v>
                      </c:pt>
                      <c:pt idx="3">
                        <c:v>4.9383317694126685</c:v>
                      </c:pt>
                      <c:pt idx="4">
                        <c:v>4.9566832201107207</c:v>
                      </c:pt>
                      <c:pt idx="5">
                        <c:v>4.9750501928849182</c:v>
                      </c:pt>
                      <c:pt idx="6">
                        <c:v>4.9934320633230813</c:v>
                      </c:pt>
                      <c:pt idx="7">
                        <c:v>5.0118282322889574</c:v>
                      </c:pt>
                      <c:pt idx="8">
                        <c:v>5.0302381247765062</c:v>
                      </c:pt>
                      <c:pt idx="9">
                        <c:v>5.0486611888230168</c:v>
                      </c:pt>
                      <c:pt idx="10">
                        <c:v>5.0670968944776442</c:v>
                      </c:pt>
                      <c:pt idx="11">
                        <c:v>5.0855447328222185</c:v>
                      </c:pt>
                      <c:pt idx="12">
                        <c:v>5.1040042150412885</c:v>
                      </c:pt>
                      <c:pt idx="13">
                        <c:v>5.1224748715386745</c:v>
                      </c:pt>
                      <c:pt idx="14">
                        <c:v>5.1409562510978697</c:v>
                      </c:pt>
                      <c:pt idx="15">
                        <c:v>5.1594479200838617</c:v>
                      </c:pt>
                      <c:pt idx="16">
                        <c:v>5.1779494616840598</c:v>
                      </c:pt>
                      <c:pt idx="17">
                        <c:v>5.196460475186222</c:v>
                      </c:pt>
                      <c:pt idx="18">
                        <c:v>5.2149805752912588</c:v>
                      </c:pt>
                      <c:pt idx="19">
                        <c:v>5.2335093914591546</c:v>
                      </c:pt>
                      <c:pt idx="20">
                        <c:v>5.252046567286067</c:v>
                      </c:pt>
                      <c:pt idx="21">
                        <c:v>5.2705917599110776</c:v>
                      </c:pt>
                      <c:pt idx="22">
                        <c:v>5.2891446394508845</c:v>
                      </c:pt>
                      <c:pt idx="23">
                        <c:v>5.3077048884610569</c:v>
                      </c:pt>
                      <c:pt idx="24">
                        <c:v>5.3262722014223911</c:v>
                      </c:pt>
                      <c:pt idx="25">
                        <c:v>5.3448462842510818</c:v>
                      </c:pt>
                      <c:pt idx="26">
                        <c:v>5.3634268538314656</c:v>
                      </c:pt>
                      <c:pt idx="27">
                        <c:v>5.3820136375701688</c:v>
                      </c:pt>
                      <c:pt idx="28">
                        <c:v>5.4006063729705733</c:v>
                      </c:pt>
                      <c:pt idx="29">
                        <c:v>5.4192048072265342</c:v>
                      </c:pt>
                      <c:pt idx="30">
                        <c:v>5.4378086968344084</c:v>
                      </c:pt>
                      <c:pt idx="31">
                        <c:v>5.4564178072224436</c:v>
                      </c:pt>
                      <c:pt idx="32">
                        <c:v>5.4750319123966866</c:v>
                      </c:pt>
                      <c:pt idx="33">
                        <c:v>5.4936507946025417</c:v>
                      </c:pt>
                      <c:pt idx="34">
                        <c:v>5.512274244001266</c:v>
                      </c:pt>
                      <c:pt idx="35">
                        <c:v>5.5309020583606046</c:v>
                      </c:pt>
                      <c:pt idx="36">
                        <c:v>5.5495340427589221</c:v>
                      </c:pt>
                      <c:pt idx="37">
                        <c:v>5.5681700093021433</c:v>
                      </c:pt>
                      <c:pt idx="38">
                        <c:v>5.5868097768528955</c:v>
                      </c:pt>
                      <c:pt idx="39">
                        <c:v>5.6054531707712627</c:v>
                      </c:pt>
                      <c:pt idx="40">
                        <c:v>5.6241000226666111</c:v>
                      </c:pt>
                      <c:pt idx="41">
                        <c:v>5.6427501701599034</c:v>
                      </c:pt>
                      <c:pt idx="42">
                        <c:v>5.661403456656112</c:v>
                      </c:pt>
                      <c:pt idx="43">
                        <c:v>5.6800597311261196</c:v>
                      </c:pt>
                      <c:pt idx="44">
                        <c:v>5.6987188478977897</c:v>
                      </c:pt>
                      <c:pt idx="45">
                        <c:v>5.7173806664556945</c:v>
                      </c:pt>
                      <c:pt idx="46">
                        <c:v>5.7360450512491337</c:v>
                      </c:pt>
                      <c:pt idx="47">
                        <c:v>5.7547118715080687</c:v>
                      </c:pt>
                      <c:pt idx="48">
                        <c:v>5.7733810010665865</c:v>
                      </c:pt>
                      <c:pt idx="49">
                        <c:v>5.7920523181935621</c:v>
                      </c:pt>
                      <c:pt idx="50">
                        <c:v>5.8107257054302064</c:v>
                      </c:pt>
                      <c:pt idx="51">
                        <c:v>5.8294010494341553</c:v>
                      </c:pt>
                      <c:pt idx="52">
                        <c:v>5.8480782408298451</c:v>
                      </c:pt>
                      <c:pt idx="53">
                        <c:v>5.866757174064861</c:v>
                      </c:pt>
                      <c:pt idx="54">
                        <c:v>5.8854377472720136</c:v>
                      </c:pt>
                      <c:pt idx="55">
                        <c:v>5.9041198621368851</c:v>
                      </c:pt>
                      <c:pt idx="56">
                        <c:v>5.9228034237705929</c:v>
                      </c:pt>
                      <c:pt idx="57">
                        <c:v>5.9414883405875729</c:v>
                      </c:pt>
                      <c:pt idx="58">
                        <c:v>5.9601745241881154</c:v>
                      </c:pt>
                      <c:pt idx="59">
                        <c:v>5.9788618892454997</c:v>
                      </c:pt>
                      <c:pt idx="60">
                        <c:v>5.9975503533974868</c:v>
                      </c:pt>
                      <c:pt idx="61">
                        <c:v>6.0162398371420229</c:v>
                      </c:pt>
                      <c:pt idx="62">
                        <c:v>6.0349302637369169</c:v>
                      </c:pt>
                      <c:pt idx="63">
                        <c:v>6.0536215591033997</c:v>
                      </c:pt>
                      <c:pt idx="64">
                        <c:v>6.0723136517333165</c:v>
                      </c:pt>
                      <c:pt idx="65">
                        <c:v>6.0910064725998909</c:v>
                      </c:pt>
                      <c:pt idx="66">
                        <c:v>6.1096999550717968</c:v>
                      </c:pt>
                      <c:pt idx="67">
                        <c:v>6.1283940348305377</c:v>
                      </c:pt>
                      <c:pt idx="68">
                        <c:v>6.147088649790855</c:v>
                      </c:pt>
                      <c:pt idx="69">
                        <c:v>6.1657837400241613</c:v>
                      </c:pt>
                      <c:pt idx="70">
                        <c:v>6.184479247684787</c:v>
                      </c:pt>
                      <c:pt idx="71">
                        <c:v>6.2031751169389739</c:v>
                      </c:pt>
                      <c:pt idx="72">
                        <c:v>6.2218712938964833</c:v>
                      </c:pt>
                      <c:pt idx="73">
                        <c:v>6.240567726544711</c:v>
                      </c:pt>
                      <c:pt idx="74">
                        <c:v>6.2592643646852357</c:v>
                      </c:pt>
                      <c:pt idx="75">
                        <c:v>6.277961159872655</c:v>
                      </c:pt>
                      <c:pt idx="76">
                        <c:v>6.2966580653556523</c:v>
                      </c:pt>
                      <c:pt idx="77">
                        <c:v>6.315355036020204</c:v>
                      </c:pt>
                      <c:pt idx="78">
                        <c:v>6.3340520283348303</c:v>
                      </c:pt>
                      <c:pt idx="79">
                        <c:v>6.3527490002978046</c:v>
                      </c:pt>
                      <c:pt idx="80">
                        <c:v>6.3714459113862594</c:v>
                      </c:pt>
                      <c:pt idx="81">
                        <c:v>6.3901427225071057</c:v>
                      </c:pt>
                      <c:pt idx="82">
                        <c:v>6.4088393959496974</c:v>
                      </c:pt>
                      <c:pt idx="83">
                        <c:v>6.4275358953401689</c:v>
                      </c:pt>
                      <c:pt idx="84">
                        <c:v>6.4462321855973803</c:v>
                      </c:pt>
                      <c:pt idx="85">
                        <c:v>6.4649282328904256</c:v>
                      </c:pt>
                      <c:pt idx="86">
                        <c:v>6.4836240045976057</c:v>
                      </c:pt>
                      <c:pt idx="87">
                        <c:v>6.5023194692668529</c:v>
                      </c:pt>
                      <c:pt idx="88">
                        <c:v>6.5210145965775332</c:v>
                      </c:pt>
                      <c:pt idx="89">
                        <c:v>6.5397093573035479</c:v>
                      </c:pt>
                      <c:pt idx="90">
                        <c:v>6.5584037232777517</c:v>
                      </c:pt>
                      <c:pt idx="91">
                        <c:v>6.577097667357549</c:v>
                      </c:pt>
                      <c:pt idx="92">
                        <c:v>6.5957911633917119</c:v>
                      </c:pt>
                      <c:pt idx="93">
                        <c:v>6.6144841861883119</c:v>
                      </c:pt>
                      <c:pt idx="94">
                        <c:v>6.6331767114837445</c:v>
                      </c:pt>
                      <c:pt idx="95">
                        <c:v>6.6518687159128209</c:v>
                      </c:pt>
                      <c:pt idx="96">
                        <c:v>6.6705601769798593</c:v>
                      </c:pt>
                      <c:pt idx="97">
                        <c:v>6.6892510730307597</c:v>
                      </c:pt>
                      <c:pt idx="98">
                        <c:v>6.7079413832260206</c:v>
                      </c:pt>
                      <c:pt idx="99">
                        <c:v>6.7266310875146491</c:v>
                      </c:pt>
                      <c:pt idx="100">
                        <c:v>6.7453201666089724</c:v>
                      </c:pt>
                      <c:pt idx="101">
                        <c:v>6.764008601960251</c:v>
                      </c:pt>
                      <c:pt idx="102">
                        <c:v>6.7826963757351404</c:v>
                      </c:pt>
                      <c:pt idx="103">
                        <c:v>6.8013834707929064</c:v>
                      </c:pt>
                      <c:pt idx="104">
                        <c:v>6.8200698706634117</c:v>
                      </c:pt>
                      <c:pt idx="105">
                        <c:v>6.8387555595258203</c:v>
                      </c:pt>
                      <c:pt idx="106">
                        <c:v>6.8574405221879999</c:v>
                      </c:pt>
                      <c:pt idx="107">
                        <c:v>6.8761247440666082</c:v>
                      </c:pt>
                      <c:pt idx="108">
                        <c:v>6.8948082111678328</c:v>
                      </c:pt>
                      <c:pt idx="109">
                        <c:v>6.9134909100687345</c:v>
                      </c:pt>
                      <c:pt idx="110">
                        <c:v>6.9321728278992314</c:v>
                      </c:pt>
                      <c:pt idx="111">
                        <c:v>6.9508539523246453</c:v>
                      </c:pt>
                      <c:pt idx="112">
                        <c:v>6.9695342715288229</c:v>
                      </c:pt>
                      <c:pt idx="113">
                        <c:v>6.9882137741977957</c:v>
                      </c:pt>
                      <c:pt idx="114">
                        <c:v>7.0068924495039644</c:v>
                      </c:pt>
                      <c:pt idx="115">
                        <c:v>7.0255702870907966</c:v>
                      </c:pt>
                      <c:pt idx="116">
                        <c:v>7.0442472770580187</c:v>
                      </c:pt>
                      <c:pt idx="117">
                        <c:v>7.0629234099472669</c:v>
                      </c:pt>
                      <c:pt idx="118">
                        <c:v>7.0815986767282046</c:v>
                      </c:pt>
                      <c:pt idx="119">
                        <c:v>7.1002730687850795</c:v>
                      </c:pt>
                      <c:pt idx="120">
                        <c:v>7.1189465779037047</c:v>
                      </c:pt>
                      <c:pt idx="121">
                        <c:v>7.137619196258866</c:v>
                      </c:pt>
                      <c:pt idx="122">
                        <c:v>7.1562909164020851</c:v>
                      </c:pt>
                      <c:pt idx="123">
                        <c:v>7.1749617312498337</c:v>
                      </c:pt>
                      <c:pt idx="124">
                        <c:v>7.1936316340720543</c:v>
                      </c:pt>
                      <c:pt idx="125">
                        <c:v>7.2123006184810725</c:v>
                      </c:pt>
                      <c:pt idx="126">
                        <c:v>7.2309686784208616</c:v>
                      </c:pt>
                      <c:pt idx="127">
                        <c:v>7.2496358081566195</c:v>
                      </c:pt>
                      <c:pt idx="128">
                        <c:v>7.2683020022646838</c:v>
                      </c:pt>
                      <c:pt idx="129">
                        <c:v>7.2869672556227689</c:v>
                      </c:pt>
                      <c:pt idx="130">
                        <c:v>7.3056315634004765</c:v>
                      </c:pt>
                      <c:pt idx="131">
                        <c:v>7.324294921050134</c:v>
                      </c:pt>
                      <c:pt idx="132">
                        <c:v>7.3429573242978963</c:v>
                      </c:pt>
                      <c:pt idx="133">
                        <c:v>7.3616187691351156</c:v>
                      </c:pt>
                      <c:pt idx="134">
                        <c:v>7.3802792518100029</c:v>
                      </c:pt>
                      <c:pt idx="135">
                        <c:v>7.3989387688195105</c:v>
                      </c:pt>
                      <c:pt idx="136">
                        <c:v>7.4175973169014986</c:v>
                      </c:pt>
                      <c:pt idx="137">
                        <c:v>7.4362548930271082</c:v>
                      </c:pt>
                      <c:pt idx="138">
                        <c:v>7.4549114943933974</c:v>
                      </c:pt>
                      <c:pt idx="139">
                        <c:v>7.4735671184161738</c:v>
                      </c:pt>
                      <c:pt idx="140">
                        <c:v>7.4922217627230703</c:v>
                      </c:pt>
                      <c:pt idx="141">
                        <c:v>7.5108754251468044</c:v>
                      </c:pt>
                      <c:pt idx="142">
                        <c:v>7.5295281037186692</c:v>
                      </c:pt>
                      <c:pt idx="143">
                        <c:v>7.548179796662204</c:v>
                      </c:pt>
                      <c:pt idx="144">
                        <c:v>7.5668305023870577</c:v>
                      </c:pt>
                      <c:pt idx="145">
                        <c:v>7.585480219483042</c:v>
                      </c:pt>
                      <c:pt idx="146">
                        <c:v>7.6041289467143578</c:v>
                      </c:pt>
                      <c:pt idx="147">
                        <c:v>7.6227766830140027</c:v>
                      </c:pt>
                      <c:pt idx="148">
                        <c:v>7.6414234274783448</c:v>
                      </c:pt>
                      <c:pt idx="149">
                        <c:v>7.6600691793618463</c:v>
                      </c:pt>
                      <c:pt idx="150">
                        <c:v>7.6787139380719642</c:v>
                      </c:pt>
                      <c:pt idx="151">
                        <c:v>7.6973577031641893</c:v>
                      </c:pt>
                      <c:pt idx="152">
                        <c:v>7.7160004743372408</c:v>
                      </c:pt>
                      <c:pt idx="153">
                        <c:v>7.734642251428399</c:v>
                      </c:pt>
                      <c:pt idx="154">
                        <c:v>7.7532830344089785</c:v>
                      </c:pt>
                      <c:pt idx="155">
                        <c:v>7.7719228233799429</c:v>
                      </c:pt>
                      <c:pt idx="156">
                        <c:v>7.7905616185676347</c:v>
                      </c:pt>
                      <c:pt idx="157">
                        <c:v>7.8091994203196418</c:v>
                      </c:pt>
                      <c:pt idx="158">
                        <c:v>7.827836229100793</c:v>
                      </c:pt>
                      <c:pt idx="159">
                        <c:v>7.8464720454892545</c:v>
                      </c:pt>
                      <c:pt idx="160">
                        <c:v>7.8651068701727569</c:v>
                      </c:pt>
                      <c:pt idx="161">
                        <c:v>7.8837407039449197</c:v>
                      </c:pt>
                      <c:pt idx="162">
                        <c:v>7.9023735477017043</c:v>
                      </c:pt>
                      <c:pt idx="163">
                        <c:v>7.9210054024379488</c:v>
                      </c:pt>
                      <c:pt idx="164">
                        <c:v>7.9396362692440228</c:v>
                      </c:pt>
                      <c:pt idx="165">
                        <c:v>7.9582661493025642</c:v>
                      </c:pt>
                      <c:pt idx="166">
                        <c:v>7.976895043885329</c:v>
                      </c:pt>
                      <c:pt idx="167">
                        <c:v>7.9955229543501263</c:v>
                      </c:pt>
                      <c:pt idx="168">
                        <c:v>8.0141498821378256</c:v>
                      </c:pt>
                      <c:pt idx="169">
                        <c:v>8.0327758287694895</c:v>
                      </c:pt>
                      <c:pt idx="170">
                        <c:v>8.0514007958435556</c:v>
                      </c:pt>
                      <c:pt idx="171">
                        <c:v>8.0700247850331266</c:v>
                      </c:pt>
                      <c:pt idx="172">
                        <c:v>8.0886477980833078</c:v>
                      </c:pt>
                      <c:pt idx="173">
                        <c:v>8.1072698368086602</c:v>
                      </c:pt>
                      <c:pt idx="174">
                        <c:v>8.1258909030907009</c:v>
                      </c:pt>
                      <c:pt idx="175">
                        <c:v>8.1445109988754911</c:v>
                      </c:pt>
                      <c:pt idx="176">
                        <c:v>8.1631301261712839</c:v>
                      </c:pt>
                      <c:pt idx="177">
                        <c:v>8.1817482870462399</c:v>
                      </c:pt>
                      <c:pt idx="178">
                        <c:v>8.2003654836262303</c:v>
                      </c:pt>
                      <c:pt idx="179">
                        <c:v>8.2189817180926816</c:v>
                      </c:pt>
                      <c:pt idx="180">
                        <c:v>8.2375969926804906</c:v>
                      </c:pt>
                      <c:pt idx="181">
                        <c:v>8.2562113096759866</c:v>
                      </c:pt>
                      <c:pt idx="182">
                        <c:v>8.2748246714149936</c:v>
                      </c:pt>
                      <c:pt idx="183">
                        <c:v>8.2934370802808992</c:v>
                      </c:pt>
                      <c:pt idx="184">
                        <c:v>8.3120485387028165</c:v>
                      </c:pt>
                      <c:pt idx="185">
                        <c:v>8.3306590491537662</c:v>
                      </c:pt>
                      <c:pt idx="186">
                        <c:v>8.349268614148956</c:v>
                      </c:pt>
                      <c:pt idx="187">
                        <c:v>8.3678772362440696</c:v>
                      </c:pt>
                      <c:pt idx="188">
                        <c:v>8.3864849180336218</c:v>
                      </c:pt>
                      <c:pt idx="189">
                        <c:v>8.4050916621493617</c:v>
                      </c:pt>
                      <c:pt idx="190">
                        <c:v>8.423697471258718</c:v>
                      </c:pt>
                      <c:pt idx="191">
                        <c:v>8.4423023480633113</c:v>
                      </c:pt>
                      <c:pt idx="192">
                        <c:v>8.4609062952974661</c:v>
                      </c:pt>
                      <c:pt idx="193">
                        <c:v>8.4795093157268031</c:v>
                      </c:pt>
                      <c:pt idx="194">
                        <c:v>8.4981114121468622</c:v>
                      </c:pt>
                      <c:pt idx="195">
                        <c:v>8.5167125873817682</c:v>
                      </c:pt>
                      <c:pt idx="196">
                        <c:v>8.5353128442829238</c:v>
                      </c:pt>
                      <c:pt idx="197">
                        <c:v>8.5539121857277518</c:v>
                      </c:pt>
                      <c:pt idx="198">
                        <c:v>8.5725106146184729</c:v>
                      </c:pt>
                      <c:pt idx="199">
                        <c:v>8.591108133880919</c:v>
                      </c:pt>
                      <c:pt idx="200">
                        <c:v>8.6097047464633754</c:v>
                      </c:pt>
                    </c:numCache>
                  </c:numRef>
                </c:val>
                <c:smooth val="0"/>
                <c:extLst>
                  <c:ext xmlns:c16="http://schemas.microsoft.com/office/drawing/2014/chart" uri="{C3380CC4-5D6E-409C-BE32-E72D297353CC}">
                    <c16:uniqueId val="{00000002-AFE0-4300-9BF2-235D7250B897}"/>
                  </c:ext>
                </c:extLst>
              </c15:ser>
            </c15:filteredLineSeries>
          </c:ext>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37058275101309873"/>
          <c:y val="2.0343390532745328E-3"/>
          <c:w val="0.53719372417252065"/>
          <c:h val="0.11830196826136105"/>
        </c:manualLayout>
      </c:layout>
      <c:overlay val="0"/>
      <c:spPr>
        <a:solidFill>
          <a:srgbClr val="FFFFFF"/>
        </a:solidFill>
        <a:ln w="9525">
          <a:solidFill>
            <a:schemeClr val="tx1"/>
          </a:solidFill>
        </a:ln>
      </c:spPr>
      <c:txPr>
        <a:bodyPr/>
        <a:lstStyle/>
        <a:p>
          <a:pPr>
            <a:defRPr sz="8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solidFill>
      <a:schemeClr val="bg1"/>
    </a:solid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V</a:t>
            </a:r>
            <a:r>
              <a:rPr lang="en-US" sz="1800" b="1" i="0" u="none" strike="noStrike" baseline="-25000"/>
              <a:t>IN</a:t>
            </a:r>
            <a:r>
              <a:rPr lang="en-US" sz="1800" b="1" i="0" u="none" strike="noStrike" baseline="0"/>
              <a:t> = V</a:t>
            </a:r>
            <a:r>
              <a:rPr lang="en-US" sz="1800" b="1" i="0" u="none" strike="noStrike" baseline="-25000"/>
              <a:t>IN(nom)</a:t>
            </a:r>
            <a:endParaRPr lang="en-US" sz="1800">
              <a:latin typeface="Arial" pitchFamily="34" charset="0"/>
              <a:cs typeface="Arial" pitchFamily="34" charset="0"/>
            </a:endParaRPr>
          </a:p>
        </c:rich>
      </c:tx>
      <c:layout>
        <c:manualLayout>
          <c:xMode val="edge"/>
          <c:yMode val="edge"/>
          <c:x val="8.1772222786336932E-2"/>
          <c:y val="4.614939768388470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Calculations'!$BO$9:$BO$109</c:f>
              <c:numCache>
                <c:formatCode>0.00</c:formatCode>
                <c:ptCount val="101"/>
                <c:pt idx="0">
                  <c:v>0</c:v>
                </c:pt>
                <c:pt idx="1">
                  <c:v>42.981308682967686</c:v>
                </c:pt>
                <c:pt idx="2">
                  <c:v>59.81594128981358</c:v>
                </c:pt>
                <c:pt idx="3">
                  <c:v>68.791394396117369</c:v>
                </c:pt>
                <c:pt idx="4">
                  <c:v>74.365269277402803</c:v>
                </c:pt>
                <c:pt idx="5">
                  <c:v>78.160112828883172</c:v>
                </c:pt>
                <c:pt idx="6">
                  <c:v>80.908095170861685</c:v>
                </c:pt>
                <c:pt idx="7">
                  <c:v>82.988075774419855</c:v>
                </c:pt>
                <c:pt idx="8">
                  <c:v>84.615774919496573</c:v>
                </c:pt>
                <c:pt idx="9">
                  <c:v>85.92305009224556</c:v>
                </c:pt>
                <c:pt idx="10">
                  <c:v>86.995038695697374</c:v>
                </c:pt>
                <c:pt idx="11">
                  <c:v>87.874772487805274</c:v>
                </c:pt>
                <c:pt idx="12">
                  <c:v>88.610541703267756</c:v>
                </c:pt>
                <c:pt idx="13">
                  <c:v>89.240105768403183</c:v>
                </c:pt>
                <c:pt idx="14">
                  <c:v>89.784343428524792</c:v>
                </c:pt>
                <c:pt idx="15">
                  <c:v>90.258994183940843</c:v>
                </c:pt>
                <c:pt idx="16">
                  <c:v>90.676147789014124</c:v>
                </c:pt>
                <c:pt idx="17">
                  <c:v>91.045244094338329</c:v>
                </c:pt>
                <c:pt idx="18">
                  <c:v>91.373761274747977</c:v>
                </c:pt>
                <c:pt idx="19">
                  <c:v>91.667700153396595</c:v>
                </c:pt>
                <c:pt idx="20">
                  <c:v>91.931931785357861</c:v>
                </c:pt>
                <c:pt idx="21">
                  <c:v>92.170451317228625</c:v>
                </c:pt>
                <c:pt idx="22">
                  <c:v>92.386566338829155</c:v>
                </c:pt>
                <c:pt idx="23">
                  <c:v>92.583038635288304</c:v>
                </c:pt>
                <c:pt idx="24">
                  <c:v>92.762192257423948</c:v>
                </c:pt>
                <c:pt idx="25">
                  <c:v>92.9259968916746</c:v>
                </c:pt>
                <c:pt idx="26">
                  <c:v>93.076132874288632</c:v>
                </c:pt>
                <c:pt idx="27">
                  <c:v>93.214042397845049</c:v>
                </c:pt>
                <c:pt idx="28">
                  <c:v>93.340970214328181</c:v>
                </c:pt>
                <c:pt idx="29">
                  <c:v>93.457996265178849</c:v>
                </c:pt>
                <c:pt idx="30">
                  <c:v>93.566062046587788</c:v>
                </c:pt>
                <c:pt idx="31">
                  <c:v>93.665992069755774</c:v>
                </c:pt>
                <c:pt idx="32">
                  <c:v>93.758511448709172</c:v>
                </c:pt>
                <c:pt idx="33">
                  <c:v>93.84426040708108</c:v>
                </c:pt>
                <c:pt idx="34">
                  <c:v>93.923806315665644</c:v>
                </c:pt>
                <c:pt idx="35">
                  <c:v>93.997653737539082</c:v>
                </c:pt>
                <c:pt idx="36">
                  <c:v>94.066252855146629</c:v>
                </c:pt>
                <c:pt idx="37">
                  <c:v>94.130006575451631</c:v>
                </c:pt>
                <c:pt idx="38">
                  <c:v>94.189276548895137</c:v>
                </c:pt>
                <c:pt idx="39">
                  <c:v>94.244388291058428</c:v>
                </c:pt>
                <c:pt idx="40">
                  <c:v>94.295635559289138</c:v>
                </c:pt>
                <c:pt idx="41">
                  <c:v>94.343284107722113</c:v>
                </c:pt>
                <c:pt idx="42">
                  <c:v>94.387574921295098</c:v>
                </c:pt>
                <c:pt idx="43">
                  <c:v>94.428727011173194</c:v>
                </c:pt>
                <c:pt idx="44">
                  <c:v>94.466939839425308</c:v>
                </c:pt>
                <c:pt idx="45">
                  <c:v>94.502395429061337</c:v>
                </c:pt>
                <c:pt idx="46">
                  <c:v>94.535260206039169</c:v>
                </c:pt>
                <c:pt idx="47">
                  <c:v>94.565686612122789</c:v>
                </c:pt>
                <c:pt idx="48">
                  <c:v>94.593814521156929</c:v>
                </c:pt>
                <c:pt idx="49">
                  <c:v>94.619772486139624</c:v>
                </c:pt>
                <c:pt idx="50">
                  <c:v>94.643678840199541</c:v>
                </c:pt>
                <c:pt idx="51">
                  <c:v>94.665642671047067</c:v>
                </c:pt>
                <c:pt idx="52">
                  <c:v>94.685764685528412</c:v>
                </c:pt>
                <c:pt idx="53">
                  <c:v>94.704137978459585</c:v>
                </c:pt>
                <c:pt idx="54">
                  <c:v>94.720848717864087</c:v>
                </c:pt>
                <c:pt idx="55">
                  <c:v>94.735976757014257</c:v>
                </c:pt>
                <c:pt idx="56">
                  <c:v>94.749596182222319</c:v>
                </c:pt>
                <c:pt idx="57">
                  <c:v>94.761775804098889</c:v>
                </c:pt>
                <c:pt idx="58">
                  <c:v>94.77257959895438</c:v>
                </c:pt>
                <c:pt idx="59">
                  <c:v>94.782067106132274</c:v>
                </c:pt>
                <c:pt idx="60">
                  <c:v>94.790293786306862</c:v>
                </c:pt>
                <c:pt idx="61">
                  <c:v>94.797311345131547</c:v>
                </c:pt>
                <c:pt idx="62">
                  <c:v>94.803168026068519</c:v>
                </c:pt>
                <c:pt idx="63">
                  <c:v>94.807908875753654</c:v>
                </c:pt>
                <c:pt idx="64">
                  <c:v>94.811575984839408</c:v>
                </c:pt>
                <c:pt idx="65">
                  <c:v>94.814208706902278</c:v>
                </c:pt>
                <c:pt idx="66">
                  <c:v>94.815843857694645</c:v>
                </c:pt>
                <c:pt idx="67">
                  <c:v>94.81651589675208</c:v>
                </c:pt>
                <c:pt idx="68">
                  <c:v>94.816257093136088</c:v>
                </c:pt>
                <c:pt idx="69">
                  <c:v>94.815097676888286</c:v>
                </c:pt>
                <c:pt idx="70">
                  <c:v>94.813065977595656</c:v>
                </c:pt>
                <c:pt idx="71">
                  <c:v>94.810188551310787</c:v>
                </c:pt>
                <c:pt idx="72">
                  <c:v>94.806490296935507</c:v>
                </c:pt>
                <c:pt idx="73">
                  <c:v>94.801994563056269</c:v>
                </c:pt>
                <c:pt idx="74">
                  <c:v>94.796723246114539</c:v>
                </c:pt>
                <c:pt idx="75">
                  <c:v>94.790696880702811</c:v>
                </c:pt>
                <c:pt idx="76">
                  <c:v>94.783934722694312</c:v>
                </c:pt>
                <c:pt idx="77">
                  <c:v>94.776454825842222</c:v>
                </c:pt>
                <c:pt idx="78">
                  <c:v>94.768274112419675</c:v>
                </c:pt>
                <c:pt idx="79">
                  <c:v>94.759408438414908</c:v>
                </c:pt>
                <c:pt idx="80">
                  <c:v>94.749872653744319</c:v>
                </c:pt>
                <c:pt idx="81">
                  <c:v>94.739680657901957</c:v>
                </c:pt>
                <c:pt idx="82">
                  <c:v>94.728845451422643</c:v>
                </c:pt>
                <c:pt idx="83">
                  <c:v>94.717379183500299</c:v>
                </c:pt>
                <c:pt idx="84">
                  <c:v>94.705293196070457</c:v>
                </c:pt>
                <c:pt idx="85">
                  <c:v>94.692598064637536</c:v>
                </c:pt>
                <c:pt idx="86">
                  <c:v>94.679303636100386</c:v>
                </c:pt>
                <c:pt idx="87">
                  <c:v>94.665419063807619</c:v>
                </c:pt>
                <c:pt idx="88">
                  <c:v>94.650952840052184</c:v>
                </c:pt>
                <c:pt idx="89">
                  <c:v>94.635912826196204</c:v>
                </c:pt>
                <c:pt idx="90">
                  <c:v>94.620306280599806</c:v>
                </c:pt>
                <c:pt idx="91">
                  <c:v>94.604139884512634</c:v>
                </c:pt>
                <c:pt idx="92">
                  <c:v>94.587419766072045</c:v>
                </c:pt>
                <c:pt idx="93">
                  <c:v>94.570151522540385</c:v>
                </c:pt>
                <c:pt idx="94">
                  <c:v>94.552340240901003</c:v>
                </c:pt>
                <c:pt idx="95">
                  <c:v>94.53399051692351</c:v>
                </c:pt>
                <c:pt idx="96">
                  <c:v>94.515106472798479</c:v>
                </c:pt>
                <c:pt idx="97">
                  <c:v>94.495691773433379</c:v>
                </c:pt>
                <c:pt idx="98">
                  <c:v>94.475749641493834</c:v>
                </c:pt>
                <c:pt idx="99">
                  <c:v>94.455282871266917</c:v>
                </c:pt>
                <c:pt idx="100">
                  <c:v>94.434293841416704</c:v>
                </c:pt>
              </c:numCache>
            </c:numRef>
          </c:val>
          <c:smooth val="0"/>
          <c:extLst>
            <c:ext xmlns:c16="http://schemas.microsoft.com/office/drawing/2014/chart" uri="{C3380CC4-5D6E-409C-BE32-E72D297353CC}">
              <c16:uniqueId val="{00000000-CD13-4AE6-B19C-8777E1F9C3A3}"/>
            </c:ext>
          </c:extLst>
        </c:ser>
        <c:dLbls>
          <c:showLegendKey val="0"/>
          <c:showVal val="0"/>
          <c:showCatName val="0"/>
          <c:showSerName val="0"/>
          <c:showPercent val="0"/>
          <c:showBubbleSize val="0"/>
        </c:dLbls>
        <c:marker val="1"/>
        <c:smooth val="0"/>
        <c:axId val="196357120"/>
        <c:axId val="196359296"/>
      </c:lineChart>
      <c:lineChart>
        <c:grouping val="standard"/>
        <c:varyColors val="0"/>
        <c:ser>
          <c:idx val="2"/>
          <c:order val="1"/>
          <c:tx>
            <c:strRef>
              <c:f>'Efficiency vs Load Calculations'!$BR$8</c:f>
              <c:strCache>
                <c:ptCount val="1"/>
                <c:pt idx="0">
                  <c:v>Buck ''Control'' MOSFET Loss</c:v>
                </c:pt>
              </c:strCache>
            </c:strRef>
          </c:tx>
          <c:spPr>
            <a:ln w="38100">
              <a:solidFill>
                <a:srgbClr val="808000"/>
              </a:solidFill>
              <a:prstDash val="sysDash"/>
            </a:ln>
          </c:spPr>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Calculations'!$BR$9:$BR$109</c:f>
              <c:numCache>
                <c:formatCode>0.000</c:formatCode>
                <c:ptCount val="101"/>
                <c:pt idx="0">
                  <c:v>3.1529105136505538E-2</c:v>
                </c:pt>
                <c:pt idx="1">
                  <c:v>5.4690673352102183E-2</c:v>
                </c:pt>
                <c:pt idx="2">
                  <c:v>7.7385953848884345E-2</c:v>
                </c:pt>
                <c:pt idx="3">
                  <c:v>0.10020680619968501</c:v>
                </c:pt>
                <c:pt idx="4">
                  <c:v>0.12315510877160887</c:v>
                </c:pt>
                <c:pt idx="5">
                  <c:v>0.14623276282052239</c:v>
                </c:pt>
                <c:pt idx="6">
                  <c:v>0.16944169305522361</c:v>
                </c:pt>
                <c:pt idx="7">
                  <c:v>0.19278384821223077</c:v>
                </c:pt>
                <c:pt idx="8">
                  <c:v>0.21626120164155113</c:v>
                </c:pt>
                <c:pt idx="9">
                  <c:v>0.23987575190379914</c:v>
                </c:pt>
                <c:pt idx="10">
                  <c:v>0.26362952337904461</c:v>
                </c:pt>
                <c:pt idx="11">
                  <c:v>0.2893204591322821</c:v>
                </c:pt>
                <c:pt idx="12">
                  <c:v>0.31625123740263961</c:v>
                </c:pt>
                <c:pt idx="13">
                  <c:v>0.34332962955552204</c:v>
                </c:pt>
                <c:pt idx="14">
                  <c:v>0.37055802488475886</c:v>
                </c:pt>
                <c:pt idx="15">
                  <c:v>0.39793884254681378</c:v>
                </c:pt>
                <c:pt idx="16">
                  <c:v>0.42547453232484467</c:v>
                </c:pt>
                <c:pt idx="17">
                  <c:v>0.45316757540803548</c:v>
                </c:pt>
                <c:pt idx="18">
                  <c:v>0.48102048518672286</c:v>
                </c:pt>
                <c:pt idx="19">
                  <c:v>0.50903580806385684</c:v>
                </c:pt>
                <c:pt idx="20">
                  <c:v>0.5372161242833452</c:v>
                </c:pt>
                <c:pt idx="21">
                  <c:v>0.56556404877585409</c:v>
                </c:pt>
                <c:pt idx="22">
                  <c:v>0.59408223202264832</c:v>
                </c:pt>
                <c:pt idx="23">
                  <c:v>0.62277336093807478</c:v>
                </c:pt>
                <c:pt idx="24">
                  <c:v>0.65164015977131173</c:v>
                </c:pt>
                <c:pt idx="25">
                  <c:v>0.68068539102802017</c:v>
                </c:pt>
                <c:pt idx="26">
                  <c:v>0.70991185641256338</c:v>
                </c:pt>
                <c:pt idx="27">
                  <c:v>0.73932239779146713</c:v>
                </c:pt>
                <c:pt idx="28">
                  <c:v>0.76891989817882811</c:v>
                </c:pt>
                <c:pt idx="29">
                  <c:v>0.79870728274439262</c:v>
                </c:pt>
                <c:pt idx="30">
                  <c:v>0.82868751984504985</c:v>
                </c:pt>
                <c:pt idx="31">
                  <c:v>0.85886362208051414</c:v>
                </c:pt>
                <c:pt idx="32">
                  <c:v>0.88923864737398972</c:v>
                </c:pt>
                <c:pt idx="33">
                  <c:v>0.91981570007864144</c:v>
                </c:pt>
                <c:pt idx="34">
                  <c:v>0.95059793211071986</c:v>
                </c:pt>
                <c:pt idx="35">
                  <c:v>0.98158854411021823</c:v>
                </c:pt>
                <c:pt idx="36">
                  <c:v>1.0127907866299692</c:v>
                </c:pt>
                <c:pt idx="37">
                  <c:v>1.0442079613541166</c:v>
                </c:pt>
                <c:pt idx="38">
                  <c:v>1.0758434223469351</c:v>
                </c:pt>
                <c:pt idx="39">
                  <c:v>1.107700577333</c:v>
                </c:pt>
                <c:pt idx="40">
                  <c:v>1.1397828890097406</c:v>
                </c:pt>
                <c:pt idx="41">
                  <c:v>1.172093876393457</c:v>
                </c:pt>
                <c:pt idx="42">
                  <c:v>1.2046371161999092</c:v>
                </c:pt>
                <c:pt idx="43">
                  <c:v>1.2374162442606262</c:v>
                </c:pt>
                <c:pt idx="44">
                  <c:v>1.2704349569761337</c:v>
                </c:pt>
                <c:pt idx="45">
                  <c:v>1.3036970128073253</c:v>
                </c:pt>
                <c:pt idx="46">
                  <c:v>1.3372062338062658</c:v>
                </c:pt>
                <c:pt idx="47">
                  <c:v>1.370966507187743</c:v>
                </c:pt>
                <c:pt idx="48">
                  <c:v>1.4049817869429471</c:v>
                </c:pt>
                <c:pt idx="49">
                  <c:v>1.4392560954966971</c:v>
                </c:pt>
                <c:pt idx="50">
                  <c:v>1.4737935254096961</c:v>
                </c:pt>
                <c:pt idx="51">
                  <c:v>1.5085982411273378</c:v>
                </c:pt>
                <c:pt idx="52">
                  <c:v>1.5436744807766634</c:v>
                </c:pt>
                <c:pt idx="53">
                  <c:v>1.579026558013104</c:v>
                </c:pt>
                <c:pt idx="54">
                  <c:v>1.6146588639187323</c:v>
                </c:pt>
                <c:pt idx="55">
                  <c:v>1.6505758689537862</c:v>
                </c:pt>
                <c:pt idx="56">
                  <c:v>1.6867821249633188</c:v>
                </c:pt>
                <c:pt idx="57">
                  <c:v>1.7232822672408754</c:v>
                </c:pt>
                <c:pt idx="58">
                  <c:v>1.7600810166512018</c:v>
                </c:pt>
                <c:pt idx="59">
                  <c:v>1.7971831818140327</c:v>
                </c:pt>
                <c:pt idx="60">
                  <c:v>1.8345936613511173</c:v>
                </c:pt>
                <c:pt idx="61">
                  <c:v>1.8723174461987104</c:v>
                </c:pt>
                <c:pt idx="62">
                  <c:v>1.910359621987842</c:v>
                </c:pt>
                <c:pt idx="63">
                  <c:v>1.9487253714947848</c:v>
                </c:pt>
                <c:pt idx="64">
                  <c:v>1.9874199771642205</c:v>
                </c:pt>
                <c:pt idx="65">
                  <c:v>2.0264488237077152</c:v>
                </c:pt>
                <c:pt idx="66">
                  <c:v>2.0658174007802188</c:v>
                </c:pt>
                <c:pt idx="67">
                  <c:v>2.1055313057374074</c:v>
                </c:pt>
                <c:pt idx="68">
                  <c:v>2.1455962464768232</c:v>
                </c:pt>
                <c:pt idx="69">
                  <c:v>2.1860180443658423</c:v>
                </c:pt>
                <c:pt idx="70">
                  <c:v>2.2268026372596972</c:v>
                </c:pt>
                <c:pt idx="71">
                  <c:v>2.267956082612836</c:v>
                </c:pt>
                <c:pt idx="72">
                  <c:v>2.3094845606871077</c:v>
                </c:pt>
                <c:pt idx="73">
                  <c:v>2.3513943778603479</c:v>
                </c:pt>
                <c:pt idx="74">
                  <c:v>2.393691970039153</c:v>
                </c:pt>
                <c:pt idx="75">
                  <c:v>2.4363839061797279</c:v>
                </c:pt>
                <c:pt idx="76">
                  <c:v>2.4794768919209149</c:v>
                </c:pt>
                <c:pt idx="77">
                  <c:v>2.5229777733336531</c:v>
                </c:pt>
                <c:pt idx="78">
                  <c:v>2.5668935407912987</c:v>
                </c:pt>
                <c:pt idx="79">
                  <c:v>2.6112313329654775</c:v>
                </c:pt>
                <c:pt idx="80">
                  <c:v>2.6559984409522674</c:v>
                </c:pt>
                <c:pt idx="81">
                  <c:v>2.7012023125337961</c:v>
                </c:pt>
                <c:pt idx="82">
                  <c:v>2.7468505565805077</c:v>
                </c:pt>
                <c:pt idx="83">
                  <c:v>2.7929509475996261</c:v>
                </c:pt>
                <c:pt idx="84">
                  <c:v>2.8395114304355569</c:v>
                </c:pt>
                <c:pt idx="85">
                  <c:v>2.8865401251282545</c:v>
                </c:pt>
                <c:pt idx="86">
                  <c:v>2.9340453319358417</c:v>
                </c:pt>
                <c:pt idx="87">
                  <c:v>2.9820355365280493</c:v>
                </c:pt>
                <c:pt idx="88">
                  <c:v>3.0305194153573622</c:v>
                </c:pt>
                <c:pt idx="89">
                  <c:v>3.0795058412150556</c:v>
                </c:pt>
                <c:pt idx="90">
                  <c:v>3.1290038889796574</c:v>
                </c:pt>
                <c:pt idx="91">
                  <c:v>3.1790228415657049</c:v>
                </c:pt>
                <c:pt idx="92">
                  <c:v>3.2295721960810408</c:v>
                </c:pt>
                <c:pt idx="93">
                  <c:v>3.2806616702013041</c:v>
                </c:pt>
                <c:pt idx="94">
                  <c:v>3.3323012087706214</c:v>
                </c:pt>
                <c:pt idx="95">
                  <c:v>3.3845009906380308</c:v>
                </c:pt>
                <c:pt idx="96">
                  <c:v>3.4372714357395071</c:v>
                </c:pt>
                <c:pt idx="97">
                  <c:v>3.4906232124360623</c:v>
                </c:pt>
                <c:pt idx="98">
                  <c:v>3.5445672451187948</c:v>
                </c:pt>
                <c:pt idx="99">
                  <c:v>3.5991147220923625</c:v>
                </c:pt>
                <c:pt idx="100">
                  <c:v>3.6542771037488824</c:v>
                </c:pt>
              </c:numCache>
            </c:numRef>
          </c:val>
          <c:smooth val="0"/>
          <c:extLst>
            <c:ext xmlns:c16="http://schemas.microsoft.com/office/drawing/2014/chart" uri="{C3380CC4-5D6E-409C-BE32-E72D297353CC}">
              <c16:uniqueId val="{00000001-CD13-4AE6-B19C-8777E1F9C3A3}"/>
            </c:ext>
          </c:extLst>
        </c:ser>
        <c:ser>
          <c:idx val="3"/>
          <c:order val="2"/>
          <c:tx>
            <c:v>Inductor Loss</c:v>
          </c:tx>
          <c:spPr>
            <a:ln w="38100">
              <a:solidFill>
                <a:srgbClr val="800080"/>
              </a:solidFill>
              <a:prstDash val="dash"/>
            </a:ln>
          </c:spPr>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Calculations'!$BP$9:$BP$109</c:f>
              <c:numCache>
                <c:formatCode>0.000</c:formatCode>
                <c:ptCount val="101"/>
                <c:pt idx="0">
                  <c:v>0.26565911720848034</c:v>
                </c:pt>
                <c:pt idx="1">
                  <c:v>0.26579630391885301</c:v>
                </c:pt>
                <c:pt idx="2">
                  <c:v>0.26610062303457804</c:v>
                </c:pt>
                <c:pt idx="3">
                  <c:v>0.26657209470366122</c:v>
                </c:pt>
                <c:pt idx="4">
                  <c:v>0.2672107524827117</c:v>
                </c:pt>
                <c:pt idx="5">
                  <c:v>0.26801664334367359</c:v>
                </c:pt>
                <c:pt idx="6">
                  <c:v>0.26898982768324814</c:v>
                </c:pt>
                <c:pt idx="7">
                  <c:v>0.27013037933500927</c:v>
                </c:pt>
                <c:pt idx="8">
                  <c:v>0.2714383855842224</c:v>
                </c:pt>
                <c:pt idx="9">
                  <c:v>0.27291394718536693</c:v>
                </c:pt>
                <c:pt idx="10">
                  <c:v>0.27455717838236804</c:v>
                </c:pt>
                <c:pt idx="11">
                  <c:v>0.27636820693155761</c:v>
                </c:pt>
                <c:pt idx="12">
                  <c:v>0.27834717412735172</c:v>
                </c:pt>
                <c:pt idx="13">
                  <c:v>0.28049423483067404</c:v>
                </c:pt>
                <c:pt idx="14">
                  <c:v>0.28280955750012549</c:v>
                </c:pt>
                <c:pt idx="15">
                  <c:v>0.28529332422591619</c:v>
                </c:pt>
                <c:pt idx="16">
                  <c:v>0.28794573076656566</c:v>
                </c:pt>
                <c:pt idx="17">
                  <c:v>0.29076698658839467</c:v>
                </c:pt>
                <c:pt idx="18">
                  <c:v>0.29375731490781998</c:v>
                </c:pt>
                <c:pt idx="19">
                  <c:v>0.29691695273646257</c:v>
                </c:pt>
                <c:pt idx="20">
                  <c:v>0.30024615092909224</c:v>
                </c:pt>
                <c:pt idx="21">
                  <c:v>0.30374517423442832</c:v>
                </c:pt>
                <c:pt idx="22">
                  <c:v>0.30741430134881009</c:v>
                </c:pt>
                <c:pt idx="23">
                  <c:v>0.3112538249727585</c:v>
                </c:pt>
                <c:pt idx="24">
                  <c:v>0.31526405187045703</c:v>
                </c:pt>
                <c:pt idx="25">
                  <c:v>0.31944530293216483</c:v>
                </c:pt>
                <c:pt idx="26">
                  <c:v>0.32379791323959262</c:v>
                </c:pt>
                <c:pt idx="27">
                  <c:v>0.32832223213426426</c:v>
                </c:pt>
                <c:pt idx="28">
                  <c:v>0.33301862328889148</c:v>
                </c:pt>
                <c:pt idx="29">
                  <c:v>0.33788746478178272</c:v>
                </c:pt>
                <c:pt idx="30">
                  <c:v>0.3429291491743271</c:v>
                </c:pt>
                <c:pt idx="31">
                  <c:v>0.34814408359157223</c:v>
                </c:pt>
                <c:pt idx="32">
                  <c:v>0.353532689805929</c:v>
                </c:pt>
                <c:pt idx="33">
                  <c:v>0.35909540432404125</c:v>
                </c:pt>
                <c:pt idx="34">
                  <c:v>0.36483267847684897</c:v>
                </c:pt>
                <c:pt idx="35">
                  <c:v>0.3707449785128798</c:v>
                </c:pt>
                <c:pt idx="36">
                  <c:v>0.37683278569480932</c:v>
                </c:pt>
                <c:pt idx="37">
                  <c:v>0.38309659639932347</c:v>
                </c:pt>
                <c:pt idx="38">
                  <c:v>0.38953692222032232</c:v>
                </c:pt>
                <c:pt idx="39">
                  <c:v>0.39615429007551195</c:v>
                </c:pt>
                <c:pt idx="40">
                  <c:v>0.40294924231641738</c:v>
                </c:pt>
                <c:pt idx="41">
                  <c:v>0.40992233684186491</c:v>
                </c:pt>
                <c:pt idx="42">
                  <c:v>0.4170741472149796</c:v>
                </c:pt>
                <c:pt idx="43">
                  <c:v>0.42440526278374296</c:v>
                </c:pt>
                <c:pt idx="44">
                  <c:v>0.43191628880515298</c:v>
                </c:pt>
                <c:pt idx="45">
                  <c:v>0.43960784657305269</c:v>
                </c:pt>
                <c:pt idx="46">
                  <c:v>0.44748057354965576</c:v>
                </c:pt>
                <c:pt idx="47">
                  <c:v>0.45553512350083925</c:v>
                </c:pt>
                <c:pt idx="48">
                  <c:v>0.46377216663525433</c:v>
                </c:pt>
                <c:pt idx="49">
                  <c:v>0.47219238974730104</c:v>
                </c:pt>
                <c:pt idx="50">
                  <c:v>0.48079649636404337</c:v>
                </c:pt>
                <c:pt idx="51">
                  <c:v>0.48958520689610618</c:v>
                </c:pt>
                <c:pt idx="52">
                  <c:v>0.49855925879262619</c:v>
                </c:pt>
                <c:pt idx="53">
                  <c:v>0.5077194067003199</c:v>
                </c:pt>
                <c:pt idx="54">
                  <c:v>0.51706642262672653</c:v>
                </c:pt>
                <c:pt idx="55">
                  <c:v>0.52660109610770411</c:v>
                </c:pt>
                <c:pt idx="56">
                  <c:v>0.53632423437923926</c:v>
                </c:pt>
                <c:pt idx="57">
                  <c:v>0.54623666255364267</c:v>
                </c:pt>
                <c:pt idx="58">
                  <c:v>0.55633922380021561</c:v>
                </c:pt>
                <c:pt idx="59">
                  <c:v>0.56663277953044044</c:v>
                </c:pt>
                <c:pt idx="60">
                  <c:v>0.57711820958779669</c:v>
                </c:pt>
                <c:pt idx="61">
                  <c:v>0.58779641244227177</c:v>
                </c:pt>
                <c:pt idx="62">
                  <c:v>0.59866830538964078</c:v>
                </c:pt>
                <c:pt idx="63">
                  <c:v>0.60973482475561869</c:v>
                </c:pt>
                <c:pt idx="64">
                  <c:v>0.6209969261049576</c:v>
                </c:pt>
                <c:pt idx="65">
                  <c:v>0.63245558445558303</c:v>
                </c:pt>
                <c:pt idx="66">
                  <c:v>0.64411179449786404</c:v>
                </c:pt>
                <c:pt idx="67">
                  <c:v>0.65596657081910603</c:v>
                </c:pt>
                <c:pt idx="68">
                  <c:v>0.66802094813337676</c:v>
                </c:pt>
                <c:pt idx="69">
                  <c:v>0.68027598151674229</c:v>
                </c:pt>
                <c:pt idx="70">
                  <c:v>0.6927327466480433</c:v>
                </c:pt>
                <c:pt idx="71">
                  <c:v>0.70539234005530105</c:v>
                </c:pt>
                <c:pt idx="72">
                  <c:v>0.71825587936786417</c:v>
                </c:pt>
                <c:pt idx="73">
                  <c:v>0.73132450357441148</c:v>
                </c:pt>
                <c:pt idx="74">
                  <c:v>0.74459937328692516</c:v>
                </c:pt>
                <c:pt idx="75">
                  <c:v>0.75808167101075397</c:v>
                </c:pt>
                <c:pt idx="76">
                  <c:v>0.77177260142088411</c:v>
                </c:pt>
                <c:pt idx="77">
                  <c:v>0.7856733916445483</c:v>
                </c:pt>
                <c:pt idx="78">
                  <c:v>0.79978529155029532</c:v>
                </c:pt>
                <c:pt idx="79">
                  <c:v>0.8141095740436628</c:v>
                </c:pt>
                <c:pt idx="80">
                  <c:v>0.82864753536957614</c:v>
                </c:pt>
                <c:pt idx="81">
                  <c:v>0.84340049542162476</c:v>
                </c:pt>
                <c:pt idx="82">
                  <c:v>0.85836979805835045</c:v>
                </c:pt>
                <c:pt idx="83">
                  <c:v>0.87355681142670383</c:v>
                </c:pt>
                <c:pt idx="84">
                  <c:v>0.88896292829281243</c:v>
                </c:pt>
                <c:pt idx="85">
                  <c:v>0.90458956638023058</c:v>
                </c:pt>
                <c:pt idx="86">
                  <c:v>0.92043816871580642</c:v>
                </c:pt>
                <c:pt idx="87">
                  <c:v>0.93651020398335882</c:v>
                </c:pt>
                <c:pt idx="88">
                  <c:v>0.95280716688532241</c:v>
                </c:pt>
                <c:pt idx="89">
                  <c:v>0.96933057851252258</c:v>
                </c:pt>
                <c:pt idx="90">
                  <c:v>0.98608198672228875</c:v>
                </c:pt>
                <c:pt idx="91">
                  <c:v>1.0030629665250581</c:v>
                </c:pt>
                <c:pt idx="92">
                  <c:v>1.0202751204796838</c:v>
                </c:pt>
                <c:pt idx="93">
                  <c:v>1.037720079097634</c:v>
                </c:pt>
                <c:pt idx="94">
                  <c:v>1.0553995012562762</c:v>
                </c:pt>
                <c:pt idx="95">
                  <c:v>1.0733150746214648</c:v>
                </c:pt>
                <c:pt idx="96">
                  <c:v>1.0914685160796367</c:v>
                </c:pt>
                <c:pt idx="97">
                  <c:v>1.1098615721796328</c:v>
                </c:pt>
                <c:pt idx="98">
                  <c:v>1.1284960195844715</c:v>
                </c:pt>
                <c:pt idx="99">
                  <c:v>1.1473736655333138</c:v>
                </c:pt>
                <c:pt idx="100">
                  <c:v>1.1664963483138355</c:v>
                </c:pt>
              </c:numCache>
            </c:numRef>
          </c:val>
          <c:smooth val="0"/>
          <c:extLst>
            <c:ext xmlns:c16="http://schemas.microsoft.com/office/drawing/2014/chart" uri="{C3380CC4-5D6E-409C-BE32-E72D297353CC}">
              <c16:uniqueId val="{00000002-CD13-4AE6-B19C-8777E1F9C3A3}"/>
            </c:ext>
          </c:extLst>
        </c:ser>
        <c:ser>
          <c:idx val="1"/>
          <c:order val="3"/>
          <c:tx>
            <c:strRef>
              <c:f>'Efficiency vs Load Calculations'!$BS$8</c:f>
              <c:strCache>
                <c:ptCount val="1"/>
                <c:pt idx="0">
                  <c:v>Buck ''SYNC'' MOSFET Loss</c:v>
                </c:pt>
              </c:strCache>
            </c:strRef>
          </c:tx>
          <c:spPr>
            <a:ln w="38100">
              <a:solidFill>
                <a:srgbClr val="002060"/>
              </a:solidFill>
              <a:prstDash val="sysDot"/>
            </a:ln>
          </c:spPr>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Calculations'!$BS$9:$BS$109</c:f>
              <c:numCache>
                <c:formatCode>0.000</c:formatCode>
                <c:ptCount val="101"/>
                <c:pt idx="0">
                  <c:v>3.052429571815201E-2</c:v>
                </c:pt>
                <c:pt idx="1">
                  <c:v>3.5863480897242485E-2</c:v>
                </c:pt>
                <c:pt idx="2">
                  <c:v>3.9730033943421873E-2</c:v>
                </c:pt>
                <c:pt idx="3">
                  <c:v>4.3719051772311196E-2</c:v>
                </c:pt>
                <c:pt idx="4">
                  <c:v>4.7830839760933039E-2</c:v>
                </c:pt>
                <c:pt idx="5">
                  <c:v>5.2065724803173591E-2</c:v>
                </c:pt>
                <c:pt idx="6">
                  <c:v>5.6424055415732977E-2</c:v>
                </c:pt>
                <c:pt idx="7">
                  <c:v>6.0906201853576758E-2</c:v>
                </c:pt>
                <c:pt idx="8">
                  <c:v>6.5512556234968183E-2</c:v>
                </c:pt>
                <c:pt idx="9">
                  <c:v>7.0243532676168036E-2</c:v>
                </c:pt>
                <c:pt idx="10">
                  <c:v>7.5099567435896991E-2</c:v>
                </c:pt>
                <c:pt idx="11">
                  <c:v>8.187701131416586E-2</c:v>
                </c:pt>
                <c:pt idx="12">
                  <c:v>8.9876945672302339E-2</c:v>
                </c:pt>
                <c:pt idx="13">
                  <c:v>9.8005539913078019E-2</c:v>
                </c:pt>
                <c:pt idx="14">
                  <c:v>0.10626357580770966</c:v>
                </c:pt>
                <c:pt idx="15">
                  <c:v>0.11465185895149579</c:v>
                </c:pt>
                <c:pt idx="16">
                  <c:v>0.12317121904557357</c:v>
                </c:pt>
                <c:pt idx="17">
                  <c:v>0.13182251018991303</c:v>
                </c:pt>
                <c:pt idx="18">
                  <c:v>0.14060661118776147</c:v>
                </c:pt>
                <c:pt idx="19">
                  <c:v>0.14952442586176073</c:v>
                </c:pt>
                <c:pt idx="20">
                  <c:v>0.15857688338197146</c:v>
                </c:pt>
                <c:pt idx="21">
                  <c:v>0.16776493860604672</c:v>
                </c:pt>
                <c:pt idx="22">
                  <c:v>0.17708957243181245</c:v>
                </c:pt>
                <c:pt idx="23">
                  <c:v>0.18655179216251841</c:v>
                </c:pt>
                <c:pt idx="24">
                  <c:v>0.19615263188503948</c:v>
                </c:pt>
                <c:pt idx="25">
                  <c:v>0.2058931528613164</c:v>
                </c:pt>
                <c:pt idx="26">
                  <c:v>0.21577444393333833</c:v>
                </c:pt>
                <c:pt idx="27">
                  <c:v>0.22579762194198238</c:v>
                </c:pt>
                <c:pt idx="28">
                  <c:v>0.23596383216003858</c:v>
                </c:pt>
                <c:pt idx="29">
                  <c:v>0.24627424873976173</c:v>
                </c:pt>
                <c:pt idx="30">
                  <c:v>0.25673007517530622</c:v>
                </c:pt>
                <c:pt idx="31">
                  <c:v>0.26733254478041429</c:v>
                </c:pt>
                <c:pt idx="32">
                  <c:v>0.27808292118174366</c:v>
                </c:pt>
                <c:pt idx="33">
                  <c:v>0.28898249882823435</c:v>
                </c:pt>
                <c:pt idx="34">
                  <c:v>0.30003260351693373</c:v>
                </c:pt>
                <c:pt idx="35">
                  <c:v>0.31123459293571176</c:v>
                </c:pt>
                <c:pt idx="36">
                  <c:v>0.32258985722331895</c:v>
                </c:pt>
                <c:pt idx="37">
                  <c:v>0.33409981954725509</c:v>
                </c:pt>
                <c:pt idx="38">
                  <c:v>0.3457659366999376</c:v>
                </c:pt>
                <c:pt idx="39">
                  <c:v>0.35758969971367538</c:v>
                </c:pt>
                <c:pt idx="40">
                  <c:v>0.36957263449497507</c:v>
                </c:pt>
                <c:pt idx="41">
                  <c:v>0.38171630247872812</c:v>
                </c:pt>
                <c:pt idx="42">
                  <c:v>0.39402230130284821</c:v>
                </c:pt>
                <c:pt idx="43">
                  <c:v>0.40649226550394868</c:v>
                </c:pt>
                <c:pt idx="44">
                  <c:v>0.41912786723467699</c:v>
                </c:pt>
                <c:pt idx="45">
                  <c:v>0.43193081700334474</c:v>
                </c:pt>
                <c:pt idx="46">
                  <c:v>0.44490286443651672</c:v>
                </c:pt>
                <c:pt idx="47">
                  <c:v>0.45804579906524978</c:v>
                </c:pt>
                <c:pt idx="48">
                  <c:v>0.47136145113570016</c:v>
                </c:pt>
                <c:pt idx="49">
                  <c:v>0.48485169244484244</c:v>
                </c:pt>
                <c:pt idx="50">
                  <c:v>0.49851843720207956</c:v>
                </c:pt>
                <c:pt idx="51">
                  <c:v>0.51236364291754555</c:v>
                </c:pt>
                <c:pt idx="52">
                  <c:v>0.52638931131794175</c:v>
                </c:pt>
                <c:pt idx="53">
                  <c:v>0.540597489290778</c:v>
                </c:pt>
                <c:pt idx="54">
                  <c:v>0.55499026985792177</c:v>
                </c:pt>
                <c:pt idx="55">
                  <c:v>0.56956979317940171</c:v>
                </c:pt>
                <c:pt idx="56">
                  <c:v>0.58433824758844199</c:v>
                </c:pt>
                <c:pt idx="57">
                  <c:v>0.59929787065874707</c:v>
                </c:pt>
                <c:pt idx="58">
                  <c:v>0.61445095030510011</c:v>
                </c:pt>
                <c:pt idx="59">
                  <c:v>0.62979982591837347</c:v>
                </c:pt>
                <c:pt idx="60">
                  <c:v>0.64534688953610186</c:v>
                </c:pt>
                <c:pt idx="61">
                  <c:v>0.66109458704981328</c:v>
                </c:pt>
                <c:pt idx="62">
                  <c:v>0.67704541945035701</c:v>
                </c:pt>
                <c:pt idx="63">
                  <c:v>0.69320194411252578</c:v>
                </c:pt>
                <c:pt idx="64">
                  <c:v>0.70956677612032049</c:v>
                </c:pt>
                <c:pt idx="65">
                  <c:v>0.72614258963425315</c:v>
                </c:pt>
                <c:pt idx="66">
                  <c:v>0.74293211930215808</c:v>
                </c:pt>
                <c:pt idx="67">
                  <c:v>0.7599381617150256</c:v>
                </c:pt>
                <c:pt idx="68">
                  <c:v>0.77716357690944671</c:v>
                </c:pt>
                <c:pt idx="69">
                  <c:v>0.79461128991831809</c:v>
                </c:pt>
                <c:pt idx="70">
                  <c:v>0.81228429237153121</c:v>
                </c:pt>
                <c:pt idx="71">
                  <c:v>0.83018564414843499</c:v>
                </c:pt>
                <c:pt idx="72">
                  <c:v>0.84831847508394675</c:v>
                </c:pt>
                <c:pt idx="73">
                  <c:v>0.86668598673025643</c:v>
                </c:pt>
                <c:pt idx="74">
                  <c:v>0.88529145417616006</c:v>
                </c:pt>
                <c:pt idx="75">
                  <c:v>0.90413822792614384</c:v>
                </c:pt>
                <c:pt idx="76">
                  <c:v>0.9232297358414272</c:v>
                </c:pt>
                <c:pt idx="77">
                  <c:v>0.94256948514528183</c:v>
                </c:pt>
                <c:pt idx="78">
                  <c:v>0.96216106449502303</c:v>
                </c:pt>
                <c:pt idx="79">
                  <c:v>0.98200814612320586</c:v>
                </c:pt>
                <c:pt idx="80">
                  <c:v>1.0021144880506363</c:v>
                </c:pt>
                <c:pt idx="81">
                  <c:v>1.0224839363739522</c:v>
                </c:pt>
                <c:pt idx="82">
                  <c:v>1.0431204276306318</c:v>
                </c:pt>
                <c:pt idx="83">
                  <c:v>1.064027991244429</c:v>
                </c:pt>
                <c:pt idx="84">
                  <c:v>1.0852107520543592</c:v>
                </c:pt>
                <c:pt idx="85">
                  <c:v>1.1066729329305103</c:v>
                </c:pt>
                <c:pt idx="86">
                  <c:v>1.1284188574800955</c:v>
                </c:pt>
                <c:pt idx="87">
                  <c:v>1.1504529528473215</c:v>
                </c:pt>
                <c:pt idx="88">
                  <c:v>1.1727797526108215</c:v>
                </c:pt>
                <c:pt idx="89">
                  <c:v>1.1954038997825518</c:v>
                </c:pt>
                <c:pt idx="90">
                  <c:v>1.218330149912265</c:v>
                </c:pt>
                <c:pt idx="91">
                  <c:v>1.2415633743018315</c:v>
                </c:pt>
                <c:pt idx="92">
                  <c:v>1.2651085633339079</c:v>
                </c:pt>
                <c:pt idx="93">
                  <c:v>1.2889708299196529</c:v>
                </c:pt>
                <c:pt idx="94">
                  <c:v>1.3131554130704117</c:v>
                </c:pt>
                <c:pt idx="95">
                  <c:v>1.337667681598538</c:v>
                </c:pt>
                <c:pt idx="96">
                  <c:v>1.3625131379527535</c:v>
                </c:pt>
                <c:pt idx="97">
                  <c:v>1.3876974221937302</c:v>
                </c:pt>
                <c:pt idx="98">
                  <c:v>1.4132263161158303</c:v>
                </c:pt>
                <c:pt idx="99">
                  <c:v>1.4391057475212585</c:v>
                </c:pt>
                <c:pt idx="100">
                  <c:v>1.4653417946531597</c:v>
                </c:pt>
              </c:numCache>
            </c:numRef>
          </c:val>
          <c:smooth val="0"/>
          <c:extLst>
            <c:ext xmlns:c16="http://schemas.microsoft.com/office/drawing/2014/chart" uri="{C3380CC4-5D6E-409C-BE32-E72D297353CC}">
              <c16:uniqueId val="{00000003-CD13-4AE6-B19C-8777E1F9C3A3}"/>
            </c:ext>
          </c:extLst>
        </c:ser>
        <c:dLbls>
          <c:showLegendKey val="0"/>
          <c:showVal val="0"/>
          <c:showCatName val="0"/>
          <c:showSerName val="0"/>
          <c:showPercent val="0"/>
          <c:showBubbleSize val="0"/>
        </c:dLbls>
        <c:marker val="1"/>
        <c:smooth val="0"/>
        <c:axId val="196371584"/>
        <c:axId val="196361216"/>
      </c:lineChart>
      <c:catAx>
        <c:axId val="19635712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359296"/>
        <c:crosses val="autoZero"/>
        <c:auto val="1"/>
        <c:lblAlgn val="ctr"/>
        <c:lblOffset val="100"/>
        <c:tickLblSkip val="20"/>
        <c:tickMarkSkip val="20"/>
        <c:noMultiLvlLbl val="1"/>
      </c:catAx>
      <c:valAx>
        <c:axId val="196359296"/>
        <c:scaling>
          <c:orientation val="minMax"/>
          <c:max val="100"/>
          <c:min val="7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357120"/>
        <c:crosses val="autoZero"/>
        <c:crossBetween val="between"/>
        <c:majorUnit val="5"/>
        <c:minorUnit val="2.5"/>
      </c:valAx>
      <c:valAx>
        <c:axId val="19636121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371584"/>
        <c:crosses val="max"/>
        <c:crossBetween val="between"/>
      </c:valAx>
      <c:catAx>
        <c:axId val="196371584"/>
        <c:scaling>
          <c:orientation val="minMax"/>
        </c:scaling>
        <c:delete val="1"/>
        <c:axPos val="b"/>
        <c:numFmt formatCode="General" sourceLinked="1"/>
        <c:majorTickMark val="out"/>
        <c:minorTickMark val="none"/>
        <c:tickLblPos val="nextTo"/>
        <c:crossAx val="196361216"/>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61417999772302789"/>
          <c:h val="9.0576560908423698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I</a:t>
            </a:r>
            <a:r>
              <a:rPr lang="en-US" sz="1800" b="1" i="0" u="none" strike="noStrike" baseline="-25000"/>
              <a:t>OUT</a:t>
            </a:r>
            <a:r>
              <a:rPr lang="en-US" sz="1800" b="1" i="0" u="none" strike="noStrike" baseline="0"/>
              <a:t> = I</a:t>
            </a:r>
            <a:r>
              <a:rPr lang="en-US" sz="1800" b="1" i="0" u="none" strike="noStrike" baseline="-25000"/>
              <a:t>OUT(max)</a:t>
            </a:r>
            <a:endParaRPr lang="en-US" sz="1800">
              <a:latin typeface="Arial" pitchFamily="34" charset="0"/>
              <a:cs typeface="Arial" pitchFamily="34" charset="0"/>
            </a:endParaRPr>
          </a:p>
        </c:rich>
      </c:tx>
      <c:layout>
        <c:manualLayout>
          <c:xMode val="edge"/>
          <c:yMode val="edge"/>
          <c:x val="8.6461554556559683E-2"/>
          <c:y val="5.1078541245190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31750">
              <a:solidFill>
                <a:srgbClr val="FF0000"/>
              </a:solidFill>
              <a:prstDash val="solid"/>
            </a:ln>
          </c:spPr>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Calculations'!$BO$9:$BO$209</c:f>
              <c:numCache>
                <c:formatCode>0.00</c:formatCode>
                <c:ptCount val="201"/>
                <c:pt idx="0">
                  <c:v>95.549377136149715</c:v>
                </c:pt>
                <c:pt idx="1">
                  <c:v>95.532263889966728</c:v>
                </c:pt>
                <c:pt idx="2">
                  <c:v>95.515110946792703</c:v>
                </c:pt>
                <c:pt idx="3">
                  <c:v>95.497921563735773</c:v>
                </c:pt>
                <c:pt idx="4">
                  <c:v>95.480698874935015</c:v>
                </c:pt>
                <c:pt idx="5">
                  <c:v>95.46344589523342</c:v>
                </c:pt>
                <c:pt idx="6">
                  <c:v>95.446165523831439</c:v>
                </c:pt>
                <c:pt idx="7">
                  <c:v>95.428860547907206</c:v>
                </c:pt>
                <c:pt idx="8">
                  <c:v>95.411533646191657</c:v>
                </c:pt>
                <c:pt idx="9">
                  <c:v>95.394187392488902</c:v>
                </c:pt>
                <c:pt idx="10">
                  <c:v>95.37682425913394</c:v>
                </c:pt>
                <c:pt idx="11">
                  <c:v>95.359446620381874</c:v>
                </c:pt>
                <c:pt idx="12">
                  <c:v>95.342056755723192</c:v>
                </c:pt>
                <c:pt idx="13">
                  <c:v>95.324656853121752</c:v>
                </c:pt>
                <c:pt idx="14">
                  <c:v>95.307249012172193</c:v>
                </c:pt>
                <c:pt idx="15">
                  <c:v>95.289835247175219</c:v>
                </c:pt>
                <c:pt idx="16">
                  <c:v>95.272417490129016</c:v>
                </c:pt>
                <c:pt idx="17">
                  <c:v>95.254997593636375</c:v>
                </c:pt>
                <c:pt idx="18">
                  <c:v>95.237577333727103</c:v>
                </c:pt>
                <c:pt idx="19">
                  <c:v>95.220158412596007</c:v>
                </c:pt>
                <c:pt idx="20">
                  <c:v>95.202742461257046</c:v>
                </c:pt>
                <c:pt idx="21">
                  <c:v>95.185331042114257</c:v>
                </c:pt>
                <c:pt idx="22">
                  <c:v>95.167925651451057</c:v>
                </c:pt>
                <c:pt idx="23">
                  <c:v>95.150527721838614</c:v>
                </c:pt>
                <c:pt idx="24">
                  <c:v>95.133138624465204</c:v>
                </c:pt>
                <c:pt idx="25">
                  <c:v>95.11575967138802</c:v>
                </c:pt>
                <c:pt idx="26">
                  <c:v>95.09839211770911</c:v>
                </c:pt>
                <c:pt idx="27">
                  <c:v>95.081037163677209</c:v>
                </c:pt>
                <c:pt idx="28">
                  <c:v>95.063695956717481</c:v>
                </c:pt>
                <c:pt idx="29">
                  <c:v>95.046369593390949</c:v>
                </c:pt>
                <c:pt idx="30">
                  <c:v>95.029059121285471</c:v>
                </c:pt>
                <c:pt idx="31">
                  <c:v>95.011765540840386</c:v>
                </c:pt>
                <c:pt idx="32">
                  <c:v>94.99448980710666</c:v>
                </c:pt>
                <c:pt idx="33">
                  <c:v>94.977232831444454</c:v>
                </c:pt>
                <c:pt idx="34">
                  <c:v>94.959995483160171</c:v>
                </c:pt>
                <c:pt idx="35">
                  <c:v>94.942778591084732</c:v>
                </c:pt>
                <c:pt idx="36">
                  <c:v>94.925582945095016</c:v>
                </c:pt>
                <c:pt idx="37">
                  <c:v>94.908409297580505</c:v>
                </c:pt>
                <c:pt idx="38">
                  <c:v>94.89125836485654</c:v>
                </c:pt>
                <c:pt idx="39">
                  <c:v>94.874130828526404</c:v>
                </c:pt>
                <c:pt idx="40">
                  <c:v>94.85702733679372</c:v>
                </c:pt>
                <c:pt idx="41">
                  <c:v>94.839948505726966</c:v>
                </c:pt>
                <c:pt idx="42">
                  <c:v>94.822894920477651</c:v>
                </c:pt>
                <c:pt idx="43">
                  <c:v>94.805867136453983</c:v>
                </c:pt>
                <c:pt idx="44">
                  <c:v>94.788865680451295</c:v>
                </c:pt>
                <c:pt idx="45">
                  <c:v>94.771891051741136</c:v>
                </c:pt>
                <c:pt idx="46">
                  <c:v>94.754943723120022</c:v>
                </c:pt>
                <c:pt idx="47">
                  <c:v>94.738024141919936</c:v>
                </c:pt>
                <c:pt idx="48">
                  <c:v>94.721132730981111</c:v>
                </c:pt>
                <c:pt idx="49">
                  <c:v>94.704269889589369</c:v>
                </c:pt>
                <c:pt idx="50">
                  <c:v>94.687435994378674</c:v>
                </c:pt>
                <c:pt idx="51">
                  <c:v>94.670631400200222</c:v>
                </c:pt>
                <c:pt idx="52">
                  <c:v>94.653856440959743</c:v>
                </c:pt>
                <c:pt idx="53">
                  <c:v>94.637111430423587</c:v>
                </c:pt>
                <c:pt idx="54">
                  <c:v>94.620396662995148</c:v>
                </c:pt>
                <c:pt idx="55">
                  <c:v>94.603712414462677</c:v>
                </c:pt>
                <c:pt idx="56">
                  <c:v>94.587058942719167</c:v>
                </c:pt>
                <c:pt idx="57">
                  <c:v>94.570436488455982</c:v>
                </c:pt>
                <c:pt idx="58">
                  <c:v>94.553845275830568</c:v>
                </c:pt>
                <c:pt idx="59">
                  <c:v>94.537285513109723</c:v>
                </c:pt>
                <c:pt idx="60">
                  <c:v>94.520757393288861</c:v>
                </c:pt>
                <c:pt idx="61">
                  <c:v>94.504261094688616</c:v>
                </c:pt>
                <c:pt idx="62">
                  <c:v>94.487796781529269</c:v>
                </c:pt>
                <c:pt idx="63">
                  <c:v>94.471364604484052</c:v>
                </c:pt>
                <c:pt idx="64">
                  <c:v>94.454964701211992</c:v>
                </c:pt>
                <c:pt idx="65">
                  <c:v>94.438597196871086</c:v>
                </c:pt>
                <c:pt idx="66">
                  <c:v>94.422262204612551</c:v>
                </c:pt>
                <c:pt idx="67">
                  <c:v>94.405959826056929</c:v>
                </c:pt>
                <c:pt idx="68">
                  <c:v>94.38969015175249</c:v>
                </c:pt>
                <c:pt idx="69">
                  <c:v>94.373453261616874</c:v>
                </c:pt>
                <c:pt idx="70">
                  <c:v>94.357249225362452</c:v>
                </c:pt>
                <c:pt idx="71">
                  <c:v>94.341078102905968</c:v>
                </c:pt>
                <c:pt idx="72">
                  <c:v>94.324939944763088</c:v>
                </c:pt>
                <c:pt idx="73">
                  <c:v>94.308834792428613</c:v>
                </c:pt>
                <c:pt idx="74">
                  <c:v>94.292762678742449</c:v>
                </c:pt>
                <c:pt idx="75">
                  <c:v>94.276723628242337</c:v>
                </c:pt>
                <c:pt idx="76">
                  <c:v>94.260717657503506</c:v>
                </c:pt>
                <c:pt idx="77">
                  <c:v>94.244744775465847</c:v>
                </c:pt>
                <c:pt idx="78">
                  <c:v>94.228804983749185</c:v>
                </c:pt>
                <c:pt idx="79">
                  <c:v>94.212898276956778</c:v>
                </c:pt>
                <c:pt idx="80">
                  <c:v>94.197024642967918</c:v>
                </c:pt>
                <c:pt idx="81">
                  <c:v>94.181184063219547</c:v>
                </c:pt>
                <c:pt idx="82">
                  <c:v>94.165376512977744</c:v>
                </c:pt>
                <c:pt idx="83">
                  <c:v>94.149601961599117</c:v>
                </c:pt>
                <c:pt idx="84">
                  <c:v>94.133860372782678</c:v>
                </c:pt>
                <c:pt idx="85">
                  <c:v>94.118151704812476</c:v>
                </c:pt>
                <c:pt idx="86">
                  <c:v>94.102475910791313</c:v>
                </c:pt>
                <c:pt idx="87">
                  <c:v>94.086832938865825</c:v>
                </c:pt>
                <c:pt idx="88">
                  <c:v>94.071222732443502</c:v>
                </c:pt>
                <c:pt idx="89">
                  <c:v>94.055645230401524</c:v>
                </c:pt>
                <c:pt idx="90">
                  <c:v>94.040100367288105</c:v>
                </c:pt>
                <c:pt idx="91">
                  <c:v>94.024588073516355</c:v>
                </c:pt>
                <c:pt idx="92">
                  <c:v>94.009108275551071</c:v>
                </c:pt>
                <c:pt idx="93">
                  <c:v>93.993660896088684</c:v>
                </c:pt>
                <c:pt idx="94">
                  <c:v>93.978245854230579</c:v>
                </c:pt>
                <c:pt idx="95">
                  <c:v>93.962863065650055</c:v>
                </c:pt>
                <c:pt idx="96">
                  <c:v>93.947512442753165</c:v>
                </c:pt>
                <c:pt idx="97">
                  <c:v>93.932193894833617</c:v>
                </c:pt>
                <c:pt idx="98">
                  <c:v>93.916907328222067</c:v>
                </c:pt>
                <c:pt idx="99">
                  <c:v>93.901652646429781</c:v>
                </c:pt>
                <c:pt idx="100">
                  <c:v>93.886429750287149</c:v>
                </c:pt>
                <c:pt idx="101">
                  <c:v>93.871238538076966</c:v>
                </c:pt>
                <c:pt idx="102">
                  <c:v>93.856078905662983</c:v>
                </c:pt>
                <c:pt idx="103">
                  <c:v>93.840950746613487</c:v>
                </c:pt>
                <c:pt idx="104">
                  <c:v>93.825853952320529</c:v>
                </c:pt>
                <c:pt idx="105">
                  <c:v>93.810788412114604</c:v>
                </c:pt>
                <c:pt idx="106">
                  <c:v>93.795754013375131</c:v>
                </c:pt>
                <c:pt idx="107">
                  <c:v>93.780750641636914</c:v>
                </c:pt>
                <c:pt idx="108">
                  <c:v>93.765778180692536</c:v>
                </c:pt>
                <c:pt idx="109">
                  <c:v>93.750836512691038</c:v>
                </c:pt>
                <c:pt idx="110">
                  <c:v>93.735925518232875</c:v>
                </c:pt>
                <c:pt idx="111">
                  <c:v>93.721045076461408</c:v>
                </c:pt>
                <c:pt idx="112">
                  <c:v>93.706195065150894</c:v>
                </c:pt>
                <c:pt idx="113">
                  <c:v>93.691375360791255</c:v>
                </c:pt>
                <c:pt idx="114">
                  <c:v>93.676585838669695</c:v>
                </c:pt>
                <c:pt idx="115">
                  <c:v>93.661826372949122</c:v>
                </c:pt>
                <c:pt idx="116">
                  <c:v>93.647096836743856</c:v>
                </c:pt>
                <c:pt idx="117">
                  <c:v>93.632397102192272</c:v>
                </c:pt>
                <c:pt idx="118">
                  <c:v>93.617727040526759</c:v>
                </c:pt>
                <c:pt idx="119">
                  <c:v>93.60308652214114</c:v>
                </c:pt>
                <c:pt idx="120">
                  <c:v>93.588475416655456</c:v>
                </c:pt>
                <c:pt idx="121">
                  <c:v>93.573893592978251</c:v>
                </c:pt>
                <c:pt idx="122">
                  <c:v>93.559340919366534</c:v>
                </c:pt>
                <c:pt idx="123">
                  <c:v>93.54481726348348</c:v>
                </c:pt>
                <c:pt idx="124">
                  <c:v>93.530322492453863</c:v>
                </c:pt>
                <c:pt idx="125">
                  <c:v>93.515856472917392</c:v>
                </c:pt>
                <c:pt idx="126">
                  <c:v>93.501419071079965</c:v>
                </c:pt>
                <c:pt idx="127">
                  <c:v>93.48701015276302</c:v>
                </c:pt>
                <c:pt idx="128">
                  <c:v>93.472629583450811</c:v>
                </c:pt>
                <c:pt idx="129">
                  <c:v>93.458277228336087</c:v>
                </c:pt>
                <c:pt idx="130">
                  <c:v>93.443952952363645</c:v>
                </c:pt>
                <c:pt idx="131">
                  <c:v>93.429656620272553</c:v>
                </c:pt>
                <c:pt idx="132">
                  <c:v>93.415388096636448</c:v>
                </c:pt>
                <c:pt idx="133">
                  <c:v>93.401147245902294</c:v>
                </c:pt>
                <c:pt idx="134">
                  <c:v>93.386933932427667</c:v>
                </c:pt>
                <c:pt idx="135">
                  <c:v>93.372748020516511</c:v>
                </c:pt>
                <c:pt idx="136">
                  <c:v>93.358589374453373</c:v>
                </c:pt>
                <c:pt idx="137">
                  <c:v>93.34445785853643</c:v>
                </c:pt>
                <c:pt idx="138">
                  <c:v>93.330353337109045</c:v>
                </c:pt>
                <c:pt idx="139">
                  <c:v>93.316275674590059</c:v>
                </c:pt>
                <c:pt idx="140">
                  <c:v>93.302224735502875</c:v>
                </c:pt>
                <c:pt idx="141">
                  <c:v>93.288200384503256</c:v>
                </c:pt>
                <c:pt idx="142">
                  <c:v>93.274202486406182</c:v>
                </c:pt>
                <c:pt idx="143">
                  <c:v>93.260230906211234</c:v>
                </c:pt>
                <c:pt idx="144">
                  <c:v>93.246285509127276</c:v>
                </c:pt>
                <c:pt idx="145">
                  <c:v>93.23236616059576</c:v>
                </c:pt>
                <c:pt idx="146">
                  <c:v>93.218472726313394</c:v>
                </c:pt>
                <c:pt idx="147">
                  <c:v>93.204605072253472</c:v>
                </c:pt>
                <c:pt idx="148">
                  <c:v>93.190763064686479</c:v>
                </c:pt>
                <c:pt idx="149">
                  <c:v>93.176946570199775</c:v>
                </c:pt>
                <c:pt idx="150">
                  <c:v>93.163155455716378</c:v>
                </c:pt>
                <c:pt idx="151">
                  <c:v>93.14938958851296</c:v>
                </c:pt>
                <c:pt idx="152">
                  <c:v>93.135648836236882</c:v>
                </c:pt>
                <c:pt idx="153">
                  <c:v>93.121933066922693</c:v>
                </c:pt>
                <c:pt idx="154">
                  <c:v>93.108242149007651</c:v>
                </c:pt>
                <c:pt idx="155">
                  <c:v>93.094575951346641</c:v>
                </c:pt>
                <c:pt idx="156">
                  <c:v>93.080934343226374</c:v>
                </c:pt>
                <c:pt idx="157">
                  <c:v>93.06731719437883</c:v>
                </c:pt>
                <c:pt idx="158">
                  <c:v>93.053724374994232</c:v>
                </c:pt>
                <c:pt idx="159">
                  <c:v>93.040155755733153</c:v>
                </c:pt>
                <c:pt idx="160">
                  <c:v>93.026611207738256</c:v>
                </c:pt>
                <c:pt idx="161">
                  <c:v>93.013090602645221</c:v>
                </c:pt>
                <c:pt idx="162">
                  <c:v>92.999593812593289</c:v>
                </c:pt>
                <c:pt idx="163">
                  <c:v>92.986120710235198</c:v>
                </c:pt>
                <c:pt idx="164">
                  <c:v>92.97267116874653</c:v>
                </c:pt>
                <c:pt idx="165">
                  <c:v>92.959245061834693</c:v>
                </c:pt>
                <c:pt idx="166">
                  <c:v>92.945842263747238</c:v>
                </c:pt>
                <c:pt idx="167">
                  <c:v>92.932462649279884</c:v>
                </c:pt>
                <c:pt idx="168">
                  <c:v>92.919106093784023</c:v>
                </c:pt>
                <c:pt idx="169">
                  <c:v>92.905772473173627</c:v>
                </c:pt>
                <c:pt idx="170">
                  <c:v>92.892461663932096</c:v>
                </c:pt>
                <c:pt idx="171">
                  <c:v>92.879173543118284</c:v>
                </c:pt>
                <c:pt idx="172">
                  <c:v>92.86590798837247</c:v>
                </c:pt>
                <c:pt idx="173">
                  <c:v>92.852664877921754</c:v>
                </c:pt>
                <c:pt idx="174">
                  <c:v>92.839444090585204</c:v>
                </c:pt>
                <c:pt idx="175">
                  <c:v>92.826245505778488</c:v>
                </c:pt>
                <c:pt idx="176">
                  <c:v>92.813069003518436</c:v>
                </c:pt>
                <c:pt idx="177">
                  <c:v>92.799914464427019</c:v>
                </c:pt>
                <c:pt idx="178">
                  <c:v>92.786781769735157</c:v>
                </c:pt>
                <c:pt idx="179">
                  <c:v>92.773670801286173</c:v>
                </c:pt>
                <c:pt idx="180">
                  <c:v>92.76058144153896</c:v>
                </c:pt>
                <c:pt idx="181">
                  <c:v>92.747513573570956</c:v>
                </c:pt>
                <c:pt idx="182">
                  <c:v>92.73446708108068</c:v>
                </c:pt>
                <c:pt idx="183">
                  <c:v>92.721441848390143</c:v>
                </c:pt>
                <c:pt idx="184">
                  <c:v>92.708437760446998</c:v>
                </c:pt>
                <c:pt idx="185">
                  <c:v>92.695454702826368</c:v>
                </c:pt>
                <c:pt idx="186">
                  <c:v>92.682492561732573</c:v>
                </c:pt>
                <c:pt idx="187">
                  <c:v>92.669551224000486</c:v>
                </c:pt>
                <c:pt idx="188">
                  <c:v>92.656630577096749</c:v>
                </c:pt>
                <c:pt idx="189">
                  <c:v>92.6437305091209</c:v>
                </c:pt>
                <c:pt idx="190">
                  <c:v>92.630850908806082</c:v>
                </c:pt>
                <c:pt idx="191">
                  <c:v>92.617991665519611</c:v>
                </c:pt>
                <c:pt idx="192">
                  <c:v>92.605152669263575</c:v>
                </c:pt>
                <c:pt idx="193">
                  <c:v>92.592333810675029</c:v>
                </c:pt>
                <c:pt idx="194">
                  <c:v>92.579534981026043</c:v>
                </c:pt>
                <c:pt idx="195">
                  <c:v>92.56675607222374</c:v>
                </c:pt>
                <c:pt idx="196">
                  <c:v>92.553996976809941</c:v>
                </c:pt>
                <c:pt idx="197">
                  <c:v>92.541257587960942</c:v>
                </c:pt>
                <c:pt idx="198">
                  <c:v>92.528537799486955</c:v>
                </c:pt>
                <c:pt idx="199">
                  <c:v>92.515837505831371</c:v>
                </c:pt>
                <c:pt idx="200">
                  <c:v>92.503156602070149</c:v>
                </c:pt>
              </c:numCache>
            </c:numRef>
          </c:val>
          <c:smooth val="0"/>
          <c:extLst>
            <c:ext xmlns:c16="http://schemas.microsoft.com/office/drawing/2014/chart" uri="{C3380CC4-5D6E-409C-BE32-E72D297353CC}">
              <c16:uniqueId val="{00000000-26DC-4494-B390-60A38ACC8FFF}"/>
            </c:ext>
          </c:extLst>
        </c:ser>
        <c:dLbls>
          <c:showLegendKey val="0"/>
          <c:showVal val="0"/>
          <c:showCatName val="0"/>
          <c:showSerName val="0"/>
          <c:showPercent val="0"/>
          <c:showBubbleSize val="0"/>
        </c:dLbls>
        <c:marker val="1"/>
        <c:smooth val="0"/>
        <c:axId val="196417792"/>
        <c:axId val="196419968"/>
      </c:lineChart>
      <c:lineChart>
        <c:grouping val="standard"/>
        <c:varyColors val="0"/>
        <c:ser>
          <c:idx val="3"/>
          <c:order val="1"/>
          <c:tx>
            <c:v>Inductor Loss</c:v>
          </c:tx>
          <c:spPr>
            <a:ln w="38100">
              <a:solidFill>
                <a:srgbClr val="800080"/>
              </a:solidFill>
              <a:prstDash val="dash"/>
            </a:ln>
          </c:spPr>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Calculations'!$BP$9:$BP$209</c:f>
              <c:numCache>
                <c:formatCode>0.000</c:formatCode>
                <c:ptCount val="201"/>
                <c:pt idx="0">
                  <c:v>1.1664963483138355</c:v>
                </c:pt>
                <c:pt idx="1">
                  <c:v>1.1783832701555945</c:v>
                </c:pt>
                <c:pt idx="2">
                  <c:v>1.1903891876899488</c:v>
                </c:pt>
                <c:pt idx="3">
                  <c:v>1.2025073878656187</c:v>
                </c:pt>
                <c:pt idx="4">
                  <c:v>1.2147313975756808</c:v>
                </c:pt>
                <c:pt idx="5">
                  <c:v>1.2270549766372592</c:v>
                </c:pt>
                <c:pt idx="6">
                  <c:v>1.2394721108087612</c:v>
                </c:pt>
                <c:pt idx="7">
                  <c:v>1.2519770048712224</c:v>
                </c:pt>
                <c:pt idx="8">
                  <c:v>1.2645640757957135</c:v>
                </c:pt>
                <c:pt idx="9">
                  <c:v>1.2772279460147808</c:v>
                </c:pt>
                <c:pt idx="10">
                  <c:v>1.2899634368125192</c:v>
                </c:pt>
                <c:pt idx="11">
                  <c:v>1.3027655618449869</c:v>
                </c:pt>
                <c:pt idx="12">
                  <c:v>1.3156295208001829</c:v>
                </c:pt>
                <c:pt idx="13">
                  <c:v>1.3285506932047102</c:v>
                </c:pt>
                <c:pt idx="14">
                  <c:v>1.3415246323824344</c:v>
                </c:pt>
                <c:pt idx="15">
                  <c:v>1.3545470595689051</c:v>
                </c:pt>
                <c:pt idx="16">
                  <c:v>1.3676138581840214</c:v>
                </c:pt>
                <c:pt idx="17">
                  <c:v>1.3807210682642745</c:v>
                </c:pt>
                <c:pt idx="18">
                  <c:v>1.3938648810549974</c:v>
                </c:pt>
                <c:pt idx="19">
                  <c:v>1.4070416337622322</c:v>
                </c:pt>
                <c:pt idx="20">
                  <c:v>1.4202478044631612</c:v>
                </c:pt>
                <c:pt idx="21">
                  <c:v>1.4334800071735168</c:v>
                </c:pt>
                <c:pt idx="22">
                  <c:v>1.4467349870698509</c:v>
                </c:pt>
                <c:pt idx="23">
                  <c:v>1.4600096158642786</c:v>
                </c:pt>
                <c:pt idx="24">
                  <c:v>1.4733008873288647</c:v>
                </c:pt>
                <c:pt idx="25">
                  <c:v>1.4866059129666853</c:v>
                </c:pt>
                <c:pt idx="26">
                  <c:v>1.4999219178263286</c:v>
                </c:pt>
                <c:pt idx="27">
                  <c:v>1.5132462364564618</c:v>
                </c:pt>
                <c:pt idx="28">
                  <c:v>1.5265763089970132</c:v>
                </c:pt>
                <c:pt idx="29">
                  <c:v>1.5399096774033554</c:v>
                </c:pt>
                <c:pt idx="30">
                  <c:v>1.5532439817999366</c:v>
                </c:pt>
                <c:pt idx="31">
                  <c:v>1.5665769569596513</c:v>
                </c:pt>
                <c:pt idx="32">
                  <c:v>1.5799064289053455</c:v>
                </c:pt>
                <c:pt idx="33">
                  <c:v>1.5932303116297901</c:v>
                </c:pt>
                <c:pt idx="34">
                  <c:v>1.6065466039305125</c:v>
                </c:pt>
                <c:pt idx="35">
                  <c:v>1.6198533863558988</c:v>
                </c:pt>
                <c:pt idx="36">
                  <c:v>1.6331488182590457</c:v>
                </c:pt>
                <c:pt idx="37">
                  <c:v>1.6464311349558671</c:v>
                </c:pt>
                <c:pt idx="38">
                  <c:v>1.6596986449840616</c:v>
                </c:pt>
                <c:pt idx="39">
                  <c:v>1.6729497274595779</c:v>
                </c:pt>
                <c:pt idx="40">
                  <c:v>1.6861828295273189</c:v>
                </c:pt>
                <c:pt idx="41">
                  <c:v>1.6993964639028876</c:v>
                </c:pt>
                <c:pt idx="42">
                  <c:v>1.7125892065022597</c:v>
                </c:pt>
                <c:pt idx="43">
                  <c:v>1.7257596941563396</c:v>
                </c:pt>
                <c:pt idx="44">
                  <c:v>1.7389066224074852</c:v>
                </c:pt>
                <c:pt idx="45">
                  <c:v>1.7520287433850754</c:v>
                </c:pt>
                <c:pt idx="46">
                  <c:v>1.7651248637574086</c:v>
                </c:pt>
                <c:pt idx="47">
                  <c:v>1.778193842757178</c:v>
                </c:pt>
                <c:pt idx="48">
                  <c:v>1.7912345902779312</c:v>
                </c:pt>
                <c:pt idx="49">
                  <c:v>1.8042460650389902</c:v>
                </c:pt>
                <c:pt idx="50">
                  <c:v>1.8172272728163485</c:v>
                </c:pt>
                <c:pt idx="51">
                  <c:v>1.8301772647372176</c:v>
                </c:pt>
                <c:pt idx="52">
                  <c:v>1.8430951356358847</c:v>
                </c:pt>
                <c:pt idx="53">
                  <c:v>1.855980022468706</c:v>
                </c:pt>
                <c:pt idx="54">
                  <c:v>1.8688311027860562</c:v>
                </c:pt>
                <c:pt idx="55">
                  <c:v>1.8816475932591961</c:v>
                </c:pt>
                <c:pt idx="56">
                  <c:v>1.894428748260059</c:v>
                </c:pt>
                <c:pt idx="57">
                  <c:v>1.9071738584920055</c:v>
                </c:pt>
                <c:pt idx="58">
                  <c:v>1.919882249669723</c:v>
                </c:pt>
                <c:pt idx="59">
                  <c:v>1.932553281246455</c:v>
                </c:pt>
                <c:pt idx="60">
                  <c:v>1.9451863451868334</c:v>
                </c:pt>
                <c:pt idx="61">
                  <c:v>1.9577808647836685</c:v>
                </c:pt>
                <c:pt idx="62">
                  <c:v>1.9703362935170581</c:v>
                </c:pt>
                <c:pt idx="63">
                  <c:v>1.9828521139542974</c:v>
                </c:pt>
                <c:pt idx="64">
                  <c:v>1.9953278366890872</c:v>
                </c:pt>
                <c:pt idx="65">
                  <c:v>2.0077629993186012</c:v>
                </c:pt>
                <c:pt idx="66">
                  <c:v>2.0201571654570234</c:v>
                </c:pt>
                <c:pt idx="67">
                  <c:v>2.0325099237842568</c:v>
                </c:pt>
                <c:pt idx="68">
                  <c:v>2.0448208871284654</c:v>
                </c:pt>
                <c:pt idx="69">
                  <c:v>2.0570896915812473</c:v>
                </c:pt>
                <c:pt idx="70">
                  <c:v>2.0693159956442653</c:v>
                </c:pt>
                <c:pt idx="71">
                  <c:v>2.0814994794061419</c:v>
                </c:pt>
                <c:pt idx="72">
                  <c:v>2.0936398437485524</c:v>
                </c:pt>
                <c:pt idx="73">
                  <c:v>2.1057368095804256</c:v>
                </c:pt>
                <c:pt idx="74">
                  <c:v>2.1177901170992759</c:v>
                </c:pt>
                <c:pt idx="75">
                  <c:v>2.1297995250786137</c:v>
                </c:pt>
                <c:pt idx="76">
                  <c:v>2.1417648101805451</c:v>
                </c:pt>
                <c:pt idx="77">
                  <c:v>2.1536857662926252</c:v>
                </c:pt>
                <c:pt idx="78">
                  <c:v>2.1655622038880722</c:v>
                </c:pt>
                <c:pt idx="79">
                  <c:v>2.1773939494085326</c:v>
                </c:pt>
                <c:pt idx="80">
                  <c:v>2.1891808446685435</c:v>
                </c:pt>
                <c:pt idx="81">
                  <c:v>2.2009227462809351</c:v>
                </c:pt>
                <c:pt idx="82">
                  <c:v>2.2126195251023999</c:v>
                </c:pt>
                <c:pt idx="83">
                  <c:v>2.2242710656985385</c:v>
                </c:pt>
                <c:pt idx="84">
                  <c:v>2.2358772658276242</c:v>
                </c:pt>
                <c:pt idx="85">
                  <c:v>2.2474380359424622</c:v>
                </c:pt>
                <c:pt idx="86">
                  <c:v>2.2589532987096708</c:v>
                </c:pt>
                <c:pt idx="87">
                  <c:v>2.2704229885457834</c:v>
                </c:pt>
                <c:pt idx="88">
                  <c:v>2.2818470511695303</c:v>
                </c:pt>
                <c:pt idx="89">
                  <c:v>2.2932254431697614</c:v>
                </c:pt>
                <c:pt idx="90">
                  <c:v>2.3045581315884411</c:v>
                </c:pt>
                <c:pt idx="91">
                  <c:v>2.315845093518158</c:v>
                </c:pt>
                <c:pt idx="92">
                  <c:v>2.3270863157136645</c:v>
                </c:pt>
                <c:pt idx="93">
                  <c:v>2.3382817942169294</c:v>
                </c:pt>
                <c:pt idx="94">
                  <c:v>2.3494315339952312</c:v>
                </c:pt>
                <c:pt idx="95">
                  <c:v>2.3605355485918111</c:v>
                </c:pt>
                <c:pt idx="96">
                  <c:v>2.371593859788693</c:v>
                </c:pt>
                <c:pt idx="97">
                  <c:v>2.3826064972811754</c:v>
                </c:pt>
                <c:pt idx="98">
                  <c:v>2.3935734983636308</c:v>
                </c:pt>
                <c:pt idx="99">
                  <c:v>2.4044949076261926</c:v>
                </c:pt>
                <c:pt idx="100">
                  <c:v>2.4153707766619683</c:v>
                </c:pt>
                <c:pt idx="101">
                  <c:v>2.4262011637843726</c:v>
                </c:pt>
                <c:pt idx="102">
                  <c:v>2.4369861337542753</c:v>
                </c:pt>
                <c:pt idx="103">
                  <c:v>2.4477257575165736</c:v>
                </c:pt>
                <c:pt idx="104">
                  <c:v>2.4584201119458911</c:v>
                </c:pt>
                <c:pt idx="105">
                  <c:v>2.4690692796010674</c:v>
                </c:pt>
                <c:pt idx="106">
                  <c:v>2.4796733484881606</c:v>
                </c:pt>
                <c:pt idx="107">
                  <c:v>2.4902324118316193</c:v>
                </c:pt>
                <c:pt idx="108">
                  <c:v>2.500746567853386</c:v>
                </c:pt>
                <c:pt idx="109">
                  <c:v>2.5112159195596222</c:v>
                </c:pt>
                <c:pt idx="110">
                  <c:v>2.5216405745348349</c:v>
                </c:pt>
                <c:pt idx="111">
                  <c:v>2.5320206447430897</c:v>
                </c:pt>
                <c:pt idx="112">
                  <c:v>2.5423562463361331</c:v>
                </c:pt>
                <c:pt idx="113">
                  <c:v>2.5526474994681063</c:v>
                </c:pt>
                <c:pt idx="114">
                  <c:v>2.5628945281167259</c:v>
                </c:pt>
                <c:pt idx="115">
                  <c:v>2.5730974599105907</c:v>
                </c:pt>
                <c:pt idx="116">
                  <c:v>2.5832564259625181</c:v>
                </c:pt>
                <c:pt idx="117">
                  <c:v>2.5933715607086176</c:v>
                </c:pt>
                <c:pt idx="118">
                  <c:v>2.603443001752956</c:v>
                </c:pt>
                <c:pt idx="119">
                  <c:v>2.6134708897176</c:v>
                </c:pt>
                <c:pt idx="120">
                  <c:v>2.6234553680978552</c:v>
                </c:pt>
                <c:pt idx="121">
                  <c:v>2.6333965831225461</c:v>
                </c:pt>
                <c:pt idx="122">
                  <c:v>2.6432946836191182</c:v>
                </c:pt>
                <c:pt idx="123">
                  <c:v>2.6531498208834532</c:v>
                </c:pt>
                <c:pt idx="124">
                  <c:v>2.6629621485542092</c:v>
                </c:pt>
                <c:pt idx="125">
                  <c:v>2.6727318224915084</c:v>
                </c:pt>
                <c:pt idx="126">
                  <c:v>2.6824590006599012</c:v>
                </c:pt>
                <c:pt idx="127">
                  <c:v>2.6921438430153604</c:v>
                </c:pt>
                <c:pt idx="128">
                  <c:v>2.7017865113962718</c:v>
                </c:pt>
                <c:pt idx="129">
                  <c:v>2.7113871694181775</c:v>
                </c:pt>
                <c:pt idx="130">
                  <c:v>2.7209459823722768</c:v>
                </c:pt>
                <c:pt idx="131">
                  <c:v>2.7304631171274143</c:v>
                </c:pt>
                <c:pt idx="132">
                  <c:v>2.7399387420355716</c:v>
                </c:pt>
                <c:pt idx="133">
                  <c:v>2.7493730268406344</c:v>
                </c:pt>
                <c:pt idx="134">
                  <c:v>2.7587661425904031</c:v>
                </c:pt>
                <c:pt idx="135">
                  <c:v>2.7681182615516926</c:v>
                </c:pt>
                <c:pt idx="136">
                  <c:v>2.7774295571284675</c:v>
                </c:pt>
                <c:pt idx="137">
                  <c:v>2.786700203782805</c:v>
                </c:pt>
                <c:pt idx="138">
                  <c:v>2.7959303769587605</c:v>
                </c:pt>
                <c:pt idx="139">
                  <c:v>2.8051202530088668</c:v>
                </c:pt>
                <c:pt idx="140">
                  <c:v>2.8142700091232733</c:v>
                </c:pt>
                <c:pt idx="141">
                  <c:v>2.8233798232614471</c:v>
                </c:pt>
                <c:pt idx="142">
                  <c:v>2.8324498740862958</c:v>
                </c:pt>
                <c:pt idx="143">
                  <c:v>2.8414803409006462</c:v>
                </c:pt>
                <c:pt idx="144">
                  <c:v>2.8504714035860528</c:v>
                </c:pt>
                <c:pt idx="145">
                  <c:v>2.8594232425437807</c:v>
                </c:pt>
                <c:pt idx="146">
                  <c:v>2.8683360386379468</c:v>
                </c:pt>
                <c:pt idx="147">
                  <c:v>2.8772099731407152</c:v>
                </c:pt>
                <c:pt idx="148">
                  <c:v>2.8860452276795168</c:v>
                </c:pt>
                <c:pt idx="149">
                  <c:v>2.8948419841861779</c:v>
                </c:pt>
                <c:pt idx="150">
                  <c:v>2.9036004248479235</c:v>
                </c:pt>
                <c:pt idx="151">
                  <c:v>2.9123207320601949</c:v>
                </c:pt>
                <c:pt idx="152">
                  <c:v>2.9210030883812217</c:v>
                </c:pt>
                <c:pt idx="153">
                  <c:v>2.9296476764882482</c:v>
                </c:pt>
                <c:pt idx="154">
                  <c:v>2.9382546791354534</c:v>
                </c:pt>
                <c:pt idx="155">
                  <c:v>2.946824279113383</c:v>
                </c:pt>
                <c:pt idx="156">
                  <c:v>2.9553566592099756</c:v>
                </c:pt>
                <c:pt idx="157">
                  <c:v>2.9638520021730042</c:v>
                </c:pt>
                <c:pt idx="158">
                  <c:v>2.9723104906739937</c:v>
                </c:pt>
                <c:pt idx="159">
                  <c:v>2.9807323072734979</c:v>
                </c:pt>
                <c:pt idx="160">
                  <c:v>2.9891176343877293</c:v>
                </c:pt>
                <c:pt idx="161">
                  <c:v>2.9974666542564368</c:v>
                </c:pt>
                <c:pt idx="162">
                  <c:v>3.0057795489121002</c:v>
                </c:pt>
                <c:pt idx="163">
                  <c:v>3.0140565001502693</c:v>
                </c:pt>
                <c:pt idx="164">
                  <c:v>3.022297689501122</c:v>
                </c:pt>
                <c:pt idx="165">
                  <c:v>3.0305032982021118</c:v>
                </c:pt>
                <c:pt idx="166">
                  <c:v>3.0386735071717261</c:v>
                </c:pt>
                <c:pt idx="167">
                  <c:v>3.0468084969843141</c:v>
                </c:pt>
                <c:pt idx="168">
                  <c:v>3.0549084478459001</c:v>
                </c:pt>
                <c:pt idx="169">
                  <c:v>3.0629735395710243</c:v>
                </c:pt>
                <c:pt idx="170">
                  <c:v>3.0710039515605132</c:v>
                </c:pt>
                <c:pt idx="171">
                  <c:v>3.0789998627801798</c:v>
                </c:pt>
                <c:pt idx="172">
                  <c:v>3.0869614517404202</c:v>
                </c:pt>
                <c:pt idx="173">
                  <c:v>3.0948888964766708</c:v>
                </c:pt>
                <c:pt idx="174">
                  <c:v>3.1027823745307059</c:v>
                </c:pt>
                <c:pt idx="175">
                  <c:v>3.1106420629327314</c:v>
                </c:pt>
                <c:pt idx="176">
                  <c:v>3.1184681381842694</c:v>
                </c:pt>
                <c:pt idx="177">
                  <c:v>3.1262607762417902</c:v>
                </c:pt>
                <c:pt idx="178">
                  <c:v>3.1340201525010878</c:v>
                </c:pt>
                <c:pt idx="179">
                  <c:v>3.1417464417823471</c:v>
                </c:pt>
                <c:pt idx="180">
                  <c:v>3.1494398183158863</c:v>
                </c:pt>
                <c:pt idx="181">
                  <c:v>3.1571004557285822</c:v>
                </c:pt>
                <c:pt idx="182">
                  <c:v>3.1647285270309249</c:v>
                </c:pt>
                <c:pt idx="183">
                  <c:v>3.1723242046046685</c:v>
                </c:pt>
                <c:pt idx="184">
                  <c:v>3.1798876601911026</c:v>
                </c:pt>
                <c:pt idx="185">
                  <c:v>3.1874190648798884</c:v>
                </c:pt>
                <c:pt idx="186">
                  <c:v>3.1949185890984602</c:v>
                </c:pt>
                <c:pt idx="187">
                  <c:v>3.2023864026019524</c:v>
                </c:pt>
                <c:pt idx="188">
                  <c:v>3.2098226744636373</c:v>
                </c:pt>
                <c:pt idx="189">
                  <c:v>3.2172275730659141</c:v>
                </c:pt>
                <c:pt idx="190">
                  <c:v>3.2246012660917165</c:v>
                </c:pt>
                <c:pt idx="191">
                  <c:v>3.2319439205164397</c:v>
                </c:pt>
                <c:pt idx="192">
                  <c:v>3.2392557026002953</c:v>
                </c:pt>
                <c:pt idx="193">
                  <c:v>3.2465367778811265</c:v>
                </c:pt>
                <c:pt idx="194">
                  <c:v>3.2537873111676001</c:v>
                </c:pt>
                <c:pt idx="195">
                  <c:v>3.2610074665328819</c:v>
                </c:pt>
                <c:pt idx="196">
                  <c:v>3.2681974073086364</c:v>
                </c:pt>
                <c:pt idx="197">
                  <c:v>3.275357296079433</c:v>
                </c:pt>
                <c:pt idx="198">
                  <c:v>3.2824872946775505</c:v>
                </c:pt>
                <c:pt idx="199">
                  <c:v>3.289587564178075</c:v>
                </c:pt>
                <c:pt idx="200">
                  <c:v>3.2966582648944049</c:v>
                </c:pt>
              </c:numCache>
            </c:numRef>
          </c:val>
          <c:smooth val="0"/>
          <c:extLst>
            <c:ext xmlns:c16="http://schemas.microsoft.com/office/drawing/2014/chart" uri="{C3380CC4-5D6E-409C-BE32-E72D297353CC}">
              <c16:uniqueId val="{00000001-26DC-4494-B390-60A38ACC8FFF}"/>
            </c:ext>
          </c:extLst>
        </c:ser>
        <c:ser>
          <c:idx val="2"/>
          <c:order val="2"/>
          <c:tx>
            <c:v>Total MOSFET Loss</c:v>
          </c:tx>
          <c:spPr>
            <a:ln w="38100">
              <a:solidFill>
                <a:srgbClr val="808000"/>
              </a:solidFill>
              <a:prstDash val="sysDash"/>
            </a:ln>
          </c:spPr>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Calculations'!$BQ$9:$BQ$209</c:f>
              <c:numCache>
                <c:formatCode>0.000</c:formatCode>
                <c:ptCount val="201"/>
                <c:pt idx="0">
                  <c:v>4.8833771988768673</c:v>
                </c:pt>
                <c:pt idx="1">
                  <c:v>4.9016780655888761</c:v>
                </c:pt>
                <c:pt idx="2">
                  <c:v>4.9199964916870602</c:v>
                </c:pt>
                <c:pt idx="3">
                  <c:v>4.9383317694126685</c:v>
                </c:pt>
                <c:pt idx="4">
                  <c:v>4.9566832201107207</c:v>
                </c:pt>
                <c:pt idx="5">
                  <c:v>4.9750501928849182</c:v>
                </c:pt>
                <c:pt idx="6">
                  <c:v>4.9934320633230813</c:v>
                </c:pt>
                <c:pt idx="7">
                  <c:v>5.0118282322889574</c:v>
                </c:pt>
                <c:pt idx="8">
                  <c:v>5.0302381247765062</c:v>
                </c:pt>
                <c:pt idx="9">
                  <c:v>5.0486611888230168</c:v>
                </c:pt>
                <c:pt idx="10">
                  <c:v>5.0670968944776442</c:v>
                </c:pt>
                <c:pt idx="11">
                  <c:v>5.0855447328222185</c:v>
                </c:pt>
                <c:pt idx="12">
                  <c:v>5.1040042150412885</c:v>
                </c:pt>
                <c:pt idx="13">
                  <c:v>5.1224748715386745</c:v>
                </c:pt>
                <c:pt idx="14">
                  <c:v>5.1409562510978697</c:v>
                </c:pt>
                <c:pt idx="15">
                  <c:v>5.1594479200838617</c:v>
                </c:pt>
                <c:pt idx="16">
                  <c:v>5.1779494616840598</c:v>
                </c:pt>
                <c:pt idx="17">
                  <c:v>5.196460475186222</c:v>
                </c:pt>
                <c:pt idx="18">
                  <c:v>5.2149805752912588</c:v>
                </c:pt>
                <c:pt idx="19">
                  <c:v>5.2335093914591546</c:v>
                </c:pt>
                <c:pt idx="20">
                  <c:v>5.252046567286067</c:v>
                </c:pt>
                <c:pt idx="21">
                  <c:v>5.2705917599110776</c:v>
                </c:pt>
                <c:pt idx="22">
                  <c:v>5.2891446394508845</c:v>
                </c:pt>
                <c:pt idx="23">
                  <c:v>5.3077048884610569</c:v>
                </c:pt>
                <c:pt idx="24">
                  <c:v>5.3262722014223911</c:v>
                </c:pt>
                <c:pt idx="25">
                  <c:v>5.3448462842510818</c:v>
                </c:pt>
                <c:pt idx="26">
                  <c:v>5.3634268538314656</c:v>
                </c:pt>
                <c:pt idx="27">
                  <c:v>5.3820136375701688</c:v>
                </c:pt>
                <c:pt idx="28">
                  <c:v>5.4006063729705733</c:v>
                </c:pt>
                <c:pt idx="29">
                  <c:v>5.4192048072265342</c:v>
                </c:pt>
                <c:pt idx="30">
                  <c:v>5.4378086968344084</c:v>
                </c:pt>
                <c:pt idx="31">
                  <c:v>5.4564178072224436</c:v>
                </c:pt>
                <c:pt idx="32">
                  <c:v>5.4750319123966866</c:v>
                </c:pt>
                <c:pt idx="33">
                  <c:v>5.4936507946025417</c:v>
                </c:pt>
                <c:pt idx="34">
                  <c:v>5.512274244001266</c:v>
                </c:pt>
                <c:pt idx="35">
                  <c:v>5.5309020583606046</c:v>
                </c:pt>
                <c:pt idx="36">
                  <c:v>5.5495340427589221</c:v>
                </c:pt>
                <c:pt idx="37">
                  <c:v>5.5681700093021433</c:v>
                </c:pt>
                <c:pt idx="38">
                  <c:v>5.5868097768528955</c:v>
                </c:pt>
                <c:pt idx="39">
                  <c:v>5.6054531707712627</c:v>
                </c:pt>
                <c:pt idx="40">
                  <c:v>5.6241000226666111</c:v>
                </c:pt>
                <c:pt idx="41">
                  <c:v>5.6427501701599034</c:v>
                </c:pt>
                <c:pt idx="42">
                  <c:v>5.661403456656112</c:v>
                </c:pt>
                <c:pt idx="43">
                  <c:v>5.6800597311261196</c:v>
                </c:pt>
                <c:pt idx="44">
                  <c:v>5.6987188478977897</c:v>
                </c:pt>
                <c:pt idx="45">
                  <c:v>5.7173806664556945</c:v>
                </c:pt>
                <c:pt idx="46">
                  <c:v>5.7360450512491337</c:v>
                </c:pt>
                <c:pt idx="47">
                  <c:v>5.7547118715080687</c:v>
                </c:pt>
                <c:pt idx="48">
                  <c:v>5.7733810010665865</c:v>
                </c:pt>
                <c:pt idx="49">
                  <c:v>5.7920523181935621</c:v>
                </c:pt>
                <c:pt idx="50">
                  <c:v>5.8107257054302064</c:v>
                </c:pt>
                <c:pt idx="51">
                  <c:v>5.8294010494341553</c:v>
                </c:pt>
                <c:pt idx="52">
                  <c:v>5.8480782408298451</c:v>
                </c:pt>
                <c:pt idx="53">
                  <c:v>5.866757174064861</c:v>
                </c:pt>
                <c:pt idx="54">
                  <c:v>5.8854377472720136</c:v>
                </c:pt>
                <c:pt idx="55">
                  <c:v>5.9041198621368851</c:v>
                </c:pt>
                <c:pt idx="56">
                  <c:v>5.9228034237705929</c:v>
                </c:pt>
                <c:pt idx="57">
                  <c:v>5.9414883405875729</c:v>
                </c:pt>
                <c:pt idx="58">
                  <c:v>5.9601745241881154</c:v>
                </c:pt>
                <c:pt idx="59">
                  <c:v>5.9788618892454997</c:v>
                </c:pt>
                <c:pt idx="60">
                  <c:v>5.9975503533974868</c:v>
                </c:pt>
                <c:pt idx="61">
                  <c:v>6.0162398371420229</c:v>
                </c:pt>
                <c:pt idx="62">
                  <c:v>6.0349302637369169</c:v>
                </c:pt>
                <c:pt idx="63">
                  <c:v>6.0536215591033997</c:v>
                </c:pt>
                <c:pt idx="64">
                  <c:v>6.0723136517333165</c:v>
                </c:pt>
                <c:pt idx="65">
                  <c:v>6.0910064725998909</c:v>
                </c:pt>
                <c:pt idx="66">
                  <c:v>6.1096999550717968</c:v>
                </c:pt>
                <c:pt idx="67">
                  <c:v>6.1283940348305377</c:v>
                </c:pt>
                <c:pt idx="68">
                  <c:v>6.147088649790855</c:v>
                </c:pt>
                <c:pt idx="69">
                  <c:v>6.1657837400241613</c:v>
                </c:pt>
                <c:pt idx="70">
                  <c:v>6.184479247684787</c:v>
                </c:pt>
                <c:pt idx="71">
                  <c:v>6.2031751169389739</c:v>
                </c:pt>
                <c:pt idx="72">
                  <c:v>6.2218712938964833</c:v>
                </c:pt>
                <c:pt idx="73">
                  <c:v>6.240567726544711</c:v>
                </c:pt>
                <c:pt idx="74">
                  <c:v>6.2592643646852357</c:v>
                </c:pt>
                <c:pt idx="75">
                  <c:v>6.277961159872655</c:v>
                </c:pt>
                <c:pt idx="76">
                  <c:v>6.2966580653556523</c:v>
                </c:pt>
                <c:pt idx="77">
                  <c:v>6.315355036020204</c:v>
                </c:pt>
                <c:pt idx="78">
                  <c:v>6.3340520283348303</c:v>
                </c:pt>
                <c:pt idx="79">
                  <c:v>6.3527490002978046</c:v>
                </c:pt>
                <c:pt idx="80">
                  <c:v>6.3714459113862594</c:v>
                </c:pt>
                <c:pt idx="81">
                  <c:v>6.3901427225071057</c:v>
                </c:pt>
                <c:pt idx="82">
                  <c:v>6.4088393959496974</c:v>
                </c:pt>
                <c:pt idx="83">
                  <c:v>6.4275358953401689</c:v>
                </c:pt>
                <c:pt idx="84">
                  <c:v>6.4462321855973803</c:v>
                </c:pt>
                <c:pt idx="85">
                  <c:v>6.4649282328904256</c:v>
                </c:pt>
                <c:pt idx="86">
                  <c:v>6.4836240045976057</c:v>
                </c:pt>
                <c:pt idx="87">
                  <c:v>6.5023194692668529</c:v>
                </c:pt>
                <c:pt idx="88">
                  <c:v>6.5210145965775332</c:v>
                </c:pt>
                <c:pt idx="89">
                  <c:v>6.5397093573035479</c:v>
                </c:pt>
                <c:pt idx="90">
                  <c:v>6.5584037232777517</c:v>
                </c:pt>
                <c:pt idx="91">
                  <c:v>6.577097667357549</c:v>
                </c:pt>
                <c:pt idx="92">
                  <c:v>6.5957911633917119</c:v>
                </c:pt>
                <c:pt idx="93">
                  <c:v>6.6144841861883119</c:v>
                </c:pt>
                <c:pt idx="94">
                  <c:v>6.6331767114837445</c:v>
                </c:pt>
                <c:pt idx="95">
                  <c:v>6.6518687159128209</c:v>
                </c:pt>
                <c:pt idx="96">
                  <c:v>6.6705601769798593</c:v>
                </c:pt>
                <c:pt idx="97">
                  <c:v>6.6892510730307597</c:v>
                </c:pt>
                <c:pt idx="98">
                  <c:v>6.7079413832260206</c:v>
                </c:pt>
                <c:pt idx="99">
                  <c:v>6.7266310875146491</c:v>
                </c:pt>
                <c:pt idx="100">
                  <c:v>6.7453201666089724</c:v>
                </c:pt>
                <c:pt idx="101">
                  <c:v>6.764008601960251</c:v>
                </c:pt>
                <c:pt idx="102">
                  <c:v>6.7826963757351404</c:v>
                </c:pt>
                <c:pt idx="103">
                  <c:v>6.8013834707929064</c:v>
                </c:pt>
                <c:pt idx="104">
                  <c:v>6.8200698706634117</c:v>
                </c:pt>
                <c:pt idx="105">
                  <c:v>6.8387555595258203</c:v>
                </c:pt>
                <c:pt idx="106">
                  <c:v>6.8574405221879999</c:v>
                </c:pt>
                <c:pt idx="107">
                  <c:v>6.8761247440666082</c:v>
                </c:pt>
                <c:pt idx="108">
                  <c:v>6.8948082111678328</c:v>
                </c:pt>
                <c:pt idx="109">
                  <c:v>6.9134909100687345</c:v>
                </c:pt>
                <c:pt idx="110">
                  <c:v>6.9321728278992314</c:v>
                </c:pt>
                <c:pt idx="111">
                  <c:v>6.9508539523246453</c:v>
                </c:pt>
                <c:pt idx="112">
                  <c:v>6.9695342715288229</c:v>
                </c:pt>
                <c:pt idx="113">
                  <c:v>6.9882137741977957</c:v>
                </c:pt>
                <c:pt idx="114">
                  <c:v>7.0068924495039644</c:v>
                </c:pt>
                <c:pt idx="115">
                  <c:v>7.0255702870907966</c:v>
                </c:pt>
                <c:pt idx="116">
                  <c:v>7.0442472770580187</c:v>
                </c:pt>
                <c:pt idx="117">
                  <c:v>7.0629234099472669</c:v>
                </c:pt>
                <c:pt idx="118">
                  <c:v>7.0815986767282046</c:v>
                </c:pt>
                <c:pt idx="119">
                  <c:v>7.1002730687850795</c:v>
                </c:pt>
                <c:pt idx="120">
                  <c:v>7.1189465779037047</c:v>
                </c:pt>
                <c:pt idx="121">
                  <c:v>7.137619196258866</c:v>
                </c:pt>
                <c:pt idx="122">
                  <c:v>7.1562909164020851</c:v>
                </c:pt>
                <c:pt idx="123">
                  <c:v>7.1749617312498337</c:v>
                </c:pt>
                <c:pt idx="124">
                  <c:v>7.1936316340720543</c:v>
                </c:pt>
                <c:pt idx="125">
                  <c:v>7.2123006184810725</c:v>
                </c:pt>
                <c:pt idx="126">
                  <c:v>7.2309686784208616</c:v>
                </c:pt>
                <c:pt idx="127">
                  <c:v>7.2496358081566195</c:v>
                </c:pt>
                <c:pt idx="128">
                  <c:v>7.2683020022646838</c:v>
                </c:pt>
                <c:pt idx="129">
                  <c:v>7.2869672556227689</c:v>
                </c:pt>
                <c:pt idx="130">
                  <c:v>7.3056315634004765</c:v>
                </c:pt>
                <c:pt idx="131">
                  <c:v>7.324294921050134</c:v>
                </c:pt>
                <c:pt idx="132">
                  <c:v>7.3429573242978963</c:v>
                </c:pt>
                <c:pt idx="133">
                  <c:v>7.3616187691351156</c:v>
                </c:pt>
                <c:pt idx="134">
                  <c:v>7.3802792518100029</c:v>
                </c:pt>
                <c:pt idx="135">
                  <c:v>7.3989387688195105</c:v>
                </c:pt>
                <c:pt idx="136">
                  <c:v>7.4175973169014986</c:v>
                </c:pt>
                <c:pt idx="137">
                  <c:v>7.4362548930271082</c:v>
                </c:pt>
                <c:pt idx="138">
                  <c:v>7.4549114943933974</c:v>
                </c:pt>
                <c:pt idx="139">
                  <c:v>7.4735671184161738</c:v>
                </c:pt>
                <c:pt idx="140">
                  <c:v>7.4922217627230703</c:v>
                </c:pt>
                <c:pt idx="141">
                  <c:v>7.5108754251468044</c:v>
                </c:pt>
                <c:pt idx="142">
                  <c:v>7.5295281037186692</c:v>
                </c:pt>
                <c:pt idx="143">
                  <c:v>7.548179796662204</c:v>
                </c:pt>
                <c:pt idx="144">
                  <c:v>7.5668305023870577</c:v>
                </c:pt>
                <c:pt idx="145">
                  <c:v>7.585480219483042</c:v>
                </c:pt>
                <c:pt idx="146">
                  <c:v>7.6041289467143578</c:v>
                </c:pt>
                <c:pt idx="147">
                  <c:v>7.6227766830140027</c:v>
                </c:pt>
                <c:pt idx="148">
                  <c:v>7.6414234274783448</c:v>
                </c:pt>
                <c:pt idx="149">
                  <c:v>7.6600691793618463</c:v>
                </c:pt>
                <c:pt idx="150">
                  <c:v>7.6787139380719642</c:v>
                </c:pt>
                <c:pt idx="151">
                  <c:v>7.6973577031641893</c:v>
                </c:pt>
                <c:pt idx="152">
                  <c:v>7.7160004743372408</c:v>
                </c:pt>
                <c:pt idx="153">
                  <c:v>7.734642251428399</c:v>
                </c:pt>
                <c:pt idx="154">
                  <c:v>7.7532830344089785</c:v>
                </c:pt>
                <c:pt idx="155">
                  <c:v>7.7719228233799429</c:v>
                </c:pt>
                <c:pt idx="156">
                  <c:v>7.7905616185676347</c:v>
                </c:pt>
                <c:pt idx="157">
                  <c:v>7.8091994203196418</c:v>
                </c:pt>
                <c:pt idx="158">
                  <c:v>7.827836229100793</c:v>
                </c:pt>
                <c:pt idx="159">
                  <c:v>7.8464720454892545</c:v>
                </c:pt>
                <c:pt idx="160">
                  <c:v>7.8651068701727569</c:v>
                </c:pt>
                <c:pt idx="161">
                  <c:v>7.8837407039449197</c:v>
                </c:pt>
                <c:pt idx="162">
                  <c:v>7.9023735477017043</c:v>
                </c:pt>
                <c:pt idx="163">
                  <c:v>7.9210054024379488</c:v>
                </c:pt>
                <c:pt idx="164">
                  <c:v>7.9396362692440228</c:v>
                </c:pt>
                <c:pt idx="165">
                  <c:v>7.9582661493025642</c:v>
                </c:pt>
                <c:pt idx="166">
                  <c:v>7.976895043885329</c:v>
                </c:pt>
                <c:pt idx="167">
                  <c:v>7.9955229543501263</c:v>
                </c:pt>
                <c:pt idx="168">
                  <c:v>8.0141498821378256</c:v>
                </c:pt>
                <c:pt idx="169">
                  <c:v>8.0327758287694895</c:v>
                </c:pt>
                <c:pt idx="170">
                  <c:v>8.0514007958435556</c:v>
                </c:pt>
                <c:pt idx="171">
                  <c:v>8.0700247850331266</c:v>
                </c:pt>
                <c:pt idx="172">
                  <c:v>8.0886477980833078</c:v>
                </c:pt>
                <c:pt idx="173">
                  <c:v>8.1072698368086602</c:v>
                </c:pt>
                <c:pt idx="174">
                  <c:v>8.1258909030907009</c:v>
                </c:pt>
                <c:pt idx="175">
                  <c:v>8.1445109988754911</c:v>
                </c:pt>
                <c:pt idx="176">
                  <c:v>8.1631301261712839</c:v>
                </c:pt>
                <c:pt idx="177">
                  <c:v>8.1817482870462399</c:v>
                </c:pt>
                <c:pt idx="178">
                  <c:v>8.2003654836262303</c:v>
                </c:pt>
                <c:pt idx="179">
                  <c:v>8.2189817180926816</c:v>
                </c:pt>
                <c:pt idx="180">
                  <c:v>8.2375969926804906</c:v>
                </c:pt>
                <c:pt idx="181">
                  <c:v>8.2562113096759866</c:v>
                </c:pt>
                <c:pt idx="182">
                  <c:v>8.2748246714149936</c:v>
                </c:pt>
                <c:pt idx="183">
                  <c:v>8.2934370802808992</c:v>
                </c:pt>
                <c:pt idx="184">
                  <c:v>8.3120485387028165</c:v>
                </c:pt>
                <c:pt idx="185">
                  <c:v>8.3306590491537662</c:v>
                </c:pt>
                <c:pt idx="186">
                  <c:v>8.349268614148956</c:v>
                </c:pt>
                <c:pt idx="187">
                  <c:v>8.3678772362440696</c:v>
                </c:pt>
                <c:pt idx="188">
                  <c:v>8.3864849180336218</c:v>
                </c:pt>
                <c:pt idx="189">
                  <c:v>8.4050916621493617</c:v>
                </c:pt>
                <c:pt idx="190">
                  <c:v>8.423697471258718</c:v>
                </c:pt>
                <c:pt idx="191">
                  <c:v>8.4423023480633113</c:v>
                </c:pt>
                <c:pt idx="192">
                  <c:v>8.4609062952974661</c:v>
                </c:pt>
                <c:pt idx="193">
                  <c:v>8.4795093157268031</c:v>
                </c:pt>
                <c:pt idx="194">
                  <c:v>8.4981114121468622</c:v>
                </c:pt>
                <c:pt idx="195">
                  <c:v>8.5167125873817682</c:v>
                </c:pt>
                <c:pt idx="196">
                  <c:v>8.5353128442829238</c:v>
                </c:pt>
                <c:pt idx="197">
                  <c:v>8.5539121857277518</c:v>
                </c:pt>
                <c:pt idx="198">
                  <c:v>8.5725106146184729</c:v>
                </c:pt>
                <c:pt idx="199">
                  <c:v>8.591108133880919</c:v>
                </c:pt>
                <c:pt idx="200">
                  <c:v>8.6097047464633754</c:v>
                </c:pt>
              </c:numCache>
            </c:numRef>
          </c:val>
          <c:smooth val="0"/>
          <c:extLst>
            <c:ext xmlns:c16="http://schemas.microsoft.com/office/drawing/2014/chart" uri="{C3380CC4-5D6E-409C-BE32-E72D297353CC}">
              <c16:uniqueId val="{00000002-26DC-4494-B390-60A38ACC8FFF}"/>
            </c:ext>
          </c:extLst>
        </c:ser>
        <c:ser>
          <c:idx val="1"/>
          <c:order val="3"/>
          <c:tx>
            <c:v>Shunt Loss</c:v>
          </c:tx>
          <c:spPr>
            <a:ln w="38100">
              <a:solidFill>
                <a:srgbClr val="002060"/>
              </a:solidFill>
              <a:prstDash val="sysDot"/>
            </a:ln>
          </c:spPr>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Calculations'!$BV$9:$BV$209</c:f>
              <c:numCache>
                <c:formatCode>0.000</c:formatCode>
                <c:ptCount val="201"/>
                <c:pt idx="0">
                  <c:v>9.5243761045760475E-2</c:v>
                </c:pt>
                <c:pt idx="1">
                  <c:v>9.7103942143320229E-2</c:v>
                </c:pt>
                <c:pt idx="2">
                  <c:v>9.8939226247063222E-2</c:v>
                </c:pt>
                <c:pt idx="3">
                  <c:v>0.10075012281131032</c:v>
                </c:pt>
                <c:pt idx="4">
                  <c:v>0.10253712712614538</c:v>
                </c:pt>
                <c:pt idx="5">
                  <c:v>0.10430072081800383</c:v>
                </c:pt>
                <c:pt idx="6">
                  <c:v>0.10604137232874646</c:v>
                </c:pt>
                <c:pt idx="7">
                  <c:v>0.10775953737430781</c:v>
                </c:pt>
                <c:pt idx="8">
                  <c:v>0.10945565938394397</c:v>
                </c:pt>
                <c:pt idx="9">
                  <c:v>0.11113016992104552</c:v>
                </c:pt>
                <c:pt idx="10">
                  <c:v>0.11278348908642792</c:v>
                </c:pt>
                <c:pt idx="11">
                  <c:v>0.11441602590495836</c:v>
                </c:pt>
                <c:pt idx="12">
                  <c:v>0.11602817869632817</c:v>
                </c:pt>
                <c:pt idx="13">
                  <c:v>0.11762033543073909</c:v>
                </c:pt>
                <c:pt idx="14">
                  <c:v>0.11919287407022439</c:v>
                </c:pt>
                <c:pt idx="15">
                  <c:v>0.1207461628962888</c:v>
                </c:pt>
                <c:pt idx="16">
                  <c:v>0.12228056082451272</c:v>
                </c:pt>
                <c:pt idx="17">
                  <c:v>0.12379641770673275</c:v>
                </c:pt>
                <c:pt idx="18">
                  <c:v>0.12529407462137399</c:v>
                </c:pt>
                <c:pt idx="19">
                  <c:v>0.12677386415248401</c:v>
                </c:pt>
                <c:pt idx="20">
                  <c:v>0.12823611065798432</c:v>
                </c:pt>
                <c:pt idx="21">
                  <c:v>0.12968113052763078</c:v>
                </c:pt>
                <c:pt idx="22">
                  <c:v>0.13110923243114761</c:v>
                </c:pt>
                <c:pt idx="23">
                  <c:v>0.13252071755697739</c:v>
                </c:pt>
                <c:pt idx="24">
                  <c:v>0.13391587984206133</c:v>
                </c:pt>
                <c:pt idx="25">
                  <c:v>0.13529500619305165</c:v>
                </c:pt>
                <c:pt idx="26">
                  <c:v>0.13665837669932793</c:v>
                </c:pt>
                <c:pt idx="27">
                  <c:v>0.13800626483817699</c:v>
                </c:pt>
                <c:pt idx="28">
                  <c:v>0.1393389376724771</c:v>
                </c:pt>
                <c:pt idx="29">
                  <c:v>0.1406566560412052</c:v>
                </c:pt>
                <c:pt idx="30">
                  <c:v>0.14195967474307819</c:v>
                </c:pt>
                <c:pt idx="31">
                  <c:v>0.14324824271361644</c:v>
                </c:pt>
                <c:pt idx="32">
                  <c:v>0.14452260319590926</c:v>
                </c:pt>
                <c:pt idx="33">
                  <c:v>0.14578299390534422</c:v>
                </c:pt>
                <c:pt idx="34">
                  <c:v>0.14702964718855258</c:v>
                </c:pt>
                <c:pt idx="35">
                  <c:v>0.14826279017681024</c:v>
                </c:pt>
                <c:pt idx="36">
                  <c:v>0.1494826449341207</c:v>
                </c:pt>
                <c:pt idx="37">
                  <c:v>0.15068942860019804</c:v>
                </c:pt>
                <c:pt idx="38">
                  <c:v>0.1518833535285565</c:v>
                </c:pt>
                <c:pt idx="39">
                  <c:v>0.15306462741990351</c:v>
                </c:pt>
                <c:pt idx="40">
                  <c:v>0.15423345345102449</c:v>
                </c:pt>
                <c:pt idx="41">
                  <c:v>0.15539003039933866</c:v>
                </c:pt>
                <c:pt idx="42">
                  <c:v>0.15653455276329697</c:v>
                </c:pt>
                <c:pt idx="43">
                  <c:v>0.15766721087878552</c:v>
                </c:pt>
                <c:pt idx="44">
                  <c:v>0.15878819103169034</c:v>
                </c:pt>
                <c:pt idx="45">
                  <c:v>0.15989767556677256</c:v>
                </c:pt>
                <c:pt idx="46">
                  <c:v>0.16099584299299696</c:v>
                </c:pt>
                <c:pt idx="47">
                  <c:v>0.16208286808544808</c:v>
                </c:pt>
                <c:pt idx="48">
                  <c:v>0.163158921983966</c:v>
                </c:pt>
                <c:pt idx="49">
                  <c:v>0.16422417228862493</c:v>
                </c:pt>
                <c:pt idx="50">
                  <c:v>0.1652787831521734</c:v>
                </c:pt>
                <c:pt idx="51">
                  <c:v>0.1663229153695501</c:v>
                </c:pt>
                <c:pt idx="52">
                  <c:v>0.16735672646458483</c:v>
                </c:pt>
                <c:pt idx="53">
                  <c:v>0.16838037077398726</c:v>
                </c:pt>
                <c:pt idx="54">
                  <c:v>0.16939399952872411</c:v>
                </c:pt>
                <c:pt idx="55">
                  <c:v>0.17039776093288103</c:v>
                </c:pt>
                <c:pt idx="56">
                  <c:v>0.17139180024009879</c:v>
                </c:pt>
                <c:pt idx="57">
                  <c:v>0.17237625982767349</c:v>
                </c:pt>
                <c:pt idx="58">
                  <c:v>0.17335127926840257</c:v>
                </c:pt>
                <c:pt idx="59">
                  <c:v>0.17431699540026038</c:v>
                </c:pt>
                <c:pt idx="60">
                  <c:v>0.17527354239397575</c:v>
                </c:pt>
                <c:pt idx="61">
                  <c:v>0.17622105181859207</c:v>
                </c:pt>
                <c:pt idx="62">
                  <c:v>0.17715965270507372</c:v>
                </c:pt>
                <c:pt idx="63">
                  <c:v>0.17808947160803332</c:v>
                </c:pt>
                <c:pt idx="64">
                  <c:v>0.17901063266564149</c:v>
                </c:pt>
                <c:pt idx="65">
                  <c:v>0.17992325765778311</c:v>
                </c:pt>
                <c:pt idx="66">
                  <c:v>0.18082746606252023</c:v>
                </c:pt>
                <c:pt idx="67">
                  <c:v>0.18172337511092054</c:v>
                </c:pt>
                <c:pt idx="68">
                  <c:v>0.18261109984030491</c:v>
                </c:pt>
                <c:pt idx="69">
                  <c:v>0.18349075314596974</c:v>
                </c:pt>
                <c:pt idx="70">
                  <c:v>0.18436244583143466</c:v>
                </c:pt>
                <c:pt idx="71">
                  <c:v>0.18522628665726396</c:v>
                </c:pt>
                <c:pt idx="72">
                  <c:v>0.18608238238851102</c:v>
                </c:pt>
                <c:pt idx="73">
                  <c:v>0.18693083784083039</c:v>
                </c:pt>
                <c:pt idx="74">
                  <c:v>0.18777175592530185</c:v>
                </c:pt>
                <c:pt idx="75">
                  <c:v>0.18860523769200777</c:v>
                </c:pt>
                <c:pt idx="76">
                  <c:v>0.18943138237240628</c:v>
                </c:pt>
                <c:pt idx="77">
                  <c:v>0.19025028742053757</c:v>
                </c:pt>
                <c:pt idx="78">
                  <c:v>0.19106204855310263</c:v>
                </c:pt>
                <c:pt idx="79">
                  <c:v>0.19186675978844844</c:v>
                </c:pt>
                <c:pt idx="80">
                  <c:v>0.19266451348449792</c:v>
                </c:pt>
                <c:pt idx="81">
                  <c:v>0.19345540037565465</c:v>
                </c:pt>
                <c:pt idx="82">
                  <c:v>0.19423950960871764</c:v>
                </c:pt>
                <c:pt idx="83">
                  <c:v>0.19501692877783569</c:v>
                </c:pt>
                <c:pt idx="84">
                  <c:v>0.19578774395853263</c:v>
                </c:pt>
                <c:pt idx="85">
                  <c:v>0.1965520397408313</c:v>
                </c:pt>
                <c:pt idx="86">
                  <c:v>0.197309899261505</c:v>
                </c:pt>
                <c:pt idx="87">
                  <c:v>0.19806140423548393</c:v>
                </c:pt>
                <c:pt idx="88">
                  <c:v>0.19880663498644066</c:v>
                </c:pt>
                <c:pt idx="89">
                  <c:v>0.19954567047658259</c:v>
                </c:pt>
                <c:pt idx="90">
                  <c:v>0.20027858833567269</c:v>
                </c:pt>
                <c:pt idx="91">
                  <c:v>0.20100546488930435</c:v>
                </c:pt>
                <c:pt idx="92">
                  <c:v>0.20172637518645123</c:v>
                </c:pt>
                <c:pt idx="93">
                  <c:v>0.202441393026315</c:v>
                </c:pt>
                <c:pt idx="94">
                  <c:v>0.20315059098449087</c:v>
                </c:pt>
                <c:pt idx="95">
                  <c:v>0.20385404043847249</c:v>
                </c:pt>
                <c:pt idx="96">
                  <c:v>0.2045518115925147</c:v>
                </c:pt>
                <c:pt idx="97">
                  <c:v>0.20524397350187404</c:v>
                </c:pt>
                <c:pt idx="98">
                  <c:v>0.20593059409644426</c:v>
                </c:pt>
                <c:pt idx="99">
                  <c:v>0.20661174020380574</c:v>
                </c:pt>
                <c:pt idx="100">
                  <c:v>0.20728747757170468</c:v>
                </c:pt>
                <c:pt idx="101">
                  <c:v>0.20795787088997914</c:v>
                </c:pt>
                <c:pt idx="102">
                  <c:v>0.20862298381194871</c:v>
                </c:pt>
                <c:pt idx="103">
                  <c:v>0.20928287897528172</c:v>
                </c:pt>
                <c:pt idx="104">
                  <c:v>0.20993761802235544</c:v>
                </c:pt>
                <c:pt idx="105">
                  <c:v>0.21058726162012459</c:v>
                </c:pt>
                <c:pt idx="106">
                  <c:v>0.21123186947951084</c:v>
                </c:pt>
                <c:pt idx="107">
                  <c:v>0.21187150037432789</c:v>
                </c:pt>
                <c:pt idx="108">
                  <c:v>0.21250621215975474</c:v>
                </c:pt>
                <c:pt idx="109">
                  <c:v>0.21313606179036876</c:v>
                </c:pt>
                <c:pt idx="110">
                  <c:v>0.21376110533775314</c:v>
                </c:pt>
                <c:pt idx="111">
                  <c:v>0.21438139800768866</c:v>
                </c:pt>
                <c:pt idx="112">
                  <c:v>0.21499699415694171</c:v>
                </c:pt>
                <c:pt idx="113">
                  <c:v>0.21560794730966026</c:v>
                </c:pt>
                <c:pt idx="114">
                  <c:v>0.2162143101733871</c:v>
                </c:pt>
                <c:pt idx="115">
                  <c:v>0.21681613465470315</c:v>
                </c:pt>
                <c:pt idx="116">
                  <c:v>0.21741347187450827</c:v>
                </c:pt>
                <c:pt idx="117">
                  <c:v>0.21800637218295166</c:v>
                </c:pt>
                <c:pt idx="118">
                  <c:v>0.21859488517401926</c:v>
                </c:pt>
                <c:pt idx="119">
                  <c:v>0.21917905969978904</c:v>
                </c:pt>
                <c:pt idx="120">
                  <c:v>0.21975894388436168</c:v>
                </c:pt>
                <c:pt idx="121">
                  <c:v>0.22033458513747775</c:v>
                </c:pt>
                <c:pt idx="122">
                  <c:v>0.22090603016782495</c:v>
                </c:pt>
                <c:pt idx="123">
                  <c:v>0.2214733249960496</c:v>
                </c:pt>
                <c:pt idx="124">
                  <c:v>0.22203651496747479</c:v>
                </c:pt>
                <c:pt idx="125">
                  <c:v>0.22259564476453733</c:v>
                </c:pt>
                <c:pt idx="126">
                  <c:v>0.22315075841894647</c:v>
                </c:pt>
                <c:pt idx="127">
                  <c:v>0.22370189932357584</c:v>
                </c:pt>
                <c:pt idx="128">
                  <c:v>0.22424911024409255</c:v>
                </c:pt>
                <c:pt idx="129">
                  <c:v>0.22479243333033139</c:v>
                </c:pt>
                <c:pt idx="130">
                  <c:v>0.22533191012742079</c:v>
                </c:pt>
                <c:pt idx="131">
                  <c:v>0.22586758158666595</c:v>
                </c:pt>
                <c:pt idx="132">
                  <c:v>0.22639948807619728</c:v>
                </c:pt>
                <c:pt idx="133">
                  <c:v>0.22692766939138773</c:v>
                </c:pt>
                <c:pt idx="134">
                  <c:v>0.22745216476504573</c:v>
                </c:pt>
                <c:pt idx="135">
                  <c:v>0.22797301287739116</c:v>
                </c:pt>
                <c:pt idx="136">
                  <c:v>0.22849025186581715</c:v>
                </c:pt>
                <c:pt idx="137">
                  <c:v>0.22900391933444325</c:v>
                </c:pt>
                <c:pt idx="138">
                  <c:v>0.22951405236346914</c:v>
                </c:pt>
                <c:pt idx="139">
                  <c:v>0.23002068751832727</c:v>
                </c:pt>
                <c:pt idx="140">
                  <c:v>0.23052386085864507</c:v>
                </c:pt>
                <c:pt idx="141">
                  <c:v>0.23102360794701915</c:v>
                </c:pt>
                <c:pt idx="142">
                  <c:v>0.23151996385760495</c:v>
                </c:pt>
                <c:pt idx="143">
                  <c:v>0.23201296318452952</c:v>
                </c:pt>
                <c:pt idx="144">
                  <c:v>0.23250264005012811</c:v>
                </c:pt>
                <c:pt idx="145">
                  <c:v>0.23298902811301139</c:v>
                </c:pt>
                <c:pt idx="146">
                  <c:v>0.23347216057596715</c:v>
                </c:pt>
                <c:pt idx="147">
                  <c:v>0.23395207019369849</c:v>
                </c:pt>
                <c:pt idx="148">
                  <c:v>0.23442878928040528</c:v>
                </c:pt>
                <c:pt idx="149">
                  <c:v>0.23490234971721058</c:v>
                </c:pt>
                <c:pt idx="150">
                  <c:v>0.23537278295943564</c:v>
                </c:pt>
                <c:pt idx="151">
                  <c:v>0.23584012004372967</c:v>
                </c:pt>
                <c:pt idx="152">
                  <c:v>0.23630439159505356</c:v>
                </c:pt>
                <c:pt idx="153">
                  <c:v>0.23676562783352612</c:v>
                </c:pt>
                <c:pt idx="154">
                  <c:v>0.23722385858113001</c:v>
                </c:pt>
                <c:pt idx="155">
                  <c:v>0.23767911326828725</c:v>
                </c:pt>
                <c:pt idx="156">
                  <c:v>0.2381314209403014</c:v>
                </c:pt>
                <c:pt idx="157">
                  <c:v>0.23858081026367448</c:v>
                </c:pt>
                <c:pt idx="158">
                  <c:v>0.23902730953229676</c:v>
                </c:pt>
                <c:pt idx="159">
                  <c:v>0.23947094667351709</c:v>
                </c:pt>
                <c:pt idx="160">
                  <c:v>0.23991174925409328</c:v>
                </c:pt>
                <c:pt idx="161">
                  <c:v>0.24034974448602492</c:v>
                </c:pt>
                <c:pt idx="162">
                  <c:v>0.24078495923227614</c:v>
                </c:pt>
                <c:pt idx="163">
                  <c:v>0.24121742001238292</c:v>
                </c:pt>
                <c:pt idx="164">
                  <c:v>0.24164715300795586</c:v>
                </c:pt>
                <c:pt idx="165">
                  <c:v>0.24207418406807468</c:v>
                </c:pt>
                <c:pt idx="166">
                  <c:v>0.24249853871457924</c:v>
                </c:pt>
                <c:pt idx="167">
                  <c:v>0.24292024214726035</c:v>
                </c:pt>
                <c:pt idx="168">
                  <c:v>0.2433393192489508</c:v>
                </c:pt>
                <c:pt idx="169">
                  <c:v>0.24375579459051933</c:v>
                </c:pt>
                <c:pt idx="170">
                  <c:v>0.24416969243577061</c:v>
                </c:pt>
                <c:pt idx="171">
                  <c:v>0.24458103674625206</c:v>
                </c:pt>
                <c:pt idx="172">
                  <c:v>0.24498985118597091</c:v>
                </c:pt>
                <c:pt idx="173">
                  <c:v>0.24539615912602142</c:v>
                </c:pt>
                <c:pt idx="174">
                  <c:v>0.245799983649127</c:v>
                </c:pt>
                <c:pt idx="175">
                  <c:v>0.24620134755409687</c:v>
                </c:pt>
                <c:pt idx="176">
                  <c:v>0.24660027336019974</c:v>
                </c:pt>
                <c:pt idx="177">
                  <c:v>0.24699678331145661</c:v>
                </c:pt>
                <c:pt idx="178">
                  <c:v>0.2473908993808549</c:v>
                </c:pt>
                <c:pt idx="179">
                  <c:v>0.24778264327448393</c:v>
                </c:pt>
                <c:pt idx="180">
                  <c:v>0.2481720364355956</c:v>
                </c:pt>
                <c:pt idx="181">
                  <c:v>0.24855910004858903</c:v>
                </c:pt>
                <c:pt idx="182">
                  <c:v>0.24894385504292538</c:v>
                </c:pt>
                <c:pt idx="183">
                  <c:v>0.24932632209696848</c:v>
                </c:pt>
                <c:pt idx="184">
                  <c:v>0.24970652164175824</c:v>
                </c:pt>
                <c:pt idx="185">
                  <c:v>0.25008447386471383</c:v>
                </c:pt>
                <c:pt idx="186">
                  <c:v>0.2504601987132723</c:v>
                </c:pt>
                <c:pt idx="187">
                  <c:v>0.25083371589846032</c:v>
                </c:pt>
                <c:pt idx="188">
                  <c:v>0.25120504489840212</c:v>
                </c:pt>
                <c:pt idx="189">
                  <c:v>0.25157420496176591</c:v>
                </c:pt>
                <c:pt idx="190">
                  <c:v>0.25194121511114775</c:v>
                </c:pt>
                <c:pt idx="191">
                  <c:v>0.25230609414639615</c:v>
                </c:pt>
                <c:pt idx="192">
                  <c:v>0.25266886064787791</c:v>
                </c:pt>
                <c:pt idx="193">
                  <c:v>0.25302953297968561</c:v>
                </c:pt>
                <c:pt idx="194">
                  <c:v>0.25338812929278987</c:v>
                </c:pt>
                <c:pt idx="195">
                  <c:v>0.25374466752813574</c:v>
                </c:pt>
                <c:pt idx="196">
                  <c:v>0.25409916541968491</c:v>
                </c:pt>
                <c:pt idx="197">
                  <c:v>0.25445164049740482</c:v>
                </c:pt>
                <c:pt idx="198">
                  <c:v>0.25480211009020742</c:v>
                </c:pt>
                <c:pt idx="199">
                  <c:v>0.25515059132883422</c:v>
                </c:pt>
                <c:pt idx="200">
                  <c:v>0.25549710114869434</c:v>
                </c:pt>
              </c:numCache>
            </c:numRef>
          </c:val>
          <c:smooth val="0"/>
          <c:extLst>
            <c:ext xmlns:c16="http://schemas.microsoft.com/office/drawing/2014/chart" uri="{C3380CC4-5D6E-409C-BE32-E72D297353CC}">
              <c16:uniqueId val="{00000003-26DC-4494-B390-60A38ACC8FFF}"/>
            </c:ext>
          </c:extLst>
        </c:ser>
        <c:dLbls>
          <c:showLegendKey val="0"/>
          <c:showVal val="0"/>
          <c:showCatName val="0"/>
          <c:showSerName val="0"/>
          <c:showPercent val="0"/>
          <c:showBubbleSize val="0"/>
        </c:dLbls>
        <c:marker val="1"/>
        <c:smooth val="0"/>
        <c:axId val="196432256"/>
        <c:axId val="196421888"/>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37214586160317298"/>
          <c:y val="1.1892546194234431E-2"/>
          <c:w val="0.6110537765428794"/>
          <c:h val="9.0576560908423698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V</a:t>
            </a:r>
            <a:r>
              <a:rPr lang="en-US" sz="1800" b="1" i="0" u="none" strike="noStrike" baseline="-25000"/>
              <a:t>IN</a:t>
            </a:r>
            <a:r>
              <a:rPr lang="en-US" sz="1800" b="1" i="0" u="none" strike="noStrike" baseline="0"/>
              <a:t> = V</a:t>
            </a:r>
            <a:r>
              <a:rPr lang="en-US" sz="1800" b="1" i="0" u="none" strike="noStrike" baseline="-25000"/>
              <a:t>IN(nom)</a:t>
            </a:r>
            <a:endParaRPr lang="en-US" sz="1800">
              <a:latin typeface="Arial" pitchFamily="34" charset="0"/>
              <a:cs typeface="Arial" pitchFamily="34" charset="0"/>
            </a:endParaRPr>
          </a:p>
        </c:rich>
      </c:tx>
      <c:layout>
        <c:manualLayout>
          <c:xMode val="edge"/>
          <c:yMode val="edge"/>
          <c:x val="8.1772222786336932E-2"/>
          <c:y val="4.614939768388470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357120"/>
        <c:axId val="196359296"/>
        <c:extLst>
          <c:ext xmlns:c15="http://schemas.microsoft.com/office/drawing/2012/chart" uri="{02D57815-91ED-43cb-92C2-25804820EDAC}">
            <c15:filteredLineSeries>
              <c15:ser>
                <c:idx val="0"/>
                <c:order val="0"/>
                <c:tx>
                  <c:v>Efficiency</c:v>
                </c:tx>
                <c:spPr>
                  <a:ln w="28575">
                    <a:solidFill>
                      <a:srgbClr val="FF0000"/>
                    </a:solidFill>
                    <a:prstDash val="solid"/>
                  </a:ln>
                </c:spPr>
                <c:marker>
                  <c:symbol val="none"/>
                </c:marker>
                <c:cat>
                  <c:numRef>
                    <c:extLst>
                      <c:ex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c:ext uri="{02D57815-91ED-43cb-92C2-25804820EDAC}">
                        <c15:formulaRef>
                          <c15:sqref>'Efficiency vs Load Calculations'!$BO$9:$BO$109</c15:sqref>
                        </c15:formulaRef>
                      </c:ext>
                    </c:extLst>
                    <c:numCache>
                      <c:formatCode>0.00</c:formatCode>
                      <c:ptCount val="101"/>
                      <c:pt idx="0">
                        <c:v>0</c:v>
                      </c:pt>
                      <c:pt idx="1">
                        <c:v>42.981308682967686</c:v>
                      </c:pt>
                      <c:pt idx="2">
                        <c:v>59.81594128981358</c:v>
                      </c:pt>
                      <c:pt idx="3">
                        <c:v>68.791394396117369</c:v>
                      </c:pt>
                      <c:pt idx="4">
                        <c:v>74.365269277402803</c:v>
                      </c:pt>
                      <c:pt idx="5">
                        <c:v>78.160112828883172</c:v>
                      </c:pt>
                      <c:pt idx="6">
                        <c:v>80.908095170861685</c:v>
                      </c:pt>
                      <c:pt idx="7">
                        <c:v>82.988075774419855</c:v>
                      </c:pt>
                      <c:pt idx="8">
                        <c:v>84.615774919496573</c:v>
                      </c:pt>
                      <c:pt idx="9">
                        <c:v>85.92305009224556</c:v>
                      </c:pt>
                      <c:pt idx="10">
                        <c:v>86.995038695697374</c:v>
                      </c:pt>
                      <c:pt idx="11">
                        <c:v>87.874772487805274</c:v>
                      </c:pt>
                      <c:pt idx="12">
                        <c:v>88.610541703267756</c:v>
                      </c:pt>
                      <c:pt idx="13">
                        <c:v>89.240105768403183</c:v>
                      </c:pt>
                      <c:pt idx="14">
                        <c:v>89.784343428524792</c:v>
                      </c:pt>
                      <c:pt idx="15">
                        <c:v>90.258994183940843</c:v>
                      </c:pt>
                      <c:pt idx="16">
                        <c:v>90.676147789014124</c:v>
                      </c:pt>
                      <c:pt idx="17">
                        <c:v>91.045244094338329</c:v>
                      </c:pt>
                      <c:pt idx="18">
                        <c:v>91.373761274747977</c:v>
                      </c:pt>
                      <c:pt idx="19">
                        <c:v>91.667700153396595</c:v>
                      </c:pt>
                      <c:pt idx="20">
                        <c:v>91.931931785357861</c:v>
                      </c:pt>
                      <c:pt idx="21">
                        <c:v>92.170451317228625</c:v>
                      </c:pt>
                      <c:pt idx="22">
                        <c:v>92.386566338829155</c:v>
                      </c:pt>
                      <c:pt idx="23">
                        <c:v>92.583038635288304</c:v>
                      </c:pt>
                      <c:pt idx="24">
                        <c:v>92.762192257423948</c:v>
                      </c:pt>
                      <c:pt idx="25">
                        <c:v>92.9259968916746</c:v>
                      </c:pt>
                      <c:pt idx="26">
                        <c:v>93.076132874288632</c:v>
                      </c:pt>
                      <c:pt idx="27">
                        <c:v>93.214042397845049</c:v>
                      </c:pt>
                      <c:pt idx="28">
                        <c:v>93.340970214328181</c:v>
                      </c:pt>
                      <c:pt idx="29">
                        <c:v>93.457996265178849</c:v>
                      </c:pt>
                      <c:pt idx="30">
                        <c:v>93.566062046587788</c:v>
                      </c:pt>
                      <c:pt idx="31">
                        <c:v>93.665992069755774</c:v>
                      </c:pt>
                      <c:pt idx="32">
                        <c:v>93.758511448709172</c:v>
                      </c:pt>
                      <c:pt idx="33">
                        <c:v>93.84426040708108</c:v>
                      </c:pt>
                      <c:pt idx="34">
                        <c:v>93.923806315665644</c:v>
                      </c:pt>
                      <c:pt idx="35">
                        <c:v>93.997653737539082</c:v>
                      </c:pt>
                      <c:pt idx="36">
                        <c:v>94.066252855146629</c:v>
                      </c:pt>
                      <c:pt idx="37">
                        <c:v>94.130006575451631</c:v>
                      </c:pt>
                      <c:pt idx="38">
                        <c:v>94.189276548895137</c:v>
                      </c:pt>
                      <c:pt idx="39">
                        <c:v>94.244388291058428</c:v>
                      </c:pt>
                      <c:pt idx="40">
                        <c:v>94.295635559289138</c:v>
                      </c:pt>
                      <c:pt idx="41">
                        <c:v>94.343284107722113</c:v>
                      </c:pt>
                      <c:pt idx="42">
                        <c:v>94.387574921295098</c:v>
                      </c:pt>
                      <c:pt idx="43">
                        <c:v>94.428727011173194</c:v>
                      </c:pt>
                      <c:pt idx="44">
                        <c:v>94.466939839425308</c:v>
                      </c:pt>
                      <c:pt idx="45">
                        <c:v>94.502395429061337</c:v>
                      </c:pt>
                      <c:pt idx="46">
                        <c:v>94.535260206039169</c:v>
                      </c:pt>
                      <c:pt idx="47">
                        <c:v>94.565686612122789</c:v>
                      </c:pt>
                      <c:pt idx="48">
                        <c:v>94.593814521156929</c:v>
                      </c:pt>
                      <c:pt idx="49">
                        <c:v>94.619772486139624</c:v>
                      </c:pt>
                      <c:pt idx="50">
                        <c:v>94.643678840199541</c:v>
                      </c:pt>
                      <c:pt idx="51">
                        <c:v>94.665642671047067</c:v>
                      </c:pt>
                      <c:pt idx="52">
                        <c:v>94.685764685528412</c:v>
                      </c:pt>
                      <c:pt idx="53">
                        <c:v>94.704137978459585</c:v>
                      </c:pt>
                      <c:pt idx="54">
                        <c:v>94.720848717864087</c:v>
                      </c:pt>
                      <c:pt idx="55">
                        <c:v>94.735976757014257</c:v>
                      </c:pt>
                      <c:pt idx="56">
                        <c:v>94.749596182222319</c:v>
                      </c:pt>
                      <c:pt idx="57">
                        <c:v>94.761775804098889</c:v>
                      </c:pt>
                      <c:pt idx="58">
                        <c:v>94.77257959895438</c:v>
                      </c:pt>
                      <c:pt idx="59">
                        <c:v>94.782067106132274</c:v>
                      </c:pt>
                      <c:pt idx="60">
                        <c:v>94.790293786306862</c:v>
                      </c:pt>
                      <c:pt idx="61">
                        <c:v>94.797311345131547</c:v>
                      </c:pt>
                      <c:pt idx="62">
                        <c:v>94.803168026068519</c:v>
                      </c:pt>
                      <c:pt idx="63">
                        <c:v>94.807908875753654</c:v>
                      </c:pt>
                      <c:pt idx="64">
                        <c:v>94.811575984839408</c:v>
                      </c:pt>
                      <c:pt idx="65">
                        <c:v>94.814208706902278</c:v>
                      </c:pt>
                      <c:pt idx="66">
                        <c:v>94.815843857694645</c:v>
                      </c:pt>
                      <c:pt idx="67">
                        <c:v>94.81651589675208</c:v>
                      </c:pt>
                      <c:pt idx="68">
                        <c:v>94.816257093136088</c:v>
                      </c:pt>
                      <c:pt idx="69">
                        <c:v>94.815097676888286</c:v>
                      </c:pt>
                      <c:pt idx="70">
                        <c:v>94.813065977595656</c:v>
                      </c:pt>
                      <c:pt idx="71">
                        <c:v>94.810188551310787</c:v>
                      </c:pt>
                      <c:pt idx="72">
                        <c:v>94.806490296935507</c:v>
                      </c:pt>
                      <c:pt idx="73">
                        <c:v>94.801994563056269</c:v>
                      </c:pt>
                      <c:pt idx="74">
                        <c:v>94.796723246114539</c:v>
                      </c:pt>
                      <c:pt idx="75">
                        <c:v>94.790696880702811</c:v>
                      </c:pt>
                      <c:pt idx="76">
                        <c:v>94.783934722694312</c:v>
                      </c:pt>
                      <c:pt idx="77">
                        <c:v>94.776454825842222</c:v>
                      </c:pt>
                      <c:pt idx="78">
                        <c:v>94.768274112419675</c:v>
                      </c:pt>
                      <c:pt idx="79">
                        <c:v>94.759408438414908</c:v>
                      </c:pt>
                      <c:pt idx="80">
                        <c:v>94.749872653744319</c:v>
                      </c:pt>
                      <c:pt idx="81">
                        <c:v>94.739680657901957</c:v>
                      </c:pt>
                      <c:pt idx="82">
                        <c:v>94.728845451422643</c:v>
                      </c:pt>
                      <c:pt idx="83">
                        <c:v>94.717379183500299</c:v>
                      </c:pt>
                      <c:pt idx="84">
                        <c:v>94.705293196070457</c:v>
                      </c:pt>
                      <c:pt idx="85">
                        <c:v>94.692598064637536</c:v>
                      </c:pt>
                      <c:pt idx="86">
                        <c:v>94.679303636100386</c:v>
                      </c:pt>
                      <c:pt idx="87">
                        <c:v>94.665419063807619</c:v>
                      </c:pt>
                      <c:pt idx="88">
                        <c:v>94.650952840052184</c:v>
                      </c:pt>
                      <c:pt idx="89">
                        <c:v>94.635912826196204</c:v>
                      </c:pt>
                      <c:pt idx="90">
                        <c:v>94.620306280599806</c:v>
                      </c:pt>
                      <c:pt idx="91">
                        <c:v>94.604139884512634</c:v>
                      </c:pt>
                      <c:pt idx="92">
                        <c:v>94.587419766072045</c:v>
                      </c:pt>
                      <c:pt idx="93">
                        <c:v>94.570151522540385</c:v>
                      </c:pt>
                      <c:pt idx="94">
                        <c:v>94.552340240901003</c:v>
                      </c:pt>
                      <c:pt idx="95">
                        <c:v>94.53399051692351</c:v>
                      </c:pt>
                      <c:pt idx="96">
                        <c:v>94.515106472798479</c:v>
                      </c:pt>
                      <c:pt idx="97">
                        <c:v>94.495691773433379</c:v>
                      </c:pt>
                      <c:pt idx="98">
                        <c:v>94.475749641493834</c:v>
                      </c:pt>
                      <c:pt idx="99">
                        <c:v>94.455282871266917</c:v>
                      </c:pt>
                      <c:pt idx="100">
                        <c:v>94.434293841416704</c:v>
                      </c:pt>
                    </c:numCache>
                  </c:numRef>
                </c:val>
                <c:smooth val="0"/>
                <c:extLst>
                  <c:ext xmlns:c16="http://schemas.microsoft.com/office/drawing/2014/chart" uri="{C3380CC4-5D6E-409C-BE32-E72D297353CC}">
                    <c16:uniqueId val="{00000005-8897-4E0E-B39C-97315E8CCE9C}"/>
                  </c:ext>
                </c:extLst>
              </c15:ser>
            </c15:filteredLineSeries>
          </c:ext>
        </c:extLst>
      </c:lineChart>
      <c:lineChart>
        <c:grouping val="standard"/>
        <c:varyColors val="0"/>
        <c:ser>
          <c:idx val="10"/>
          <c:order val="1"/>
          <c:tx>
            <c:strRef>
              <c:f>'Efficiency vs Load Calculations'!$BB$8</c:f>
              <c:strCache>
                <c:ptCount val="1"/>
                <c:pt idx="0">
                  <c:v>Reverse Recovery Loss MOSFET D BOOST</c:v>
                </c:pt>
              </c:strCache>
            </c:strRef>
          </c:tx>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Calculations'!$BB$9:$BB$109</c:f>
              <c:numCache>
                <c:formatCode>0.000</c:formatCode>
                <c:ptCount val="101"/>
                <c:pt idx="0">
                  <c:v>0</c:v>
                </c:pt>
                <c:pt idx="1">
                  <c:v>2.3999395200000003E-3</c:v>
                </c:pt>
                <c:pt idx="2">
                  <c:v>4.79975808E-3</c:v>
                </c:pt>
                <c:pt idx="3">
                  <c:v>7.1994556799999995E-3</c:v>
                </c:pt>
                <c:pt idx="4">
                  <c:v>9.5990323199999991E-3</c:v>
                </c:pt>
                <c:pt idx="5">
                  <c:v>1.1998488000000002E-2</c:v>
                </c:pt>
                <c:pt idx="6">
                  <c:v>1.4397822720000002E-2</c:v>
                </c:pt>
                <c:pt idx="7">
                  <c:v>1.6797036479999999E-2</c:v>
                </c:pt>
                <c:pt idx="8">
                  <c:v>1.9196129280000002E-2</c:v>
                </c:pt>
                <c:pt idx="9">
                  <c:v>2.1595101119999998E-2</c:v>
                </c:pt>
                <c:pt idx="10">
                  <c:v>2.3993952000000002E-2</c:v>
                </c:pt>
                <c:pt idx="11">
                  <c:v>2.6392681920000004E-2</c:v>
                </c:pt>
                <c:pt idx="12">
                  <c:v>2.8791290880000001E-2</c:v>
                </c:pt>
                <c:pt idx="13">
                  <c:v>3.1189778880000001E-2</c:v>
                </c:pt>
                <c:pt idx="14">
                  <c:v>3.358814592E-2</c:v>
                </c:pt>
                <c:pt idx="15">
                  <c:v>3.5986391999999999E-2</c:v>
                </c:pt>
                <c:pt idx="16">
                  <c:v>3.8384517119999996E-2</c:v>
                </c:pt>
                <c:pt idx="17">
                  <c:v>4.0782521280000004E-2</c:v>
                </c:pt>
                <c:pt idx="18">
                  <c:v>4.3180404480000004E-2</c:v>
                </c:pt>
                <c:pt idx="19">
                  <c:v>4.557816672E-2</c:v>
                </c:pt>
                <c:pt idx="20">
                  <c:v>4.7975808000000009E-2</c:v>
                </c:pt>
                <c:pt idx="21">
                  <c:v>5.0373328320000001E-2</c:v>
                </c:pt>
                <c:pt idx="22">
                  <c:v>5.2770727680000004E-2</c:v>
                </c:pt>
                <c:pt idx="23">
                  <c:v>5.5168006079999998E-2</c:v>
                </c:pt>
                <c:pt idx="24">
                  <c:v>5.7565163520000004E-2</c:v>
                </c:pt>
                <c:pt idx="25">
                  <c:v>5.9962200000000014E-2</c:v>
                </c:pt>
                <c:pt idx="26">
                  <c:v>6.2359115520000001E-2</c:v>
                </c:pt>
                <c:pt idx="27">
                  <c:v>6.4755910080000006E-2</c:v>
                </c:pt>
                <c:pt idx="28">
                  <c:v>6.7152583679999989E-2</c:v>
                </c:pt>
                <c:pt idx="29">
                  <c:v>6.9549136319999996E-2</c:v>
                </c:pt>
                <c:pt idx="30">
                  <c:v>7.1945568000000001E-2</c:v>
                </c:pt>
                <c:pt idx="31">
                  <c:v>7.4341878720000004E-2</c:v>
                </c:pt>
                <c:pt idx="32">
                  <c:v>7.6738068480000005E-2</c:v>
                </c:pt>
                <c:pt idx="33">
                  <c:v>7.9134137279999989E-2</c:v>
                </c:pt>
                <c:pt idx="34">
                  <c:v>8.1530085119999998E-2</c:v>
                </c:pt>
                <c:pt idx="35">
                  <c:v>8.3925912000000005E-2</c:v>
                </c:pt>
                <c:pt idx="36">
                  <c:v>8.632161792000001E-2</c:v>
                </c:pt>
                <c:pt idx="37">
                  <c:v>8.8717202880000012E-2</c:v>
                </c:pt>
                <c:pt idx="38">
                  <c:v>9.1112666879999998E-2</c:v>
                </c:pt>
                <c:pt idx="39">
                  <c:v>9.3508009919999982E-2</c:v>
                </c:pt>
                <c:pt idx="40">
                  <c:v>9.5903232000000005E-2</c:v>
                </c:pt>
                <c:pt idx="41">
                  <c:v>9.8298333119999984E-2</c:v>
                </c:pt>
                <c:pt idx="42">
                  <c:v>0.10069331328</c:v>
                </c:pt>
                <c:pt idx="43">
                  <c:v>0.10308817248000002</c:v>
                </c:pt>
                <c:pt idx="44">
                  <c:v>0.10548291072</c:v>
                </c:pt>
                <c:pt idx="45">
                  <c:v>0.107877528</c:v>
                </c:pt>
                <c:pt idx="46">
                  <c:v>0.11027202431999999</c:v>
                </c:pt>
                <c:pt idx="47">
                  <c:v>0.11266639968</c:v>
                </c:pt>
                <c:pt idx="48">
                  <c:v>0.11506065408</c:v>
                </c:pt>
                <c:pt idx="49">
                  <c:v>0.11745478752000001</c:v>
                </c:pt>
                <c:pt idx="50">
                  <c:v>0.11984880000000001</c:v>
                </c:pt>
                <c:pt idx="51">
                  <c:v>0.12224269152</c:v>
                </c:pt>
                <c:pt idx="52">
                  <c:v>0.12463646208</c:v>
                </c:pt>
                <c:pt idx="53">
                  <c:v>0.12703011168</c:v>
                </c:pt>
                <c:pt idx="54">
                  <c:v>0.12942364032000003</c:v>
                </c:pt>
                <c:pt idx="55">
                  <c:v>0.13181704800000002</c:v>
                </c:pt>
                <c:pt idx="56">
                  <c:v>0.13421033471999999</c:v>
                </c:pt>
                <c:pt idx="57">
                  <c:v>0.13660350048</c:v>
                </c:pt>
                <c:pt idx="58">
                  <c:v>0.13899654527999999</c:v>
                </c:pt>
                <c:pt idx="59">
                  <c:v>0.14138946912</c:v>
                </c:pt>
                <c:pt idx="60">
                  <c:v>0.14378227200000002</c:v>
                </c:pt>
                <c:pt idx="61">
                  <c:v>0.14617495392000002</c:v>
                </c:pt>
                <c:pt idx="62">
                  <c:v>0.14856751488</c:v>
                </c:pt>
                <c:pt idx="63">
                  <c:v>0.15095995488</c:v>
                </c:pt>
                <c:pt idx="64">
                  <c:v>0.15335227392</c:v>
                </c:pt>
                <c:pt idx="65">
                  <c:v>0.15574447199999999</c:v>
                </c:pt>
                <c:pt idx="66">
                  <c:v>0.15813654912</c:v>
                </c:pt>
                <c:pt idx="67">
                  <c:v>0.16052850528000001</c:v>
                </c:pt>
                <c:pt idx="68">
                  <c:v>0.16292034048000001</c:v>
                </c:pt>
                <c:pt idx="69">
                  <c:v>0.16531205471999999</c:v>
                </c:pt>
                <c:pt idx="70">
                  <c:v>0.16770364800000001</c:v>
                </c:pt>
                <c:pt idx="71">
                  <c:v>0.17009512031999999</c:v>
                </c:pt>
                <c:pt idx="72">
                  <c:v>0.17248647168</c:v>
                </c:pt>
                <c:pt idx="73">
                  <c:v>0.17487770208000003</c:v>
                </c:pt>
                <c:pt idx="74">
                  <c:v>0.17726881152000001</c:v>
                </c:pt>
                <c:pt idx="75">
                  <c:v>0.17965979999999998</c:v>
                </c:pt>
                <c:pt idx="76">
                  <c:v>0.18205066751999999</c:v>
                </c:pt>
                <c:pt idx="77">
                  <c:v>0.18444141408000003</c:v>
                </c:pt>
                <c:pt idx="78">
                  <c:v>0.18683203967999998</c:v>
                </c:pt>
                <c:pt idx="79">
                  <c:v>0.18922254431999999</c:v>
                </c:pt>
                <c:pt idx="80">
                  <c:v>0.19161292800000002</c:v>
                </c:pt>
                <c:pt idx="81">
                  <c:v>0.19400319072000002</c:v>
                </c:pt>
                <c:pt idx="82">
                  <c:v>0.19639333247999996</c:v>
                </c:pt>
                <c:pt idx="83">
                  <c:v>0.19878335328000002</c:v>
                </c:pt>
                <c:pt idx="84">
                  <c:v>0.20117325312000003</c:v>
                </c:pt>
                <c:pt idx="85">
                  <c:v>0.203563032</c:v>
                </c:pt>
                <c:pt idx="86">
                  <c:v>0.20595268992000001</c:v>
                </c:pt>
                <c:pt idx="87">
                  <c:v>0.20834222687999998</c:v>
                </c:pt>
                <c:pt idx="88">
                  <c:v>0.21073164288000004</c:v>
                </c:pt>
                <c:pt idx="89">
                  <c:v>0.21312093792</c:v>
                </c:pt>
                <c:pt idx="90">
                  <c:v>0.21551011200000003</c:v>
                </c:pt>
                <c:pt idx="91">
                  <c:v>0.21789916511999999</c:v>
                </c:pt>
                <c:pt idx="92">
                  <c:v>0.22028809727999998</c:v>
                </c:pt>
                <c:pt idx="93">
                  <c:v>0.22267690848000002</c:v>
                </c:pt>
                <c:pt idx="94">
                  <c:v>0.22506559872000001</c:v>
                </c:pt>
                <c:pt idx="95">
                  <c:v>0.22745416800000001</c:v>
                </c:pt>
                <c:pt idx="96">
                  <c:v>0.22984261632000003</c:v>
                </c:pt>
                <c:pt idx="97">
                  <c:v>0.23223094368</c:v>
                </c:pt>
                <c:pt idx="98">
                  <c:v>0.23461915007999998</c:v>
                </c:pt>
                <c:pt idx="99">
                  <c:v>0.23700723552000003</c:v>
                </c:pt>
                <c:pt idx="100">
                  <c:v>0.23939520000000003</c:v>
                </c:pt>
              </c:numCache>
            </c:numRef>
          </c:val>
          <c:smooth val="0"/>
          <c:extLst>
            <c:ext xmlns:c16="http://schemas.microsoft.com/office/drawing/2014/chart" uri="{C3380CC4-5D6E-409C-BE32-E72D297353CC}">
              <c16:uniqueId val="{00000000-8897-4E0E-B39C-97315E8CCE9C}"/>
            </c:ext>
          </c:extLst>
        </c:ser>
        <c:ser>
          <c:idx val="9"/>
          <c:order val="3"/>
          <c:tx>
            <c:strRef>
              <c:f>'Efficiency vs Load Calculations'!$AU$7</c:f>
              <c:strCache>
                <c:ptCount val="1"/>
                <c:pt idx="0">
                  <c:v>High-side BOOST "Sync" MOSFET Losses </c:v>
                </c:pt>
              </c:strCache>
            </c:strRef>
          </c:tx>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Calculations'!$AX$9:$AX$109</c:f>
              <c:numCache>
                <c:formatCode>0.000</c:formatCode>
                <c:ptCount val="101"/>
                <c:pt idx="0">
                  <c:v>2.1687871183774165E-3</c:v>
                </c:pt>
                <c:pt idx="1">
                  <c:v>2.2297117725412732E-3</c:v>
                </c:pt>
                <c:pt idx="2">
                  <c:v>2.4117347797190289E-3</c:v>
                </c:pt>
                <c:pt idx="3">
                  <c:v>2.7148878662415559E-3</c:v>
                </c:pt>
                <c:pt idx="4">
                  <c:v>3.1392238804529367E-3</c:v>
                </c:pt>
                <c:pt idx="5">
                  <c:v>3.6848168157472979E-3</c:v>
                </c:pt>
                <c:pt idx="6">
                  <c:v>4.3517618428350804E-3</c:v>
                </c:pt>
                <c:pt idx="7">
                  <c:v>5.1401753512649948E-3</c:v>
                </c:pt>
                <c:pt idx="8">
                  <c:v>6.0501950002354874E-3</c:v>
                </c:pt>
                <c:pt idx="9">
                  <c:v>7.0819797787372218E-3</c:v>
                </c:pt>
                <c:pt idx="10">
                  <c:v>8.2357100750755103E-3</c:v>
                </c:pt>
                <c:pt idx="11">
                  <c:v>9.5115877558297653E-3</c:v>
                </c:pt>
                <c:pt idx="12">
                  <c:v>1.0909836254314263E-2</c:v>
                </c:pt>
                <c:pt idx="13">
                  <c:v>1.2430700668613062E-2</c:v>
                </c:pt>
                <c:pt idx="14">
                  <c:v>1.4074447869269155E-2</c:v>
                </c:pt>
                <c:pt idx="15">
                  <c:v>1.5841366616716875E-2</c:v>
                </c:pt>
                <c:pt idx="16">
                  <c:v>1.7731767688553828E-2</c:v>
                </c:pt>
                <c:pt idx="17">
                  <c:v>1.9745984016757784E-2</c:v>
                </c:pt>
                <c:pt idx="18">
                  <c:v>2.1884370834961975E-2</c:v>
                </c:pt>
                <c:pt idx="19">
                  <c:v>2.4147305835910959E-2</c:v>
                </c:pt>
                <c:pt idx="20">
                  <c:v>2.6535189339227955E-2</c:v>
                </c:pt>
                <c:pt idx="21">
                  <c:v>2.9048444469633731E-2</c:v>
                </c:pt>
                <c:pt idx="22">
                  <c:v>3.168751734576597E-2</c:v>
                </c:pt>
                <c:pt idx="23">
                  <c:v>3.4452877279757613E-2</c:v>
                </c:pt>
                <c:pt idx="24">
                  <c:v>3.7345016987742174E-2</c:v>
                </c:pt>
                <c:pt idx="25">
                  <c:v>4.0364452811463732E-2</c:v>
                </c:pt>
                <c:pt idx="26">
                  <c:v>4.3511724951179512E-2</c:v>
                </c:pt>
                <c:pt idx="27">
                  <c:v>4.6787397710053094E-2</c:v>
                </c:pt>
                <c:pt idx="28">
                  <c:v>5.0192059750247237E-2</c:v>
                </c:pt>
                <c:pt idx="29">
                  <c:v>5.3726324360935183E-2</c:v>
                </c:pt>
                <c:pt idx="30">
                  <c:v>5.7390829738461956E-2</c:v>
                </c:pt>
                <c:pt idx="31">
                  <c:v>6.1186239278897492E-2</c:v>
                </c:pt>
                <c:pt idx="32">
                  <c:v>6.5113241883235348E-2</c:v>
                </c:pt>
                <c:pt idx="33">
                  <c:v>6.9172552275503896E-2</c:v>
                </c:pt>
                <c:pt idx="34">
                  <c:v>7.3364911334068306E-2</c:v>
                </c:pt>
                <c:pt idx="35">
                  <c:v>7.76910864364148E-2</c:v>
                </c:pt>
                <c:pt idx="36">
                  <c:v>8.2151871817723585E-2</c:v>
                </c:pt>
                <c:pt idx="37">
                  <c:v>8.6748088943547574E-2</c:v>
                </c:pt>
                <c:pt idx="38">
                  <c:v>9.1480586896931837E-2</c:v>
                </c:pt>
                <c:pt idx="39">
                  <c:v>9.6350242780321074E-2</c:v>
                </c:pt>
                <c:pt idx="40">
                  <c:v>0.10135796213261818</c:v>
                </c:pt>
                <c:pt idx="41">
                  <c:v>0.10650467936177374</c:v>
                </c:pt>
                <c:pt idx="42">
                  <c:v>0.11179135819330194</c:v>
                </c:pt>
                <c:pt idx="43">
                  <c:v>0.11721899213513456</c:v>
                </c:pt>
                <c:pt idx="44">
                  <c:v>0.12278860495924464</c:v>
                </c:pt>
                <c:pt idx="45">
                  <c:v>0.12850125120048708</c:v>
                </c:pt>
                <c:pt idx="46">
                  <c:v>0.13435801667312453</c:v>
                </c:pt>
                <c:pt idx="47">
                  <c:v>0.14036001900552469</c:v>
                </c:pt>
                <c:pt idx="48">
                  <c:v>0.14650840819353778</c:v>
                </c:pt>
                <c:pt idx="49">
                  <c:v>0.15280436717308143</c:v>
                </c:pt>
                <c:pt idx="50">
                  <c:v>0.15924911241248585</c:v>
                </c:pt>
                <c:pt idx="51">
                  <c:v>0.16584389452517082</c:v>
                </c:pt>
                <c:pt idx="52">
                  <c:v>0.17258999890325449</c:v>
                </c:pt>
                <c:pt idx="53">
                  <c:v>0.17948874637271461</c:v>
                </c:pt>
                <c:pt idx="54">
                  <c:v>0.18654149387075136</c:v>
                </c:pt>
                <c:pt idx="55">
                  <c:v>0.19374963514602794</c:v>
                </c:pt>
                <c:pt idx="56">
                  <c:v>0.20111460148249061</c:v>
                </c:pt>
                <c:pt idx="57">
                  <c:v>0.20863786244750165</c:v>
                </c:pt>
                <c:pt idx="58">
                  <c:v>0.21632092666504907</c:v>
                </c:pt>
                <c:pt idx="59">
                  <c:v>0.22416534261482626</c:v>
                </c:pt>
                <c:pt idx="60">
                  <c:v>0.2321726994580095</c:v>
                </c:pt>
                <c:pt idx="61">
                  <c:v>0.2403446278905991</c:v>
                </c:pt>
                <c:pt idx="62">
                  <c:v>0.24868280102521703</c:v>
                </c:pt>
                <c:pt idx="63">
                  <c:v>0.25718893530230175</c:v>
                </c:pt>
                <c:pt idx="64">
                  <c:v>0.2658647914316748</c:v>
                </c:pt>
                <c:pt idx="65">
                  <c:v>0.27471217536549319</c:v>
                </c:pt>
                <c:pt idx="66">
                  <c:v>0.2837329393036499</c:v>
                </c:pt>
                <c:pt idx="67">
                  <c:v>0.29292898273272516</c:v>
                </c:pt>
                <c:pt idx="68">
                  <c:v>0.30230225349964024</c:v>
                </c:pt>
                <c:pt idx="69">
                  <c:v>0.31185474892121245</c:v>
                </c:pt>
                <c:pt idx="70">
                  <c:v>0.32158851693086443</c:v>
                </c:pt>
                <c:pt idx="71">
                  <c:v>0.33150565726379128</c:v>
                </c:pt>
                <c:pt idx="72">
                  <c:v>0.34160832268194752</c:v>
                </c:pt>
                <c:pt idx="73">
                  <c:v>0.35189872024027291</c:v>
                </c:pt>
                <c:pt idx="74">
                  <c:v>0.36237911259563782</c:v>
                </c:pt>
                <c:pt idx="75">
                  <c:v>0.37305181936005677</c:v>
                </c:pt>
                <c:pt idx="76">
                  <c:v>0.38391921849977867</c:v>
                </c:pt>
                <c:pt idx="77">
                  <c:v>0.39498374778194434</c:v>
                </c:pt>
                <c:pt idx="78">
                  <c:v>0.40624790627056079</c:v>
                </c:pt>
                <c:pt idx="79">
                  <c:v>0.4177142558736382</c:v>
                </c:pt>
                <c:pt idx="80">
                  <c:v>0.42938542294339865</c:v>
                </c:pt>
                <c:pt idx="81">
                  <c:v>0.44126409993156701</c:v>
                </c:pt>
                <c:pt idx="82">
                  <c:v>0.45335304710182944</c:v>
                </c:pt>
                <c:pt idx="83">
                  <c:v>0.46565509430165608</c:v>
                </c:pt>
                <c:pt idx="84">
                  <c:v>0.47817314279576612</c:v>
                </c:pt>
                <c:pt idx="85">
                  <c:v>0.49091016716363295</c:v>
                </c:pt>
                <c:pt idx="86">
                  <c:v>0.50386921726352385</c:v>
                </c:pt>
                <c:pt idx="87">
                  <c:v>0.51705342026569201</c:v>
                </c:pt>
                <c:pt idx="88">
                  <c:v>0.53046598275746004</c:v>
                </c:pt>
                <c:pt idx="89">
                  <c:v>0.54411019292304885</c:v>
                </c:pt>
                <c:pt idx="90">
                  <c:v>0.55798942280116148</c:v>
                </c:pt>
                <c:pt idx="91">
                  <c:v>0.57210713062344665</c:v>
                </c:pt>
                <c:pt idx="92">
                  <c:v>0.58646686323713737</c:v>
                </c:pt>
                <c:pt idx="93">
                  <c:v>0.60107225861530222</c:v>
                </c:pt>
                <c:pt idx="94">
                  <c:v>0.61592704845831425</c:v>
                </c:pt>
                <c:pt idx="95">
                  <c:v>0.63103506089032269</c:v>
                </c:pt>
                <c:pt idx="96">
                  <c:v>0.64640022325467816</c:v>
                </c:pt>
                <c:pt idx="97">
                  <c:v>0.6620265650124797</c:v>
                </c:pt>
                <c:pt idx="98">
                  <c:v>0.67791822074858654</c:v>
                </c:pt>
                <c:pt idx="99">
                  <c:v>0.69407943328967903</c:v>
                </c:pt>
                <c:pt idx="100">
                  <c:v>0.71051455693915033</c:v>
                </c:pt>
              </c:numCache>
            </c:numRef>
          </c:val>
          <c:smooth val="0"/>
          <c:extLst>
            <c:ext xmlns:c16="http://schemas.microsoft.com/office/drawing/2014/chart" uri="{C3380CC4-5D6E-409C-BE32-E72D297353CC}">
              <c16:uniqueId val="{00000001-8897-4E0E-B39C-97315E8CCE9C}"/>
            </c:ext>
          </c:extLst>
        </c:ser>
        <c:ser>
          <c:idx val="8"/>
          <c:order val="4"/>
          <c:tx>
            <c:strRef>
              <c:f>'Efficiency vs Load Calculations'!$AP$7</c:f>
              <c:strCache>
                <c:ptCount val="1"/>
                <c:pt idx="0">
                  <c:v>Low-side BOOST "Control" MOSFET Losses </c:v>
                </c:pt>
              </c:strCache>
            </c:strRef>
          </c:tx>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Calculations'!$AT$9:$AT$109</c:f>
              <c:numCache>
                <c:formatCode>0.000</c:formatCode>
                <c:ptCount val="101"/>
                <c:pt idx="0">
                  <c:v>0</c:v>
                </c:pt>
                <c:pt idx="1">
                  <c:v>2.2297117725412732E-3</c:v>
                </c:pt>
                <c:pt idx="2">
                  <c:v>2.4117347797190289E-3</c:v>
                </c:pt>
                <c:pt idx="3">
                  <c:v>2.7148878662415559E-3</c:v>
                </c:pt>
                <c:pt idx="4">
                  <c:v>3.1392238804529367E-3</c:v>
                </c:pt>
                <c:pt idx="5">
                  <c:v>3.6848168157472979E-3</c:v>
                </c:pt>
                <c:pt idx="6">
                  <c:v>4.3517618428350804E-3</c:v>
                </c:pt>
                <c:pt idx="7">
                  <c:v>5.1401753512649948E-3</c:v>
                </c:pt>
                <c:pt idx="8">
                  <c:v>6.0501950002354874E-3</c:v>
                </c:pt>
                <c:pt idx="9">
                  <c:v>7.0819797787372218E-3</c:v>
                </c:pt>
                <c:pt idx="10">
                  <c:v>8.2357100750755103E-3</c:v>
                </c:pt>
                <c:pt idx="11">
                  <c:v>9.5115877558297653E-3</c:v>
                </c:pt>
                <c:pt idx="12">
                  <c:v>1.0909836254314263E-2</c:v>
                </c:pt>
                <c:pt idx="13">
                  <c:v>1.2430700668613062E-2</c:v>
                </c:pt>
                <c:pt idx="14">
                  <c:v>1.4074447869269155E-2</c:v>
                </c:pt>
                <c:pt idx="15">
                  <c:v>1.5841366616716875E-2</c:v>
                </c:pt>
                <c:pt idx="16">
                  <c:v>1.7731767688553828E-2</c:v>
                </c:pt>
                <c:pt idx="17">
                  <c:v>1.9745984016757784E-2</c:v>
                </c:pt>
                <c:pt idx="18">
                  <c:v>2.1884370834961975E-2</c:v>
                </c:pt>
                <c:pt idx="19">
                  <c:v>2.4147305835910959E-2</c:v>
                </c:pt>
                <c:pt idx="20">
                  <c:v>2.6535189339227955E-2</c:v>
                </c:pt>
                <c:pt idx="21">
                  <c:v>2.9048444469633731E-2</c:v>
                </c:pt>
                <c:pt idx="22">
                  <c:v>3.168751734576597E-2</c:v>
                </c:pt>
                <c:pt idx="23">
                  <c:v>3.4452877279757613E-2</c:v>
                </c:pt>
                <c:pt idx="24">
                  <c:v>3.7345016987742174E-2</c:v>
                </c:pt>
                <c:pt idx="25">
                  <c:v>4.0364452811463732E-2</c:v>
                </c:pt>
                <c:pt idx="26">
                  <c:v>4.3511724951179512E-2</c:v>
                </c:pt>
                <c:pt idx="27">
                  <c:v>4.6787397710053094E-2</c:v>
                </c:pt>
                <c:pt idx="28">
                  <c:v>5.0192059750247237E-2</c:v>
                </c:pt>
                <c:pt idx="29">
                  <c:v>5.3726324360935183E-2</c:v>
                </c:pt>
                <c:pt idx="30">
                  <c:v>5.7390829738461956E-2</c:v>
                </c:pt>
                <c:pt idx="31">
                  <c:v>6.1186239278897492E-2</c:v>
                </c:pt>
                <c:pt idx="32">
                  <c:v>6.5113241883235348E-2</c:v>
                </c:pt>
                <c:pt idx="33">
                  <c:v>6.9172552275503896E-2</c:v>
                </c:pt>
                <c:pt idx="34">
                  <c:v>7.3364911334068306E-2</c:v>
                </c:pt>
                <c:pt idx="35">
                  <c:v>7.76910864364148E-2</c:v>
                </c:pt>
                <c:pt idx="36">
                  <c:v>8.2151871817723585E-2</c:v>
                </c:pt>
                <c:pt idx="37">
                  <c:v>8.6748088943547574E-2</c:v>
                </c:pt>
                <c:pt idx="38">
                  <c:v>9.1480586896931837E-2</c:v>
                </c:pt>
                <c:pt idx="39">
                  <c:v>9.6350242780321074E-2</c:v>
                </c:pt>
                <c:pt idx="40">
                  <c:v>0.10135796213261818</c:v>
                </c:pt>
                <c:pt idx="41">
                  <c:v>0.10650467936177374</c:v>
                </c:pt>
                <c:pt idx="42">
                  <c:v>0.11179135819330194</c:v>
                </c:pt>
                <c:pt idx="43">
                  <c:v>0.11721899213513456</c:v>
                </c:pt>
                <c:pt idx="44">
                  <c:v>0.12278860495924464</c:v>
                </c:pt>
                <c:pt idx="45">
                  <c:v>0.12850125120048708</c:v>
                </c:pt>
                <c:pt idx="46">
                  <c:v>0.13435801667312453</c:v>
                </c:pt>
                <c:pt idx="47">
                  <c:v>0.14036001900552469</c:v>
                </c:pt>
                <c:pt idx="48">
                  <c:v>0.14650840819353778</c:v>
                </c:pt>
                <c:pt idx="49">
                  <c:v>0.15280436717308143</c:v>
                </c:pt>
                <c:pt idx="50">
                  <c:v>0.15924911241248585</c:v>
                </c:pt>
                <c:pt idx="51">
                  <c:v>0.16584389452517082</c:v>
                </c:pt>
                <c:pt idx="52">
                  <c:v>0.17258999890325449</c:v>
                </c:pt>
                <c:pt idx="53">
                  <c:v>0.17948874637271461</c:v>
                </c:pt>
                <c:pt idx="54">
                  <c:v>0.18654149387075136</c:v>
                </c:pt>
                <c:pt idx="55">
                  <c:v>0.19374963514602794</c:v>
                </c:pt>
                <c:pt idx="56">
                  <c:v>0.20111460148249061</c:v>
                </c:pt>
                <c:pt idx="57">
                  <c:v>0.20863786244750165</c:v>
                </c:pt>
                <c:pt idx="58">
                  <c:v>0.21632092666504907</c:v>
                </c:pt>
                <c:pt idx="59">
                  <c:v>0.22416534261482626</c:v>
                </c:pt>
                <c:pt idx="60">
                  <c:v>0.2321726994580095</c:v>
                </c:pt>
                <c:pt idx="61">
                  <c:v>0.2403446278905991</c:v>
                </c:pt>
                <c:pt idx="62">
                  <c:v>0.24868280102521703</c:v>
                </c:pt>
                <c:pt idx="63">
                  <c:v>0.25718893530230175</c:v>
                </c:pt>
                <c:pt idx="64">
                  <c:v>0.2658647914316748</c:v>
                </c:pt>
                <c:pt idx="65">
                  <c:v>0.27471217536549319</c:v>
                </c:pt>
                <c:pt idx="66">
                  <c:v>0.2837329393036499</c:v>
                </c:pt>
                <c:pt idx="67">
                  <c:v>0.29292898273272516</c:v>
                </c:pt>
                <c:pt idx="68">
                  <c:v>0.30230225349964024</c:v>
                </c:pt>
                <c:pt idx="69">
                  <c:v>0.31185474892121245</c:v>
                </c:pt>
                <c:pt idx="70">
                  <c:v>0.32158851693086443</c:v>
                </c:pt>
                <c:pt idx="71">
                  <c:v>0.33150565726379128</c:v>
                </c:pt>
                <c:pt idx="72">
                  <c:v>0.34160832268194752</c:v>
                </c:pt>
                <c:pt idx="73">
                  <c:v>0.35189872024027291</c:v>
                </c:pt>
                <c:pt idx="74">
                  <c:v>0.36237911259563782</c:v>
                </c:pt>
                <c:pt idx="75">
                  <c:v>0.37305181936005677</c:v>
                </c:pt>
                <c:pt idx="76">
                  <c:v>0.38391921849977867</c:v>
                </c:pt>
                <c:pt idx="77">
                  <c:v>0.39498374778194434</c:v>
                </c:pt>
                <c:pt idx="78">
                  <c:v>0.40624790627056079</c:v>
                </c:pt>
                <c:pt idx="79">
                  <c:v>0.4177142558736382</c:v>
                </c:pt>
                <c:pt idx="80">
                  <c:v>0.42938542294339865</c:v>
                </c:pt>
                <c:pt idx="81">
                  <c:v>0.44126409993156701</c:v>
                </c:pt>
                <c:pt idx="82">
                  <c:v>0.45335304710182944</c:v>
                </c:pt>
                <c:pt idx="83">
                  <c:v>0.46565509430165608</c:v>
                </c:pt>
                <c:pt idx="84">
                  <c:v>0.47817314279576612</c:v>
                </c:pt>
                <c:pt idx="85">
                  <c:v>0.49091016716363295</c:v>
                </c:pt>
                <c:pt idx="86">
                  <c:v>0.50386921726352385</c:v>
                </c:pt>
                <c:pt idx="87">
                  <c:v>0.51705342026569201</c:v>
                </c:pt>
                <c:pt idx="88">
                  <c:v>0.53046598275746004</c:v>
                </c:pt>
                <c:pt idx="89">
                  <c:v>0.54411019292304885</c:v>
                </c:pt>
                <c:pt idx="90">
                  <c:v>0.55798942280116148</c:v>
                </c:pt>
                <c:pt idx="91">
                  <c:v>0.57210713062344665</c:v>
                </c:pt>
                <c:pt idx="92">
                  <c:v>0.58646686323713737</c:v>
                </c:pt>
                <c:pt idx="93">
                  <c:v>0.60107225861530222</c:v>
                </c:pt>
                <c:pt idx="94">
                  <c:v>0.61592704845831425</c:v>
                </c:pt>
                <c:pt idx="95">
                  <c:v>0.63103506089032269</c:v>
                </c:pt>
                <c:pt idx="96">
                  <c:v>0.64640022325467816</c:v>
                </c:pt>
                <c:pt idx="97">
                  <c:v>0.6620265650124797</c:v>
                </c:pt>
                <c:pt idx="98">
                  <c:v>0.67791822074858654</c:v>
                </c:pt>
                <c:pt idx="99">
                  <c:v>0.69407943328967903</c:v>
                </c:pt>
                <c:pt idx="100">
                  <c:v>0.71051455693915033</c:v>
                </c:pt>
              </c:numCache>
            </c:numRef>
          </c:val>
          <c:smooth val="0"/>
          <c:extLst>
            <c:ext xmlns:c16="http://schemas.microsoft.com/office/drawing/2014/chart" uri="{C3380CC4-5D6E-409C-BE32-E72D297353CC}">
              <c16:uniqueId val="{00000002-8897-4E0E-B39C-97315E8CCE9C}"/>
            </c:ext>
          </c:extLst>
        </c:ser>
        <c:ser>
          <c:idx val="7"/>
          <c:order val="5"/>
          <c:tx>
            <c:strRef>
              <c:f>'Efficiency vs Load Calculations'!$AL$7</c:f>
              <c:strCache>
                <c:ptCount val="1"/>
                <c:pt idx="0">
                  <c:v>Low-side BUCK "Sync" MOSFET Losses </c:v>
                </c:pt>
              </c:strCache>
            </c:strRef>
          </c:tx>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Calculations'!$AO$9:$AO$109</c:f>
              <c:numCache>
                <c:formatCode>0.000</c:formatCode>
                <c:ptCount val="101"/>
                <c:pt idx="0">
                  <c:v>3.052429571815201E-2</c:v>
                </c:pt>
                <c:pt idx="1">
                  <c:v>3.5071500855642486E-2</c:v>
                </c:pt>
                <c:pt idx="2">
                  <c:v>3.8146113777021873E-2</c:v>
                </c:pt>
                <c:pt idx="3">
                  <c:v>4.1343231397911198E-2</c:v>
                </c:pt>
                <c:pt idx="4">
                  <c:v>4.4663159095333041E-2</c:v>
                </c:pt>
                <c:pt idx="5">
                  <c:v>4.810622376317359E-2</c:v>
                </c:pt>
                <c:pt idx="6">
                  <c:v>5.1672773918132978E-2</c:v>
                </c:pt>
                <c:pt idx="7">
                  <c:v>5.5363179815176758E-2</c:v>
                </c:pt>
                <c:pt idx="8">
                  <c:v>5.9177833572568179E-2</c:v>
                </c:pt>
                <c:pt idx="9">
                  <c:v>6.3117149306568032E-2</c:v>
                </c:pt>
                <c:pt idx="10">
                  <c:v>6.7181563275896986E-2</c:v>
                </c:pt>
                <c:pt idx="11">
                  <c:v>7.3167426280565856E-2</c:v>
                </c:pt>
                <c:pt idx="12">
                  <c:v>8.0375819681902341E-2</c:v>
                </c:pt>
                <c:pt idx="13">
                  <c:v>8.7712912882678018E-2</c:v>
                </c:pt>
                <c:pt idx="14">
                  <c:v>9.5179487654109662E-2</c:v>
                </c:pt>
                <c:pt idx="15">
                  <c:v>0.1027763495914958</c:v>
                </c:pt>
                <c:pt idx="16">
                  <c:v>0.11050432839597357</c:v>
                </c:pt>
                <c:pt idx="17">
                  <c:v>0.11836427816751303</c:v>
                </c:pt>
                <c:pt idx="18">
                  <c:v>0.12635707770936147</c:v>
                </c:pt>
                <c:pt idx="19">
                  <c:v>0.13448363084416073</c:v>
                </c:pt>
                <c:pt idx="20">
                  <c:v>0.14274486674197145</c:v>
                </c:pt>
                <c:pt idx="21">
                  <c:v>0.15114174026044672</c:v>
                </c:pt>
                <c:pt idx="22">
                  <c:v>0.15967523229741246</c:v>
                </c:pt>
                <c:pt idx="23">
                  <c:v>0.1683463501561184</c:v>
                </c:pt>
                <c:pt idx="24">
                  <c:v>0.17715612792343949</c:v>
                </c:pt>
                <c:pt idx="25">
                  <c:v>0.1861056268613164</c:v>
                </c:pt>
                <c:pt idx="26">
                  <c:v>0.19519593581173833</c:v>
                </c:pt>
                <c:pt idx="27">
                  <c:v>0.20442817161558238</c:v>
                </c:pt>
                <c:pt idx="28">
                  <c:v>0.21380347954563858</c:v>
                </c:pt>
                <c:pt idx="29">
                  <c:v>0.22332303375416174</c:v>
                </c:pt>
                <c:pt idx="30">
                  <c:v>0.23298803773530621</c:v>
                </c:pt>
                <c:pt idx="31">
                  <c:v>0.24279972480281431</c:v>
                </c:pt>
                <c:pt idx="32">
                  <c:v>0.25275935858334364</c:v>
                </c:pt>
                <c:pt idx="33">
                  <c:v>0.26286823352583433</c:v>
                </c:pt>
                <c:pt idx="34">
                  <c:v>0.27312767542733374</c:v>
                </c:pt>
                <c:pt idx="35">
                  <c:v>0.28353904197571178</c:v>
                </c:pt>
                <c:pt idx="36">
                  <c:v>0.29410372330971896</c:v>
                </c:pt>
                <c:pt idx="37">
                  <c:v>0.30482314259685511</c:v>
                </c:pt>
                <c:pt idx="38">
                  <c:v>0.31569875662953761</c:v>
                </c:pt>
                <c:pt idx="39">
                  <c:v>0.32673205644007541</c:v>
                </c:pt>
                <c:pt idx="40">
                  <c:v>0.33792456793497505</c:v>
                </c:pt>
                <c:pt idx="41">
                  <c:v>0.34927785254912813</c:v>
                </c:pt>
                <c:pt idx="42">
                  <c:v>0.36079350792044823</c:v>
                </c:pt>
                <c:pt idx="43">
                  <c:v>0.37247316858554869</c:v>
                </c:pt>
                <c:pt idx="44">
                  <c:v>0.38431850669707701</c:v>
                </c:pt>
                <c:pt idx="45">
                  <c:v>0.39633123276334475</c:v>
                </c:pt>
                <c:pt idx="46">
                  <c:v>0.40851309641091671</c:v>
                </c:pt>
                <c:pt idx="47">
                  <c:v>0.42086588717084977</c:v>
                </c:pt>
                <c:pt idx="48">
                  <c:v>0.43339143528930013</c:v>
                </c:pt>
                <c:pt idx="49">
                  <c:v>0.44609161256324242</c:v>
                </c:pt>
                <c:pt idx="50">
                  <c:v>0.45896833320207958</c:v>
                </c:pt>
                <c:pt idx="51">
                  <c:v>0.47202355471594554</c:v>
                </c:pt>
                <c:pt idx="52">
                  <c:v>0.48525927883154174</c:v>
                </c:pt>
                <c:pt idx="53">
                  <c:v>0.49867755243637796</c:v>
                </c:pt>
                <c:pt idx="54">
                  <c:v>0.51228046855232179</c:v>
                </c:pt>
                <c:pt idx="55">
                  <c:v>0.52607016733940171</c:v>
                </c:pt>
                <c:pt idx="56">
                  <c:v>0.54004883713084195</c:v>
                </c:pt>
                <c:pt idx="57">
                  <c:v>0.55421871550034707</c:v>
                </c:pt>
                <c:pt idx="58">
                  <c:v>0.56858209036270013</c:v>
                </c:pt>
                <c:pt idx="59">
                  <c:v>0.58314130110877349</c:v>
                </c:pt>
                <c:pt idx="60">
                  <c:v>0.59789873977610186</c:v>
                </c:pt>
                <c:pt idx="61">
                  <c:v>0.61285685225621322</c:v>
                </c:pt>
                <c:pt idx="62">
                  <c:v>0.628018139539957</c:v>
                </c:pt>
                <c:pt idx="63">
                  <c:v>0.64338515900212578</c:v>
                </c:pt>
                <c:pt idx="64">
                  <c:v>0.65896052572672048</c:v>
                </c:pt>
                <c:pt idx="65">
                  <c:v>0.67474691387425312</c:v>
                </c:pt>
                <c:pt idx="66">
                  <c:v>0.6907470580925581</c:v>
                </c:pt>
                <c:pt idx="67">
                  <c:v>0.70696375497262565</c:v>
                </c:pt>
                <c:pt idx="68">
                  <c:v>0.72339986455104666</c:v>
                </c:pt>
                <c:pt idx="69">
                  <c:v>0.74005831186071813</c:v>
                </c:pt>
                <c:pt idx="70">
                  <c:v>0.75694208853153122</c:v>
                </c:pt>
                <c:pt idx="71">
                  <c:v>0.77405425444283504</c:v>
                </c:pt>
                <c:pt idx="72">
                  <c:v>0.79139793942954673</c:v>
                </c:pt>
                <c:pt idx="73">
                  <c:v>0.8089763450438564</c:v>
                </c:pt>
                <c:pt idx="74">
                  <c:v>0.82679274637456002</c:v>
                </c:pt>
                <c:pt idx="75">
                  <c:v>0.84485049392614386</c:v>
                </c:pt>
                <c:pt idx="76">
                  <c:v>0.86315301555982715</c:v>
                </c:pt>
                <c:pt idx="77">
                  <c:v>0.8817038184988818</c:v>
                </c:pt>
                <c:pt idx="78">
                  <c:v>0.900506491400623</c:v>
                </c:pt>
                <c:pt idx="79">
                  <c:v>0.91956470649760591</c:v>
                </c:pt>
                <c:pt idx="80">
                  <c:v>0.9388822218106363</c:v>
                </c:pt>
                <c:pt idx="81">
                  <c:v>0.95846288343635222</c:v>
                </c:pt>
                <c:pt idx="82">
                  <c:v>0.97831062791223189</c:v>
                </c:pt>
                <c:pt idx="83">
                  <c:v>0.99842948466202908</c:v>
                </c:pt>
                <c:pt idx="84">
                  <c:v>1.0188235785247592</c:v>
                </c:pt>
                <c:pt idx="85">
                  <c:v>1.0394971323705102</c:v>
                </c:pt>
                <c:pt idx="86">
                  <c:v>1.0604544698064955</c:v>
                </c:pt>
                <c:pt idx="87">
                  <c:v>1.0817000179769216</c:v>
                </c:pt>
                <c:pt idx="88">
                  <c:v>1.1032383104604215</c:v>
                </c:pt>
                <c:pt idx="89">
                  <c:v>1.1250739902689517</c:v>
                </c:pt>
                <c:pt idx="90">
                  <c:v>1.147211812952265</c:v>
                </c:pt>
                <c:pt idx="91">
                  <c:v>1.1696566498122314</c:v>
                </c:pt>
                <c:pt idx="92">
                  <c:v>1.1924134912315079</c:v>
                </c:pt>
                <c:pt idx="93">
                  <c:v>1.2154874501212529</c:v>
                </c:pt>
                <c:pt idx="94">
                  <c:v>1.2388837654928118</c:v>
                </c:pt>
                <c:pt idx="95">
                  <c:v>1.262607806158538</c:v>
                </c:pt>
                <c:pt idx="96">
                  <c:v>1.2866650745671535</c:v>
                </c:pt>
                <c:pt idx="97">
                  <c:v>1.3110612107793302</c:v>
                </c:pt>
                <c:pt idx="98">
                  <c:v>1.3358019965894303</c:v>
                </c:pt>
                <c:pt idx="99">
                  <c:v>1.3608933597996584</c:v>
                </c:pt>
                <c:pt idx="100">
                  <c:v>1.3863413786531598</c:v>
                </c:pt>
              </c:numCache>
            </c:numRef>
          </c:val>
          <c:smooth val="0"/>
          <c:extLst>
            <c:ext xmlns:c16="http://schemas.microsoft.com/office/drawing/2014/chart" uri="{C3380CC4-5D6E-409C-BE32-E72D297353CC}">
              <c16:uniqueId val="{00000003-8897-4E0E-B39C-97315E8CCE9C}"/>
            </c:ext>
          </c:extLst>
        </c:ser>
        <c:ser>
          <c:idx val="4"/>
          <c:order val="8"/>
          <c:tx>
            <c:strRef>
              <c:f>'Efficiency vs Load Calculations'!$AG$7</c:f>
              <c:strCache>
                <c:ptCount val="1"/>
                <c:pt idx="0">
                  <c:v>High-side BUCK "Control" MOSFET Losses </c:v>
                </c:pt>
              </c:strCache>
            </c:strRef>
          </c:tx>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Calculations'!$AK$9:$AK$109</c:f>
              <c:numCache>
                <c:formatCode>0.000</c:formatCode>
                <c:ptCount val="101"/>
                <c:pt idx="0">
                  <c:v>3.1529105136505538E-2</c:v>
                </c:pt>
                <c:pt idx="1">
                  <c:v>5.3106713268902185E-2</c:v>
                </c:pt>
                <c:pt idx="2">
                  <c:v>7.4218113516084344E-2</c:v>
                </c:pt>
                <c:pt idx="3">
                  <c:v>9.5455165450885018E-2</c:v>
                </c:pt>
                <c:pt idx="4">
                  <c:v>0.11681974744040888</c:v>
                </c:pt>
                <c:pt idx="5">
                  <c:v>0.13831376074052237</c:v>
                </c:pt>
                <c:pt idx="6">
                  <c:v>0.15993913006002361</c:v>
                </c:pt>
                <c:pt idx="7">
                  <c:v>0.18169780413543077</c:v>
                </c:pt>
                <c:pt idx="8">
                  <c:v>0.20359175631675114</c:v>
                </c:pt>
                <c:pt idx="9">
                  <c:v>0.22562298516459914</c:v>
                </c:pt>
                <c:pt idx="10">
                  <c:v>0.24779351505904462</c:v>
                </c:pt>
                <c:pt idx="11">
                  <c:v>0.2719012890650821</c:v>
                </c:pt>
                <c:pt idx="12">
                  <c:v>0.29724898542183958</c:v>
                </c:pt>
                <c:pt idx="13">
                  <c:v>0.32274437549472201</c:v>
                </c:pt>
                <c:pt idx="14">
                  <c:v>0.34838984857755884</c:v>
                </c:pt>
                <c:pt idx="15">
                  <c:v>0.37418782382681376</c:v>
                </c:pt>
                <c:pt idx="16">
                  <c:v>0.40014075102564467</c:v>
                </c:pt>
                <c:pt idx="17">
                  <c:v>0.42625111136323546</c:v>
                </c:pt>
                <c:pt idx="18">
                  <c:v>0.45252141822992287</c:v>
                </c:pt>
                <c:pt idx="19">
                  <c:v>0.47895421802865679</c:v>
                </c:pt>
                <c:pt idx="20">
                  <c:v>0.50555209100334519</c:v>
                </c:pt>
                <c:pt idx="21">
                  <c:v>0.53231765208465409</c:v>
                </c:pt>
                <c:pt idx="22">
                  <c:v>0.55925355175384828</c:v>
                </c:pt>
                <c:pt idx="23">
                  <c:v>0.58636247692527477</c:v>
                </c:pt>
                <c:pt idx="24">
                  <c:v>0.61364715184811169</c:v>
                </c:pt>
                <c:pt idx="25">
                  <c:v>0.64111033902802017</c:v>
                </c:pt>
                <c:pt idx="26">
                  <c:v>0.66875484016936337</c:v>
                </c:pt>
                <c:pt idx="27">
                  <c:v>0.69658349713866707</c:v>
                </c:pt>
                <c:pt idx="28">
                  <c:v>0.72459919295002817</c:v>
                </c:pt>
                <c:pt idx="29">
                  <c:v>0.75280485277319265</c:v>
                </c:pt>
                <c:pt idx="30">
                  <c:v>0.7812034449650499</c:v>
                </c:pt>
                <c:pt idx="31">
                  <c:v>0.80979798212531418</c:v>
                </c:pt>
                <c:pt idx="32">
                  <c:v>0.83859152217718969</c:v>
                </c:pt>
                <c:pt idx="33">
                  <c:v>0.8675871694738414</c:v>
                </c:pt>
                <c:pt idx="34">
                  <c:v>0.89678807593151988</c:v>
                </c:pt>
                <c:pt idx="35">
                  <c:v>0.92619744219021827</c:v>
                </c:pt>
                <c:pt idx="36">
                  <c:v>0.95581851880276913</c:v>
                </c:pt>
                <c:pt idx="37">
                  <c:v>0.98565460745331668</c:v>
                </c:pt>
                <c:pt idx="38">
                  <c:v>1.0157090622061351</c:v>
                </c:pt>
                <c:pt idx="39">
                  <c:v>1.0459852907858</c:v>
                </c:pt>
                <c:pt idx="40">
                  <c:v>1.0764867558897406</c:v>
                </c:pt>
                <c:pt idx="41">
                  <c:v>1.107216976534257</c:v>
                </c:pt>
                <c:pt idx="42">
                  <c:v>1.1381795294351091</c:v>
                </c:pt>
                <c:pt idx="43">
                  <c:v>1.1693780504238263</c:v>
                </c:pt>
                <c:pt idx="44">
                  <c:v>1.2008162359009338</c:v>
                </c:pt>
                <c:pt idx="45">
                  <c:v>1.2324978443273253</c:v>
                </c:pt>
                <c:pt idx="46">
                  <c:v>1.2644266977550658</c:v>
                </c:pt>
                <c:pt idx="47">
                  <c:v>1.2966066833989431</c:v>
                </c:pt>
                <c:pt idx="48">
                  <c:v>1.329041755250147</c:v>
                </c:pt>
                <c:pt idx="49">
                  <c:v>1.361735935733497</c:v>
                </c:pt>
                <c:pt idx="50">
                  <c:v>1.394693317409696</c:v>
                </c:pt>
                <c:pt idx="51">
                  <c:v>1.4279180647241378</c:v>
                </c:pt>
                <c:pt idx="52">
                  <c:v>1.4614144158038633</c:v>
                </c:pt>
                <c:pt idx="53">
                  <c:v>1.495186684304304</c:v>
                </c:pt>
                <c:pt idx="54">
                  <c:v>1.5292392613075323</c:v>
                </c:pt>
                <c:pt idx="55">
                  <c:v>1.5635766172737862</c:v>
                </c:pt>
                <c:pt idx="56">
                  <c:v>1.5982033040481187</c:v>
                </c:pt>
                <c:pt idx="57">
                  <c:v>1.6331239569240754</c:v>
                </c:pt>
                <c:pt idx="58">
                  <c:v>1.6683432967664018</c:v>
                </c:pt>
                <c:pt idx="59">
                  <c:v>1.7038661321948327</c:v>
                </c:pt>
                <c:pt idx="60">
                  <c:v>1.7396973618311173</c:v>
                </c:pt>
                <c:pt idx="61">
                  <c:v>1.7758419766115103</c:v>
                </c:pt>
                <c:pt idx="62">
                  <c:v>1.812305062167042</c:v>
                </c:pt>
                <c:pt idx="63">
                  <c:v>1.8490918012739848</c:v>
                </c:pt>
                <c:pt idx="64">
                  <c:v>1.8862074763770205</c:v>
                </c:pt>
                <c:pt idx="65">
                  <c:v>1.9236574721877153</c:v>
                </c:pt>
                <c:pt idx="66">
                  <c:v>1.9614472783610186</c:v>
                </c:pt>
                <c:pt idx="67">
                  <c:v>1.9995824922526075</c:v>
                </c:pt>
                <c:pt idx="68">
                  <c:v>2.0380688217600231</c:v>
                </c:pt>
                <c:pt idx="69">
                  <c:v>2.0769120882506424</c:v>
                </c:pt>
                <c:pt idx="70">
                  <c:v>2.1161182295796972</c:v>
                </c:pt>
                <c:pt idx="71">
                  <c:v>2.1556933032016361</c:v>
                </c:pt>
                <c:pt idx="72">
                  <c:v>2.1956434893783077</c:v>
                </c:pt>
                <c:pt idx="73">
                  <c:v>2.2359750944875478</c:v>
                </c:pt>
                <c:pt idx="74">
                  <c:v>2.2766945544359531</c:v>
                </c:pt>
                <c:pt idx="75">
                  <c:v>2.3178084381797279</c:v>
                </c:pt>
                <c:pt idx="76">
                  <c:v>2.359323451357715</c:v>
                </c:pt>
                <c:pt idx="77">
                  <c:v>2.4012464400408531</c:v>
                </c:pt>
                <c:pt idx="78">
                  <c:v>2.4435843946024987</c:v>
                </c:pt>
                <c:pt idx="79">
                  <c:v>2.4863444537142776</c:v>
                </c:pt>
                <c:pt idx="80">
                  <c:v>2.5295339084722674</c:v>
                </c:pt>
                <c:pt idx="81">
                  <c:v>2.5731602066585961</c:v>
                </c:pt>
                <c:pt idx="82">
                  <c:v>2.6172309571437076</c:v>
                </c:pt>
                <c:pt idx="83">
                  <c:v>2.661753934434826</c:v>
                </c:pt>
                <c:pt idx="84">
                  <c:v>2.7067370833763569</c:v>
                </c:pt>
                <c:pt idx="85">
                  <c:v>2.7521885240082544</c:v>
                </c:pt>
                <c:pt idx="86">
                  <c:v>2.7981165565886417</c:v>
                </c:pt>
                <c:pt idx="87">
                  <c:v>2.8445296667872495</c:v>
                </c:pt>
                <c:pt idx="88">
                  <c:v>2.8914365310565624</c:v>
                </c:pt>
                <c:pt idx="89">
                  <c:v>2.9388460221878554</c:v>
                </c:pt>
                <c:pt idx="90">
                  <c:v>2.9867672150596576</c:v>
                </c:pt>
                <c:pt idx="91">
                  <c:v>3.0352093925865051</c:v>
                </c:pt>
                <c:pt idx="92">
                  <c:v>3.0841820518762408</c:v>
                </c:pt>
                <c:pt idx="93">
                  <c:v>3.133694910604504</c:v>
                </c:pt>
                <c:pt idx="94">
                  <c:v>3.1837579136154215</c:v>
                </c:pt>
                <c:pt idx="95">
                  <c:v>3.2343812397580307</c:v>
                </c:pt>
                <c:pt idx="96">
                  <c:v>3.2855753089683071</c:v>
                </c:pt>
                <c:pt idx="97">
                  <c:v>3.3373507896072625</c:v>
                </c:pt>
                <c:pt idx="98">
                  <c:v>3.389718606065995</c:v>
                </c:pt>
                <c:pt idx="99">
                  <c:v>3.4426899466491623</c:v>
                </c:pt>
                <c:pt idx="100">
                  <c:v>3.4962762717488824</c:v>
                </c:pt>
              </c:numCache>
            </c:numRef>
          </c:val>
          <c:smooth val="0"/>
          <c:extLst>
            <c:ext xmlns:c16="http://schemas.microsoft.com/office/drawing/2014/chart" uri="{C3380CC4-5D6E-409C-BE32-E72D297353CC}">
              <c16:uniqueId val="{00000004-8897-4E0E-B39C-97315E8CCE9C}"/>
            </c:ext>
          </c:extLst>
        </c:ser>
        <c:dLbls>
          <c:showLegendKey val="0"/>
          <c:showVal val="0"/>
          <c:showCatName val="0"/>
          <c:showSerName val="0"/>
          <c:showPercent val="0"/>
          <c:showBubbleSize val="0"/>
        </c:dLbls>
        <c:marker val="1"/>
        <c:smooth val="0"/>
        <c:axId val="196371584"/>
        <c:axId val="196361216"/>
        <c:extLst>
          <c:ext xmlns:c15="http://schemas.microsoft.com/office/drawing/2012/chart" uri="{02D57815-91ED-43cb-92C2-25804820EDAC}">
            <c15:filteredLineSeries>
              <c15:ser>
                <c:idx val="11"/>
                <c:order val="2"/>
                <c:tx>
                  <c:strRef>
                    <c:extLst>
                      <c:ext uri="{02D57815-91ED-43cb-92C2-25804820EDAC}">
                        <c15:formulaRef>
                          <c15:sqref>'Efficiency vs Load Calculations'!$BE$7</c15:sqref>
                        </c15:formulaRef>
                      </c:ext>
                    </c:extLst>
                    <c:strCache>
                      <c:ptCount val="1"/>
                      <c:pt idx="0">
                        <c:v>Controller IC Losses</c:v>
                      </c:pt>
                    </c:strCache>
                  </c:strRef>
                </c:tx>
                <c:marker>
                  <c:symbol val="none"/>
                </c:marker>
                <c:cat>
                  <c:numRef>
                    <c:extLst>
                      <c:ex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c:ext uri="{02D57815-91ED-43cb-92C2-25804820EDAC}">
                        <c15:formulaRef>
                          <c15:sqref>'Efficiency vs Load Calculations'!$BG$9:$BG$109</c15:sqref>
                        </c15:formulaRef>
                      </c:ext>
                    </c:extLst>
                    <c:numCache>
                      <c:formatCode>0.000</c:formatCode>
                      <c:ptCount val="101"/>
                      <c:pt idx="0">
                        <c:v>0.45605042016806729</c:v>
                      </c:pt>
                      <c:pt idx="1">
                        <c:v>0.45605042016806729</c:v>
                      </c:pt>
                      <c:pt idx="2">
                        <c:v>0.45605042016806729</c:v>
                      </c:pt>
                      <c:pt idx="3">
                        <c:v>0.45605042016806729</c:v>
                      </c:pt>
                      <c:pt idx="4">
                        <c:v>0.45605042016806729</c:v>
                      </c:pt>
                      <c:pt idx="5">
                        <c:v>0.45605042016806729</c:v>
                      </c:pt>
                      <c:pt idx="6">
                        <c:v>0.45605042016806729</c:v>
                      </c:pt>
                      <c:pt idx="7">
                        <c:v>0.45605042016806729</c:v>
                      </c:pt>
                      <c:pt idx="8">
                        <c:v>0.45605042016806729</c:v>
                      </c:pt>
                      <c:pt idx="9">
                        <c:v>0.45605042016806729</c:v>
                      </c:pt>
                      <c:pt idx="10">
                        <c:v>0.45605042016806729</c:v>
                      </c:pt>
                      <c:pt idx="11">
                        <c:v>0.45605042016806729</c:v>
                      </c:pt>
                      <c:pt idx="12">
                        <c:v>0.45605042016806729</c:v>
                      </c:pt>
                      <c:pt idx="13">
                        <c:v>0.45605042016806729</c:v>
                      </c:pt>
                      <c:pt idx="14">
                        <c:v>0.45605042016806729</c:v>
                      </c:pt>
                      <c:pt idx="15">
                        <c:v>0.45605042016806729</c:v>
                      </c:pt>
                      <c:pt idx="16">
                        <c:v>0.45605042016806729</c:v>
                      </c:pt>
                      <c:pt idx="17">
                        <c:v>0.45605042016806729</c:v>
                      </c:pt>
                      <c:pt idx="18">
                        <c:v>0.45605042016806729</c:v>
                      </c:pt>
                      <c:pt idx="19">
                        <c:v>0.45605042016806729</c:v>
                      </c:pt>
                      <c:pt idx="20">
                        <c:v>0.45605042016806729</c:v>
                      </c:pt>
                      <c:pt idx="21">
                        <c:v>0.45605042016806729</c:v>
                      </c:pt>
                      <c:pt idx="22">
                        <c:v>0.45605042016806729</c:v>
                      </c:pt>
                      <c:pt idx="23">
                        <c:v>0.45605042016806729</c:v>
                      </c:pt>
                      <c:pt idx="24">
                        <c:v>0.45605042016806729</c:v>
                      </c:pt>
                      <c:pt idx="25">
                        <c:v>0.45605042016806729</c:v>
                      </c:pt>
                      <c:pt idx="26">
                        <c:v>0.45605042016806729</c:v>
                      </c:pt>
                      <c:pt idx="27">
                        <c:v>0.45605042016806729</c:v>
                      </c:pt>
                      <c:pt idx="28">
                        <c:v>0.45605042016806729</c:v>
                      </c:pt>
                      <c:pt idx="29">
                        <c:v>0.45605042016806729</c:v>
                      </c:pt>
                      <c:pt idx="30">
                        <c:v>0.45605042016806729</c:v>
                      </c:pt>
                      <c:pt idx="31">
                        <c:v>0.45605042016806729</c:v>
                      </c:pt>
                      <c:pt idx="32">
                        <c:v>0.45605042016806729</c:v>
                      </c:pt>
                      <c:pt idx="33">
                        <c:v>0.45605042016806729</c:v>
                      </c:pt>
                      <c:pt idx="34">
                        <c:v>0.45605042016806729</c:v>
                      </c:pt>
                      <c:pt idx="35">
                        <c:v>0.45605042016806729</c:v>
                      </c:pt>
                      <c:pt idx="36">
                        <c:v>0.45605042016806729</c:v>
                      </c:pt>
                      <c:pt idx="37">
                        <c:v>0.45605042016806729</c:v>
                      </c:pt>
                      <c:pt idx="38">
                        <c:v>0.45605042016806729</c:v>
                      </c:pt>
                      <c:pt idx="39">
                        <c:v>0.45605042016806729</c:v>
                      </c:pt>
                      <c:pt idx="40">
                        <c:v>0.45605042016806729</c:v>
                      </c:pt>
                      <c:pt idx="41">
                        <c:v>0.45605042016806729</c:v>
                      </c:pt>
                      <c:pt idx="42">
                        <c:v>0.45605042016806729</c:v>
                      </c:pt>
                      <c:pt idx="43">
                        <c:v>0.45605042016806729</c:v>
                      </c:pt>
                      <c:pt idx="44">
                        <c:v>0.45605042016806729</c:v>
                      </c:pt>
                      <c:pt idx="45">
                        <c:v>0.45605042016806729</c:v>
                      </c:pt>
                      <c:pt idx="46">
                        <c:v>0.45605042016806729</c:v>
                      </c:pt>
                      <c:pt idx="47">
                        <c:v>0.45605042016806729</c:v>
                      </c:pt>
                      <c:pt idx="48">
                        <c:v>0.45605042016806729</c:v>
                      </c:pt>
                      <c:pt idx="49">
                        <c:v>0.45605042016806729</c:v>
                      </c:pt>
                      <c:pt idx="50">
                        <c:v>0.45605042016806729</c:v>
                      </c:pt>
                      <c:pt idx="51">
                        <c:v>0.45605042016806729</c:v>
                      </c:pt>
                      <c:pt idx="52">
                        <c:v>0.45605042016806729</c:v>
                      </c:pt>
                      <c:pt idx="53">
                        <c:v>0.45605042016806729</c:v>
                      </c:pt>
                      <c:pt idx="54">
                        <c:v>0.45605042016806729</c:v>
                      </c:pt>
                      <c:pt idx="55">
                        <c:v>0.45605042016806729</c:v>
                      </c:pt>
                      <c:pt idx="56">
                        <c:v>0.45605042016806729</c:v>
                      </c:pt>
                      <c:pt idx="57">
                        <c:v>0.45605042016806729</c:v>
                      </c:pt>
                      <c:pt idx="58">
                        <c:v>0.45605042016806729</c:v>
                      </c:pt>
                      <c:pt idx="59">
                        <c:v>0.45605042016806729</c:v>
                      </c:pt>
                      <c:pt idx="60">
                        <c:v>0.45605042016806729</c:v>
                      </c:pt>
                      <c:pt idx="61">
                        <c:v>0.45605042016806729</c:v>
                      </c:pt>
                      <c:pt idx="62">
                        <c:v>0.45605042016806729</c:v>
                      </c:pt>
                      <c:pt idx="63">
                        <c:v>0.45605042016806729</c:v>
                      </c:pt>
                      <c:pt idx="64">
                        <c:v>0.45605042016806729</c:v>
                      </c:pt>
                      <c:pt idx="65">
                        <c:v>0.45605042016806729</c:v>
                      </c:pt>
                      <c:pt idx="66">
                        <c:v>0.45605042016806729</c:v>
                      </c:pt>
                      <c:pt idx="67">
                        <c:v>0.45605042016806729</c:v>
                      </c:pt>
                      <c:pt idx="68">
                        <c:v>0.45605042016806729</c:v>
                      </c:pt>
                      <c:pt idx="69">
                        <c:v>0.45605042016806729</c:v>
                      </c:pt>
                      <c:pt idx="70">
                        <c:v>0.45605042016806729</c:v>
                      </c:pt>
                      <c:pt idx="71">
                        <c:v>0.45605042016806729</c:v>
                      </c:pt>
                      <c:pt idx="72">
                        <c:v>0.45605042016806729</c:v>
                      </c:pt>
                      <c:pt idx="73">
                        <c:v>0.45605042016806729</c:v>
                      </c:pt>
                      <c:pt idx="74">
                        <c:v>0.45605042016806729</c:v>
                      </c:pt>
                      <c:pt idx="75">
                        <c:v>0.45605042016806729</c:v>
                      </c:pt>
                      <c:pt idx="76">
                        <c:v>0.45605042016806729</c:v>
                      </c:pt>
                      <c:pt idx="77">
                        <c:v>0.45605042016806729</c:v>
                      </c:pt>
                      <c:pt idx="78">
                        <c:v>0.45605042016806729</c:v>
                      </c:pt>
                      <c:pt idx="79">
                        <c:v>0.45605042016806729</c:v>
                      </c:pt>
                      <c:pt idx="80">
                        <c:v>0.45605042016806729</c:v>
                      </c:pt>
                      <c:pt idx="81">
                        <c:v>0.45605042016806729</c:v>
                      </c:pt>
                      <c:pt idx="82">
                        <c:v>0.45605042016806729</c:v>
                      </c:pt>
                      <c:pt idx="83">
                        <c:v>0.45605042016806729</c:v>
                      </c:pt>
                      <c:pt idx="84">
                        <c:v>0.45605042016806729</c:v>
                      </c:pt>
                      <c:pt idx="85">
                        <c:v>0.45605042016806729</c:v>
                      </c:pt>
                      <c:pt idx="86">
                        <c:v>0.45605042016806729</c:v>
                      </c:pt>
                      <c:pt idx="87">
                        <c:v>0.45605042016806729</c:v>
                      </c:pt>
                      <c:pt idx="88">
                        <c:v>0.45605042016806729</c:v>
                      </c:pt>
                      <c:pt idx="89">
                        <c:v>0.45605042016806729</c:v>
                      </c:pt>
                      <c:pt idx="90">
                        <c:v>0.45605042016806729</c:v>
                      </c:pt>
                      <c:pt idx="91">
                        <c:v>0.45605042016806729</c:v>
                      </c:pt>
                      <c:pt idx="92">
                        <c:v>0.45605042016806729</c:v>
                      </c:pt>
                      <c:pt idx="93">
                        <c:v>0.45605042016806729</c:v>
                      </c:pt>
                      <c:pt idx="94">
                        <c:v>0.45605042016806729</c:v>
                      </c:pt>
                      <c:pt idx="95">
                        <c:v>0.45605042016806729</c:v>
                      </c:pt>
                      <c:pt idx="96">
                        <c:v>0.45605042016806729</c:v>
                      </c:pt>
                      <c:pt idx="97">
                        <c:v>0.45605042016806729</c:v>
                      </c:pt>
                      <c:pt idx="98">
                        <c:v>0.45605042016806729</c:v>
                      </c:pt>
                      <c:pt idx="99">
                        <c:v>0.45605042016806729</c:v>
                      </c:pt>
                      <c:pt idx="100">
                        <c:v>0.45605042016806729</c:v>
                      </c:pt>
                    </c:numCache>
                  </c:numRef>
                </c:val>
                <c:smooth val="0"/>
                <c:extLst>
                  <c:ext xmlns:c16="http://schemas.microsoft.com/office/drawing/2014/chart" uri="{C3380CC4-5D6E-409C-BE32-E72D297353CC}">
                    <c16:uniqueId val="{00000006-8897-4E0E-B39C-97315E8CCE9C}"/>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'Efficiency vs Load Calculations'!$AF$8</c15:sqref>
                        </c15:formulaRef>
                      </c:ext>
                    </c:extLst>
                    <c:strCache>
                      <c:ptCount val="1"/>
                      <c:pt idx="0">
                        <c:v>Total Cin Loss</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Calculations'!$AF$9:$AF$109</c15:sqref>
                        </c15:formulaRef>
                      </c:ext>
                    </c:extLst>
                    <c:numCache>
                      <c:formatCode>0.000</c:formatCode>
                      <c:ptCount val="101"/>
                      <c:pt idx="0">
                        <c:v>2.034502647210745E-4</c:v>
                      </c:pt>
                      <c:pt idx="1">
                        <c:v>2.0913117708364773E-4</c:v>
                      </c:pt>
                      <c:pt idx="2">
                        <c:v>2.2615994059076077E-4</c:v>
                      </c:pt>
                      <c:pt idx="3">
                        <c:v>2.5453146023693928E-4</c:v>
                      </c:pt>
                      <c:pt idx="4">
                        <c:v>2.9424063848740566E-4</c:v>
                      </c:pt>
                      <c:pt idx="5">
                        <c:v>3.4528237527848107E-4</c:v>
                      </c:pt>
                      <c:pt idx="6">
                        <c:v>4.0765156801798809E-4</c:v>
                      </c:pt>
                      <c:pt idx="7">
                        <c:v>4.8134311158565252E-4</c:v>
                      </c:pt>
                      <c:pt idx="8">
                        <c:v>5.6635189833350555E-4</c:v>
                      </c:pt>
                      <c:pt idx="9">
                        <c:v>6.6267281808628665E-4</c:v>
                      </c:pt>
                      <c:pt idx="10">
                        <c:v>7.7030075814184316E-4</c:v>
                      </c:pt>
                      <c:pt idx="11">
                        <c:v>8.8923060327153599E-4</c:v>
                      </c:pt>
                      <c:pt idx="12">
                        <c:v>1.0194572357206371E-3</c:v>
                      </c:pt>
                      <c:pt idx="13">
                        <c:v>1.1609755352087374E-3</c:v>
                      </c:pt>
                      <c:pt idx="14">
                        <c:v>1.3137803789301404E-3</c:v>
                      </c:pt>
                      <c:pt idx="15">
                        <c:v>1.4778666415542711E-3</c:v>
                      </c:pt>
                      <c:pt idx="16">
                        <c:v>1.6532291952260755E-3</c:v>
                      </c:pt>
                      <c:pt idx="17">
                        <c:v>1.8398629095664179E-3</c:v>
                      </c:pt>
                      <c:pt idx="18">
                        <c:v>2.037762651672491E-3</c:v>
                      </c:pt>
                      <c:pt idx="19">
                        <c:v>2.2469232861182108E-3</c:v>
                      </c:pt>
                      <c:pt idx="20">
                        <c:v>2.4673396749546185E-3</c:v>
                      </c:pt>
                      <c:pt idx="21">
                        <c:v>2.6990066777102853E-3</c:v>
                      </c:pt>
                      <c:pt idx="22">
                        <c:v>2.9419191513917111E-3</c:v>
                      </c:pt>
                      <c:pt idx="23">
                        <c:v>3.1960719504837251E-3</c:v>
                      </c:pt>
                      <c:pt idx="24">
                        <c:v>3.4614599269498919E-3</c:v>
                      </c:pt>
                      <c:pt idx="25">
                        <c:v>3.7380779302329053E-3</c:v>
                      </c:pt>
                      <c:pt idx="26">
                        <c:v>4.0259208072549952E-3</c:v>
                      </c:pt>
                      <c:pt idx="27">
                        <c:v>4.3249834024183288E-3</c:v>
                      </c:pt>
                      <c:pt idx="28">
                        <c:v>4.6352605576054032E-3</c:v>
                      </c:pt>
                      <c:pt idx="29">
                        <c:v>4.9567471121794611E-3</c:v>
                      </c:pt>
                      <c:pt idx="30">
                        <c:v>5.289437902984878E-3</c:v>
                      </c:pt>
                      <c:pt idx="31">
                        <c:v>5.6333277643475701E-3</c:v>
                      </c:pt>
                      <c:pt idx="32">
                        <c:v>5.9884115280753889E-3</c:v>
                      </c:pt>
                      <c:pt idx="33">
                        <c:v>6.3546840234585391E-3</c:v>
                      </c:pt>
                      <c:pt idx="34">
                        <c:v>6.7321400772699528E-3</c:v>
                      </c:pt>
                      <c:pt idx="35">
                        <c:v>7.1207745137657078E-3</c:v>
                      </c:pt>
                      <c:pt idx="36">
                        <c:v>7.5205821546854316E-3</c:v>
                      </c:pt>
                      <c:pt idx="37">
                        <c:v>7.9315578192526801E-3</c:v>
                      </c:pt>
                      <c:pt idx="38">
                        <c:v>8.3536963241753696E-3</c:v>
                      </c:pt>
                      <c:pt idx="39">
                        <c:v>8.7869924836461531E-3</c:v>
                      </c:pt>
                      <c:pt idx="40">
                        <c:v>9.2314411093428195E-3</c:v>
                      </c:pt>
                      <c:pt idx="41">
                        <c:v>9.6870370104287194E-3</c:v>
                      </c:pt>
                      <c:pt idx="42">
                        <c:v>1.0153774993553135E-2</c:v>
                      </c:pt>
                      <c:pt idx="43">
                        <c:v>1.0631649862851696E-2</c:v>
                      </c:pt>
                      <c:pt idx="44">
                        <c:v>1.1120656419946775E-2</c:v>
                      </c:pt>
                      <c:pt idx="45">
                        <c:v>1.1620789463947895E-2</c:v>
                      </c:pt>
                      <c:pt idx="46">
                        <c:v>1.2132043791452123E-2</c:v>
                      </c:pt>
                      <c:pt idx="47">
                        <c:v>1.2654414196544473E-2</c:v>
                      </c:pt>
                      <c:pt idx="48">
                        <c:v>1.3187895470798299E-2</c:v>
                      </c:pt>
                      <c:pt idx="49">
                        <c:v>1.3732482403275702E-2</c:v>
                      </c:pt>
                      <c:pt idx="50">
                        <c:v>1.4288169780527934E-2</c:v>
                      </c:pt>
                      <c:pt idx="51">
                        <c:v>1.4854952386595772E-2</c:v>
                      </c:pt>
                      <c:pt idx="52">
                        <c:v>1.5432825003009965E-2</c:v>
                      </c:pt>
                      <c:pt idx="53">
                        <c:v>1.6021782408791593E-2</c:v>
                      </c:pt>
                      <c:pt idx="54">
                        <c:v>1.6621819380452464E-2</c:v>
                      </c:pt>
                      <c:pt idx="55">
                        <c:v>1.7232930691995538E-2</c:v>
                      </c:pt>
                      <c:pt idx="56">
                        <c:v>1.7855111114915348E-2</c:v>
                      </c:pt>
                      <c:pt idx="57">
                        <c:v>1.8488355418198332E-2</c:v>
                      </c:pt>
                      <c:pt idx="58">
                        <c:v>1.9132658368323282E-2</c:v>
                      </c:pt>
                      <c:pt idx="59">
                        <c:v>1.9788014729261737E-2</c:v>
                      </c:pt>
                      <c:pt idx="60">
                        <c:v>2.0454419262478339E-2</c:v>
                      </c:pt>
                      <c:pt idx="61">
                        <c:v>2.1131866726931334E-2</c:v>
                      </c:pt>
                      <c:pt idx="62">
                        <c:v>2.1820351879072844E-2</c:v>
                      </c:pt>
                      <c:pt idx="63">
                        <c:v>2.2519869472849358E-2</c:v>
                      </c:pt>
                      <c:pt idx="64">
                        <c:v>2.3230414259702119E-2</c:v>
                      </c:pt>
                      <c:pt idx="65">
                        <c:v>2.3951980988567462E-2</c:v>
                      </c:pt>
                      <c:pt idx="66">
                        <c:v>2.4684564405877282E-2</c:v>
                      </c:pt>
                      <c:pt idx="67">
                        <c:v>2.5428159255559406E-2</c:v>
                      </c:pt>
                      <c:pt idx="68">
                        <c:v>2.6182760279038007E-2</c:v>
                      </c:pt>
                      <c:pt idx="69">
                        <c:v>2.6948362215233949E-2</c:v>
                      </c:pt>
                      <c:pt idx="70">
                        <c:v>2.7724959800565253E-2</c:v>
                      </c:pt>
                      <c:pt idx="71">
                        <c:v>2.8512547768947457E-2</c:v>
                      </c:pt>
                      <c:pt idx="72">
                        <c:v>2.9311120851794051E-2</c:v>
                      </c:pt>
                      <c:pt idx="73">
                        <c:v>3.0120673778016822E-2</c:v>
                      </c:pt>
                      <c:pt idx="74">
                        <c:v>3.0941201274026289E-2</c:v>
                      </c:pt>
                      <c:pt idx="75">
                        <c:v>3.1772698063732084E-2</c:v>
                      </c:pt>
                      <c:pt idx="76">
                        <c:v>3.2615158868543367E-2</c:v>
                      </c:pt>
                      <c:pt idx="77">
                        <c:v>3.3468578407369248E-2</c:v>
                      </c:pt>
                      <c:pt idx="78">
                        <c:v>3.4332951396619085E-2</c:v>
                      </c:pt>
                      <c:pt idx="79">
                        <c:v>3.5208272550203062E-2</c:v>
                      </c:pt>
                      <c:pt idx="80">
                        <c:v>3.6094536579532308E-2</c:v>
                      </c:pt>
                      <c:pt idx="81">
                        <c:v>3.6991738193519627E-2</c:v>
                      </c:pt>
                      <c:pt idx="82">
                        <c:v>3.7899872098579639E-2</c:v>
                      </c:pt>
                      <c:pt idx="83">
                        <c:v>3.8818932998629319E-2</c:v>
                      </c:pt>
                      <c:pt idx="84">
                        <c:v>3.9748915595088322E-2</c:v>
                      </c:pt>
                      <c:pt idx="85">
                        <c:v>4.0689814586879383E-2</c:v>
                      </c:pt>
                      <c:pt idx="86">
                        <c:v>4.1641624670428805E-2</c:v>
                      </c:pt>
                      <c:pt idx="87">
                        <c:v>4.2604340539666732E-2</c:v>
                      </c:pt>
                      <c:pt idx="88">
                        <c:v>4.3577956886027669E-2</c:v>
                      </c:pt>
                      <c:pt idx="89">
                        <c:v>4.4562468398450697E-2</c:v>
                      </c:pt>
                      <c:pt idx="90">
                        <c:v>4.555786976338011E-2</c:v>
                      </c:pt>
                      <c:pt idx="91">
                        <c:v>4.6564155664765614E-2</c:v>
                      </c:pt>
                      <c:pt idx="92">
                        <c:v>4.758132078406286E-2</c:v>
                      </c:pt>
                      <c:pt idx="93">
                        <c:v>4.8609359800233794E-2</c:v>
                      </c:pt>
                      <c:pt idx="94">
                        <c:v>4.9648267389746925E-2</c:v>
                      </c:pt>
                      <c:pt idx="95">
                        <c:v>5.0698038226578007E-2</c:v>
                      </c:pt>
                      <c:pt idx="96">
                        <c:v>5.1758666982210086E-2</c:v>
                      </c:pt>
                      <c:pt idx="97">
                        <c:v>5.2830148325634277E-2</c:v>
                      </c:pt>
                      <c:pt idx="98">
                        <c:v>5.3912476923349793E-2</c:v>
                      </c:pt>
                      <c:pt idx="99">
                        <c:v>5.5005647439364674E-2</c:v>
                      </c:pt>
                      <c:pt idx="100">
                        <c:v>5.6109654535195889E-2</c:v>
                      </c:pt>
                    </c:numCache>
                  </c:numRef>
                </c:val>
                <c:smooth val="0"/>
                <c:extLst xmlns:c15="http://schemas.microsoft.com/office/drawing/2012/chart">
                  <c:ext xmlns:c16="http://schemas.microsoft.com/office/drawing/2014/chart" uri="{C3380CC4-5D6E-409C-BE32-E72D297353CC}">
                    <c16:uniqueId val="{00000007-8897-4E0E-B39C-97315E8CCE9C}"/>
                  </c:ext>
                </c:extLst>
              </c15:ser>
            </c15:filteredLineSeries>
            <c15:filteredLineSeries>
              <c15:ser>
                <c:idx val="5"/>
                <c:order val="7"/>
                <c:tx>
                  <c:strRef>
                    <c:extLst xmlns:c15="http://schemas.microsoft.com/office/drawing/2012/chart">
                      <c:ext xmlns:c15="http://schemas.microsoft.com/office/drawing/2012/chart" uri="{02D57815-91ED-43cb-92C2-25804820EDAC}">
                        <c15:formulaRef>
                          <c15:sqref>'Efficiency vs Load Calculations'!$AC$8</c15:sqref>
                        </c15:formulaRef>
                      </c:ext>
                    </c:extLst>
                    <c:strCache>
                      <c:ptCount val="1"/>
                      <c:pt idx="0">
                        <c:v>Total Cout Loss</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Calculations'!$AC$9:$AC$109</c15:sqref>
                        </c15:formulaRef>
                      </c:ext>
                    </c:extLst>
                    <c:numCache>
                      <c:formatCode>0.000</c:formatCode>
                      <c:ptCount val="101"/>
                      <c:pt idx="0">
                        <c:v>2.5805462293388448E-3</c:v>
                      </c:pt>
                      <c:pt idx="1">
                        <c:v>2.5809990752498992E-3</c:v>
                      </c:pt>
                      <c:pt idx="2">
                        <c:v>2.5814519473044322E-3</c:v>
                      </c:pt>
                      <c:pt idx="3">
                        <c:v>2.5819048454994815E-3</c:v>
                      </c:pt>
                      <c:pt idx="4">
                        <c:v>2.5823577698320839E-3</c:v>
                      </c:pt>
                      <c:pt idx="5">
                        <c:v>2.582810720299273E-3</c:v>
                      </c:pt>
                      <c:pt idx="6">
                        <c:v>2.5832636968980889E-3</c:v>
                      </c:pt>
                      <c:pt idx="7">
                        <c:v>2.5837166996255652E-3</c:v>
                      </c:pt>
                      <c:pt idx="8">
                        <c:v>2.5841697284787394E-3</c:v>
                      </c:pt>
                      <c:pt idx="9">
                        <c:v>2.5846227834546561E-3</c:v>
                      </c:pt>
                      <c:pt idx="10">
                        <c:v>2.5850758645503437E-3</c:v>
                      </c:pt>
                      <c:pt idx="11">
                        <c:v>2.5855289717628457E-3</c:v>
                      </c:pt>
                      <c:pt idx="12">
                        <c:v>2.5859821050891983E-3</c:v>
                      </c:pt>
                      <c:pt idx="13">
                        <c:v>2.5864352645264444E-3</c:v>
                      </c:pt>
                      <c:pt idx="14">
                        <c:v>2.5868884500716166E-3</c:v>
                      </c:pt>
                      <c:pt idx="15">
                        <c:v>2.5873416617217611E-3</c:v>
                      </c:pt>
                      <c:pt idx="16">
                        <c:v>2.5877948994739121E-3</c:v>
                      </c:pt>
                      <c:pt idx="17">
                        <c:v>2.5882481633251126E-3</c:v>
                      </c:pt>
                      <c:pt idx="18">
                        <c:v>2.5887014532723985E-3</c:v>
                      </c:pt>
                      <c:pt idx="19">
                        <c:v>2.5891547693128155E-3</c:v>
                      </c:pt>
                      <c:pt idx="20">
                        <c:v>2.5896081114434024E-3</c:v>
                      </c:pt>
                      <c:pt idx="21">
                        <c:v>2.5900614796612021E-3</c:v>
                      </c:pt>
                      <c:pt idx="22">
                        <c:v>2.5905148739632541E-3</c:v>
                      </c:pt>
                      <c:pt idx="23">
                        <c:v>2.5909682943465969E-3</c:v>
                      </c:pt>
                      <c:pt idx="24">
                        <c:v>2.5914217408082767E-3</c:v>
                      </c:pt>
                      <c:pt idx="25">
                        <c:v>2.5918752133453371E-3</c:v>
                      </c:pt>
                      <c:pt idx="26">
                        <c:v>2.5923287119548168E-3</c:v>
                      </c:pt>
                      <c:pt idx="27">
                        <c:v>2.5927822366337556E-3</c:v>
                      </c:pt>
                      <c:pt idx="28">
                        <c:v>2.5932357873792067E-3</c:v>
                      </c:pt>
                      <c:pt idx="29">
                        <c:v>2.5936893641882041E-3</c:v>
                      </c:pt>
                      <c:pt idx="30">
                        <c:v>2.5941429670577948E-3</c:v>
                      </c:pt>
                      <c:pt idx="31">
                        <c:v>2.594596595985022E-3</c:v>
                      </c:pt>
                      <c:pt idx="32">
                        <c:v>2.595050250966935E-3</c:v>
                      </c:pt>
                      <c:pt idx="33">
                        <c:v>2.5955039320005669E-3</c:v>
                      </c:pt>
                      <c:pt idx="34">
                        <c:v>2.5959576390829743E-3</c:v>
                      </c:pt>
                      <c:pt idx="35">
                        <c:v>2.5964113722111949E-3</c:v>
                      </c:pt>
                      <c:pt idx="36">
                        <c:v>2.5968651313822764E-3</c:v>
                      </c:pt>
                      <c:pt idx="37">
                        <c:v>2.5973189165932674E-3</c:v>
                      </c:pt>
                      <c:pt idx="38">
                        <c:v>2.5977727278412061E-3</c:v>
                      </c:pt>
                      <c:pt idx="39">
                        <c:v>2.5982265651231461E-3</c:v>
                      </c:pt>
                      <c:pt idx="40">
                        <c:v>2.5986804284361294E-3</c:v>
                      </c:pt>
                      <c:pt idx="41">
                        <c:v>2.5991343177772055E-3</c:v>
                      </c:pt>
                      <c:pt idx="42">
                        <c:v>2.5995882331434203E-3</c:v>
                      </c:pt>
                      <c:pt idx="43">
                        <c:v>2.6000421745318229E-3</c:v>
                      </c:pt>
                      <c:pt idx="44">
                        <c:v>2.600496141939454E-3</c:v>
                      </c:pt>
                      <c:pt idx="45">
                        <c:v>2.6009501353633701E-3</c:v>
                      </c:pt>
                      <c:pt idx="46">
                        <c:v>2.6014041548006166E-3</c:v>
                      </c:pt>
                      <c:pt idx="47">
                        <c:v>2.6018582002482397E-3</c:v>
                      </c:pt>
                      <c:pt idx="48">
                        <c:v>2.6023122717032904E-3</c:v>
                      </c:pt>
                      <c:pt idx="49">
                        <c:v>2.6027663691628152E-3</c:v>
                      </c:pt>
                      <c:pt idx="50">
                        <c:v>2.603220492623866E-3</c:v>
                      </c:pt>
                      <c:pt idx="51">
                        <c:v>2.6036746420834934E-3</c:v>
                      </c:pt>
                      <c:pt idx="52">
                        <c:v>2.6041288175387423E-3</c:v>
                      </c:pt>
                      <c:pt idx="53">
                        <c:v>2.604583018986667E-3</c:v>
                      </c:pt>
                      <c:pt idx="54">
                        <c:v>2.6050372464243177E-3</c:v>
                      </c:pt>
                      <c:pt idx="55">
                        <c:v>2.6054914998487415E-3</c:v>
                      </c:pt>
                      <c:pt idx="56">
                        <c:v>2.605945779256995E-3</c:v>
                      </c:pt>
                      <c:pt idx="57">
                        <c:v>2.6064000846461239E-3</c:v>
                      </c:pt>
                      <c:pt idx="58">
                        <c:v>2.6068544160131844E-3</c:v>
                      </c:pt>
                      <c:pt idx="59">
                        <c:v>2.607308773355228E-3</c:v>
                      </c:pt>
                      <c:pt idx="60">
                        <c:v>2.607763156669302E-3</c:v>
                      </c:pt>
                      <c:pt idx="61">
                        <c:v>2.6082175659524632E-3</c:v>
                      </c:pt>
                      <c:pt idx="62">
                        <c:v>2.6086720012017629E-3</c:v>
                      </c:pt>
                      <c:pt idx="63">
                        <c:v>2.6091264624142534E-3</c:v>
                      </c:pt>
                      <c:pt idx="64">
                        <c:v>2.60958094958699E-3</c:v>
                      </c:pt>
                      <c:pt idx="65">
                        <c:v>2.6100354627170241E-3</c:v>
                      </c:pt>
                      <c:pt idx="66">
                        <c:v>2.6104900018014145E-3</c:v>
                      </c:pt>
                      <c:pt idx="67">
                        <c:v>2.6109445668372044E-3</c:v>
                      </c:pt>
                      <c:pt idx="68">
                        <c:v>2.611399157821459E-3</c:v>
                      </c:pt>
                      <c:pt idx="69">
                        <c:v>2.611853774751231E-3</c:v>
                      </c:pt>
                      <c:pt idx="70">
                        <c:v>2.6123084176235701E-3</c:v>
                      </c:pt>
                      <c:pt idx="71">
                        <c:v>2.6127630864355377E-3</c:v>
                      </c:pt>
                      <c:pt idx="72">
                        <c:v>2.6132177811841835E-3</c:v>
                      </c:pt>
                      <c:pt idx="73">
                        <c:v>2.6136725018665687E-3</c:v>
                      </c:pt>
                      <c:pt idx="74">
                        <c:v>2.6141272484797441E-3</c:v>
                      </c:pt>
                      <c:pt idx="75">
                        <c:v>2.6145820210207726E-3</c:v>
                      </c:pt>
                      <c:pt idx="76">
                        <c:v>2.6150368194867036E-3</c:v>
                      </c:pt>
                      <c:pt idx="77">
                        <c:v>2.6154916438746005E-3</c:v>
                      </c:pt>
                      <c:pt idx="78">
                        <c:v>2.615946494181517E-3</c:v>
                      </c:pt>
                      <c:pt idx="79">
                        <c:v>2.6164013704045091E-3</c:v>
                      </c:pt>
                      <c:pt idx="80">
                        <c:v>2.6168562725406401E-3</c:v>
                      </c:pt>
                      <c:pt idx="81">
                        <c:v>2.6173112005869613E-3</c:v>
                      </c:pt>
                      <c:pt idx="82">
                        <c:v>2.6177661545405398E-3</c:v>
                      </c:pt>
                      <c:pt idx="83">
                        <c:v>2.6182211343984234E-3</c:v>
                      </c:pt>
                      <c:pt idx="84">
                        <c:v>2.6186761401576788E-3</c:v>
                      </c:pt>
                      <c:pt idx="85">
                        <c:v>2.6191311718153608E-3</c:v>
                      </c:pt>
                      <c:pt idx="86">
                        <c:v>2.6195862293685343E-3</c:v>
                      </c:pt>
                      <c:pt idx="87">
                        <c:v>2.6200413128142541E-3</c:v>
                      </c:pt>
                      <c:pt idx="88">
                        <c:v>2.6204964221495843E-3</c:v>
                      </c:pt>
                      <c:pt idx="89">
                        <c:v>2.6209515573715815E-3</c:v>
                      </c:pt>
                      <c:pt idx="90">
                        <c:v>2.6214067184773078E-3</c:v>
                      </c:pt>
                      <c:pt idx="91">
                        <c:v>2.6218619054638259E-3</c:v>
                      </c:pt>
                      <c:pt idx="92">
                        <c:v>2.6223171183281926E-3</c:v>
                      </c:pt>
                      <c:pt idx="93">
                        <c:v>2.6227723570674726E-3</c:v>
                      </c:pt>
                      <c:pt idx="94">
                        <c:v>2.6232276216787238E-3</c:v>
                      </c:pt>
                      <c:pt idx="95">
                        <c:v>2.6236829121590133E-3</c:v>
                      </c:pt>
                      <c:pt idx="96">
                        <c:v>2.6241382285054015E-3</c:v>
                      </c:pt>
                      <c:pt idx="97">
                        <c:v>2.624593570714955E-3</c:v>
                      </c:pt>
                      <c:pt idx="98">
                        <c:v>2.6250489387847267E-3</c:v>
                      </c:pt>
                      <c:pt idx="99">
                        <c:v>2.6255043327117898E-3</c:v>
                      </c:pt>
                      <c:pt idx="100">
                        <c:v>2.6259597524932012E-3</c:v>
                      </c:pt>
                    </c:numCache>
                  </c:numRef>
                </c:val>
                <c:smooth val="0"/>
                <c:extLst xmlns:c15="http://schemas.microsoft.com/office/drawing/2012/chart">
                  <c:ext xmlns:c16="http://schemas.microsoft.com/office/drawing/2014/chart" uri="{C3380CC4-5D6E-409C-BE32-E72D297353CC}">
                    <c16:uniqueId val="{00000008-8897-4E0E-B39C-97315E8CCE9C}"/>
                  </c:ext>
                </c:extLst>
              </c15:ser>
            </c15:filteredLineSeries>
            <c15:filteredLineSeries>
              <c15:ser>
                <c:idx val="2"/>
                <c:order val="9"/>
                <c:tx>
                  <c:strRef>
                    <c:extLst xmlns:c15="http://schemas.microsoft.com/office/drawing/2012/chart">
                      <c:ext xmlns:c15="http://schemas.microsoft.com/office/drawing/2012/chart" uri="{02D57815-91ED-43cb-92C2-25804820EDAC}">
                        <c15:formulaRef>
                          <c15:sqref>'Efficiency vs Load Calculations'!$BR$8</c15:sqref>
                        </c15:formulaRef>
                      </c:ext>
                    </c:extLst>
                    <c:strCache>
                      <c:ptCount val="1"/>
                      <c:pt idx="0">
                        <c:v>Buck ''Control'' MOSFET Loss</c:v>
                      </c:pt>
                    </c:strCache>
                  </c:strRef>
                </c:tx>
                <c:spPr>
                  <a:ln w="38100">
                    <a:solidFill>
                      <a:srgbClr val="808000"/>
                    </a:solidFill>
                    <a:prstDash val="sysDash"/>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Calculations'!$BR$9:$BR$109</c15:sqref>
                        </c15:formulaRef>
                      </c:ext>
                    </c:extLst>
                    <c:numCache>
                      <c:formatCode>0.000</c:formatCode>
                      <c:ptCount val="101"/>
                      <c:pt idx="0">
                        <c:v>3.1529105136505538E-2</c:v>
                      </c:pt>
                      <c:pt idx="1">
                        <c:v>5.4690673352102183E-2</c:v>
                      </c:pt>
                      <c:pt idx="2">
                        <c:v>7.7385953848884345E-2</c:v>
                      </c:pt>
                      <c:pt idx="3">
                        <c:v>0.10020680619968501</c:v>
                      </c:pt>
                      <c:pt idx="4">
                        <c:v>0.12315510877160887</c:v>
                      </c:pt>
                      <c:pt idx="5">
                        <c:v>0.14623276282052239</c:v>
                      </c:pt>
                      <c:pt idx="6">
                        <c:v>0.16944169305522361</c:v>
                      </c:pt>
                      <c:pt idx="7">
                        <c:v>0.19278384821223077</c:v>
                      </c:pt>
                      <c:pt idx="8">
                        <c:v>0.21626120164155113</c:v>
                      </c:pt>
                      <c:pt idx="9">
                        <c:v>0.23987575190379914</c:v>
                      </c:pt>
                      <c:pt idx="10">
                        <c:v>0.26362952337904461</c:v>
                      </c:pt>
                      <c:pt idx="11">
                        <c:v>0.2893204591322821</c:v>
                      </c:pt>
                      <c:pt idx="12">
                        <c:v>0.31625123740263961</c:v>
                      </c:pt>
                      <c:pt idx="13">
                        <c:v>0.34332962955552204</c:v>
                      </c:pt>
                      <c:pt idx="14">
                        <c:v>0.37055802488475886</c:v>
                      </c:pt>
                      <c:pt idx="15">
                        <c:v>0.39793884254681378</c:v>
                      </c:pt>
                      <c:pt idx="16">
                        <c:v>0.42547453232484467</c:v>
                      </c:pt>
                      <c:pt idx="17">
                        <c:v>0.45316757540803548</c:v>
                      </c:pt>
                      <c:pt idx="18">
                        <c:v>0.48102048518672286</c:v>
                      </c:pt>
                      <c:pt idx="19">
                        <c:v>0.50903580806385684</c:v>
                      </c:pt>
                      <c:pt idx="20">
                        <c:v>0.5372161242833452</c:v>
                      </c:pt>
                      <c:pt idx="21">
                        <c:v>0.56556404877585409</c:v>
                      </c:pt>
                      <c:pt idx="22">
                        <c:v>0.59408223202264832</c:v>
                      </c:pt>
                      <c:pt idx="23">
                        <c:v>0.62277336093807478</c:v>
                      </c:pt>
                      <c:pt idx="24">
                        <c:v>0.65164015977131173</c:v>
                      </c:pt>
                      <c:pt idx="25">
                        <c:v>0.68068539102802017</c:v>
                      </c:pt>
                      <c:pt idx="26">
                        <c:v>0.70991185641256338</c:v>
                      </c:pt>
                      <c:pt idx="27">
                        <c:v>0.73932239779146713</c:v>
                      </c:pt>
                      <c:pt idx="28">
                        <c:v>0.76891989817882811</c:v>
                      </c:pt>
                      <c:pt idx="29">
                        <c:v>0.79870728274439262</c:v>
                      </c:pt>
                      <c:pt idx="30">
                        <c:v>0.82868751984504985</c:v>
                      </c:pt>
                      <c:pt idx="31">
                        <c:v>0.85886362208051414</c:v>
                      </c:pt>
                      <c:pt idx="32">
                        <c:v>0.88923864737398972</c:v>
                      </c:pt>
                      <c:pt idx="33">
                        <c:v>0.91981570007864144</c:v>
                      </c:pt>
                      <c:pt idx="34">
                        <c:v>0.95059793211071986</c:v>
                      </c:pt>
                      <c:pt idx="35">
                        <c:v>0.98158854411021823</c:v>
                      </c:pt>
                      <c:pt idx="36">
                        <c:v>1.0127907866299692</c:v>
                      </c:pt>
                      <c:pt idx="37">
                        <c:v>1.0442079613541166</c:v>
                      </c:pt>
                      <c:pt idx="38">
                        <c:v>1.0758434223469351</c:v>
                      </c:pt>
                      <c:pt idx="39">
                        <c:v>1.107700577333</c:v>
                      </c:pt>
                      <c:pt idx="40">
                        <c:v>1.1397828890097406</c:v>
                      </c:pt>
                      <c:pt idx="41">
                        <c:v>1.172093876393457</c:v>
                      </c:pt>
                      <c:pt idx="42">
                        <c:v>1.2046371161999092</c:v>
                      </c:pt>
                      <c:pt idx="43">
                        <c:v>1.2374162442606262</c:v>
                      </c:pt>
                      <c:pt idx="44">
                        <c:v>1.2704349569761337</c:v>
                      </c:pt>
                      <c:pt idx="45">
                        <c:v>1.3036970128073253</c:v>
                      </c:pt>
                      <c:pt idx="46">
                        <c:v>1.3372062338062658</c:v>
                      </c:pt>
                      <c:pt idx="47">
                        <c:v>1.370966507187743</c:v>
                      </c:pt>
                      <c:pt idx="48">
                        <c:v>1.4049817869429471</c:v>
                      </c:pt>
                      <c:pt idx="49">
                        <c:v>1.4392560954966971</c:v>
                      </c:pt>
                      <c:pt idx="50">
                        <c:v>1.4737935254096961</c:v>
                      </c:pt>
                      <c:pt idx="51">
                        <c:v>1.5085982411273378</c:v>
                      </c:pt>
                      <c:pt idx="52">
                        <c:v>1.5436744807766634</c:v>
                      </c:pt>
                      <c:pt idx="53">
                        <c:v>1.579026558013104</c:v>
                      </c:pt>
                      <c:pt idx="54">
                        <c:v>1.6146588639187323</c:v>
                      </c:pt>
                      <c:pt idx="55">
                        <c:v>1.6505758689537862</c:v>
                      </c:pt>
                      <c:pt idx="56">
                        <c:v>1.6867821249633188</c:v>
                      </c:pt>
                      <c:pt idx="57">
                        <c:v>1.7232822672408754</c:v>
                      </c:pt>
                      <c:pt idx="58">
                        <c:v>1.7600810166512018</c:v>
                      </c:pt>
                      <c:pt idx="59">
                        <c:v>1.7971831818140327</c:v>
                      </c:pt>
                      <c:pt idx="60">
                        <c:v>1.8345936613511173</c:v>
                      </c:pt>
                      <c:pt idx="61">
                        <c:v>1.8723174461987104</c:v>
                      </c:pt>
                      <c:pt idx="62">
                        <c:v>1.910359621987842</c:v>
                      </c:pt>
                      <c:pt idx="63">
                        <c:v>1.9487253714947848</c:v>
                      </c:pt>
                      <c:pt idx="64">
                        <c:v>1.9874199771642205</c:v>
                      </c:pt>
                      <c:pt idx="65">
                        <c:v>2.0264488237077152</c:v>
                      </c:pt>
                      <c:pt idx="66">
                        <c:v>2.0658174007802188</c:v>
                      </c:pt>
                      <c:pt idx="67">
                        <c:v>2.1055313057374074</c:v>
                      </c:pt>
                      <c:pt idx="68">
                        <c:v>2.1455962464768232</c:v>
                      </c:pt>
                      <c:pt idx="69">
                        <c:v>2.1860180443658423</c:v>
                      </c:pt>
                      <c:pt idx="70">
                        <c:v>2.2268026372596972</c:v>
                      </c:pt>
                      <c:pt idx="71">
                        <c:v>2.267956082612836</c:v>
                      </c:pt>
                      <c:pt idx="72">
                        <c:v>2.3094845606871077</c:v>
                      </c:pt>
                      <c:pt idx="73">
                        <c:v>2.3513943778603479</c:v>
                      </c:pt>
                      <c:pt idx="74">
                        <c:v>2.393691970039153</c:v>
                      </c:pt>
                      <c:pt idx="75">
                        <c:v>2.4363839061797279</c:v>
                      </c:pt>
                      <c:pt idx="76">
                        <c:v>2.4794768919209149</c:v>
                      </c:pt>
                      <c:pt idx="77">
                        <c:v>2.5229777733336531</c:v>
                      </c:pt>
                      <c:pt idx="78">
                        <c:v>2.5668935407912987</c:v>
                      </c:pt>
                      <c:pt idx="79">
                        <c:v>2.6112313329654775</c:v>
                      </c:pt>
                      <c:pt idx="80">
                        <c:v>2.6559984409522674</c:v>
                      </c:pt>
                      <c:pt idx="81">
                        <c:v>2.7012023125337961</c:v>
                      </c:pt>
                      <c:pt idx="82">
                        <c:v>2.7468505565805077</c:v>
                      </c:pt>
                      <c:pt idx="83">
                        <c:v>2.7929509475996261</c:v>
                      </c:pt>
                      <c:pt idx="84">
                        <c:v>2.8395114304355569</c:v>
                      </c:pt>
                      <c:pt idx="85">
                        <c:v>2.8865401251282545</c:v>
                      </c:pt>
                      <c:pt idx="86">
                        <c:v>2.9340453319358417</c:v>
                      </c:pt>
                      <c:pt idx="87">
                        <c:v>2.9820355365280493</c:v>
                      </c:pt>
                      <c:pt idx="88">
                        <c:v>3.0305194153573622</c:v>
                      </c:pt>
                      <c:pt idx="89">
                        <c:v>3.0795058412150556</c:v>
                      </c:pt>
                      <c:pt idx="90">
                        <c:v>3.1290038889796574</c:v>
                      </c:pt>
                      <c:pt idx="91">
                        <c:v>3.1790228415657049</c:v>
                      </c:pt>
                      <c:pt idx="92">
                        <c:v>3.2295721960810408</c:v>
                      </c:pt>
                      <c:pt idx="93">
                        <c:v>3.2806616702013041</c:v>
                      </c:pt>
                      <c:pt idx="94">
                        <c:v>3.3323012087706214</c:v>
                      </c:pt>
                      <c:pt idx="95">
                        <c:v>3.3845009906380308</c:v>
                      </c:pt>
                      <c:pt idx="96">
                        <c:v>3.4372714357395071</c:v>
                      </c:pt>
                      <c:pt idx="97">
                        <c:v>3.4906232124360623</c:v>
                      </c:pt>
                      <c:pt idx="98">
                        <c:v>3.5445672451187948</c:v>
                      </c:pt>
                      <c:pt idx="99">
                        <c:v>3.5991147220923625</c:v>
                      </c:pt>
                      <c:pt idx="100">
                        <c:v>3.6542771037488824</c:v>
                      </c:pt>
                    </c:numCache>
                  </c:numRef>
                </c:val>
                <c:smooth val="0"/>
                <c:extLst xmlns:c15="http://schemas.microsoft.com/office/drawing/2012/chart">
                  <c:ext xmlns:c16="http://schemas.microsoft.com/office/drawing/2014/chart" uri="{C3380CC4-5D6E-409C-BE32-E72D297353CC}">
                    <c16:uniqueId val="{00000009-8897-4E0E-B39C-97315E8CCE9C}"/>
                  </c:ext>
                </c:extLst>
              </c15:ser>
            </c15:filteredLineSeries>
            <c15:filteredLineSeries>
              <c15:ser>
                <c:idx val="3"/>
                <c:order val="10"/>
                <c:tx>
                  <c:v>Inductor Loss</c:v>
                </c:tx>
                <c:spPr>
                  <a:ln w="38100">
                    <a:solidFill>
                      <a:srgbClr val="800080"/>
                    </a:solidFill>
                    <a:prstDash val="dash"/>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Calculations'!$BP$9:$BP$109</c15:sqref>
                        </c15:formulaRef>
                      </c:ext>
                    </c:extLst>
                    <c:numCache>
                      <c:formatCode>0.000</c:formatCode>
                      <c:ptCount val="101"/>
                      <c:pt idx="0">
                        <c:v>0.26565911720848034</c:v>
                      </c:pt>
                      <c:pt idx="1">
                        <c:v>0.26579630391885301</c:v>
                      </c:pt>
                      <c:pt idx="2">
                        <c:v>0.26610062303457804</c:v>
                      </c:pt>
                      <c:pt idx="3">
                        <c:v>0.26657209470366122</c:v>
                      </c:pt>
                      <c:pt idx="4">
                        <c:v>0.2672107524827117</c:v>
                      </c:pt>
                      <c:pt idx="5">
                        <c:v>0.26801664334367359</c:v>
                      </c:pt>
                      <c:pt idx="6">
                        <c:v>0.26898982768324814</c:v>
                      </c:pt>
                      <c:pt idx="7">
                        <c:v>0.27013037933500927</c:v>
                      </c:pt>
                      <c:pt idx="8">
                        <c:v>0.2714383855842224</c:v>
                      </c:pt>
                      <c:pt idx="9">
                        <c:v>0.27291394718536693</c:v>
                      </c:pt>
                      <c:pt idx="10">
                        <c:v>0.27455717838236804</c:v>
                      </c:pt>
                      <c:pt idx="11">
                        <c:v>0.27636820693155761</c:v>
                      </c:pt>
                      <c:pt idx="12">
                        <c:v>0.27834717412735172</c:v>
                      </c:pt>
                      <c:pt idx="13">
                        <c:v>0.28049423483067404</c:v>
                      </c:pt>
                      <c:pt idx="14">
                        <c:v>0.28280955750012549</c:v>
                      </c:pt>
                      <c:pt idx="15">
                        <c:v>0.28529332422591619</c:v>
                      </c:pt>
                      <c:pt idx="16">
                        <c:v>0.28794573076656566</c:v>
                      </c:pt>
                      <c:pt idx="17">
                        <c:v>0.29076698658839467</c:v>
                      </c:pt>
                      <c:pt idx="18">
                        <c:v>0.29375731490781998</c:v>
                      </c:pt>
                      <c:pt idx="19">
                        <c:v>0.29691695273646257</c:v>
                      </c:pt>
                      <c:pt idx="20">
                        <c:v>0.30024615092909224</c:v>
                      </c:pt>
                      <c:pt idx="21">
                        <c:v>0.30374517423442832</c:v>
                      </c:pt>
                      <c:pt idx="22">
                        <c:v>0.30741430134881009</c:v>
                      </c:pt>
                      <c:pt idx="23">
                        <c:v>0.3112538249727585</c:v>
                      </c:pt>
                      <c:pt idx="24">
                        <c:v>0.31526405187045703</c:v>
                      </c:pt>
                      <c:pt idx="25">
                        <c:v>0.31944530293216483</c:v>
                      </c:pt>
                      <c:pt idx="26">
                        <c:v>0.32379791323959262</c:v>
                      </c:pt>
                      <c:pt idx="27">
                        <c:v>0.32832223213426426</c:v>
                      </c:pt>
                      <c:pt idx="28">
                        <c:v>0.33301862328889148</c:v>
                      </c:pt>
                      <c:pt idx="29">
                        <c:v>0.33788746478178272</c:v>
                      </c:pt>
                      <c:pt idx="30">
                        <c:v>0.3429291491743271</c:v>
                      </c:pt>
                      <c:pt idx="31">
                        <c:v>0.34814408359157223</c:v>
                      </c:pt>
                      <c:pt idx="32">
                        <c:v>0.353532689805929</c:v>
                      </c:pt>
                      <c:pt idx="33">
                        <c:v>0.35909540432404125</c:v>
                      </c:pt>
                      <c:pt idx="34">
                        <c:v>0.36483267847684897</c:v>
                      </c:pt>
                      <c:pt idx="35">
                        <c:v>0.3707449785128798</c:v>
                      </c:pt>
                      <c:pt idx="36">
                        <c:v>0.37683278569480932</c:v>
                      </c:pt>
                      <c:pt idx="37">
                        <c:v>0.38309659639932347</c:v>
                      </c:pt>
                      <c:pt idx="38">
                        <c:v>0.38953692222032232</c:v>
                      </c:pt>
                      <c:pt idx="39">
                        <c:v>0.39615429007551195</c:v>
                      </c:pt>
                      <c:pt idx="40">
                        <c:v>0.40294924231641738</c:v>
                      </c:pt>
                      <c:pt idx="41">
                        <c:v>0.40992233684186491</c:v>
                      </c:pt>
                      <c:pt idx="42">
                        <c:v>0.4170741472149796</c:v>
                      </c:pt>
                      <c:pt idx="43">
                        <c:v>0.42440526278374296</c:v>
                      </c:pt>
                      <c:pt idx="44">
                        <c:v>0.43191628880515298</c:v>
                      </c:pt>
                      <c:pt idx="45">
                        <c:v>0.43960784657305269</c:v>
                      </c:pt>
                      <c:pt idx="46">
                        <c:v>0.44748057354965576</c:v>
                      </c:pt>
                      <c:pt idx="47">
                        <c:v>0.45553512350083925</c:v>
                      </c:pt>
                      <c:pt idx="48">
                        <c:v>0.46377216663525433</c:v>
                      </c:pt>
                      <c:pt idx="49">
                        <c:v>0.47219238974730104</c:v>
                      </c:pt>
                      <c:pt idx="50">
                        <c:v>0.48079649636404337</c:v>
                      </c:pt>
                      <c:pt idx="51">
                        <c:v>0.48958520689610618</c:v>
                      </c:pt>
                      <c:pt idx="52">
                        <c:v>0.49855925879262619</c:v>
                      </c:pt>
                      <c:pt idx="53">
                        <c:v>0.5077194067003199</c:v>
                      </c:pt>
                      <c:pt idx="54">
                        <c:v>0.51706642262672653</c:v>
                      </c:pt>
                      <c:pt idx="55">
                        <c:v>0.52660109610770411</c:v>
                      </c:pt>
                      <c:pt idx="56">
                        <c:v>0.53632423437923926</c:v>
                      </c:pt>
                      <c:pt idx="57">
                        <c:v>0.54623666255364267</c:v>
                      </c:pt>
                      <c:pt idx="58">
                        <c:v>0.55633922380021561</c:v>
                      </c:pt>
                      <c:pt idx="59">
                        <c:v>0.56663277953044044</c:v>
                      </c:pt>
                      <c:pt idx="60">
                        <c:v>0.57711820958779669</c:v>
                      </c:pt>
                      <c:pt idx="61">
                        <c:v>0.58779641244227177</c:v>
                      </c:pt>
                      <c:pt idx="62">
                        <c:v>0.59866830538964078</c:v>
                      </c:pt>
                      <c:pt idx="63">
                        <c:v>0.60973482475561869</c:v>
                      </c:pt>
                      <c:pt idx="64">
                        <c:v>0.6209969261049576</c:v>
                      </c:pt>
                      <c:pt idx="65">
                        <c:v>0.63245558445558303</c:v>
                      </c:pt>
                      <c:pt idx="66">
                        <c:v>0.64411179449786404</c:v>
                      </c:pt>
                      <c:pt idx="67">
                        <c:v>0.65596657081910603</c:v>
                      </c:pt>
                      <c:pt idx="68">
                        <c:v>0.66802094813337676</c:v>
                      </c:pt>
                      <c:pt idx="69">
                        <c:v>0.68027598151674229</c:v>
                      </c:pt>
                      <c:pt idx="70">
                        <c:v>0.6927327466480433</c:v>
                      </c:pt>
                      <c:pt idx="71">
                        <c:v>0.70539234005530105</c:v>
                      </c:pt>
                      <c:pt idx="72">
                        <c:v>0.71825587936786417</c:v>
                      </c:pt>
                      <c:pt idx="73">
                        <c:v>0.73132450357441148</c:v>
                      </c:pt>
                      <c:pt idx="74">
                        <c:v>0.74459937328692516</c:v>
                      </c:pt>
                      <c:pt idx="75">
                        <c:v>0.75808167101075397</c:v>
                      </c:pt>
                      <c:pt idx="76">
                        <c:v>0.77177260142088411</c:v>
                      </c:pt>
                      <c:pt idx="77">
                        <c:v>0.7856733916445483</c:v>
                      </c:pt>
                      <c:pt idx="78">
                        <c:v>0.79978529155029532</c:v>
                      </c:pt>
                      <c:pt idx="79">
                        <c:v>0.8141095740436628</c:v>
                      </c:pt>
                      <c:pt idx="80">
                        <c:v>0.82864753536957614</c:v>
                      </c:pt>
                      <c:pt idx="81">
                        <c:v>0.84340049542162476</c:v>
                      </c:pt>
                      <c:pt idx="82">
                        <c:v>0.85836979805835045</c:v>
                      </c:pt>
                      <c:pt idx="83">
                        <c:v>0.87355681142670383</c:v>
                      </c:pt>
                      <c:pt idx="84">
                        <c:v>0.88896292829281243</c:v>
                      </c:pt>
                      <c:pt idx="85">
                        <c:v>0.90458956638023058</c:v>
                      </c:pt>
                      <c:pt idx="86">
                        <c:v>0.92043816871580642</c:v>
                      </c:pt>
                      <c:pt idx="87">
                        <c:v>0.93651020398335882</c:v>
                      </c:pt>
                      <c:pt idx="88">
                        <c:v>0.95280716688532241</c:v>
                      </c:pt>
                      <c:pt idx="89">
                        <c:v>0.96933057851252258</c:v>
                      </c:pt>
                      <c:pt idx="90">
                        <c:v>0.98608198672228875</c:v>
                      </c:pt>
                      <c:pt idx="91">
                        <c:v>1.0030629665250581</c:v>
                      </c:pt>
                      <c:pt idx="92">
                        <c:v>1.0202751204796838</c:v>
                      </c:pt>
                      <c:pt idx="93">
                        <c:v>1.037720079097634</c:v>
                      </c:pt>
                      <c:pt idx="94">
                        <c:v>1.0553995012562762</c:v>
                      </c:pt>
                      <c:pt idx="95">
                        <c:v>1.0733150746214648</c:v>
                      </c:pt>
                      <c:pt idx="96">
                        <c:v>1.0914685160796367</c:v>
                      </c:pt>
                      <c:pt idx="97">
                        <c:v>1.1098615721796328</c:v>
                      </c:pt>
                      <c:pt idx="98">
                        <c:v>1.1284960195844715</c:v>
                      </c:pt>
                      <c:pt idx="99">
                        <c:v>1.1473736655333138</c:v>
                      </c:pt>
                      <c:pt idx="100">
                        <c:v>1.1664963483138355</c:v>
                      </c:pt>
                    </c:numCache>
                  </c:numRef>
                </c:val>
                <c:smooth val="0"/>
                <c:extLst xmlns:c15="http://schemas.microsoft.com/office/drawing/2012/chart">
                  <c:ext xmlns:c16="http://schemas.microsoft.com/office/drawing/2014/chart" uri="{C3380CC4-5D6E-409C-BE32-E72D297353CC}">
                    <c16:uniqueId val="{0000000A-8897-4E0E-B39C-97315E8CCE9C}"/>
                  </c:ext>
                </c:extLst>
              </c15:ser>
            </c15:filteredLineSeries>
            <c15:filteredLineSeries>
              <c15:ser>
                <c:idx val="1"/>
                <c:order val="11"/>
                <c:tx>
                  <c:strRef>
                    <c:extLst xmlns:c15="http://schemas.microsoft.com/office/drawing/2012/chart">
                      <c:ext xmlns:c15="http://schemas.microsoft.com/office/drawing/2012/chart" uri="{02D57815-91ED-43cb-92C2-25804820EDAC}">
                        <c15:formulaRef>
                          <c15:sqref>'Efficiency vs Load Calculations'!$BS$8</c15:sqref>
                        </c15:formulaRef>
                      </c:ext>
                    </c:extLst>
                    <c:strCache>
                      <c:ptCount val="1"/>
                      <c:pt idx="0">
                        <c:v>Buck ''SYNC'' MOSFET Loss</c:v>
                      </c:pt>
                    </c:strCache>
                  </c:strRef>
                </c:tx>
                <c:spPr>
                  <a:ln w="38100">
                    <a:solidFill>
                      <a:srgbClr val="002060"/>
                    </a:solidFill>
                    <a:prstDash val="sysDot"/>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Calculations'!$BS$9:$BS$109</c15:sqref>
                        </c15:formulaRef>
                      </c:ext>
                    </c:extLst>
                    <c:numCache>
                      <c:formatCode>0.000</c:formatCode>
                      <c:ptCount val="101"/>
                      <c:pt idx="0">
                        <c:v>3.052429571815201E-2</c:v>
                      </c:pt>
                      <c:pt idx="1">
                        <c:v>3.5863480897242485E-2</c:v>
                      </c:pt>
                      <c:pt idx="2">
                        <c:v>3.9730033943421873E-2</c:v>
                      </c:pt>
                      <c:pt idx="3">
                        <c:v>4.3719051772311196E-2</c:v>
                      </c:pt>
                      <c:pt idx="4">
                        <c:v>4.7830839760933039E-2</c:v>
                      </c:pt>
                      <c:pt idx="5">
                        <c:v>5.2065724803173591E-2</c:v>
                      </c:pt>
                      <c:pt idx="6">
                        <c:v>5.6424055415732977E-2</c:v>
                      </c:pt>
                      <c:pt idx="7">
                        <c:v>6.0906201853576758E-2</c:v>
                      </c:pt>
                      <c:pt idx="8">
                        <c:v>6.5512556234968183E-2</c:v>
                      </c:pt>
                      <c:pt idx="9">
                        <c:v>7.0243532676168036E-2</c:v>
                      </c:pt>
                      <c:pt idx="10">
                        <c:v>7.5099567435896991E-2</c:v>
                      </c:pt>
                      <c:pt idx="11">
                        <c:v>8.187701131416586E-2</c:v>
                      </c:pt>
                      <c:pt idx="12">
                        <c:v>8.9876945672302339E-2</c:v>
                      </c:pt>
                      <c:pt idx="13">
                        <c:v>9.8005539913078019E-2</c:v>
                      </c:pt>
                      <c:pt idx="14">
                        <c:v>0.10626357580770966</c:v>
                      </c:pt>
                      <c:pt idx="15">
                        <c:v>0.11465185895149579</c:v>
                      </c:pt>
                      <c:pt idx="16">
                        <c:v>0.12317121904557357</c:v>
                      </c:pt>
                      <c:pt idx="17">
                        <c:v>0.13182251018991303</c:v>
                      </c:pt>
                      <c:pt idx="18">
                        <c:v>0.14060661118776147</c:v>
                      </c:pt>
                      <c:pt idx="19">
                        <c:v>0.14952442586176073</c:v>
                      </c:pt>
                      <c:pt idx="20">
                        <c:v>0.15857688338197146</c:v>
                      </c:pt>
                      <c:pt idx="21">
                        <c:v>0.16776493860604672</c:v>
                      </c:pt>
                      <c:pt idx="22">
                        <c:v>0.17708957243181245</c:v>
                      </c:pt>
                      <c:pt idx="23">
                        <c:v>0.18655179216251841</c:v>
                      </c:pt>
                      <c:pt idx="24">
                        <c:v>0.19615263188503948</c:v>
                      </c:pt>
                      <c:pt idx="25">
                        <c:v>0.2058931528613164</c:v>
                      </c:pt>
                      <c:pt idx="26">
                        <c:v>0.21577444393333833</c:v>
                      </c:pt>
                      <c:pt idx="27">
                        <c:v>0.22579762194198238</c:v>
                      </c:pt>
                      <c:pt idx="28">
                        <c:v>0.23596383216003858</c:v>
                      </c:pt>
                      <c:pt idx="29">
                        <c:v>0.24627424873976173</c:v>
                      </c:pt>
                      <c:pt idx="30">
                        <c:v>0.25673007517530622</c:v>
                      </c:pt>
                      <c:pt idx="31">
                        <c:v>0.26733254478041429</c:v>
                      </c:pt>
                      <c:pt idx="32">
                        <c:v>0.27808292118174366</c:v>
                      </c:pt>
                      <c:pt idx="33">
                        <c:v>0.28898249882823435</c:v>
                      </c:pt>
                      <c:pt idx="34">
                        <c:v>0.30003260351693373</c:v>
                      </c:pt>
                      <c:pt idx="35">
                        <c:v>0.31123459293571176</c:v>
                      </c:pt>
                      <c:pt idx="36">
                        <c:v>0.32258985722331895</c:v>
                      </c:pt>
                      <c:pt idx="37">
                        <c:v>0.33409981954725509</c:v>
                      </c:pt>
                      <c:pt idx="38">
                        <c:v>0.3457659366999376</c:v>
                      </c:pt>
                      <c:pt idx="39">
                        <c:v>0.35758969971367538</c:v>
                      </c:pt>
                      <c:pt idx="40">
                        <c:v>0.36957263449497507</c:v>
                      </c:pt>
                      <c:pt idx="41">
                        <c:v>0.38171630247872812</c:v>
                      </c:pt>
                      <c:pt idx="42">
                        <c:v>0.39402230130284821</c:v>
                      </c:pt>
                      <c:pt idx="43">
                        <c:v>0.40649226550394868</c:v>
                      </c:pt>
                      <c:pt idx="44">
                        <c:v>0.41912786723467699</c:v>
                      </c:pt>
                      <c:pt idx="45">
                        <c:v>0.43193081700334474</c:v>
                      </c:pt>
                      <c:pt idx="46">
                        <c:v>0.44490286443651672</c:v>
                      </c:pt>
                      <c:pt idx="47">
                        <c:v>0.45804579906524978</c:v>
                      </c:pt>
                      <c:pt idx="48">
                        <c:v>0.47136145113570016</c:v>
                      </c:pt>
                      <c:pt idx="49">
                        <c:v>0.48485169244484244</c:v>
                      </c:pt>
                      <c:pt idx="50">
                        <c:v>0.49851843720207956</c:v>
                      </c:pt>
                      <c:pt idx="51">
                        <c:v>0.51236364291754555</c:v>
                      </c:pt>
                      <c:pt idx="52">
                        <c:v>0.52638931131794175</c:v>
                      </c:pt>
                      <c:pt idx="53">
                        <c:v>0.540597489290778</c:v>
                      </c:pt>
                      <c:pt idx="54">
                        <c:v>0.55499026985792177</c:v>
                      </c:pt>
                      <c:pt idx="55">
                        <c:v>0.56956979317940171</c:v>
                      </c:pt>
                      <c:pt idx="56">
                        <c:v>0.58433824758844199</c:v>
                      </c:pt>
                      <c:pt idx="57">
                        <c:v>0.59929787065874707</c:v>
                      </c:pt>
                      <c:pt idx="58">
                        <c:v>0.61445095030510011</c:v>
                      </c:pt>
                      <c:pt idx="59">
                        <c:v>0.62979982591837347</c:v>
                      </c:pt>
                      <c:pt idx="60">
                        <c:v>0.64534688953610186</c:v>
                      </c:pt>
                      <c:pt idx="61">
                        <c:v>0.66109458704981328</c:v>
                      </c:pt>
                      <c:pt idx="62">
                        <c:v>0.67704541945035701</c:v>
                      </c:pt>
                      <c:pt idx="63">
                        <c:v>0.69320194411252578</c:v>
                      </c:pt>
                      <c:pt idx="64">
                        <c:v>0.70956677612032049</c:v>
                      </c:pt>
                      <c:pt idx="65">
                        <c:v>0.72614258963425315</c:v>
                      </c:pt>
                      <c:pt idx="66">
                        <c:v>0.74293211930215808</c:v>
                      </c:pt>
                      <c:pt idx="67">
                        <c:v>0.7599381617150256</c:v>
                      </c:pt>
                      <c:pt idx="68">
                        <c:v>0.77716357690944671</c:v>
                      </c:pt>
                      <c:pt idx="69">
                        <c:v>0.79461128991831809</c:v>
                      </c:pt>
                      <c:pt idx="70">
                        <c:v>0.81228429237153121</c:v>
                      </c:pt>
                      <c:pt idx="71">
                        <c:v>0.83018564414843499</c:v>
                      </c:pt>
                      <c:pt idx="72">
                        <c:v>0.84831847508394675</c:v>
                      </c:pt>
                      <c:pt idx="73">
                        <c:v>0.86668598673025643</c:v>
                      </c:pt>
                      <c:pt idx="74">
                        <c:v>0.88529145417616006</c:v>
                      </c:pt>
                      <c:pt idx="75">
                        <c:v>0.90413822792614384</c:v>
                      </c:pt>
                      <c:pt idx="76">
                        <c:v>0.9232297358414272</c:v>
                      </c:pt>
                      <c:pt idx="77">
                        <c:v>0.94256948514528183</c:v>
                      </c:pt>
                      <c:pt idx="78">
                        <c:v>0.96216106449502303</c:v>
                      </c:pt>
                      <c:pt idx="79">
                        <c:v>0.98200814612320586</c:v>
                      </c:pt>
                      <c:pt idx="80">
                        <c:v>1.0021144880506363</c:v>
                      </c:pt>
                      <c:pt idx="81">
                        <c:v>1.0224839363739522</c:v>
                      </c:pt>
                      <c:pt idx="82">
                        <c:v>1.0431204276306318</c:v>
                      </c:pt>
                      <c:pt idx="83">
                        <c:v>1.064027991244429</c:v>
                      </c:pt>
                      <c:pt idx="84">
                        <c:v>1.0852107520543592</c:v>
                      </c:pt>
                      <c:pt idx="85">
                        <c:v>1.1066729329305103</c:v>
                      </c:pt>
                      <c:pt idx="86">
                        <c:v>1.1284188574800955</c:v>
                      </c:pt>
                      <c:pt idx="87">
                        <c:v>1.1504529528473215</c:v>
                      </c:pt>
                      <c:pt idx="88">
                        <c:v>1.1727797526108215</c:v>
                      </c:pt>
                      <c:pt idx="89">
                        <c:v>1.1954038997825518</c:v>
                      </c:pt>
                      <c:pt idx="90">
                        <c:v>1.218330149912265</c:v>
                      </c:pt>
                      <c:pt idx="91">
                        <c:v>1.2415633743018315</c:v>
                      </c:pt>
                      <c:pt idx="92">
                        <c:v>1.2651085633339079</c:v>
                      </c:pt>
                      <c:pt idx="93">
                        <c:v>1.2889708299196529</c:v>
                      </c:pt>
                      <c:pt idx="94">
                        <c:v>1.3131554130704117</c:v>
                      </c:pt>
                      <c:pt idx="95">
                        <c:v>1.337667681598538</c:v>
                      </c:pt>
                      <c:pt idx="96">
                        <c:v>1.3625131379527535</c:v>
                      </c:pt>
                      <c:pt idx="97">
                        <c:v>1.3876974221937302</c:v>
                      </c:pt>
                      <c:pt idx="98">
                        <c:v>1.4132263161158303</c:v>
                      </c:pt>
                      <c:pt idx="99">
                        <c:v>1.4391057475212585</c:v>
                      </c:pt>
                      <c:pt idx="100">
                        <c:v>1.4653417946531597</c:v>
                      </c:pt>
                    </c:numCache>
                  </c:numRef>
                </c:val>
                <c:smooth val="0"/>
                <c:extLst xmlns:c15="http://schemas.microsoft.com/office/drawing/2012/chart">
                  <c:ext xmlns:c16="http://schemas.microsoft.com/office/drawing/2014/chart" uri="{C3380CC4-5D6E-409C-BE32-E72D297353CC}">
                    <c16:uniqueId val="{0000000B-8897-4E0E-B39C-97315E8CCE9C}"/>
                  </c:ext>
                </c:extLst>
              </c15:ser>
            </c15:filteredLineSeries>
          </c:ext>
        </c:extLst>
      </c:lineChart>
      <c:catAx>
        <c:axId val="19635712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359296"/>
        <c:crosses val="autoZero"/>
        <c:auto val="1"/>
        <c:lblAlgn val="ctr"/>
        <c:lblOffset val="100"/>
        <c:tickLblSkip val="20"/>
        <c:tickMarkSkip val="20"/>
        <c:noMultiLvlLbl val="1"/>
      </c:catAx>
      <c:valAx>
        <c:axId val="196359296"/>
        <c:scaling>
          <c:orientation val="minMax"/>
          <c:max val="100"/>
          <c:min val="7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357120"/>
        <c:crosses val="autoZero"/>
        <c:crossBetween val="between"/>
        <c:majorUnit val="5"/>
        <c:minorUnit val="2.5"/>
      </c:valAx>
      <c:valAx>
        <c:axId val="19636121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371584"/>
        <c:crosses val="max"/>
        <c:crossBetween val="between"/>
      </c:valAx>
      <c:catAx>
        <c:axId val="196371584"/>
        <c:scaling>
          <c:orientation val="minMax"/>
        </c:scaling>
        <c:delete val="1"/>
        <c:axPos val="b"/>
        <c:numFmt formatCode="General" sourceLinked="1"/>
        <c:majorTickMark val="out"/>
        <c:minorTickMark val="none"/>
        <c:tickLblPos val="nextTo"/>
        <c:crossAx val="196361216"/>
        <c:crosses val="autoZero"/>
        <c:auto val="1"/>
        <c:lblAlgn val="ctr"/>
        <c:lblOffset val="100"/>
        <c:noMultiLvlLbl val="0"/>
      </c:catAx>
      <c:spPr>
        <a:noFill/>
        <a:ln w="25400">
          <a:noFill/>
        </a:ln>
      </c:spPr>
    </c:plotArea>
    <c:legend>
      <c:legendPos val="t"/>
      <c:layout>
        <c:manualLayout>
          <c:xMode val="edge"/>
          <c:yMode val="edge"/>
          <c:x val="0.45342761228703388"/>
          <c:y val="4.498910833927644E-3"/>
          <c:w val="0.53563061358244635"/>
          <c:h val="0.18115107145802709"/>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V</a:t>
            </a:r>
            <a:r>
              <a:rPr lang="en-US" sz="1800" b="1" i="0" u="none" strike="noStrike" baseline="-25000"/>
              <a:t>IN</a:t>
            </a:r>
            <a:r>
              <a:rPr lang="en-US" sz="1800" b="1" i="0" u="none" strike="noStrike" baseline="0"/>
              <a:t> = V</a:t>
            </a:r>
            <a:r>
              <a:rPr lang="en-US" sz="1800" b="1" i="0" u="none" strike="noStrike" baseline="-25000"/>
              <a:t>IN(nom)</a:t>
            </a:r>
            <a:endParaRPr lang="en-US" sz="1800">
              <a:latin typeface="Arial" pitchFamily="34" charset="0"/>
              <a:cs typeface="Arial" pitchFamily="34" charset="0"/>
            </a:endParaRPr>
          </a:p>
        </c:rich>
      </c:tx>
      <c:layout>
        <c:manualLayout>
          <c:xMode val="edge"/>
          <c:yMode val="edge"/>
          <c:x val="8.1772222786336932E-2"/>
          <c:y val="4.614939768388470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Calculations'!$BO$9:$BO$109</c:f>
              <c:numCache>
                <c:formatCode>0.00</c:formatCode>
                <c:ptCount val="101"/>
                <c:pt idx="0">
                  <c:v>0</c:v>
                </c:pt>
                <c:pt idx="1">
                  <c:v>42.981308682967686</c:v>
                </c:pt>
                <c:pt idx="2">
                  <c:v>59.81594128981358</c:v>
                </c:pt>
                <c:pt idx="3">
                  <c:v>68.791394396117369</c:v>
                </c:pt>
                <c:pt idx="4">
                  <c:v>74.365269277402803</c:v>
                </c:pt>
                <c:pt idx="5">
                  <c:v>78.160112828883172</c:v>
                </c:pt>
                <c:pt idx="6">
                  <c:v>80.908095170861685</c:v>
                </c:pt>
                <c:pt idx="7">
                  <c:v>82.988075774419855</c:v>
                </c:pt>
                <c:pt idx="8">
                  <c:v>84.615774919496573</c:v>
                </c:pt>
                <c:pt idx="9">
                  <c:v>85.92305009224556</c:v>
                </c:pt>
                <c:pt idx="10">
                  <c:v>86.995038695697374</c:v>
                </c:pt>
                <c:pt idx="11">
                  <c:v>87.874772487805274</c:v>
                </c:pt>
                <c:pt idx="12">
                  <c:v>88.610541703267756</c:v>
                </c:pt>
                <c:pt idx="13">
                  <c:v>89.240105768403183</c:v>
                </c:pt>
                <c:pt idx="14">
                  <c:v>89.784343428524792</c:v>
                </c:pt>
                <c:pt idx="15">
                  <c:v>90.258994183940843</c:v>
                </c:pt>
                <c:pt idx="16">
                  <c:v>90.676147789014124</c:v>
                </c:pt>
                <c:pt idx="17">
                  <c:v>91.045244094338329</c:v>
                </c:pt>
                <c:pt idx="18">
                  <c:v>91.373761274747977</c:v>
                </c:pt>
                <c:pt idx="19">
                  <c:v>91.667700153396595</c:v>
                </c:pt>
                <c:pt idx="20">
                  <c:v>91.931931785357861</c:v>
                </c:pt>
                <c:pt idx="21">
                  <c:v>92.170451317228625</c:v>
                </c:pt>
                <c:pt idx="22">
                  <c:v>92.386566338829155</c:v>
                </c:pt>
                <c:pt idx="23">
                  <c:v>92.583038635288304</c:v>
                </c:pt>
                <c:pt idx="24">
                  <c:v>92.762192257423948</c:v>
                </c:pt>
                <c:pt idx="25">
                  <c:v>92.9259968916746</c:v>
                </c:pt>
                <c:pt idx="26">
                  <c:v>93.076132874288632</c:v>
                </c:pt>
                <c:pt idx="27">
                  <c:v>93.214042397845049</c:v>
                </c:pt>
                <c:pt idx="28">
                  <c:v>93.340970214328181</c:v>
                </c:pt>
                <c:pt idx="29">
                  <c:v>93.457996265178849</c:v>
                </c:pt>
                <c:pt idx="30">
                  <c:v>93.566062046587788</c:v>
                </c:pt>
                <c:pt idx="31">
                  <c:v>93.665992069755774</c:v>
                </c:pt>
                <c:pt idx="32">
                  <c:v>93.758511448709172</c:v>
                </c:pt>
                <c:pt idx="33">
                  <c:v>93.84426040708108</c:v>
                </c:pt>
                <c:pt idx="34">
                  <c:v>93.923806315665644</c:v>
                </c:pt>
                <c:pt idx="35">
                  <c:v>93.997653737539082</c:v>
                </c:pt>
                <c:pt idx="36">
                  <c:v>94.066252855146629</c:v>
                </c:pt>
                <c:pt idx="37">
                  <c:v>94.130006575451631</c:v>
                </c:pt>
                <c:pt idx="38">
                  <c:v>94.189276548895137</c:v>
                </c:pt>
                <c:pt idx="39">
                  <c:v>94.244388291058428</c:v>
                </c:pt>
                <c:pt idx="40">
                  <c:v>94.295635559289138</c:v>
                </c:pt>
                <c:pt idx="41">
                  <c:v>94.343284107722113</c:v>
                </c:pt>
                <c:pt idx="42">
                  <c:v>94.387574921295098</c:v>
                </c:pt>
                <c:pt idx="43">
                  <c:v>94.428727011173194</c:v>
                </c:pt>
                <c:pt idx="44">
                  <c:v>94.466939839425308</c:v>
                </c:pt>
                <c:pt idx="45">
                  <c:v>94.502395429061337</c:v>
                </c:pt>
                <c:pt idx="46">
                  <c:v>94.535260206039169</c:v>
                </c:pt>
                <c:pt idx="47">
                  <c:v>94.565686612122789</c:v>
                </c:pt>
                <c:pt idx="48">
                  <c:v>94.593814521156929</c:v>
                </c:pt>
                <c:pt idx="49">
                  <c:v>94.619772486139624</c:v>
                </c:pt>
                <c:pt idx="50">
                  <c:v>94.643678840199541</c:v>
                </c:pt>
                <c:pt idx="51">
                  <c:v>94.665642671047067</c:v>
                </c:pt>
                <c:pt idx="52">
                  <c:v>94.685764685528412</c:v>
                </c:pt>
                <c:pt idx="53">
                  <c:v>94.704137978459585</c:v>
                </c:pt>
                <c:pt idx="54">
                  <c:v>94.720848717864087</c:v>
                </c:pt>
                <c:pt idx="55">
                  <c:v>94.735976757014257</c:v>
                </c:pt>
                <c:pt idx="56">
                  <c:v>94.749596182222319</c:v>
                </c:pt>
                <c:pt idx="57">
                  <c:v>94.761775804098889</c:v>
                </c:pt>
                <c:pt idx="58">
                  <c:v>94.77257959895438</c:v>
                </c:pt>
                <c:pt idx="59">
                  <c:v>94.782067106132274</c:v>
                </c:pt>
                <c:pt idx="60">
                  <c:v>94.790293786306862</c:v>
                </c:pt>
                <c:pt idx="61">
                  <c:v>94.797311345131547</c:v>
                </c:pt>
                <c:pt idx="62">
                  <c:v>94.803168026068519</c:v>
                </c:pt>
                <c:pt idx="63">
                  <c:v>94.807908875753654</c:v>
                </c:pt>
                <c:pt idx="64">
                  <c:v>94.811575984839408</c:v>
                </c:pt>
                <c:pt idx="65">
                  <c:v>94.814208706902278</c:v>
                </c:pt>
                <c:pt idx="66">
                  <c:v>94.815843857694645</c:v>
                </c:pt>
                <c:pt idx="67">
                  <c:v>94.81651589675208</c:v>
                </c:pt>
                <c:pt idx="68">
                  <c:v>94.816257093136088</c:v>
                </c:pt>
                <c:pt idx="69">
                  <c:v>94.815097676888286</c:v>
                </c:pt>
                <c:pt idx="70">
                  <c:v>94.813065977595656</c:v>
                </c:pt>
                <c:pt idx="71">
                  <c:v>94.810188551310787</c:v>
                </c:pt>
                <c:pt idx="72">
                  <c:v>94.806490296935507</c:v>
                </c:pt>
                <c:pt idx="73">
                  <c:v>94.801994563056269</c:v>
                </c:pt>
                <c:pt idx="74">
                  <c:v>94.796723246114539</c:v>
                </c:pt>
                <c:pt idx="75">
                  <c:v>94.790696880702811</c:v>
                </c:pt>
                <c:pt idx="76">
                  <c:v>94.783934722694312</c:v>
                </c:pt>
                <c:pt idx="77">
                  <c:v>94.776454825842222</c:v>
                </c:pt>
                <c:pt idx="78">
                  <c:v>94.768274112419675</c:v>
                </c:pt>
                <c:pt idx="79">
                  <c:v>94.759408438414908</c:v>
                </c:pt>
                <c:pt idx="80">
                  <c:v>94.749872653744319</c:v>
                </c:pt>
                <c:pt idx="81">
                  <c:v>94.739680657901957</c:v>
                </c:pt>
                <c:pt idx="82">
                  <c:v>94.728845451422643</c:v>
                </c:pt>
                <c:pt idx="83">
                  <c:v>94.717379183500299</c:v>
                </c:pt>
                <c:pt idx="84">
                  <c:v>94.705293196070457</c:v>
                </c:pt>
                <c:pt idx="85">
                  <c:v>94.692598064637536</c:v>
                </c:pt>
                <c:pt idx="86">
                  <c:v>94.679303636100386</c:v>
                </c:pt>
                <c:pt idx="87">
                  <c:v>94.665419063807619</c:v>
                </c:pt>
                <c:pt idx="88">
                  <c:v>94.650952840052184</c:v>
                </c:pt>
                <c:pt idx="89">
                  <c:v>94.635912826196204</c:v>
                </c:pt>
                <c:pt idx="90">
                  <c:v>94.620306280599806</c:v>
                </c:pt>
                <c:pt idx="91">
                  <c:v>94.604139884512634</c:v>
                </c:pt>
                <c:pt idx="92">
                  <c:v>94.587419766072045</c:v>
                </c:pt>
                <c:pt idx="93">
                  <c:v>94.570151522540385</c:v>
                </c:pt>
                <c:pt idx="94">
                  <c:v>94.552340240901003</c:v>
                </c:pt>
                <c:pt idx="95">
                  <c:v>94.53399051692351</c:v>
                </c:pt>
                <c:pt idx="96">
                  <c:v>94.515106472798479</c:v>
                </c:pt>
                <c:pt idx="97">
                  <c:v>94.495691773433379</c:v>
                </c:pt>
                <c:pt idx="98">
                  <c:v>94.475749641493834</c:v>
                </c:pt>
                <c:pt idx="99">
                  <c:v>94.455282871266917</c:v>
                </c:pt>
                <c:pt idx="100">
                  <c:v>94.434293841416704</c:v>
                </c:pt>
              </c:numCache>
            </c:numRef>
          </c:val>
          <c:smooth val="0"/>
          <c:extLst>
            <c:ext xmlns:c16="http://schemas.microsoft.com/office/drawing/2014/chart" uri="{C3380CC4-5D6E-409C-BE32-E72D297353CC}">
              <c16:uniqueId val="{00000000-0C66-4A53-91BE-779AAB69F7ED}"/>
            </c:ext>
          </c:extLst>
        </c:ser>
        <c:dLbls>
          <c:showLegendKey val="0"/>
          <c:showVal val="0"/>
          <c:showCatName val="0"/>
          <c:showSerName val="0"/>
          <c:showPercent val="0"/>
          <c:showBubbleSize val="0"/>
        </c:dLbls>
        <c:marker val="1"/>
        <c:smooth val="0"/>
        <c:axId val="196357120"/>
        <c:axId val="196359296"/>
      </c:lineChart>
      <c:lineChart>
        <c:grouping val="standard"/>
        <c:varyColors val="0"/>
        <c:dLbls>
          <c:showLegendKey val="0"/>
          <c:showVal val="0"/>
          <c:showCatName val="0"/>
          <c:showSerName val="0"/>
          <c:showPercent val="0"/>
          <c:showBubbleSize val="0"/>
        </c:dLbls>
        <c:marker val="1"/>
        <c:smooth val="0"/>
        <c:axId val="196371584"/>
        <c:axId val="196361216"/>
        <c:extLst>
          <c:ext xmlns:c15="http://schemas.microsoft.com/office/drawing/2012/chart" uri="{02D57815-91ED-43cb-92C2-25804820EDAC}">
            <c15:filteredLineSeries>
              <c15:ser>
                <c:idx val="12"/>
                <c:order val="1"/>
                <c:tx>
                  <c:strRef>
                    <c:extLst>
                      <c:ext uri="{02D57815-91ED-43cb-92C2-25804820EDAC}">
                        <c15:formulaRef>
                          <c15:sqref>'Efficiency vs Load Calculations'!$Y$8</c15:sqref>
                        </c15:formulaRef>
                      </c:ext>
                    </c:extLst>
                    <c:strCache>
                      <c:ptCount val="1"/>
                      <c:pt idx="0">
                        <c:v>Core Loss</c:v>
                      </c:pt>
                    </c:strCache>
                  </c:strRef>
                </c:tx>
                <c:marker>
                  <c:symbol val="none"/>
                </c:marker>
                <c:cat>
                  <c:numRef>
                    <c:extLst>
                      <c:ex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c:ext uri="{02D57815-91ED-43cb-92C2-25804820EDAC}">
                        <c15:formulaRef>
                          <c15:sqref>'Efficiency vs Load Calculations'!$Y$9:$Y$109</c15:sqref>
                        </c15:formulaRef>
                      </c:ext>
                    </c:extLst>
                    <c:numCache>
                      <c:formatCode>0.000</c:formatCode>
                      <c:ptCount val="101"/>
                      <c:pt idx="0">
                        <c:v>0.26266496655914845</c:v>
                      </c:pt>
                      <c:pt idx="1">
                        <c:v>0.26271806713485624</c:v>
                      </c:pt>
                      <c:pt idx="2">
                        <c:v>0.26277117219241891</c:v>
                      </c:pt>
                      <c:pt idx="3">
                        <c:v>0.26282428173152478</c:v>
                      </c:pt>
                      <c:pt idx="4">
                        <c:v>0.26287739575186025</c:v>
                      </c:pt>
                      <c:pt idx="5">
                        <c:v>0.26293051425311209</c:v>
                      </c:pt>
                      <c:pt idx="6">
                        <c:v>0.26298363723496754</c:v>
                      </c:pt>
                      <c:pt idx="7">
                        <c:v>0.26303676469711323</c:v>
                      </c:pt>
                      <c:pt idx="8">
                        <c:v>0.26308989663923638</c:v>
                      </c:pt>
                      <c:pt idx="9">
                        <c:v>0.26314303306102482</c:v>
                      </c:pt>
                      <c:pt idx="10">
                        <c:v>0.26319617396216377</c:v>
                      </c:pt>
                      <c:pt idx="11">
                        <c:v>0.26324931934234191</c:v>
                      </c:pt>
                      <c:pt idx="12">
                        <c:v>0.26330246920124573</c:v>
                      </c:pt>
                      <c:pt idx="13">
                        <c:v>0.26335562353856201</c:v>
                      </c:pt>
                      <c:pt idx="14">
                        <c:v>0.26340878235397747</c:v>
                      </c:pt>
                      <c:pt idx="15">
                        <c:v>0.26346194564718023</c:v>
                      </c:pt>
                      <c:pt idx="16">
                        <c:v>0.26351511341785694</c:v>
                      </c:pt>
                      <c:pt idx="17">
                        <c:v>0.26356828566569362</c:v>
                      </c:pt>
                      <c:pt idx="18">
                        <c:v>0.26362146239037826</c:v>
                      </c:pt>
                      <c:pt idx="19">
                        <c:v>0.26367464359159826</c:v>
                      </c:pt>
                      <c:pt idx="20">
                        <c:v>0.26372782926903998</c:v>
                      </c:pt>
                      <c:pt idx="21">
                        <c:v>0.26378101942239063</c:v>
                      </c:pt>
                      <c:pt idx="22">
                        <c:v>0.263834214051338</c:v>
                      </c:pt>
                      <c:pt idx="23">
                        <c:v>0.26388741315556824</c:v>
                      </c:pt>
                      <c:pt idx="24">
                        <c:v>0.26394061673476887</c:v>
                      </c:pt>
                      <c:pt idx="25">
                        <c:v>0.26399382478862704</c:v>
                      </c:pt>
                      <c:pt idx="26">
                        <c:v>0.2640470373168296</c:v>
                      </c:pt>
                      <c:pt idx="27">
                        <c:v>0.26410025431906348</c:v>
                      </c:pt>
                      <c:pt idx="28">
                        <c:v>0.26415347579501697</c:v>
                      </c:pt>
                      <c:pt idx="29">
                        <c:v>0.26420670174437588</c:v>
                      </c:pt>
                      <c:pt idx="30">
                        <c:v>0.26425993216682747</c:v>
                      </c:pt>
                      <c:pt idx="31">
                        <c:v>0.26431316706205971</c:v>
                      </c:pt>
                      <c:pt idx="32">
                        <c:v>0.26436640642975928</c:v>
                      </c:pt>
                      <c:pt idx="33">
                        <c:v>0.26441965026961317</c:v>
                      </c:pt>
                      <c:pt idx="34">
                        <c:v>0.26447289858130879</c:v>
                      </c:pt>
                      <c:pt idx="35">
                        <c:v>0.264526151364533</c:v>
                      </c:pt>
                      <c:pt idx="36">
                        <c:v>0.26457940861897311</c:v>
                      </c:pt>
                      <c:pt idx="37">
                        <c:v>0.26463267034431681</c:v>
                      </c:pt>
                      <c:pt idx="38">
                        <c:v>0.26468593654025035</c:v>
                      </c:pt>
                      <c:pt idx="39">
                        <c:v>0.26473920720646132</c:v>
                      </c:pt>
                      <c:pt idx="40">
                        <c:v>0.26479248234263719</c:v>
                      </c:pt>
                      <c:pt idx="41">
                        <c:v>0.26484576194846493</c:v>
                      </c:pt>
                      <c:pt idx="42">
                        <c:v>0.26489904602363146</c:v>
                      </c:pt>
                      <c:pt idx="43">
                        <c:v>0.26495233456782513</c:v>
                      </c:pt>
                      <c:pt idx="44">
                        <c:v>0.26500562758073115</c:v>
                      </c:pt>
                      <c:pt idx="45">
                        <c:v>0.26505892506203826</c:v>
                      </c:pt>
                      <c:pt idx="46">
                        <c:v>0.26511222701143355</c:v>
                      </c:pt>
                      <c:pt idx="47">
                        <c:v>0.26516553342860366</c:v>
                      </c:pt>
                      <c:pt idx="48">
                        <c:v>0.26521884431323689</c:v>
                      </c:pt>
                      <c:pt idx="49">
                        <c:v>0.26527215966501932</c:v>
                      </c:pt>
                      <c:pt idx="50">
                        <c:v>0.26532547948363877</c:v>
                      </c:pt>
                      <c:pt idx="51">
                        <c:v>0.26537880376878248</c:v>
                      </c:pt>
                      <c:pt idx="52">
                        <c:v>0.2654321325201372</c:v>
                      </c:pt>
                      <c:pt idx="53">
                        <c:v>0.26548546573739096</c:v>
                      </c:pt>
                      <c:pt idx="54">
                        <c:v>0.26553880342023051</c:v>
                      </c:pt>
                      <c:pt idx="55">
                        <c:v>0.26559214556834321</c:v>
                      </c:pt>
                      <c:pt idx="56">
                        <c:v>0.26564549218141703</c:v>
                      </c:pt>
                      <c:pt idx="57">
                        <c:v>0.2656988432591379</c:v>
                      </c:pt>
                      <c:pt idx="58">
                        <c:v>0.26575219880119494</c:v>
                      </c:pt>
                      <c:pt idx="59">
                        <c:v>0.26580555880727408</c:v>
                      </c:pt>
                      <c:pt idx="60">
                        <c:v>0.26585892327706234</c:v>
                      </c:pt>
                      <c:pt idx="61">
                        <c:v>0.26591229221024826</c:v>
                      </c:pt>
                      <c:pt idx="62">
                        <c:v>0.26596566560651846</c:v>
                      </c:pt>
                      <c:pt idx="63">
                        <c:v>0.26601904346556032</c:v>
                      </c:pt>
                      <c:pt idx="64">
                        <c:v>0.26607242578706125</c:v>
                      </c:pt>
                      <c:pt idx="65">
                        <c:v>0.26612581257070844</c:v>
                      </c:pt>
                      <c:pt idx="66">
                        <c:v>0.26617920381619015</c:v>
                      </c:pt>
                      <c:pt idx="67">
                        <c:v>0.26623259952319167</c:v>
                      </c:pt>
                      <c:pt idx="68">
                        <c:v>0.26628599969140282</c:v>
                      </c:pt>
                      <c:pt idx="69">
                        <c:v>0.26633940432050979</c:v>
                      </c:pt>
                      <c:pt idx="70">
                        <c:v>0.26639281341019949</c:v>
                      </c:pt>
                      <c:pt idx="71">
                        <c:v>0.26644622696015974</c:v>
                      </c:pt>
                      <c:pt idx="72">
                        <c:v>0.26649964497007828</c:v>
                      </c:pt>
                      <c:pt idx="73">
                        <c:v>0.26655306743964241</c:v>
                      </c:pt>
                      <c:pt idx="74">
                        <c:v>0.26660649436853873</c:v>
                      </c:pt>
                      <c:pt idx="75">
                        <c:v>0.26665992575645531</c:v>
                      </c:pt>
                      <c:pt idx="76">
                        <c:v>0.26671336160307968</c:v>
                      </c:pt>
                      <c:pt idx="77">
                        <c:v>0.2667668019080992</c:v>
                      </c:pt>
                      <c:pt idx="78">
                        <c:v>0.26682024667120074</c:v>
                      </c:pt>
                      <c:pt idx="79">
                        <c:v>0.2668736958920721</c:v>
                      </c:pt>
                      <c:pt idx="80">
                        <c:v>0.26692714957040098</c:v>
                      </c:pt>
                      <c:pt idx="81">
                        <c:v>0.26698060770587445</c:v>
                      </c:pt>
                      <c:pt idx="82">
                        <c:v>0.26703407029818055</c:v>
                      </c:pt>
                      <c:pt idx="83">
                        <c:v>0.2670875373470063</c:v>
                      </c:pt>
                      <c:pt idx="84">
                        <c:v>0.26714100885203812</c:v>
                      </c:pt>
                      <c:pt idx="85">
                        <c:v>0.26719448481296532</c:v>
                      </c:pt>
                      <c:pt idx="86">
                        <c:v>0.26724796522947458</c:v>
                      </c:pt>
                      <c:pt idx="87">
                        <c:v>0.26730145010125272</c:v>
                      </c:pt>
                      <c:pt idx="88">
                        <c:v>0.26735493942798866</c:v>
                      </c:pt>
                      <c:pt idx="89">
                        <c:v>0.26740843320936852</c:v>
                      </c:pt>
                      <c:pt idx="90">
                        <c:v>0.26746193144508079</c:v>
                      </c:pt>
                      <c:pt idx="91">
                        <c:v>0.26751543413481271</c:v>
                      </c:pt>
                      <c:pt idx="92">
                        <c:v>0.2675689412782512</c:v>
                      </c:pt>
                      <c:pt idx="93">
                        <c:v>0.26762245287508402</c:v>
                      </c:pt>
                      <c:pt idx="94">
                        <c:v>0.26767596892499912</c:v>
                      </c:pt>
                      <c:pt idx="95">
                        <c:v>0.26772948942768326</c:v>
                      </c:pt>
                      <c:pt idx="96">
                        <c:v>0.26778301438282481</c:v>
                      </c:pt>
                      <c:pt idx="97">
                        <c:v>0.26783654379011168</c:v>
                      </c:pt>
                      <c:pt idx="98">
                        <c:v>0.26789007764922979</c:v>
                      </c:pt>
                      <c:pt idx="99">
                        <c:v>0.26794361595986782</c:v>
                      </c:pt>
                      <c:pt idx="100">
                        <c:v>0.26799715872171348</c:v>
                      </c:pt>
                    </c:numCache>
                  </c:numRef>
                </c:val>
                <c:smooth val="0"/>
                <c:extLst>
                  <c:ext xmlns:c16="http://schemas.microsoft.com/office/drawing/2014/chart" uri="{C3380CC4-5D6E-409C-BE32-E72D297353CC}">
                    <c16:uniqueId val="{00000001-0C66-4A53-91BE-779AAB69F7ED}"/>
                  </c:ext>
                </c:extLst>
              </c15:ser>
            </c15:filteredLineSeries>
            <c15:filteredLineSeries>
              <c15:ser>
                <c:idx val="13"/>
                <c:order val="2"/>
                <c:tx>
                  <c:strRef>
                    <c:extLst xmlns:c15="http://schemas.microsoft.com/office/drawing/2012/chart">
                      <c:ext xmlns:c15="http://schemas.microsoft.com/office/drawing/2012/chart" uri="{02D57815-91ED-43cb-92C2-25804820EDAC}">
                        <c15:formulaRef>
                          <c15:sqref>'Efficiency vs Load Calculations'!$BE$7</c15:sqref>
                        </c15:formulaRef>
                      </c:ext>
                    </c:extLst>
                    <c:strCache>
                      <c:ptCount val="1"/>
                      <c:pt idx="0">
                        <c:v>Controller IC Losses</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Calculations'!$BG$9:$BG$109</c15:sqref>
                        </c15:formulaRef>
                      </c:ext>
                    </c:extLst>
                    <c:numCache>
                      <c:formatCode>0.000</c:formatCode>
                      <c:ptCount val="101"/>
                      <c:pt idx="0">
                        <c:v>0.45605042016806729</c:v>
                      </c:pt>
                      <c:pt idx="1">
                        <c:v>0.45605042016806729</c:v>
                      </c:pt>
                      <c:pt idx="2">
                        <c:v>0.45605042016806729</c:v>
                      </c:pt>
                      <c:pt idx="3">
                        <c:v>0.45605042016806729</c:v>
                      </c:pt>
                      <c:pt idx="4">
                        <c:v>0.45605042016806729</c:v>
                      </c:pt>
                      <c:pt idx="5">
                        <c:v>0.45605042016806729</c:v>
                      </c:pt>
                      <c:pt idx="6">
                        <c:v>0.45605042016806729</c:v>
                      </c:pt>
                      <c:pt idx="7">
                        <c:v>0.45605042016806729</c:v>
                      </c:pt>
                      <c:pt idx="8">
                        <c:v>0.45605042016806729</c:v>
                      </c:pt>
                      <c:pt idx="9">
                        <c:v>0.45605042016806729</c:v>
                      </c:pt>
                      <c:pt idx="10">
                        <c:v>0.45605042016806729</c:v>
                      </c:pt>
                      <c:pt idx="11">
                        <c:v>0.45605042016806729</c:v>
                      </c:pt>
                      <c:pt idx="12">
                        <c:v>0.45605042016806729</c:v>
                      </c:pt>
                      <c:pt idx="13">
                        <c:v>0.45605042016806729</c:v>
                      </c:pt>
                      <c:pt idx="14">
                        <c:v>0.45605042016806729</c:v>
                      </c:pt>
                      <c:pt idx="15">
                        <c:v>0.45605042016806729</c:v>
                      </c:pt>
                      <c:pt idx="16">
                        <c:v>0.45605042016806729</c:v>
                      </c:pt>
                      <c:pt idx="17">
                        <c:v>0.45605042016806729</c:v>
                      </c:pt>
                      <c:pt idx="18">
                        <c:v>0.45605042016806729</c:v>
                      </c:pt>
                      <c:pt idx="19">
                        <c:v>0.45605042016806729</c:v>
                      </c:pt>
                      <c:pt idx="20">
                        <c:v>0.45605042016806729</c:v>
                      </c:pt>
                      <c:pt idx="21">
                        <c:v>0.45605042016806729</c:v>
                      </c:pt>
                      <c:pt idx="22">
                        <c:v>0.45605042016806729</c:v>
                      </c:pt>
                      <c:pt idx="23">
                        <c:v>0.45605042016806729</c:v>
                      </c:pt>
                      <c:pt idx="24">
                        <c:v>0.45605042016806729</c:v>
                      </c:pt>
                      <c:pt idx="25">
                        <c:v>0.45605042016806729</c:v>
                      </c:pt>
                      <c:pt idx="26">
                        <c:v>0.45605042016806729</c:v>
                      </c:pt>
                      <c:pt idx="27">
                        <c:v>0.45605042016806729</c:v>
                      </c:pt>
                      <c:pt idx="28">
                        <c:v>0.45605042016806729</c:v>
                      </c:pt>
                      <c:pt idx="29">
                        <c:v>0.45605042016806729</c:v>
                      </c:pt>
                      <c:pt idx="30">
                        <c:v>0.45605042016806729</c:v>
                      </c:pt>
                      <c:pt idx="31">
                        <c:v>0.45605042016806729</c:v>
                      </c:pt>
                      <c:pt idx="32">
                        <c:v>0.45605042016806729</c:v>
                      </c:pt>
                      <c:pt idx="33">
                        <c:v>0.45605042016806729</c:v>
                      </c:pt>
                      <c:pt idx="34">
                        <c:v>0.45605042016806729</c:v>
                      </c:pt>
                      <c:pt idx="35">
                        <c:v>0.45605042016806729</c:v>
                      </c:pt>
                      <c:pt idx="36">
                        <c:v>0.45605042016806729</c:v>
                      </c:pt>
                      <c:pt idx="37">
                        <c:v>0.45605042016806729</c:v>
                      </c:pt>
                      <c:pt idx="38">
                        <c:v>0.45605042016806729</c:v>
                      </c:pt>
                      <c:pt idx="39">
                        <c:v>0.45605042016806729</c:v>
                      </c:pt>
                      <c:pt idx="40">
                        <c:v>0.45605042016806729</c:v>
                      </c:pt>
                      <c:pt idx="41">
                        <c:v>0.45605042016806729</c:v>
                      </c:pt>
                      <c:pt idx="42">
                        <c:v>0.45605042016806729</c:v>
                      </c:pt>
                      <c:pt idx="43">
                        <c:v>0.45605042016806729</c:v>
                      </c:pt>
                      <c:pt idx="44">
                        <c:v>0.45605042016806729</c:v>
                      </c:pt>
                      <c:pt idx="45">
                        <c:v>0.45605042016806729</c:v>
                      </c:pt>
                      <c:pt idx="46">
                        <c:v>0.45605042016806729</c:v>
                      </c:pt>
                      <c:pt idx="47">
                        <c:v>0.45605042016806729</c:v>
                      </c:pt>
                      <c:pt idx="48">
                        <c:v>0.45605042016806729</c:v>
                      </c:pt>
                      <c:pt idx="49">
                        <c:v>0.45605042016806729</c:v>
                      </c:pt>
                      <c:pt idx="50">
                        <c:v>0.45605042016806729</c:v>
                      </c:pt>
                      <c:pt idx="51">
                        <c:v>0.45605042016806729</c:v>
                      </c:pt>
                      <c:pt idx="52">
                        <c:v>0.45605042016806729</c:v>
                      </c:pt>
                      <c:pt idx="53">
                        <c:v>0.45605042016806729</c:v>
                      </c:pt>
                      <c:pt idx="54">
                        <c:v>0.45605042016806729</c:v>
                      </c:pt>
                      <c:pt idx="55">
                        <c:v>0.45605042016806729</c:v>
                      </c:pt>
                      <c:pt idx="56">
                        <c:v>0.45605042016806729</c:v>
                      </c:pt>
                      <c:pt idx="57">
                        <c:v>0.45605042016806729</c:v>
                      </c:pt>
                      <c:pt idx="58">
                        <c:v>0.45605042016806729</c:v>
                      </c:pt>
                      <c:pt idx="59">
                        <c:v>0.45605042016806729</c:v>
                      </c:pt>
                      <c:pt idx="60">
                        <c:v>0.45605042016806729</c:v>
                      </c:pt>
                      <c:pt idx="61">
                        <c:v>0.45605042016806729</c:v>
                      </c:pt>
                      <c:pt idx="62">
                        <c:v>0.45605042016806729</c:v>
                      </c:pt>
                      <c:pt idx="63">
                        <c:v>0.45605042016806729</c:v>
                      </c:pt>
                      <c:pt idx="64">
                        <c:v>0.45605042016806729</c:v>
                      </c:pt>
                      <c:pt idx="65">
                        <c:v>0.45605042016806729</c:v>
                      </c:pt>
                      <c:pt idx="66">
                        <c:v>0.45605042016806729</c:v>
                      </c:pt>
                      <c:pt idx="67">
                        <c:v>0.45605042016806729</c:v>
                      </c:pt>
                      <c:pt idx="68">
                        <c:v>0.45605042016806729</c:v>
                      </c:pt>
                      <c:pt idx="69">
                        <c:v>0.45605042016806729</c:v>
                      </c:pt>
                      <c:pt idx="70">
                        <c:v>0.45605042016806729</c:v>
                      </c:pt>
                      <c:pt idx="71">
                        <c:v>0.45605042016806729</c:v>
                      </c:pt>
                      <c:pt idx="72">
                        <c:v>0.45605042016806729</c:v>
                      </c:pt>
                      <c:pt idx="73">
                        <c:v>0.45605042016806729</c:v>
                      </c:pt>
                      <c:pt idx="74">
                        <c:v>0.45605042016806729</c:v>
                      </c:pt>
                      <c:pt idx="75">
                        <c:v>0.45605042016806729</c:v>
                      </c:pt>
                      <c:pt idx="76">
                        <c:v>0.45605042016806729</c:v>
                      </c:pt>
                      <c:pt idx="77">
                        <c:v>0.45605042016806729</c:v>
                      </c:pt>
                      <c:pt idx="78">
                        <c:v>0.45605042016806729</c:v>
                      </c:pt>
                      <c:pt idx="79">
                        <c:v>0.45605042016806729</c:v>
                      </c:pt>
                      <c:pt idx="80">
                        <c:v>0.45605042016806729</c:v>
                      </c:pt>
                      <c:pt idx="81">
                        <c:v>0.45605042016806729</c:v>
                      </c:pt>
                      <c:pt idx="82">
                        <c:v>0.45605042016806729</c:v>
                      </c:pt>
                      <c:pt idx="83">
                        <c:v>0.45605042016806729</c:v>
                      </c:pt>
                      <c:pt idx="84">
                        <c:v>0.45605042016806729</c:v>
                      </c:pt>
                      <c:pt idx="85">
                        <c:v>0.45605042016806729</c:v>
                      </c:pt>
                      <c:pt idx="86">
                        <c:v>0.45605042016806729</c:v>
                      </c:pt>
                      <c:pt idx="87">
                        <c:v>0.45605042016806729</c:v>
                      </c:pt>
                      <c:pt idx="88">
                        <c:v>0.45605042016806729</c:v>
                      </c:pt>
                      <c:pt idx="89">
                        <c:v>0.45605042016806729</c:v>
                      </c:pt>
                      <c:pt idx="90">
                        <c:v>0.45605042016806729</c:v>
                      </c:pt>
                      <c:pt idx="91">
                        <c:v>0.45605042016806729</c:v>
                      </c:pt>
                      <c:pt idx="92">
                        <c:v>0.45605042016806729</c:v>
                      </c:pt>
                      <c:pt idx="93">
                        <c:v>0.45605042016806729</c:v>
                      </c:pt>
                      <c:pt idx="94">
                        <c:v>0.45605042016806729</c:v>
                      </c:pt>
                      <c:pt idx="95">
                        <c:v>0.45605042016806729</c:v>
                      </c:pt>
                      <c:pt idx="96">
                        <c:v>0.45605042016806729</c:v>
                      </c:pt>
                      <c:pt idx="97">
                        <c:v>0.45605042016806729</c:v>
                      </c:pt>
                      <c:pt idx="98">
                        <c:v>0.45605042016806729</c:v>
                      </c:pt>
                      <c:pt idx="99">
                        <c:v>0.45605042016806729</c:v>
                      </c:pt>
                      <c:pt idx="100">
                        <c:v>0.45605042016806729</c:v>
                      </c:pt>
                    </c:numCache>
                  </c:numRef>
                </c:val>
                <c:smooth val="0"/>
                <c:extLst xmlns:c15="http://schemas.microsoft.com/office/drawing/2012/chart">
                  <c:ext xmlns:c16="http://schemas.microsoft.com/office/drawing/2014/chart" uri="{C3380CC4-5D6E-409C-BE32-E72D297353CC}">
                    <c16:uniqueId val="{00000002-0C66-4A53-91BE-779AAB69F7ED}"/>
                  </c:ext>
                </c:extLst>
              </c15:ser>
            </c15:filteredLineSeries>
            <c15:filteredLineSeries>
              <c15:ser>
                <c:idx val="11"/>
                <c:order val="3"/>
                <c:tx>
                  <c:strRef>
                    <c:extLst xmlns:c15="http://schemas.microsoft.com/office/drawing/2012/chart">
                      <c:ext xmlns:c15="http://schemas.microsoft.com/office/drawing/2012/chart" uri="{02D57815-91ED-43cb-92C2-25804820EDAC}">
                        <c15:formulaRef>
                          <c15:sqref>'Efficiency vs Load Calculations'!$X$8</c15:sqref>
                        </c15:formulaRef>
                      </c:ext>
                    </c:extLst>
                    <c:strCache>
                      <c:ptCount val="1"/>
                      <c:pt idx="0">
                        <c:v>DCR    Loss</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Calculations'!$X$9:$X$109</c15:sqref>
                        </c15:formulaRef>
                      </c:ext>
                    </c:extLst>
                    <c:numCache>
                      <c:formatCode>0.000</c:formatCode>
                      <c:ptCount val="101"/>
                      <c:pt idx="0">
                        <c:v>2.9941506493318692E-3</c:v>
                      </c:pt>
                      <c:pt idx="1">
                        <c:v>3.0782367839967588E-3</c:v>
                      </c:pt>
                      <c:pt idx="2">
                        <c:v>3.3294508421591322E-3</c:v>
                      </c:pt>
                      <c:pt idx="3">
                        <c:v>3.7478129721364643E-3</c:v>
                      </c:pt>
                      <c:pt idx="4">
                        <c:v>4.3333567308514315E-3</c:v>
                      </c:pt>
                      <c:pt idx="5">
                        <c:v>5.0861290905615097E-3</c:v>
                      </c:pt>
                      <c:pt idx="6">
                        <c:v>6.0061904482805826E-3</c:v>
                      </c:pt>
                      <c:pt idx="7">
                        <c:v>7.0936146378960596E-3</c:v>
                      </c:pt>
                      <c:pt idx="8">
                        <c:v>8.3484889449860246E-3</c:v>
                      </c:pt>
                      <c:pt idx="9">
                        <c:v>9.7709141243420873E-3</c:v>
                      </c:pt>
                      <c:pt idx="10">
                        <c:v>1.136100442020424E-2</c:v>
                      </c:pt>
                      <c:pt idx="11">
                        <c:v>1.311888758921571E-2</c:v>
                      </c:pt>
                      <c:pt idx="12">
                        <c:v>1.5044704926105974E-2</c:v>
                      </c:pt>
                      <c:pt idx="13">
                        <c:v>1.7138611292112017E-2</c:v>
                      </c:pt>
                      <c:pt idx="14">
                        <c:v>1.9400775146148037E-2</c:v>
                      </c:pt>
                      <c:pt idx="15">
                        <c:v>2.183137857873595E-2</c:v>
                      </c:pt>
                      <c:pt idx="16">
                        <c:v>2.443061734870873E-2</c:v>
                      </c:pt>
                      <c:pt idx="17">
                        <c:v>2.7198700922701043E-2</c:v>
                      </c:pt>
                      <c:pt idx="18">
                        <c:v>3.013585251744173E-2</c:v>
                      </c:pt>
                      <c:pt idx="19">
                        <c:v>3.3242309144864306E-2</c:v>
                      </c:pt>
                      <c:pt idx="20">
                        <c:v>3.6518321660052269E-2</c:v>
                      </c:pt>
                      <c:pt idx="21">
                        <c:v>3.9964154812037682E-2</c:v>
                      </c:pt>
                      <c:pt idx="22">
                        <c:v>4.3580087297472113E-2</c:v>
                      </c:pt>
                      <c:pt idx="23">
                        <c:v>4.7366411817190278E-2</c:v>
                      </c:pt>
                      <c:pt idx="24">
                        <c:v>5.1323435135688163E-2</c:v>
                      </c:pt>
                      <c:pt idx="25">
                        <c:v>5.5451478143537805E-2</c:v>
                      </c:pt>
                      <c:pt idx="26">
                        <c:v>5.9750875922763028E-2</c:v>
                      </c:pt>
                      <c:pt idx="27">
                        <c:v>6.4221977815200768E-2</c:v>
                      </c:pt>
                      <c:pt idx="28">
                        <c:v>6.8865147493874526E-2</c:v>
                      </c:pt>
                      <c:pt idx="29">
                        <c:v>7.3680763037406838E-2</c:v>
                      </c:pt>
                      <c:pt idx="30">
                        <c:v>7.8669217007499612E-2</c:v>
                      </c:pt>
                      <c:pt idx="31">
                        <c:v>8.3830916529512522E-2</c:v>
                      </c:pt>
                      <c:pt idx="32">
                        <c:v>8.9166283376169733E-2</c:v>
                      </c:pt>
                      <c:pt idx="33">
                        <c:v>9.4675754054428074E-2</c:v>
                      </c:pt>
                      <c:pt idx="34">
                        <c:v>0.10035977989554017</c:v>
                      </c:pt>
                      <c:pt idx="35">
                        <c:v>0.10621882714834678</c:v>
                      </c:pt>
                      <c:pt idx="36">
                        <c:v>0.11225337707583623</c:v>
                      </c:pt>
                      <c:pt idx="37">
                        <c:v>0.11846392605500669</c:v>
                      </c:pt>
                      <c:pt idx="38">
                        <c:v>0.12485098568007195</c:v>
                      </c:pt>
                      <c:pt idx="39">
                        <c:v>0.13141508286905063</c:v>
                      </c:pt>
                      <c:pt idx="40">
                        <c:v>0.13815675997378019</c:v>
                      </c:pt>
                      <c:pt idx="41">
                        <c:v>0.14507657489339998</c:v>
                      </c:pt>
                      <c:pt idx="42">
                        <c:v>0.15217510119134814</c:v>
                      </c:pt>
                      <c:pt idx="43">
                        <c:v>0.15945292821591783</c:v>
                      </c:pt>
                      <c:pt idx="44">
                        <c:v>0.1669106612244218</c:v>
                      </c:pt>
                      <c:pt idx="45">
                        <c:v>0.17454892151101442</c:v>
                      </c:pt>
                      <c:pt idx="46">
                        <c:v>0.18236834653822218</c:v>
                      </c:pt>
                      <c:pt idx="47">
                        <c:v>0.19036959007223561</c:v>
                      </c:pt>
                      <c:pt idx="48">
                        <c:v>0.19855332232201742</c:v>
                      </c:pt>
                      <c:pt idx="49">
                        <c:v>0.20692023008228172</c:v>
                      </c:pt>
                      <c:pt idx="50">
                        <c:v>0.2154710168804046</c:v>
                      </c:pt>
                      <c:pt idx="51">
                        <c:v>0.22420640312732368</c:v>
                      </c:pt>
                      <c:pt idx="52">
                        <c:v>0.23312712627248897</c:v>
                      </c:pt>
                      <c:pt idx="53">
                        <c:v>0.24223394096292897</c:v>
                      </c:pt>
                      <c:pt idx="54">
                        <c:v>0.25152761920649608</c:v>
                      </c:pt>
                      <c:pt idx="55">
                        <c:v>0.26100895053936096</c:v>
                      </c:pt>
                      <c:pt idx="56">
                        <c:v>0.27067874219782223</c:v>
                      </c:pt>
                      <c:pt idx="57">
                        <c:v>0.28053781929450478</c:v>
                      </c:pt>
                      <c:pt idx="58">
                        <c:v>0.29058702499902067</c:v>
                      </c:pt>
                      <c:pt idx="59">
                        <c:v>0.30082722072316637</c:v>
                      </c:pt>
                      <c:pt idx="60">
                        <c:v>0.31125928631073441</c:v>
                      </c:pt>
                      <c:pt idx="61">
                        <c:v>0.32188412023202351</c:v>
                      </c:pt>
                      <c:pt idx="62">
                        <c:v>0.33270263978312231</c:v>
                      </c:pt>
                      <c:pt idx="63">
                        <c:v>0.34371578129005842</c:v>
                      </c:pt>
                      <c:pt idx="64">
                        <c:v>0.35492450031789635</c:v>
                      </c:pt>
                      <c:pt idx="65">
                        <c:v>0.36632977188487453</c:v>
                      </c:pt>
                      <c:pt idx="66">
                        <c:v>0.37793259068167395</c:v>
                      </c:pt>
                      <c:pt idx="67">
                        <c:v>0.38973397129591442</c:v>
                      </c:pt>
                      <c:pt idx="68">
                        <c:v>0.40173494844197394</c:v>
                      </c:pt>
                      <c:pt idx="69">
                        <c:v>0.41393657719623245</c:v>
                      </c:pt>
                      <c:pt idx="70">
                        <c:v>0.42633993323784386</c:v>
                      </c:pt>
                      <c:pt idx="71">
                        <c:v>0.43894611309514137</c:v>
                      </c:pt>
                      <c:pt idx="72">
                        <c:v>0.45175623439778584</c:v>
                      </c:pt>
                      <c:pt idx="73">
                        <c:v>0.46477143613476907</c:v>
                      </c:pt>
                      <c:pt idx="74">
                        <c:v>0.47799287891838638</c:v>
                      </c:pt>
                      <c:pt idx="75">
                        <c:v>0.49142174525429866</c:v>
                      </c:pt>
                      <c:pt idx="76">
                        <c:v>0.50505923981780443</c:v>
                      </c:pt>
                      <c:pt idx="77">
                        <c:v>0.5189065897364491</c:v>
                      </c:pt>
                      <c:pt idx="78">
                        <c:v>0.53296504487909457</c:v>
                      </c:pt>
                      <c:pt idx="79">
                        <c:v>0.54723587815159069</c:v>
                      </c:pt>
                      <c:pt idx="80">
                        <c:v>0.56172038579917516</c:v>
                      </c:pt>
                      <c:pt idx="81">
                        <c:v>0.57641988771575026</c:v>
                      </c:pt>
                      <c:pt idx="82">
                        <c:v>0.59133572776016996</c:v>
                      </c:pt>
                      <c:pt idx="83">
                        <c:v>0.60646927407969753</c:v>
                      </c:pt>
                      <c:pt idx="84">
                        <c:v>0.62182191944077436</c:v>
                      </c:pt>
                      <c:pt idx="85">
                        <c:v>0.63739508156726532</c:v>
                      </c:pt>
                      <c:pt idx="86">
                        <c:v>0.65319020348633183</c:v>
                      </c:pt>
                      <c:pt idx="87">
                        <c:v>0.6692087538821061</c:v>
                      </c:pt>
                      <c:pt idx="88">
                        <c:v>0.6854522274573337</c:v>
                      </c:pt>
                      <c:pt idx="89">
                        <c:v>0.70192214530315411</c:v>
                      </c:pt>
                      <c:pt idx="90">
                        <c:v>0.71862005527720796</c:v>
                      </c:pt>
                      <c:pt idx="91">
                        <c:v>0.7355475323902454</c:v>
                      </c:pt>
                      <c:pt idx="92">
                        <c:v>0.75270617920143268</c:v>
                      </c:pt>
                      <c:pt idx="93">
                        <c:v>0.77009762622254996</c:v>
                      </c:pt>
                      <c:pt idx="94">
                        <c:v>0.78772353233127712</c:v>
                      </c:pt>
                      <c:pt idx="95">
                        <c:v>0.80558558519378154</c:v>
                      </c:pt>
                      <c:pt idx="96">
                        <c:v>0.82368550169681176</c:v>
                      </c:pt>
                      <c:pt idx="97">
                        <c:v>0.84202502838952109</c:v>
                      </c:pt>
                      <c:pt idx="98">
                        <c:v>0.86060594193524165</c:v>
                      </c:pt>
                      <c:pt idx="99">
                        <c:v>0.87943004957344606</c:v>
                      </c:pt>
                      <c:pt idx="100">
                        <c:v>0.89849918959212216</c:v>
                      </c:pt>
                    </c:numCache>
                  </c:numRef>
                </c:val>
                <c:smooth val="0"/>
                <c:extLst xmlns:c15="http://schemas.microsoft.com/office/drawing/2012/chart">
                  <c:ext xmlns:c16="http://schemas.microsoft.com/office/drawing/2014/chart" uri="{C3380CC4-5D6E-409C-BE32-E72D297353CC}">
                    <c16:uniqueId val="{00000003-0C66-4A53-91BE-779AAB69F7ED}"/>
                  </c:ext>
                </c:extLst>
              </c15:ser>
            </c15:filteredLineSeries>
            <c15:filteredLineSeries>
              <c15:ser>
                <c:idx val="10"/>
                <c:order val="4"/>
                <c:tx>
                  <c:strRef>
                    <c:extLst xmlns:c15="http://schemas.microsoft.com/office/drawing/2012/chart">
                      <c:ext xmlns:c15="http://schemas.microsoft.com/office/drawing/2012/chart" uri="{02D57815-91ED-43cb-92C2-25804820EDAC}">
                        <c15:formulaRef>
                          <c15:sqref>'Efficiency vs Load Calculations'!$BB$8</c15:sqref>
                        </c15:formulaRef>
                      </c:ext>
                    </c:extLst>
                    <c:strCache>
                      <c:ptCount val="1"/>
                      <c:pt idx="0">
                        <c:v>Reverse Recovery Loss MOSFET D BOOST</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Calculations'!$BB$9:$BB$109</c15:sqref>
                        </c15:formulaRef>
                      </c:ext>
                    </c:extLst>
                    <c:numCache>
                      <c:formatCode>0.000</c:formatCode>
                      <c:ptCount val="101"/>
                      <c:pt idx="0">
                        <c:v>0</c:v>
                      </c:pt>
                      <c:pt idx="1">
                        <c:v>2.3999395200000003E-3</c:v>
                      </c:pt>
                      <c:pt idx="2">
                        <c:v>4.79975808E-3</c:v>
                      </c:pt>
                      <c:pt idx="3">
                        <c:v>7.1994556799999995E-3</c:v>
                      </c:pt>
                      <c:pt idx="4">
                        <c:v>9.5990323199999991E-3</c:v>
                      </c:pt>
                      <c:pt idx="5">
                        <c:v>1.1998488000000002E-2</c:v>
                      </c:pt>
                      <c:pt idx="6">
                        <c:v>1.4397822720000002E-2</c:v>
                      </c:pt>
                      <c:pt idx="7">
                        <c:v>1.6797036479999999E-2</c:v>
                      </c:pt>
                      <c:pt idx="8">
                        <c:v>1.9196129280000002E-2</c:v>
                      </c:pt>
                      <c:pt idx="9">
                        <c:v>2.1595101119999998E-2</c:v>
                      </c:pt>
                      <c:pt idx="10">
                        <c:v>2.3993952000000002E-2</c:v>
                      </c:pt>
                      <c:pt idx="11">
                        <c:v>2.6392681920000004E-2</c:v>
                      </c:pt>
                      <c:pt idx="12">
                        <c:v>2.8791290880000001E-2</c:v>
                      </c:pt>
                      <c:pt idx="13">
                        <c:v>3.1189778880000001E-2</c:v>
                      </c:pt>
                      <c:pt idx="14">
                        <c:v>3.358814592E-2</c:v>
                      </c:pt>
                      <c:pt idx="15">
                        <c:v>3.5986391999999999E-2</c:v>
                      </c:pt>
                      <c:pt idx="16">
                        <c:v>3.8384517119999996E-2</c:v>
                      </c:pt>
                      <c:pt idx="17">
                        <c:v>4.0782521280000004E-2</c:v>
                      </c:pt>
                      <c:pt idx="18">
                        <c:v>4.3180404480000004E-2</c:v>
                      </c:pt>
                      <c:pt idx="19">
                        <c:v>4.557816672E-2</c:v>
                      </c:pt>
                      <c:pt idx="20">
                        <c:v>4.7975808000000009E-2</c:v>
                      </c:pt>
                      <c:pt idx="21">
                        <c:v>5.0373328320000001E-2</c:v>
                      </c:pt>
                      <c:pt idx="22">
                        <c:v>5.2770727680000004E-2</c:v>
                      </c:pt>
                      <c:pt idx="23">
                        <c:v>5.5168006079999998E-2</c:v>
                      </c:pt>
                      <c:pt idx="24">
                        <c:v>5.7565163520000004E-2</c:v>
                      </c:pt>
                      <c:pt idx="25">
                        <c:v>5.9962200000000014E-2</c:v>
                      </c:pt>
                      <c:pt idx="26">
                        <c:v>6.2359115520000001E-2</c:v>
                      </c:pt>
                      <c:pt idx="27">
                        <c:v>6.4755910080000006E-2</c:v>
                      </c:pt>
                      <c:pt idx="28">
                        <c:v>6.7152583679999989E-2</c:v>
                      </c:pt>
                      <c:pt idx="29">
                        <c:v>6.9549136319999996E-2</c:v>
                      </c:pt>
                      <c:pt idx="30">
                        <c:v>7.1945568000000001E-2</c:v>
                      </c:pt>
                      <c:pt idx="31">
                        <c:v>7.4341878720000004E-2</c:v>
                      </c:pt>
                      <c:pt idx="32">
                        <c:v>7.6738068480000005E-2</c:v>
                      </c:pt>
                      <c:pt idx="33">
                        <c:v>7.9134137279999989E-2</c:v>
                      </c:pt>
                      <c:pt idx="34">
                        <c:v>8.1530085119999998E-2</c:v>
                      </c:pt>
                      <c:pt idx="35">
                        <c:v>8.3925912000000005E-2</c:v>
                      </c:pt>
                      <c:pt idx="36">
                        <c:v>8.632161792000001E-2</c:v>
                      </c:pt>
                      <c:pt idx="37">
                        <c:v>8.8717202880000012E-2</c:v>
                      </c:pt>
                      <c:pt idx="38">
                        <c:v>9.1112666879999998E-2</c:v>
                      </c:pt>
                      <c:pt idx="39">
                        <c:v>9.3508009919999982E-2</c:v>
                      </c:pt>
                      <c:pt idx="40">
                        <c:v>9.5903232000000005E-2</c:v>
                      </c:pt>
                      <c:pt idx="41">
                        <c:v>9.8298333119999984E-2</c:v>
                      </c:pt>
                      <c:pt idx="42">
                        <c:v>0.10069331328</c:v>
                      </c:pt>
                      <c:pt idx="43">
                        <c:v>0.10308817248000002</c:v>
                      </c:pt>
                      <c:pt idx="44">
                        <c:v>0.10548291072</c:v>
                      </c:pt>
                      <c:pt idx="45">
                        <c:v>0.107877528</c:v>
                      </c:pt>
                      <c:pt idx="46">
                        <c:v>0.11027202431999999</c:v>
                      </c:pt>
                      <c:pt idx="47">
                        <c:v>0.11266639968</c:v>
                      </c:pt>
                      <c:pt idx="48">
                        <c:v>0.11506065408</c:v>
                      </c:pt>
                      <c:pt idx="49">
                        <c:v>0.11745478752000001</c:v>
                      </c:pt>
                      <c:pt idx="50">
                        <c:v>0.11984880000000001</c:v>
                      </c:pt>
                      <c:pt idx="51">
                        <c:v>0.12224269152</c:v>
                      </c:pt>
                      <c:pt idx="52">
                        <c:v>0.12463646208</c:v>
                      </c:pt>
                      <c:pt idx="53">
                        <c:v>0.12703011168</c:v>
                      </c:pt>
                      <c:pt idx="54">
                        <c:v>0.12942364032000003</c:v>
                      </c:pt>
                      <c:pt idx="55">
                        <c:v>0.13181704800000002</c:v>
                      </c:pt>
                      <c:pt idx="56">
                        <c:v>0.13421033471999999</c:v>
                      </c:pt>
                      <c:pt idx="57">
                        <c:v>0.13660350048</c:v>
                      </c:pt>
                      <c:pt idx="58">
                        <c:v>0.13899654527999999</c:v>
                      </c:pt>
                      <c:pt idx="59">
                        <c:v>0.14138946912</c:v>
                      </c:pt>
                      <c:pt idx="60">
                        <c:v>0.14378227200000002</c:v>
                      </c:pt>
                      <c:pt idx="61">
                        <c:v>0.14617495392000002</c:v>
                      </c:pt>
                      <c:pt idx="62">
                        <c:v>0.14856751488</c:v>
                      </c:pt>
                      <c:pt idx="63">
                        <c:v>0.15095995488</c:v>
                      </c:pt>
                      <c:pt idx="64">
                        <c:v>0.15335227392</c:v>
                      </c:pt>
                      <c:pt idx="65">
                        <c:v>0.15574447199999999</c:v>
                      </c:pt>
                      <c:pt idx="66">
                        <c:v>0.15813654912</c:v>
                      </c:pt>
                      <c:pt idx="67">
                        <c:v>0.16052850528000001</c:v>
                      </c:pt>
                      <c:pt idx="68">
                        <c:v>0.16292034048000001</c:v>
                      </c:pt>
                      <c:pt idx="69">
                        <c:v>0.16531205471999999</c:v>
                      </c:pt>
                      <c:pt idx="70">
                        <c:v>0.16770364800000001</c:v>
                      </c:pt>
                      <c:pt idx="71">
                        <c:v>0.17009512031999999</c:v>
                      </c:pt>
                      <c:pt idx="72">
                        <c:v>0.17248647168</c:v>
                      </c:pt>
                      <c:pt idx="73">
                        <c:v>0.17487770208000003</c:v>
                      </c:pt>
                      <c:pt idx="74">
                        <c:v>0.17726881152000001</c:v>
                      </c:pt>
                      <c:pt idx="75">
                        <c:v>0.17965979999999998</c:v>
                      </c:pt>
                      <c:pt idx="76">
                        <c:v>0.18205066751999999</c:v>
                      </c:pt>
                      <c:pt idx="77">
                        <c:v>0.18444141408000003</c:v>
                      </c:pt>
                      <c:pt idx="78">
                        <c:v>0.18683203967999998</c:v>
                      </c:pt>
                      <c:pt idx="79">
                        <c:v>0.18922254431999999</c:v>
                      </c:pt>
                      <c:pt idx="80">
                        <c:v>0.19161292800000002</c:v>
                      </c:pt>
                      <c:pt idx="81">
                        <c:v>0.19400319072000002</c:v>
                      </c:pt>
                      <c:pt idx="82">
                        <c:v>0.19639333247999996</c:v>
                      </c:pt>
                      <c:pt idx="83">
                        <c:v>0.19878335328000002</c:v>
                      </c:pt>
                      <c:pt idx="84">
                        <c:v>0.20117325312000003</c:v>
                      </c:pt>
                      <c:pt idx="85">
                        <c:v>0.203563032</c:v>
                      </c:pt>
                      <c:pt idx="86">
                        <c:v>0.20595268992000001</c:v>
                      </c:pt>
                      <c:pt idx="87">
                        <c:v>0.20834222687999998</c:v>
                      </c:pt>
                      <c:pt idx="88">
                        <c:v>0.21073164288000004</c:v>
                      </c:pt>
                      <c:pt idx="89">
                        <c:v>0.21312093792</c:v>
                      </c:pt>
                      <c:pt idx="90">
                        <c:v>0.21551011200000003</c:v>
                      </c:pt>
                      <c:pt idx="91">
                        <c:v>0.21789916511999999</c:v>
                      </c:pt>
                      <c:pt idx="92">
                        <c:v>0.22028809727999998</c:v>
                      </c:pt>
                      <c:pt idx="93">
                        <c:v>0.22267690848000002</c:v>
                      </c:pt>
                      <c:pt idx="94">
                        <c:v>0.22506559872000001</c:v>
                      </c:pt>
                      <c:pt idx="95">
                        <c:v>0.22745416800000001</c:v>
                      </c:pt>
                      <c:pt idx="96">
                        <c:v>0.22984261632000003</c:v>
                      </c:pt>
                      <c:pt idx="97">
                        <c:v>0.23223094368</c:v>
                      </c:pt>
                      <c:pt idx="98">
                        <c:v>0.23461915007999998</c:v>
                      </c:pt>
                      <c:pt idx="99">
                        <c:v>0.23700723552000003</c:v>
                      </c:pt>
                      <c:pt idx="100">
                        <c:v>0.23939520000000003</c:v>
                      </c:pt>
                    </c:numCache>
                  </c:numRef>
                </c:val>
                <c:smooth val="0"/>
                <c:extLst xmlns:c15="http://schemas.microsoft.com/office/drawing/2012/chart">
                  <c:ext xmlns:c16="http://schemas.microsoft.com/office/drawing/2014/chart" uri="{C3380CC4-5D6E-409C-BE32-E72D297353CC}">
                    <c16:uniqueId val="{00000004-0C66-4A53-91BE-779AAB69F7ED}"/>
                  </c:ext>
                </c:extLst>
              </c15:ser>
            </c15:filteredLineSeries>
            <c15:filteredLineSeries>
              <c15:ser>
                <c:idx val="9"/>
                <c:order val="5"/>
                <c:tx>
                  <c:strRef>
                    <c:extLst xmlns:c15="http://schemas.microsoft.com/office/drawing/2012/chart">
                      <c:ext xmlns:c15="http://schemas.microsoft.com/office/drawing/2012/chart" uri="{02D57815-91ED-43cb-92C2-25804820EDAC}">
                        <c15:formulaRef>
                          <c15:sqref>'Efficiency vs Load Calculations'!$AU$7</c15:sqref>
                        </c15:formulaRef>
                      </c:ext>
                    </c:extLst>
                    <c:strCache>
                      <c:ptCount val="1"/>
                      <c:pt idx="0">
                        <c:v>High-side BOOST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Calculations'!$AX$9:$AX$109</c15:sqref>
                        </c15:formulaRef>
                      </c:ext>
                    </c:extLst>
                    <c:numCache>
                      <c:formatCode>0.000</c:formatCode>
                      <c:ptCount val="101"/>
                      <c:pt idx="0">
                        <c:v>2.1687871183774165E-3</c:v>
                      </c:pt>
                      <c:pt idx="1">
                        <c:v>2.2297117725412732E-3</c:v>
                      </c:pt>
                      <c:pt idx="2">
                        <c:v>2.4117347797190289E-3</c:v>
                      </c:pt>
                      <c:pt idx="3">
                        <c:v>2.7148878662415559E-3</c:v>
                      </c:pt>
                      <c:pt idx="4">
                        <c:v>3.1392238804529367E-3</c:v>
                      </c:pt>
                      <c:pt idx="5">
                        <c:v>3.6848168157472979E-3</c:v>
                      </c:pt>
                      <c:pt idx="6">
                        <c:v>4.3517618428350804E-3</c:v>
                      </c:pt>
                      <c:pt idx="7">
                        <c:v>5.1401753512649948E-3</c:v>
                      </c:pt>
                      <c:pt idx="8">
                        <c:v>6.0501950002354874E-3</c:v>
                      </c:pt>
                      <c:pt idx="9">
                        <c:v>7.0819797787372218E-3</c:v>
                      </c:pt>
                      <c:pt idx="10">
                        <c:v>8.2357100750755103E-3</c:v>
                      </c:pt>
                      <c:pt idx="11">
                        <c:v>9.5115877558297653E-3</c:v>
                      </c:pt>
                      <c:pt idx="12">
                        <c:v>1.0909836254314263E-2</c:v>
                      </c:pt>
                      <c:pt idx="13">
                        <c:v>1.2430700668613062E-2</c:v>
                      </c:pt>
                      <c:pt idx="14">
                        <c:v>1.4074447869269155E-2</c:v>
                      </c:pt>
                      <c:pt idx="15">
                        <c:v>1.5841366616716875E-2</c:v>
                      </c:pt>
                      <c:pt idx="16">
                        <c:v>1.7731767688553828E-2</c:v>
                      </c:pt>
                      <c:pt idx="17">
                        <c:v>1.9745984016757784E-2</c:v>
                      </c:pt>
                      <c:pt idx="18">
                        <c:v>2.1884370834961975E-2</c:v>
                      </c:pt>
                      <c:pt idx="19">
                        <c:v>2.4147305835910959E-2</c:v>
                      </c:pt>
                      <c:pt idx="20">
                        <c:v>2.6535189339227955E-2</c:v>
                      </c:pt>
                      <c:pt idx="21">
                        <c:v>2.9048444469633731E-2</c:v>
                      </c:pt>
                      <c:pt idx="22">
                        <c:v>3.168751734576597E-2</c:v>
                      </c:pt>
                      <c:pt idx="23">
                        <c:v>3.4452877279757613E-2</c:v>
                      </c:pt>
                      <c:pt idx="24">
                        <c:v>3.7345016987742174E-2</c:v>
                      </c:pt>
                      <c:pt idx="25">
                        <c:v>4.0364452811463732E-2</c:v>
                      </c:pt>
                      <c:pt idx="26">
                        <c:v>4.3511724951179512E-2</c:v>
                      </c:pt>
                      <c:pt idx="27">
                        <c:v>4.6787397710053094E-2</c:v>
                      </c:pt>
                      <c:pt idx="28">
                        <c:v>5.0192059750247237E-2</c:v>
                      </c:pt>
                      <c:pt idx="29">
                        <c:v>5.3726324360935183E-2</c:v>
                      </c:pt>
                      <c:pt idx="30">
                        <c:v>5.7390829738461956E-2</c:v>
                      </c:pt>
                      <c:pt idx="31">
                        <c:v>6.1186239278897492E-2</c:v>
                      </c:pt>
                      <c:pt idx="32">
                        <c:v>6.5113241883235348E-2</c:v>
                      </c:pt>
                      <c:pt idx="33">
                        <c:v>6.9172552275503896E-2</c:v>
                      </c:pt>
                      <c:pt idx="34">
                        <c:v>7.3364911334068306E-2</c:v>
                      </c:pt>
                      <c:pt idx="35">
                        <c:v>7.76910864364148E-2</c:v>
                      </c:pt>
                      <c:pt idx="36">
                        <c:v>8.2151871817723585E-2</c:v>
                      </c:pt>
                      <c:pt idx="37">
                        <c:v>8.6748088943547574E-2</c:v>
                      </c:pt>
                      <c:pt idx="38">
                        <c:v>9.1480586896931837E-2</c:v>
                      </c:pt>
                      <c:pt idx="39">
                        <c:v>9.6350242780321074E-2</c:v>
                      </c:pt>
                      <c:pt idx="40">
                        <c:v>0.10135796213261818</c:v>
                      </c:pt>
                      <c:pt idx="41">
                        <c:v>0.10650467936177374</c:v>
                      </c:pt>
                      <c:pt idx="42">
                        <c:v>0.11179135819330194</c:v>
                      </c:pt>
                      <c:pt idx="43">
                        <c:v>0.11721899213513456</c:v>
                      </c:pt>
                      <c:pt idx="44">
                        <c:v>0.12278860495924464</c:v>
                      </c:pt>
                      <c:pt idx="45">
                        <c:v>0.12850125120048708</c:v>
                      </c:pt>
                      <c:pt idx="46">
                        <c:v>0.13435801667312453</c:v>
                      </c:pt>
                      <c:pt idx="47">
                        <c:v>0.14036001900552469</c:v>
                      </c:pt>
                      <c:pt idx="48">
                        <c:v>0.14650840819353778</c:v>
                      </c:pt>
                      <c:pt idx="49">
                        <c:v>0.15280436717308143</c:v>
                      </c:pt>
                      <c:pt idx="50">
                        <c:v>0.15924911241248585</c:v>
                      </c:pt>
                      <c:pt idx="51">
                        <c:v>0.16584389452517082</c:v>
                      </c:pt>
                      <c:pt idx="52">
                        <c:v>0.17258999890325449</c:v>
                      </c:pt>
                      <c:pt idx="53">
                        <c:v>0.17948874637271461</c:v>
                      </c:pt>
                      <c:pt idx="54">
                        <c:v>0.18654149387075136</c:v>
                      </c:pt>
                      <c:pt idx="55">
                        <c:v>0.19374963514602794</c:v>
                      </c:pt>
                      <c:pt idx="56">
                        <c:v>0.20111460148249061</c:v>
                      </c:pt>
                      <c:pt idx="57">
                        <c:v>0.20863786244750165</c:v>
                      </c:pt>
                      <c:pt idx="58">
                        <c:v>0.21632092666504907</c:v>
                      </c:pt>
                      <c:pt idx="59">
                        <c:v>0.22416534261482626</c:v>
                      </c:pt>
                      <c:pt idx="60">
                        <c:v>0.2321726994580095</c:v>
                      </c:pt>
                      <c:pt idx="61">
                        <c:v>0.2403446278905991</c:v>
                      </c:pt>
                      <c:pt idx="62">
                        <c:v>0.24868280102521703</c:v>
                      </c:pt>
                      <c:pt idx="63">
                        <c:v>0.25718893530230175</c:v>
                      </c:pt>
                      <c:pt idx="64">
                        <c:v>0.2658647914316748</c:v>
                      </c:pt>
                      <c:pt idx="65">
                        <c:v>0.27471217536549319</c:v>
                      </c:pt>
                      <c:pt idx="66">
                        <c:v>0.2837329393036499</c:v>
                      </c:pt>
                      <c:pt idx="67">
                        <c:v>0.29292898273272516</c:v>
                      </c:pt>
                      <c:pt idx="68">
                        <c:v>0.30230225349964024</c:v>
                      </c:pt>
                      <c:pt idx="69">
                        <c:v>0.31185474892121245</c:v>
                      </c:pt>
                      <c:pt idx="70">
                        <c:v>0.32158851693086443</c:v>
                      </c:pt>
                      <c:pt idx="71">
                        <c:v>0.33150565726379128</c:v>
                      </c:pt>
                      <c:pt idx="72">
                        <c:v>0.34160832268194752</c:v>
                      </c:pt>
                      <c:pt idx="73">
                        <c:v>0.35189872024027291</c:v>
                      </c:pt>
                      <c:pt idx="74">
                        <c:v>0.36237911259563782</c:v>
                      </c:pt>
                      <c:pt idx="75">
                        <c:v>0.37305181936005677</c:v>
                      </c:pt>
                      <c:pt idx="76">
                        <c:v>0.38391921849977867</c:v>
                      </c:pt>
                      <c:pt idx="77">
                        <c:v>0.39498374778194434</c:v>
                      </c:pt>
                      <c:pt idx="78">
                        <c:v>0.40624790627056079</c:v>
                      </c:pt>
                      <c:pt idx="79">
                        <c:v>0.4177142558736382</c:v>
                      </c:pt>
                      <c:pt idx="80">
                        <c:v>0.42938542294339865</c:v>
                      </c:pt>
                      <c:pt idx="81">
                        <c:v>0.44126409993156701</c:v>
                      </c:pt>
                      <c:pt idx="82">
                        <c:v>0.45335304710182944</c:v>
                      </c:pt>
                      <c:pt idx="83">
                        <c:v>0.46565509430165608</c:v>
                      </c:pt>
                      <c:pt idx="84">
                        <c:v>0.47817314279576612</c:v>
                      </c:pt>
                      <c:pt idx="85">
                        <c:v>0.49091016716363295</c:v>
                      </c:pt>
                      <c:pt idx="86">
                        <c:v>0.50386921726352385</c:v>
                      </c:pt>
                      <c:pt idx="87">
                        <c:v>0.51705342026569201</c:v>
                      </c:pt>
                      <c:pt idx="88">
                        <c:v>0.53046598275746004</c:v>
                      </c:pt>
                      <c:pt idx="89">
                        <c:v>0.54411019292304885</c:v>
                      </c:pt>
                      <c:pt idx="90">
                        <c:v>0.55798942280116148</c:v>
                      </c:pt>
                      <c:pt idx="91">
                        <c:v>0.57210713062344665</c:v>
                      </c:pt>
                      <c:pt idx="92">
                        <c:v>0.58646686323713737</c:v>
                      </c:pt>
                      <c:pt idx="93">
                        <c:v>0.60107225861530222</c:v>
                      </c:pt>
                      <c:pt idx="94">
                        <c:v>0.61592704845831425</c:v>
                      </c:pt>
                      <c:pt idx="95">
                        <c:v>0.63103506089032269</c:v>
                      </c:pt>
                      <c:pt idx="96">
                        <c:v>0.64640022325467816</c:v>
                      </c:pt>
                      <c:pt idx="97">
                        <c:v>0.6620265650124797</c:v>
                      </c:pt>
                      <c:pt idx="98">
                        <c:v>0.67791822074858654</c:v>
                      </c:pt>
                      <c:pt idx="99">
                        <c:v>0.69407943328967903</c:v>
                      </c:pt>
                      <c:pt idx="100">
                        <c:v>0.71051455693915033</c:v>
                      </c:pt>
                    </c:numCache>
                  </c:numRef>
                </c:val>
                <c:smooth val="0"/>
                <c:extLst xmlns:c15="http://schemas.microsoft.com/office/drawing/2012/chart">
                  <c:ext xmlns:c16="http://schemas.microsoft.com/office/drawing/2014/chart" uri="{C3380CC4-5D6E-409C-BE32-E72D297353CC}">
                    <c16:uniqueId val="{00000005-0C66-4A53-91BE-779AAB69F7ED}"/>
                  </c:ext>
                </c:extLst>
              </c15:ser>
            </c15:filteredLineSeries>
            <c15:filteredLineSeries>
              <c15:ser>
                <c:idx val="8"/>
                <c:order val="6"/>
                <c:tx>
                  <c:strRef>
                    <c:extLst xmlns:c15="http://schemas.microsoft.com/office/drawing/2012/chart">
                      <c:ext xmlns:c15="http://schemas.microsoft.com/office/drawing/2012/chart" uri="{02D57815-91ED-43cb-92C2-25804820EDAC}">
                        <c15:formulaRef>
                          <c15:sqref>'Efficiency vs Load Calculations'!$AP$7</c15:sqref>
                        </c15:formulaRef>
                      </c:ext>
                    </c:extLst>
                    <c:strCache>
                      <c:ptCount val="1"/>
                      <c:pt idx="0">
                        <c:v>Low-side BOOST "Control"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Calculations'!$AT$9:$AT$109</c15:sqref>
                        </c15:formulaRef>
                      </c:ext>
                    </c:extLst>
                    <c:numCache>
                      <c:formatCode>0.000</c:formatCode>
                      <c:ptCount val="101"/>
                      <c:pt idx="0">
                        <c:v>0</c:v>
                      </c:pt>
                      <c:pt idx="1">
                        <c:v>2.2297117725412732E-3</c:v>
                      </c:pt>
                      <c:pt idx="2">
                        <c:v>2.4117347797190289E-3</c:v>
                      </c:pt>
                      <c:pt idx="3">
                        <c:v>2.7148878662415559E-3</c:v>
                      </c:pt>
                      <c:pt idx="4">
                        <c:v>3.1392238804529367E-3</c:v>
                      </c:pt>
                      <c:pt idx="5">
                        <c:v>3.6848168157472979E-3</c:v>
                      </c:pt>
                      <c:pt idx="6">
                        <c:v>4.3517618428350804E-3</c:v>
                      </c:pt>
                      <c:pt idx="7">
                        <c:v>5.1401753512649948E-3</c:v>
                      </c:pt>
                      <c:pt idx="8">
                        <c:v>6.0501950002354874E-3</c:v>
                      </c:pt>
                      <c:pt idx="9">
                        <c:v>7.0819797787372218E-3</c:v>
                      </c:pt>
                      <c:pt idx="10">
                        <c:v>8.2357100750755103E-3</c:v>
                      </c:pt>
                      <c:pt idx="11">
                        <c:v>9.5115877558297653E-3</c:v>
                      </c:pt>
                      <c:pt idx="12">
                        <c:v>1.0909836254314263E-2</c:v>
                      </c:pt>
                      <c:pt idx="13">
                        <c:v>1.2430700668613062E-2</c:v>
                      </c:pt>
                      <c:pt idx="14">
                        <c:v>1.4074447869269155E-2</c:v>
                      </c:pt>
                      <c:pt idx="15">
                        <c:v>1.5841366616716875E-2</c:v>
                      </c:pt>
                      <c:pt idx="16">
                        <c:v>1.7731767688553828E-2</c:v>
                      </c:pt>
                      <c:pt idx="17">
                        <c:v>1.9745984016757784E-2</c:v>
                      </c:pt>
                      <c:pt idx="18">
                        <c:v>2.1884370834961975E-2</c:v>
                      </c:pt>
                      <c:pt idx="19">
                        <c:v>2.4147305835910959E-2</c:v>
                      </c:pt>
                      <c:pt idx="20">
                        <c:v>2.6535189339227955E-2</c:v>
                      </c:pt>
                      <c:pt idx="21">
                        <c:v>2.9048444469633731E-2</c:v>
                      </c:pt>
                      <c:pt idx="22">
                        <c:v>3.168751734576597E-2</c:v>
                      </c:pt>
                      <c:pt idx="23">
                        <c:v>3.4452877279757613E-2</c:v>
                      </c:pt>
                      <c:pt idx="24">
                        <c:v>3.7345016987742174E-2</c:v>
                      </c:pt>
                      <c:pt idx="25">
                        <c:v>4.0364452811463732E-2</c:v>
                      </c:pt>
                      <c:pt idx="26">
                        <c:v>4.3511724951179512E-2</c:v>
                      </c:pt>
                      <c:pt idx="27">
                        <c:v>4.6787397710053094E-2</c:v>
                      </c:pt>
                      <c:pt idx="28">
                        <c:v>5.0192059750247237E-2</c:v>
                      </c:pt>
                      <c:pt idx="29">
                        <c:v>5.3726324360935183E-2</c:v>
                      </c:pt>
                      <c:pt idx="30">
                        <c:v>5.7390829738461956E-2</c:v>
                      </c:pt>
                      <c:pt idx="31">
                        <c:v>6.1186239278897492E-2</c:v>
                      </c:pt>
                      <c:pt idx="32">
                        <c:v>6.5113241883235348E-2</c:v>
                      </c:pt>
                      <c:pt idx="33">
                        <c:v>6.9172552275503896E-2</c:v>
                      </c:pt>
                      <c:pt idx="34">
                        <c:v>7.3364911334068306E-2</c:v>
                      </c:pt>
                      <c:pt idx="35">
                        <c:v>7.76910864364148E-2</c:v>
                      </c:pt>
                      <c:pt idx="36">
                        <c:v>8.2151871817723585E-2</c:v>
                      </c:pt>
                      <c:pt idx="37">
                        <c:v>8.6748088943547574E-2</c:v>
                      </c:pt>
                      <c:pt idx="38">
                        <c:v>9.1480586896931837E-2</c:v>
                      </c:pt>
                      <c:pt idx="39">
                        <c:v>9.6350242780321074E-2</c:v>
                      </c:pt>
                      <c:pt idx="40">
                        <c:v>0.10135796213261818</c:v>
                      </c:pt>
                      <c:pt idx="41">
                        <c:v>0.10650467936177374</c:v>
                      </c:pt>
                      <c:pt idx="42">
                        <c:v>0.11179135819330194</c:v>
                      </c:pt>
                      <c:pt idx="43">
                        <c:v>0.11721899213513456</c:v>
                      </c:pt>
                      <c:pt idx="44">
                        <c:v>0.12278860495924464</c:v>
                      </c:pt>
                      <c:pt idx="45">
                        <c:v>0.12850125120048708</c:v>
                      </c:pt>
                      <c:pt idx="46">
                        <c:v>0.13435801667312453</c:v>
                      </c:pt>
                      <c:pt idx="47">
                        <c:v>0.14036001900552469</c:v>
                      </c:pt>
                      <c:pt idx="48">
                        <c:v>0.14650840819353778</c:v>
                      </c:pt>
                      <c:pt idx="49">
                        <c:v>0.15280436717308143</c:v>
                      </c:pt>
                      <c:pt idx="50">
                        <c:v>0.15924911241248585</c:v>
                      </c:pt>
                      <c:pt idx="51">
                        <c:v>0.16584389452517082</c:v>
                      </c:pt>
                      <c:pt idx="52">
                        <c:v>0.17258999890325449</c:v>
                      </c:pt>
                      <c:pt idx="53">
                        <c:v>0.17948874637271461</c:v>
                      </c:pt>
                      <c:pt idx="54">
                        <c:v>0.18654149387075136</c:v>
                      </c:pt>
                      <c:pt idx="55">
                        <c:v>0.19374963514602794</c:v>
                      </c:pt>
                      <c:pt idx="56">
                        <c:v>0.20111460148249061</c:v>
                      </c:pt>
                      <c:pt idx="57">
                        <c:v>0.20863786244750165</c:v>
                      </c:pt>
                      <c:pt idx="58">
                        <c:v>0.21632092666504907</c:v>
                      </c:pt>
                      <c:pt idx="59">
                        <c:v>0.22416534261482626</c:v>
                      </c:pt>
                      <c:pt idx="60">
                        <c:v>0.2321726994580095</c:v>
                      </c:pt>
                      <c:pt idx="61">
                        <c:v>0.2403446278905991</c:v>
                      </c:pt>
                      <c:pt idx="62">
                        <c:v>0.24868280102521703</c:v>
                      </c:pt>
                      <c:pt idx="63">
                        <c:v>0.25718893530230175</c:v>
                      </c:pt>
                      <c:pt idx="64">
                        <c:v>0.2658647914316748</c:v>
                      </c:pt>
                      <c:pt idx="65">
                        <c:v>0.27471217536549319</c:v>
                      </c:pt>
                      <c:pt idx="66">
                        <c:v>0.2837329393036499</c:v>
                      </c:pt>
                      <c:pt idx="67">
                        <c:v>0.29292898273272516</c:v>
                      </c:pt>
                      <c:pt idx="68">
                        <c:v>0.30230225349964024</c:v>
                      </c:pt>
                      <c:pt idx="69">
                        <c:v>0.31185474892121245</c:v>
                      </c:pt>
                      <c:pt idx="70">
                        <c:v>0.32158851693086443</c:v>
                      </c:pt>
                      <c:pt idx="71">
                        <c:v>0.33150565726379128</c:v>
                      </c:pt>
                      <c:pt idx="72">
                        <c:v>0.34160832268194752</c:v>
                      </c:pt>
                      <c:pt idx="73">
                        <c:v>0.35189872024027291</c:v>
                      </c:pt>
                      <c:pt idx="74">
                        <c:v>0.36237911259563782</c:v>
                      </c:pt>
                      <c:pt idx="75">
                        <c:v>0.37305181936005677</c:v>
                      </c:pt>
                      <c:pt idx="76">
                        <c:v>0.38391921849977867</c:v>
                      </c:pt>
                      <c:pt idx="77">
                        <c:v>0.39498374778194434</c:v>
                      </c:pt>
                      <c:pt idx="78">
                        <c:v>0.40624790627056079</c:v>
                      </c:pt>
                      <c:pt idx="79">
                        <c:v>0.4177142558736382</c:v>
                      </c:pt>
                      <c:pt idx="80">
                        <c:v>0.42938542294339865</c:v>
                      </c:pt>
                      <c:pt idx="81">
                        <c:v>0.44126409993156701</c:v>
                      </c:pt>
                      <c:pt idx="82">
                        <c:v>0.45335304710182944</c:v>
                      </c:pt>
                      <c:pt idx="83">
                        <c:v>0.46565509430165608</c:v>
                      </c:pt>
                      <c:pt idx="84">
                        <c:v>0.47817314279576612</c:v>
                      </c:pt>
                      <c:pt idx="85">
                        <c:v>0.49091016716363295</c:v>
                      </c:pt>
                      <c:pt idx="86">
                        <c:v>0.50386921726352385</c:v>
                      </c:pt>
                      <c:pt idx="87">
                        <c:v>0.51705342026569201</c:v>
                      </c:pt>
                      <c:pt idx="88">
                        <c:v>0.53046598275746004</c:v>
                      </c:pt>
                      <c:pt idx="89">
                        <c:v>0.54411019292304885</c:v>
                      </c:pt>
                      <c:pt idx="90">
                        <c:v>0.55798942280116148</c:v>
                      </c:pt>
                      <c:pt idx="91">
                        <c:v>0.57210713062344665</c:v>
                      </c:pt>
                      <c:pt idx="92">
                        <c:v>0.58646686323713737</c:v>
                      </c:pt>
                      <c:pt idx="93">
                        <c:v>0.60107225861530222</c:v>
                      </c:pt>
                      <c:pt idx="94">
                        <c:v>0.61592704845831425</c:v>
                      </c:pt>
                      <c:pt idx="95">
                        <c:v>0.63103506089032269</c:v>
                      </c:pt>
                      <c:pt idx="96">
                        <c:v>0.64640022325467816</c:v>
                      </c:pt>
                      <c:pt idx="97">
                        <c:v>0.6620265650124797</c:v>
                      </c:pt>
                      <c:pt idx="98">
                        <c:v>0.67791822074858654</c:v>
                      </c:pt>
                      <c:pt idx="99">
                        <c:v>0.69407943328967903</c:v>
                      </c:pt>
                      <c:pt idx="100">
                        <c:v>0.71051455693915033</c:v>
                      </c:pt>
                    </c:numCache>
                  </c:numRef>
                </c:val>
                <c:smooth val="0"/>
                <c:extLst xmlns:c15="http://schemas.microsoft.com/office/drawing/2012/chart">
                  <c:ext xmlns:c16="http://schemas.microsoft.com/office/drawing/2014/chart" uri="{C3380CC4-5D6E-409C-BE32-E72D297353CC}">
                    <c16:uniqueId val="{00000006-0C66-4A53-91BE-779AAB69F7ED}"/>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'Efficiency vs Load Calculations'!$AL$7</c15:sqref>
                        </c15:formulaRef>
                      </c:ext>
                    </c:extLst>
                    <c:strCache>
                      <c:ptCount val="1"/>
                      <c:pt idx="0">
                        <c:v>Low-side BUCK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Calculations'!$AO$9:$AO$109</c15:sqref>
                        </c15:formulaRef>
                      </c:ext>
                    </c:extLst>
                    <c:numCache>
                      <c:formatCode>0.000</c:formatCode>
                      <c:ptCount val="101"/>
                      <c:pt idx="0">
                        <c:v>3.052429571815201E-2</c:v>
                      </c:pt>
                      <c:pt idx="1">
                        <c:v>3.5071500855642486E-2</c:v>
                      </c:pt>
                      <c:pt idx="2">
                        <c:v>3.8146113777021873E-2</c:v>
                      </c:pt>
                      <c:pt idx="3">
                        <c:v>4.1343231397911198E-2</c:v>
                      </c:pt>
                      <c:pt idx="4">
                        <c:v>4.4663159095333041E-2</c:v>
                      </c:pt>
                      <c:pt idx="5">
                        <c:v>4.810622376317359E-2</c:v>
                      </c:pt>
                      <c:pt idx="6">
                        <c:v>5.1672773918132978E-2</c:v>
                      </c:pt>
                      <c:pt idx="7">
                        <c:v>5.5363179815176758E-2</c:v>
                      </c:pt>
                      <c:pt idx="8">
                        <c:v>5.9177833572568179E-2</c:v>
                      </c:pt>
                      <c:pt idx="9">
                        <c:v>6.3117149306568032E-2</c:v>
                      </c:pt>
                      <c:pt idx="10">
                        <c:v>6.7181563275896986E-2</c:v>
                      </c:pt>
                      <c:pt idx="11">
                        <c:v>7.3167426280565856E-2</c:v>
                      </c:pt>
                      <c:pt idx="12">
                        <c:v>8.0375819681902341E-2</c:v>
                      </c:pt>
                      <c:pt idx="13">
                        <c:v>8.7712912882678018E-2</c:v>
                      </c:pt>
                      <c:pt idx="14">
                        <c:v>9.5179487654109662E-2</c:v>
                      </c:pt>
                      <c:pt idx="15">
                        <c:v>0.1027763495914958</c:v>
                      </c:pt>
                      <c:pt idx="16">
                        <c:v>0.11050432839597357</c:v>
                      </c:pt>
                      <c:pt idx="17">
                        <c:v>0.11836427816751303</c:v>
                      </c:pt>
                      <c:pt idx="18">
                        <c:v>0.12635707770936147</c:v>
                      </c:pt>
                      <c:pt idx="19">
                        <c:v>0.13448363084416073</c:v>
                      </c:pt>
                      <c:pt idx="20">
                        <c:v>0.14274486674197145</c:v>
                      </c:pt>
                      <c:pt idx="21">
                        <c:v>0.15114174026044672</c:v>
                      </c:pt>
                      <c:pt idx="22">
                        <c:v>0.15967523229741246</c:v>
                      </c:pt>
                      <c:pt idx="23">
                        <c:v>0.1683463501561184</c:v>
                      </c:pt>
                      <c:pt idx="24">
                        <c:v>0.17715612792343949</c:v>
                      </c:pt>
                      <c:pt idx="25">
                        <c:v>0.1861056268613164</c:v>
                      </c:pt>
                      <c:pt idx="26">
                        <c:v>0.19519593581173833</c:v>
                      </c:pt>
                      <c:pt idx="27">
                        <c:v>0.20442817161558238</c:v>
                      </c:pt>
                      <c:pt idx="28">
                        <c:v>0.21380347954563858</c:v>
                      </c:pt>
                      <c:pt idx="29">
                        <c:v>0.22332303375416174</c:v>
                      </c:pt>
                      <c:pt idx="30">
                        <c:v>0.23298803773530621</c:v>
                      </c:pt>
                      <c:pt idx="31">
                        <c:v>0.24279972480281431</c:v>
                      </c:pt>
                      <c:pt idx="32">
                        <c:v>0.25275935858334364</c:v>
                      </c:pt>
                      <c:pt idx="33">
                        <c:v>0.26286823352583433</c:v>
                      </c:pt>
                      <c:pt idx="34">
                        <c:v>0.27312767542733374</c:v>
                      </c:pt>
                      <c:pt idx="35">
                        <c:v>0.28353904197571178</c:v>
                      </c:pt>
                      <c:pt idx="36">
                        <c:v>0.29410372330971896</c:v>
                      </c:pt>
                      <c:pt idx="37">
                        <c:v>0.30482314259685511</c:v>
                      </c:pt>
                      <c:pt idx="38">
                        <c:v>0.31569875662953761</c:v>
                      </c:pt>
                      <c:pt idx="39">
                        <c:v>0.32673205644007541</c:v>
                      </c:pt>
                      <c:pt idx="40">
                        <c:v>0.33792456793497505</c:v>
                      </c:pt>
                      <c:pt idx="41">
                        <c:v>0.34927785254912813</c:v>
                      </c:pt>
                      <c:pt idx="42">
                        <c:v>0.36079350792044823</c:v>
                      </c:pt>
                      <c:pt idx="43">
                        <c:v>0.37247316858554869</c:v>
                      </c:pt>
                      <c:pt idx="44">
                        <c:v>0.38431850669707701</c:v>
                      </c:pt>
                      <c:pt idx="45">
                        <c:v>0.39633123276334475</c:v>
                      </c:pt>
                      <c:pt idx="46">
                        <c:v>0.40851309641091671</c:v>
                      </c:pt>
                      <c:pt idx="47">
                        <c:v>0.42086588717084977</c:v>
                      </c:pt>
                      <c:pt idx="48">
                        <c:v>0.43339143528930013</c:v>
                      </c:pt>
                      <c:pt idx="49">
                        <c:v>0.44609161256324242</c:v>
                      </c:pt>
                      <c:pt idx="50">
                        <c:v>0.45896833320207958</c:v>
                      </c:pt>
                      <c:pt idx="51">
                        <c:v>0.47202355471594554</c:v>
                      </c:pt>
                      <c:pt idx="52">
                        <c:v>0.48525927883154174</c:v>
                      </c:pt>
                      <c:pt idx="53">
                        <c:v>0.49867755243637796</c:v>
                      </c:pt>
                      <c:pt idx="54">
                        <c:v>0.51228046855232179</c:v>
                      </c:pt>
                      <c:pt idx="55">
                        <c:v>0.52607016733940171</c:v>
                      </c:pt>
                      <c:pt idx="56">
                        <c:v>0.54004883713084195</c:v>
                      </c:pt>
                      <c:pt idx="57">
                        <c:v>0.55421871550034707</c:v>
                      </c:pt>
                      <c:pt idx="58">
                        <c:v>0.56858209036270013</c:v>
                      </c:pt>
                      <c:pt idx="59">
                        <c:v>0.58314130110877349</c:v>
                      </c:pt>
                      <c:pt idx="60">
                        <c:v>0.59789873977610186</c:v>
                      </c:pt>
                      <c:pt idx="61">
                        <c:v>0.61285685225621322</c:v>
                      </c:pt>
                      <c:pt idx="62">
                        <c:v>0.628018139539957</c:v>
                      </c:pt>
                      <c:pt idx="63">
                        <c:v>0.64338515900212578</c:v>
                      </c:pt>
                      <c:pt idx="64">
                        <c:v>0.65896052572672048</c:v>
                      </c:pt>
                      <c:pt idx="65">
                        <c:v>0.67474691387425312</c:v>
                      </c:pt>
                      <c:pt idx="66">
                        <c:v>0.6907470580925581</c:v>
                      </c:pt>
                      <c:pt idx="67">
                        <c:v>0.70696375497262565</c:v>
                      </c:pt>
                      <c:pt idx="68">
                        <c:v>0.72339986455104666</c:v>
                      </c:pt>
                      <c:pt idx="69">
                        <c:v>0.74005831186071813</c:v>
                      </c:pt>
                      <c:pt idx="70">
                        <c:v>0.75694208853153122</c:v>
                      </c:pt>
                      <c:pt idx="71">
                        <c:v>0.77405425444283504</c:v>
                      </c:pt>
                      <c:pt idx="72">
                        <c:v>0.79139793942954673</c:v>
                      </c:pt>
                      <c:pt idx="73">
                        <c:v>0.8089763450438564</c:v>
                      </c:pt>
                      <c:pt idx="74">
                        <c:v>0.82679274637456002</c:v>
                      </c:pt>
                      <c:pt idx="75">
                        <c:v>0.84485049392614386</c:v>
                      </c:pt>
                      <c:pt idx="76">
                        <c:v>0.86315301555982715</c:v>
                      </c:pt>
                      <c:pt idx="77">
                        <c:v>0.8817038184988818</c:v>
                      </c:pt>
                      <c:pt idx="78">
                        <c:v>0.900506491400623</c:v>
                      </c:pt>
                      <c:pt idx="79">
                        <c:v>0.91956470649760591</c:v>
                      </c:pt>
                      <c:pt idx="80">
                        <c:v>0.9388822218106363</c:v>
                      </c:pt>
                      <c:pt idx="81">
                        <c:v>0.95846288343635222</c:v>
                      </c:pt>
                      <c:pt idx="82">
                        <c:v>0.97831062791223189</c:v>
                      </c:pt>
                      <c:pt idx="83">
                        <c:v>0.99842948466202908</c:v>
                      </c:pt>
                      <c:pt idx="84">
                        <c:v>1.0188235785247592</c:v>
                      </c:pt>
                      <c:pt idx="85">
                        <c:v>1.0394971323705102</c:v>
                      </c:pt>
                      <c:pt idx="86">
                        <c:v>1.0604544698064955</c:v>
                      </c:pt>
                      <c:pt idx="87">
                        <c:v>1.0817000179769216</c:v>
                      </c:pt>
                      <c:pt idx="88">
                        <c:v>1.1032383104604215</c:v>
                      </c:pt>
                      <c:pt idx="89">
                        <c:v>1.1250739902689517</c:v>
                      </c:pt>
                      <c:pt idx="90">
                        <c:v>1.147211812952265</c:v>
                      </c:pt>
                      <c:pt idx="91">
                        <c:v>1.1696566498122314</c:v>
                      </c:pt>
                      <c:pt idx="92">
                        <c:v>1.1924134912315079</c:v>
                      </c:pt>
                      <c:pt idx="93">
                        <c:v>1.2154874501212529</c:v>
                      </c:pt>
                      <c:pt idx="94">
                        <c:v>1.2388837654928118</c:v>
                      </c:pt>
                      <c:pt idx="95">
                        <c:v>1.262607806158538</c:v>
                      </c:pt>
                      <c:pt idx="96">
                        <c:v>1.2866650745671535</c:v>
                      </c:pt>
                      <c:pt idx="97">
                        <c:v>1.3110612107793302</c:v>
                      </c:pt>
                      <c:pt idx="98">
                        <c:v>1.3358019965894303</c:v>
                      </c:pt>
                      <c:pt idx="99">
                        <c:v>1.3608933597996584</c:v>
                      </c:pt>
                      <c:pt idx="100">
                        <c:v>1.3863413786531598</c:v>
                      </c:pt>
                    </c:numCache>
                  </c:numRef>
                </c:val>
                <c:smooth val="0"/>
                <c:extLst xmlns:c15="http://schemas.microsoft.com/office/drawing/2012/chart">
                  <c:ext xmlns:c16="http://schemas.microsoft.com/office/drawing/2014/chart" uri="{C3380CC4-5D6E-409C-BE32-E72D297353CC}">
                    <c16:uniqueId val="{00000007-0C66-4A53-91BE-779AAB69F7ED}"/>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'Efficiency vs Load Calculations'!$AF$8</c15:sqref>
                        </c15:formulaRef>
                      </c:ext>
                    </c:extLst>
                    <c:strCache>
                      <c:ptCount val="1"/>
                      <c:pt idx="0">
                        <c:v>Total Cin Loss</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Calculations'!$AF$9:$AF$109</c15:sqref>
                        </c15:formulaRef>
                      </c:ext>
                    </c:extLst>
                    <c:numCache>
                      <c:formatCode>0.000</c:formatCode>
                      <c:ptCount val="101"/>
                      <c:pt idx="0">
                        <c:v>2.034502647210745E-4</c:v>
                      </c:pt>
                      <c:pt idx="1">
                        <c:v>2.0913117708364773E-4</c:v>
                      </c:pt>
                      <c:pt idx="2">
                        <c:v>2.2615994059076077E-4</c:v>
                      </c:pt>
                      <c:pt idx="3">
                        <c:v>2.5453146023693928E-4</c:v>
                      </c:pt>
                      <c:pt idx="4">
                        <c:v>2.9424063848740566E-4</c:v>
                      </c:pt>
                      <c:pt idx="5">
                        <c:v>3.4528237527848107E-4</c:v>
                      </c:pt>
                      <c:pt idx="6">
                        <c:v>4.0765156801798809E-4</c:v>
                      </c:pt>
                      <c:pt idx="7">
                        <c:v>4.8134311158565252E-4</c:v>
                      </c:pt>
                      <c:pt idx="8">
                        <c:v>5.6635189833350555E-4</c:v>
                      </c:pt>
                      <c:pt idx="9">
                        <c:v>6.6267281808628665E-4</c:v>
                      </c:pt>
                      <c:pt idx="10">
                        <c:v>7.7030075814184316E-4</c:v>
                      </c:pt>
                      <c:pt idx="11">
                        <c:v>8.8923060327153599E-4</c:v>
                      </c:pt>
                      <c:pt idx="12">
                        <c:v>1.0194572357206371E-3</c:v>
                      </c:pt>
                      <c:pt idx="13">
                        <c:v>1.1609755352087374E-3</c:v>
                      </c:pt>
                      <c:pt idx="14">
                        <c:v>1.3137803789301404E-3</c:v>
                      </c:pt>
                      <c:pt idx="15">
                        <c:v>1.4778666415542711E-3</c:v>
                      </c:pt>
                      <c:pt idx="16">
                        <c:v>1.6532291952260755E-3</c:v>
                      </c:pt>
                      <c:pt idx="17">
                        <c:v>1.8398629095664179E-3</c:v>
                      </c:pt>
                      <c:pt idx="18">
                        <c:v>2.037762651672491E-3</c:v>
                      </c:pt>
                      <c:pt idx="19">
                        <c:v>2.2469232861182108E-3</c:v>
                      </c:pt>
                      <c:pt idx="20">
                        <c:v>2.4673396749546185E-3</c:v>
                      </c:pt>
                      <c:pt idx="21">
                        <c:v>2.6990066777102853E-3</c:v>
                      </c:pt>
                      <c:pt idx="22">
                        <c:v>2.9419191513917111E-3</c:v>
                      </c:pt>
                      <c:pt idx="23">
                        <c:v>3.1960719504837251E-3</c:v>
                      </c:pt>
                      <c:pt idx="24">
                        <c:v>3.4614599269498919E-3</c:v>
                      </c:pt>
                      <c:pt idx="25">
                        <c:v>3.7380779302329053E-3</c:v>
                      </c:pt>
                      <c:pt idx="26">
                        <c:v>4.0259208072549952E-3</c:v>
                      </c:pt>
                      <c:pt idx="27">
                        <c:v>4.3249834024183288E-3</c:v>
                      </c:pt>
                      <c:pt idx="28">
                        <c:v>4.6352605576054032E-3</c:v>
                      </c:pt>
                      <c:pt idx="29">
                        <c:v>4.9567471121794611E-3</c:v>
                      </c:pt>
                      <c:pt idx="30">
                        <c:v>5.289437902984878E-3</c:v>
                      </c:pt>
                      <c:pt idx="31">
                        <c:v>5.6333277643475701E-3</c:v>
                      </c:pt>
                      <c:pt idx="32">
                        <c:v>5.9884115280753889E-3</c:v>
                      </c:pt>
                      <c:pt idx="33">
                        <c:v>6.3546840234585391E-3</c:v>
                      </c:pt>
                      <c:pt idx="34">
                        <c:v>6.7321400772699528E-3</c:v>
                      </c:pt>
                      <c:pt idx="35">
                        <c:v>7.1207745137657078E-3</c:v>
                      </c:pt>
                      <c:pt idx="36">
                        <c:v>7.5205821546854316E-3</c:v>
                      </c:pt>
                      <c:pt idx="37">
                        <c:v>7.9315578192526801E-3</c:v>
                      </c:pt>
                      <c:pt idx="38">
                        <c:v>8.3536963241753696E-3</c:v>
                      </c:pt>
                      <c:pt idx="39">
                        <c:v>8.7869924836461531E-3</c:v>
                      </c:pt>
                      <c:pt idx="40">
                        <c:v>9.2314411093428195E-3</c:v>
                      </c:pt>
                      <c:pt idx="41">
                        <c:v>9.6870370104287194E-3</c:v>
                      </c:pt>
                      <c:pt idx="42">
                        <c:v>1.0153774993553135E-2</c:v>
                      </c:pt>
                      <c:pt idx="43">
                        <c:v>1.0631649862851696E-2</c:v>
                      </c:pt>
                      <c:pt idx="44">
                        <c:v>1.1120656419946775E-2</c:v>
                      </c:pt>
                      <c:pt idx="45">
                        <c:v>1.1620789463947895E-2</c:v>
                      </c:pt>
                      <c:pt idx="46">
                        <c:v>1.2132043791452123E-2</c:v>
                      </c:pt>
                      <c:pt idx="47">
                        <c:v>1.2654414196544473E-2</c:v>
                      </c:pt>
                      <c:pt idx="48">
                        <c:v>1.3187895470798299E-2</c:v>
                      </c:pt>
                      <c:pt idx="49">
                        <c:v>1.3732482403275702E-2</c:v>
                      </c:pt>
                      <c:pt idx="50">
                        <c:v>1.4288169780527934E-2</c:v>
                      </c:pt>
                      <c:pt idx="51">
                        <c:v>1.4854952386595772E-2</c:v>
                      </c:pt>
                      <c:pt idx="52">
                        <c:v>1.5432825003009965E-2</c:v>
                      </c:pt>
                      <c:pt idx="53">
                        <c:v>1.6021782408791593E-2</c:v>
                      </c:pt>
                      <c:pt idx="54">
                        <c:v>1.6621819380452464E-2</c:v>
                      </c:pt>
                      <c:pt idx="55">
                        <c:v>1.7232930691995538E-2</c:v>
                      </c:pt>
                      <c:pt idx="56">
                        <c:v>1.7855111114915348E-2</c:v>
                      </c:pt>
                      <c:pt idx="57">
                        <c:v>1.8488355418198332E-2</c:v>
                      </c:pt>
                      <c:pt idx="58">
                        <c:v>1.9132658368323282E-2</c:v>
                      </c:pt>
                      <c:pt idx="59">
                        <c:v>1.9788014729261737E-2</c:v>
                      </c:pt>
                      <c:pt idx="60">
                        <c:v>2.0454419262478339E-2</c:v>
                      </c:pt>
                      <c:pt idx="61">
                        <c:v>2.1131866726931334E-2</c:v>
                      </c:pt>
                      <c:pt idx="62">
                        <c:v>2.1820351879072844E-2</c:v>
                      </c:pt>
                      <c:pt idx="63">
                        <c:v>2.2519869472849358E-2</c:v>
                      </c:pt>
                      <c:pt idx="64">
                        <c:v>2.3230414259702119E-2</c:v>
                      </c:pt>
                      <c:pt idx="65">
                        <c:v>2.3951980988567462E-2</c:v>
                      </c:pt>
                      <c:pt idx="66">
                        <c:v>2.4684564405877282E-2</c:v>
                      </c:pt>
                      <c:pt idx="67">
                        <c:v>2.5428159255559406E-2</c:v>
                      </c:pt>
                      <c:pt idx="68">
                        <c:v>2.6182760279038007E-2</c:v>
                      </c:pt>
                      <c:pt idx="69">
                        <c:v>2.6948362215233949E-2</c:v>
                      </c:pt>
                      <c:pt idx="70">
                        <c:v>2.7724959800565253E-2</c:v>
                      </c:pt>
                      <c:pt idx="71">
                        <c:v>2.8512547768947457E-2</c:v>
                      </c:pt>
                      <c:pt idx="72">
                        <c:v>2.9311120851794051E-2</c:v>
                      </c:pt>
                      <c:pt idx="73">
                        <c:v>3.0120673778016822E-2</c:v>
                      </c:pt>
                      <c:pt idx="74">
                        <c:v>3.0941201274026289E-2</c:v>
                      </c:pt>
                      <c:pt idx="75">
                        <c:v>3.1772698063732084E-2</c:v>
                      </c:pt>
                      <c:pt idx="76">
                        <c:v>3.2615158868543367E-2</c:v>
                      </c:pt>
                      <c:pt idx="77">
                        <c:v>3.3468578407369248E-2</c:v>
                      </c:pt>
                      <c:pt idx="78">
                        <c:v>3.4332951396619085E-2</c:v>
                      </c:pt>
                      <c:pt idx="79">
                        <c:v>3.5208272550203062E-2</c:v>
                      </c:pt>
                      <c:pt idx="80">
                        <c:v>3.6094536579532308E-2</c:v>
                      </c:pt>
                      <c:pt idx="81">
                        <c:v>3.6991738193519627E-2</c:v>
                      </c:pt>
                      <c:pt idx="82">
                        <c:v>3.7899872098579639E-2</c:v>
                      </c:pt>
                      <c:pt idx="83">
                        <c:v>3.8818932998629319E-2</c:v>
                      </c:pt>
                      <c:pt idx="84">
                        <c:v>3.9748915595088322E-2</c:v>
                      </c:pt>
                      <c:pt idx="85">
                        <c:v>4.0689814586879383E-2</c:v>
                      </c:pt>
                      <c:pt idx="86">
                        <c:v>4.1641624670428805E-2</c:v>
                      </c:pt>
                      <c:pt idx="87">
                        <c:v>4.2604340539666732E-2</c:v>
                      </c:pt>
                      <c:pt idx="88">
                        <c:v>4.3577956886027669E-2</c:v>
                      </c:pt>
                      <c:pt idx="89">
                        <c:v>4.4562468398450697E-2</c:v>
                      </c:pt>
                      <c:pt idx="90">
                        <c:v>4.555786976338011E-2</c:v>
                      </c:pt>
                      <c:pt idx="91">
                        <c:v>4.6564155664765614E-2</c:v>
                      </c:pt>
                      <c:pt idx="92">
                        <c:v>4.758132078406286E-2</c:v>
                      </c:pt>
                      <c:pt idx="93">
                        <c:v>4.8609359800233794E-2</c:v>
                      </c:pt>
                      <c:pt idx="94">
                        <c:v>4.9648267389746925E-2</c:v>
                      </c:pt>
                      <c:pt idx="95">
                        <c:v>5.0698038226578007E-2</c:v>
                      </c:pt>
                      <c:pt idx="96">
                        <c:v>5.1758666982210086E-2</c:v>
                      </c:pt>
                      <c:pt idx="97">
                        <c:v>5.2830148325634277E-2</c:v>
                      </c:pt>
                      <c:pt idx="98">
                        <c:v>5.3912476923349793E-2</c:v>
                      </c:pt>
                      <c:pt idx="99">
                        <c:v>5.5005647439364674E-2</c:v>
                      </c:pt>
                      <c:pt idx="100">
                        <c:v>5.6109654535195889E-2</c:v>
                      </c:pt>
                    </c:numCache>
                  </c:numRef>
                </c:val>
                <c:smooth val="0"/>
                <c:extLst xmlns:c15="http://schemas.microsoft.com/office/drawing/2012/chart">
                  <c:ext xmlns:c16="http://schemas.microsoft.com/office/drawing/2014/chart" uri="{C3380CC4-5D6E-409C-BE32-E72D297353CC}">
                    <c16:uniqueId val="{00000008-0C66-4A53-91BE-779AAB69F7ED}"/>
                  </c:ext>
                </c:extLst>
              </c15:ser>
            </c15:filteredLineSeries>
            <c15:filteredLineSeries>
              <c15:ser>
                <c:idx val="5"/>
                <c:order val="9"/>
                <c:tx>
                  <c:strRef>
                    <c:extLst xmlns:c15="http://schemas.microsoft.com/office/drawing/2012/chart">
                      <c:ext xmlns:c15="http://schemas.microsoft.com/office/drawing/2012/chart" uri="{02D57815-91ED-43cb-92C2-25804820EDAC}">
                        <c15:formulaRef>
                          <c15:sqref>'Efficiency vs Load Calculations'!$AC$8</c15:sqref>
                        </c15:formulaRef>
                      </c:ext>
                    </c:extLst>
                    <c:strCache>
                      <c:ptCount val="1"/>
                      <c:pt idx="0">
                        <c:v>Total Cout Loss</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Calculations'!$AC$9:$AC$109</c15:sqref>
                        </c15:formulaRef>
                      </c:ext>
                    </c:extLst>
                    <c:numCache>
                      <c:formatCode>0.000</c:formatCode>
                      <c:ptCount val="101"/>
                      <c:pt idx="0">
                        <c:v>2.5805462293388448E-3</c:v>
                      </c:pt>
                      <c:pt idx="1">
                        <c:v>2.5809990752498992E-3</c:v>
                      </c:pt>
                      <c:pt idx="2">
                        <c:v>2.5814519473044322E-3</c:v>
                      </c:pt>
                      <c:pt idx="3">
                        <c:v>2.5819048454994815E-3</c:v>
                      </c:pt>
                      <c:pt idx="4">
                        <c:v>2.5823577698320839E-3</c:v>
                      </c:pt>
                      <c:pt idx="5">
                        <c:v>2.582810720299273E-3</c:v>
                      </c:pt>
                      <c:pt idx="6">
                        <c:v>2.5832636968980889E-3</c:v>
                      </c:pt>
                      <c:pt idx="7">
                        <c:v>2.5837166996255652E-3</c:v>
                      </c:pt>
                      <c:pt idx="8">
                        <c:v>2.5841697284787394E-3</c:v>
                      </c:pt>
                      <c:pt idx="9">
                        <c:v>2.5846227834546561E-3</c:v>
                      </c:pt>
                      <c:pt idx="10">
                        <c:v>2.5850758645503437E-3</c:v>
                      </c:pt>
                      <c:pt idx="11">
                        <c:v>2.5855289717628457E-3</c:v>
                      </c:pt>
                      <c:pt idx="12">
                        <c:v>2.5859821050891983E-3</c:v>
                      </c:pt>
                      <c:pt idx="13">
                        <c:v>2.5864352645264444E-3</c:v>
                      </c:pt>
                      <c:pt idx="14">
                        <c:v>2.5868884500716166E-3</c:v>
                      </c:pt>
                      <c:pt idx="15">
                        <c:v>2.5873416617217611E-3</c:v>
                      </c:pt>
                      <c:pt idx="16">
                        <c:v>2.5877948994739121E-3</c:v>
                      </c:pt>
                      <c:pt idx="17">
                        <c:v>2.5882481633251126E-3</c:v>
                      </c:pt>
                      <c:pt idx="18">
                        <c:v>2.5887014532723985E-3</c:v>
                      </c:pt>
                      <c:pt idx="19">
                        <c:v>2.5891547693128155E-3</c:v>
                      </c:pt>
                      <c:pt idx="20">
                        <c:v>2.5896081114434024E-3</c:v>
                      </c:pt>
                      <c:pt idx="21">
                        <c:v>2.5900614796612021E-3</c:v>
                      </c:pt>
                      <c:pt idx="22">
                        <c:v>2.5905148739632541E-3</c:v>
                      </c:pt>
                      <c:pt idx="23">
                        <c:v>2.5909682943465969E-3</c:v>
                      </c:pt>
                      <c:pt idx="24">
                        <c:v>2.5914217408082767E-3</c:v>
                      </c:pt>
                      <c:pt idx="25">
                        <c:v>2.5918752133453371E-3</c:v>
                      </c:pt>
                      <c:pt idx="26">
                        <c:v>2.5923287119548168E-3</c:v>
                      </c:pt>
                      <c:pt idx="27">
                        <c:v>2.5927822366337556E-3</c:v>
                      </c:pt>
                      <c:pt idx="28">
                        <c:v>2.5932357873792067E-3</c:v>
                      </c:pt>
                      <c:pt idx="29">
                        <c:v>2.5936893641882041E-3</c:v>
                      </c:pt>
                      <c:pt idx="30">
                        <c:v>2.5941429670577948E-3</c:v>
                      </c:pt>
                      <c:pt idx="31">
                        <c:v>2.594596595985022E-3</c:v>
                      </c:pt>
                      <c:pt idx="32">
                        <c:v>2.595050250966935E-3</c:v>
                      </c:pt>
                      <c:pt idx="33">
                        <c:v>2.5955039320005669E-3</c:v>
                      </c:pt>
                      <c:pt idx="34">
                        <c:v>2.5959576390829743E-3</c:v>
                      </c:pt>
                      <c:pt idx="35">
                        <c:v>2.5964113722111949E-3</c:v>
                      </c:pt>
                      <c:pt idx="36">
                        <c:v>2.5968651313822764E-3</c:v>
                      </c:pt>
                      <c:pt idx="37">
                        <c:v>2.5973189165932674E-3</c:v>
                      </c:pt>
                      <c:pt idx="38">
                        <c:v>2.5977727278412061E-3</c:v>
                      </c:pt>
                      <c:pt idx="39">
                        <c:v>2.5982265651231461E-3</c:v>
                      </c:pt>
                      <c:pt idx="40">
                        <c:v>2.5986804284361294E-3</c:v>
                      </c:pt>
                      <c:pt idx="41">
                        <c:v>2.5991343177772055E-3</c:v>
                      </c:pt>
                      <c:pt idx="42">
                        <c:v>2.5995882331434203E-3</c:v>
                      </c:pt>
                      <c:pt idx="43">
                        <c:v>2.6000421745318229E-3</c:v>
                      </c:pt>
                      <c:pt idx="44">
                        <c:v>2.600496141939454E-3</c:v>
                      </c:pt>
                      <c:pt idx="45">
                        <c:v>2.6009501353633701E-3</c:v>
                      </c:pt>
                      <c:pt idx="46">
                        <c:v>2.6014041548006166E-3</c:v>
                      </c:pt>
                      <c:pt idx="47">
                        <c:v>2.6018582002482397E-3</c:v>
                      </c:pt>
                      <c:pt idx="48">
                        <c:v>2.6023122717032904E-3</c:v>
                      </c:pt>
                      <c:pt idx="49">
                        <c:v>2.6027663691628152E-3</c:v>
                      </c:pt>
                      <c:pt idx="50">
                        <c:v>2.603220492623866E-3</c:v>
                      </c:pt>
                      <c:pt idx="51">
                        <c:v>2.6036746420834934E-3</c:v>
                      </c:pt>
                      <c:pt idx="52">
                        <c:v>2.6041288175387423E-3</c:v>
                      </c:pt>
                      <c:pt idx="53">
                        <c:v>2.604583018986667E-3</c:v>
                      </c:pt>
                      <c:pt idx="54">
                        <c:v>2.6050372464243177E-3</c:v>
                      </c:pt>
                      <c:pt idx="55">
                        <c:v>2.6054914998487415E-3</c:v>
                      </c:pt>
                      <c:pt idx="56">
                        <c:v>2.605945779256995E-3</c:v>
                      </c:pt>
                      <c:pt idx="57">
                        <c:v>2.6064000846461239E-3</c:v>
                      </c:pt>
                      <c:pt idx="58">
                        <c:v>2.6068544160131844E-3</c:v>
                      </c:pt>
                      <c:pt idx="59">
                        <c:v>2.607308773355228E-3</c:v>
                      </c:pt>
                      <c:pt idx="60">
                        <c:v>2.607763156669302E-3</c:v>
                      </c:pt>
                      <c:pt idx="61">
                        <c:v>2.6082175659524632E-3</c:v>
                      </c:pt>
                      <c:pt idx="62">
                        <c:v>2.6086720012017629E-3</c:v>
                      </c:pt>
                      <c:pt idx="63">
                        <c:v>2.6091264624142534E-3</c:v>
                      </c:pt>
                      <c:pt idx="64">
                        <c:v>2.60958094958699E-3</c:v>
                      </c:pt>
                      <c:pt idx="65">
                        <c:v>2.6100354627170241E-3</c:v>
                      </c:pt>
                      <c:pt idx="66">
                        <c:v>2.6104900018014145E-3</c:v>
                      </c:pt>
                      <c:pt idx="67">
                        <c:v>2.6109445668372044E-3</c:v>
                      </c:pt>
                      <c:pt idx="68">
                        <c:v>2.611399157821459E-3</c:v>
                      </c:pt>
                      <c:pt idx="69">
                        <c:v>2.611853774751231E-3</c:v>
                      </c:pt>
                      <c:pt idx="70">
                        <c:v>2.6123084176235701E-3</c:v>
                      </c:pt>
                      <c:pt idx="71">
                        <c:v>2.6127630864355377E-3</c:v>
                      </c:pt>
                      <c:pt idx="72">
                        <c:v>2.6132177811841835E-3</c:v>
                      </c:pt>
                      <c:pt idx="73">
                        <c:v>2.6136725018665687E-3</c:v>
                      </c:pt>
                      <c:pt idx="74">
                        <c:v>2.6141272484797441E-3</c:v>
                      </c:pt>
                      <c:pt idx="75">
                        <c:v>2.6145820210207726E-3</c:v>
                      </c:pt>
                      <c:pt idx="76">
                        <c:v>2.6150368194867036E-3</c:v>
                      </c:pt>
                      <c:pt idx="77">
                        <c:v>2.6154916438746005E-3</c:v>
                      </c:pt>
                      <c:pt idx="78">
                        <c:v>2.615946494181517E-3</c:v>
                      </c:pt>
                      <c:pt idx="79">
                        <c:v>2.6164013704045091E-3</c:v>
                      </c:pt>
                      <c:pt idx="80">
                        <c:v>2.6168562725406401E-3</c:v>
                      </c:pt>
                      <c:pt idx="81">
                        <c:v>2.6173112005869613E-3</c:v>
                      </c:pt>
                      <c:pt idx="82">
                        <c:v>2.6177661545405398E-3</c:v>
                      </c:pt>
                      <c:pt idx="83">
                        <c:v>2.6182211343984234E-3</c:v>
                      </c:pt>
                      <c:pt idx="84">
                        <c:v>2.6186761401576788E-3</c:v>
                      </c:pt>
                      <c:pt idx="85">
                        <c:v>2.6191311718153608E-3</c:v>
                      </c:pt>
                      <c:pt idx="86">
                        <c:v>2.6195862293685343E-3</c:v>
                      </c:pt>
                      <c:pt idx="87">
                        <c:v>2.6200413128142541E-3</c:v>
                      </c:pt>
                      <c:pt idx="88">
                        <c:v>2.6204964221495843E-3</c:v>
                      </c:pt>
                      <c:pt idx="89">
                        <c:v>2.6209515573715815E-3</c:v>
                      </c:pt>
                      <c:pt idx="90">
                        <c:v>2.6214067184773078E-3</c:v>
                      </c:pt>
                      <c:pt idx="91">
                        <c:v>2.6218619054638259E-3</c:v>
                      </c:pt>
                      <c:pt idx="92">
                        <c:v>2.6223171183281926E-3</c:v>
                      </c:pt>
                      <c:pt idx="93">
                        <c:v>2.6227723570674726E-3</c:v>
                      </c:pt>
                      <c:pt idx="94">
                        <c:v>2.6232276216787238E-3</c:v>
                      </c:pt>
                      <c:pt idx="95">
                        <c:v>2.6236829121590133E-3</c:v>
                      </c:pt>
                      <c:pt idx="96">
                        <c:v>2.6241382285054015E-3</c:v>
                      </c:pt>
                      <c:pt idx="97">
                        <c:v>2.624593570714955E-3</c:v>
                      </c:pt>
                      <c:pt idx="98">
                        <c:v>2.6250489387847267E-3</c:v>
                      </c:pt>
                      <c:pt idx="99">
                        <c:v>2.6255043327117898E-3</c:v>
                      </c:pt>
                      <c:pt idx="100">
                        <c:v>2.6259597524932012E-3</c:v>
                      </c:pt>
                    </c:numCache>
                  </c:numRef>
                </c:val>
                <c:smooth val="0"/>
                <c:extLst xmlns:c15="http://schemas.microsoft.com/office/drawing/2012/chart">
                  <c:ext xmlns:c16="http://schemas.microsoft.com/office/drawing/2014/chart" uri="{C3380CC4-5D6E-409C-BE32-E72D297353CC}">
                    <c16:uniqueId val="{00000009-0C66-4A53-91BE-779AAB69F7ED}"/>
                  </c:ext>
                </c:extLst>
              </c15:ser>
            </c15:filteredLineSeries>
            <c15:filteredLineSeries>
              <c15:ser>
                <c:idx val="4"/>
                <c:order val="10"/>
                <c:tx>
                  <c:strRef>
                    <c:extLst xmlns:c15="http://schemas.microsoft.com/office/drawing/2012/chart">
                      <c:ext xmlns:c15="http://schemas.microsoft.com/office/drawing/2012/chart" uri="{02D57815-91ED-43cb-92C2-25804820EDAC}">
                        <c15:formulaRef>
                          <c15:sqref>'Efficiency vs Load Calculations'!$AG$7</c15:sqref>
                        </c15:formulaRef>
                      </c:ext>
                    </c:extLst>
                    <c:strCache>
                      <c:ptCount val="1"/>
                      <c:pt idx="0">
                        <c:v>High-side BUCK "Control"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Calculations'!$AK$9:$AK$109</c15:sqref>
                        </c15:formulaRef>
                      </c:ext>
                    </c:extLst>
                    <c:numCache>
                      <c:formatCode>0.000</c:formatCode>
                      <c:ptCount val="101"/>
                      <c:pt idx="0">
                        <c:v>3.1529105136505538E-2</c:v>
                      </c:pt>
                      <c:pt idx="1">
                        <c:v>5.3106713268902185E-2</c:v>
                      </c:pt>
                      <c:pt idx="2">
                        <c:v>7.4218113516084344E-2</c:v>
                      </c:pt>
                      <c:pt idx="3">
                        <c:v>9.5455165450885018E-2</c:v>
                      </c:pt>
                      <c:pt idx="4">
                        <c:v>0.11681974744040888</c:v>
                      </c:pt>
                      <c:pt idx="5">
                        <c:v>0.13831376074052237</c:v>
                      </c:pt>
                      <c:pt idx="6">
                        <c:v>0.15993913006002361</c:v>
                      </c:pt>
                      <c:pt idx="7">
                        <c:v>0.18169780413543077</c:v>
                      </c:pt>
                      <c:pt idx="8">
                        <c:v>0.20359175631675114</c:v>
                      </c:pt>
                      <c:pt idx="9">
                        <c:v>0.22562298516459914</c:v>
                      </c:pt>
                      <c:pt idx="10">
                        <c:v>0.24779351505904462</c:v>
                      </c:pt>
                      <c:pt idx="11">
                        <c:v>0.2719012890650821</c:v>
                      </c:pt>
                      <c:pt idx="12">
                        <c:v>0.29724898542183958</c:v>
                      </c:pt>
                      <c:pt idx="13">
                        <c:v>0.32274437549472201</c:v>
                      </c:pt>
                      <c:pt idx="14">
                        <c:v>0.34838984857755884</c:v>
                      </c:pt>
                      <c:pt idx="15">
                        <c:v>0.37418782382681376</c:v>
                      </c:pt>
                      <c:pt idx="16">
                        <c:v>0.40014075102564467</c:v>
                      </c:pt>
                      <c:pt idx="17">
                        <c:v>0.42625111136323546</c:v>
                      </c:pt>
                      <c:pt idx="18">
                        <c:v>0.45252141822992287</c:v>
                      </c:pt>
                      <c:pt idx="19">
                        <c:v>0.47895421802865679</c:v>
                      </c:pt>
                      <c:pt idx="20">
                        <c:v>0.50555209100334519</c:v>
                      </c:pt>
                      <c:pt idx="21">
                        <c:v>0.53231765208465409</c:v>
                      </c:pt>
                      <c:pt idx="22">
                        <c:v>0.55925355175384828</c:v>
                      </c:pt>
                      <c:pt idx="23">
                        <c:v>0.58636247692527477</c:v>
                      </c:pt>
                      <c:pt idx="24">
                        <c:v>0.61364715184811169</c:v>
                      </c:pt>
                      <c:pt idx="25">
                        <c:v>0.64111033902802017</c:v>
                      </c:pt>
                      <c:pt idx="26">
                        <c:v>0.66875484016936337</c:v>
                      </c:pt>
                      <c:pt idx="27">
                        <c:v>0.69658349713866707</c:v>
                      </c:pt>
                      <c:pt idx="28">
                        <c:v>0.72459919295002817</c:v>
                      </c:pt>
                      <c:pt idx="29">
                        <c:v>0.75280485277319265</c:v>
                      </c:pt>
                      <c:pt idx="30">
                        <c:v>0.7812034449650499</c:v>
                      </c:pt>
                      <c:pt idx="31">
                        <c:v>0.80979798212531418</c:v>
                      </c:pt>
                      <c:pt idx="32">
                        <c:v>0.83859152217718969</c:v>
                      </c:pt>
                      <c:pt idx="33">
                        <c:v>0.8675871694738414</c:v>
                      </c:pt>
                      <c:pt idx="34">
                        <c:v>0.89678807593151988</c:v>
                      </c:pt>
                      <c:pt idx="35">
                        <c:v>0.92619744219021827</c:v>
                      </c:pt>
                      <c:pt idx="36">
                        <c:v>0.95581851880276913</c:v>
                      </c:pt>
                      <c:pt idx="37">
                        <c:v>0.98565460745331668</c:v>
                      </c:pt>
                      <c:pt idx="38">
                        <c:v>1.0157090622061351</c:v>
                      </c:pt>
                      <c:pt idx="39">
                        <c:v>1.0459852907858</c:v>
                      </c:pt>
                      <c:pt idx="40">
                        <c:v>1.0764867558897406</c:v>
                      </c:pt>
                      <c:pt idx="41">
                        <c:v>1.107216976534257</c:v>
                      </c:pt>
                      <c:pt idx="42">
                        <c:v>1.1381795294351091</c:v>
                      </c:pt>
                      <c:pt idx="43">
                        <c:v>1.1693780504238263</c:v>
                      </c:pt>
                      <c:pt idx="44">
                        <c:v>1.2008162359009338</c:v>
                      </c:pt>
                      <c:pt idx="45">
                        <c:v>1.2324978443273253</c:v>
                      </c:pt>
                      <c:pt idx="46">
                        <c:v>1.2644266977550658</c:v>
                      </c:pt>
                      <c:pt idx="47">
                        <c:v>1.2966066833989431</c:v>
                      </c:pt>
                      <c:pt idx="48">
                        <c:v>1.329041755250147</c:v>
                      </c:pt>
                      <c:pt idx="49">
                        <c:v>1.361735935733497</c:v>
                      </c:pt>
                      <c:pt idx="50">
                        <c:v>1.394693317409696</c:v>
                      </c:pt>
                      <c:pt idx="51">
                        <c:v>1.4279180647241378</c:v>
                      </c:pt>
                      <c:pt idx="52">
                        <c:v>1.4614144158038633</c:v>
                      </c:pt>
                      <c:pt idx="53">
                        <c:v>1.495186684304304</c:v>
                      </c:pt>
                      <c:pt idx="54">
                        <c:v>1.5292392613075323</c:v>
                      </c:pt>
                      <c:pt idx="55">
                        <c:v>1.5635766172737862</c:v>
                      </c:pt>
                      <c:pt idx="56">
                        <c:v>1.5982033040481187</c:v>
                      </c:pt>
                      <c:pt idx="57">
                        <c:v>1.6331239569240754</c:v>
                      </c:pt>
                      <c:pt idx="58">
                        <c:v>1.6683432967664018</c:v>
                      </c:pt>
                      <c:pt idx="59">
                        <c:v>1.7038661321948327</c:v>
                      </c:pt>
                      <c:pt idx="60">
                        <c:v>1.7396973618311173</c:v>
                      </c:pt>
                      <c:pt idx="61">
                        <c:v>1.7758419766115103</c:v>
                      </c:pt>
                      <c:pt idx="62">
                        <c:v>1.812305062167042</c:v>
                      </c:pt>
                      <c:pt idx="63">
                        <c:v>1.8490918012739848</c:v>
                      </c:pt>
                      <c:pt idx="64">
                        <c:v>1.8862074763770205</c:v>
                      </c:pt>
                      <c:pt idx="65">
                        <c:v>1.9236574721877153</c:v>
                      </c:pt>
                      <c:pt idx="66">
                        <c:v>1.9614472783610186</c:v>
                      </c:pt>
                      <c:pt idx="67">
                        <c:v>1.9995824922526075</c:v>
                      </c:pt>
                      <c:pt idx="68">
                        <c:v>2.0380688217600231</c:v>
                      </c:pt>
                      <c:pt idx="69">
                        <c:v>2.0769120882506424</c:v>
                      </c:pt>
                      <c:pt idx="70">
                        <c:v>2.1161182295796972</c:v>
                      </c:pt>
                      <c:pt idx="71">
                        <c:v>2.1556933032016361</c:v>
                      </c:pt>
                      <c:pt idx="72">
                        <c:v>2.1956434893783077</c:v>
                      </c:pt>
                      <c:pt idx="73">
                        <c:v>2.2359750944875478</c:v>
                      </c:pt>
                      <c:pt idx="74">
                        <c:v>2.2766945544359531</c:v>
                      </c:pt>
                      <c:pt idx="75">
                        <c:v>2.3178084381797279</c:v>
                      </c:pt>
                      <c:pt idx="76">
                        <c:v>2.359323451357715</c:v>
                      </c:pt>
                      <c:pt idx="77">
                        <c:v>2.4012464400408531</c:v>
                      </c:pt>
                      <c:pt idx="78">
                        <c:v>2.4435843946024987</c:v>
                      </c:pt>
                      <c:pt idx="79">
                        <c:v>2.4863444537142776</c:v>
                      </c:pt>
                      <c:pt idx="80">
                        <c:v>2.5295339084722674</c:v>
                      </c:pt>
                      <c:pt idx="81">
                        <c:v>2.5731602066585961</c:v>
                      </c:pt>
                      <c:pt idx="82">
                        <c:v>2.6172309571437076</c:v>
                      </c:pt>
                      <c:pt idx="83">
                        <c:v>2.661753934434826</c:v>
                      </c:pt>
                      <c:pt idx="84">
                        <c:v>2.7067370833763569</c:v>
                      </c:pt>
                      <c:pt idx="85">
                        <c:v>2.7521885240082544</c:v>
                      </c:pt>
                      <c:pt idx="86">
                        <c:v>2.7981165565886417</c:v>
                      </c:pt>
                      <c:pt idx="87">
                        <c:v>2.8445296667872495</c:v>
                      </c:pt>
                      <c:pt idx="88">
                        <c:v>2.8914365310565624</c:v>
                      </c:pt>
                      <c:pt idx="89">
                        <c:v>2.9388460221878554</c:v>
                      </c:pt>
                      <c:pt idx="90">
                        <c:v>2.9867672150596576</c:v>
                      </c:pt>
                      <c:pt idx="91">
                        <c:v>3.0352093925865051</c:v>
                      </c:pt>
                      <c:pt idx="92">
                        <c:v>3.0841820518762408</c:v>
                      </c:pt>
                      <c:pt idx="93">
                        <c:v>3.133694910604504</c:v>
                      </c:pt>
                      <c:pt idx="94">
                        <c:v>3.1837579136154215</c:v>
                      </c:pt>
                      <c:pt idx="95">
                        <c:v>3.2343812397580307</c:v>
                      </c:pt>
                      <c:pt idx="96">
                        <c:v>3.2855753089683071</c:v>
                      </c:pt>
                      <c:pt idx="97">
                        <c:v>3.3373507896072625</c:v>
                      </c:pt>
                      <c:pt idx="98">
                        <c:v>3.389718606065995</c:v>
                      </c:pt>
                      <c:pt idx="99">
                        <c:v>3.4426899466491623</c:v>
                      </c:pt>
                      <c:pt idx="100">
                        <c:v>3.4962762717488824</c:v>
                      </c:pt>
                    </c:numCache>
                  </c:numRef>
                </c:val>
                <c:smooth val="0"/>
                <c:extLst xmlns:c15="http://schemas.microsoft.com/office/drawing/2012/chart">
                  <c:ext xmlns:c16="http://schemas.microsoft.com/office/drawing/2014/chart" uri="{C3380CC4-5D6E-409C-BE32-E72D297353CC}">
                    <c16:uniqueId val="{0000000A-0C66-4A53-91BE-779AAB69F7ED}"/>
                  </c:ext>
                </c:extLst>
              </c15:ser>
            </c15:filteredLineSeries>
            <c15:filteredLineSeries>
              <c15:ser>
                <c:idx val="2"/>
                <c:order val="11"/>
                <c:tx>
                  <c:strRef>
                    <c:extLst xmlns:c15="http://schemas.microsoft.com/office/drawing/2012/chart">
                      <c:ext xmlns:c15="http://schemas.microsoft.com/office/drawing/2012/chart" uri="{02D57815-91ED-43cb-92C2-25804820EDAC}">
                        <c15:formulaRef>
                          <c15:sqref>'Efficiency vs Load Calculations'!$BR$8</c15:sqref>
                        </c15:formulaRef>
                      </c:ext>
                    </c:extLst>
                    <c:strCache>
                      <c:ptCount val="1"/>
                      <c:pt idx="0">
                        <c:v>Buck ''Control'' MOSFET Loss</c:v>
                      </c:pt>
                    </c:strCache>
                  </c:strRef>
                </c:tx>
                <c:spPr>
                  <a:ln w="38100">
                    <a:solidFill>
                      <a:srgbClr val="808000"/>
                    </a:solidFill>
                    <a:prstDash val="sysDash"/>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Calculations'!$BR$9:$BR$109</c15:sqref>
                        </c15:formulaRef>
                      </c:ext>
                    </c:extLst>
                    <c:numCache>
                      <c:formatCode>0.000</c:formatCode>
                      <c:ptCount val="101"/>
                      <c:pt idx="0">
                        <c:v>3.1529105136505538E-2</c:v>
                      </c:pt>
                      <c:pt idx="1">
                        <c:v>5.4690673352102183E-2</c:v>
                      </c:pt>
                      <c:pt idx="2">
                        <c:v>7.7385953848884345E-2</c:v>
                      </c:pt>
                      <c:pt idx="3">
                        <c:v>0.10020680619968501</c:v>
                      </c:pt>
                      <c:pt idx="4">
                        <c:v>0.12315510877160887</c:v>
                      </c:pt>
                      <c:pt idx="5">
                        <c:v>0.14623276282052239</c:v>
                      </c:pt>
                      <c:pt idx="6">
                        <c:v>0.16944169305522361</c:v>
                      </c:pt>
                      <c:pt idx="7">
                        <c:v>0.19278384821223077</c:v>
                      </c:pt>
                      <c:pt idx="8">
                        <c:v>0.21626120164155113</c:v>
                      </c:pt>
                      <c:pt idx="9">
                        <c:v>0.23987575190379914</c:v>
                      </c:pt>
                      <c:pt idx="10">
                        <c:v>0.26362952337904461</c:v>
                      </c:pt>
                      <c:pt idx="11">
                        <c:v>0.2893204591322821</c:v>
                      </c:pt>
                      <c:pt idx="12">
                        <c:v>0.31625123740263961</c:v>
                      </c:pt>
                      <c:pt idx="13">
                        <c:v>0.34332962955552204</c:v>
                      </c:pt>
                      <c:pt idx="14">
                        <c:v>0.37055802488475886</c:v>
                      </c:pt>
                      <c:pt idx="15">
                        <c:v>0.39793884254681378</c:v>
                      </c:pt>
                      <c:pt idx="16">
                        <c:v>0.42547453232484467</c:v>
                      </c:pt>
                      <c:pt idx="17">
                        <c:v>0.45316757540803548</c:v>
                      </c:pt>
                      <c:pt idx="18">
                        <c:v>0.48102048518672286</c:v>
                      </c:pt>
                      <c:pt idx="19">
                        <c:v>0.50903580806385684</c:v>
                      </c:pt>
                      <c:pt idx="20">
                        <c:v>0.5372161242833452</c:v>
                      </c:pt>
                      <c:pt idx="21">
                        <c:v>0.56556404877585409</c:v>
                      </c:pt>
                      <c:pt idx="22">
                        <c:v>0.59408223202264832</c:v>
                      </c:pt>
                      <c:pt idx="23">
                        <c:v>0.62277336093807478</c:v>
                      </c:pt>
                      <c:pt idx="24">
                        <c:v>0.65164015977131173</c:v>
                      </c:pt>
                      <c:pt idx="25">
                        <c:v>0.68068539102802017</c:v>
                      </c:pt>
                      <c:pt idx="26">
                        <c:v>0.70991185641256338</c:v>
                      </c:pt>
                      <c:pt idx="27">
                        <c:v>0.73932239779146713</c:v>
                      </c:pt>
                      <c:pt idx="28">
                        <c:v>0.76891989817882811</c:v>
                      </c:pt>
                      <c:pt idx="29">
                        <c:v>0.79870728274439262</c:v>
                      </c:pt>
                      <c:pt idx="30">
                        <c:v>0.82868751984504985</c:v>
                      </c:pt>
                      <c:pt idx="31">
                        <c:v>0.85886362208051414</c:v>
                      </c:pt>
                      <c:pt idx="32">
                        <c:v>0.88923864737398972</c:v>
                      </c:pt>
                      <c:pt idx="33">
                        <c:v>0.91981570007864144</c:v>
                      </c:pt>
                      <c:pt idx="34">
                        <c:v>0.95059793211071986</c:v>
                      </c:pt>
                      <c:pt idx="35">
                        <c:v>0.98158854411021823</c:v>
                      </c:pt>
                      <c:pt idx="36">
                        <c:v>1.0127907866299692</c:v>
                      </c:pt>
                      <c:pt idx="37">
                        <c:v>1.0442079613541166</c:v>
                      </c:pt>
                      <c:pt idx="38">
                        <c:v>1.0758434223469351</c:v>
                      </c:pt>
                      <c:pt idx="39">
                        <c:v>1.107700577333</c:v>
                      </c:pt>
                      <c:pt idx="40">
                        <c:v>1.1397828890097406</c:v>
                      </c:pt>
                      <c:pt idx="41">
                        <c:v>1.172093876393457</c:v>
                      </c:pt>
                      <c:pt idx="42">
                        <c:v>1.2046371161999092</c:v>
                      </c:pt>
                      <c:pt idx="43">
                        <c:v>1.2374162442606262</c:v>
                      </c:pt>
                      <c:pt idx="44">
                        <c:v>1.2704349569761337</c:v>
                      </c:pt>
                      <c:pt idx="45">
                        <c:v>1.3036970128073253</c:v>
                      </c:pt>
                      <c:pt idx="46">
                        <c:v>1.3372062338062658</c:v>
                      </c:pt>
                      <c:pt idx="47">
                        <c:v>1.370966507187743</c:v>
                      </c:pt>
                      <c:pt idx="48">
                        <c:v>1.4049817869429471</c:v>
                      </c:pt>
                      <c:pt idx="49">
                        <c:v>1.4392560954966971</c:v>
                      </c:pt>
                      <c:pt idx="50">
                        <c:v>1.4737935254096961</c:v>
                      </c:pt>
                      <c:pt idx="51">
                        <c:v>1.5085982411273378</c:v>
                      </c:pt>
                      <c:pt idx="52">
                        <c:v>1.5436744807766634</c:v>
                      </c:pt>
                      <c:pt idx="53">
                        <c:v>1.579026558013104</c:v>
                      </c:pt>
                      <c:pt idx="54">
                        <c:v>1.6146588639187323</c:v>
                      </c:pt>
                      <c:pt idx="55">
                        <c:v>1.6505758689537862</c:v>
                      </c:pt>
                      <c:pt idx="56">
                        <c:v>1.6867821249633188</c:v>
                      </c:pt>
                      <c:pt idx="57">
                        <c:v>1.7232822672408754</c:v>
                      </c:pt>
                      <c:pt idx="58">
                        <c:v>1.7600810166512018</c:v>
                      </c:pt>
                      <c:pt idx="59">
                        <c:v>1.7971831818140327</c:v>
                      </c:pt>
                      <c:pt idx="60">
                        <c:v>1.8345936613511173</c:v>
                      </c:pt>
                      <c:pt idx="61">
                        <c:v>1.8723174461987104</c:v>
                      </c:pt>
                      <c:pt idx="62">
                        <c:v>1.910359621987842</c:v>
                      </c:pt>
                      <c:pt idx="63">
                        <c:v>1.9487253714947848</c:v>
                      </c:pt>
                      <c:pt idx="64">
                        <c:v>1.9874199771642205</c:v>
                      </c:pt>
                      <c:pt idx="65">
                        <c:v>2.0264488237077152</c:v>
                      </c:pt>
                      <c:pt idx="66">
                        <c:v>2.0658174007802188</c:v>
                      </c:pt>
                      <c:pt idx="67">
                        <c:v>2.1055313057374074</c:v>
                      </c:pt>
                      <c:pt idx="68">
                        <c:v>2.1455962464768232</c:v>
                      </c:pt>
                      <c:pt idx="69">
                        <c:v>2.1860180443658423</c:v>
                      </c:pt>
                      <c:pt idx="70">
                        <c:v>2.2268026372596972</c:v>
                      </c:pt>
                      <c:pt idx="71">
                        <c:v>2.267956082612836</c:v>
                      </c:pt>
                      <c:pt idx="72">
                        <c:v>2.3094845606871077</c:v>
                      </c:pt>
                      <c:pt idx="73">
                        <c:v>2.3513943778603479</c:v>
                      </c:pt>
                      <c:pt idx="74">
                        <c:v>2.393691970039153</c:v>
                      </c:pt>
                      <c:pt idx="75">
                        <c:v>2.4363839061797279</c:v>
                      </c:pt>
                      <c:pt idx="76">
                        <c:v>2.4794768919209149</c:v>
                      </c:pt>
                      <c:pt idx="77">
                        <c:v>2.5229777733336531</c:v>
                      </c:pt>
                      <c:pt idx="78">
                        <c:v>2.5668935407912987</c:v>
                      </c:pt>
                      <c:pt idx="79">
                        <c:v>2.6112313329654775</c:v>
                      </c:pt>
                      <c:pt idx="80">
                        <c:v>2.6559984409522674</c:v>
                      </c:pt>
                      <c:pt idx="81">
                        <c:v>2.7012023125337961</c:v>
                      </c:pt>
                      <c:pt idx="82">
                        <c:v>2.7468505565805077</c:v>
                      </c:pt>
                      <c:pt idx="83">
                        <c:v>2.7929509475996261</c:v>
                      </c:pt>
                      <c:pt idx="84">
                        <c:v>2.8395114304355569</c:v>
                      </c:pt>
                      <c:pt idx="85">
                        <c:v>2.8865401251282545</c:v>
                      </c:pt>
                      <c:pt idx="86">
                        <c:v>2.9340453319358417</c:v>
                      </c:pt>
                      <c:pt idx="87">
                        <c:v>2.9820355365280493</c:v>
                      </c:pt>
                      <c:pt idx="88">
                        <c:v>3.0305194153573622</c:v>
                      </c:pt>
                      <c:pt idx="89">
                        <c:v>3.0795058412150556</c:v>
                      </c:pt>
                      <c:pt idx="90">
                        <c:v>3.1290038889796574</c:v>
                      </c:pt>
                      <c:pt idx="91">
                        <c:v>3.1790228415657049</c:v>
                      </c:pt>
                      <c:pt idx="92">
                        <c:v>3.2295721960810408</c:v>
                      </c:pt>
                      <c:pt idx="93">
                        <c:v>3.2806616702013041</c:v>
                      </c:pt>
                      <c:pt idx="94">
                        <c:v>3.3323012087706214</c:v>
                      </c:pt>
                      <c:pt idx="95">
                        <c:v>3.3845009906380308</c:v>
                      </c:pt>
                      <c:pt idx="96">
                        <c:v>3.4372714357395071</c:v>
                      </c:pt>
                      <c:pt idx="97">
                        <c:v>3.4906232124360623</c:v>
                      </c:pt>
                      <c:pt idx="98">
                        <c:v>3.5445672451187948</c:v>
                      </c:pt>
                      <c:pt idx="99">
                        <c:v>3.5991147220923625</c:v>
                      </c:pt>
                      <c:pt idx="100">
                        <c:v>3.6542771037488824</c:v>
                      </c:pt>
                    </c:numCache>
                  </c:numRef>
                </c:val>
                <c:smooth val="0"/>
                <c:extLst xmlns:c15="http://schemas.microsoft.com/office/drawing/2012/chart">
                  <c:ext xmlns:c16="http://schemas.microsoft.com/office/drawing/2014/chart" uri="{C3380CC4-5D6E-409C-BE32-E72D297353CC}">
                    <c16:uniqueId val="{0000000B-0C66-4A53-91BE-779AAB69F7ED}"/>
                  </c:ext>
                </c:extLst>
              </c15:ser>
            </c15:filteredLineSeries>
            <c15:filteredLineSeries>
              <c15:ser>
                <c:idx val="3"/>
                <c:order val="12"/>
                <c:tx>
                  <c:v>Inductor Loss</c:v>
                </c:tx>
                <c:spPr>
                  <a:ln w="38100">
                    <a:solidFill>
                      <a:srgbClr val="800080"/>
                    </a:solidFill>
                    <a:prstDash val="dash"/>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Calculations'!$BP$9:$BP$109</c15:sqref>
                        </c15:formulaRef>
                      </c:ext>
                    </c:extLst>
                    <c:numCache>
                      <c:formatCode>0.000</c:formatCode>
                      <c:ptCount val="101"/>
                      <c:pt idx="0">
                        <c:v>0.26565911720848034</c:v>
                      </c:pt>
                      <c:pt idx="1">
                        <c:v>0.26579630391885301</c:v>
                      </c:pt>
                      <c:pt idx="2">
                        <c:v>0.26610062303457804</c:v>
                      </c:pt>
                      <c:pt idx="3">
                        <c:v>0.26657209470366122</c:v>
                      </c:pt>
                      <c:pt idx="4">
                        <c:v>0.2672107524827117</c:v>
                      </c:pt>
                      <c:pt idx="5">
                        <c:v>0.26801664334367359</c:v>
                      </c:pt>
                      <c:pt idx="6">
                        <c:v>0.26898982768324814</c:v>
                      </c:pt>
                      <c:pt idx="7">
                        <c:v>0.27013037933500927</c:v>
                      </c:pt>
                      <c:pt idx="8">
                        <c:v>0.2714383855842224</c:v>
                      </c:pt>
                      <c:pt idx="9">
                        <c:v>0.27291394718536693</c:v>
                      </c:pt>
                      <c:pt idx="10">
                        <c:v>0.27455717838236804</c:v>
                      </c:pt>
                      <c:pt idx="11">
                        <c:v>0.27636820693155761</c:v>
                      </c:pt>
                      <c:pt idx="12">
                        <c:v>0.27834717412735172</c:v>
                      </c:pt>
                      <c:pt idx="13">
                        <c:v>0.28049423483067404</c:v>
                      </c:pt>
                      <c:pt idx="14">
                        <c:v>0.28280955750012549</c:v>
                      </c:pt>
                      <c:pt idx="15">
                        <c:v>0.28529332422591619</c:v>
                      </c:pt>
                      <c:pt idx="16">
                        <c:v>0.28794573076656566</c:v>
                      </c:pt>
                      <c:pt idx="17">
                        <c:v>0.29076698658839467</c:v>
                      </c:pt>
                      <c:pt idx="18">
                        <c:v>0.29375731490781998</c:v>
                      </c:pt>
                      <c:pt idx="19">
                        <c:v>0.29691695273646257</c:v>
                      </c:pt>
                      <c:pt idx="20">
                        <c:v>0.30024615092909224</c:v>
                      </c:pt>
                      <c:pt idx="21">
                        <c:v>0.30374517423442832</c:v>
                      </c:pt>
                      <c:pt idx="22">
                        <c:v>0.30741430134881009</c:v>
                      </c:pt>
                      <c:pt idx="23">
                        <c:v>0.3112538249727585</c:v>
                      </c:pt>
                      <c:pt idx="24">
                        <c:v>0.31526405187045703</c:v>
                      </c:pt>
                      <c:pt idx="25">
                        <c:v>0.31944530293216483</c:v>
                      </c:pt>
                      <c:pt idx="26">
                        <c:v>0.32379791323959262</c:v>
                      </c:pt>
                      <c:pt idx="27">
                        <c:v>0.32832223213426426</c:v>
                      </c:pt>
                      <c:pt idx="28">
                        <c:v>0.33301862328889148</c:v>
                      </c:pt>
                      <c:pt idx="29">
                        <c:v>0.33788746478178272</c:v>
                      </c:pt>
                      <c:pt idx="30">
                        <c:v>0.3429291491743271</c:v>
                      </c:pt>
                      <c:pt idx="31">
                        <c:v>0.34814408359157223</c:v>
                      </c:pt>
                      <c:pt idx="32">
                        <c:v>0.353532689805929</c:v>
                      </c:pt>
                      <c:pt idx="33">
                        <c:v>0.35909540432404125</c:v>
                      </c:pt>
                      <c:pt idx="34">
                        <c:v>0.36483267847684897</c:v>
                      </c:pt>
                      <c:pt idx="35">
                        <c:v>0.3707449785128798</c:v>
                      </c:pt>
                      <c:pt idx="36">
                        <c:v>0.37683278569480932</c:v>
                      </c:pt>
                      <c:pt idx="37">
                        <c:v>0.38309659639932347</c:v>
                      </c:pt>
                      <c:pt idx="38">
                        <c:v>0.38953692222032232</c:v>
                      </c:pt>
                      <c:pt idx="39">
                        <c:v>0.39615429007551195</c:v>
                      </c:pt>
                      <c:pt idx="40">
                        <c:v>0.40294924231641738</c:v>
                      </c:pt>
                      <c:pt idx="41">
                        <c:v>0.40992233684186491</c:v>
                      </c:pt>
                      <c:pt idx="42">
                        <c:v>0.4170741472149796</c:v>
                      </c:pt>
                      <c:pt idx="43">
                        <c:v>0.42440526278374296</c:v>
                      </c:pt>
                      <c:pt idx="44">
                        <c:v>0.43191628880515298</c:v>
                      </c:pt>
                      <c:pt idx="45">
                        <c:v>0.43960784657305269</c:v>
                      </c:pt>
                      <c:pt idx="46">
                        <c:v>0.44748057354965576</c:v>
                      </c:pt>
                      <c:pt idx="47">
                        <c:v>0.45553512350083925</c:v>
                      </c:pt>
                      <c:pt idx="48">
                        <c:v>0.46377216663525433</c:v>
                      </c:pt>
                      <c:pt idx="49">
                        <c:v>0.47219238974730104</c:v>
                      </c:pt>
                      <c:pt idx="50">
                        <c:v>0.48079649636404337</c:v>
                      </c:pt>
                      <c:pt idx="51">
                        <c:v>0.48958520689610618</c:v>
                      </c:pt>
                      <c:pt idx="52">
                        <c:v>0.49855925879262619</c:v>
                      </c:pt>
                      <c:pt idx="53">
                        <c:v>0.5077194067003199</c:v>
                      </c:pt>
                      <c:pt idx="54">
                        <c:v>0.51706642262672653</c:v>
                      </c:pt>
                      <c:pt idx="55">
                        <c:v>0.52660109610770411</c:v>
                      </c:pt>
                      <c:pt idx="56">
                        <c:v>0.53632423437923926</c:v>
                      </c:pt>
                      <c:pt idx="57">
                        <c:v>0.54623666255364267</c:v>
                      </c:pt>
                      <c:pt idx="58">
                        <c:v>0.55633922380021561</c:v>
                      </c:pt>
                      <c:pt idx="59">
                        <c:v>0.56663277953044044</c:v>
                      </c:pt>
                      <c:pt idx="60">
                        <c:v>0.57711820958779669</c:v>
                      </c:pt>
                      <c:pt idx="61">
                        <c:v>0.58779641244227177</c:v>
                      </c:pt>
                      <c:pt idx="62">
                        <c:v>0.59866830538964078</c:v>
                      </c:pt>
                      <c:pt idx="63">
                        <c:v>0.60973482475561869</c:v>
                      </c:pt>
                      <c:pt idx="64">
                        <c:v>0.6209969261049576</c:v>
                      </c:pt>
                      <c:pt idx="65">
                        <c:v>0.63245558445558303</c:v>
                      </c:pt>
                      <c:pt idx="66">
                        <c:v>0.64411179449786404</c:v>
                      </c:pt>
                      <c:pt idx="67">
                        <c:v>0.65596657081910603</c:v>
                      </c:pt>
                      <c:pt idx="68">
                        <c:v>0.66802094813337676</c:v>
                      </c:pt>
                      <c:pt idx="69">
                        <c:v>0.68027598151674229</c:v>
                      </c:pt>
                      <c:pt idx="70">
                        <c:v>0.6927327466480433</c:v>
                      </c:pt>
                      <c:pt idx="71">
                        <c:v>0.70539234005530105</c:v>
                      </c:pt>
                      <c:pt idx="72">
                        <c:v>0.71825587936786417</c:v>
                      </c:pt>
                      <c:pt idx="73">
                        <c:v>0.73132450357441148</c:v>
                      </c:pt>
                      <c:pt idx="74">
                        <c:v>0.74459937328692516</c:v>
                      </c:pt>
                      <c:pt idx="75">
                        <c:v>0.75808167101075397</c:v>
                      </c:pt>
                      <c:pt idx="76">
                        <c:v>0.77177260142088411</c:v>
                      </c:pt>
                      <c:pt idx="77">
                        <c:v>0.7856733916445483</c:v>
                      </c:pt>
                      <c:pt idx="78">
                        <c:v>0.79978529155029532</c:v>
                      </c:pt>
                      <c:pt idx="79">
                        <c:v>0.8141095740436628</c:v>
                      </c:pt>
                      <c:pt idx="80">
                        <c:v>0.82864753536957614</c:v>
                      </c:pt>
                      <c:pt idx="81">
                        <c:v>0.84340049542162476</c:v>
                      </c:pt>
                      <c:pt idx="82">
                        <c:v>0.85836979805835045</c:v>
                      </c:pt>
                      <c:pt idx="83">
                        <c:v>0.87355681142670383</c:v>
                      </c:pt>
                      <c:pt idx="84">
                        <c:v>0.88896292829281243</c:v>
                      </c:pt>
                      <c:pt idx="85">
                        <c:v>0.90458956638023058</c:v>
                      </c:pt>
                      <c:pt idx="86">
                        <c:v>0.92043816871580642</c:v>
                      </c:pt>
                      <c:pt idx="87">
                        <c:v>0.93651020398335882</c:v>
                      </c:pt>
                      <c:pt idx="88">
                        <c:v>0.95280716688532241</c:v>
                      </c:pt>
                      <c:pt idx="89">
                        <c:v>0.96933057851252258</c:v>
                      </c:pt>
                      <c:pt idx="90">
                        <c:v>0.98608198672228875</c:v>
                      </c:pt>
                      <c:pt idx="91">
                        <c:v>1.0030629665250581</c:v>
                      </c:pt>
                      <c:pt idx="92">
                        <c:v>1.0202751204796838</c:v>
                      </c:pt>
                      <c:pt idx="93">
                        <c:v>1.037720079097634</c:v>
                      </c:pt>
                      <c:pt idx="94">
                        <c:v>1.0553995012562762</c:v>
                      </c:pt>
                      <c:pt idx="95">
                        <c:v>1.0733150746214648</c:v>
                      </c:pt>
                      <c:pt idx="96">
                        <c:v>1.0914685160796367</c:v>
                      </c:pt>
                      <c:pt idx="97">
                        <c:v>1.1098615721796328</c:v>
                      </c:pt>
                      <c:pt idx="98">
                        <c:v>1.1284960195844715</c:v>
                      </c:pt>
                      <c:pt idx="99">
                        <c:v>1.1473736655333138</c:v>
                      </c:pt>
                      <c:pt idx="100">
                        <c:v>1.1664963483138355</c:v>
                      </c:pt>
                    </c:numCache>
                  </c:numRef>
                </c:val>
                <c:smooth val="0"/>
                <c:extLst xmlns:c15="http://schemas.microsoft.com/office/drawing/2012/chart">
                  <c:ext xmlns:c16="http://schemas.microsoft.com/office/drawing/2014/chart" uri="{C3380CC4-5D6E-409C-BE32-E72D297353CC}">
                    <c16:uniqueId val="{0000000C-0C66-4A53-91BE-779AAB69F7ED}"/>
                  </c:ext>
                </c:extLst>
              </c15:ser>
            </c15:filteredLineSeries>
            <c15:filteredLineSeries>
              <c15:ser>
                <c:idx val="1"/>
                <c:order val="13"/>
                <c:tx>
                  <c:strRef>
                    <c:extLst xmlns:c15="http://schemas.microsoft.com/office/drawing/2012/chart">
                      <c:ext xmlns:c15="http://schemas.microsoft.com/office/drawing/2012/chart" uri="{02D57815-91ED-43cb-92C2-25804820EDAC}">
                        <c15:formulaRef>
                          <c15:sqref>'Efficiency vs Load Calculations'!$BS$8</c15:sqref>
                        </c15:formulaRef>
                      </c:ext>
                    </c:extLst>
                    <c:strCache>
                      <c:ptCount val="1"/>
                      <c:pt idx="0">
                        <c:v>Buck ''SYNC'' MOSFET Loss</c:v>
                      </c:pt>
                    </c:strCache>
                  </c:strRef>
                </c:tx>
                <c:spPr>
                  <a:ln w="38100">
                    <a:solidFill>
                      <a:srgbClr val="002060"/>
                    </a:solidFill>
                    <a:prstDash val="sysDot"/>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Calculations'!$BS$9:$BS$109</c15:sqref>
                        </c15:formulaRef>
                      </c:ext>
                    </c:extLst>
                    <c:numCache>
                      <c:formatCode>0.000</c:formatCode>
                      <c:ptCount val="101"/>
                      <c:pt idx="0">
                        <c:v>3.052429571815201E-2</c:v>
                      </c:pt>
                      <c:pt idx="1">
                        <c:v>3.5863480897242485E-2</c:v>
                      </c:pt>
                      <c:pt idx="2">
                        <c:v>3.9730033943421873E-2</c:v>
                      </c:pt>
                      <c:pt idx="3">
                        <c:v>4.3719051772311196E-2</c:v>
                      </c:pt>
                      <c:pt idx="4">
                        <c:v>4.7830839760933039E-2</c:v>
                      </c:pt>
                      <c:pt idx="5">
                        <c:v>5.2065724803173591E-2</c:v>
                      </c:pt>
                      <c:pt idx="6">
                        <c:v>5.6424055415732977E-2</c:v>
                      </c:pt>
                      <c:pt idx="7">
                        <c:v>6.0906201853576758E-2</c:v>
                      </c:pt>
                      <c:pt idx="8">
                        <c:v>6.5512556234968183E-2</c:v>
                      </c:pt>
                      <c:pt idx="9">
                        <c:v>7.0243532676168036E-2</c:v>
                      </c:pt>
                      <c:pt idx="10">
                        <c:v>7.5099567435896991E-2</c:v>
                      </c:pt>
                      <c:pt idx="11">
                        <c:v>8.187701131416586E-2</c:v>
                      </c:pt>
                      <c:pt idx="12">
                        <c:v>8.9876945672302339E-2</c:v>
                      </c:pt>
                      <c:pt idx="13">
                        <c:v>9.8005539913078019E-2</c:v>
                      </c:pt>
                      <c:pt idx="14">
                        <c:v>0.10626357580770966</c:v>
                      </c:pt>
                      <c:pt idx="15">
                        <c:v>0.11465185895149579</c:v>
                      </c:pt>
                      <c:pt idx="16">
                        <c:v>0.12317121904557357</c:v>
                      </c:pt>
                      <c:pt idx="17">
                        <c:v>0.13182251018991303</c:v>
                      </c:pt>
                      <c:pt idx="18">
                        <c:v>0.14060661118776147</c:v>
                      </c:pt>
                      <c:pt idx="19">
                        <c:v>0.14952442586176073</c:v>
                      </c:pt>
                      <c:pt idx="20">
                        <c:v>0.15857688338197146</c:v>
                      </c:pt>
                      <c:pt idx="21">
                        <c:v>0.16776493860604672</c:v>
                      </c:pt>
                      <c:pt idx="22">
                        <c:v>0.17708957243181245</c:v>
                      </c:pt>
                      <c:pt idx="23">
                        <c:v>0.18655179216251841</c:v>
                      </c:pt>
                      <c:pt idx="24">
                        <c:v>0.19615263188503948</c:v>
                      </c:pt>
                      <c:pt idx="25">
                        <c:v>0.2058931528613164</c:v>
                      </c:pt>
                      <c:pt idx="26">
                        <c:v>0.21577444393333833</c:v>
                      </c:pt>
                      <c:pt idx="27">
                        <c:v>0.22579762194198238</c:v>
                      </c:pt>
                      <c:pt idx="28">
                        <c:v>0.23596383216003858</c:v>
                      </c:pt>
                      <c:pt idx="29">
                        <c:v>0.24627424873976173</c:v>
                      </c:pt>
                      <c:pt idx="30">
                        <c:v>0.25673007517530622</c:v>
                      </c:pt>
                      <c:pt idx="31">
                        <c:v>0.26733254478041429</c:v>
                      </c:pt>
                      <c:pt idx="32">
                        <c:v>0.27808292118174366</c:v>
                      </c:pt>
                      <c:pt idx="33">
                        <c:v>0.28898249882823435</c:v>
                      </c:pt>
                      <c:pt idx="34">
                        <c:v>0.30003260351693373</c:v>
                      </c:pt>
                      <c:pt idx="35">
                        <c:v>0.31123459293571176</c:v>
                      </c:pt>
                      <c:pt idx="36">
                        <c:v>0.32258985722331895</c:v>
                      </c:pt>
                      <c:pt idx="37">
                        <c:v>0.33409981954725509</c:v>
                      </c:pt>
                      <c:pt idx="38">
                        <c:v>0.3457659366999376</c:v>
                      </c:pt>
                      <c:pt idx="39">
                        <c:v>0.35758969971367538</c:v>
                      </c:pt>
                      <c:pt idx="40">
                        <c:v>0.36957263449497507</c:v>
                      </c:pt>
                      <c:pt idx="41">
                        <c:v>0.38171630247872812</c:v>
                      </c:pt>
                      <c:pt idx="42">
                        <c:v>0.39402230130284821</c:v>
                      </c:pt>
                      <c:pt idx="43">
                        <c:v>0.40649226550394868</c:v>
                      </c:pt>
                      <c:pt idx="44">
                        <c:v>0.41912786723467699</c:v>
                      </c:pt>
                      <c:pt idx="45">
                        <c:v>0.43193081700334474</c:v>
                      </c:pt>
                      <c:pt idx="46">
                        <c:v>0.44490286443651672</c:v>
                      </c:pt>
                      <c:pt idx="47">
                        <c:v>0.45804579906524978</c:v>
                      </c:pt>
                      <c:pt idx="48">
                        <c:v>0.47136145113570016</c:v>
                      </c:pt>
                      <c:pt idx="49">
                        <c:v>0.48485169244484244</c:v>
                      </c:pt>
                      <c:pt idx="50">
                        <c:v>0.49851843720207956</c:v>
                      </c:pt>
                      <c:pt idx="51">
                        <c:v>0.51236364291754555</c:v>
                      </c:pt>
                      <c:pt idx="52">
                        <c:v>0.52638931131794175</c:v>
                      </c:pt>
                      <c:pt idx="53">
                        <c:v>0.540597489290778</c:v>
                      </c:pt>
                      <c:pt idx="54">
                        <c:v>0.55499026985792177</c:v>
                      </c:pt>
                      <c:pt idx="55">
                        <c:v>0.56956979317940171</c:v>
                      </c:pt>
                      <c:pt idx="56">
                        <c:v>0.58433824758844199</c:v>
                      </c:pt>
                      <c:pt idx="57">
                        <c:v>0.59929787065874707</c:v>
                      </c:pt>
                      <c:pt idx="58">
                        <c:v>0.61445095030510011</c:v>
                      </c:pt>
                      <c:pt idx="59">
                        <c:v>0.62979982591837347</c:v>
                      </c:pt>
                      <c:pt idx="60">
                        <c:v>0.64534688953610186</c:v>
                      </c:pt>
                      <c:pt idx="61">
                        <c:v>0.66109458704981328</c:v>
                      </c:pt>
                      <c:pt idx="62">
                        <c:v>0.67704541945035701</c:v>
                      </c:pt>
                      <c:pt idx="63">
                        <c:v>0.69320194411252578</c:v>
                      </c:pt>
                      <c:pt idx="64">
                        <c:v>0.70956677612032049</c:v>
                      </c:pt>
                      <c:pt idx="65">
                        <c:v>0.72614258963425315</c:v>
                      </c:pt>
                      <c:pt idx="66">
                        <c:v>0.74293211930215808</c:v>
                      </c:pt>
                      <c:pt idx="67">
                        <c:v>0.7599381617150256</c:v>
                      </c:pt>
                      <c:pt idx="68">
                        <c:v>0.77716357690944671</c:v>
                      </c:pt>
                      <c:pt idx="69">
                        <c:v>0.79461128991831809</c:v>
                      </c:pt>
                      <c:pt idx="70">
                        <c:v>0.81228429237153121</c:v>
                      </c:pt>
                      <c:pt idx="71">
                        <c:v>0.83018564414843499</c:v>
                      </c:pt>
                      <c:pt idx="72">
                        <c:v>0.84831847508394675</c:v>
                      </c:pt>
                      <c:pt idx="73">
                        <c:v>0.86668598673025643</c:v>
                      </c:pt>
                      <c:pt idx="74">
                        <c:v>0.88529145417616006</c:v>
                      </c:pt>
                      <c:pt idx="75">
                        <c:v>0.90413822792614384</c:v>
                      </c:pt>
                      <c:pt idx="76">
                        <c:v>0.9232297358414272</c:v>
                      </c:pt>
                      <c:pt idx="77">
                        <c:v>0.94256948514528183</c:v>
                      </c:pt>
                      <c:pt idx="78">
                        <c:v>0.96216106449502303</c:v>
                      </c:pt>
                      <c:pt idx="79">
                        <c:v>0.98200814612320586</c:v>
                      </c:pt>
                      <c:pt idx="80">
                        <c:v>1.0021144880506363</c:v>
                      </c:pt>
                      <c:pt idx="81">
                        <c:v>1.0224839363739522</c:v>
                      </c:pt>
                      <c:pt idx="82">
                        <c:v>1.0431204276306318</c:v>
                      </c:pt>
                      <c:pt idx="83">
                        <c:v>1.064027991244429</c:v>
                      </c:pt>
                      <c:pt idx="84">
                        <c:v>1.0852107520543592</c:v>
                      </c:pt>
                      <c:pt idx="85">
                        <c:v>1.1066729329305103</c:v>
                      </c:pt>
                      <c:pt idx="86">
                        <c:v>1.1284188574800955</c:v>
                      </c:pt>
                      <c:pt idx="87">
                        <c:v>1.1504529528473215</c:v>
                      </c:pt>
                      <c:pt idx="88">
                        <c:v>1.1727797526108215</c:v>
                      </c:pt>
                      <c:pt idx="89">
                        <c:v>1.1954038997825518</c:v>
                      </c:pt>
                      <c:pt idx="90">
                        <c:v>1.218330149912265</c:v>
                      </c:pt>
                      <c:pt idx="91">
                        <c:v>1.2415633743018315</c:v>
                      </c:pt>
                      <c:pt idx="92">
                        <c:v>1.2651085633339079</c:v>
                      </c:pt>
                      <c:pt idx="93">
                        <c:v>1.2889708299196529</c:v>
                      </c:pt>
                      <c:pt idx="94">
                        <c:v>1.3131554130704117</c:v>
                      </c:pt>
                      <c:pt idx="95">
                        <c:v>1.337667681598538</c:v>
                      </c:pt>
                      <c:pt idx="96">
                        <c:v>1.3625131379527535</c:v>
                      </c:pt>
                      <c:pt idx="97">
                        <c:v>1.3876974221937302</c:v>
                      </c:pt>
                      <c:pt idx="98">
                        <c:v>1.4132263161158303</c:v>
                      </c:pt>
                      <c:pt idx="99">
                        <c:v>1.4391057475212585</c:v>
                      </c:pt>
                      <c:pt idx="100">
                        <c:v>1.4653417946531597</c:v>
                      </c:pt>
                    </c:numCache>
                  </c:numRef>
                </c:val>
                <c:smooth val="0"/>
                <c:extLst xmlns:c15="http://schemas.microsoft.com/office/drawing/2012/chart">
                  <c:ext xmlns:c16="http://schemas.microsoft.com/office/drawing/2014/chart" uri="{C3380CC4-5D6E-409C-BE32-E72D297353CC}">
                    <c16:uniqueId val="{0000000D-0C66-4A53-91BE-779AAB69F7ED}"/>
                  </c:ext>
                </c:extLst>
              </c15:ser>
            </c15:filteredLineSeries>
          </c:ext>
        </c:extLst>
      </c:lineChart>
      <c:catAx>
        <c:axId val="19635712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359296"/>
        <c:crosses val="autoZero"/>
        <c:auto val="1"/>
        <c:lblAlgn val="ctr"/>
        <c:lblOffset val="100"/>
        <c:tickLblSkip val="20"/>
        <c:tickMarkSkip val="20"/>
        <c:noMultiLvlLbl val="1"/>
      </c:catAx>
      <c:valAx>
        <c:axId val="196359296"/>
        <c:scaling>
          <c:orientation val="minMax"/>
          <c:max val="100"/>
          <c:min val="9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357120"/>
        <c:crosses val="autoZero"/>
        <c:crossBetween val="between"/>
        <c:majorUnit val="5"/>
        <c:minorUnit val="1"/>
      </c:valAx>
      <c:valAx>
        <c:axId val="19636121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371584"/>
        <c:crosses val="max"/>
        <c:crossBetween val="between"/>
      </c:valAx>
      <c:catAx>
        <c:axId val="196371584"/>
        <c:scaling>
          <c:orientation val="minMax"/>
        </c:scaling>
        <c:delete val="1"/>
        <c:axPos val="b"/>
        <c:numFmt formatCode="General" sourceLinked="1"/>
        <c:majorTickMark val="out"/>
        <c:minorTickMark val="none"/>
        <c:tickLblPos val="nextTo"/>
        <c:crossAx val="196361216"/>
        <c:crosses val="autoZero"/>
        <c:auto val="1"/>
        <c:lblAlgn val="ctr"/>
        <c:lblOffset val="100"/>
        <c:noMultiLvlLbl val="0"/>
      </c:catAx>
      <c:spPr>
        <a:noFill/>
        <a:ln w="25400">
          <a:noFill/>
        </a:ln>
      </c:spPr>
    </c:plotArea>
    <c:legend>
      <c:legendPos val="t"/>
      <c:layout>
        <c:manualLayout>
          <c:xMode val="edge"/>
          <c:yMode val="edge"/>
          <c:x val="0.63318533014557232"/>
          <c:y val="1.189262617588698E-2"/>
          <c:w val="0.274591145040047"/>
          <c:h val="0.11501923627383916"/>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V</a:t>
            </a:r>
            <a:r>
              <a:rPr lang="en-US" sz="1800" b="1" i="0" u="none" strike="noStrike" baseline="-25000"/>
              <a:t>IN</a:t>
            </a:r>
            <a:r>
              <a:rPr lang="en-US" sz="1800" b="1" i="0" u="none" strike="noStrike" baseline="0"/>
              <a:t> = V</a:t>
            </a:r>
            <a:r>
              <a:rPr lang="en-US" sz="1800" b="1" i="0" u="none" strike="noStrike" baseline="-25000"/>
              <a:t>IN(nom)</a:t>
            </a:r>
            <a:endParaRPr lang="en-US" sz="1800">
              <a:latin typeface="Arial" pitchFamily="34" charset="0"/>
              <a:cs typeface="Arial" pitchFamily="34" charset="0"/>
            </a:endParaRPr>
          </a:p>
        </c:rich>
      </c:tx>
      <c:layout>
        <c:manualLayout>
          <c:xMode val="edge"/>
          <c:yMode val="edge"/>
          <c:x val="8.1772222786336932E-2"/>
          <c:y val="4.614939768388470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357120"/>
        <c:axId val="196359296"/>
        <c:extLst>
          <c:ext xmlns:c15="http://schemas.microsoft.com/office/drawing/2012/chart" uri="{02D57815-91ED-43cb-92C2-25804820EDAC}">
            <c15:filteredLineSeries>
              <c15:ser>
                <c:idx val="0"/>
                <c:order val="0"/>
                <c:tx>
                  <c:v>Efficiency</c:v>
                </c:tx>
                <c:spPr>
                  <a:ln w="28575">
                    <a:solidFill>
                      <a:srgbClr val="FF0000"/>
                    </a:solidFill>
                    <a:prstDash val="solid"/>
                  </a:ln>
                </c:spPr>
                <c:marker>
                  <c:symbol val="none"/>
                </c:marker>
                <c:cat>
                  <c:numRef>
                    <c:extLst>
                      <c:ex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c:ext uri="{02D57815-91ED-43cb-92C2-25804820EDAC}">
                        <c15:formulaRef>
                          <c15:sqref>'Efficiency vs Load Calculations'!$BO$9:$BO$109</c15:sqref>
                        </c15:formulaRef>
                      </c:ext>
                    </c:extLst>
                    <c:numCache>
                      <c:formatCode>0.00</c:formatCode>
                      <c:ptCount val="101"/>
                      <c:pt idx="0">
                        <c:v>0</c:v>
                      </c:pt>
                      <c:pt idx="1">
                        <c:v>42.981308682967686</c:v>
                      </c:pt>
                      <c:pt idx="2">
                        <c:v>59.81594128981358</c:v>
                      </c:pt>
                      <c:pt idx="3">
                        <c:v>68.791394396117369</c:v>
                      </c:pt>
                      <c:pt idx="4">
                        <c:v>74.365269277402803</c:v>
                      </c:pt>
                      <c:pt idx="5">
                        <c:v>78.160112828883172</c:v>
                      </c:pt>
                      <c:pt idx="6">
                        <c:v>80.908095170861685</c:v>
                      </c:pt>
                      <c:pt idx="7">
                        <c:v>82.988075774419855</c:v>
                      </c:pt>
                      <c:pt idx="8">
                        <c:v>84.615774919496573</c:v>
                      </c:pt>
                      <c:pt idx="9">
                        <c:v>85.92305009224556</c:v>
                      </c:pt>
                      <c:pt idx="10">
                        <c:v>86.995038695697374</c:v>
                      </c:pt>
                      <c:pt idx="11">
                        <c:v>87.874772487805274</c:v>
                      </c:pt>
                      <c:pt idx="12">
                        <c:v>88.610541703267756</c:v>
                      </c:pt>
                      <c:pt idx="13">
                        <c:v>89.240105768403183</c:v>
                      </c:pt>
                      <c:pt idx="14">
                        <c:v>89.784343428524792</c:v>
                      </c:pt>
                      <c:pt idx="15">
                        <c:v>90.258994183940843</c:v>
                      </c:pt>
                      <c:pt idx="16">
                        <c:v>90.676147789014124</c:v>
                      </c:pt>
                      <c:pt idx="17">
                        <c:v>91.045244094338329</c:v>
                      </c:pt>
                      <c:pt idx="18">
                        <c:v>91.373761274747977</c:v>
                      </c:pt>
                      <c:pt idx="19">
                        <c:v>91.667700153396595</c:v>
                      </c:pt>
                      <c:pt idx="20">
                        <c:v>91.931931785357861</c:v>
                      </c:pt>
                      <c:pt idx="21">
                        <c:v>92.170451317228625</c:v>
                      </c:pt>
                      <c:pt idx="22">
                        <c:v>92.386566338829155</c:v>
                      </c:pt>
                      <c:pt idx="23">
                        <c:v>92.583038635288304</c:v>
                      </c:pt>
                      <c:pt idx="24">
                        <c:v>92.762192257423948</c:v>
                      </c:pt>
                      <c:pt idx="25">
                        <c:v>92.9259968916746</c:v>
                      </c:pt>
                      <c:pt idx="26">
                        <c:v>93.076132874288632</c:v>
                      </c:pt>
                      <c:pt idx="27">
                        <c:v>93.214042397845049</c:v>
                      </c:pt>
                      <c:pt idx="28">
                        <c:v>93.340970214328181</c:v>
                      </c:pt>
                      <c:pt idx="29">
                        <c:v>93.457996265178849</c:v>
                      </c:pt>
                      <c:pt idx="30">
                        <c:v>93.566062046587788</c:v>
                      </c:pt>
                      <c:pt idx="31">
                        <c:v>93.665992069755774</c:v>
                      </c:pt>
                      <c:pt idx="32">
                        <c:v>93.758511448709172</c:v>
                      </c:pt>
                      <c:pt idx="33">
                        <c:v>93.84426040708108</c:v>
                      </c:pt>
                      <c:pt idx="34">
                        <c:v>93.923806315665644</c:v>
                      </c:pt>
                      <c:pt idx="35">
                        <c:v>93.997653737539082</c:v>
                      </c:pt>
                      <c:pt idx="36">
                        <c:v>94.066252855146629</c:v>
                      </c:pt>
                      <c:pt idx="37">
                        <c:v>94.130006575451631</c:v>
                      </c:pt>
                      <c:pt idx="38">
                        <c:v>94.189276548895137</c:v>
                      </c:pt>
                      <c:pt idx="39">
                        <c:v>94.244388291058428</c:v>
                      </c:pt>
                      <c:pt idx="40">
                        <c:v>94.295635559289138</c:v>
                      </c:pt>
                      <c:pt idx="41">
                        <c:v>94.343284107722113</c:v>
                      </c:pt>
                      <c:pt idx="42">
                        <c:v>94.387574921295098</c:v>
                      </c:pt>
                      <c:pt idx="43">
                        <c:v>94.428727011173194</c:v>
                      </c:pt>
                      <c:pt idx="44">
                        <c:v>94.466939839425308</c:v>
                      </c:pt>
                      <c:pt idx="45">
                        <c:v>94.502395429061337</c:v>
                      </c:pt>
                      <c:pt idx="46">
                        <c:v>94.535260206039169</c:v>
                      </c:pt>
                      <c:pt idx="47">
                        <c:v>94.565686612122789</c:v>
                      </c:pt>
                      <c:pt idx="48">
                        <c:v>94.593814521156929</c:v>
                      </c:pt>
                      <c:pt idx="49">
                        <c:v>94.619772486139624</c:v>
                      </c:pt>
                      <c:pt idx="50">
                        <c:v>94.643678840199541</c:v>
                      </c:pt>
                      <c:pt idx="51">
                        <c:v>94.665642671047067</c:v>
                      </c:pt>
                      <c:pt idx="52">
                        <c:v>94.685764685528412</c:v>
                      </c:pt>
                      <c:pt idx="53">
                        <c:v>94.704137978459585</c:v>
                      </c:pt>
                      <c:pt idx="54">
                        <c:v>94.720848717864087</c:v>
                      </c:pt>
                      <c:pt idx="55">
                        <c:v>94.735976757014257</c:v>
                      </c:pt>
                      <c:pt idx="56">
                        <c:v>94.749596182222319</c:v>
                      </c:pt>
                      <c:pt idx="57">
                        <c:v>94.761775804098889</c:v>
                      </c:pt>
                      <c:pt idx="58">
                        <c:v>94.77257959895438</c:v>
                      </c:pt>
                      <c:pt idx="59">
                        <c:v>94.782067106132274</c:v>
                      </c:pt>
                      <c:pt idx="60">
                        <c:v>94.790293786306862</c:v>
                      </c:pt>
                      <c:pt idx="61">
                        <c:v>94.797311345131547</c:v>
                      </c:pt>
                      <c:pt idx="62">
                        <c:v>94.803168026068519</c:v>
                      </c:pt>
                      <c:pt idx="63">
                        <c:v>94.807908875753654</c:v>
                      </c:pt>
                      <c:pt idx="64">
                        <c:v>94.811575984839408</c:v>
                      </c:pt>
                      <c:pt idx="65">
                        <c:v>94.814208706902278</c:v>
                      </c:pt>
                      <c:pt idx="66">
                        <c:v>94.815843857694645</c:v>
                      </c:pt>
                      <c:pt idx="67">
                        <c:v>94.81651589675208</c:v>
                      </c:pt>
                      <c:pt idx="68">
                        <c:v>94.816257093136088</c:v>
                      </c:pt>
                      <c:pt idx="69">
                        <c:v>94.815097676888286</c:v>
                      </c:pt>
                      <c:pt idx="70">
                        <c:v>94.813065977595656</c:v>
                      </c:pt>
                      <c:pt idx="71">
                        <c:v>94.810188551310787</c:v>
                      </c:pt>
                      <c:pt idx="72">
                        <c:v>94.806490296935507</c:v>
                      </c:pt>
                      <c:pt idx="73">
                        <c:v>94.801994563056269</c:v>
                      </c:pt>
                      <c:pt idx="74">
                        <c:v>94.796723246114539</c:v>
                      </c:pt>
                      <c:pt idx="75">
                        <c:v>94.790696880702811</c:v>
                      </c:pt>
                      <c:pt idx="76">
                        <c:v>94.783934722694312</c:v>
                      </c:pt>
                      <c:pt idx="77">
                        <c:v>94.776454825842222</c:v>
                      </c:pt>
                      <c:pt idx="78">
                        <c:v>94.768274112419675</c:v>
                      </c:pt>
                      <c:pt idx="79">
                        <c:v>94.759408438414908</c:v>
                      </c:pt>
                      <c:pt idx="80">
                        <c:v>94.749872653744319</c:v>
                      </c:pt>
                      <c:pt idx="81">
                        <c:v>94.739680657901957</c:v>
                      </c:pt>
                      <c:pt idx="82">
                        <c:v>94.728845451422643</c:v>
                      </c:pt>
                      <c:pt idx="83">
                        <c:v>94.717379183500299</c:v>
                      </c:pt>
                      <c:pt idx="84">
                        <c:v>94.705293196070457</c:v>
                      </c:pt>
                      <c:pt idx="85">
                        <c:v>94.692598064637536</c:v>
                      </c:pt>
                      <c:pt idx="86">
                        <c:v>94.679303636100386</c:v>
                      </c:pt>
                      <c:pt idx="87">
                        <c:v>94.665419063807619</c:v>
                      </c:pt>
                      <c:pt idx="88">
                        <c:v>94.650952840052184</c:v>
                      </c:pt>
                      <c:pt idx="89">
                        <c:v>94.635912826196204</c:v>
                      </c:pt>
                      <c:pt idx="90">
                        <c:v>94.620306280599806</c:v>
                      </c:pt>
                      <c:pt idx="91">
                        <c:v>94.604139884512634</c:v>
                      </c:pt>
                      <c:pt idx="92">
                        <c:v>94.587419766072045</c:v>
                      </c:pt>
                      <c:pt idx="93">
                        <c:v>94.570151522540385</c:v>
                      </c:pt>
                      <c:pt idx="94">
                        <c:v>94.552340240901003</c:v>
                      </c:pt>
                      <c:pt idx="95">
                        <c:v>94.53399051692351</c:v>
                      </c:pt>
                      <c:pt idx="96">
                        <c:v>94.515106472798479</c:v>
                      </c:pt>
                      <c:pt idx="97">
                        <c:v>94.495691773433379</c:v>
                      </c:pt>
                      <c:pt idx="98">
                        <c:v>94.475749641493834</c:v>
                      </c:pt>
                      <c:pt idx="99">
                        <c:v>94.455282871266917</c:v>
                      </c:pt>
                      <c:pt idx="100">
                        <c:v>94.434293841416704</c:v>
                      </c:pt>
                    </c:numCache>
                  </c:numRef>
                </c:val>
                <c:smooth val="0"/>
                <c:extLst>
                  <c:ext xmlns:c16="http://schemas.microsoft.com/office/drawing/2014/chart" uri="{C3380CC4-5D6E-409C-BE32-E72D297353CC}">
                    <c16:uniqueId val="{00000002-3B6C-4BEA-AB8D-9A7C0517EAA2}"/>
                  </c:ext>
                </c:extLst>
              </c15:ser>
            </c15:filteredLineSeries>
          </c:ext>
        </c:extLst>
      </c:lineChart>
      <c:lineChart>
        <c:grouping val="standard"/>
        <c:varyColors val="0"/>
        <c:ser>
          <c:idx val="6"/>
          <c:order val="6"/>
          <c:tx>
            <c:strRef>
              <c:f>'Efficiency vs Load Calculations'!$AF$8</c:f>
              <c:strCache>
                <c:ptCount val="1"/>
                <c:pt idx="0">
                  <c:v>Total Cin Loss</c:v>
                </c:pt>
              </c:strCache>
            </c:strRef>
          </c:tx>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Calculations'!$AF$9:$AF$109</c:f>
              <c:numCache>
                <c:formatCode>0.000</c:formatCode>
                <c:ptCount val="101"/>
                <c:pt idx="0">
                  <c:v>2.034502647210745E-4</c:v>
                </c:pt>
                <c:pt idx="1">
                  <c:v>2.0913117708364773E-4</c:v>
                </c:pt>
                <c:pt idx="2">
                  <c:v>2.2615994059076077E-4</c:v>
                </c:pt>
                <c:pt idx="3">
                  <c:v>2.5453146023693928E-4</c:v>
                </c:pt>
                <c:pt idx="4">
                  <c:v>2.9424063848740566E-4</c:v>
                </c:pt>
                <c:pt idx="5">
                  <c:v>3.4528237527848107E-4</c:v>
                </c:pt>
                <c:pt idx="6">
                  <c:v>4.0765156801798809E-4</c:v>
                </c:pt>
                <c:pt idx="7">
                  <c:v>4.8134311158565252E-4</c:v>
                </c:pt>
                <c:pt idx="8">
                  <c:v>5.6635189833350555E-4</c:v>
                </c:pt>
                <c:pt idx="9">
                  <c:v>6.6267281808628665E-4</c:v>
                </c:pt>
                <c:pt idx="10">
                  <c:v>7.7030075814184316E-4</c:v>
                </c:pt>
                <c:pt idx="11">
                  <c:v>8.8923060327153599E-4</c:v>
                </c:pt>
                <c:pt idx="12">
                  <c:v>1.0194572357206371E-3</c:v>
                </c:pt>
                <c:pt idx="13">
                  <c:v>1.1609755352087374E-3</c:v>
                </c:pt>
                <c:pt idx="14">
                  <c:v>1.3137803789301404E-3</c:v>
                </c:pt>
                <c:pt idx="15">
                  <c:v>1.4778666415542711E-3</c:v>
                </c:pt>
                <c:pt idx="16">
                  <c:v>1.6532291952260755E-3</c:v>
                </c:pt>
                <c:pt idx="17">
                  <c:v>1.8398629095664179E-3</c:v>
                </c:pt>
                <c:pt idx="18">
                  <c:v>2.037762651672491E-3</c:v>
                </c:pt>
                <c:pt idx="19">
                  <c:v>2.2469232861182108E-3</c:v>
                </c:pt>
                <c:pt idx="20">
                  <c:v>2.4673396749546185E-3</c:v>
                </c:pt>
                <c:pt idx="21">
                  <c:v>2.6990066777102853E-3</c:v>
                </c:pt>
                <c:pt idx="22">
                  <c:v>2.9419191513917111E-3</c:v>
                </c:pt>
                <c:pt idx="23">
                  <c:v>3.1960719504837251E-3</c:v>
                </c:pt>
                <c:pt idx="24">
                  <c:v>3.4614599269498919E-3</c:v>
                </c:pt>
                <c:pt idx="25">
                  <c:v>3.7380779302329053E-3</c:v>
                </c:pt>
                <c:pt idx="26">
                  <c:v>4.0259208072549952E-3</c:v>
                </c:pt>
                <c:pt idx="27">
                  <c:v>4.3249834024183288E-3</c:v>
                </c:pt>
                <c:pt idx="28">
                  <c:v>4.6352605576054032E-3</c:v>
                </c:pt>
                <c:pt idx="29">
                  <c:v>4.9567471121794611E-3</c:v>
                </c:pt>
                <c:pt idx="30">
                  <c:v>5.289437902984878E-3</c:v>
                </c:pt>
                <c:pt idx="31">
                  <c:v>5.6333277643475701E-3</c:v>
                </c:pt>
                <c:pt idx="32">
                  <c:v>5.9884115280753889E-3</c:v>
                </c:pt>
                <c:pt idx="33">
                  <c:v>6.3546840234585391E-3</c:v>
                </c:pt>
                <c:pt idx="34">
                  <c:v>6.7321400772699528E-3</c:v>
                </c:pt>
                <c:pt idx="35">
                  <c:v>7.1207745137657078E-3</c:v>
                </c:pt>
                <c:pt idx="36">
                  <c:v>7.5205821546854316E-3</c:v>
                </c:pt>
                <c:pt idx="37">
                  <c:v>7.9315578192526801E-3</c:v>
                </c:pt>
                <c:pt idx="38">
                  <c:v>8.3536963241753696E-3</c:v>
                </c:pt>
                <c:pt idx="39">
                  <c:v>8.7869924836461531E-3</c:v>
                </c:pt>
                <c:pt idx="40">
                  <c:v>9.2314411093428195E-3</c:v>
                </c:pt>
                <c:pt idx="41">
                  <c:v>9.6870370104287194E-3</c:v>
                </c:pt>
                <c:pt idx="42">
                  <c:v>1.0153774993553135E-2</c:v>
                </c:pt>
                <c:pt idx="43">
                  <c:v>1.0631649862851696E-2</c:v>
                </c:pt>
                <c:pt idx="44">
                  <c:v>1.1120656419946775E-2</c:v>
                </c:pt>
                <c:pt idx="45">
                  <c:v>1.1620789463947895E-2</c:v>
                </c:pt>
                <c:pt idx="46">
                  <c:v>1.2132043791452123E-2</c:v>
                </c:pt>
                <c:pt idx="47">
                  <c:v>1.2654414196544473E-2</c:v>
                </c:pt>
                <c:pt idx="48">
                  <c:v>1.3187895470798299E-2</c:v>
                </c:pt>
                <c:pt idx="49">
                  <c:v>1.3732482403275702E-2</c:v>
                </c:pt>
                <c:pt idx="50">
                  <c:v>1.4288169780527934E-2</c:v>
                </c:pt>
                <c:pt idx="51">
                  <c:v>1.4854952386595772E-2</c:v>
                </c:pt>
                <c:pt idx="52">
                  <c:v>1.5432825003009965E-2</c:v>
                </c:pt>
                <c:pt idx="53">
                  <c:v>1.6021782408791593E-2</c:v>
                </c:pt>
                <c:pt idx="54">
                  <c:v>1.6621819380452464E-2</c:v>
                </c:pt>
                <c:pt idx="55">
                  <c:v>1.7232930691995538E-2</c:v>
                </c:pt>
                <c:pt idx="56">
                  <c:v>1.7855111114915348E-2</c:v>
                </c:pt>
                <c:pt idx="57">
                  <c:v>1.8488355418198332E-2</c:v>
                </c:pt>
                <c:pt idx="58">
                  <c:v>1.9132658368323282E-2</c:v>
                </c:pt>
                <c:pt idx="59">
                  <c:v>1.9788014729261737E-2</c:v>
                </c:pt>
                <c:pt idx="60">
                  <c:v>2.0454419262478339E-2</c:v>
                </c:pt>
                <c:pt idx="61">
                  <c:v>2.1131866726931334E-2</c:v>
                </c:pt>
                <c:pt idx="62">
                  <c:v>2.1820351879072844E-2</c:v>
                </c:pt>
                <c:pt idx="63">
                  <c:v>2.2519869472849358E-2</c:v>
                </c:pt>
                <c:pt idx="64">
                  <c:v>2.3230414259702119E-2</c:v>
                </c:pt>
                <c:pt idx="65">
                  <c:v>2.3951980988567462E-2</c:v>
                </c:pt>
                <c:pt idx="66">
                  <c:v>2.4684564405877282E-2</c:v>
                </c:pt>
                <c:pt idx="67">
                  <c:v>2.5428159255559406E-2</c:v>
                </c:pt>
                <c:pt idx="68">
                  <c:v>2.6182760279038007E-2</c:v>
                </c:pt>
                <c:pt idx="69">
                  <c:v>2.6948362215233949E-2</c:v>
                </c:pt>
                <c:pt idx="70">
                  <c:v>2.7724959800565253E-2</c:v>
                </c:pt>
                <c:pt idx="71">
                  <c:v>2.8512547768947457E-2</c:v>
                </c:pt>
                <c:pt idx="72">
                  <c:v>2.9311120851794051E-2</c:v>
                </c:pt>
                <c:pt idx="73">
                  <c:v>3.0120673778016822E-2</c:v>
                </c:pt>
                <c:pt idx="74">
                  <c:v>3.0941201274026289E-2</c:v>
                </c:pt>
                <c:pt idx="75">
                  <c:v>3.1772698063732084E-2</c:v>
                </c:pt>
                <c:pt idx="76">
                  <c:v>3.2615158868543367E-2</c:v>
                </c:pt>
                <c:pt idx="77">
                  <c:v>3.3468578407369248E-2</c:v>
                </c:pt>
                <c:pt idx="78">
                  <c:v>3.4332951396619085E-2</c:v>
                </c:pt>
                <c:pt idx="79">
                  <c:v>3.5208272550203062E-2</c:v>
                </c:pt>
                <c:pt idx="80">
                  <c:v>3.6094536579532308E-2</c:v>
                </c:pt>
                <c:pt idx="81">
                  <c:v>3.6991738193519627E-2</c:v>
                </c:pt>
                <c:pt idx="82">
                  <c:v>3.7899872098579639E-2</c:v>
                </c:pt>
                <c:pt idx="83">
                  <c:v>3.8818932998629319E-2</c:v>
                </c:pt>
                <c:pt idx="84">
                  <c:v>3.9748915595088322E-2</c:v>
                </c:pt>
                <c:pt idx="85">
                  <c:v>4.0689814586879383E-2</c:v>
                </c:pt>
                <c:pt idx="86">
                  <c:v>4.1641624670428805E-2</c:v>
                </c:pt>
                <c:pt idx="87">
                  <c:v>4.2604340539666732E-2</c:v>
                </c:pt>
                <c:pt idx="88">
                  <c:v>4.3577956886027669E-2</c:v>
                </c:pt>
                <c:pt idx="89">
                  <c:v>4.4562468398450697E-2</c:v>
                </c:pt>
                <c:pt idx="90">
                  <c:v>4.555786976338011E-2</c:v>
                </c:pt>
                <c:pt idx="91">
                  <c:v>4.6564155664765614E-2</c:v>
                </c:pt>
                <c:pt idx="92">
                  <c:v>4.758132078406286E-2</c:v>
                </c:pt>
                <c:pt idx="93">
                  <c:v>4.8609359800233794E-2</c:v>
                </c:pt>
                <c:pt idx="94">
                  <c:v>4.9648267389746925E-2</c:v>
                </c:pt>
                <c:pt idx="95">
                  <c:v>5.0698038226578007E-2</c:v>
                </c:pt>
                <c:pt idx="96">
                  <c:v>5.1758666982210086E-2</c:v>
                </c:pt>
                <c:pt idx="97">
                  <c:v>5.2830148325634277E-2</c:v>
                </c:pt>
                <c:pt idx="98">
                  <c:v>5.3912476923349793E-2</c:v>
                </c:pt>
                <c:pt idx="99">
                  <c:v>5.5005647439364674E-2</c:v>
                </c:pt>
                <c:pt idx="100">
                  <c:v>5.6109654535195889E-2</c:v>
                </c:pt>
              </c:numCache>
            </c:numRef>
          </c:val>
          <c:smooth val="0"/>
          <c:extLst>
            <c:ext xmlns:c16="http://schemas.microsoft.com/office/drawing/2014/chart" uri="{C3380CC4-5D6E-409C-BE32-E72D297353CC}">
              <c16:uniqueId val="{00000000-3B6C-4BEA-AB8D-9A7C0517EAA2}"/>
            </c:ext>
          </c:extLst>
        </c:ser>
        <c:ser>
          <c:idx val="5"/>
          <c:order val="7"/>
          <c:tx>
            <c:strRef>
              <c:f>'Efficiency vs Load Calculations'!$AC$8</c:f>
              <c:strCache>
                <c:ptCount val="1"/>
                <c:pt idx="0">
                  <c:v>Total Cout Loss</c:v>
                </c:pt>
              </c:strCache>
            </c:strRef>
          </c:tx>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Calculations'!$AC$9:$AC$109</c:f>
              <c:numCache>
                <c:formatCode>0.000</c:formatCode>
                <c:ptCount val="101"/>
                <c:pt idx="0">
                  <c:v>2.5805462293388448E-3</c:v>
                </c:pt>
                <c:pt idx="1">
                  <c:v>2.5809990752498992E-3</c:v>
                </c:pt>
                <c:pt idx="2">
                  <c:v>2.5814519473044322E-3</c:v>
                </c:pt>
                <c:pt idx="3">
                  <c:v>2.5819048454994815E-3</c:v>
                </c:pt>
                <c:pt idx="4">
                  <c:v>2.5823577698320839E-3</c:v>
                </c:pt>
                <c:pt idx="5">
                  <c:v>2.582810720299273E-3</c:v>
                </c:pt>
                <c:pt idx="6">
                  <c:v>2.5832636968980889E-3</c:v>
                </c:pt>
                <c:pt idx="7">
                  <c:v>2.5837166996255652E-3</c:v>
                </c:pt>
                <c:pt idx="8">
                  <c:v>2.5841697284787394E-3</c:v>
                </c:pt>
                <c:pt idx="9">
                  <c:v>2.5846227834546561E-3</c:v>
                </c:pt>
                <c:pt idx="10">
                  <c:v>2.5850758645503437E-3</c:v>
                </c:pt>
                <c:pt idx="11">
                  <c:v>2.5855289717628457E-3</c:v>
                </c:pt>
                <c:pt idx="12">
                  <c:v>2.5859821050891983E-3</c:v>
                </c:pt>
                <c:pt idx="13">
                  <c:v>2.5864352645264444E-3</c:v>
                </c:pt>
                <c:pt idx="14">
                  <c:v>2.5868884500716166E-3</c:v>
                </c:pt>
                <c:pt idx="15">
                  <c:v>2.5873416617217611E-3</c:v>
                </c:pt>
                <c:pt idx="16">
                  <c:v>2.5877948994739121E-3</c:v>
                </c:pt>
                <c:pt idx="17">
                  <c:v>2.5882481633251126E-3</c:v>
                </c:pt>
                <c:pt idx="18">
                  <c:v>2.5887014532723985E-3</c:v>
                </c:pt>
                <c:pt idx="19">
                  <c:v>2.5891547693128155E-3</c:v>
                </c:pt>
                <c:pt idx="20">
                  <c:v>2.5896081114434024E-3</c:v>
                </c:pt>
                <c:pt idx="21">
                  <c:v>2.5900614796612021E-3</c:v>
                </c:pt>
                <c:pt idx="22">
                  <c:v>2.5905148739632541E-3</c:v>
                </c:pt>
                <c:pt idx="23">
                  <c:v>2.5909682943465969E-3</c:v>
                </c:pt>
                <c:pt idx="24">
                  <c:v>2.5914217408082767E-3</c:v>
                </c:pt>
                <c:pt idx="25">
                  <c:v>2.5918752133453371E-3</c:v>
                </c:pt>
                <c:pt idx="26">
                  <c:v>2.5923287119548168E-3</c:v>
                </c:pt>
                <c:pt idx="27">
                  <c:v>2.5927822366337556E-3</c:v>
                </c:pt>
                <c:pt idx="28">
                  <c:v>2.5932357873792067E-3</c:v>
                </c:pt>
                <c:pt idx="29">
                  <c:v>2.5936893641882041E-3</c:v>
                </c:pt>
                <c:pt idx="30">
                  <c:v>2.5941429670577948E-3</c:v>
                </c:pt>
                <c:pt idx="31">
                  <c:v>2.594596595985022E-3</c:v>
                </c:pt>
                <c:pt idx="32">
                  <c:v>2.595050250966935E-3</c:v>
                </c:pt>
                <c:pt idx="33">
                  <c:v>2.5955039320005669E-3</c:v>
                </c:pt>
                <c:pt idx="34">
                  <c:v>2.5959576390829743E-3</c:v>
                </c:pt>
                <c:pt idx="35">
                  <c:v>2.5964113722111949E-3</c:v>
                </c:pt>
                <c:pt idx="36">
                  <c:v>2.5968651313822764E-3</c:v>
                </c:pt>
                <c:pt idx="37">
                  <c:v>2.5973189165932674E-3</c:v>
                </c:pt>
                <c:pt idx="38">
                  <c:v>2.5977727278412061E-3</c:v>
                </c:pt>
                <c:pt idx="39">
                  <c:v>2.5982265651231461E-3</c:v>
                </c:pt>
                <c:pt idx="40">
                  <c:v>2.5986804284361294E-3</c:v>
                </c:pt>
                <c:pt idx="41">
                  <c:v>2.5991343177772055E-3</c:v>
                </c:pt>
                <c:pt idx="42">
                  <c:v>2.5995882331434203E-3</c:v>
                </c:pt>
                <c:pt idx="43">
                  <c:v>2.6000421745318229E-3</c:v>
                </c:pt>
                <c:pt idx="44">
                  <c:v>2.600496141939454E-3</c:v>
                </c:pt>
                <c:pt idx="45">
                  <c:v>2.6009501353633701E-3</c:v>
                </c:pt>
                <c:pt idx="46">
                  <c:v>2.6014041548006166E-3</c:v>
                </c:pt>
                <c:pt idx="47">
                  <c:v>2.6018582002482397E-3</c:v>
                </c:pt>
                <c:pt idx="48">
                  <c:v>2.6023122717032904E-3</c:v>
                </c:pt>
                <c:pt idx="49">
                  <c:v>2.6027663691628152E-3</c:v>
                </c:pt>
                <c:pt idx="50">
                  <c:v>2.603220492623866E-3</c:v>
                </c:pt>
                <c:pt idx="51">
                  <c:v>2.6036746420834934E-3</c:v>
                </c:pt>
                <c:pt idx="52">
                  <c:v>2.6041288175387423E-3</c:v>
                </c:pt>
                <c:pt idx="53">
                  <c:v>2.604583018986667E-3</c:v>
                </c:pt>
                <c:pt idx="54">
                  <c:v>2.6050372464243177E-3</c:v>
                </c:pt>
                <c:pt idx="55">
                  <c:v>2.6054914998487415E-3</c:v>
                </c:pt>
                <c:pt idx="56">
                  <c:v>2.605945779256995E-3</c:v>
                </c:pt>
                <c:pt idx="57">
                  <c:v>2.6064000846461239E-3</c:v>
                </c:pt>
                <c:pt idx="58">
                  <c:v>2.6068544160131844E-3</c:v>
                </c:pt>
                <c:pt idx="59">
                  <c:v>2.607308773355228E-3</c:v>
                </c:pt>
                <c:pt idx="60">
                  <c:v>2.607763156669302E-3</c:v>
                </c:pt>
                <c:pt idx="61">
                  <c:v>2.6082175659524632E-3</c:v>
                </c:pt>
                <c:pt idx="62">
                  <c:v>2.6086720012017629E-3</c:v>
                </c:pt>
                <c:pt idx="63">
                  <c:v>2.6091264624142534E-3</c:v>
                </c:pt>
                <c:pt idx="64">
                  <c:v>2.60958094958699E-3</c:v>
                </c:pt>
                <c:pt idx="65">
                  <c:v>2.6100354627170241E-3</c:v>
                </c:pt>
                <c:pt idx="66">
                  <c:v>2.6104900018014145E-3</c:v>
                </c:pt>
                <c:pt idx="67">
                  <c:v>2.6109445668372044E-3</c:v>
                </c:pt>
                <c:pt idx="68">
                  <c:v>2.611399157821459E-3</c:v>
                </c:pt>
                <c:pt idx="69">
                  <c:v>2.611853774751231E-3</c:v>
                </c:pt>
                <c:pt idx="70">
                  <c:v>2.6123084176235701E-3</c:v>
                </c:pt>
                <c:pt idx="71">
                  <c:v>2.6127630864355377E-3</c:v>
                </c:pt>
                <c:pt idx="72">
                  <c:v>2.6132177811841835E-3</c:v>
                </c:pt>
                <c:pt idx="73">
                  <c:v>2.6136725018665687E-3</c:v>
                </c:pt>
                <c:pt idx="74">
                  <c:v>2.6141272484797441E-3</c:v>
                </c:pt>
                <c:pt idx="75">
                  <c:v>2.6145820210207726E-3</c:v>
                </c:pt>
                <c:pt idx="76">
                  <c:v>2.6150368194867036E-3</c:v>
                </c:pt>
                <c:pt idx="77">
                  <c:v>2.6154916438746005E-3</c:v>
                </c:pt>
                <c:pt idx="78">
                  <c:v>2.615946494181517E-3</c:v>
                </c:pt>
                <c:pt idx="79">
                  <c:v>2.6164013704045091E-3</c:v>
                </c:pt>
                <c:pt idx="80">
                  <c:v>2.6168562725406401E-3</c:v>
                </c:pt>
                <c:pt idx="81">
                  <c:v>2.6173112005869613E-3</c:v>
                </c:pt>
                <c:pt idx="82">
                  <c:v>2.6177661545405398E-3</c:v>
                </c:pt>
                <c:pt idx="83">
                  <c:v>2.6182211343984234E-3</c:v>
                </c:pt>
                <c:pt idx="84">
                  <c:v>2.6186761401576788E-3</c:v>
                </c:pt>
                <c:pt idx="85">
                  <c:v>2.6191311718153608E-3</c:v>
                </c:pt>
                <c:pt idx="86">
                  <c:v>2.6195862293685343E-3</c:v>
                </c:pt>
                <c:pt idx="87">
                  <c:v>2.6200413128142541E-3</c:v>
                </c:pt>
                <c:pt idx="88">
                  <c:v>2.6204964221495843E-3</c:v>
                </c:pt>
                <c:pt idx="89">
                  <c:v>2.6209515573715815E-3</c:v>
                </c:pt>
                <c:pt idx="90">
                  <c:v>2.6214067184773078E-3</c:v>
                </c:pt>
                <c:pt idx="91">
                  <c:v>2.6218619054638259E-3</c:v>
                </c:pt>
                <c:pt idx="92">
                  <c:v>2.6223171183281926E-3</c:v>
                </c:pt>
                <c:pt idx="93">
                  <c:v>2.6227723570674726E-3</c:v>
                </c:pt>
                <c:pt idx="94">
                  <c:v>2.6232276216787238E-3</c:v>
                </c:pt>
                <c:pt idx="95">
                  <c:v>2.6236829121590133E-3</c:v>
                </c:pt>
                <c:pt idx="96">
                  <c:v>2.6241382285054015E-3</c:v>
                </c:pt>
                <c:pt idx="97">
                  <c:v>2.624593570714955E-3</c:v>
                </c:pt>
                <c:pt idx="98">
                  <c:v>2.6250489387847267E-3</c:v>
                </c:pt>
                <c:pt idx="99">
                  <c:v>2.6255043327117898E-3</c:v>
                </c:pt>
                <c:pt idx="100">
                  <c:v>2.6259597524932012E-3</c:v>
                </c:pt>
              </c:numCache>
            </c:numRef>
          </c:val>
          <c:smooth val="0"/>
          <c:extLst>
            <c:ext xmlns:c16="http://schemas.microsoft.com/office/drawing/2014/chart" uri="{C3380CC4-5D6E-409C-BE32-E72D297353CC}">
              <c16:uniqueId val="{00000001-3B6C-4BEA-AB8D-9A7C0517EAA2}"/>
            </c:ext>
          </c:extLst>
        </c:ser>
        <c:dLbls>
          <c:showLegendKey val="0"/>
          <c:showVal val="0"/>
          <c:showCatName val="0"/>
          <c:showSerName val="0"/>
          <c:showPercent val="0"/>
          <c:showBubbleSize val="0"/>
        </c:dLbls>
        <c:marker val="1"/>
        <c:smooth val="0"/>
        <c:axId val="196371584"/>
        <c:axId val="196361216"/>
        <c:extLst>
          <c:ext xmlns:c15="http://schemas.microsoft.com/office/drawing/2012/chart" uri="{02D57815-91ED-43cb-92C2-25804820EDAC}">
            <c15:filteredLineSeries>
              <c15:ser>
                <c:idx val="10"/>
                <c:order val="1"/>
                <c:tx>
                  <c:strRef>
                    <c:extLst>
                      <c:ext uri="{02D57815-91ED-43cb-92C2-25804820EDAC}">
                        <c15:formulaRef>
                          <c15:sqref>'Efficiency vs Load Calculations'!$BB$8</c15:sqref>
                        </c15:formulaRef>
                      </c:ext>
                    </c:extLst>
                    <c:strCache>
                      <c:ptCount val="1"/>
                      <c:pt idx="0">
                        <c:v>Reverse Recovery Loss MOSFET D BOOST</c:v>
                      </c:pt>
                    </c:strCache>
                  </c:strRef>
                </c:tx>
                <c:marker>
                  <c:symbol val="none"/>
                </c:marker>
                <c:cat>
                  <c:numRef>
                    <c:extLst>
                      <c:ex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c:ext uri="{02D57815-91ED-43cb-92C2-25804820EDAC}">
                        <c15:formulaRef>
                          <c15:sqref>'Efficiency vs Load Calculations'!$BB$9:$BB$109</c15:sqref>
                        </c15:formulaRef>
                      </c:ext>
                    </c:extLst>
                    <c:numCache>
                      <c:formatCode>0.000</c:formatCode>
                      <c:ptCount val="101"/>
                      <c:pt idx="0">
                        <c:v>0</c:v>
                      </c:pt>
                      <c:pt idx="1">
                        <c:v>2.3999395200000003E-3</c:v>
                      </c:pt>
                      <c:pt idx="2">
                        <c:v>4.79975808E-3</c:v>
                      </c:pt>
                      <c:pt idx="3">
                        <c:v>7.1994556799999995E-3</c:v>
                      </c:pt>
                      <c:pt idx="4">
                        <c:v>9.5990323199999991E-3</c:v>
                      </c:pt>
                      <c:pt idx="5">
                        <c:v>1.1998488000000002E-2</c:v>
                      </c:pt>
                      <c:pt idx="6">
                        <c:v>1.4397822720000002E-2</c:v>
                      </c:pt>
                      <c:pt idx="7">
                        <c:v>1.6797036479999999E-2</c:v>
                      </c:pt>
                      <c:pt idx="8">
                        <c:v>1.9196129280000002E-2</c:v>
                      </c:pt>
                      <c:pt idx="9">
                        <c:v>2.1595101119999998E-2</c:v>
                      </c:pt>
                      <c:pt idx="10">
                        <c:v>2.3993952000000002E-2</c:v>
                      </c:pt>
                      <c:pt idx="11">
                        <c:v>2.6392681920000004E-2</c:v>
                      </c:pt>
                      <c:pt idx="12">
                        <c:v>2.8791290880000001E-2</c:v>
                      </c:pt>
                      <c:pt idx="13">
                        <c:v>3.1189778880000001E-2</c:v>
                      </c:pt>
                      <c:pt idx="14">
                        <c:v>3.358814592E-2</c:v>
                      </c:pt>
                      <c:pt idx="15">
                        <c:v>3.5986391999999999E-2</c:v>
                      </c:pt>
                      <c:pt idx="16">
                        <c:v>3.8384517119999996E-2</c:v>
                      </c:pt>
                      <c:pt idx="17">
                        <c:v>4.0782521280000004E-2</c:v>
                      </c:pt>
                      <c:pt idx="18">
                        <c:v>4.3180404480000004E-2</c:v>
                      </c:pt>
                      <c:pt idx="19">
                        <c:v>4.557816672E-2</c:v>
                      </c:pt>
                      <c:pt idx="20">
                        <c:v>4.7975808000000009E-2</c:v>
                      </c:pt>
                      <c:pt idx="21">
                        <c:v>5.0373328320000001E-2</c:v>
                      </c:pt>
                      <c:pt idx="22">
                        <c:v>5.2770727680000004E-2</c:v>
                      </c:pt>
                      <c:pt idx="23">
                        <c:v>5.5168006079999998E-2</c:v>
                      </c:pt>
                      <c:pt idx="24">
                        <c:v>5.7565163520000004E-2</c:v>
                      </c:pt>
                      <c:pt idx="25">
                        <c:v>5.9962200000000014E-2</c:v>
                      </c:pt>
                      <c:pt idx="26">
                        <c:v>6.2359115520000001E-2</c:v>
                      </c:pt>
                      <c:pt idx="27">
                        <c:v>6.4755910080000006E-2</c:v>
                      </c:pt>
                      <c:pt idx="28">
                        <c:v>6.7152583679999989E-2</c:v>
                      </c:pt>
                      <c:pt idx="29">
                        <c:v>6.9549136319999996E-2</c:v>
                      </c:pt>
                      <c:pt idx="30">
                        <c:v>7.1945568000000001E-2</c:v>
                      </c:pt>
                      <c:pt idx="31">
                        <c:v>7.4341878720000004E-2</c:v>
                      </c:pt>
                      <c:pt idx="32">
                        <c:v>7.6738068480000005E-2</c:v>
                      </c:pt>
                      <c:pt idx="33">
                        <c:v>7.9134137279999989E-2</c:v>
                      </c:pt>
                      <c:pt idx="34">
                        <c:v>8.1530085119999998E-2</c:v>
                      </c:pt>
                      <c:pt idx="35">
                        <c:v>8.3925912000000005E-2</c:v>
                      </c:pt>
                      <c:pt idx="36">
                        <c:v>8.632161792000001E-2</c:v>
                      </c:pt>
                      <c:pt idx="37">
                        <c:v>8.8717202880000012E-2</c:v>
                      </c:pt>
                      <c:pt idx="38">
                        <c:v>9.1112666879999998E-2</c:v>
                      </c:pt>
                      <c:pt idx="39">
                        <c:v>9.3508009919999982E-2</c:v>
                      </c:pt>
                      <c:pt idx="40">
                        <c:v>9.5903232000000005E-2</c:v>
                      </c:pt>
                      <c:pt idx="41">
                        <c:v>9.8298333119999984E-2</c:v>
                      </c:pt>
                      <c:pt idx="42">
                        <c:v>0.10069331328</c:v>
                      </c:pt>
                      <c:pt idx="43">
                        <c:v>0.10308817248000002</c:v>
                      </c:pt>
                      <c:pt idx="44">
                        <c:v>0.10548291072</c:v>
                      </c:pt>
                      <c:pt idx="45">
                        <c:v>0.107877528</c:v>
                      </c:pt>
                      <c:pt idx="46">
                        <c:v>0.11027202431999999</c:v>
                      </c:pt>
                      <c:pt idx="47">
                        <c:v>0.11266639968</c:v>
                      </c:pt>
                      <c:pt idx="48">
                        <c:v>0.11506065408</c:v>
                      </c:pt>
                      <c:pt idx="49">
                        <c:v>0.11745478752000001</c:v>
                      </c:pt>
                      <c:pt idx="50">
                        <c:v>0.11984880000000001</c:v>
                      </c:pt>
                      <c:pt idx="51">
                        <c:v>0.12224269152</c:v>
                      </c:pt>
                      <c:pt idx="52">
                        <c:v>0.12463646208</c:v>
                      </c:pt>
                      <c:pt idx="53">
                        <c:v>0.12703011168</c:v>
                      </c:pt>
                      <c:pt idx="54">
                        <c:v>0.12942364032000003</c:v>
                      </c:pt>
                      <c:pt idx="55">
                        <c:v>0.13181704800000002</c:v>
                      </c:pt>
                      <c:pt idx="56">
                        <c:v>0.13421033471999999</c:v>
                      </c:pt>
                      <c:pt idx="57">
                        <c:v>0.13660350048</c:v>
                      </c:pt>
                      <c:pt idx="58">
                        <c:v>0.13899654527999999</c:v>
                      </c:pt>
                      <c:pt idx="59">
                        <c:v>0.14138946912</c:v>
                      </c:pt>
                      <c:pt idx="60">
                        <c:v>0.14378227200000002</c:v>
                      </c:pt>
                      <c:pt idx="61">
                        <c:v>0.14617495392000002</c:v>
                      </c:pt>
                      <c:pt idx="62">
                        <c:v>0.14856751488</c:v>
                      </c:pt>
                      <c:pt idx="63">
                        <c:v>0.15095995488</c:v>
                      </c:pt>
                      <c:pt idx="64">
                        <c:v>0.15335227392</c:v>
                      </c:pt>
                      <c:pt idx="65">
                        <c:v>0.15574447199999999</c:v>
                      </c:pt>
                      <c:pt idx="66">
                        <c:v>0.15813654912</c:v>
                      </c:pt>
                      <c:pt idx="67">
                        <c:v>0.16052850528000001</c:v>
                      </c:pt>
                      <c:pt idx="68">
                        <c:v>0.16292034048000001</c:v>
                      </c:pt>
                      <c:pt idx="69">
                        <c:v>0.16531205471999999</c:v>
                      </c:pt>
                      <c:pt idx="70">
                        <c:v>0.16770364800000001</c:v>
                      </c:pt>
                      <c:pt idx="71">
                        <c:v>0.17009512031999999</c:v>
                      </c:pt>
                      <c:pt idx="72">
                        <c:v>0.17248647168</c:v>
                      </c:pt>
                      <c:pt idx="73">
                        <c:v>0.17487770208000003</c:v>
                      </c:pt>
                      <c:pt idx="74">
                        <c:v>0.17726881152000001</c:v>
                      </c:pt>
                      <c:pt idx="75">
                        <c:v>0.17965979999999998</c:v>
                      </c:pt>
                      <c:pt idx="76">
                        <c:v>0.18205066751999999</c:v>
                      </c:pt>
                      <c:pt idx="77">
                        <c:v>0.18444141408000003</c:v>
                      </c:pt>
                      <c:pt idx="78">
                        <c:v>0.18683203967999998</c:v>
                      </c:pt>
                      <c:pt idx="79">
                        <c:v>0.18922254431999999</c:v>
                      </c:pt>
                      <c:pt idx="80">
                        <c:v>0.19161292800000002</c:v>
                      </c:pt>
                      <c:pt idx="81">
                        <c:v>0.19400319072000002</c:v>
                      </c:pt>
                      <c:pt idx="82">
                        <c:v>0.19639333247999996</c:v>
                      </c:pt>
                      <c:pt idx="83">
                        <c:v>0.19878335328000002</c:v>
                      </c:pt>
                      <c:pt idx="84">
                        <c:v>0.20117325312000003</c:v>
                      </c:pt>
                      <c:pt idx="85">
                        <c:v>0.203563032</c:v>
                      </c:pt>
                      <c:pt idx="86">
                        <c:v>0.20595268992000001</c:v>
                      </c:pt>
                      <c:pt idx="87">
                        <c:v>0.20834222687999998</c:v>
                      </c:pt>
                      <c:pt idx="88">
                        <c:v>0.21073164288000004</c:v>
                      </c:pt>
                      <c:pt idx="89">
                        <c:v>0.21312093792</c:v>
                      </c:pt>
                      <c:pt idx="90">
                        <c:v>0.21551011200000003</c:v>
                      </c:pt>
                      <c:pt idx="91">
                        <c:v>0.21789916511999999</c:v>
                      </c:pt>
                      <c:pt idx="92">
                        <c:v>0.22028809727999998</c:v>
                      </c:pt>
                      <c:pt idx="93">
                        <c:v>0.22267690848000002</c:v>
                      </c:pt>
                      <c:pt idx="94">
                        <c:v>0.22506559872000001</c:v>
                      </c:pt>
                      <c:pt idx="95">
                        <c:v>0.22745416800000001</c:v>
                      </c:pt>
                      <c:pt idx="96">
                        <c:v>0.22984261632000003</c:v>
                      </c:pt>
                      <c:pt idx="97">
                        <c:v>0.23223094368</c:v>
                      </c:pt>
                      <c:pt idx="98">
                        <c:v>0.23461915007999998</c:v>
                      </c:pt>
                      <c:pt idx="99">
                        <c:v>0.23700723552000003</c:v>
                      </c:pt>
                      <c:pt idx="100">
                        <c:v>0.23939520000000003</c:v>
                      </c:pt>
                    </c:numCache>
                  </c:numRef>
                </c:val>
                <c:smooth val="0"/>
                <c:extLst>
                  <c:ext xmlns:c16="http://schemas.microsoft.com/office/drawing/2014/chart" uri="{C3380CC4-5D6E-409C-BE32-E72D297353CC}">
                    <c16:uniqueId val="{00000003-3B6C-4BEA-AB8D-9A7C0517EAA2}"/>
                  </c:ext>
                </c:extLst>
              </c15:ser>
            </c15:filteredLineSeries>
            <c15:filteredLineSeries>
              <c15:ser>
                <c:idx val="11"/>
                <c:order val="2"/>
                <c:tx>
                  <c:strRef>
                    <c:extLst xmlns:c15="http://schemas.microsoft.com/office/drawing/2012/chart">
                      <c:ext xmlns:c15="http://schemas.microsoft.com/office/drawing/2012/chart" uri="{02D57815-91ED-43cb-92C2-25804820EDAC}">
                        <c15:formulaRef>
                          <c15:sqref>'Efficiency vs Load Calculations'!$BE$7</c15:sqref>
                        </c15:formulaRef>
                      </c:ext>
                    </c:extLst>
                    <c:strCache>
                      <c:ptCount val="1"/>
                      <c:pt idx="0">
                        <c:v>Controller IC Losses</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Calculations'!$BG$9:$BG$109</c15:sqref>
                        </c15:formulaRef>
                      </c:ext>
                    </c:extLst>
                    <c:numCache>
                      <c:formatCode>0.000</c:formatCode>
                      <c:ptCount val="101"/>
                      <c:pt idx="0">
                        <c:v>0.45605042016806729</c:v>
                      </c:pt>
                      <c:pt idx="1">
                        <c:v>0.45605042016806729</c:v>
                      </c:pt>
                      <c:pt idx="2">
                        <c:v>0.45605042016806729</c:v>
                      </c:pt>
                      <c:pt idx="3">
                        <c:v>0.45605042016806729</c:v>
                      </c:pt>
                      <c:pt idx="4">
                        <c:v>0.45605042016806729</c:v>
                      </c:pt>
                      <c:pt idx="5">
                        <c:v>0.45605042016806729</c:v>
                      </c:pt>
                      <c:pt idx="6">
                        <c:v>0.45605042016806729</c:v>
                      </c:pt>
                      <c:pt idx="7">
                        <c:v>0.45605042016806729</c:v>
                      </c:pt>
                      <c:pt idx="8">
                        <c:v>0.45605042016806729</c:v>
                      </c:pt>
                      <c:pt idx="9">
                        <c:v>0.45605042016806729</c:v>
                      </c:pt>
                      <c:pt idx="10">
                        <c:v>0.45605042016806729</c:v>
                      </c:pt>
                      <c:pt idx="11">
                        <c:v>0.45605042016806729</c:v>
                      </c:pt>
                      <c:pt idx="12">
                        <c:v>0.45605042016806729</c:v>
                      </c:pt>
                      <c:pt idx="13">
                        <c:v>0.45605042016806729</c:v>
                      </c:pt>
                      <c:pt idx="14">
                        <c:v>0.45605042016806729</c:v>
                      </c:pt>
                      <c:pt idx="15">
                        <c:v>0.45605042016806729</c:v>
                      </c:pt>
                      <c:pt idx="16">
                        <c:v>0.45605042016806729</c:v>
                      </c:pt>
                      <c:pt idx="17">
                        <c:v>0.45605042016806729</c:v>
                      </c:pt>
                      <c:pt idx="18">
                        <c:v>0.45605042016806729</c:v>
                      </c:pt>
                      <c:pt idx="19">
                        <c:v>0.45605042016806729</c:v>
                      </c:pt>
                      <c:pt idx="20">
                        <c:v>0.45605042016806729</c:v>
                      </c:pt>
                      <c:pt idx="21">
                        <c:v>0.45605042016806729</c:v>
                      </c:pt>
                      <c:pt idx="22">
                        <c:v>0.45605042016806729</c:v>
                      </c:pt>
                      <c:pt idx="23">
                        <c:v>0.45605042016806729</c:v>
                      </c:pt>
                      <c:pt idx="24">
                        <c:v>0.45605042016806729</c:v>
                      </c:pt>
                      <c:pt idx="25">
                        <c:v>0.45605042016806729</c:v>
                      </c:pt>
                      <c:pt idx="26">
                        <c:v>0.45605042016806729</c:v>
                      </c:pt>
                      <c:pt idx="27">
                        <c:v>0.45605042016806729</c:v>
                      </c:pt>
                      <c:pt idx="28">
                        <c:v>0.45605042016806729</c:v>
                      </c:pt>
                      <c:pt idx="29">
                        <c:v>0.45605042016806729</c:v>
                      </c:pt>
                      <c:pt idx="30">
                        <c:v>0.45605042016806729</c:v>
                      </c:pt>
                      <c:pt idx="31">
                        <c:v>0.45605042016806729</c:v>
                      </c:pt>
                      <c:pt idx="32">
                        <c:v>0.45605042016806729</c:v>
                      </c:pt>
                      <c:pt idx="33">
                        <c:v>0.45605042016806729</c:v>
                      </c:pt>
                      <c:pt idx="34">
                        <c:v>0.45605042016806729</c:v>
                      </c:pt>
                      <c:pt idx="35">
                        <c:v>0.45605042016806729</c:v>
                      </c:pt>
                      <c:pt idx="36">
                        <c:v>0.45605042016806729</c:v>
                      </c:pt>
                      <c:pt idx="37">
                        <c:v>0.45605042016806729</c:v>
                      </c:pt>
                      <c:pt idx="38">
                        <c:v>0.45605042016806729</c:v>
                      </c:pt>
                      <c:pt idx="39">
                        <c:v>0.45605042016806729</c:v>
                      </c:pt>
                      <c:pt idx="40">
                        <c:v>0.45605042016806729</c:v>
                      </c:pt>
                      <c:pt idx="41">
                        <c:v>0.45605042016806729</c:v>
                      </c:pt>
                      <c:pt idx="42">
                        <c:v>0.45605042016806729</c:v>
                      </c:pt>
                      <c:pt idx="43">
                        <c:v>0.45605042016806729</c:v>
                      </c:pt>
                      <c:pt idx="44">
                        <c:v>0.45605042016806729</c:v>
                      </c:pt>
                      <c:pt idx="45">
                        <c:v>0.45605042016806729</c:v>
                      </c:pt>
                      <c:pt idx="46">
                        <c:v>0.45605042016806729</c:v>
                      </c:pt>
                      <c:pt idx="47">
                        <c:v>0.45605042016806729</c:v>
                      </c:pt>
                      <c:pt idx="48">
                        <c:v>0.45605042016806729</c:v>
                      </c:pt>
                      <c:pt idx="49">
                        <c:v>0.45605042016806729</c:v>
                      </c:pt>
                      <c:pt idx="50">
                        <c:v>0.45605042016806729</c:v>
                      </c:pt>
                      <c:pt idx="51">
                        <c:v>0.45605042016806729</c:v>
                      </c:pt>
                      <c:pt idx="52">
                        <c:v>0.45605042016806729</c:v>
                      </c:pt>
                      <c:pt idx="53">
                        <c:v>0.45605042016806729</c:v>
                      </c:pt>
                      <c:pt idx="54">
                        <c:v>0.45605042016806729</c:v>
                      </c:pt>
                      <c:pt idx="55">
                        <c:v>0.45605042016806729</c:v>
                      </c:pt>
                      <c:pt idx="56">
                        <c:v>0.45605042016806729</c:v>
                      </c:pt>
                      <c:pt idx="57">
                        <c:v>0.45605042016806729</c:v>
                      </c:pt>
                      <c:pt idx="58">
                        <c:v>0.45605042016806729</c:v>
                      </c:pt>
                      <c:pt idx="59">
                        <c:v>0.45605042016806729</c:v>
                      </c:pt>
                      <c:pt idx="60">
                        <c:v>0.45605042016806729</c:v>
                      </c:pt>
                      <c:pt idx="61">
                        <c:v>0.45605042016806729</c:v>
                      </c:pt>
                      <c:pt idx="62">
                        <c:v>0.45605042016806729</c:v>
                      </c:pt>
                      <c:pt idx="63">
                        <c:v>0.45605042016806729</c:v>
                      </c:pt>
                      <c:pt idx="64">
                        <c:v>0.45605042016806729</c:v>
                      </c:pt>
                      <c:pt idx="65">
                        <c:v>0.45605042016806729</c:v>
                      </c:pt>
                      <c:pt idx="66">
                        <c:v>0.45605042016806729</c:v>
                      </c:pt>
                      <c:pt idx="67">
                        <c:v>0.45605042016806729</c:v>
                      </c:pt>
                      <c:pt idx="68">
                        <c:v>0.45605042016806729</c:v>
                      </c:pt>
                      <c:pt idx="69">
                        <c:v>0.45605042016806729</c:v>
                      </c:pt>
                      <c:pt idx="70">
                        <c:v>0.45605042016806729</c:v>
                      </c:pt>
                      <c:pt idx="71">
                        <c:v>0.45605042016806729</c:v>
                      </c:pt>
                      <c:pt idx="72">
                        <c:v>0.45605042016806729</c:v>
                      </c:pt>
                      <c:pt idx="73">
                        <c:v>0.45605042016806729</c:v>
                      </c:pt>
                      <c:pt idx="74">
                        <c:v>0.45605042016806729</c:v>
                      </c:pt>
                      <c:pt idx="75">
                        <c:v>0.45605042016806729</c:v>
                      </c:pt>
                      <c:pt idx="76">
                        <c:v>0.45605042016806729</c:v>
                      </c:pt>
                      <c:pt idx="77">
                        <c:v>0.45605042016806729</c:v>
                      </c:pt>
                      <c:pt idx="78">
                        <c:v>0.45605042016806729</c:v>
                      </c:pt>
                      <c:pt idx="79">
                        <c:v>0.45605042016806729</c:v>
                      </c:pt>
                      <c:pt idx="80">
                        <c:v>0.45605042016806729</c:v>
                      </c:pt>
                      <c:pt idx="81">
                        <c:v>0.45605042016806729</c:v>
                      </c:pt>
                      <c:pt idx="82">
                        <c:v>0.45605042016806729</c:v>
                      </c:pt>
                      <c:pt idx="83">
                        <c:v>0.45605042016806729</c:v>
                      </c:pt>
                      <c:pt idx="84">
                        <c:v>0.45605042016806729</c:v>
                      </c:pt>
                      <c:pt idx="85">
                        <c:v>0.45605042016806729</c:v>
                      </c:pt>
                      <c:pt idx="86">
                        <c:v>0.45605042016806729</c:v>
                      </c:pt>
                      <c:pt idx="87">
                        <c:v>0.45605042016806729</c:v>
                      </c:pt>
                      <c:pt idx="88">
                        <c:v>0.45605042016806729</c:v>
                      </c:pt>
                      <c:pt idx="89">
                        <c:v>0.45605042016806729</c:v>
                      </c:pt>
                      <c:pt idx="90">
                        <c:v>0.45605042016806729</c:v>
                      </c:pt>
                      <c:pt idx="91">
                        <c:v>0.45605042016806729</c:v>
                      </c:pt>
                      <c:pt idx="92">
                        <c:v>0.45605042016806729</c:v>
                      </c:pt>
                      <c:pt idx="93">
                        <c:v>0.45605042016806729</c:v>
                      </c:pt>
                      <c:pt idx="94">
                        <c:v>0.45605042016806729</c:v>
                      </c:pt>
                      <c:pt idx="95">
                        <c:v>0.45605042016806729</c:v>
                      </c:pt>
                      <c:pt idx="96">
                        <c:v>0.45605042016806729</c:v>
                      </c:pt>
                      <c:pt idx="97">
                        <c:v>0.45605042016806729</c:v>
                      </c:pt>
                      <c:pt idx="98">
                        <c:v>0.45605042016806729</c:v>
                      </c:pt>
                      <c:pt idx="99">
                        <c:v>0.45605042016806729</c:v>
                      </c:pt>
                      <c:pt idx="100">
                        <c:v>0.45605042016806729</c:v>
                      </c:pt>
                    </c:numCache>
                  </c:numRef>
                </c:val>
                <c:smooth val="0"/>
                <c:extLst xmlns:c15="http://schemas.microsoft.com/office/drawing/2012/chart">
                  <c:ext xmlns:c16="http://schemas.microsoft.com/office/drawing/2014/chart" uri="{C3380CC4-5D6E-409C-BE32-E72D297353CC}">
                    <c16:uniqueId val="{00000004-3B6C-4BEA-AB8D-9A7C0517EAA2}"/>
                  </c:ext>
                </c:extLst>
              </c15:ser>
            </c15:filteredLineSeries>
            <c15:filteredLineSeries>
              <c15:ser>
                <c:idx val="9"/>
                <c:order val="3"/>
                <c:tx>
                  <c:strRef>
                    <c:extLst xmlns:c15="http://schemas.microsoft.com/office/drawing/2012/chart">
                      <c:ext xmlns:c15="http://schemas.microsoft.com/office/drawing/2012/chart" uri="{02D57815-91ED-43cb-92C2-25804820EDAC}">
                        <c15:formulaRef>
                          <c15:sqref>'Efficiency vs Load Calculations'!$AU$7</c15:sqref>
                        </c15:formulaRef>
                      </c:ext>
                    </c:extLst>
                    <c:strCache>
                      <c:ptCount val="1"/>
                      <c:pt idx="0">
                        <c:v>High-side BOOST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Calculations'!$AX$9:$AX$109</c15:sqref>
                        </c15:formulaRef>
                      </c:ext>
                    </c:extLst>
                    <c:numCache>
                      <c:formatCode>0.000</c:formatCode>
                      <c:ptCount val="101"/>
                      <c:pt idx="0">
                        <c:v>2.1687871183774165E-3</c:v>
                      </c:pt>
                      <c:pt idx="1">
                        <c:v>2.2297117725412732E-3</c:v>
                      </c:pt>
                      <c:pt idx="2">
                        <c:v>2.4117347797190289E-3</c:v>
                      </c:pt>
                      <c:pt idx="3">
                        <c:v>2.7148878662415559E-3</c:v>
                      </c:pt>
                      <c:pt idx="4">
                        <c:v>3.1392238804529367E-3</c:v>
                      </c:pt>
                      <c:pt idx="5">
                        <c:v>3.6848168157472979E-3</c:v>
                      </c:pt>
                      <c:pt idx="6">
                        <c:v>4.3517618428350804E-3</c:v>
                      </c:pt>
                      <c:pt idx="7">
                        <c:v>5.1401753512649948E-3</c:v>
                      </c:pt>
                      <c:pt idx="8">
                        <c:v>6.0501950002354874E-3</c:v>
                      </c:pt>
                      <c:pt idx="9">
                        <c:v>7.0819797787372218E-3</c:v>
                      </c:pt>
                      <c:pt idx="10">
                        <c:v>8.2357100750755103E-3</c:v>
                      </c:pt>
                      <c:pt idx="11">
                        <c:v>9.5115877558297653E-3</c:v>
                      </c:pt>
                      <c:pt idx="12">
                        <c:v>1.0909836254314263E-2</c:v>
                      </c:pt>
                      <c:pt idx="13">
                        <c:v>1.2430700668613062E-2</c:v>
                      </c:pt>
                      <c:pt idx="14">
                        <c:v>1.4074447869269155E-2</c:v>
                      </c:pt>
                      <c:pt idx="15">
                        <c:v>1.5841366616716875E-2</c:v>
                      </c:pt>
                      <c:pt idx="16">
                        <c:v>1.7731767688553828E-2</c:v>
                      </c:pt>
                      <c:pt idx="17">
                        <c:v>1.9745984016757784E-2</c:v>
                      </c:pt>
                      <c:pt idx="18">
                        <c:v>2.1884370834961975E-2</c:v>
                      </c:pt>
                      <c:pt idx="19">
                        <c:v>2.4147305835910959E-2</c:v>
                      </c:pt>
                      <c:pt idx="20">
                        <c:v>2.6535189339227955E-2</c:v>
                      </c:pt>
                      <c:pt idx="21">
                        <c:v>2.9048444469633731E-2</c:v>
                      </c:pt>
                      <c:pt idx="22">
                        <c:v>3.168751734576597E-2</c:v>
                      </c:pt>
                      <c:pt idx="23">
                        <c:v>3.4452877279757613E-2</c:v>
                      </c:pt>
                      <c:pt idx="24">
                        <c:v>3.7345016987742174E-2</c:v>
                      </c:pt>
                      <c:pt idx="25">
                        <c:v>4.0364452811463732E-2</c:v>
                      </c:pt>
                      <c:pt idx="26">
                        <c:v>4.3511724951179512E-2</c:v>
                      </c:pt>
                      <c:pt idx="27">
                        <c:v>4.6787397710053094E-2</c:v>
                      </c:pt>
                      <c:pt idx="28">
                        <c:v>5.0192059750247237E-2</c:v>
                      </c:pt>
                      <c:pt idx="29">
                        <c:v>5.3726324360935183E-2</c:v>
                      </c:pt>
                      <c:pt idx="30">
                        <c:v>5.7390829738461956E-2</c:v>
                      </c:pt>
                      <c:pt idx="31">
                        <c:v>6.1186239278897492E-2</c:v>
                      </c:pt>
                      <c:pt idx="32">
                        <c:v>6.5113241883235348E-2</c:v>
                      </c:pt>
                      <c:pt idx="33">
                        <c:v>6.9172552275503896E-2</c:v>
                      </c:pt>
                      <c:pt idx="34">
                        <c:v>7.3364911334068306E-2</c:v>
                      </c:pt>
                      <c:pt idx="35">
                        <c:v>7.76910864364148E-2</c:v>
                      </c:pt>
                      <c:pt idx="36">
                        <c:v>8.2151871817723585E-2</c:v>
                      </c:pt>
                      <c:pt idx="37">
                        <c:v>8.6748088943547574E-2</c:v>
                      </c:pt>
                      <c:pt idx="38">
                        <c:v>9.1480586896931837E-2</c:v>
                      </c:pt>
                      <c:pt idx="39">
                        <c:v>9.6350242780321074E-2</c:v>
                      </c:pt>
                      <c:pt idx="40">
                        <c:v>0.10135796213261818</c:v>
                      </c:pt>
                      <c:pt idx="41">
                        <c:v>0.10650467936177374</c:v>
                      </c:pt>
                      <c:pt idx="42">
                        <c:v>0.11179135819330194</c:v>
                      </c:pt>
                      <c:pt idx="43">
                        <c:v>0.11721899213513456</c:v>
                      </c:pt>
                      <c:pt idx="44">
                        <c:v>0.12278860495924464</c:v>
                      </c:pt>
                      <c:pt idx="45">
                        <c:v>0.12850125120048708</c:v>
                      </c:pt>
                      <c:pt idx="46">
                        <c:v>0.13435801667312453</c:v>
                      </c:pt>
                      <c:pt idx="47">
                        <c:v>0.14036001900552469</c:v>
                      </c:pt>
                      <c:pt idx="48">
                        <c:v>0.14650840819353778</c:v>
                      </c:pt>
                      <c:pt idx="49">
                        <c:v>0.15280436717308143</c:v>
                      </c:pt>
                      <c:pt idx="50">
                        <c:v>0.15924911241248585</c:v>
                      </c:pt>
                      <c:pt idx="51">
                        <c:v>0.16584389452517082</c:v>
                      </c:pt>
                      <c:pt idx="52">
                        <c:v>0.17258999890325449</c:v>
                      </c:pt>
                      <c:pt idx="53">
                        <c:v>0.17948874637271461</c:v>
                      </c:pt>
                      <c:pt idx="54">
                        <c:v>0.18654149387075136</c:v>
                      </c:pt>
                      <c:pt idx="55">
                        <c:v>0.19374963514602794</c:v>
                      </c:pt>
                      <c:pt idx="56">
                        <c:v>0.20111460148249061</c:v>
                      </c:pt>
                      <c:pt idx="57">
                        <c:v>0.20863786244750165</c:v>
                      </c:pt>
                      <c:pt idx="58">
                        <c:v>0.21632092666504907</c:v>
                      </c:pt>
                      <c:pt idx="59">
                        <c:v>0.22416534261482626</c:v>
                      </c:pt>
                      <c:pt idx="60">
                        <c:v>0.2321726994580095</c:v>
                      </c:pt>
                      <c:pt idx="61">
                        <c:v>0.2403446278905991</c:v>
                      </c:pt>
                      <c:pt idx="62">
                        <c:v>0.24868280102521703</c:v>
                      </c:pt>
                      <c:pt idx="63">
                        <c:v>0.25718893530230175</c:v>
                      </c:pt>
                      <c:pt idx="64">
                        <c:v>0.2658647914316748</c:v>
                      </c:pt>
                      <c:pt idx="65">
                        <c:v>0.27471217536549319</c:v>
                      </c:pt>
                      <c:pt idx="66">
                        <c:v>0.2837329393036499</c:v>
                      </c:pt>
                      <c:pt idx="67">
                        <c:v>0.29292898273272516</c:v>
                      </c:pt>
                      <c:pt idx="68">
                        <c:v>0.30230225349964024</c:v>
                      </c:pt>
                      <c:pt idx="69">
                        <c:v>0.31185474892121245</c:v>
                      </c:pt>
                      <c:pt idx="70">
                        <c:v>0.32158851693086443</c:v>
                      </c:pt>
                      <c:pt idx="71">
                        <c:v>0.33150565726379128</c:v>
                      </c:pt>
                      <c:pt idx="72">
                        <c:v>0.34160832268194752</c:v>
                      </c:pt>
                      <c:pt idx="73">
                        <c:v>0.35189872024027291</c:v>
                      </c:pt>
                      <c:pt idx="74">
                        <c:v>0.36237911259563782</c:v>
                      </c:pt>
                      <c:pt idx="75">
                        <c:v>0.37305181936005677</c:v>
                      </c:pt>
                      <c:pt idx="76">
                        <c:v>0.38391921849977867</c:v>
                      </c:pt>
                      <c:pt idx="77">
                        <c:v>0.39498374778194434</c:v>
                      </c:pt>
                      <c:pt idx="78">
                        <c:v>0.40624790627056079</c:v>
                      </c:pt>
                      <c:pt idx="79">
                        <c:v>0.4177142558736382</c:v>
                      </c:pt>
                      <c:pt idx="80">
                        <c:v>0.42938542294339865</c:v>
                      </c:pt>
                      <c:pt idx="81">
                        <c:v>0.44126409993156701</c:v>
                      </c:pt>
                      <c:pt idx="82">
                        <c:v>0.45335304710182944</c:v>
                      </c:pt>
                      <c:pt idx="83">
                        <c:v>0.46565509430165608</c:v>
                      </c:pt>
                      <c:pt idx="84">
                        <c:v>0.47817314279576612</c:v>
                      </c:pt>
                      <c:pt idx="85">
                        <c:v>0.49091016716363295</c:v>
                      </c:pt>
                      <c:pt idx="86">
                        <c:v>0.50386921726352385</c:v>
                      </c:pt>
                      <c:pt idx="87">
                        <c:v>0.51705342026569201</c:v>
                      </c:pt>
                      <c:pt idx="88">
                        <c:v>0.53046598275746004</c:v>
                      </c:pt>
                      <c:pt idx="89">
                        <c:v>0.54411019292304885</c:v>
                      </c:pt>
                      <c:pt idx="90">
                        <c:v>0.55798942280116148</c:v>
                      </c:pt>
                      <c:pt idx="91">
                        <c:v>0.57210713062344665</c:v>
                      </c:pt>
                      <c:pt idx="92">
                        <c:v>0.58646686323713737</c:v>
                      </c:pt>
                      <c:pt idx="93">
                        <c:v>0.60107225861530222</c:v>
                      </c:pt>
                      <c:pt idx="94">
                        <c:v>0.61592704845831425</c:v>
                      </c:pt>
                      <c:pt idx="95">
                        <c:v>0.63103506089032269</c:v>
                      </c:pt>
                      <c:pt idx="96">
                        <c:v>0.64640022325467816</c:v>
                      </c:pt>
                      <c:pt idx="97">
                        <c:v>0.6620265650124797</c:v>
                      </c:pt>
                      <c:pt idx="98">
                        <c:v>0.67791822074858654</c:v>
                      </c:pt>
                      <c:pt idx="99">
                        <c:v>0.69407943328967903</c:v>
                      </c:pt>
                      <c:pt idx="100">
                        <c:v>0.71051455693915033</c:v>
                      </c:pt>
                    </c:numCache>
                  </c:numRef>
                </c:val>
                <c:smooth val="0"/>
                <c:extLst xmlns:c15="http://schemas.microsoft.com/office/drawing/2012/chart">
                  <c:ext xmlns:c16="http://schemas.microsoft.com/office/drawing/2014/chart" uri="{C3380CC4-5D6E-409C-BE32-E72D297353CC}">
                    <c16:uniqueId val="{00000005-3B6C-4BEA-AB8D-9A7C0517EAA2}"/>
                  </c:ext>
                </c:extLst>
              </c15:ser>
            </c15:filteredLineSeries>
            <c15:filteredLineSeries>
              <c15:ser>
                <c:idx val="8"/>
                <c:order val="4"/>
                <c:tx>
                  <c:strRef>
                    <c:extLst xmlns:c15="http://schemas.microsoft.com/office/drawing/2012/chart">
                      <c:ext xmlns:c15="http://schemas.microsoft.com/office/drawing/2012/chart" uri="{02D57815-91ED-43cb-92C2-25804820EDAC}">
                        <c15:formulaRef>
                          <c15:sqref>'Efficiency vs Load Calculations'!$AP$7</c15:sqref>
                        </c15:formulaRef>
                      </c:ext>
                    </c:extLst>
                    <c:strCache>
                      <c:ptCount val="1"/>
                      <c:pt idx="0">
                        <c:v>Low-side BOOST "Control"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Calculations'!$AS$9:$AS$109</c15:sqref>
                        </c15:formulaRef>
                      </c:ext>
                    </c:extLst>
                    <c:numCache>
                      <c:formatCode>0.000</c:formatCode>
                      <c:ptCount val="101"/>
                      <c:pt idx="0" formatCode="General">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xmlns:c15="http://schemas.microsoft.com/office/drawing/2012/chart">
                  <c:ext xmlns:c16="http://schemas.microsoft.com/office/drawing/2014/chart" uri="{C3380CC4-5D6E-409C-BE32-E72D297353CC}">
                    <c16:uniqueId val="{00000006-3B6C-4BEA-AB8D-9A7C0517EAA2}"/>
                  </c:ext>
                </c:extLst>
              </c15:ser>
            </c15:filteredLineSeries>
            <c15:filteredLineSeries>
              <c15:ser>
                <c:idx val="7"/>
                <c:order val="5"/>
                <c:tx>
                  <c:strRef>
                    <c:extLst xmlns:c15="http://schemas.microsoft.com/office/drawing/2012/chart">
                      <c:ext xmlns:c15="http://schemas.microsoft.com/office/drawing/2012/chart" uri="{02D57815-91ED-43cb-92C2-25804820EDAC}">
                        <c15:formulaRef>
                          <c15:sqref>'Efficiency vs Load Calculations'!$AL$7</c15:sqref>
                        </c15:formulaRef>
                      </c:ext>
                    </c:extLst>
                    <c:strCache>
                      <c:ptCount val="1"/>
                      <c:pt idx="0">
                        <c:v>Low-side BUCK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Calculations'!$AO$9:$AO$109</c15:sqref>
                        </c15:formulaRef>
                      </c:ext>
                    </c:extLst>
                    <c:numCache>
                      <c:formatCode>0.000</c:formatCode>
                      <c:ptCount val="101"/>
                      <c:pt idx="0">
                        <c:v>3.052429571815201E-2</c:v>
                      </c:pt>
                      <c:pt idx="1">
                        <c:v>3.5071500855642486E-2</c:v>
                      </c:pt>
                      <c:pt idx="2">
                        <c:v>3.8146113777021873E-2</c:v>
                      </c:pt>
                      <c:pt idx="3">
                        <c:v>4.1343231397911198E-2</c:v>
                      </c:pt>
                      <c:pt idx="4">
                        <c:v>4.4663159095333041E-2</c:v>
                      </c:pt>
                      <c:pt idx="5">
                        <c:v>4.810622376317359E-2</c:v>
                      </c:pt>
                      <c:pt idx="6">
                        <c:v>5.1672773918132978E-2</c:v>
                      </c:pt>
                      <c:pt idx="7">
                        <c:v>5.5363179815176758E-2</c:v>
                      </c:pt>
                      <c:pt idx="8">
                        <c:v>5.9177833572568179E-2</c:v>
                      </c:pt>
                      <c:pt idx="9">
                        <c:v>6.3117149306568032E-2</c:v>
                      </c:pt>
                      <c:pt idx="10">
                        <c:v>6.7181563275896986E-2</c:v>
                      </c:pt>
                      <c:pt idx="11">
                        <c:v>7.3167426280565856E-2</c:v>
                      </c:pt>
                      <c:pt idx="12">
                        <c:v>8.0375819681902341E-2</c:v>
                      </c:pt>
                      <c:pt idx="13">
                        <c:v>8.7712912882678018E-2</c:v>
                      </c:pt>
                      <c:pt idx="14">
                        <c:v>9.5179487654109662E-2</c:v>
                      </c:pt>
                      <c:pt idx="15">
                        <c:v>0.1027763495914958</c:v>
                      </c:pt>
                      <c:pt idx="16">
                        <c:v>0.11050432839597357</c:v>
                      </c:pt>
                      <c:pt idx="17">
                        <c:v>0.11836427816751303</c:v>
                      </c:pt>
                      <c:pt idx="18">
                        <c:v>0.12635707770936147</c:v>
                      </c:pt>
                      <c:pt idx="19">
                        <c:v>0.13448363084416073</c:v>
                      </c:pt>
                      <c:pt idx="20">
                        <c:v>0.14274486674197145</c:v>
                      </c:pt>
                      <c:pt idx="21">
                        <c:v>0.15114174026044672</c:v>
                      </c:pt>
                      <c:pt idx="22">
                        <c:v>0.15967523229741246</c:v>
                      </c:pt>
                      <c:pt idx="23">
                        <c:v>0.1683463501561184</c:v>
                      </c:pt>
                      <c:pt idx="24">
                        <c:v>0.17715612792343949</c:v>
                      </c:pt>
                      <c:pt idx="25">
                        <c:v>0.1861056268613164</c:v>
                      </c:pt>
                      <c:pt idx="26">
                        <c:v>0.19519593581173833</c:v>
                      </c:pt>
                      <c:pt idx="27">
                        <c:v>0.20442817161558238</c:v>
                      </c:pt>
                      <c:pt idx="28">
                        <c:v>0.21380347954563858</c:v>
                      </c:pt>
                      <c:pt idx="29">
                        <c:v>0.22332303375416174</c:v>
                      </c:pt>
                      <c:pt idx="30">
                        <c:v>0.23298803773530621</c:v>
                      </c:pt>
                      <c:pt idx="31">
                        <c:v>0.24279972480281431</c:v>
                      </c:pt>
                      <c:pt idx="32">
                        <c:v>0.25275935858334364</c:v>
                      </c:pt>
                      <c:pt idx="33">
                        <c:v>0.26286823352583433</c:v>
                      </c:pt>
                      <c:pt idx="34">
                        <c:v>0.27312767542733374</c:v>
                      </c:pt>
                      <c:pt idx="35">
                        <c:v>0.28353904197571178</c:v>
                      </c:pt>
                      <c:pt idx="36">
                        <c:v>0.29410372330971896</c:v>
                      </c:pt>
                      <c:pt idx="37">
                        <c:v>0.30482314259685511</c:v>
                      </c:pt>
                      <c:pt idx="38">
                        <c:v>0.31569875662953761</c:v>
                      </c:pt>
                      <c:pt idx="39">
                        <c:v>0.32673205644007541</c:v>
                      </c:pt>
                      <c:pt idx="40">
                        <c:v>0.33792456793497505</c:v>
                      </c:pt>
                      <c:pt idx="41">
                        <c:v>0.34927785254912813</c:v>
                      </c:pt>
                      <c:pt idx="42">
                        <c:v>0.36079350792044823</c:v>
                      </c:pt>
                      <c:pt idx="43">
                        <c:v>0.37247316858554869</c:v>
                      </c:pt>
                      <c:pt idx="44">
                        <c:v>0.38431850669707701</c:v>
                      </c:pt>
                      <c:pt idx="45">
                        <c:v>0.39633123276334475</c:v>
                      </c:pt>
                      <c:pt idx="46">
                        <c:v>0.40851309641091671</c:v>
                      </c:pt>
                      <c:pt idx="47">
                        <c:v>0.42086588717084977</c:v>
                      </c:pt>
                      <c:pt idx="48">
                        <c:v>0.43339143528930013</c:v>
                      </c:pt>
                      <c:pt idx="49">
                        <c:v>0.44609161256324242</c:v>
                      </c:pt>
                      <c:pt idx="50">
                        <c:v>0.45896833320207958</c:v>
                      </c:pt>
                      <c:pt idx="51">
                        <c:v>0.47202355471594554</c:v>
                      </c:pt>
                      <c:pt idx="52">
                        <c:v>0.48525927883154174</c:v>
                      </c:pt>
                      <c:pt idx="53">
                        <c:v>0.49867755243637796</c:v>
                      </c:pt>
                      <c:pt idx="54">
                        <c:v>0.51228046855232179</c:v>
                      </c:pt>
                      <c:pt idx="55">
                        <c:v>0.52607016733940171</c:v>
                      </c:pt>
                      <c:pt idx="56">
                        <c:v>0.54004883713084195</c:v>
                      </c:pt>
                      <c:pt idx="57">
                        <c:v>0.55421871550034707</c:v>
                      </c:pt>
                      <c:pt idx="58">
                        <c:v>0.56858209036270013</c:v>
                      </c:pt>
                      <c:pt idx="59">
                        <c:v>0.58314130110877349</c:v>
                      </c:pt>
                      <c:pt idx="60">
                        <c:v>0.59789873977610186</c:v>
                      </c:pt>
                      <c:pt idx="61">
                        <c:v>0.61285685225621322</c:v>
                      </c:pt>
                      <c:pt idx="62">
                        <c:v>0.628018139539957</c:v>
                      </c:pt>
                      <c:pt idx="63">
                        <c:v>0.64338515900212578</c:v>
                      </c:pt>
                      <c:pt idx="64">
                        <c:v>0.65896052572672048</c:v>
                      </c:pt>
                      <c:pt idx="65">
                        <c:v>0.67474691387425312</c:v>
                      </c:pt>
                      <c:pt idx="66">
                        <c:v>0.6907470580925581</c:v>
                      </c:pt>
                      <c:pt idx="67">
                        <c:v>0.70696375497262565</c:v>
                      </c:pt>
                      <c:pt idx="68">
                        <c:v>0.72339986455104666</c:v>
                      </c:pt>
                      <c:pt idx="69">
                        <c:v>0.74005831186071813</c:v>
                      </c:pt>
                      <c:pt idx="70">
                        <c:v>0.75694208853153122</c:v>
                      </c:pt>
                      <c:pt idx="71">
                        <c:v>0.77405425444283504</c:v>
                      </c:pt>
                      <c:pt idx="72">
                        <c:v>0.79139793942954673</c:v>
                      </c:pt>
                      <c:pt idx="73">
                        <c:v>0.8089763450438564</c:v>
                      </c:pt>
                      <c:pt idx="74">
                        <c:v>0.82679274637456002</c:v>
                      </c:pt>
                      <c:pt idx="75">
                        <c:v>0.84485049392614386</c:v>
                      </c:pt>
                      <c:pt idx="76">
                        <c:v>0.86315301555982715</c:v>
                      </c:pt>
                      <c:pt idx="77">
                        <c:v>0.8817038184988818</c:v>
                      </c:pt>
                      <c:pt idx="78">
                        <c:v>0.900506491400623</c:v>
                      </c:pt>
                      <c:pt idx="79">
                        <c:v>0.91956470649760591</c:v>
                      </c:pt>
                      <c:pt idx="80">
                        <c:v>0.9388822218106363</c:v>
                      </c:pt>
                      <c:pt idx="81">
                        <c:v>0.95846288343635222</c:v>
                      </c:pt>
                      <c:pt idx="82">
                        <c:v>0.97831062791223189</c:v>
                      </c:pt>
                      <c:pt idx="83">
                        <c:v>0.99842948466202908</c:v>
                      </c:pt>
                      <c:pt idx="84">
                        <c:v>1.0188235785247592</c:v>
                      </c:pt>
                      <c:pt idx="85">
                        <c:v>1.0394971323705102</c:v>
                      </c:pt>
                      <c:pt idx="86">
                        <c:v>1.0604544698064955</c:v>
                      </c:pt>
                      <c:pt idx="87">
                        <c:v>1.0817000179769216</c:v>
                      </c:pt>
                      <c:pt idx="88">
                        <c:v>1.1032383104604215</c:v>
                      </c:pt>
                      <c:pt idx="89">
                        <c:v>1.1250739902689517</c:v>
                      </c:pt>
                      <c:pt idx="90">
                        <c:v>1.147211812952265</c:v>
                      </c:pt>
                      <c:pt idx="91">
                        <c:v>1.1696566498122314</c:v>
                      </c:pt>
                      <c:pt idx="92">
                        <c:v>1.1924134912315079</c:v>
                      </c:pt>
                      <c:pt idx="93">
                        <c:v>1.2154874501212529</c:v>
                      </c:pt>
                      <c:pt idx="94">
                        <c:v>1.2388837654928118</c:v>
                      </c:pt>
                      <c:pt idx="95">
                        <c:v>1.262607806158538</c:v>
                      </c:pt>
                      <c:pt idx="96">
                        <c:v>1.2866650745671535</c:v>
                      </c:pt>
                      <c:pt idx="97">
                        <c:v>1.3110612107793302</c:v>
                      </c:pt>
                      <c:pt idx="98">
                        <c:v>1.3358019965894303</c:v>
                      </c:pt>
                      <c:pt idx="99">
                        <c:v>1.3608933597996584</c:v>
                      </c:pt>
                      <c:pt idx="100">
                        <c:v>1.3863413786531598</c:v>
                      </c:pt>
                    </c:numCache>
                  </c:numRef>
                </c:val>
                <c:smooth val="0"/>
                <c:extLst xmlns:c15="http://schemas.microsoft.com/office/drawing/2012/chart">
                  <c:ext xmlns:c16="http://schemas.microsoft.com/office/drawing/2014/chart" uri="{C3380CC4-5D6E-409C-BE32-E72D297353CC}">
                    <c16:uniqueId val="{00000007-3B6C-4BEA-AB8D-9A7C0517EAA2}"/>
                  </c:ext>
                </c:extLst>
              </c15:ser>
            </c15:filteredLineSeries>
            <c15:filteredLineSeries>
              <c15:ser>
                <c:idx val="4"/>
                <c:order val="8"/>
                <c:tx>
                  <c:strRef>
                    <c:extLst xmlns:c15="http://schemas.microsoft.com/office/drawing/2012/chart">
                      <c:ext xmlns:c15="http://schemas.microsoft.com/office/drawing/2012/chart" uri="{02D57815-91ED-43cb-92C2-25804820EDAC}">
                        <c15:formulaRef>
                          <c15:sqref>'Efficiency vs Load Calculations'!$AK$8</c15:sqref>
                        </c15:formulaRef>
                      </c:ext>
                    </c:extLst>
                    <c:strCache>
                      <c:ptCount val="1"/>
                      <c:pt idx="0">
                        <c:v>Total Control Bu MOSFET Loss</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Calculations'!$AK$9:$AK$109</c15:sqref>
                        </c15:formulaRef>
                      </c:ext>
                    </c:extLst>
                    <c:numCache>
                      <c:formatCode>0.000</c:formatCode>
                      <c:ptCount val="101"/>
                      <c:pt idx="0">
                        <c:v>3.1529105136505538E-2</c:v>
                      </c:pt>
                      <c:pt idx="1">
                        <c:v>5.3106713268902185E-2</c:v>
                      </c:pt>
                      <c:pt idx="2">
                        <c:v>7.4218113516084344E-2</c:v>
                      </c:pt>
                      <c:pt idx="3">
                        <c:v>9.5455165450885018E-2</c:v>
                      </c:pt>
                      <c:pt idx="4">
                        <c:v>0.11681974744040888</c:v>
                      </c:pt>
                      <c:pt idx="5">
                        <c:v>0.13831376074052237</c:v>
                      </c:pt>
                      <c:pt idx="6">
                        <c:v>0.15993913006002361</c:v>
                      </c:pt>
                      <c:pt idx="7">
                        <c:v>0.18169780413543077</c:v>
                      </c:pt>
                      <c:pt idx="8">
                        <c:v>0.20359175631675114</c:v>
                      </c:pt>
                      <c:pt idx="9">
                        <c:v>0.22562298516459914</c:v>
                      </c:pt>
                      <c:pt idx="10">
                        <c:v>0.24779351505904462</c:v>
                      </c:pt>
                      <c:pt idx="11">
                        <c:v>0.2719012890650821</c:v>
                      </c:pt>
                      <c:pt idx="12">
                        <c:v>0.29724898542183958</c:v>
                      </c:pt>
                      <c:pt idx="13">
                        <c:v>0.32274437549472201</c:v>
                      </c:pt>
                      <c:pt idx="14">
                        <c:v>0.34838984857755884</c:v>
                      </c:pt>
                      <c:pt idx="15">
                        <c:v>0.37418782382681376</c:v>
                      </c:pt>
                      <c:pt idx="16">
                        <c:v>0.40014075102564467</c:v>
                      </c:pt>
                      <c:pt idx="17">
                        <c:v>0.42625111136323546</c:v>
                      </c:pt>
                      <c:pt idx="18">
                        <c:v>0.45252141822992287</c:v>
                      </c:pt>
                      <c:pt idx="19">
                        <c:v>0.47895421802865679</c:v>
                      </c:pt>
                      <c:pt idx="20">
                        <c:v>0.50555209100334519</c:v>
                      </c:pt>
                      <c:pt idx="21">
                        <c:v>0.53231765208465409</c:v>
                      </c:pt>
                      <c:pt idx="22">
                        <c:v>0.55925355175384828</c:v>
                      </c:pt>
                      <c:pt idx="23">
                        <c:v>0.58636247692527477</c:v>
                      </c:pt>
                      <c:pt idx="24">
                        <c:v>0.61364715184811169</c:v>
                      </c:pt>
                      <c:pt idx="25">
                        <c:v>0.64111033902802017</c:v>
                      </c:pt>
                      <c:pt idx="26">
                        <c:v>0.66875484016936337</c:v>
                      </c:pt>
                      <c:pt idx="27">
                        <c:v>0.69658349713866707</c:v>
                      </c:pt>
                      <c:pt idx="28">
                        <c:v>0.72459919295002817</c:v>
                      </c:pt>
                      <c:pt idx="29">
                        <c:v>0.75280485277319265</c:v>
                      </c:pt>
                      <c:pt idx="30">
                        <c:v>0.7812034449650499</c:v>
                      </c:pt>
                      <c:pt idx="31">
                        <c:v>0.80979798212531418</c:v>
                      </c:pt>
                      <c:pt idx="32">
                        <c:v>0.83859152217718969</c:v>
                      </c:pt>
                      <c:pt idx="33">
                        <c:v>0.8675871694738414</c:v>
                      </c:pt>
                      <c:pt idx="34">
                        <c:v>0.89678807593151988</c:v>
                      </c:pt>
                      <c:pt idx="35">
                        <c:v>0.92619744219021827</c:v>
                      </c:pt>
                      <c:pt idx="36">
                        <c:v>0.95581851880276913</c:v>
                      </c:pt>
                      <c:pt idx="37">
                        <c:v>0.98565460745331668</c:v>
                      </c:pt>
                      <c:pt idx="38">
                        <c:v>1.0157090622061351</c:v>
                      </c:pt>
                      <c:pt idx="39">
                        <c:v>1.0459852907858</c:v>
                      </c:pt>
                      <c:pt idx="40">
                        <c:v>1.0764867558897406</c:v>
                      </c:pt>
                      <c:pt idx="41">
                        <c:v>1.107216976534257</c:v>
                      </c:pt>
                      <c:pt idx="42">
                        <c:v>1.1381795294351091</c:v>
                      </c:pt>
                      <c:pt idx="43">
                        <c:v>1.1693780504238263</c:v>
                      </c:pt>
                      <c:pt idx="44">
                        <c:v>1.2008162359009338</c:v>
                      </c:pt>
                      <c:pt idx="45">
                        <c:v>1.2324978443273253</c:v>
                      </c:pt>
                      <c:pt idx="46">
                        <c:v>1.2644266977550658</c:v>
                      </c:pt>
                      <c:pt idx="47">
                        <c:v>1.2966066833989431</c:v>
                      </c:pt>
                      <c:pt idx="48">
                        <c:v>1.329041755250147</c:v>
                      </c:pt>
                      <c:pt idx="49">
                        <c:v>1.361735935733497</c:v>
                      </c:pt>
                      <c:pt idx="50">
                        <c:v>1.394693317409696</c:v>
                      </c:pt>
                      <c:pt idx="51">
                        <c:v>1.4279180647241378</c:v>
                      </c:pt>
                      <c:pt idx="52">
                        <c:v>1.4614144158038633</c:v>
                      </c:pt>
                      <c:pt idx="53">
                        <c:v>1.495186684304304</c:v>
                      </c:pt>
                      <c:pt idx="54">
                        <c:v>1.5292392613075323</c:v>
                      </c:pt>
                      <c:pt idx="55">
                        <c:v>1.5635766172737862</c:v>
                      </c:pt>
                      <c:pt idx="56">
                        <c:v>1.5982033040481187</c:v>
                      </c:pt>
                      <c:pt idx="57">
                        <c:v>1.6331239569240754</c:v>
                      </c:pt>
                      <c:pt idx="58">
                        <c:v>1.6683432967664018</c:v>
                      </c:pt>
                      <c:pt idx="59">
                        <c:v>1.7038661321948327</c:v>
                      </c:pt>
                      <c:pt idx="60">
                        <c:v>1.7396973618311173</c:v>
                      </c:pt>
                      <c:pt idx="61">
                        <c:v>1.7758419766115103</c:v>
                      </c:pt>
                      <c:pt idx="62">
                        <c:v>1.812305062167042</c:v>
                      </c:pt>
                      <c:pt idx="63">
                        <c:v>1.8490918012739848</c:v>
                      </c:pt>
                      <c:pt idx="64">
                        <c:v>1.8862074763770205</c:v>
                      </c:pt>
                      <c:pt idx="65">
                        <c:v>1.9236574721877153</c:v>
                      </c:pt>
                      <c:pt idx="66">
                        <c:v>1.9614472783610186</c:v>
                      </c:pt>
                      <c:pt idx="67">
                        <c:v>1.9995824922526075</c:v>
                      </c:pt>
                      <c:pt idx="68">
                        <c:v>2.0380688217600231</c:v>
                      </c:pt>
                      <c:pt idx="69">
                        <c:v>2.0769120882506424</c:v>
                      </c:pt>
                      <c:pt idx="70">
                        <c:v>2.1161182295796972</c:v>
                      </c:pt>
                      <c:pt idx="71">
                        <c:v>2.1556933032016361</c:v>
                      </c:pt>
                      <c:pt idx="72">
                        <c:v>2.1956434893783077</c:v>
                      </c:pt>
                      <c:pt idx="73">
                        <c:v>2.2359750944875478</c:v>
                      </c:pt>
                      <c:pt idx="74">
                        <c:v>2.2766945544359531</c:v>
                      </c:pt>
                      <c:pt idx="75">
                        <c:v>2.3178084381797279</c:v>
                      </c:pt>
                      <c:pt idx="76">
                        <c:v>2.359323451357715</c:v>
                      </c:pt>
                      <c:pt idx="77">
                        <c:v>2.4012464400408531</c:v>
                      </c:pt>
                      <c:pt idx="78">
                        <c:v>2.4435843946024987</c:v>
                      </c:pt>
                      <c:pt idx="79">
                        <c:v>2.4863444537142776</c:v>
                      </c:pt>
                      <c:pt idx="80">
                        <c:v>2.5295339084722674</c:v>
                      </c:pt>
                      <c:pt idx="81">
                        <c:v>2.5731602066585961</c:v>
                      </c:pt>
                      <c:pt idx="82">
                        <c:v>2.6172309571437076</c:v>
                      </c:pt>
                      <c:pt idx="83">
                        <c:v>2.661753934434826</c:v>
                      </c:pt>
                      <c:pt idx="84">
                        <c:v>2.7067370833763569</c:v>
                      </c:pt>
                      <c:pt idx="85">
                        <c:v>2.7521885240082544</c:v>
                      </c:pt>
                      <c:pt idx="86">
                        <c:v>2.7981165565886417</c:v>
                      </c:pt>
                      <c:pt idx="87">
                        <c:v>2.8445296667872495</c:v>
                      </c:pt>
                      <c:pt idx="88">
                        <c:v>2.8914365310565624</c:v>
                      </c:pt>
                      <c:pt idx="89">
                        <c:v>2.9388460221878554</c:v>
                      </c:pt>
                      <c:pt idx="90">
                        <c:v>2.9867672150596576</c:v>
                      </c:pt>
                      <c:pt idx="91">
                        <c:v>3.0352093925865051</c:v>
                      </c:pt>
                      <c:pt idx="92">
                        <c:v>3.0841820518762408</c:v>
                      </c:pt>
                      <c:pt idx="93">
                        <c:v>3.133694910604504</c:v>
                      </c:pt>
                      <c:pt idx="94">
                        <c:v>3.1837579136154215</c:v>
                      </c:pt>
                      <c:pt idx="95">
                        <c:v>3.2343812397580307</c:v>
                      </c:pt>
                      <c:pt idx="96">
                        <c:v>3.2855753089683071</c:v>
                      </c:pt>
                      <c:pt idx="97">
                        <c:v>3.3373507896072625</c:v>
                      </c:pt>
                      <c:pt idx="98">
                        <c:v>3.389718606065995</c:v>
                      </c:pt>
                      <c:pt idx="99">
                        <c:v>3.4426899466491623</c:v>
                      </c:pt>
                      <c:pt idx="100">
                        <c:v>3.4962762717488824</c:v>
                      </c:pt>
                    </c:numCache>
                  </c:numRef>
                </c:val>
                <c:smooth val="0"/>
                <c:extLst xmlns:c15="http://schemas.microsoft.com/office/drawing/2012/chart">
                  <c:ext xmlns:c16="http://schemas.microsoft.com/office/drawing/2014/chart" uri="{C3380CC4-5D6E-409C-BE32-E72D297353CC}">
                    <c16:uniqueId val="{00000008-3B6C-4BEA-AB8D-9A7C0517EAA2}"/>
                  </c:ext>
                </c:extLst>
              </c15:ser>
            </c15:filteredLineSeries>
            <c15:filteredLineSeries>
              <c15:ser>
                <c:idx val="2"/>
                <c:order val="9"/>
                <c:tx>
                  <c:strRef>
                    <c:extLst xmlns:c15="http://schemas.microsoft.com/office/drawing/2012/chart">
                      <c:ext xmlns:c15="http://schemas.microsoft.com/office/drawing/2012/chart" uri="{02D57815-91ED-43cb-92C2-25804820EDAC}">
                        <c15:formulaRef>
                          <c15:sqref>'Efficiency vs Load Calculations'!$BR$8</c15:sqref>
                        </c15:formulaRef>
                      </c:ext>
                    </c:extLst>
                    <c:strCache>
                      <c:ptCount val="1"/>
                      <c:pt idx="0">
                        <c:v>Buck ''Control'' MOSFET Loss</c:v>
                      </c:pt>
                    </c:strCache>
                  </c:strRef>
                </c:tx>
                <c:spPr>
                  <a:ln w="38100">
                    <a:solidFill>
                      <a:srgbClr val="808000"/>
                    </a:solidFill>
                    <a:prstDash val="sysDash"/>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Calculations'!$BR$9:$BR$109</c15:sqref>
                        </c15:formulaRef>
                      </c:ext>
                    </c:extLst>
                    <c:numCache>
                      <c:formatCode>0.000</c:formatCode>
                      <c:ptCount val="101"/>
                      <c:pt idx="0">
                        <c:v>3.1529105136505538E-2</c:v>
                      </c:pt>
                      <c:pt idx="1">
                        <c:v>5.4690673352102183E-2</c:v>
                      </c:pt>
                      <c:pt idx="2">
                        <c:v>7.7385953848884345E-2</c:v>
                      </c:pt>
                      <c:pt idx="3">
                        <c:v>0.10020680619968501</c:v>
                      </c:pt>
                      <c:pt idx="4">
                        <c:v>0.12315510877160887</c:v>
                      </c:pt>
                      <c:pt idx="5">
                        <c:v>0.14623276282052239</c:v>
                      </c:pt>
                      <c:pt idx="6">
                        <c:v>0.16944169305522361</c:v>
                      </c:pt>
                      <c:pt idx="7">
                        <c:v>0.19278384821223077</c:v>
                      </c:pt>
                      <c:pt idx="8">
                        <c:v>0.21626120164155113</c:v>
                      </c:pt>
                      <c:pt idx="9">
                        <c:v>0.23987575190379914</c:v>
                      </c:pt>
                      <c:pt idx="10">
                        <c:v>0.26362952337904461</c:v>
                      </c:pt>
                      <c:pt idx="11">
                        <c:v>0.2893204591322821</c:v>
                      </c:pt>
                      <c:pt idx="12">
                        <c:v>0.31625123740263961</c:v>
                      </c:pt>
                      <c:pt idx="13">
                        <c:v>0.34332962955552204</c:v>
                      </c:pt>
                      <c:pt idx="14">
                        <c:v>0.37055802488475886</c:v>
                      </c:pt>
                      <c:pt idx="15">
                        <c:v>0.39793884254681378</c:v>
                      </c:pt>
                      <c:pt idx="16">
                        <c:v>0.42547453232484467</c:v>
                      </c:pt>
                      <c:pt idx="17">
                        <c:v>0.45316757540803548</c:v>
                      </c:pt>
                      <c:pt idx="18">
                        <c:v>0.48102048518672286</c:v>
                      </c:pt>
                      <c:pt idx="19">
                        <c:v>0.50903580806385684</c:v>
                      </c:pt>
                      <c:pt idx="20">
                        <c:v>0.5372161242833452</c:v>
                      </c:pt>
                      <c:pt idx="21">
                        <c:v>0.56556404877585409</c:v>
                      </c:pt>
                      <c:pt idx="22">
                        <c:v>0.59408223202264832</c:v>
                      </c:pt>
                      <c:pt idx="23">
                        <c:v>0.62277336093807478</c:v>
                      </c:pt>
                      <c:pt idx="24">
                        <c:v>0.65164015977131173</c:v>
                      </c:pt>
                      <c:pt idx="25">
                        <c:v>0.68068539102802017</c:v>
                      </c:pt>
                      <c:pt idx="26">
                        <c:v>0.70991185641256338</c:v>
                      </c:pt>
                      <c:pt idx="27">
                        <c:v>0.73932239779146713</c:v>
                      </c:pt>
                      <c:pt idx="28">
                        <c:v>0.76891989817882811</c:v>
                      </c:pt>
                      <c:pt idx="29">
                        <c:v>0.79870728274439262</c:v>
                      </c:pt>
                      <c:pt idx="30">
                        <c:v>0.82868751984504985</c:v>
                      </c:pt>
                      <c:pt idx="31">
                        <c:v>0.85886362208051414</c:v>
                      </c:pt>
                      <c:pt idx="32">
                        <c:v>0.88923864737398972</c:v>
                      </c:pt>
                      <c:pt idx="33">
                        <c:v>0.91981570007864144</c:v>
                      </c:pt>
                      <c:pt idx="34">
                        <c:v>0.95059793211071986</c:v>
                      </c:pt>
                      <c:pt idx="35">
                        <c:v>0.98158854411021823</c:v>
                      </c:pt>
                      <c:pt idx="36">
                        <c:v>1.0127907866299692</c:v>
                      </c:pt>
                      <c:pt idx="37">
                        <c:v>1.0442079613541166</c:v>
                      </c:pt>
                      <c:pt idx="38">
                        <c:v>1.0758434223469351</c:v>
                      </c:pt>
                      <c:pt idx="39">
                        <c:v>1.107700577333</c:v>
                      </c:pt>
                      <c:pt idx="40">
                        <c:v>1.1397828890097406</c:v>
                      </c:pt>
                      <c:pt idx="41">
                        <c:v>1.172093876393457</c:v>
                      </c:pt>
                      <c:pt idx="42">
                        <c:v>1.2046371161999092</c:v>
                      </c:pt>
                      <c:pt idx="43">
                        <c:v>1.2374162442606262</c:v>
                      </c:pt>
                      <c:pt idx="44">
                        <c:v>1.2704349569761337</c:v>
                      </c:pt>
                      <c:pt idx="45">
                        <c:v>1.3036970128073253</c:v>
                      </c:pt>
                      <c:pt idx="46">
                        <c:v>1.3372062338062658</c:v>
                      </c:pt>
                      <c:pt idx="47">
                        <c:v>1.370966507187743</c:v>
                      </c:pt>
                      <c:pt idx="48">
                        <c:v>1.4049817869429471</c:v>
                      </c:pt>
                      <c:pt idx="49">
                        <c:v>1.4392560954966971</c:v>
                      </c:pt>
                      <c:pt idx="50">
                        <c:v>1.4737935254096961</c:v>
                      </c:pt>
                      <c:pt idx="51">
                        <c:v>1.5085982411273378</c:v>
                      </c:pt>
                      <c:pt idx="52">
                        <c:v>1.5436744807766634</c:v>
                      </c:pt>
                      <c:pt idx="53">
                        <c:v>1.579026558013104</c:v>
                      </c:pt>
                      <c:pt idx="54">
                        <c:v>1.6146588639187323</c:v>
                      </c:pt>
                      <c:pt idx="55">
                        <c:v>1.6505758689537862</c:v>
                      </c:pt>
                      <c:pt idx="56">
                        <c:v>1.6867821249633188</c:v>
                      </c:pt>
                      <c:pt idx="57">
                        <c:v>1.7232822672408754</c:v>
                      </c:pt>
                      <c:pt idx="58">
                        <c:v>1.7600810166512018</c:v>
                      </c:pt>
                      <c:pt idx="59">
                        <c:v>1.7971831818140327</c:v>
                      </c:pt>
                      <c:pt idx="60">
                        <c:v>1.8345936613511173</c:v>
                      </c:pt>
                      <c:pt idx="61">
                        <c:v>1.8723174461987104</c:v>
                      </c:pt>
                      <c:pt idx="62">
                        <c:v>1.910359621987842</c:v>
                      </c:pt>
                      <c:pt idx="63">
                        <c:v>1.9487253714947848</c:v>
                      </c:pt>
                      <c:pt idx="64">
                        <c:v>1.9874199771642205</c:v>
                      </c:pt>
                      <c:pt idx="65">
                        <c:v>2.0264488237077152</c:v>
                      </c:pt>
                      <c:pt idx="66">
                        <c:v>2.0658174007802188</c:v>
                      </c:pt>
                      <c:pt idx="67">
                        <c:v>2.1055313057374074</c:v>
                      </c:pt>
                      <c:pt idx="68">
                        <c:v>2.1455962464768232</c:v>
                      </c:pt>
                      <c:pt idx="69">
                        <c:v>2.1860180443658423</c:v>
                      </c:pt>
                      <c:pt idx="70">
                        <c:v>2.2268026372596972</c:v>
                      </c:pt>
                      <c:pt idx="71">
                        <c:v>2.267956082612836</c:v>
                      </c:pt>
                      <c:pt idx="72">
                        <c:v>2.3094845606871077</c:v>
                      </c:pt>
                      <c:pt idx="73">
                        <c:v>2.3513943778603479</c:v>
                      </c:pt>
                      <c:pt idx="74">
                        <c:v>2.393691970039153</c:v>
                      </c:pt>
                      <c:pt idx="75">
                        <c:v>2.4363839061797279</c:v>
                      </c:pt>
                      <c:pt idx="76">
                        <c:v>2.4794768919209149</c:v>
                      </c:pt>
                      <c:pt idx="77">
                        <c:v>2.5229777733336531</c:v>
                      </c:pt>
                      <c:pt idx="78">
                        <c:v>2.5668935407912987</c:v>
                      </c:pt>
                      <c:pt idx="79">
                        <c:v>2.6112313329654775</c:v>
                      </c:pt>
                      <c:pt idx="80">
                        <c:v>2.6559984409522674</c:v>
                      </c:pt>
                      <c:pt idx="81">
                        <c:v>2.7012023125337961</c:v>
                      </c:pt>
                      <c:pt idx="82">
                        <c:v>2.7468505565805077</c:v>
                      </c:pt>
                      <c:pt idx="83">
                        <c:v>2.7929509475996261</c:v>
                      </c:pt>
                      <c:pt idx="84">
                        <c:v>2.8395114304355569</c:v>
                      </c:pt>
                      <c:pt idx="85">
                        <c:v>2.8865401251282545</c:v>
                      </c:pt>
                      <c:pt idx="86">
                        <c:v>2.9340453319358417</c:v>
                      </c:pt>
                      <c:pt idx="87">
                        <c:v>2.9820355365280493</c:v>
                      </c:pt>
                      <c:pt idx="88">
                        <c:v>3.0305194153573622</c:v>
                      </c:pt>
                      <c:pt idx="89">
                        <c:v>3.0795058412150556</c:v>
                      </c:pt>
                      <c:pt idx="90">
                        <c:v>3.1290038889796574</c:v>
                      </c:pt>
                      <c:pt idx="91">
                        <c:v>3.1790228415657049</c:v>
                      </c:pt>
                      <c:pt idx="92">
                        <c:v>3.2295721960810408</c:v>
                      </c:pt>
                      <c:pt idx="93">
                        <c:v>3.2806616702013041</c:v>
                      </c:pt>
                      <c:pt idx="94">
                        <c:v>3.3323012087706214</c:v>
                      </c:pt>
                      <c:pt idx="95">
                        <c:v>3.3845009906380308</c:v>
                      </c:pt>
                      <c:pt idx="96">
                        <c:v>3.4372714357395071</c:v>
                      </c:pt>
                      <c:pt idx="97">
                        <c:v>3.4906232124360623</c:v>
                      </c:pt>
                      <c:pt idx="98">
                        <c:v>3.5445672451187948</c:v>
                      </c:pt>
                      <c:pt idx="99">
                        <c:v>3.5991147220923625</c:v>
                      </c:pt>
                      <c:pt idx="100">
                        <c:v>3.6542771037488824</c:v>
                      </c:pt>
                    </c:numCache>
                  </c:numRef>
                </c:val>
                <c:smooth val="0"/>
                <c:extLst xmlns:c15="http://schemas.microsoft.com/office/drawing/2012/chart">
                  <c:ext xmlns:c16="http://schemas.microsoft.com/office/drawing/2014/chart" uri="{C3380CC4-5D6E-409C-BE32-E72D297353CC}">
                    <c16:uniqueId val="{00000009-3B6C-4BEA-AB8D-9A7C0517EAA2}"/>
                  </c:ext>
                </c:extLst>
              </c15:ser>
            </c15:filteredLineSeries>
            <c15:filteredLineSeries>
              <c15:ser>
                <c:idx val="3"/>
                <c:order val="10"/>
                <c:tx>
                  <c:v>Inductor Loss</c:v>
                </c:tx>
                <c:spPr>
                  <a:ln w="38100">
                    <a:solidFill>
                      <a:srgbClr val="800080"/>
                    </a:solidFill>
                    <a:prstDash val="dash"/>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Calculations'!$BP$9:$BP$109</c15:sqref>
                        </c15:formulaRef>
                      </c:ext>
                    </c:extLst>
                    <c:numCache>
                      <c:formatCode>0.000</c:formatCode>
                      <c:ptCount val="101"/>
                      <c:pt idx="0">
                        <c:v>0.26565911720848034</c:v>
                      </c:pt>
                      <c:pt idx="1">
                        <c:v>0.26579630391885301</c:v>
                      </c:pt>
                      <c:pt idx="2">
                        <c:v>0.26610062303457804</c:v>
                      </c:pt>
                      <c:pt idx="3">
                        <c:v>0.26657209470366122</c:v>
                      </c:pt>
                      <c:pt idx="4">
                        <c:v>0.2672107524827117</c:v>
                      </c:pt>
                      <c:pt idx="5">
                        <c:v>0.26801664334367359</c:v>
                      </c:pt>
                      <c:pt idx="6">
                        <c:v>0.26898982768324814</c:v>
                      </c:pt>
                      <c:pt idx="7">
                        <c:v>0.27013037933500927</c:v>
                      </c:pt>
                      <c:pt idx="8">
                        <c:v>0.2714383855842224</c:v>
                      </c:pt>
                      <c:pt idx="9">
                        <c:v>0.27291394718536693</c:v>
                      </c:pt>
                      <c:pt idx="10">
                        <c:v>0.27455717838236804</c:v>
                      </c:pt>
                      <c:pt idx="11">
                        <c:v>0.27636820693155761</c:v>
                      </c:pt>
                      <c:pt idx="12">
                        <c:v>0.27834717412735172</c:v>
                      </c:pt>
                      <c:pt idx="13">
                        <c:v>0.28049423483067404</c:v>
                      </c:pt>
                      <c:pt idx="14">
                        <c:v>0.28280955750012549</c:v>
                      </c:pt>
                      <c:pt idx="15">
                        <c:v>0.28529332422591619</c:v>
                      </c:pt>
                      <c:pt idx="16">
                        <c:v>0.28794573076656566</c:v>
                      </c:pt>
                      <c:pt idx="17">
                        <c:v>0.29076698658839467</c:v>
                      </c:pt>
                      <c:pt idx="18">
                        <c:v>0.29375731490781998</c:v>
                      </c:pt>
                      <c:pt idx="19">
                        <c:v>0.29691695273646257</c:v>
                      </c:pt>
                      <c:pt idx="20">
                        <c:v>0.30024615092909224</c:v>
                      </c:pt>
                      <c:pt idx="21">
                        <c:v>0.30374517423442832</c:v>
                      </c:pt>
                      <c:pt idx="22">
                        <c:v>0.30741430134881009</c:v>
                      </c:pt>
                      <c:pt idx="23">
                        <c:v>0.3112538249727585</c:v>
                      </c:pt>
                      <c:pt idx="24">
                        <c:v>0.31526405187045703</c:v>
                      </c:pt>
                      <c:pt idx="25">
                        <c:v>0.31944530293216483</c:v>
                      </c:pt>
                      <c:pt idx="26">
                        <c:v>0.32379791323959262</c:v>
                      </c:pt>
                      <c:pt idx="27">
                        <c:v>0.32832223213426426</c:v>
                      </c:pt>
                      <c:pt idx="28">
                        <c:v>0.33301862328889148</c:v>
                      </c:pt>
                      <c:pt idx="29">
                        <c:v>0.33788746478178272</c:v>
                      </c:pt>
                      <c:pt idx="30">
                        <c:v>0.3429291491743271</c:v>
                      </c:pt>
                      <c:pt idx="31">
                        <c:v>0.34814408359157223</c:v>
                      </c:pt>
                      <c:pt idx="32">
                        <c:v>0.353532689805929</c:v>
                      </c:pt>
                      <c:pt idx="33">
                        <c:v>0.35909540432404125</c:v>
                      </c:pt>
                      <c:pt idx="34">
                        <c:v>0.36483267847684897</c:v>
                      </c:pt>
                      <c:pt idx="35">
                        <c:v>0.3707449785128798</c:v>
                      </c:pt>
                      <c:pt idx="36">
                        <c:v>0.37683278569480932</c:v>
                      </c:pt>
                      <c:pt idx="37">
                        <c:v>0.38309659639932347</c:v>
                      </c:pt>
                      <c:pt idx="38">
                        <c:v>0.38953692222032232</c:v>
                      </c:pt>
                      <c:pt idx="39">
                        <c:v>0.39615429007551195</c:v>
                      </c:pt>
                      <c:pt idx="40">
                        <c:v>0.40294924231641738</c:v>
                      </c:pt>
                      <c:pt idx="41">
                        <c:v>0.40992233684186491</c:v>
                      </c:pt>
                      <c:pt idx="42">
                        <c:v>0.4170741472149796</c:v>
                      </c:pt>
                      <c:pt idx="43">
                        <c:v>0.42440526278374296</c:v>
                      </c:pt>
                      <c:pt idx="44">
                        <c:v>0.43191628880515298</c:v>
                      </c:pt>
                      <c:pt idx="45">
                        <c:v>0.43960784657305269</c:v>
                      </c:pt>
                      <c:pt idx="46">
                        <c:v>0.44748057354965576</c:v>
                      </c:pt>
                      <c:pt idx="47">
                        <c:v>0.45553512350083925</c:v>
                      </c:pt>
                      <c:pt idx="48">
                        <c:v>0.46377216663525433</c:v>
                      </c:pt>
                      <c:pt idx="49">
                        <c:v>0.47219238974730104</c:v>
                      </c:pt>
                      <c:pt idx="50">
                        <c:v>0.48079649636404337</c:v>
                      </c:pt>
                      <c:pt idx="51">
                        <c:v>0.48958520689610618</c:v>
                      </c:pt>
                      <c:pt idx="52">
                        <c:v>0.49855925879262619</c:v>
                      </c:pt>
                      <c:pt idx="53">
                        <c:v>0.5077194067003199</c:v>
                      </c:pt>
                      <c:pt idx="54">
                        <c:v>0.51706642262672653</c:v>
                      </c:pt>
                      <c:pt idx="55">
                        <c:v>0.52660109610770411</c:v>
                      </c:pt>
                      <c:pt idx="56">
                        <c:v>0.53632423437923926</c:v>
                      </c:pt>
                      <c:pt idx="57">
                        <c:v>0.54623666255364267</c:v>
                      </c:pt>
                      <c:pt idx="58">
                        <c:v>0.55633922380021561</c:v>
                      </c:pt>
                      <c:pt idx="59">
                        <c:v>0.56663277953044044</c:v>
                      </c:pt>
                      <c:pt idx="60">
                        <c:v>0.57711820958779669</c:v>
                      </c:pt>
                      <c:pt idx="61">
                        <c:v>0.58779641244227177</c:v>
                      </c:pt>
                      <c:pt idx="62">
                        <c:v>0.59866830538964078</c:v>
                      </c:pt>
                      <c:pt idx="63">
                        <c:v>0.60973482475561869</c:v>
                      </c:pt>
                      <c:pt idx="64">
                        <c:v>0.6209969261049576</c:v>
                      </c:pt>
                      <c:pt idx="65">
                        <c:v>0.63245558445558303</c:v>
                      </c:pt>
                      <c:pt idx="66">
                        <c:v>0.64411179449786404</c:v>
                      </c:pt>
                      <c:pt idx="67">
                        <c:v>0.65596657081910603</c:v>
                      </c:pt>
                      <c:pt idx="68">
                        <c:v>0.66802094813337676</c:v>
                      </c:pt>
                      <c:pt idx="69">
                        <c:v>0.68027598151674229</c:v>
                      </c:pt>
                      <c:pt idx="70">
                        <c:v>0.6927327466480433</c:v>
                      </c:pt>
                      <c:pt idx="71">
                        <c:v>0.70539234005530105</c:v>
                      </c:pt>
                      <c:pt idx="72">
                        <c:v>0.71825587936786417</c:v>
                      </c:pt>
                      <c:pt idx="73">
                        <c:v>0.73132450357441148</c:v>
                      </c:pt>
                      <c:pt idx="74">
                        <c:v>0.74459937328692516</c:v>
                      </c:pt>
                      <c:pt idx="75">
                        <c:v>0.75808167101075397</c:v>
                      </c:pt>
                      <c:pt idx="76">
                        <c:v>0.77177260142088411</c:v>
                      </c:pt>
                      <c:pt idx="77">
                        <c:v>0.7856733916445483</c:v>
                      </c:pt>
                      <c:pt idx="78">
                        <c:v>0.79978529155029532</c:v>
                      </c:pt>
                      <c:pt idx="79">
                        <c:v>0.8141095740436628</c:v>
                      </c:pt>
                      <c:pt idx="80">
                        <c:v>0.82864753536957614</c:v>
                      </c:pt>
                      <c:pt idx="81">
                        <c:v>0.84340049542162476</c:v>
                      </c:pt>
                      <c:pt idx="82">
                        <c:v>0.85836979805835045</c:v>
                      </c:pt>
                      <c:pt idx="83">
                        <c:v>0.87355681142670383</c:v>
                      </c:pt>
                      <c:pt idx="84">
                        <c:v>0.88896292829281243</c:v>
                      </c:pt>
                      <c:pt idx="85">
                        <c:v>0.90458956638023058</c:v>
                      </c:pt>
                      <c:pt idx="86">
                        <c:v>0.92043816871580642</c:v>
                      </c:pt>
                      <c:pt idx="87">
                        <c:v>0.93651020398335882</c:v>
                      </c:pt>
                      <c:pt idx="88">
                        <c:v>0.95280716688532241</c:v>
                      </c:pt>
                      <c:pt idx="89">
                        <c:v>0.96933057851252258</c:v>
                      </c:pt>
                      <c:pt idx="90">
                        <c:v>0.98608198672228875</c:v>
                      </c:pt>
                      <c:pt idx="91">
                        <c:v>1.0030629665250581</c:v>
                      </c:pt>
                      <c:pt idx="92">
                        <c:v>1.0202751204796838</c:v>
                      </c:pt>
                      <c:pt idx="93">
                        <c:v>1.037720079097634</c:v>
                      </c:pt>
                      <c:pt idx="94">
                        <c:v>1.0553995012562762</c:v>
                      </c:pt>
                      <c:pt idx="95">
                        <c:v>1.0733150746214648</c:v>
                      </c:pt>
                      <c:pt idx="96">
                        <c:v>1.0914685160796367</c:v>
                      </c:pt>
                      <c:pt idx="97">
                        <c:v>1.1098615721796328</c:v>
                      </c:pt>
                      <c:pt idx="98">
                        <c:v>1.1284960195844715</c:v>
                      </c:pt>
                      <c:pt idx="99">
                        <c:v>1.1473736655333138</c:v>
                      </c:pt>
                      <c:pt idx="100">
                        <c:v>1.1664963483138355</c:v>
                      </c:pt>
                    </c:numCache>
                  </c:numRef>
                </c:val>
                <c:smooth val="0"/>
                <c:extLst xmlns:c15="http://schemas.microsoft.com/office/drawing/2012/chart">
                  <c:ext xmlns:c16="http://schemas.microsoft.com/office/drawing/2014/chart" uri="{C3380CC4-5D6E-409C-BE32-E72D297353CC}">
                    <c16:uniqueId val="{0000000A-3B6C-4BEA-AB8D-9A7C0517EAA2}"/>
                  </c:ext>
                </c:extLst>
              </c15:ser>
            </c15:filteredLineSeries>
            <c15:filteredLineSeries>
              <c15:ser>
                <c:idx val="1"/>
                <c:order val="11"/>
                <c:tx>
                  <c:strRef>
                    <c:extLst xmlns:c15="http://schemas.microsoft.com/office/drawing/2012/chart">
                      <c:ext xmlns:c15="http://schemas.microsoft.com/office/drawing/2012/chart" uri="{02D57815-91ED-43cb-92C2-25804820EDAC}">
                        <c15:formulaRef>
                          <c15:sqref>'Efficiency vs Load Calculations'!$BS$8</c15:sqref>
                        </c15:formulaRef>
                      </c:ext>
                    </c:extLst>
                    <c:strCache>
                      <c:ptCount val="1"/>
                      <c:pt idx="0">
                        <c:v>Buck ''SYNC'' MOSFET Loss</c:v>
                      </c:pt>
                    </c:strCache>
                  </c:strRef>
                </c:tx>
                <c:spPr>
                  <a:ln w="38100">
                    <a:solidFill>
                      <a:srgbClr val="002060"/>
                    </a:solidFill>
                    <a:prstDash val="sysDot"/>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Calculations'!$BS$9:$BS$109</c15:sqref>
                        </c15:formulaRef>
                      </c:ext>
                    </c:extLst>
                    <c:numCache>
                      <c:formatCode>0.000</c:formatCode>
                      <c:ptCount val="101"/>
                      <c:pt idx="0">
                        <c:v>3.052429571815201E-2</c:v>
                      </c:pt>
                      <c:pt idx="1">
                        <c:v>3.5863480897242485E-2</c:v>
                      </c:pt>
                      <c:pt idx="2">
                        <c:v>3.9730033943421873E-2</c:v>
                      </c:pt>
                      <c:pt idx="3">
                        <c:v>4.3719051772311196E-2</c:v>
                      </c:pt>
                      <c:pt idx="4">
                        <c:v>4.7830839760933039E-2</c:v>
                      </c:pt>
                      <c:pt idx="5">
                        <c:v>5.2065724803173591E-2</c:v>
                      </c:pt>
                      <c:pt idx="6">
                        <c:v>5.6424055415732977E-2</c:v>
                      </c:pt>
                      <c:pt idx="7">
                        <c:v>6.0906201853576758E-2</c:v>
                      </c:pt>
                      <c:pt idx="8">
                        <c:v>6.5512556234968183E-2</c:v>
                      </c:pt>
                      <c:pt idx="9">
                        <c:v>7.0243532676168036E-2</c:v>
                      </c:pt>
                      <c:pt idx="10">
                        <c:v>7.5099567435896991E-2</c:v>
                      </c:pt>
                      <c:pt idx="11">
                        <c:v>8.187701131416586E-2</c:v>
                      </c:pt>
                      <c:pt idx="12">
                        <c:v>8.9876945672302339E-2</c:v>
                      </c:pt>
                      <c:pt idx="13">
                        <c:v>9.8005539913078019E-2</c:v>
                      </c:pt>
                      <c:pt idx="14">
                        <c:v>0.10626357580770966</c:v>
                      </c:pt>
                      <c:pt idx="15">
                        <c:v>0.11465185895149579</c:v>
                      </c:pt>
                      <c:pt idx="16">
                        <c:v>0.12317121904557357</c:v>
                      </c:pt>
                      <c:pt idx="17">
                        <c:v>0.13182251018991303</c:v>
                      </c:pt>
                      <c:pt idx="18">
                        <c:v>0.14060661118776147</c:v>
                      </c:pt>
                      <c:pt idx="19">
                        <c:v>0.14952442586176073</c:v>
                      </c:pt>
                      <c:pt idx="20">
                        <c:v>0.15857688338197146</c:v>
                      </c:pt>
                      <c:pt idx="21">
                        <c:v>0.16776493860604672</c:v>
                      </c:pt>
                      <c:pt idx="22">
                        <c:v>0.17708957243181245</c:v>
                      </c:pt>
                      <c:pt idx="23">
                        <c:v>0.18655179216251841</c:v>
                      </c:pt>
                      <c:pt idx="24">
                        <c:v>0.19615263188503948</c:v>
                      </c:pt>
                      <c:pt idx="25">
                        <c:v>0.2058931528613164</c:v>
                      </c:pt>
                      <c:pt idx="26">
                        <c:v>0.21577444393333833</c:v>
                      </c:pt>
                      <c:pt idx="27">
                        <c:v>0.22579762194198238</c:v>
                      </c:pt>
                      <c:pt idx="28">
                        <c:v>0.23596383216003858</c:v>
                      </c:pt>
                      <c:pt idx="29">
                        <c:v>0.24627424873976173</c:v>
                      </c:pt>
                      <c:pt idx="30">
                        <c:v>0.25673007517530622</c:v>
                      </c:pt>
                      <c:pt idx="31">
                        <c:v>0.26733254478041429</c:v>
                      </c:pt>
                      <c:pt idx="32">
                        <c:v>0.27808292118174366</c:v>
                      </c:pt>
                      <c:pt idx="33">
                        <c:v>0.28898249882823435</c:v>
                      </c:pt>
                      <c:pt idx="34">
                        <c:v>0.30003260351693373</c:v>
                      </c:pt>
                      <c:pt idx="35">
                        <c:v>0.31123459293571176</c:v>
                      </c:pt>
                      <c:pt idx="36">
                        <c:v>0.32258985722331895</c:v>
                      </c:pt>
                      <c:pt idx="37">
                        <c:v>0.33409981954725509</c:v>
                      </c:pt>
                      <c:pt idx="38">
                        <c:v>0.3457659366999376</c:v>
                      </c:pt>
                      <c:pt idx="39">
                        <c:v>0.35758969971367538</c:v>
                      </c:pt>
                      <c:pt idx="40">
                        <c:v>0.36957263449497507</c:v>
                      </c:pt>
                      <c:pt idx="41">
                        <c:v>0.38171630247872812</c:v>
                      </c:pt>
                      <c:pt idx="42">
                        <c:v>0.39402230130284821</c:v>
                      </c:pt>
                      <c:pt idx="43">
                        <c:v>0.40649226550394868</c:v>
                      </c:pt>
                      <c:pt idx="44">
                        <c:v>0.41912786723467699</c:v>
                      </c:pt>
                      <c:pt idx="45">
                        <c:v>0.43193081700334474</c:v>
                      </c:pt>
                      <c:pt idx="46">
                        <c:v>0.44490286443651672</c:v>
                      </c:pt>
                      <c:pt idx="47">
                        <c:v>0.45804579906524978</c:v>
                      </c:pt>
                      <c:pt idx="48">
                        <c:v>0.47136145113570016</c:v>
                      </c:pt>
                      <c:pt idx="49">
                        <c:v>0.48485169244484244</c:v>
                      </c:pt>
                      <c:pt idx="50">
                        <c:v>0.49851843720207956</c:v>
                      </c:pt>
                      <c:pt idx="51">
                        <c:v>0.51236364291754555</c:v>
                      </c:pt>
                      <c:pt idx="52">
                        <c:v>0.52638931131794175</c:v>
                      </c:pt>
                      <c:pt idx="53">
                        <c:v>0.540597489290778</c:v>
                      </c:pt>
                      <c:pt idx="54">
                        <c:v>0.55499026985792177</c:v>
                      </c:pt>
                      <c:pt idx="55">
                        <c:v>0.56956979317940171</c:v>
                      </c:pt>
                      <c:pt idx="56">
                        <c:v>0.58433824758844199</c:v>
                      </c:pt>
                      <c:pt idx="57">
                        <c:v>0.59929787065874707</c:v>
                      </c:pt>
                      <c:pt idx="58">
                        <c:v>0.61445095030510011</c:v>
                      </c:pt>
                      <c:pt idx="59">
                        <c:v>0.62979982591837347</c:v>
                      </c:pt>
                      <c:pt idx="60">
                        <c:v>0.64534688953610186</c:v>
                      </c:pt>
                      <c:pt idx="61">
                        <c:v>0.66109458704981328</c:v>
                      </c:pt>
                      <c:pt idx="62">
                        <c:v>0.67704541945035701</c:v>
                      </c:pt>
                      <c:pt idx="63">
                        <c:v>0.69320194411252578</c:v>
                      </c:pt>
                      <c:pt idx="64">
                        <c:v>0.70956677612032049</c:v>
                      </c:pt>
                      <c:pt idx="65">
                        <c:v>0.72614258963425315</c:v>
                      </c:pt>
                      <c:pt idx="66">
                        <c:v>0.74293211930215808</c:v>
                      </c:pt>
                      <c:pt idx="67">
                        <c:v>0.7599381617150256</c:v>
                      </c:pt>
                      <c:pt idx="68">
                        <c:v>0.77716357690944671</c:v>
                      </c:pt>
                      <c:pt idx="69">
                        <c:v>0.79461128991831809</c:v>
                      </c:pt>
                      <c:pt idx="70">
                        <c:v>0.81228429237153121</c:v>
                      </c:pt>
                      <c:pt idx="71">
                        <c:v>0.83018564414843499</c:v>
                      </c:pt>
                      <c:pt idx="72">
                        <c:v>0.84831847508394675</c:v>
                      </c:pt>
                      <c:pt idx="73">
                        <c:v>0.86668598673025643</c:v>
                      </c:pt>
                      <c:pt idx="74">
                        <c:v>0.88529145417616006</c:v>
                      </c:pt>
                      <c:pt idx="75">
                        <c:v>0.90413822792614384</c:v>
                      </c:pt>
                      <c:pt idx="76">
                        <c:v>0.9232297358414272</c:v>
                      </c:pt>
                      <c:pt idx="77">
                        <c:v>0.94256948514528183</c:v>
                      </c:pt>
                      <c:pt idx="78">
                        <c:v>0.96216106449502303</c:v>
                      </c:pt>
                      <c:pt idx="79">
                        <c:v>0.98200814612320586</c:v>
                      </c:pt>
                      <c:pt idx="80">
                        <c:v>1.0021144880506363</c:v>
                      </c:pt>
                      <c:pt idx="81">
                        <c:v>1.0224839363739522</c:v>
                      </c:pt>
                      <c:pt idx="82">
                        <c:v>1.0431204276306318</c:v>
                      </c:pt>
                      <c:pt idx="83">
                        <c:v>1.064027991244429</c:v>
                      </c:pt>
                      <c:pt idx="84">
                        <c:v>1.0852107520543592</c:v>
                      </c:pt>
                      <c:pt idx="85">
                        <c:v>1.1066729329305103</c:v>
                      </c:pt>
                      <c:pt idx="86">
                        <c:v>1.1284188574800955</c:v>
                      </c:pt>
                      <c:pt idx="87">
                        <c:v>1.1504529528473215</c:v>
                      </c:pt>
                      <c:pt idx="88">
                        <c:v>1.1727797526108215</c:v>
                      </c:pt>
                      <c:pt idx="89">
                        <c:v>1.1954038997825518</c:v>
                      </c:pt>
                      <c:pt idx="90">
                        <c:v>1.218330149912265</c:v>
                      </c:pt>
                      <c:pt idx="91">
                        <c:v>1.2415633743018315</c:v>
                      </c:pt>
                      <c:pt idx="92">
                        <c:v>1.2651085633339079</c:v>
                      </c:pt>
                      <c:pt idx="93">
                        <c:v>1.2889708299196529</c:v>
                      </c:pt>
                      <c:pt idx="94">
                        <c:v>1.3131554130704117</c:v>
                      </c:pt>
                      <c:pt idx="95">
                        <c:v>1.337667681598538</c:v>
                      </c:pt>
                      <c:pt idx="96">
                        <c:v>1.3625131379527535</c:v>
                      </c:pt>
                      <c:pt idx="97">
                        <c:v>1.3876974221937302</c:v>
                      </c:pt>
                      <c:pt idx="98">
                        <c:v>1.4132263161158303</c:v>
                      </c:pt>
                      <c:pt idx="99">
                        <c:v>1.4391057475212585</c:v>
                      </c:pt>
                      <c:pt idx="100">
                        <c:v>1.4653417946531597</c:v>
                      </c:pt>
                    </c:numCache>
                  </c:numRef>
                </c:val>
                <c:smooth val="0"/>
                <c:extLst xmlns:c15="http://schemas.microsoft.com/office/drawing/2012/chart">
                  <c:ext xmlns:c16="http://schemas.microsoft.com/office/drawing/2014/chart" uri="{C3380CC4-5D6E-409C-BE32-E72D297353CC}">
                    <c16:uniqueId val="{0000000B-3B6C-4BEA-AB8D-9A7C0517EAA2}"/>
                  </c:ext>
                </c:extLst>
              </c15:ser>
            </c15:filteredLineSeries>
          </c:ext>
        </c:extLst>
      </c:lineChart>
      <c:catAx>
        <c:axId val="19635712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359296"/>
        <c:crosses val="autoZero"/>
        <c:auto val="1"/>
        <c:lblAlgn val="ctr"/>
        <c:lblOffset val="100"/>
        <c:tickLblSkip val="20"/>
        <c:tickMarkSkip val="20"/>
        <c:noMultiLvlLbl val="1"/>
      </c:catAx>
      <c:valAx>
        <c:axId val="196359296"/>
        <c:scaling>
          <c:orientation val="minMax"/>
          <c:max val="100"/>
          <c:min val="7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357120"/>
        <c:crosses val="autoZero"/>
        <c:crossBetween val="between"/>
        <c:majorUnit val="5"/>
        <c:minorUnit val="2.5"/>
      </c:valAx>
      <c:valAx>
        <c:axId val="19636121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371584"/>
        <c:crosses val="max"/>
        <c:crossBetween val="between"/>
      </c:valAx>
      <c:catAx>
        <c:axId val="196371584"/>
        <c:scaling>
          <c:orientation val="minMax"/>
        </c:scaling>
        <c:delete val="1"/>
        <c:axPos val="b"/>
        <c:numFmt formatCode="General" sourceLinked="1"/>
        <c:majorTickMark val="out"/>
        <c:minorTickMark val="none"/>
        <c:tickLblPos val="nextTo"/>
        <c:crossAx val="196361216"/>
        <c:crosses val="autoZero"/>
        <c:auto val="1"/>
        <c:lblAlgn val="ctr"/>
        <c:lblOffset val="100"/>
        <c:noMultiLvlLbl val="0"/>
      </c:catAx>
      <c:spPr>
        <a:noFill/>
        <a:ln w="25400">
          <a:noFill/>
        </a:ln>
      </c:spPr>
    </c:plotArea>
    <c:legend>
      <c:legendPos val="t"/>
      <c:layout>
        <c:manualLayout>
          <c:xMode val="edge"/>
          <c:yMode val="edge"/>
          <c:x val="0.55971913241208271"/>
          <c:y val="9.4280543952338682E-3"/>
          <c:w val="0.29960091448123494"/>
          <c:h val="0.15650535365149595"/>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V</a:t>
            </a:r>
            <a:r>
              <a:rPr lang="en-US" sz="1800" b="1" i="0" u="none" strike="noStrike" baseline="-25000"/>
              <a:t>IN</a:t>
            </a:r>
            <a:r>
              <a:rPr lang="en-US" sz="1800" b="1" i="0" u="none" strike="noStrike" baseline="0"/>
              <a:t> = V</a:t>
            </a:r>
            <a:r>
              <a:rPr lang="en-US" sz="1800" b="1" i="0" u="none" strike="noStrike" baseline="-25000"/>
              <a:t>IN(nom)</a:t>
            </a:r>
            <a:endParaRPr lang="en-US" sz="1800">
              <a:latin typeface="Arial" pitchFamily="34" charset="0"/>
              <a:cs typeface="Arial" pitchFamily="34" charset="0"/>
            </a:endParaRPr>
          </a:p>
        </c:rich>
      </c:tx>
      <c:layout>
        <c:manualLayout>
          <c:xMode val="edge"/>
          <c:yMode val="edge"/>
          <c:x val="8.1772222786336932E-2"/>
          <c:y val="4.614939768388470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357120"/>
        <c:axId val="196359296"/>
        <c:extLst>
          <c:ext xmlns:c15="http://schemas.microsoft.com/office/drawing/2012/chart" uri="{02D57815-91ED-43cb-92C2-25804820EDAC}">
            <c15:filteredLineSeries>
              <c15:ser>
                <c:idx val="0"/>
                <c:order val="0"/>
                <c:tx>
                  <c:v>Efficiency</c:v>
                </c:tx>
                <c:spPr>
                  <a:ln w="28575">
                    <a:solidFill>
                      <a:srgbClr val="FF0000"/>
                    </a:solidFill>
                    <a:prstDash val="solid"/>
                  </a:ln>
                </c:spPr>
                <c:marker>
                  <c:symbol val="none"/>
                </c:marker>
                <c:cat>
                  <c:numRef>
                    <c:extLst>
                      <c:ex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c:ext uri="{02D57815-91ED-43cb-92C2-25804820EDAC}">
                        <c15:formulaRef>
                          <c15:sqref>'Efficiency vs Load Calculations'!$BO$9:$BO$109</c15:sqref>
                        </c15:formulaRef>
                      </c:ext>
                    </c:extLst>
                    <c:numCache>
                      <c:formatCode>0.00</c:formatCode>
                      <c:ptCount val="101"/>
                      <c:pt idx="0">
                        <c:v>0</c:v>
                      </c:pt>
                      <c:pt idx="1">
                        <c:v>42.981308682967686</c:v>
                      </c:pt>
                      <c:pt idx="2">
                        <c:v>59.81594128981358</c:v>
                      </c:pt>
                      <c:pt idx="3">
                        <c:v>68.791394396117369</c:v>
                      </c:pt>
                      <c:pt idx="4">
                        <c:v>74.365269277402803</c:v>
                      </c:pt>
                      <c:pt idx="5">
                        <c:v>78.160112828883172</c:v>
                      </c:pt>
                      <c:pt idx="6">
                        <c:v>80.908095170861685</c:v>
                      </c:pt>
                      <c:pt idx="7">
                        <c:v>82.988075774419855</c:v>
                      </c:pt>
                      <c:pt idx="8">
                        <c:v>84.615774919496573</c:v>
                      </c:pt>
                      <c:pt idx="9">
                        <c:v>85.92305009224556</c:v>
                      </c:pt>
                      <c:pt idx="10">
                        <c:v>86.995038695697374</c:v>
                      </c:pt>
                      <c:pt idx="11">
                        <c:v>87.874772487805274</c:v>
                      </c:pt>
                      <c:pt idx="12">
                        <c:v>88.610541703267756</c:v>
                      </c:pt>
                      <c:pt idx="13">
                        <c:v>89.240105768403183</c:v>
                      </c:pt>
                      <c:pt idx="14">
                        <c:v>89.784343428524792</c:v>
                      </c:pt>
                      <c:pt idx="15">
                        <c:v>90.258994183940843</c:v>
                      </c:pt>
                      <c:pt idx="16">
                        <c:v>90.676147789014124</c:v>
                      </c:pt>
                      <c:pt idx="17">
                        <c:v>91.045244094338329</c:v>
                      </c:pt>
                      <c:pt idx="18">
                        <c:v>91.373761274747977</c:v>
                      </c:pt>
                      <c:pt idx="19">
                        <c:v>91.667700153396595</c:v>
                      </c:pt>
                      <c:pt idx="20">
                        <c:v>91.931931785357861</c:v>
                      </c:pt>
                      <c:pt idx="21">
                        <c:v>92.170451317228625</c:v>
                      </c:pt>
                      <c:pt idx="22">
                        <c:v>92.386566338829155</c:v>
                      </c:pt>
                      <c:pt idx="23">
                        <c:v>92.583038635288304</c:v>
                      </c:pt>
                      <c:pt idx="24">
                        <c:v>92.762192257423948</c:v>
                      </c:pt>
                      <c:pt idx="25">
                        <c:v>92.9259968916746</c:v>
                      </c:pt>
                      <c:pt idx="26">
                        <c:v>93.076132874288632</c:v>
                      </c:pt>
                      <c:pt idx="27">
                        <c:v>93.214042397845049</c:v>
                      </c:pt>
                      <c:pt idx="28">
                        <c:v>93.340970214328181</c:v>
                      </c:pt>
                      <c:pt idx="29">
                        <c:v>93.457996265178849</c:v>
                      </c:pt>
                      <c:pt idx="30">
                        <c:v>93.566062046587788</c:v>
                      </c:pt>
                      <c:pt idx="31">
                        <c:v>93.665992069755774</c:v>
                      </c:pt>
                      <c:pt idx="32">
                        <c:v>93.758511448709172</c:v>
                      </c:pt>
                      <c:pt idx="33">
                        <c:v>93.84426040708108</c:v>
                      </c:pt>
                      <c:pt idx="34">
                        <c:v>93.923806315665644</c:v>
                      </c:pt>
                      <c:pt idx="35">
                        <c:v>93.997653737539082</c:v>
                      </c:pt>
                      <c:pt idx="36">
                        <c:v>94.066252855146629</c:v>
                      </c:pt>
                      <c:pt idx="37">
                        <c:v>94.130006575451631</c:v>
                      </c:pt>
                      <c:pt idx="38">
                        <c:v>94.189276548895137</c:v>
                      </c:pt>
                      <c:pt idx="39">
                        <c:v>94.244388291058428</c:v>
                      </c:pt>
                      <c:pt idx="40">
                        <c:v>94.295635559289138</c:v>
                      </c:pt>
                      <c:pt idx="41">
                        <c:v>94.343284107722113</c:v>
                      </c:pt>
                      <c:pt idx="42">
                        <c:v>94.387574921295098</c:v>
                      </c:pt>
                      <c:pt idx="43">
                        <c:v>94.428727011173194</c:v>
                      </c:pt>
                      <c:pt idx="44">
                        <c:v>94.466939839425308</c:v>
                      </c:pt>
                      <c:pt idx="45">
                        <c:v>94.502395429061337</c:v>
                      </c:pt>
                      <c:pt idx="46">
                        <c:v>94.535260206039169</c:v>
                      </c:pt>
                      <c:pt idx="47">
                        <c:v>94.565686612122789</c:v>
                      </c:pt>
                      <c:pt idx="48">
                        <c:v>94.593814521156929</c:v>
                      </c:pt>
                      <c:pt idx="49">
                        <c:v>94.619772486139624</c:v>
                      </c:pt>
                      <c:pt idx="50">
                        <c:v>94.643678840199541</c:v>
                      </c:pt>
                      <c:pt idx="51">
                        <c:v>94.665642671047067</c:v>
                      </c:pt>
                      <c:pt idx="52">
                        <c:v>94.685764685528412</c:v>
                      </c:pt>
                      <c:pt idx="53">
                        <c:v>94.704137978459585</c:v>
                      </c:pt>
                      <c:pt idx="54">
                        <c:v>94.720848717864087</c:v>
                      </c:pt>
                      <c:pt idx="55">
                        <c:v>94.735976757014257</c:v>
                      </c:pt>
                      <c:pt idx="56">
                        <c:v>94.749596182222319</c:v>
                      </c:pt>
                      <c:pt idx="57">
                        <c:v>94.761775804098889</c:v>
                      </c:pt>
                      <c:pt idx="58">
                        <c:v>94.77257959895438</c:v>
                      </c:pt>
                      <c:pt idx="59">
                        <c:v>94.782067106132274</c:v>
                      </c:pt>
                      <c:pt idx="60">
                        <c:v>94.790293786306862</c:v>
                      </c:pt>
                      <c:pt idx="61">
                        <c:v>94.797311345131547</c:v>
                      </c:pt>
                      <c:pt idx="62">
                        <c:v>94.803168026068519</c:v>
                      </c:pt>
                      <c:pt idx="63">
                        <c:v>94.807908875753654</c:v>
                      </c:pt>
                      <c:pt idx="64">
                        <c:v>94.811575984839408</c:v>
                      </c:pt>
                      <c:pt idx="65">
                        <c:v>94.814208706902278</c:v>
                      </c:pt>
                      <c:pt idx="66">
                        <c:v>94.815843857694645</c:v>
                      </c:pt>
                      <c:pt idx="67">
                        <c:v>94.81651589675208</c:v>
                      </c:pt>
                      <c:pt idx="68">
                        <c:v>94.816257093136088</c:v>
                      </c:pt>
                      <c:pt idx="69">
                        <c:v>94.815097676888286</c:v>
                      </c:pt>
                      <c:pt idx="70">
                        <c:v>94.813065977595656</c:v>
                      </c:pt>
                      <c:pt idx="71">
                        <c:v>94.810188551310787</c:v>
                      </c:pt>
                      <c:pt idx="72">
                        <c:v>94.806490296935507</c:v>
                      </c:pt>
                      <c:pt idx="73">
                        <c:v>94.801994563056269</c:v>
                      </c:pt>
                      <c:pt idx="74">
                        <c:v>94.796723246114539</c:v>
                      </c:pt>
                      <c:pt idx="75">
                        <c:v>94.790696880702811</c:v>
                      </c:pt>
                      <c:pt idx="76">
                        <c:v>94.783934722694312</c:v>
                      </c:pt>
                      <c:pt idx="77">
                        <c:v>94.776454825842222</c:v>
                      </c:pt>
                      <c:pt idx="78">
                        <c:v>94.768274112419675</c:v>
                      </c:pt>
                      <c:pt idx="79">
                        <c:v>94.759408438414908</c:v>
                      </c:pt>
                      <c:pt idx="80">
                        <c:v>94.749872653744319</c:v>
                      </c:pt>
                      <c:pt idx="81">
                        <c:v>94.739680657901957</c:v>
                      </c:pt>
                      <c:pt idx="82">
                        <c:v>94.728845451422643</c:v>
                      </c:pt>
                      <c:pt idx="83">
                        <c:v>94.717379183500299</c:v>
                      </c:pt>
                      <c:pt idx="84">
                        <c:v>94.705293196070457</c:v>
                      </c:pt>
                      <c:pt idx="85">
                        <c:v>94.692598064637536</c:v>
                      </c:pt>
                      <c:pt idx="86">
                        <c:v>94.679303636100386</c:v>
                      </c:pt>
                      <c:pt idx="87">
                        <c:v>94.665419063807619</c:v>
                      </c:pt>
                      <c:pt idx="88">
                        <c:v>94.650952840052184</c:v>
                      </c:pt>
                      <c:pt idx="89">
                        <c:v>94.635912826196204</c:v>
                      </c:pt>
                      <c:pt idx="90">
                        <c:v>94.620306280599806</c:v>
                      </c:pt>
                      <c:pt idx="91">
                        <c:v>94.604139884512634</c:v>
                      </c:pt>
                      <c:pt idx="92">
                        <c:v>94.587419766072045</c:v>
                      </c:pt>
                      <c:pt idx="93">
                        <c:v>94.570151522540385</c:v>
                      </c:pt>
                      <c:pt idx="94">
                        <c:v>94.552340240901003</c:v>
                      </c:pt>
                      <c:pt idx="95">
                        <c:v>94.53399051692351</c:v>
                      </c:pt>
                      <c:pt idx="96">
                        <c:v>94.515106472798479</c:v>
                      </c:pt>
                      <c:pt idx="97">
                        <c:v>94.495691773433379</c:v>
                      </c:pt>
                      <c:pt idx="98">
                        <c:v>94.475749641493834</c:v>
                      </c:pt>
                      <c:pt idx="99">
                        <c:v>94.455282871266917</c:v>
                      </c:pt>
                      <c:pt idx="100">
                        <c:v>94.434293841416704</c:v>
                      </c:pt>
                    </c:numCache>
                  </c:numRef>
                </c:val>
                <c:smooth val="0"/>
                <c:extLst>
                  <c:ext xmlns:c16="http://schemas.microsoft.com/office/drawing/2014/chart" uri="{C3380CC4-5D6E-409C-BE32-E72D297353CC}">
                    <c16:uniqueId val="{00000003-52A5-4349-9ADA-2A074F0D0C46}"/>
                  </c:ext>
                </c:extLst>
              </c15:ser>
            </c15:filteredLineSeries>
          </c:ext>
        </c:extLst>
      </c:lineChart>
      <c:lineChart>
        <c:grouping val="standard"/>
        <c:varyColors val="0"/>
        <c:ser>
          <c:idx val="12"/>
          <c:order val="1"/>
          <c:tx>
            <c:strRef>
              <c:f>'Efficiency vs Load Calculations'!$Y$8</c:f>
              <c:strCache>
                <c:ptCount val="1"/>
                <c:pt idx="0">
                  <c:v>Core Loss</c:v>
                </c:pt>
              </c:strCache>
            </c:strRef>
          </c:tx>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Calculations'!$Y$9:$Y$109</c:f>
              <c:numCache>
                <c:formatCode>0.000</c:formatCode>
                <c:ptCount val="101"/>
                <c:pt idx="0">
                  <c:v>0.26266496655914845</c:v>
                </c:pt>
                <c:pt idx="1">
                  <c:v>0.26271806713485624</c:v>
                </c:pt>
                <c:pt idx="2">
                  <c:v>0.26277117219241891</c:v>
                </c:pt>
                <c:pt idx="3">
                  <c:v>0.26282428173152478</c:v>
                </c:pt>
                <c:pt idx="4">
                  <c:v>0.26287739575186025</c:v>
                </c:pt>
                <c:pt idx="5">
                  <c:v>0.26293051425311209</c:v>
                </c:pt>
                <c:pt idx="6">
                  <c:v>0.26298363723496754</c:v>
                </c:pt>
                <c:pt idx="7">
                  <c:v>0.26303676469711323</c:v>
                </c:pt>
                <c:pt idx="8">
                  <c:v>0.26308989663923638</c:v>
                </c:pt>
                <c:pt idx="9">
                  <c:v>0.26314303306102482</c:v>
                </c:pt>
                <c:pt idx="10">
                  <c:v>0.26319617396216377</c:v>
                </c:pt>
                <c:pt idx="11">
                  <c:v>0.26324931934234191</c:v>
                </c:pt>
                <c:pt idx="12">
                  <c:v>0.26330246920124573</c:v>
                </c:pt>
                <c:pt idx="13">
                  <c:v>0.26335562353856201</c:v>
                </c:pt>
                <c:pt idx="14">
                  <c:v>0.26340878235397747</c:v>
                </c:pt>
                <c:pt idx="15">
                  <c:v>0.26346194564718023</c:v>
                </c:pt>
                <c:pt idx="16">
                  <c:v>0.26351511341785694</c:v>
                </c:pt>
                <c:pt idx="17">
                  <c:v>0.26356828566569362</c:v>
                </c:pt>
                <c:pt idx="18">
                  <c:v>0.26362146239037826</c:v>
                </c:pt>
                <c:pt idx="19">
                  <c:v>0.26367464359159826</c:v>
                </c:pt>
                <c:pt idx="20">
                  <c:v>0.26372782926903998</c:v>
                </c:pt>
                <c:pt idx="21">
                  <c:v>0.26378101942239063</c:v>
                </c:pt>
                <c:pt idx="22">
                  <c:v>0.263834214051338</c:v>
                </c:pt>
                <c:pt idx="23">
                  <c:v>0.26388741315556824</c:v>
                </c:pt>
                <c:pt idx="24">
                  <c:v>0.26394061673476887</c:v>
                </c:pt>
                <c:pt idx="25">
                  <c:v>0.26399382478862704</c:v>
                </c:pt>
                <c:pt idx="26">
                  <c:v>0.2640470373168296</c:v>
                </c:pt>
                <c:pt idx="27">
                  <c:v>0.26410025431906348</c:v>
                </c:pt>
                <c:pt idx="28">
                  <c:v>0.26415347579501697</c:v>
                </c:pt>
                <c:pt idx="29">
                  <c:v>0.26420670174437588</c:v>
                </c:pt>
                <c:pt idx="30">
                  <c:v>0.26425993216682747</c:v>
                </c:pt>
                <c:pt idx="31">
                  <c:v>0.26431316706205971</c:v>
                </c:pt>
                <c:pt idx="32">
                  <c:v>0.26436640642975928</c:v>
                </c:pt>
                <c:pt idx="33">
                  <c:v>0.26441965026961317</c:v>
                </c:pt>
                <c:pt idx="34">
                  <c:v>0.26447289858130879</c:v>
                </c:pt>
                <c:pt idx="35">
                  <c:v>0.264526151364533</c:v>
                </c:pt>
                <c:pt idx="36">
                  <c:v>0.26457940861897311</c:v>
                </c:pt>
                <c:pt idx="37">
                  <c:v>0.26463267034431681</c:v>
                </c:pt>
                <c:pt idx="38">
                  <c:v>0.26468593654025035</c:v>
                </c:pt>
                <c:pt idx="39">
                  <c:v>0.26473920720646132</c:v>
                </c:pt>
                <c:pt idx="40">
                  <c:v>0.26479248234263719</c:v>
                </c:pt>
                <c:pt idx="41">
                  <c:v>0.26484576194846493</c:v>
                </c:pt>
                <c:pt idx="42">
                  <c:v>0.26489904602363146</c:v>
                </c:pt>
                <c:pt idx="43">
                  <c:v>0.26495233456782513</c:v>
                </c:pt>
                <c:pt idx="44">
                  <c:v>0.26500562758073115</c:v>
                </c:pt>
                <c:pt idx="45">
                  <c:v>0.26505892506203826</c:v>
                </c:pt>
                <c:pt idx="46">
                  <c:v>0.26511222701143355</c:v>
                </c:pt>
                <c:pt idx="47">
                  <c:v>0.26516553342860366</c:v>
                </c:pt>
                <c:pt idx="48">
                  <c:v>0.26521884431323689</c:v>
                </c:pt>
                <c:pt idx="49">
                  <c:v>0.26527215966501932</c:v>
                </c:pt>
                <c:pt idx="50">
                  <c:v>0.26532547948363877</c:v>
                </c:pt>
                <c:pt idx="51">
                  <c:v>0.26537880376878248</c:v>
                </c:pt>
                <c:pt idx="52">
                  <c:v>0.2654321325201372</c:v>
                </c:pt>
                <c:pt idx="53">
                  <c:v>0.26548546573739096</c:v>
                </c:pt>
                <c:pt idx="54">
                  <c:v>0.26553880342023051</c:v>
                </c:pt>
                <c:pt idx="55">
                  <c:v>0.26559214556834321</c:v>
                </c:pt>
                <c:pt idx="56">
                  <c:v>0.26564549218141703</c:v>
                </c:pt>
                <c:pt idx="57">
                  <c:v>0.2656988432591379</c:v>
                </c:pt>
                <c:pt idx="58">
                  <c:v>0.26575219880119494</c:v>
                </c:pt>
                <c:pt idx="59">
                  <c:v>0.26580555880727408</c:v>
                </c:pt>
                <c:pt idx="60">
                  <c:v>0.26585892327706234</c:v>
                </c:pt>
                <c:pt idx="61">
                  <c:v>0.26591229221024826</c:v>
                </c:pt>
                <c:pt idx="62">
                  <c:v>0.26596566560651846</c:v>
                </c:pt>
                <c:pt idx="63">
                  <c:v>0.26601904346556032</c:v>
                </c:pt>
                <c:pt idx="64">
                  <c:v>0.26607242578706125</c:v>
                </c:pt>
                <c:pt idx="65">
                  <c:v>0.26612581257070844</c:v>
                </c:pt>
                <c:pt idx="66">
                  <c:v>0.26617920381619015</c:v>
                </c:pt>
                <c:pt idx="67">
                  <c:v>0.26623259952319167</c:v>
                </c:pt>
                <c:pt idx="68">
                  <c:v>0.26628599969140282</c:v>
                </c:pt>
                <c:pt idx="69">
                  <c:v>0.26633940432050979</c:v>
                </c:pt>
                <c:pt idx="70">
                  <c:v>0.26639281341019949</c:v>
                </c:pt>
                <c:pt idx="71">
                  <c:v>0.26644622696015974</c:v>
                </c:pt>
                <c:pt idx="72">
                  <c:v>0.26649964497007828</c:v>
                </c:pt>
                <c:pt idx="73">
                  <c:v>0.26655306743964241</c:v>
                </c:pt>
                <c:pt idx="74">
                  <c:v>0.26660649436853873</c:v>
                </c:pt>
                <c:pt idx="75">
                  <c:v>0.26665992575645531</c:v>
                </c:pt>
                <c:pt idx="76">
                  <c:v>0.26671336160307968</c:v>
                </c:pt>
                <c:pt idx="77">
                  <c:v>0.2667668019080992</c:v>
                </c:pt>
                <c:pt idx="78">
                  <c:v>0.26682024667120074</c:v>
                </c:pt>
                <c:pt idx="79">
                  <c:v>0.2668736958920721</c:v>
                </c:pt>
                <c:pt idx="80">
                  <c:v>0.26692714957040098</c:v>
                </c:pt>
                <c:pt idx="81">
                  <c:v>0.26698060770587445</c:v>
                </c:pt>
                <c:pt idx="82">
                  <c:v>0.26703407029818055</c:v>
                </c:pt>
                <c:pt idx="83">
                  <c:v>0.2670875373470063</c:v>
                </c:pt>
                <c:pt idx="84">
                  <c:v>0.26714100885203812</c:v>
                </c:pt>
                <c:pt idx="85">
                  <c:v>0.26719448481296532</c:v>
                </c:pt>
                <c:pt idx="86">
                  <c:v>0.26724796522947458</c:v>
                </c:pt>
                <c:pt idx="87">
                  <c:v>0.26730145010125272</c:v>
                </c:pt>
                <c:pt idx="88">
                  <c:v>0.26735493942798866</c:v>
                </c:pt>
                <c:pt idx="89">
                  <c:v>0.26740843320936852</c:v>
                </c:pt>
                <c:pt idx="90">
                  <c:v>0.26746193144508079</c:v>
                </c:pt>
                <c:pt idx="91">
                  <c:v>0.26751543413481271</c:v>
                </c:pt>
                <c:pt idx="92">
                  <c:v>0.2675689412782512</c:v>
                </c:pt>
                <c:pt idx="93">
                  <c:v>0.26762245287508402</c:v>
                </c:pt>
                <c:pt idx="94">
                  <c:v>0.26767596892499912</c:v>
                </c:pt>
                <c:pt idx="95">
                  <c:v>0.26772948942768326</c:v>
                </c:pt>
                <c:pt idx="96">
                  <c:v>0.26778301438282481</c:v>
                </c:pt>
                <c:pt idx="97">
                  <c:v>0.26783654379011168</c:v>
                </c:pt>
                <c:pt idx="98">
                  <c:v>0.26789007764922979</c:v>
                </c:pt>
                <c:pt idx="99">
                  <c:v>0.26794361595986782</c:v>
                </c:pt>
                <c:pt idx="100">
                  <c:v>0.26799715872171348</c:v>
                </c:pt>
              </c:numCache>
            </c:numRef>
          </c:val>
          <c:smooth val="0"/>
          <c:extLst>
            <c:ext xmlns:c16="http://schemas.microsoft.com/office/drawing/2014/chart" uri="{C3380CC4-5D6E-409C-BE32-E72D297353CC}">
              <c16:uniqueId val="{00000000-52A5-4349-9ADA-2A074F0D0C46}"/>
            </c:ext>
          </c:extLst>
        </c:ser>
        <c:ser>
          <c:idx val="13"/>
          <c:order val="2"/>
          <c:tx>
            <c:strRef>
              <c:f>'Efficiency vs Load Calculations'!$BE$7</c:f>
              <c:strCache>
                <c:ptCount val="1"/>
                <c:pt idx="0">
                  <c:v>Controller IC Losses</c:v>
                </c:pt>
              </c:strCache>
            </c:strRef>
          </c:tx>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Calculations'!$BG$9:$BG$109</c:f>
              <c:numCache>
                <c:formatCode>0.000</c:formatCode>
                <c:ptCount val="101"/>
                <c:pt idx="0">
                  <c:v>0.45605042016806729</c:v>
                </c:pt>
                <c:pt idx="1">
                  <c:v>0.45605042016806729</c:v>
                </c:pt>
                <c:pt idx="2">
                  <c:v>0.45605042016806729</c:v>
                </c:pt>
                <c:pt idx="3">
                  <c:v>0.45605042016806729</c:v>
                </c:pt>
                <c:pt idx="4">
                  <c:v>0.45605042016806729</c:v>
                </c:pt>
                <c:pt idx="5">
                  <c:v>0.45605042016806729</c:v>
                </c:pt>
                <c:pt idx="6">
                  <c:v>0.45605042016806729</c:v>
                </c:pt>
                <c:pt idx="7">
                  <c:v>0.45605042016806729</c:v>
                </c:pt>
                <c:pt idx="8">
                  <c:v>0.45605042016806729</c:v>
                </c:pt>
                <c:pt idx="9">
                  <c:v>0.45605042016806729</c:v>
                </c:pt>
                <c:pt idx="10">
                  <c:v>0.45605042016806729</c:v>
                </c:pt>
                <c:pt idx="11">
                  <c:v>0.45605042016806729</c:v>
                </c:pt>
                <c:pt idx="12">
                  <c:v>0.45605042016806729</c:v>
                </c:pt>
                <c:pt idx="13">
                  <c:v>0.45605042016806729</c:v>
                </c:pt>
                <c:pt idx="14">
                  <c:v>0.45605042016806729</c:v>
                </c:pt>
                <c:pt idx="15">
                  <c:v>0.45605042016806729</c:v>
                </c:pt>
                <c:pt idx="16">
                  <c:v>0.45605042016806729</c:v>
                </c:pt>
                <c:pt idx="17">
                  <c:v>0.45605042016806729</c:v>
                </c:pt>
                <c:pt idx="18">
                  <c:v>0.45605042016806729</c:v>
                </c:pt>
                <c:pt idx="19">
                  <c:v>0.45605042016806729</c:v>
                </c:pt>
                <c:pt idx="20">
                  <c:v>0.45605042016806729</c:v>
                </c:pt>
                <c:pt idx="21">
                  <c:v>0.45605042016806729</c:v>
                </c:pt>
                <c:pt idx="22">
                  <c:v>0.45605042016806729</c:v>
                </c:pt>
                <c:pt idx="23">
                  <c:v>0.45605042016806729</c:v>
                </c:pt>
                <c:pt idx="24">
                  <c:v>0.45605042016806729</c:v>
                </c:pt>
                <c:pt idx="25">
                  <c:v>0.45605042016806729</c:v>
                </c:pt>
                <c:pt idx="26">
                  <c:v>0.45605042016806729</c:v>
                </c:pt>
                <c:pt idx="27">
                  <c:v>0.45605042016806729</c:v>
                </c:pt>
                <c:pt idx="28">
                  <c:v>0.45605042016806729</c:v>
                </c:pt>
                <c:pt idx="29">
                  <c:v>0.45605042016806729</c:v>
                </c:pt>
                <c:pt idx="30">
                  <c:v>0.45605042016806729</c:v>
                </c:pt>
                <c:pt idx="31">
                  <c:v>0.45605042016806729</c:v>
                </c:pt>
                <c:pt idx="32">
                  <c:v>0.45605042016806729</c:v>
                </c:pt>
                <c:pt idx="33">
                  <c:v>0.45605042016806729</c:v>
                </c:pt>
                <c:pt idx="34">
                  <c:v>0.45605042016806729</c:v>
                </c:pt>
                <c:pt idx="35">
                  <c:v>0.45605042016806729</c:v>
                </c:pt>
                <c:pt idx="36">
                  <c:v>0.45605042016806729</c:v>
                </c:pt>
                <c:pt idx="37">
                  <c:v>0.45605042016806729</c:v>
                </c:pt>
                <c:pt idx="38">
                  <c:v>0.45605042016806729</c:v>
                </c:pt>
                <c:pt idx="39">
                  <c:v>0.45605042016806729</c:v>
                </c:pt>
                <c:pt idx="40">
                  <c:v>0.45605042016806729</c:v>
                </c:pt>
                <c:pt idx="41">
                  <c:v>0.45605042016806729</c:v>
                </c:pt>
                <c:pt idx="42">
                  <c:v>0.45605042016806729</c:v>
                </c:pt>
                <c:pt idx="43">
                  <c:v>0.45605042016806729</c:v>
                </c:pt>
                <c:pt idx="44">
                  <c:v>0.45605042016806729</c:v>
                </c:pt>
                <c:pt idx="45">
                  <c:v>0.45605042016806729</c:v>
                </c:pt>
                <c:pt idx="46">
                  <c:v>0.45605042016806729</c:v>
                </c:pt>
                <c:pt idx="47">
                  <c:v>0.45605042016806729</c:v>
                </c:pt>
                <c:pt idx="48">
                  <c:v>0.45605042016806729</c:v>
                </c:pt>
                <c:pt idx="49">
                  <c:v>0.45605042016806729</c:v>
                </c:pt>
                <c:pt idx="50">
                  <c:v>0.45605042016806729</c:v>
                </c:pt>
                <c:pt idx="51">
                  <c:v>0.45605042016806729</c:v>
                </c:pt>
                <c:pt idx="52">
                  <c:v>0.45605042016806729</c:v>
                </c:pt>
                <c:pt idx="53">
                  <c:v>0.45605042016806729</c:v>
                </c:pt>
                <c:pt idx="54">
                  <c:v>0.45605042016806729</c:v>
                </c:pt>
                <c:pt idx="55">
                  <c:v>0.45605042016806729</c:v>
                </c:pt>
                <c:pt idx="56">
                  <c:v>0.45605042016806729</c:v>
                </c:pt>
                <c:pt idx="57">
                  <c:v>0.45605042016806729</c:v>
                </c:pt>
                <c:pt idx="58">
                  <c:v>0.45605042016806729</c:v>
                </c:pt>
                <c:pt idx="59">
                  <c:v>0.45605042016806729</c:v>
                </c:pt>
                <c:pt idx="60">
                  <c:v>0.45605042016806729</c:v>
                </c:pt>
                <c:pt idx="61">
                  <c:v>0.45605042016806729</c:v>
                </c:pt>
                <c:pt idx="62">
                  <c:v>0.45605042016806729</c:v>
                </c:pt>
                <c:pt idx="63">
                  <c:v>0.45605042016806729</c:v>
                </c:pt>
                <c:pt idx="64">
                  <c:v>0.45605042016806729</c:v>
                </c:pt>
                <c:pt idx="65">
                  <c:v>0.45605042016806729</c:v>
                </c:pt>
                <c:pt idx="66">
                  <c:v>0.45605042016806729</c:v>
                </c:pt>
                <c:pt idx="67">
                  <c:v>0.45605042016806729</c:v>
                </c:pt>
                <c:pt idx="68">
                  <c:v>0.45605042016806729</c:v>
                </c:pt>
                <c:pt idx="69">
                  <c:v>0.45605042016806729</c:v>
                </c:pt>
                <c:pt idx="70">
                  <c:v>0.45605042016806729</c:v>
                </c:pt>
                <c:pt idx="71">
                  <c:v>0.45605042016806729</c:v>
                </c:pt>
                <c:pt idx="72">
                  <c:v>0.45605042016806729</c:v>
                </c:pt>
                <c:pt idx="73">
                  <c:v>0.45605042016806729</c:v>
                </c:pt>
                <c:pt idx="74">
                  <c:v>0.45605042016806729</c:v>
                </c:pt>
                <c:pt idx="75">
                  <c:v>0.45605042016806729</c:v>
                </c:pt>
                <c:pt idx="76">
                  <c:v>0.45605042016806729</c:v>
                </c:pt>
                <c:pt idx="77">
                  <c:v>0.45605042016806729</c:v>
                </c:pt>
                <c:pt idx="78">
                  <c:v>0.45605042016806729</c:v>
                </c:pt>
                <c:pt idx="79">
                  <c:v>0.45605042016806729</c:v>
                </c:pt>
                <c:pt idx="80">
                  <c:v>0.45605042016806729</c:v>
                </c:pt>
                <c:pt idx="81">
                  <c:v>0.45605042016806729</c:v>
                </c:pt>
                <c:pt idx="82">
                  <c:v>0.45605042016806729</c:v>
                </c:pt>
                <c:pt idx="83">
                  <c:v>0.45605042016806729</c:v>
                </c:pt>
                <c:pt idx="84">
                  <c:v>0.45605042016806729</c:v>
                </c:pt>
                <c:pt idx="85">
                  <c:v>0.45605042016806729</c:v>
                </c:pt>
                <c:pt idx="86">
                  <c:v>0.45605042016806729</c:v>
                </c:pt>
                <c:pt idx="87">
                  <c:v>0.45605042016806729</c:v>
                </c:pt>
                <c:pt idx="88">
                  <c:v>0.45605042016806729</c:v>
                </c:pt>
                <c:pt idx="89">
                  <c:v>0.45605042016806729</c:v>
                </c:pt>
                <c:pt idx="90">
                  <c:v>0.45605042016806729</c:v>
                </c:pt>
                <c:pt idx="91">
                  <c:v>0.45605042016806729</c:v>
                </c:pt>
                <c:pt idx="92">
                  <c:v>0.45605042016806729</c:v>
                </c:pt>
                <c:pt idx="93">
                  <c:v>0.45605042016806729</c:v>
                </c:pt>
                <c:pt idx="94">
                  <c:v>0.45605042016806729</c:v>
                </c:pt>
                <c:pt idx="95">
                  <c:v>0.45605042016806729</c:v>
                </c:pt>
                <c:pt idx="96">
                  <c:v>0.45605042016806729</c:v>
                </c:pt>
                <c:pt idx="97">
                  <c:v>0.45605042016806729</c:v>
                </c:pt>
                <c:pt idx="98">
                  <c:v>0.45605042016806729</c:v>
                </c:pt>
                <c:pt idx="99">
                  <c:v>0.45605042016806729</c:v>
                </c:pt>
                <c:pt idx="100">
                  <c:v>0.45605042016806729</c:v>
                </c:pt>
              </c:numCache>
            </c:numRef>
          </c:val>
          <c:smooth val="0"/>
          <c:extLst>
            <c:ext xmlns:c16="http://schemas.microsoft.com/office/drawing/2014/chart" uri="{C3380CC4-5D6E-409C-BE32-E72D297353CC}">
              <c16:uniqueId val="{00000001-52A5-4349-9ADA-2A074F0D0C46}"/>
            </c:ext>
          </c:extLst>
        </c:ser>
        <c:ser>
          <c:idx val="11"/>
          <c:order val="3"/>
          <c:tx>
            <c:strRef>
              <c:f>'Efficiency vs Load Calculations'!$X$8</c:f>
              <c:strCache>
                <c:ptCount val="1"/>
                <c:pt idx="0">
                  <c:v>DCR    Loss</c:v>
                </c:pt>
              </c:strCache>
            </c:strRef>
          </c:tx>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Calculations'!$X$9:$X$109</c:f>
              <c:numCache>
                <c:formatCode>0.000</c:formatCode>
                <c:ptCount val="101"/>
                <c:pt idx="0">
                  <c:v>2.9941506493318692E-3</c:v>
                </c:pt>
                <c:pt idx="1">
                  <c:v>3.0782367839967588E-3</c:v>
                </c:pt>
                <c:pt idx="2">
                  <c:v>3.3294508421591322E-3</c:v>
                </c:pt>
                <c:pt idx="3">
                  <c:v>3.7478129721364643E-3</c:v>
                </c:pt>
                <c:pt idx="4">
                  <c:v>4.3333567308514315E-3</c:v>
                </c:pt>
                <c:pt idx="5">
                  <c:v>5.0861290905615097E-3</c:v>
                </c:pt>
                <c:pt idx="6">
                  <c:v>6.0061904482805826E-3</c:v>
                </c:pt>
                <c:pt idx="7">
                  <c:v>7.0936146378960596E-3</c:v>
                </c:pt>
                <c:pt idx="8">
                  <c:v>8.3484889449860246E-3</c:v>
                </c:pt>
                <c:pt idx="9">
                  <c:v>9.7709141243420873E-3</c:v>
                </c:pt>
                <c:pt idx="10">
                  <c:v>1.136100442020424E-2</c:v>
                </c:pt>
                <c:pt idx="11">
                  <c:v>1.311888758921571E-2</c:v>
                </c:pt>
                <c:pt idx="12">
                  <c:v>1.5044704926105974E-2</c:v>
                </c:pt>
                <c:pt idx="13">
                  <c:v>1.7138611292112017E-2</c:v>
                </c:pt>
                <c:pt idx="14">
                  <c:v>1.9400775146148037E-2</c:v>
                </c:pt>
                <c:pt idx="15">
                  <c:v>2.183137857873595E-2</c:v>
                </c:pt>
                <c:pt idx="16">
                  <c:v>2.443061734870873E-2</c:v>
                </c:pt>
                <c:pt idx="17">
                  <c:v>2.7198700922701043E-2</c:v>
                </c:pt>
                <c:pt idx="18">
                  <c:v>3.013585251744173E-2</c:v>
                </c:pt>
                <c:pt idx="19">
                  <c:v>3.3242309144864306E-2</c:v>
                </c:pt>
                <c:pt idx="20">
                  <c:v>3.6518321660052269E-2</c:v>
                </c:pt>
                <c:pt idx="21">
                  <c:v>3.9964154812037682E-2</c:v>
                </c:pt>
                <c:pt idx="22">
                  <c:v>4.3580087297472113E-2</c:v>
                </c:pt>
                <c:pt idx="23">
                  <c:v>4.7366411817190278E-2</c:v>
                </c:pt>
                <c:pt idx="24">
                  <c:v>5.1323435135688163E-2</c:v>
                </c:pt>
                <c:pt idx="25">
                  <c:v>5.5451478143537805E-2</c:v>
                </c:pt>
                <c:pt idx="26">
                  <c:v>5.9750875922763028E-2</c:v>
                </c:pt>
                <c:pt idx="27">
                  <c:v>6.4221977815200768E-2</c:v>
                </c:pt>
                <c:pt idx="28">
                  <c:v>6.8865147493874526E-2</c:v>
                </c:pt>
                <c:pt idx="29">
                  <c:v>7.3680763037406838E-2</c:v>
                </c:pt>
                <c:pt idx="30">
                  <c:v>7.8669217007499612E-2</c:v>
                </c:pt>
                <c:pt idx="31">
                  <c:v>8.3830916529512522E-2</c:v>
                </c:pt>
                <c:pt idx="32">
                  <c:v>8.9166283376169733E-2</c:v>
                </c:pt>
                <c:pt idx="33">
                  <c:v>9.4675754054428074E-2</c:v>
                </c:pt>
                <c:pt idx="34">
                  <c:v>0.10035977989554017</c:v>
                </c:pt>
                <c:pt idx="35">
                  <c:v>0.10621882714834678</c:v>
                </c:pt>
                <c:pt idx="36">
                  <c:v>0.11225337707583623</c:v>
                </c:pt>
                <c:pt idx="37">
                  <c:v>0.11846392605500669</c:v>
                </c:pt>
                <c:pt idx="38">
                  <c:v>0.12485098568007195</c:v>
                </c:pt>
                <c:pt idx="39">
                  <c:v>0.13141508286905063</c:v>
                </c:pt>
                <c:pt idx="40">
                  <c:v>0.13815675997378019</c:v>
                </c:pt>
                <c:pt idx="41">
                  <c:v>0.14507657489339998</c:v>
                </c:pt>
                <c:pt idx="42">
                  <c:v>0.15217510119134814</c:v>
                </c:pt>
                <c:pt idx="43">
                  <c:v>0.15945292821591783</c:v>
                </c:pt>
                <c:pt idx="44">
                  <c:v>0.1669106612244218</c:v>
                </c:pt>
                <c:pt idx="45">
                  <c:v>0.17454892151101442</c:v>
                </c:pt>
                <c:pt idx="46">
                  <c:v>0.18236834653822218</c:v>
                </c:pt>
                <c:pt idx="47">
                  <c:v>0.19036959007223561</c:v>
                </c:pt>
                <c:pt idx="48">
                  <c:v>0.19855332232201742</c:v>
                </c:pt>
                <c:pt idx="49">
                  <c:v>0.20692023008228172</c:v>
                </c:pt>
                <c:pt idx="50">
                  <c:v>0.2154710168804046</c:v>
                </c:pt>
                <c:pt idx="51">
                  <c:v>0.22420640312732368</c:v>
                </c:pt>
                <c:pt idx="52">
                  <c:v>0.23312712627248897</c:v>
                </c:pt>
                <c:pt idx="53">
                  <c:v>0.24223394096292897</c:v>
                </c:pt>
                <c:pt idx="54">
                  <c:v>0.25152761920649608</c:v>
                </c:pt>
                <c:pt idx="55">
                  <c:v>0.26100895053936096</c:v>
                </c:pt>
                <c:pt idx="56">
                  <c:v>0.27067874219782223</c:v>
                </c:pt>
                <c:pt idx="57">
                  <c:v>0.28053781929450478</c:v>
                </c:pt>
                <c:pt idx="58">
                  <c:v>0.29058702499902067</c:v>
                </c:pt>
                <c:pt idx="59">
                  <c:v>0.30082722072316637</c:v>
                </c:pt>
                <c:pt idx="60">
                  <c:v>0.31125928631073441</c:v>
                </c:pt>
                <c:pt idx="61">
                  <c:v>0.32188412023202351</c:v>
                </c:pt>
                <c:pt idx="62">
                  <c:v>0.33270263978312231</c:v>
                </c:pt>
                <c:pt idx="63">
                  <c:v>0.34371578129005842</c:v>
                </c:pt>
                <c:pt idx="64">
                  <c:v>0.35492450031789635</c:v>
                </c:pt>
                <c:pt idx="65">
                  <c:v>0.36632977188487453</c:v>
                </c:pt>
                <c:pt idx="66">
                  <c:v>0.37793259068167395</c:v>
                </c:pt>
                <c:pt idx="67">
                  <c:v>0.38973397129591442</c:v>
                </c:pt>
                <c:pt idx="68">
                  <c:v>0.40173494844197394</c:v>
                </c:pt>
                <c:pt idx="69">
                  <c:v>0.41393657719623245</c:v>
                </c:pt>
                <c:pt idx="70">
                  <c:v>0.42633993323784386</c:v>
                </c:pt>
                <c:pt idx="71">
                  <c:v>0.43894611309514137</c:v>
                </c:pt>
                <c:pt idx="72">
                  <c:v>0.45175623439778584</c:v>
                </c:pt>
                <c:pt idx="73">
                  <c:v>0.46477143613476907</c:v>
                </c:pt>
                <c:pt idx="74">
                  <c:v>0.47799287891838638</c:v>
                </c:pt>
                <c:pt idx="75">
                  <c:v>0.49142174525429866</c:v>
                </c:pt>
                <c:pt idx="76">
                  <c:v>0.50505923981780443</c:v>
                </c:pt>
                <c:pt idx="77">
                  <c:v>0.5189065897364491</c:v>
                </c:pt>
                <c:pt idx="78">
                  <c:v>0.53296504487909457</c:v>
                </c:pt>
                <c:pt idx="79">
                  <c:v>0.54723587815159069</c:v>
                </c:pt>
                <c:pt idx="80">
                  <c:v>0.56172038579917516</c:v>
                </c:pt>
                <c:pt idx="81">
                  <c:v>0.57641988771575026</c:v>
                </c:pt>
                <c:pt idx="82">
                  <c:v>0.59133572776016996</c:v>
                </c:pt>
                <c:pt idx="83">
                  <c:v>0.60646927407969753</c:v>
                </c:pt>
                <c:pt idx="84">
                  <c:v>0.62182191944077436</c:v>
                </c:pt>
                <c:pt idx="85">
                  <c:v>0.63739508156726532</c:v>
                </c:pt>
                <c:pt idx="86">
                  <c:v>0.65319020348633183</c:v>
                </c:pt>
                <c:pt idx="87">
                  <c:v>0.6692087538821061</c:v>
                </c:pt>
                <c:pt idx="88">
                  <c:v>0.6854522274573337</c:v>
                </c:pt>
                <c:pt idx="89">
                  <c:v>0.70192214530315411</c:v>
                </c:pt>
                <c:pt idx="90">
                  <c:v>0.71862005527720796</c:v>
                </c:pt>
                <c:pt idx="91">
                  <c:v>0.7355475323902454</c:v>
                </c:pt>
                <c:pt idx="92">
                  <c:v>0.75270617920143268</c:v>
                </c:pt>
                <c:pt idx="93">
                  <c:v>0.77009762622254996</c:v>
                </c:pt>
                <c:pt idx="94">
                  <c:v>0.78772353233127712</c:v>
                </c:pt>
                <c:pt idx="95">
                  <c:v>0.80558558519378154</c:v>
                </c:pt>
                <c:pt idx="96">
                  <c:v>0.82368550169681176</c:v>
                </c:pt>
                <c:pt idx="97">
                  <c:v>0.84202502838952109</c:v>
                </c:pt>
                <c:pt idx="98">
                  <c:v>0.86060594193524165</c:v>
                </c:pt>
                <c:pt idx="99">
                  <c:v>0.87943004957344606</c:v>
                </c:pt>
                <c:pt idx="100">
                  <c:v>0.89849918959212216</c:v>
                </c:pt>
              </c:numCache>
            </c:numRef>
          </c:val>
          <c:smooth val="0"/>
          <c:extLst>
            <c:ext xmlns:c16="http://schemas.microsoft.com/office/drawing/2014/chart" uri="{C3380CC4-5D6E-409C-BE32-E72D297353CC}">
              <c16:uniqueId val="{00000002-52A5-4349-9ADA-2A074F0D0C46}"/>
            </c:ext>
          </c:extLst>
        </c:ser>
        <c:dLbls>
          <c:showLegendKey val="0"/>
          <c:showVal val="0"/>
          <c:showCatName val="0"/>
          <c:showSerName val="0"/>
          <c:showPercent val="0"/>
          <c:showBubbleSize val="0"/>
        </c:dLbls>
        <c:marker val="1"/>
        <c:smooth val="0"/>
        <c:axId val="196371584"/>
        <c:axId val="196361216"/>
        <c:extLst>
          <c:ext xmlns:c15="http://schemas.microsoft.com/office/drawing/2012/chart" uri="{02D57815-91ED-43cb-92C2-25804820EDAC}">
            <c15:filteredLineSeries>
              <c15:ser>
                <c:idx val="10"/>
                <c:order val="4"/>
                <c:tx>
                  <c:strRef>
                    <c:extLst>
                      <c:ext uri="{02D57815-91ED-43cb-92C2-25804820EDAC}">
                        <c15:formulaRef>
                          <c15:sqref>'Efficiency vs Load Calculations'!$BB$8</c15:sqref>
                        </c15:formulaRef>
                      </c:ext>
                    </c:extLst>
                    <c:strCache>
                      <c:ptCount val="1"/>
                      <c:pt idx="0">
                        <c:v>Reverse Recovery Loss MOSFET D BOOST</c:v>
                      </c:pt>
                    </c:strCache>
                  </c:strRef>
                </c:tx>
                <c:marker>
                  <c:symbol val="none"/>
                </c:marker>
                <c:cat>
                  <c:numRef>
                    <c:extLst>
                      <c:ex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c:ext uri="{02D57815-91ED-43cb-92C2-25804820EDAC}">
                        <c15:formulaRef>
                          <c15:sqref>'Efficiency vs Load Calculations'!$BB$9:$BB$109</c15:sqref>
                        </c15:formulaRef>
                      </c:ext>
                    </c:extLst>
                    <c:numCache>
                      <c:formatCode>0.000</c:formatCode>
                      <c:ptCount val="101"/>
                      <c:pt idx="0">
                        <c:v>0</c:v>
                      </c:pt>
                      <c:pt idx="1">
                        <c:v>2.3999395200000003E-3</c:v>
                      </c:pt>
                      <c:pt idx="2">
                        <c:v>4.79975808E-3</c:v>
                      </c:pt>
                      <c:pt idx="3">
                        <c:v>7.1994556799999995E-3</c:v>
                      </c:pt>
                      <c:pt idx="4">
                        <c:v>9.5990323199999991E-3</c:v>
                      </c:pt>
                      <c:pt idx="5">
                        <c:v>1.1998488000000002E-2</c:v>
                      </c:pt>
                      <c:pt idx="6">
                        <c:v>1.4397822720000002E-2</c:v>
                      </c:pt>
                      <c:pt idx="7">
                        <c:v>1.6797036479999999E-2</c:v>
                      </c:pt>
                      <c:pt idx="8">
                        <c:v>1.9196129280000002E-2</c:v>
                      </c:pt>
                      <c:pt idx="9">
                        <c:v>2.1595101119999998E-2</c:v>
                      </c:pt>
                      <c:pt idx="10">
                        <c:v>2.3993952000000002E-2</c:v>
                      </c:pt>
                      <c:pt idx="11">
                        <c:v>2.6392681920000004E-2</c:v>
                      </c:pt>
                      <c:pt idx="12">
                        <c:v>2.8791290880000001E-2</c:v>
                      </c:pt>
                      <c:pt idx="13">
                        <c:v>3.1189778880000001E-2</c:v>
                      </c:pt>
                      <c:pt idx="14">
                        <c:v>3.358814592E-2</c:v>
                      </c:pt>
                      <c:pt idx="15">
                        <c:v>3.5986391999999999E-2</c:v>
                      </c:pt>
                      <c:pt idx="16">
                        <c:v>3.8384517119999996E-2</c:v>
                      </c:pt>
                      <c:pt idx="17">
                        <c:v>4.0782521280000004E-2</c:v>
                      </c:pt>
                      <c:pt idx="18">
                        <c:v>4.3180404480000004E-2</c:v>
                      </c:pt>
                      <c:pt idx="19">
                        <c:v>4.557816672E-2</c:v>
                      </c:pt>
                      <c:pt idx="20">
                        <c:v>4.7975808000000009E-2</c:v>
                      </c:pt>
                      <c:pt idx="21">
                        <c:v>5.0373328320000001E-2</c:v>
                      </c:pt>
                      <c:pt idx="22">
                        <c:v>5.2770727680000004E-2</c:v>
                      </c:pt>
                      <c:pt idx="23">
                        <c:v>5.5168006079999998E-2</c:v>
                      </c:pt>
                      <c:pt idx="24">
                        <c:v>5.7565163520000004E-2</c:v>
                      </c:pt>
                      <c:pt idx="25">
                        <c:v>5.9962200000000014E-2</c:v>
                      </c:pt>
                      <c:pt idx="26">
                        <c:v>6.2359115520000001E-2</c:v>
                      </c:pt>
                      <c:pt idx="27">
                        <c:v>6.4755910080000006E-2</c:v>
                      </c:pt>
                      <c:pt idx="28">
                        <c:v>6.7152583679999989E-2</c:v>
                      </c:pt>
                      <c:pt idx="29">
                        <c:v>6.9549136319999996E-2</c:v>
                      </c:pt>
                      <c:pt idx="30">
                        <c:v>7.1945568000000001E-2</c:v>
                      </c:pt>
                      <c:pt idx="31">
                        <c:v>7.4341878720000004E-2</c:v>
                      </c:pt>
                      <c:pt idx="32">
                        <c:v>7.6738068480000005E-2</c:v>
                      </c:pt>
                      <c:pt idx="33">
                        <c:v>7.9134137279999989E-2</c:v>
                      </c:pt>
                      <c:pt idx="34">
                        <c:v>8.1530085119999998E-2</c:v>
                      </c:pt>
                      <c:pt idx="35">
                        <c:v>8.3925912000000005E-2</c:v>
                      </c:pt>
                      <c:pt idx="36">
                        <c:v>8.632161792000001E-2</c:v>
                      </c:pt>
                      <c:pt idx="37">
                        <c:v>8.8717202880000012E-2</c:v>
                      </c:pt>
                      <c:pt idx="38">
                        <c:v>9.1112666879999998E-2</c:v>
                      </c:pt>
                      <c:pt idx="39">
                        <c:v>9.3508009919999982E-2</c:v>
                      </c:pt>
                      <c:pt idx="40">
                        <c:v>9.5903232000000005E-2</c:v>
                      </c:pt>
                      <c:pt idx="41">
                        <c:v>9.8298333119999984E-2</c:v>
                      </c:pt>
                      <c:pt idx="42">
                        <c:v>0.10069331328</c:v>
                      </c:pt>
                      <c:pt idx="43">
                        <c:v>0.10308817248000002</c:v>
                      </c:pt>
                      <c:pt idx="44">
                        <c:v>0.10548291072</c:v>
                      </c:pt>
                      <c:pt idx="45">
                        <c:v>0.107877528</c:v>
                      </c:pt>
                      <c:pt idx="46">
                        <c:v>0.11027202431999999</c:v>
                      </c:pt>
                      <c:pt idx="47">
                        <c:v>0.11266639968</c:v>
                      </c:pt>
                      <c:pt idx="48">
                        <c:v>0.11506065408</c:v>
                      </c:pt>
                      <c:pt idx="49">
                        <c:v>0.11745478752000001</c:v>
                      </c:pt>
                      <c:pt idx="50">
                        <c:v>0.11984880000000001</c:v>
                      </c:pt>
                      <c:pt idx="51">
                        <c:v>0.12224269152</c:v>
                      </c:pt>
                      <c:pt idx="52">
                        <c:v>0.12463646208</c:v>
                      </c:pt>
                      <c:pt idx="53">
                        <c:v>0.12703011168</c:v>
                      </c:pt>
                      <c:pt idx="54">
                        <c:v>0.12942364032000003</c:v>
                      </c:pt>
                      <c:pt idx="55">
                        <c:v>0.13181704800000002</c:v>
                      </c:pt>
                      <c:pt idx="56">
                        <c:v>0.13421033471999999</c:v>
                      </c:pt>
                      <c:pt idx="57">
                        <c:v>0.13660350048</c:v>
                      </c:pt>
                      <c:pt idx="58">
                        <c:v>0.13899654527999999</c:v>
                      </c:pt>
                      <c:pt idx="59">
                        <c:v>0.14138946912</c:v>
                      </c:pt>
                      <c:pt idx="60">
                        <c:v>0.14378227200000002</c:v>
                      </c:pt>
                      <c:pt idx="61">
                        <c:v>0.14617495392000002</c:v>
                      </c:pt>
                      <c:pt idx="62">
                        <c:v>0.14856751488</c:v>
                      </c:pt>
                      <c:pt idx="63">
                        <c:v>0.15095995488</c:v>
                      </c:pt>
                      <c:pt idx="64">
                        <c:v>0.15335227392</c:v>
                      </c:pt>
                      <c:pt idx="65">
                        <c:v>0.15574447199999999</c:v>
                      </c:pt>
                      <c:pt idx="66">
                        <c:v>0.15813654912</c:v>
                      </c:pt>
                      <c:pt idx="67">
                        <c:v>0.16052850528000001</c:v>
                      </c:pt>
                      <c:pt idx="68">
                        <c:v>0.16292034048000001</c:v>
                      </c:pt>
                      <c:pt idx="69">
                        <c:v>0.16531205471999999</c:v>
                      </c:pt>
                      <c:pt idx="70">
                        <c:v>0.16770364800000001</c:v>
                      </c:pt>
                      <c:pt idx="71">
                        <c:v>0.17009512031999999</c:v>
                      </c:pt>
                      <c:pt idx="72">
                        <c:v>0.17248647168</c:v>
                      </c:pt>
                      <c:pt idx="73">
                        <c:v>0.17487770208000003</c:v>
                      </c:pt>
                      <c:pt idx="74">
                        <c:v>0.17726881152000001</c:v>
                      </c:pt>
                      <c:pt idx="75">
                        <c:v>0.17965979999999998</c:v>
                      </c:pt>
                      <c:pt idx="76">
                        <c:v>0.18205066751999999</c:v>
                      </c:pt>
                      <c:pt idx="77">
                        <c:v>0.18444141408000003</c:v>
                      </c:pt>
                      <c:pt idx="78">
                        <c:v>0.18683203967999998</c:v>
                      </c:pt>
                      <c:pt idx="79">
                        <c:v>0.18922254431999999</c:v>
                      </c:pt>
                      <c:pt idx="80">
                        <c:v>0.19161292800000002</c:v>
                      </c:pt>
                      <c:pt idx="81">
                        <c:v>0.19400319072000002</c:v>
                      </c:pt>
                      <c:pt idx="82">
                        <c:v>0.19639333247999996</c:v>
                      </c:pt>
                      <c:pt idx="83">
                        <c:v>0.19878335328000002</c:v>
                      </c:pt>
                      <c:pt idx="84">
                        <c:v>0.20117325312000003</c:v>
                      </c:pt>
                      <c:pt idx="85">
                        <c:v>0.203563032</c:v>
                      </c:pt>
                      <c:pt idx="86">
                        <c:v>0.20595268992000001</c:v>
                      </c:pt>
                      <c:pt idx="87">
                        <c:v>0.20834222687999998</c:v>
                      </c:pt>
                      <c:pt idx="88">
                        <c:v>0.21073164288000004</c:v>
                      </c:pt>
                      <c:pt idx="89">
                        <c:v>0.21312093792</c:v>
                      </c:pt>
                      <c:pt idx="90">
                        <c:v>0.21551011200000003</c:v>
                      </c:pt>
                      <c:pt idx="91">
                        <c:v>0.21789916511999999</c:v>
                      </c:pt>
                      <c:pt idx="92">
                        <c:v>0.22028809727999998</c:v>
                      </c:pt>
                      <c:pt idx="93">
                        <c:v>0.22267690848000002</c:v>
                      </c:pt>
                      <c:pt idx="94">
                        <c:v>0.22506559872000001</c:v>
                      </c:pt>
                      <c:pt idx="95">
                        <c:v>0.22745416800000001</c:v>
                      </c:pt>
                      <c:pt idx="96">
                        <c:v>0.22984261632000003</c:v>
                      </c:pt>
                      <c:pt idx="97">
                        <c:v>0.23223094368</c:v>
                      </c:pt>
                      <c:pt idx="98">
                        <c:v>0.23461915007999998</c:v>
                      </c:pt>
                      <c:pt idx="99">
                        <c:v>0.23700723552000003</c:v>
                      </c:pt>
                      <c:pt idx="100">
                        <c:v>0.23939520000000003</c:v>
                      </c:pt>
                    </c:numCache>
                  </c:numRef>
                </c:val>
                <c:smooth val="0"/>
                <c:extLst>
                  <c:ext xmlns:c16="http://schemas.microsoft.com/office/drawing/2014/chart" uri="{C3380CC4-5D6E-409C-BE32-E72D297353CC}">
                    <c16:uniqueId val="{00000004-52A5-4349-9ADA-2A074F0D0C46}"/>
                  </c:ext>
                </c:extLst>
              </c15:ser>
            </c15:filteredLineSeries>
            <c15:filteredLineSeries>
              <c15:ser>
                <c:idx val="9"/>
                <c:order val="5"/>
                <c:tx>
                  <c:strRef>
                    <c:extLst xmlns:c15="http://schemas.microsoft.com/office/drawing/2012/chart">
                      <c:ext xmlns:c15="http://schemas.microsoft.com/office/drawing/2012/chart" uri="{02D57815-91ED-43cb-92C2-25804820EDAC}">
                        <c15:formulaRef>
                          <c15:sqref>'Efficiency vs Load Calculations'!$AU$7</c15:sqref>
                        </c15:formulaRef>
                      </c:ext>
                    </c:extLst>
                    <c:strCache>
                      <c:ptCount val="1"/>
                      <c:pt idx="0">
                        <c:v>High-side BOOST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Calculations'!$AX$9:$AX$109</c15:sqref>
                        </c15:formulaRef>
                      </c:ext>
                    </c:extLst>
                    <c:numCache>
                      <c:formatCode>0.000</c:formatCode>
                      <c:ptCount val="101"/>
                      <c:pt idx="0">
                        <c:v>2.1687871183774165E-3</c:v>
                      </c:pt>
                      <c:pt idx="1">
                        <c:v>2.2297117725412732E-3</c:v>
                      </c:pt>
                      <c:pt idx="2">
                        <c:v>2.4117347797190289E-3</c:v>
                      </c:pt>
                      <c:pt idx="3">
                        <c:v>2.7148878662415559E-3</c:v>
                      </c:pt>
                      <c:pt idx="4">
                        <c:v>3.1392238804529367E-3</c:v>
                      </c:pt>
                      <c:pt idx="5">
                        <c:v>3.6848168157472979E-3</c:v>
                      </c:pt>
                      <c:pt idx="6">
                        <c:v>4.3517618428350804E-3</c:v>
                      </c:pt>
                      <c:pt idx="7">
                        <c:v>5.1401753512649948E-3</c:v>
                      </c:pt>
                      <c:pt idx="8">
                        <c:v>6.0501950002354874E-3</c:v>
                      </c:pt>
                      <c:pt idx="9">
                        <c:v>7.0819797787372218E-3</c:v>
                      </c:pt>
                      <c:pt idx="10">
                        <c:v>8.2357100750755103E-3</c:v>
                      </c:pt>
                      <c:pt idx="11">
                        <c:v>9.5115877558297653E-3</c:v>
                      </c:pt>
                      <c:pt idx="12">
                        <c:v>1.0909836254314263E-2</c:v>
                      </c:pt>
                      <c:pt idx="13">
                        <c:v>1.2430700668613062E-2</c:v>
                      </c:pt>
                      <c:pt idx="14">
                        <c:v>1.4074447869269155E-2</c:v>
                      </c:pt>
                      <c:pt idx="15">
                        <c:v>1.5841366616716875E-2</c:v>
                      </c:pt>
                      <c:pt idx="16">
                        <c:v>1.7731767688553828E-2</c:v>
                      </c:pt>
                      <c:pt idx="17">
                        <c:v>1.9745984016757784E-2</c:v>
                      </c:pt>
                      <c:pt idx="18">
                        <c:v>2.1884370834961975E-2</c:v>
                      </c:pt>
                      <c:pt idx="19">
                        <c:v>2.4147305835910959E-2</c:v>
                      </c:pt>
                      <c:pt idx="20">
                        <c:v>2.6535189339227955E-2</c:v>
                      </c:pt>
                      <c:pt idx="21">
                        <c:v>2.9048444469633731E-2</c:v>
                      </c:pt>
                      <c:pt idx="22">
                        <c:v>3.168751734576597E-2</c:v>
                      </c:pt>
                      <c:pt idx="23">
                        <c:v>3.4452877279757613E-2</c:v>
                      </c:pt>
                      <c:pt idx="24">
                        <c:v>3.7345016987742174E-2</c:v>
                      </c:pt>
                      <c:pt idx="25">
                        <c:v>4.0364452811463732E-2</c:v>
                      </c:pt>
                      <c:pt idx="26">
                        <c:v>4.3511724951179512E-2</c:v>
                      </c:pt>
                      <c:pt idx="27">
                        <c:v>4.6787397710053094E-2</c:v>
                      </c:pt>
                      <c:pt idx="28">
                        <c:v>5.0192059750247237E-2</c:v>
                      </c:pt>
                      <c:pt idx="29">
                        <c:v>5.3726324360935183E-2</c:v>
                      </c:pt>
                      <c:pt idx="30">
                        <c:v>5.7390829738461956E-2</c:v>
                      </c:pt>
                      <c:pt idx="31">
                        <c:v>6.1186239278897492E-2</c:v>
                      </c:pt>
                      <c:pt idx="32">
                        <c:v>6.5113241883235348E-2</c:v>
                      </c:pt>
                      <c:pt idx="33">
                        <c:v>6.9172552275503896E-2</c:v>
                      </c:pt>
                      <c:pt idx="34">
                        <c:v>7.3364911334068306E-2</c:v>
                      </c:pt>
                      <c:pt idx="35">
                        <c:v>7.76910864364148E-2</c:v>
                      </c:pt>
                      <c:pt idx="36">
                        <c:v>8.2151871817723585E-2</c:v>
                      </c:pt>
                      <c:pt idx="37">
                        <c:v>8.6748088943547574E-2</c:v>
                      </c:pt>
                      <c:pt idx="38">
                        <c:v>9.1480586896931837E-2</c:v>
                      </c:pt>
                      <c:pt idx="39">
                        <c:v>9.6350242780321074E-2</c:v>
                      </c:pt>
                      <c:pt idx="40">
                        <c:v>0.10135796213261818</c:v>
                      </c:pt>
                      <c:pt idx="41">
                        <c:v>0.10650467936177374</c:v>
                      </c:pt>
                      <c:pt idx="42">
                        <c:v>0.11179135819330194</c:v>
                      </c:pt>
                      <c:pt idx="43">
                        <c:v>0.11721899213513456</c:v>
                      </c:pt>
                      <c:pt idx="44">
                        <c:v>0.12278860495924464</c:v>
                      </c:pt>
                      <c:pt idx="45">
                        <c:v>0.12850125120048708</c:v>
                      </c:pt>
                      <c:pt idx="46">
                        <c:v>0.13435801667312453</c:v>
                      </c:pt>
                      <c:pt idx="47">
                        <c:v>0.14036001900552469</c:v>
                      </c:pt>
                      <c:pt idx="48">
                        <c:v>0.14650840819353778</c:v>
                      </c:pt>
                      <c:pt idx="49">
                        <c:v>0.15280436717308143</c:v>
                      </c:pt>
                      <c:pt idx="50">
                        <c:v>0.15924911241248585</c:v>
                      </c:pt>
                      <c:pt idx="51">
                        <c:v>0.16584389452517082</c:v>
                      </c:pt>
                      <c:pt idx="52">
                        <c:v>0.17258999890325449</c:v>
                      </c:pt>
                      <c:pt idx="53">
                        <c:v>0.17948874637271461</c:v>
                      </c:pt>
                      <c:pt idx="54">
                        <c:v>0.18654149387075136</c:v>
                      </c:pt>
                      <c:pt idx="55">
                        <c:v>0.19374963514602794</c:v>
                      </c:pt>
                      <c:pt idx="56">
                        <c:v>0.20111460148249061</c:v>
                      </c:pt>
                      <c:pt idx="57">
                        <c:v>0.20863786244750165</c:v>
                      </c:pt>
                      <c:pt idx="58">
                        <c:v>0.21632092666504907</c:v>
                      </c:pt>
                      <c:pt idx="59">
                        <c:v>0.22416534261482626</c:v>
                      </c:pt>
                      <c:pt idx="60">
                        <c:v>0.2321726994580095</c:v>
                      </c:pt>
                      <c:pt idx="61">
                        <c:v>0.2403446278905991</c:v>
                      </c:pt>
                      <c:pt idx="62">
                        <c:v>0.24868280102521703</c:v>
                      </c:pt>
                      <c:pt idx="63">
                        <c:v>0.25718893530230175</c:v>
                      </c:pt>
                      <c:pt idx="64">
                        <c:v>0.2658647914316748</c:v>
                      </c:pt>
                      <c:pt idx="65">
                        <c:v>0.27471217536549319</c:v>
                      </c:pt>
                      <c:pt idx="66">
                        <c:v>0.2837329393036499</c:v>
                      </c:pt>
                      <c:pt idx="67">
                        <c:v>0.29292898273272516</c:v>
                      </c:pt>
                      <c:pt idx="68">
                        <c:v>0.30230225349964024</c:v>
                      </c:pt>
                      <c:pt idx="69">
                        <c:v>0.31185474892121245</c:v>
                      </c:pt>
                      <c:pt idx="70">
                        <c:v>0.32158851693086443</c:v>
                      </c:pt>
                      <c:pt idx="71">
                        <c:v>0.33150565726379128</c:v>
                      </c:pt>
                      <c:pt idx="72">
                        <c:v>0.34160832268194752</c:v>
                      </c:pt>
                      <c:pt idx="73">
                        <c:v>0.35189872024027291</c:v>
                      </c:pt>
                      <c:pt idx="74">
                        <c:v>0.36237911259563782</c:v>
                      </c:pt>
                      <c:pt idx="75">
                        <c:v>0.37305181936005677</c:v>
                      </c:pt>
                      <c:pt idx="76">
                        <c:v>0.38391921849977867</c:v>
                      </c:pt>
                      <c:pt idx="77">
                        <c:v>0.39498374778194434</c:v>
                      </c:pt>
                      <c:pt idx="78">
                        <c:v>0.40624790627056079</c:v>
                      </c:pt>
                      <c:pt idx="79">
                        <c:v>0.4177142558736382</c:v>
                      </c:pt>
                      <c:pt idx="80">
                        <c:v>0.42938542294339865</c:v>
                      </c:pt>
                      <c:pt idx="81">
                        <c:v>0.44126409993156701</c:v>
                      </c:pt>
                      <c:pt idx="82">
                        <c:v>0.45335304710182944</c:v>
                      </c:pt>
                      <c:pt idx="83">
                        <c:v>0.46565509430165608</c:v>
                      </c:pt>
                      <c:pt idx="84">
                        <c:v>0.47817314279576612</c:v>
                      </c:pt>
                      <c:pt idx="85">
                        <c:v>0.49091016716363295</c:v>
                      </c:pt>
                      <c:pt idx="86">
                        <c:v>0.50386921726352385</c:v>
                      </c:pt>
                      <c:pt idx="87">
                        <c:v>0.51705342026569201</c:v>
                      </c:pt>
                      <c:pt idx="88">
                        <c:v>0.53046598275746004</c:v>
                      </c:pt>
                      <c:pt idx="89">
                        <c:v>0.54411019292304885</c:v>
                      </c:pt>
                      <c:pt idx="90">
                        <c:v>0.55798942280116148</c:v>
                      </c:pt>
                      <c:pt idx="91">
                        <c:v>0.57210713062344665</c:v>
                      </c:pt>
                      <c:pt idx="92">
                        <c:v>0.58646686323713737</c:v>
                      </c:pt>
                      <c:pt idx="93">
                        <c:v>0.60107225861530222</c:v>
                      </c:pt>
                      <c:pt idx="94">
                        <c:v>0.61592704845831425</c:v>
                      </c:pt>
                      <c:pt idx="95">
                        <c:v>0.63103506089032269</c:v>
                      </c:pt>
                      <c:pt idx="96">
                        <c:v>0.64640022325467816</c:v>
                      </c:pt>
                      <c:pt idx="97">
                        <c:v>0.6620265650124797</c:v>
                      </c:pt>
                      <c:pt idx="98">
                        <c:v>0.67791822074858654</c:v>
                      </c:pt>
                      <c:pt idx="99">
                        <c:v>0.69407943328967903</c:v>
                      </c:pt>
                      <c:pt idx="100">
                        <c:v>0.71051455693915033</c:v>
                      </c:pt>
                    </c:numCache>
                  </c:numRef>
                </c:val>
                <c:smooth val="0"/>
                <c:extLst xmlns:c15="http://schemas.microsoft.com/office/drawing/2012/chart">
                  <c:ext xmlns:c16="http://schemas.microsoft.com/office/drawing/2014/chart" uri="{C3380CC4-5D6E-409C-BE32-E72D297353CC}">
                    <c16:uniqueId val="{00000005-52A5-4349-9ADA-2A074F0D0C46}"/>
                  </c:ext>
                </c:extLst>
              </c15:ser>
            </c15:filteredLineSeries>
            <c15:filteredLineSeries>
              <c15:ser>
                <c:idx val="8"/>
                <c:order val="6"/>
                <c:tx>
                  <c:strRef>
                    <c:extLst xmlns:c15="http://schemas.microsoft.com/office/drawing/2012/chart">
                      <c:ext xmlns:c15="http://schemas.microsoft.com/office/drawing/2012/chart" uri="{02D57815-91ED-43cb-92C2-25804820EDAC}">
                        <c15:formulaRef>
                          <c15:sqref>'Efficiency vs Load Calculations'!$AP$7</c15:sqref>
                        </c15:formulaRef>
                      </c:ext>
                    </c:extLst>
                    <c:strCache>
                      <c:ptCount val="1"/>
                      <c:pt idx="0">
                        <c:v>Low-side BOOST "Control"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Calculations'!$AT$9:$AT$109</c15:sqref>
                        </c15:formulaRef>
                      </c:ext>
                    </c:extLst>
                    <c:numCache>
                      <c:formatCode>0.000</c:formatCode>
                      <c:ptCount val="101"/>
                      <c:pt idx="0">
                        <c:v>0</c:v>
                      </c:pt>
                      <c:pt idx="1">
                        <c:v>2.2297117725412732E-3</c:v>
                      </c:pt>
                      <c:pt idx="2">
                        <c:v>2.4117347797190289E-3</c:v>
                      </c:pt>
                      <c:pt idx="3">
                        <c:v>2.7148878662415559E-3</c:v>
                      </c:pt>
                      <c:pt idx="4">
                        <c:v>3.1392238804529367E-3</c:v>
                      </c:pt>
                      <c:pt idx="5">
                        <c:v>3.6848168157472979E-3</c:v>
                      </c:pt>
                      <c:pt idx="6">
                        <c:v>4.3517618428350804E-3</c:v>
                      </c:pt>
                      <c:pt idx="7">
                        <c:v>5.1401753512649948E-3</c:v>
                      </c:pt>
                      <c:pt idx="8">
                        <c:v>6.0501950002354874E-3</c:v>
                      </c:pt>
                      <c:pt idx="9">
                        <c:v>7.0819797787372218E-3</c:v>
                      </c:pt>
                      <c:pt idx="10">
                        <c:v>8.2357100750755103E-3</c:v>
                      </c:pt>
                      <c:pt idx="11">
                        <c:v>9.5115877558297653E-3</c:v>
                      </c:pt>
                      <c:pt idx="12">
                        <c:v>1.0909836254314263E-2</c:v>
                      </c:pt>
                      <c:pt idx="13">
                        <c:v>1.2430700668613062E-2</c:v>
                      </c:pt>
                      <c:pt idx="14">
                        <c:v>1.4074447869269155E-2</c:v>
                      </c:pt>
                      <c:pt idx="15">
                        <c:v>1.5841366616716875E-2</c:v>
                      </c:pt>
                      <c:pt idx="16">
                        <c:v>1.7731767688553828E-2</c:v>
                      </c:pt>
                      <c:pt idx="17">
                        <c:v>1.9745984016757784E-2</c:v>
                      </c:pt>
                      <c:pt idx="18">
                        <c:v>2.1884370834961975E-2</c:v>
                      </c:pt>
                      <c:pt idx="19">
                        <c:v>2.4147305835910959E-2</c:v>
                      </c:pt>
                      <c:pt idx="20">
                        <c:v>2.6535189339227955E-2</c:v>
                      </c:pt>
                      <c:pt idx="21">
                        <c:v>2.9048444469633731E-2</c:v>
                      </c:pt>
                      <c:pt idx="22">
                        <c:v>3.168751734576597E-2</c:v>
                      </c:pt>
                      <c:pt idx="23">
                        <c:v>3.4452877279757613E-2</c:v>
                      </c:pt>
                      <c:pt idx="24">
                        <c:v>3.7345016987742174E-2</c:v>
                      </c:pt>
                      <c:pt idx="25">
                        <c:v>4.0364452811463732E-2</c:v>
                      </c:pt>
                      <c:pt idx="26">
                        <c:v>4.3511724951179512E-2</c:v>
                      </c:pt>
                      <c:pt idx="27">
                        <c:v>4.6787397710053094E-2</c:v>
                      </c:pt>
                      <c:pt idx="28">
                        <c:v>5.0192059750247237E-2</c:v>
                      </c:pt>
                      <c:pt idx="29">
                        <c:v>5.3726324360935183E-2</c:v>
                      </c:pt>
                      <c:pt idx="30">
                        <c:v>5.7390829738461956E-2</c:v>
                      </c:pt>
                      <c:pt idx="31">
                        <c:v>6.1186239278897492E-2</c:v>
                      </c:pt>
                      <c:pt idx="32">
                        <c:v>6.5113241883235348E-2</c:v>
                      </c:pt>
                      <c:pt idx="33">
                        <c:v>6.9172552275503896E-2</c:v>
                      </c:pt>
                      <c:pt idx="34">
                        <c:v>7.3364911334068306E-2</c:v>
                      </c:pt>
                      <c:pt idx="35">
                        <c:v>7.76910864364148E-2</c:v>
                      </c:pt>
                      <c:pt idx="36">
                        <c:v>8.2151871817723585E-2</c:v>
                      </c:pt>
                      <c:pt idx="37">
                        <c:v>8.6748088943547574E-2</c:v>
                      </c:pt>
                      <c:pt idx="38">
                        <c:v>9.1480586896931837E-2</c:v>
                      </c:pt>
                      <c:pt idx="39">
                        <c:v>9.6350242780321074E-2</c:v>
                      </c:pt>
                      <c:pt idx="40">
                        <c:v>0.10135796213261818</c:v>
                      </c:pt>
                      <c:pt idx="41">
                        <c:v>0.10650467936177374</c:v>
                      </c:pt>
                      <c:pt idx="42">
                        <c:v>0.11179135819330194</c:v>
                      </c:pt>
                      <c:pt idx="43">
                        <c:v>0.11721899213513456</c:v>
                      </c:pt>
                      <c:pt idx="44">
                        <c:v>0.12278860495924464</c:v>
                      </c:pt>
                      <c:pt idx="45">
                        <c:v>0.12850125120048708</c:v>
                      </c:pt>
                      <c:pt idx="46">
                        <c:v>0.13435801667312453</c:v>
                      </c:pt>
                      <c:pt idx="47">
                        <c:v>0.14036001900552469</c:v>
                      </c:pt>
                      <c:pt idx="48">
                        <c:v>0.14650840819353778</c:v>
                      </c:pt>
                      <c:pt idx="49">
                        <c:v>0.15280436717308143</c:v>
                      </c:pt>
                      <c:pt idx="50">
                        <c:v>0.15924911241248585</c:v>
                      </c:pt>
                      <c:pt idx="51">
                        <c:v>0.16584389452517082</c:v>
                      </c:pt>
                      <c:pt idx="52">
                        <c:v>0.17258999890325449</c:v>
                      </c:pt>
                      <c:pt idx="53">
                        <c:v>0.17948874637271461</c:v>
                      </c:pt>
                      <c:pt idx="54">
                        <c:v>0.18654149387075136</c:v>
                      </c:pt>
                      <c:pt idx="55">
                        <c:v>0.19374963514602794</c:v>
                      </c:pt>
                      <c:pt idx="56">
                        <c:v>0.20111460148249061</c:v>
                      </c:pt>
                      <c:pt idx="57">
                        <c:v>0.20863786244750165</c:v>
                      </c:pt>
                      <c:pt idx="58">
                        <c:v>0.21632092666504907</c:v>
                      </c:pt>
                      <c:pt idx="59">
                        <c:v>0.22416534261482626</c:v>
                      </c:pt>
                      <c:pt idx="60">
                        <c:v>0.2321726994580095</c:v>
                      </c:pt>
                      <c:pt idx="61">
                        <c:v>0.2403446278905991</c:v>
                      </c:pt>
                      <c:pt idx="62">
                        <c:v>0.24868280102521703</c:v>
                      </c:pt>
                      <c:pt idx="63">
                        <c:v>0.25718893530230175</c:v>
                      </c:pt>
                      <c:pt idx="64">
                        <c:v>0.2658647914316748</c:v>
                      </c:pt>
                      <c:pt idx="65">
                        <c:v>0.27471217536549319</c:v>
                      </c:pt>
                      <c:pt idx="66">
                        <c:v>0.2837329393036499</c:v>
                      </c:pt>
                      <c:pt idx="67">
                        <c:v>0.29292898273272516</c:v>
                      </c:pt>
                      <c:pt idx="68">
                        <c:v>0.30230225349964024</c:v>
                      </c:pt>
                      <c:pt idx="69">
                        <c:v>0.31185474892121245</c:v>
                      </c:pt>
                      <c:pt idx="70">
                        <c:v>0.32158851693086443</c:v>
                      </c:pt>
                      <c:pt idx="71">
                        <c:v>0.33150565726379128</c:v>
                      </c:pt>
                      <c:pt idx="72">
                        <c:v>0.34160832268194752</c:v>
                      </c:pt>
                      <c:pt idx="73">
                        <c:v>0.35189872024027291</c:v>
                      </c:pt>
                      <c:pt idx="74">
                        <c:v>0.36237911259563782</c:v>
                      </c:pt>
                      <c:pt idx="75">
                        <c:v>0.37305181936005677</c:v>
                      </c:pt>
                      <c:pt idx="76">
                        <c:v>0.38391921849977867</c:v>
                      </c:pt>
                      <c:pt idx="77">
                        <c:v>0.39498374778194434</c:v>
                      </c:pt>
                      <c:pt idx="78">
                        <c:v>0.40624790627056079</c:v>
                      </c:pt>
                      <c:pt idx="79">
                        <c:v>0.4177142558736382</c:v>
                      </c:pt>
                      <c:pt idx="80">
                        <c:v>0.42938542294339865</c:v>
                      </c:pt>
                      <c:pt idx="81">
                        <c:v>0.44126409993156701</c:v>
                      </c:pt>
                      <c:pt idx="82">
                        <c:v>0.45335304710182944</c:v>
                      </c:pt>
                      <c:pt idx="83">
                        <c:v>0.46565509430165608</c:v>
                      </c:pt>
                      <c:pt idx="84">
                        <c:v>0.47817314279576612</c:v>
                      </c:pt>
                      <c:pt idx="85">
                        <c:v>0.49091016716363295</c:v>
                      </c:pt>
                      <c:pt idx="86">
                        <c:v>0.50386921726352385</c:v>
                      </c:pt>
                      <c:pt idx="87">
                        <c:v>0.51705342026569201</c:v>
                      </c:pt>
                      <c:pt idx="88">
                        <c:v>0.53046598275746004</c:v>
                      </c:pt>
                      <c:pt idx="89">
                        <c:v>0.54411019292304885</c:v>
                      </c:pt>
                      <c:pt idx="90">
                        <c:v>0.55798942280116148</c:v>
                      </c:pt>
                      <c:pt idx="91">
                        <c:v>0.57210713062344665</c:v>
                      </c:pt>
                      <c:pt idx="92">
                        <c:v>0.58646686323713737</c:v>
                      </c:pt>
                      <c:pt idx="93">
                        <c:v>0.60107225861530222</c:v>
                      </c:pt>
                      <c:pt idx="94">
                        <c:v>0.61592704845831425</c:v>
                      </c:pt>
                      <c:pt idx="95">
                        <c:v>0.63103506089032269</c:v>
                      </c:pt>
                      <c:pt idx="96">
                        <c:v>0.64640022325467816</c:v>
                      </c:pt>
                      <c:pt idx="97">
                        <c:v>0.6620265650124797</c:v>
                      </c:pt>
                      <c:pt idx="98">
                        <c:v>0.67791822074858654</c:v>
                      </c:pt>
                      <c:pt idx="99">
                        <c:v>0.69407943328967903</c:v>
                      </c:pt>
                      <c:pt idx="100">
                        <c:v>0.71051455693915033</c:v>
                      </c:pt>
                    </c:numCache>
                  </c:numRef>
                </c:val>
                <c:smooth val="0"/>
                <c:extLst xmlns:c15="http://schemas.microsoft.com/office/drawing/2012/chart">
                  <c:ext xmlns:c16="http://schemas.microsoft.com/office/drawing/2014/chart" uri="{C3380CC4-5D6E-409C-BE32-E72D297353CC}">
                    <c16:uniqueId val="{00000006-52A5-4349-9ADA-2A074F0D0C46}"/>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'Efficiency vs Load Calculations'!$AL$7</c15:sqref>
                        </c15:formulaRef>
                      </c:ext>
                    </c:extLst>
                    <c:strCache>
                      <c:ptCount val="1"/>
                      <c:pt idx="0">
                        <c:v>Low-side BUCK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Calculations'!$AO$9:$AO$109</c15:sqref>
                        </c15:formulaRef>
                      </c:ext>
                    </c:extLst>
                    <c:numCache>
                      <c:formatCode>0.000</c:formatCode>
                      <c:ptCount val="101"/>
                      <c:pt idx="0">
                        <c:v>3.052429571815201E-2</c:v>
                      </c:pt>
                      <c:pt idx="1">
                        <c:v>3.5071500855642486E-2</c:v>
                      </c:pt>
                      <c:pt idx="2">
                        <c:v>3.8146113777021873E-2</c:v>
                      </c:pt>
                      <c:pt idx="3">
                        <c:v>4.1343231397911198E-2</c:v>
                      </c:pt>
                      <c:pt idx="4">
                        <c:v>4.4663159095333041E-2</c:v>
                      </c:pt>
                      <c:pt idx="5">
                        <c:v>4.810622376317359E-2</c:v>
                      </c:pt>
                      <c:pt idx="6">
                        <c:v>5.1672773918132978E-2</c:v>
                      </c:pt>
                      <c:pt idx="7">
                        <c:v>5.5363179815176758E-2</c:v>
                      </c:pt>
                      <c:pt idx="8">
                        <c:v>5.9177833572568179E-2</c:v>
                      </c:pt>
                      <c:pt idx="9">
                        <c:v>6.3117149306568032E-2</c:v>
                      </c:pt>
                      <c:pt idx="10">
                        <c:v>6.7181563275896986E-2</c:v>
                      </c:pt>
                      <c:pt idx="11">
                        <c:v>7.3167426280565856E-2</c:v>
                      </c:pt>
                      <c:pt idx="12">
                        <c:v>8.0375819681902341E-2</c:v>
                      </c:pt>
                      <c:pt idx="13">
                        <c:v>8.7712912882678018E-2</c:v>
                      </c:pt>
                      <c:pt idx="14">
                        <c:v>9.5179487654109662E-2</c:v>
                      </c:pt>
                      <c:pt idx="15">
                        <c:v>0.1027763495914958</c:v>
                      </c:pt>
                      <c:pt idx="16">
                        <c:v>0.11050432839597357</c:v>
                      </c:pt>
                      <c:pt idx="17">
                        <c:v>0.11836427816751303</c:v>
                      </c:pt>
                      <c:pt idx="18">
                        <c:v>0.12635707770936147</c:v>
                      </c:pt>
                      <c:pt idx="19">
                        <c:v>0.13448363084416073</c:v>
                      </c:pt>
                      <c:pt idx="20">
                        <c:v>0.14274486674197145</c:v>
                      </c:pt>
                      <c:pt idx="21">
                        <c:v>0.15114174026044672</c:v>
                      </c:pt>
                      <c:pt idx="22">
                        <c:v>0.15967523229741246</c:v>
                      </c:pt>
                      <c:pt idx="23">
                        <c:v>0.1683463501561184</c:v>
                      </c:pt>
                      <c:pt idx="24">
                        <c:v>0.17715612792343949</c:v>
                      </c:pt>
                      <c:pt idx="25">
                        <c:v>0.1861056268613164</c:v>
                      </c:pt>
                      <c:pt idx="26">
                        <c:v>0.19519593581173833</c:v>
                      </c:pt>
                      <c:pt idx="27">
                        <c:v>0.20442817161558238</c:v>
                      </c:pt>
                      <c:pt idx="28">
                        <c:v>0.21380347954563858</c:v>
                      </c:pt>
                      <c:pt idx="29">
                        <c:v>0.22332303375416174</c:v>
                      </c:pt>
                      <c:pt idx="30">
                        <c:v>0.23298803773530621</c:v>
                      </c:pt>
                      <c:pt idx="31">
                        <c:v>0.24279972480281431</c:v>
                      </c:pt>
                      <c:pt idx="32">
                        <c:v>0.25275935858334364</c:v>
                      </c:pt>
                      <c:pt idx="33">
                        <c:v>0.26286823352583433</c:v>
                      </c:pt>
                      <c:pt idx="34">
                        <c:v>0.27312767542733374</c:v>
                      </c:pt>
                      <c:pt idx="35">
                        <c:v>0.28353904197571178</c:v>
                      </c:pt>
                      <c:pt idx="36">
                        <c:v>0.29410372330971896</c:v>
                      </c:pt>
                      <c:pt idx="37">
                        <c:v>0.30482314259685511</c:v>
                      </c:pt>
                      <c:pt idx="38">
                        <c:v>0.31569875662953761</c:v>
                      </c:pt>
                      <c:pt idx="39">
                        <c:v>0.32673205644007541</c:v>
                      </c:pt>
                      <c:pt idx="40">
                        <c:v>0.33792456793497505</c:v>
                      </c:pt>
                      <c:pt idx="41">
                        <c:v>0.34927785254912813</c:v>
                      </c:pt>
                      <c:pt idx="42">
                        <c:v>0.36079350792044823</c:v>
                      </c:pt>
                      <c:pt idx="43">
                        <c:v>0.37247316858554869</c:v>
                      </c:pt>
                      <c:pt idx="44">
                        <c:v>0.38431850669707701</c:v>
                      </c:pt>
                      <c:pt idx="45">
                        <c:v>0.39633123276334475</c:v>
                      </c:pt>
                      <c:pt idx="46">
                        <c:v>0.40851309641091671</c:v>
                      </c:pt>
                      <c:pt idx="47">
                        <c:v>0.42086588717084977</c:v>
                      </c:pt>
                      <c:pt idx="48">
                        <c:v>0.43339143528930013</c:v>
                      </c:pt>
                      <c:pt idx="49">
                        <c:v>0.44609161256324242</c:v>
                      </c:pt>
                      <c:pt idx="50">
                        <c:v>0.45896833320207958</c:v>
                      </c:pt>
                      <c:pt idx="51">
                        <c:v>0.47202355471594554</c:v>
                      </c:pt>
                      <c:pt idx="52">
                        <c:v>0.48525927883154174</c:v>
                      </c:pt>
                      <c:pt idx="53">
                        <c:v>0.49867755243637796</c:v>
                      </c:pt>
                      <c:pt idx="54">
                        <c:v>0.51228046855232179</c:v>
                      </c:pt>
                      <c:pt idx="55">
                        <c:v>0.52607016733940171</c:v>
                      </c:pt>
                      <c:pt idx="56">
                        <c:v>0.54004883713084195</c:v>
                      </c:pt>
                      <c:pt idx="57">
                        <c:v>0.55421871550034707</c:v>
                      </c:pt>
                      <c:pt idx="58">
                        <c:v>0.56858209036270013</c:v>
                      </c:pt>
                      <c:pt idx="59">
                        <c:v>0.58314130110877349</c:v>
                      </c:pt>
                      <c:pt idx="60">
                        <c:v>0.59789873977610186</c:v>
                      </c:pt>
                      <c:pt idx="61">
                        <c:v>0.61285685225621322</c:v>
                      </c:pt>
                      <c:pt idx="62">
                        <c:v>0.628018139539957</c:v>
                      </c:pt>
                      <c:pt idx="63">
                        <c:v>0.64338515900212578</c:v>
                      </c:pt>
                      <c:pt idx="64">
                        <c:v>0.65896052572672048</c:v>
                      </c:pt>
                      <c:pt idx="65">
                        <c:v>0.67474691387425312</c:v>
                      </c:pt>
                      <c:pt idx="66">
                        <c:v>0.6907470580925581</c:v>
                      </c:pt>
                      <c:pt idx="67">
                        <c:v>0.70696375497262565</c:v>
                      </c:pt>
                      <c:pt idx="68">
                        <c:v>0.72339986455104666</c:v>
                      </c:pt>
                      <c:pt idx="69">
                        <c:v>0.74005831186071813</c:v>
                      </c:pt>
                      <c:pt idx="70">
                        <c:v>0.75694208853153122</c:v>
                      </c:pt>
                      <c:pt idx="71">
                        <c:v>0.77405425444283504</c:v>
                      </c:pt>
                      <c:pt idx="72">
                        <c:v>0.79139793942954673</c:v>
                      </c:pt>
                      <c:pt idx="73">
                        <c:v>0.8089763450438564</c:v>
                      </c:pt>
                      <c:pt idx="74">
                        <c:v>0.82679274637456002</c:v>
                      </c:pt>
                      <c:pt idx="75">
                        <c:v>0.84485049392614386</c:v>
                      </c:pt>
                      <c:pt idx="76">
                        <c:v>0.86315301555982715</c:v>
                      </c:pt>
                      <c:pt idx="77">
                        <c:v>0.8817038184988818</c:v>
                      </c:pt>
                      <c:pt idx="78">
                        <c:v>0.900506491400623</c:v>
                      </c:pt>
                      <c:pt idx="79">
                        <c:v>0.91956470649760591</c:v>
                      </c:pt>
                      <c:pt idx="80">
                        <c:v>0.9388822218106363</c:v>
                      </c:pt>
                      <c:pt idx="81">
                        <c:v>0.95846288343635222</c:v>
                      </c:pt>
                      <c:pt idx="82">
                        <c:v>0.97831062791223189</c:v>
                      </c:pt>
                      <c:pt idx="83">
                        <c:v>0.99842948466202908</c:v>
                      </c:pt>
                      <c:pt idx="84">
                        <c:v>1.0188235785247592</c:v>
                      </c:pt>
                      <c:pt idx="85">
                        <c:v>1.0394971323705102</c:v>
                      </c:pt>
                      <c:pt idx="86">
                        <c:v>1.0604544698064955</c:v>
                      </c:pt>
                      <c:pt idx="87">
                        <c:v>1.0817000179769216</c:v>
                      </c:pt>
                      <c:pt idx="88">
                        <c:v>1.1032383104604215</c:v>
                      </c:pt>
                      <c:pt idx="89">
                        <c:v>1.1250739902689517</c:v>
                      </c:pt>
                      <c:pt idx="90">
                        <c:v>1.147211812952265</c:v>
                      </c:pt>
                      <c:pt idx="91">
                        <c:v>1.1696566498122314</c:v>
                      </c:pt>
                      <c:pt idx="92">
                        <c:v>1.1924134912315079</c:v>
                      </c:pt>
                      <c:pt idx="93">
                        <c:v>1.2154874501212529</c:v>
                      </c:pt>
                      <c:pt idx="94">
                        <c:v>1.2388837654928118</c:v>
                      </c:pt>
                      <c:pt idx="95">
                        <c:v>1.262607806158538</c:v>
                      </c:pt>
                      <c:pt idx="96">
                        <c:v>1.2866650745671535</c:v>
                      </c:pt>
                      <c:pt idx="97">
                        <c:v>1.3110612107793302</c:v>
                      </c:pt>
                      <c:pt idx="98">
                        <c:v>1.3358019965894303</c:v>
                      </c:pt>
                      <c:pt idx="99">
                        <c:v>1.3608933597996584</c:v>
                      </c:pt>
                      <c:pt idx="100">
                        <c:v>1.3863413786531598</c:v>
                      </c:pt>
                    </c:numCache>
                  </c:numRef>
                </c:val>
                <c:smooth val="0"/>
                <c:extLst xmlns:c15="http://schemas.microsoft.com/office/drawing/2012/chart">
                  <c:ext xmlns:c16="http://schemas.microsoft.com/office/drawing/2014/chart" uri="{C3380CC4-5D6E-409C-BE32-E72D297353CC}">
                    <c16:uniqueId val="{00000007-52A5-4349-9ADA-2A074F0D0C46}"/>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'Efficiency vs Load Calculations'!$AF$8</c15:sqref>
                        </c15:formulaRef>
                      </c:ext>
                    </c:extLst>
                    <c:strCache>
                      <c:ptCount val="1"/>
                      <c:pt idx="0">
                        <c:v>Total Cin Loss</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Calculations'!$AF$9:$AF$109</c15:sqref>
                        </c15:formulaRef>
                      </c:ext>
                    </c:extLst>
                    <c:numCache>
                      <c:formatCode>0.000</c:formatCode>
                      <c:ptCount val="101"/>
                      <c:pt idx="0">
                        <c:v>2.034502647210745E-4</c:v>
                      </c:pt>
                      <c:pt idx="1">
                        <c:v>2.0913117708364773E-4</c:v>
                      </c:pt>
                      <c:pt idx="2">
                        <c:v>2.2615994059076077E-4</c:v>
                      </c:pt>
                      <c:pt idx="3">
                        <c:v>2.5453146023693928E-4</c:v>
                      </c:pt>
                      <c:pt idx="4">
                        <c:v>2.9424063848740566E-4</c:v>
                      </c:pt>
                      <c:pt idx="5">
                        <c:v>3.4528237527848107E-4</c:v>
                      </c:pt>
                      <c:pt idx="6">
                        <c:v>4.0765156801798809E-4</c:v>
                      </c:pt>
                      <c:pt idx="7">
                        <c:v>4.8134311158565252E-4</c:v>
                      </c:pt>
                      <c:pt idx="8">
                        <c:v>5.6635189833350555E-4</c:v>
                      </c:pt>
                      <c:pt idx="9">
                        <c:v>6.6267281808628665E-4</c:v>
                      </c:pt>
                      <c:pt idx="10">
                        <c:v>7.7030075814184316E-4</c:v>
                      </c:pt>
                      <c:pt idx="11">
                        <c:v>8.8923060327153599E-4</c:v>
                      </c:pt>
                      <c:pt idx="12">
                        <c:v>1.0194572357206371E-3</c:v>
                      </c:pt>
                      <c:pt idx="13">
                        <c:v>1.1609755352087374E-3</c:v>
                      </c:pt>
                      <c:pt idx="14">
                        <c:v>1.3137803789301404E-3</c:v>
                      </c:pt>
                      <c:pt idx="15">
                        <c:v>1.4778666415542711E-3</c:v>
                      </c:pt>
                      <c:pt idx="16">
                        <c:v>1.6532291952260755E-3</c:v>
                      </c:pt>
                      <c:pt idx="17">
                        <c:v>1.8398629095664179E-3</c:v>
                      </c:pt>
                      <c:pt idx="18">
                        <c:v>2.037762651672491E-3</c:v>
                      </c:pt>
                      <c:pt idx="19">
                        <c:v>2.2469232861182108E-3</c:v>
                      </c:pt>
                      <c:pt idx="20">
                        <c:v>2.4673396749546185E-3</c:v>
                      </c:pt>
                      <c:pt idx="21">
                        <c:v>2.6990066777102853E-3</c:v>
                      </c:pt>
                      <c:pt idx="22">
                        <c:v>2.9419191513917111E-3</c:v>
                      </c:pt>
                      <c:pt idx="23">
                        <c:v>3.1960719504837251E-3</c:v>
                      </c:pt>
                      <c:pt idx="24">
                        <c:v>3.4614599269498919E-3</c:v>
                      </c:pt>
                      <c:pt idx="25">
                        <c:v>3.7380779302329053E-3</c:v>
                      </c:pt>
                      <c:pt idx="26">
                        <c:v>4.0259208072549952E-3</c:v>
                      </c:pt>
                      <c:pt idx="27">
                        <c:v>4.3249834024183288E-3</c:v>
                      </c:pt>
                      <c:pt idx="28">
                        <c:v>4.6352605576054032E-3</c:v>
                      </c:pt>
                      <c:pt idx="29">
                        <c:v>4.9567471121794611E-3</c:v>
                      </c:pt>
                      <c:pt idx="30">
                        <c:v>5.289437902984878E-3</c:v>
                      </c:pt>
                      <c:pt idx="31">
                        <c:v>5.6333277643475701E-3</c:v>
                      </c:pt>
                      <c:pt idx="32">
                        <c:v>5.9884115280753889E-3</c:v>
                      </c:pt>
                      <c:pt idx="33">
                        <c:v>6.3546840234585391E-3</c:v>
                      </c:pt>
                      <c:pt idx="34">
                        <c:v>6.7321400772699528E-3</c:v>
                      </c:pt>
                      <c:pt idx="35">
                        <c:v>7.1207745137657078E-3</c:v>
                      </c:pt>
                      <c:pt idx="36">
                        <c:v>7.5205821546854316E-3</c:v>
                      </c:pt>
                      <c:pt idx="37">
                        <c:v>7.9315578192526801E-3</c:v>
                      </c:pt>
                      <c:pt idx="38">
                        <c:v>8.3536963241753696E-3</c:v>
                      </c:pt>
                      <c:pt idx="39">
                        <c:v>8.7869924836461531E-3</c:v>
                      </c:pt>
                      <c:pt idx="40">
                        <c:v>9.2314411093428195E-3</c:v>
                      </c:pt>
                      <c:pt idx="41">
                        <c:v>9.6870370104287194E-3</c:v>
                      </c:pt>
                      <c:pt idx="42">
                        <c:v>1.0153774993553135E-2</c:v>
                      </c:pt>
                      <c:pt idx="43">
                        <c:v>1.0631649862851696E-2</c:v>
                      </c:pt>
                      <c:pt idx="44">
                        <c:v>1.1120656419946775E-2</c:v>
                      </c:pt>
                      <c:pt idx="45">
                        <c:v>1.1620789463947895E-2</c:v>
                      </c:pt>
                      <c:pt idx="46">
                        <c:v>1.2132043791452123E-2</c:v>
                      </c:pt>
                      <c:pt idx="47">
                        <c:v>1.2654414196544473E-2</c:v>
                      </c:pt>
                      <c:pt idx="48">
                        <c:v>1.3187895470798299E-2</c:v>
                      </c:pt>
                      <c:pt idx="49">
                        <c:v>1.3732482403275702E-2</c:v>
                      </c:pt>
                      <c:pt idx="50">
                        <c:v>1.4288169780527934E-2</c:v>
                      </c:pt>
                      <c:pt idx="51">
                        <c:v>1.4854952386595772E-2</c:v>
                      </c:pt>
                      <c:pt idx="52">
                        <c:v>1.5432825003009965E-2</c:v>
                      </c:pt>
                      <c:pt idx="53">
                        <c:v>1.6021782408791593E-2</c:v>
                      </c:pt>
                      <c:pt idx="54">
                        <c:v>1.6621819380452464E-2</c:v>
                      </c:pt>
                      <c:pt idx="55">
                        <c:v>1.7232930691995538E-2</c:v>
                      </c:pt>
                      <c:pt idx="56">
                        <c:v>1.7855111114915348E-2</c:v>
                      </c:pt>
                      <c:pt idx="57">
                        <c:v>1.8488355418198332E-2</c:v>
                      </c:pt>
                      <c:pt idx="58">
                        <c:v>1.9132658368323282E-2</c:v>
                      </c:pt>
                      <c:pt idx="59">
                        <c:v>1.9788014729261737E-2</c:v>
                      </c:pt>
                      <c:pt idx="60">
                        <c:v>2.0454419262478339E-2</c:v>
                      </c:pt>
                      <c:pt idx="61">
                        <c:v>2.1131866726931334E-2</c:v>
                      </c:pt>
                      <c:pt idx="62">
                        <c:v>2.1820351879072844E-2</c:v>
                      </c:pt>
                      <c:pt idx="63">
                        <c:v>2.2519869472849358E-2</c:v>
                      </c:pt>
                      <c:pt idx="64">
                        <c:v>2.3230414259702119E-2</c:v>
                      </c:pt>
                      <c:pt idx="65">
                        <c:v>2.3951980988567462E-2</c:v>
                      </c:pt>
                      <c:pt idx="66">
                        <c:v>2.4684564405877282E-2</c:v>
                      </c:pt>
                      <c:pt idx="67">
                        <c:v>2.5428159255559406E-2</c:v>
                      </c:pt>
                      <c:pt idx="68">
                        <c:v>2.6182760279038007E-2</c:v>
                      </c:pt>
                      <c:pt idx="69">
                        <c:v>2.6948362215233949E-2</c:v>
                      </c:pt>
                      <c:pt idx="70">
                        <c:v>2.7724959800565253E-2</c:v>
                      </c:pt>
                      <c:pt idx="71">
                        <c:v>2.8512547768947457E-2</c:v>
                      </c:pt>
                      <c:pt idx="72">
                        <c:v>2.9311120851794051E-2</c:v>
                      </c:pt>
                      <c:pt idx="73">
                        <c:v>3.0120673778016822E-2</c:v>
                      </c:pt>
                      <c:pt idx="74">
                        <c:v>3.0941201274026289E-2</c:v>
                      </c:pt>
                      <c:pt idx="75">
                        <c:v>3.1772698063732084E-2</c:v>
                      </c:pt>
                      <c:pt idx="76">
                        <c:v>3.2615158868543367E-2</c:v>
                      </c:pt>
                      <c:pt idx="77">
                        <c:v>3.3468578407369248E-2</c:v>
                      </c:pt>
                      <c:pt idx="78">
                        <c:v>3.4332951396619085E-2</c:v>
                      </c:pt>
                      <c:pt idx="79">
                        <c:v>3.5208272550203062E-2</c:v>
                      </c:pt>
                      <c:pt idx="80">
                        <c:v>3.6094536579532308E-2</c:v>
                      </c:pt>
                      <c:pt idx="81">
                        <c:v>3.6991738193519627E-2</c:v>
                      </c:pt>
                      <c:pt idx="82">
                        <c:v>3.7899872098579639E-2</c:v>
                      </c:pt>
                      <c:pt idx="83">
                        <c:v>3.8818932998629319E-2</c:v>
                      </c:pt>
                      <c:pt idx="84">
                        <c:v>3.9748915595088322E-2</c:v>
                      </c:pt>
                      <c:pt idx="85">
                        <c:v>4.0689814586879383E-2</c:v>
                      </c:pt>
                      <c:pt idx="86">
                        <c:v>4.1641624670428805E-2</c:v>
                      </c:pt>
                      <c:pt idx="87">
                        <c:v>4.2604340539666732E-2</c:v>
                      </c:pt>
                      <c:pt idx="88">
                        <c:v>4.3577956886027669E-2</c:v>
                      </c:pt>
                      <c:pt idx="89">
                        <c:v>4.4562468398450697E-2</c:v>
                      </c:pt>
                      <c:pt idx="90">
                        <c:v>4.555786976338011E-2</c:v>
                      </c:pt>
                      <c:pt idx="91">
                        <c:v>4.6564155664765614E-2</c:v>
                      </c:pt>
                      <c:pt idx="92">
                        <c:v>4.758132078406286E-2</c:v>
                      </c:pt>
                      <c:pt idx="93">
                        <c:v>4.8609359800233794E-2</c:v>
                      </c:pt>
                      <c:pt idx="94">
                        <c:v>4.9648267389746925E-2</c:v>
                      </c:pt>
                      <c:pt idx="95">
                        <c:v>5.0698038226578007E-2</c:v>
                      </c:pt>
                      <c:pt idx="96">
                        <c:v>5.1758666982210086E-2</c:v>
                      </c:pt>
                      <c:pt idx="97">
                        <c:v>5.2830148325634277E-2</c:v>
                      </c:pt>
                      <c:pt idx="98">
                        <c:v>5.3912476923349793E-2</c:v>
                      </c:pt>
                      <c:pt idx="99">
                        <c:v>5.5005647439364674E-2</c:v>
                      </c:pt>
                      <c:pt idx="100">
                        <c:v>5.6109654535195889E-2</c:v>
                      </c:pt>
                    </c:numCache>
                  </c:numRef>
                </c:val>
                <c:smooth val="0"/>
                <c:extLst xmlns:c15="http://schemas.microsoft.com/office/drawing/2012/chart">
                  <c:ext xmlns:c16="http://schemas.microsoft.com/office/drawing/2014/chart" uri="{C3380CC4-5D6E-409C-BE32-E72D297353CC}">
                    <c16:uniqueId val="{00000008-52A5-4349-9ADA-2A074F0D0C46}"/>
                  </c:ext>
                </c:extLst>
              </c15:ser>
            </c15:filteredLineSeries>
            <c15:filteredLineSeries>
              <c15:ser>
                <c:idx val="5"/>
                <c:order val="9"/>
                <c:tx>
                  <c:strRef>
                    <c:extLst xmlns:c15="http://schemas.microsoft.com/office/drawing/2012/chart">
                      <c:ext xmlns:c15="http://schemas.microsoft.com/office/drawing/2012/chart" uri="{02D57815-91ED-43cb-92C2-25804820EDAC}">
                        <c15:formulaRef>
                          <c15:sqref>'Efficiency vs Load Calculations'!$AC$8</c15:sqref>
                        </c15:formulaRef>
                      </c:ext>
                    </c:extLst>
                    <c:strCache>
                      <c:ptCount val="1"/>
                      <c:pt idx="0">
                        <c:v>Total Cout Loss</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Calculations'!$AC$9:$AC$109</c15:sqref>
                        </c15:formulaRef>
                      </c:ext>
                    </c:extLst>
                    <c:numCache>
                      <c:formatCode>0.000</c:formatCode>
                      <c:ptCount val="101"/>
                      <c:pt idx="0">
                        <c:v>2.5805462293388448E-3</c:v>
                      </c:pt>
                      <c:pt idx="1">
                        <c:v>2.5809990752498992E-3</c:v>
                      </c:pt>
                      <c:pt idx="2">
                        <c:v>2.5814519473044322E-3</c:v>
                      </c:pt>
                      <c:pt idx="3">
                        <c:v>2.5819048454994815E-3</c:v>
                      </c:pt>
                      <c:pt idx="4">
                        <c:v>2.5823577698320839E-3</c:v>
                      </c:pt>
                      <c:pt idx="5">
                        <c:v>2.582810720299273E-3</c:v>
                      </c:pt>
                      <c:pt idx="6">
                        <c:v>2.5832636968980889E-3</c:v>
                      </c:pt>
                      <c:pt idx="7">
                        <c:v>2.5837166996255652E-3</c:v>
                      </c:pt>
                      <c:pt idx="8">
                        <c:v>2.5841697284787394E-3</c:v>
                      </c:pt>
                      <c:pt idx="9">
                        <c:v>2.5846227834546561E-3</c:v>
                      </c:pt>
                      <c:pt idx="10">
                        <c:v>2.5850758645503437E-3</c:v>
                      </c:pt>
                      <c:pt idx="11">
                        <c:v>2.5855289717628457E-3</c:v>
                      </c:pt>
                      <c:pt idx="12">
                        <c:v>2.5859821050891983E-3</c:v>
                      </c:pt>
                      <c:pt idx="13">
                        <c:v>2.5864352645264444E-3</c:v>
                      </c:pt>
                      <c:pt idx="14">
                        <c:v>2.5868884500716166E-3</c:v>
                      </c:pt>
                      <c:pt idx="15">
                        <c:v>2.5873416617217611E-3</c:v>
                      </c:pt>
                      <c:pt idx="16">
                        <c:v>2.5877948994739121E-3</c:v>
                      </c:pt>
                      <c:pt idx="17">
                        <c:v>2.5882481633251126E-3</c:v>
                      </c:pt>
                      <c:pt idx="18">
                        <c:v>2.5887014532723985E-3</c:v>
                      </c:pt>
                      <c:pt idx="19">
                        <c:v>2.5891547693128155E-3</c:v>
                      </c:pt>
                      <c:pt idx="20">
                        <c:v>2.5896081114434024E-3</c:v>
                      </c:pt>
                      <c:pt idx="21">
                        <c:v>2.5900614796612021E-3</c:v>
                      </c:pt>
                      <c:pt idx="22">
                        <c:v>2.5905148739632541E-3</c:v>
                      </c:pt>
                      <c:pt idx="23">
                        <c:v>2.5909682943465969E-3</c:v>
                      </c:pt>
                      <c:pt idx="24">
                        <c:v>2.5914217408082767E-3</c:v>
                      </c:pt>
                      <c:pt idx="25">
                        <c:v>2.5918752133453371E-3</c:v>
                      </c:pt>
                      <c:pt idx="26">
                        <c:v>2.5923287119548168E-3</c:v>
                      </c:pt>
                      <c:pt idx="27">
                        <c:v>2.5927822366337556E-3</c:v>
                      </c:pt>
                      <c:pt idx="28">
                        <c:v>2.5932357873792067E-3</c:v>
                      </c:pt>
                      <c:pt idx="29">
                        <c:v>2.5936893641882041E-3</c:v>
                      </c:pt>
                      <c:pt idx="30">
                        <c:v>2.5941429670577948E-3</c:v>
                      </c:pt>
                      <c:pt idx="31">
                        <c:v>2.594596595985022E-3</c:v>
                      </c:pt>
                      <c:pt idx="32">
                        <c:v>2.595050250966935E-3</c:v>
                      </c:pt>
                      <c:pt idx="33">
                        <c:v>2.5955039320005669E-3</c:v>
                      </c:pt>
                      <c:pt idx="34">
                        <c:v>2.5959576390829743E-3</c:v>
                      </c:pt>
                      <c:pt idx="35">
                        <c:v>2.5964113722111949E-3</c:v>
                      </c:pt>
                      <c:pt idx="36">
                        <c:v>2.5968651313822764E-3</c:v>
                      </c:pt>
                      <c:pt idx="37">
                        <c:v>2.5973189165932674E-3</c:v>
                      </c:pt>
                      <c:pt idx="38">
                        <c:v>2.5977727278412061E-3</c:v>
                      </c:pt>
                      <c:pt idx="39">
                        <c:v>2.5982265651231461E-3</c:v>
                      </c:pt>
                      <c:pt idx="40">
                        <c:v>2.5986804284361294E-3</c:v>
                      </c:pt>
                      <c:pt idx="41">
                        <c:v>2.5991343177772055E-3</c:v>
                      </c:pt>
                      <c:pt idx="42">
                        <c:v>2.5995882331434203E-3</c:v>
                      </c:pt>
                      <c:pt idx="43">
                        <c:v>2.6000421745318229E-3</c:v>
                      </c:pt>
                      <c:pt idx="44">
                        <c:v>2.600496141939454E-3</c:v>
                      </c:pt>
                      <c:pt idx="45">
                        <c:v>2.6009501353633701E-3</c:v>
                      </c:pt>
                      <c:pt idx="46">
                        <c:v>2.6014041548006166E-3</c:v>
                      </c:pt>
                      <c:pt idx="47">
                        <c:v>2.6018582002482397E-3</c:v>
                      </c:pt>
                      <c:pt idx="48">
                        <c:v>2.6023122717032904E-3</c:v>
                      </c:pt>
                      <c:pt idx="49">
                        <c:v>2.6027663691628152E-3</c:v>
                      </c:pt>
                      <c:pt idx="50">
                        <c:v>2.603220492623866E-3</c:v>
                      </c:pt>
                      <c:pt idx="51">
                        <c:v>2.6036746420834934E-3</c:v>
                      </c:pt>
                      <c:pt idx="52">
                        <c:v>2.6041288175387423E-3</c:v>
                      </c:pt>
                      <c:pt idx="53">
                        <c:v>2.604583018986667E-3</c:v>
                      </c:pt>
                      <c:pt idx="54">
                        <c:v>2.6050372464243177E-3</c:v>
                      </c:pt>
                      <c:pt idx="55">
                        <c:v>2.6054914998487415E-3</c:v>
                      </c:pt>
                      <c:pt idx="56">
                        <c:v>2.605945779256995E-3</c:v>
                      </c:pt>
                      <c:pt idx="57">
                        <c:v>2.6064000846461239E-3</c:v>
                      </c:pt>
                      <c:pt idx="58">
                        <c:v>2.6068544160131844E-3</c:v>
                      </c:pt>
                      <c:pt idx="59">
                        <c:v>2.607308773355228E-3</c:v>
                      </c:pt>
                      <c:pt idx="60">
                        <c:v>2.607763156669302E-3</c:v>
                      </c:pt>
                      <c:pt idx="61">
                        <c:v>2.6082175659524632E-3</c:v>
                      </c:pt>
                      <c:pt idx="62">
                        <c:v>2.6086720012017629E-3</c:v>
                      </c:pt>
                      <c:pt idx="63">
                        <c:v>2.6091264624142534E-3</c:v>
                      </c:pt>
                      <c:pt idx="64">
                        <c:v>2.60958094958699E-3</c:v>
                      </c:pt>
                      <c:pt idx="65">
                        <c:v>2.6100354627170241E-3</c:v>
                      </c:pt>
                      <c:pt idx="66">
                        <c:v>2.6104900018014145E-3</c:v>
                      </c:pt>
                      <c:pt idx="67">
                        <c:v>2.6109445668372044E-3</c:v>
                      </c:pt>
                      <c:pt idx="68">
                        <c:v>2.611399157821459E-3</c:v>
                      </c:pt>
                      <c:pt idx="69">
                        <c:v>2.611853774751231E-3</c:v>
                      </c:pt>
                      <c:pt idx="70">
                        <c:v>2.6123084176235701E-3</c:v>
                      </c:pt>
                      <c:pt idx="71">
                        <c:v>2.6127630864355377E-3</c:v>
                      </c:pt>
                      <c:pt idx="72">
                        <c:v>2.6132177811841835E-3</c:v>
                      </c:pt>
                      <c:pt idx="73">
                        <c:v>2.6136725018665687E-3</c:v>
                      </c:pt>
                      <c:pt idx="74">
                        <c:v>2.6141272484797441E-3</c:v>
                      </c:pt>
                      <c:pt idx="75">
                        <c:v>2.6145820210207726E-3</c:v>
                      </c:pt>
                      <c:pt idx="76">
                        <c:v>2.6150368194867036E-3</c:v>
                      </c:pt>
                      <c:pt idx="77">
                        <c:v>2.6154916438746005E-3</c:v>
                      </c:pt>
                      <c:pt idx="78">
                        <c:v>2.615946494181517E-3</c:v>
                      </c:pt>
                      <c:pt idx="79">
                        <c:v>2.6164013704045091E-3</c:v>
                      </c:pt>
                      <c:pt idx="80">
                        <c:v>2.6168562725406401E-3</c:v>
                      </c:pt>
                      <c:pt idx="81">
                        <c:v>2.6173112005869613E-3</c:v>
                      </c:pt>
                      <c:pt idx="82">
                        <c:v>2.6177661545405398E-3</c:v>
                      </c:pt>
                      <c:pt idx="83">
                        <c:v>2.6182211343984234E-3</c:v>
                      </c:pt>
                      <c:pt idx="84">
                        <c:v>2.6186761401576788E-3</c:v>
                      </c:pt>
                      <c:pt idx="85">
                        <c:v>2.6191311718153608E-3</c:v>
                      </c:pt>
                      <c:pt idx="86">
                        <c:v>2.6195862293685343E-3</c:v>
                      </c:pt>
                      <c:pt idx="87">
                        <c:v>2.6200413128142541E-3</c:v>
                      </c:pt>
                      <c:pt idx="88">
                        <c:v>2.6204964221495843E-3</c:v>
                      </c:pt>
                      <c:pt idx="89">
                        <c:v>2.6209515573715815E-3</c:v>
                      </c:pt>
                      <c:pt idx="90">
                        <c:v>2.6214067184773078E-3</c:v>
                      </c:pt>
                      <c:pt idx="91">
                        <c:v>2.6218619054638259E-3</c:v>
                      </c:pt>
                      <c:pt idx="92">
                        <c:v>2.6223171183281926E-3</c:v>
                      </c:pt>
                      <c:pt idx="93">
                        <c:v>2.6227723570674726E-3</c:v>
                      </c:pt>
                      <c:pt idx="94">
                        <c:v>2.6232276216787238E-3</c:v>
                      </c:pt>
                      <c:pt idx="95">
                        <c:v>2.6236829121590133E-3</c:v>
                      </c:pt>
                      <c:pt idx="96">
                        <c:v>2.6241382285054015E-3</c:v>
                      </c:pt>
                      <c:pt idx="97">
                        <c:v>2.624593570714955E-3</c:v>
                      </c:pt>
                      <c:pt idx="98">
                        <c:v>2.6250489387847267E-3</c:v>
                      </c:pt>
                      <c:pt idx="99">
                        <c:v>2.6255043327117898E-3</c:v>
                      </c:pt>
                      <c:pt idx="100">
                        <c:v>2.6259597524932012E-3</c:v>
                      </c:pt>
                    </c:numCache>
                  </c:numRef>
                </c:val>
                <c:smooth val="0"/>
                <c:extLst xmlns:c15="http://schemas.microsoft.com/office/drawing/2012/chart">
                  <c:ext xmlns:c16="http://schemas.microsoft.com/office/drawing/2014/chart" uri="{C3380CC4-5D6E-409C-BE32-E72D297353CC}">
                    <c16:uniqueId val="{00000009-52A5-4349-9ADA-2A074F0D0C46}"/>
                  </c:ext>
                </c:extLst>
              </c15:ser>
            </c15:filteredLineSeries>
            <c15:filteredLineSeries>
              <c15:ser>
                <c:idx val="4"/>
                <c:order val="10"/>
                <c:tx>
                  <c:strRef>
                    <c:extLst xmlns:c15="http://schemas.microsoft.com/office/drawing/2012/chart">
                      <c:ext xmlns:c15="http://schemas.microsoft.com/office/drawing/2012/chart" uri="{02D57815-91ED-43cb-92C2-25804820EDAC}">
                        <c15:formulaRef>
                          <c15:sqref>'Efficiency vs Load Calculations'!$AG$7</c15:sqref>
                        </c15:formulaRef>
                      </c:ext>
                    </c:extLst>
                    <c:strCache>
                      <c:ptCount val="1"/>
                      <c:pt idx="0">
                        <c:v>High-side BUCK "Control"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Calculations'!$AK$9:$AK$109</c15:sqref>
                        </c15:formulaRef>
                      </c:ext>
                    </c:extLst>
                    <c:numCache>
                      <c:formatCode>0.000</c:formatCode>
                      <c:ptCount val="101"/>
                      <c:pt idx="0">
                        <c:v>3.1529105136505538E-2</c:v>
                      </c:pt>
                      <c:pt idx="1">
                        <c:v>5.3106713268902185E-2</c:v>
                      </c:pt>
                      <c:pt idx="2">
                        <c:v>7.4218113516084344E-2</c:v>
                      </c:pt>
                      <c:pt idx="3">
                        <c:v>9.5455165450885018E-2</c:v>
                      </c:pt>
                      <c:pt idx="4">
                        <c:v>0.11681974744040888</c:v>
                      </c:pt>
                      <c:pt idx="5">
                        <c:v>0.13831376074052237</c:v>
                      </c:pt>
                      <c:pt idx="6">
                        <c:v>0.15993913006002361</c:v>
                      </c:pt>
                      <c:pt idx="7">
                        <c:v>0.18169780413543077</c:v>
                      </c:pt>
                      <c:pt idx="8">
                        <c:v>0.20359175631675114</c:v>
                      </c:pt>
                      <c:pt idx="9">
                        <c:v>0.22562298516459914</c:v>
                      </c:pt>
                      <c:pt idx="10">
                        <c:v>0.24779351505904462</c:v>
                      </c:pt>
                      <c:pt idx="11">
                        <c:v>0.2719012890650821</c:v>
                      </c:pt>
                      <c:pt idx="12">
                        <c:v>0.29724898542183958</c:v>
                      </c:pt>
                      <c:pt idx="13">
                        <c:v>0.32274437549472201</c:v>
                      </c:pt>
                      <c:pt idx="14">
                        <c:v>0.34838984857755884</c:v>
                      </c:pt>
                      <c:pt idx="15">
                        <c:v>0.37418782382681376</c:v>
                      </c:pt>
                      <c:pt idx="16">
                        <c:v>0.40014075102564467</c:v>
                      </c:pt>
                      <c:pt idx="17">
                        <c:v>0.42625111136323546</c:v>
                      </c:pt>
                      <c:pt idx="18">
                        <c:v>0.45252141822992287</c:v>
                      </c:pt>
                      <c:pt idx="19">
                        <c:v>0.47895421802865679</c:v>
                      </c:pt>
                      <c:pt idx="20">
                        <c:v>0.50555209100334519</c:v>
                      </c:pt>
                      <c:pt idx="21">
                        <c:v>0.53231765208465409</c:v>
                      </c:pt>
                      <c:pt idx="22">
                        <c:v>0.55925355175384828</c:v>
                      </c:pt>
                      <c:pt idx="23">
                        <c:v>0.58636247692527477</c:v>
                      </c:pt>
                      <c:pt idx="24">
                        <c:v>0.61364715184811169</c:v>
                      </c:pt>
                      <c:pt idx="25">
                        <c:v>0.64111033902802017</c:v>
                      </c:pt>
                      <c:pt idx="26">
                        <c:v>0.66875484016936337</c:v>
                      </c:pt>
                      <c:pt idx="27">
                        <c:v>0.69658349713866707</c:v>
                      </c:pt>
                      <c:pt idx="28">
                        <c:v>0.72459919295002817</c:v>
                      </c:pt>
                      <c:pt idx="29">
                        <c:v>0.75280485277319265</c:v>
                      </c:pt>
                      <c:pt idx="30">
                        <c:v>0.7812034449650499</c:v>
                      </c:pt>
                      <c:pt idx="31">
                        <c:v>0.80979798212531418</c:v>
                      </c:pt>
                      <c:pt idx="32">
                        <c:v>0.83859152217718969</c:v>
                      </c:pt>
                      <c:pt idx="33">
                        <c:v>0.8675871694738414</c:v>
                      </c:pt>
                      <c:pt idx="34">
                        <c:v>0.89678807593151988</c:v>
                      </c:pt>
                      <c:pt idx="35">
                        <c:v>0.92619744219021827</c:v>
                      </c:pt>
                      <c:pt idx="36">
                        <c:v>0.95581851880276913</c:v>
                      </c:pt>
                      <c:pt idx="37">
                        <c:v>0.98565460745331668</c:v>
                      </c:pt>
                      <c:pt idx="38">
                        <c:v>1.0157090622061351</c:v>
                      </c:pt>
                      <c:pt idx="39">
                        <c:v>1.0459852907858</c:v>
                      </c:pt>
                      <c:pt idx="40">
                        <c:v>1.0764867558897406</c:v>
                      </c:pt>
                      <c:pt idx="41">
                        <c:v>1.107216976534257</c:v>
                      </c:pt>
                      <c:pt idx="42">
                        <c:v>1.1381795294351091</c:v>
                      </c:pt>
                      <c:pt idx="43">
                        <c:v>1.1693780504238263</c:v>
                      </c:pt>
                      <c:pt idx="44">
                        <c:v>1.2008162359009338</c:v>
                      </c:pt>
                      <c:pt idx="45">
                        <c:v>1.2324978443273253</c:v>
                      </c:pt>
                      <c:pt idx="46">
                        <c:v>1.2644266977550658</c:v>
                      </c:pt>
                      <c:pt idx="47">
                        <c:v>1.2966066833989431</c:v>
                      </c:pt>
                      <c:pt idx="48">
                        <c:v>1.329041755250147</c:v>
                      </c:pt>
                      <c:pt idx="49">
                        <c:v>1.361735935733497</c:v>
                      </c:pt>
                      <c:pt idx="50">
                        <c:v>1.394693317409696</c:v>
                      </c:pt>
                      <c:pt idx="51">
                        <c:v>1.4279180647241378</c:v>
                      </c:pt>
                      <c:pt idx="52">
                        <c:v>1.4614144158038633</c:v>
                      </c:pt>
                      <c:pt idx="53">
                        <c:v>1.495186684304304</c:v>
                      </c:pt>
                      <c:pt idx="54">
                        <c:v>1.5292392613075323</c:v>
                      </c:pt>
                      <c:pt idx="55">
                        <c:v>1.5635766172737862</c:v>
                      </c:pt>
                      <c:pt idx="56">
                        <c:v>1.5982033040481187</c:v>
                      </c:pt>
                      <c:pt idx="57">
                        <c:v>1.6331239569240754</c:v>
                      </c:pt>
                      <c:pt idx="58">
                        <c:v>1.6683432967664018</c:v>
                      </c:pt>
                      <c:pt idx="59">
                        <c:v>1.7038661321948327</c:v>
                      </c:pt>
                      <c:pt idx="60">
                        <c:v>1.7396973618311173</c:v>
                      </c:pt>
                      <c:pt idx="61">
                        <c:v>1.7758419766115103</c:v>
                      </c:pt>
                      <c:pt idx="62">
                        <c:v>1.812305062167042</c:v>
                      </c:pt>
                      <c:pt idx="63">
                        <c:v>1.8490918012739848</c:v>
                      </c:pt>
                      <c:pt idx="64">
                        <c:v>1.8862074763770205</c:v>
                      </c:pt>
                      <c:pt idx="65">
                        <c:v>1.9236574721877153</c:v>
                      </c:pt>
                      <c:pt idx="66">
                        <c:v>1.9614472783610186</c:v>
                      </c:pt>
                      <c:pt idx="67">
                        <c:v>1.9995824922526075</c:v>
                      </c:pt>
                      <c:pt idx="68">
                        <c:v>2.0380688217600231</c:v>
                      </c:pt>
                      <c:pt idx="69">
                        <c:v>2.0769120882506424</c:v>
                      </c:pt>
                      <c:pt idx="70">
                        <c:v>2.1161182295796972</c:v>
                      </c:pt>
                      <c:pt idx="71">
                        <c:v>2.1556933032016361</c:v>
                      </c:pt>
                      <c:pt idx="72">
                        <c:v>2.1956434893783077</c:v>
                      </c:pt>
                      <c:pt idx="73">
                        <c:v>2.2359750944875478</c:v>
                      </c:pt>
                      <c:pt idx="74">
                        <c:v>2.2766945544359531</c:v>
                      </c:pt>
                      <c:pt idx="75">
                        <c:v>2.3178084381797279</c:v>
                      </c:pt>
                      <c:pt idx="76">
                        <c:v>2.359323451357715</c:v>
                      </c:pt>
                      <c:pt idx="77">
                        <c:v>2.4012464400408531</c:v>
                      </c:pt>
                      <c:pt idx="78">
                        <c:v>2.4435843946024987</c:v>
                      </c:pt>
                      <c:pt idx="79">
                        <c:v>2.4863444537142776</c:v>
                      </c:pt>
                      <c:pt idx="80">
                        <c:v>2.5295339084722674</c:v>
                      </c:pt>
                      <c:pt idx="81">
                        <c:v>2.5731602066585961</c:v>
                      </c:pt>
                      <c:pt idx="82">
                        <c:v>2.6172309571437076</c:v>
                      </c:pt>
                      <c:pt idx="83">
                        <c:v>2.661753934434826</c:v>
                      </c:pt>
                      <c:pt idx="84">
                        <c:v>2.7067370833763569</c:v>
                      </c:pt>
                      <c:pt idx="85">
                        <c:v>2.7521885240082544</c:v>
                      </c:pt>
                      <c:pt idx="86">
                        <c:v>2.7981165565886417</c:v>
                      </c:pt>
                      <c:pt idx="87">
                        <c:v>2.8445296667872495</c:v>
                      </c:pt>
                      <c:pt idx="88">
                        <c:v>2.8914365310565624</c:v>
                      </c:pt>
                      <c:pt idx="89">
                        <c:v>2.9388460221878554</c:v>
                      </c:pt>
                      <c:pt idx="90">
                        <c:v>2.9867672150596576</c:v>
                      </c:pt>
                      <c:pt idx="91">
                        <c:v>3.0352093925865051</c:v>
                      </c:pt>
                      <c:pt idx="92">
                        <c:v>3.0841820518762408</c:v>
                      </c:pt>
                      <c:pt idx="93">
                        <c:v>3.133694910604504</c:v>
                      </c:pt>
                      <c:pt idx="94">
                        <c:v>3.1837579136154215</c:v>
                      </c:pt>
                      <c:pt idx="95">
                        <c:v>3.2343812397580307</c:v>
                      </c:pt>
                      <c:pt idx="96">
                        <c:v>3.2855753089683071</c:v>
                      </c:pt>
                      <c:pt idx="97">
                        <c:v>3.3373507896072625</c:v>
                      </c:pt>
                      <c:pt idx="98">
                        <c:v>3.389718606065995</c:v>
                      </c:pt>
                      <c:pt idx="99">
                        <c:v>3.4426899466491623</c:v>
                      </c:pt>
                      <c:pt idx="100">
                        <c:v>3.4962762717488824</c:v>
                      </c:pt>
                    </c:numCache>
                  </c:numRef>
                </c:val>
                <c:smooth val="0"/>
                <c:extLst xmlns:c15="http://schemas.microsoft.com/office/drawing/2012/chart">
                  <c:ext xmlns:c16="http://schemas.microsoft.com/office/drawing/2014/chart" uri="{C3380CC4-5D6E-409C-BE32-E72D297353CC}">
                    <c16:uniqueId val="{0000000A-52A5-4349-9ADA-2A074F0D0C46}"/>
                  </c:ext>
                </c:extLst>
              </c15:ser>
            </c15:filteredLineSeries>
            <c15:filteredLineSeries>
              <c15:ser>
                <c:idx val="2"/>
                <c:order val="11"/>
                <c:tx>
                  <c:strRef>
                    <c:extLst xmlns:c15="http://schemas.microsoft.com/office/drawing/2012/chart">
                      <c:ext xmlns:c15="http://schemas.microsoft.com/office/drawing/2012/chart" uri="{02D57815-91ED-43cb-92C2-25804820EDAC}">
                        <c15:formulaRef>
                          <c15:sqref>'Efficiency vs Load Calculations'!$BR$8</c15:sqref>
                        </c15:formulaRef>
                      </c:ext>
                    </c:extLst>
                    <c:strCache>
                      <c:ptCount val="1"/>
                      <c:pt idx="0">
                        <c:v>Buck ''Control'' MOSFET Loss</c:v>
                      </c:pt>
                    </c:strCache>
                  </c:strRef>
                </c:tx>
                <c:spPr>
                  <a:ln w="38100">
                    <a:solidFill>
                      <a:srgbClr val="808000"/>
                    </a:solidFill>
                    <a:prstDash val="sysDash"/>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Calculations'!$BR$9:$BR$109</c15:sqref>
                        </c15:formulaRef>
                      </c:ext>
                    </c:extLst>
                    <c:numCache>
                      <c:formatCode>0.000</c:formatCode>
                      <c:ptCount val="101"/>
                      <c:pt idx="0">
                        <c:v>3.1529105136505538E-2</c:v>
                      </c:pt>
                      <c:pt idx="1">
                        <c:v>5.4690673352102183E-2</c:v>
                      </c:pt>
                      <c:pt idx="2">
                        <c:v>7.7385953848884345E-2</c:v>
                      </c:pt>
                      <c:pt idx="3">
                        <c:v>0.10020680619968501</c:v>
                      </c:pt>
                      <c:pt idx="4">
                        <c:v>0.12315510877160887</c:v>
                      </c:pt>
                      <c:pt idx="5">
                        <c:v>0.14623276282052239</c:v>
                      </c:pt>
                      <c:pt idx="6">
                        <c:v>0.16944169305522361</c:v>
                      </c:pt>
                      <c:pt idx="7">
                        <c:v>0.19278384821223077</c:v>
                      </c:pt>
                      <c:pt idx="8">
                        <c:v>0.21626120164155113</c:v>
                      </c:pt>
                      <c:pt idx="9">
                        <c:v>0.23987575190379914</c:v>
                      </c:pt>
                      <c:pt idx="10">
                        <c:v>0.26362952337904461</c:v>
                      </c:pt>
                      <c:pt idx="11">
                        <c:v>0.2893204591322821</c:v>
                      </c:pt>
                      <c:pt idx="12">
                        <c:v>0.31625123740263961</c:v>
                      </c:pt>
                      <c:pt idx="13">
                        <c:v>0.34332962955552204</c:v>
                      </c:pt>
                      <c:pt idx="14">
                        <c:v>0.37055802488475886</c:v>
                      </c:pt>
                      <c:pt idx="15">
                        <c:v>0.39793884254681378</c:v>
                      </c:pt>
                      <c:pt idx="16">
                        <c:v>0.42547453232484467</c:v>
                      </c:pt>
                      <c:pt idx="17">
                        <c:v>0.45316757540803548</c:v>
                      </c:pt>
                      <c:pt idx="18">
                        <c:v>0.48102048518672286</c:v>
                      </c:pt>
                      <c:pt idx="19">
                        <c:v>0.50903580806385684</c:v>
                      </c:pt>
                      <c:pt idx="20">
                        <c:v>0.5372161242833452</c:v>
                      </c:pt>
                      <c:pt idx="21">
                        <c:v>0.56556404877585409</c:v>
                      </c:pt>
                      <c:pt idx="22">
                        <c:v>0.59408223202264832</c:v>
                      </c:pt>
                      <c:pt idx="23">
                        <c:v>0.62277336093807478</c:v>
                      </c:pt>
                      <c:pt idx="24">
                        <c:v>0.65164015977131173</c:v>
                      </c:pt>
                      <c:pt idx="25">
                        <c:v>0.68068539102802017</c:v>
                      </c:pt>
                      <c:pt idx="26">
                        <c:v>0.70991185641256338</c:v>
                      </c:pt>
                      <c:pt idx="27">
                        <c:v>0.73932239779146713</c:v>
                      </c:pt>
                      <c:pt idx="28">
                        <c:v>0.76891989817882811</c:v>
                      </c:pt>
                      <c:pt idx="29">
                        <c:v>0.79870728274439262</c:v>
                      </c:pt>
                      <c:pt idx="30">
                        <c:v>0.82868751984504985</c:v>
                      </c:pt>
                      <c:pt idx="31">
                        <c:v>0.85886362208051414</c:v>
                      </c:pt>
                      <c:pt idx="32">
                        <c:v>0.88923864737398972</c:v>
                      </c:pt>
                      <c:pt idx="33">
                        <c:v>0.91981570007864144</c:v>
                      </c:pt>
                      <c:pt idx="34">
                        <c:v>0.95059793211071986</c:v>
                      </c:pt>
                      <c:pt idx="35">
                        <c:v>0.98158854411021823</c:v>
                      </c:pt>
                      <c:pt idx="36">
                        <c:v>1.0127907866299692</c:v>
                      </c:pt>
                      <c:pt idx="37">
                        <c:v>1.0442079613541166</c:v>
                      </c:pt>
                      <c:pt idx="38">
                        <c:v>1.0758434223469351</c:v>
                      </c:pt>
                      <c:pt idx="39">
                        <c:v>1.107700577333</c:v>
                      </c:pt>
                      <c:pt idx="40">
                        <c:v>1.1397828890097406</c:v>
                      </c:pt>
                      <c:pt idx="41">
                        <c:v>1.172093876393457</c:v>
                      </c:pt>
                      <c:pt idx="42">
                        <c:v>1.2046371161999092</c:v>
                      </c:pt>
                      <c:pt idx="43">
                        <c:v>1.2374162442606262</c:v>
                      </c:pt>
                      <c:pt idx="44">
                        <c:v>1.2704349569761337</c:v>
                      </c:pt>
                      <c:pt idx="45">
                        <c:v>1.3036970128073253</c:v>
                      </c:pt>
                      <c:pt idx="46">
                        <c:v>1.3372062338062658</c:v>
                      </c:pt>
                      <c:pt idx="47">
                        <c:v>1.370966507187743</c:v>
                      </c:pt>
                      <c:pt idx="48">
                        <c:v>1.4049817869429471</c:v>
                      </c:pt>
                      <c:pt idx="49">
                        <c:v>1.4392560954966971</c:v>
                      </c:pt>
                      <c:pt idx="50">
                        <c:v>1.4737935254096961</c:v>
                      </c:pt>
                      <c:pt idx="51">
                        <c:v>1.5085982411273378</c:v>
                      </c:pt>
                      <c:pt idx="52">
                        <c:v>1.5436744807766634</c:v>
                      </c:pt>
                      <c:pt idx="53">
                        <c:v>1.579026558013104</c:v>
                      </c:pt>
                      <c:pt idx="54">
                        <c:v>1.6146588639187323</c:v>
                      </c:pt>
                      <c:pt idx="55">
                        <c:v>1.6505758689537862</c:v>
                      </c:pt>
                      <c:pt idx="56">
                        <c:v>1.6867821249633188</c:v>
                      </c:pt>
                      <c:pt idx="57">
                        <c:v>1.7232822672408754</c:v>
                      </c:pt>
                      <c:pt idx="58">
                        <c:v>1.7600810166512018</c:v>
                      </c:pt>
                      <c:pt idx="59">
                        <c:v>1.7971831818140327</c:v>
                      </c:pt>
                      <c:pt idx="60">
                        <c:v>1.8345936613511173</c:v>
                      </c:pt>
                      <c:pt idx="61">
                        <c:v>1.8723174461987104</c:v>
                      </c:pt>
                      <c:pt idx="62">
                        <c:v>1.910359621987842</c:v>
                      </c:pt>
                      <c:pt idx="63">
                        <c:v>1.9487253714947848</c:v>
                      </c:pt>
                      <c:pt idx="64">
                        <c:v>1.9874199771642205</c:v>
                      </c:pt>
                      <c:pt idx="65">
                        <c:v>2.0264488237077152</c:v>
                      </c:pt>
                      <c:pt idx="66">
                        <c:v>2.0658174007802188</c:v>
                      </c:pt>
                      <c:pt idx="67">
                        <c:v>2.1055313057374074</c:v>
                      </c:pt>
                      <c:pt idx="68">
                        <c:v>2.1455962464768232</c:v>
                      </c:pt>
                      <c:pt idx="69">
                        <c:v>2.1860180443658423</c:v>
                      </c:pt>
                      <c:pt idx="70">
                        <c:v>2.2268026372596972</c:v>
                      </c:pt>
                      <c:pt idx="71">
                        <c:v>2.267956082612836</c:v>
                      </c:pt>
                      <c:pt idx="72">
                        <c:v>2.3094845606871077</c:v>
                      </c:pt>
                      <c:pt idx="73">
                        <c:v>2.3513943778603479</c:v>
                      </c:pt>
                      <c:pt idx="74">
                        <c:v>2.393691970039153</c:v>
                      </c:pt>
                      <c:pt idx="75">
                        <c:v>2.4363839061797279</c:v>
                      </c:pt>
                      <c:pt idx="76">
                        <c:v>2.4794768919209149</c:v>
                      </c:pt>
                      <c:pt idx="77">
                        <c:v>2.5229777733336531</c:v>
                      </c:pt>
                      <c:pt idx="78">
                        <c:v>2.5668935407912987</c:v>
                      </c:pt>
                      <c:pt idx="79">
                        <c:v>2.6112313329654775</c:v>
                      </c:pt>
                      <c:pt idx="80">
                        <c:v>2.6559984409522674</c:v>
                      </c:pt>
                      <c:pt idx="81">
                        <c:v>2.7012023125337961</c:v>
                      </c:pt>
                      <c:pt idx="82">
                        <c:v>2.7468505565805077</c:v>
                      </c:pt>
                      <c:pt idx="83">
                        <c:v>2.7929509475996261</c:v>
                      </c:pt>
                      <c:pt idx="84">
                        <c:v>2.8395114304355569</c:v>
                      </c:pt>
                      <c:pt idx="85">
                        <c:v>2.8865401251282545</c:v>
                      </c:pt>
                      <c:pt idx="86">
                        <c:v>2.9340453319358417</c:v>
                      </c:pt>
                      <c:pt idx="87">
                        <c:v>2.9820355365280493</c:v>
                      </c:pt>
                      <c:pt idx="88">
                        <c:v>3.0305194153573622</c:v>
                      </c:pt>
                      <c:pt idx="89">
                        <c:v>3.0795058412150556</c:v>
                      </c:pt>
                      <c:pt idx="90">
                        <c:v>3.1290038889796574</c:v>
                      </c:pt>
                      <c:pt idx="91">
                        <c:v>3.1790228415657049</c:v>
                      </c:pt>
                      <c:pt idx="92">
                        <c:v>3.2295721960810408</c:v>
                      </c:pt>
                      <c:pt idx="93">
                        <c:v>3.2806616702013041</c:v>
                      </c:pt>
                      <c:pt idx="94">
                        <c:v>3.3323012087706214</c:v>
                      </c:pt>
                      <c:pt idx="95">
                        <c:v>3.3845009906380308</c:v>
                      </c:pt>
                      <c:pt idx="96">
                        <c:v>3.4372714357395071</c:v>
                      </c:pt>
                      <c:pt idx="97">
                        <c:v>3.4906232124360623</c:v>
                      </c:pt>
                      <c:pt idx="98">
                        <c:v>3.5445672451187948</c:v>
                      </c:pt>
                      <c:pt idx="99">
                        <c:v>3.5991147220923625</c:v>
                      </c:pt>
                      <c:pt idx="100">
                        <c:v>3.6542771037488824</c:v>
                      </c:pt>
                    </c:numCache>
                  </c:numRef>
                </c:val>
                <c:smooth val="0"/>
                <c:extLst xmlns:c15="http://schemas.microsoft.com/office/drawing/2012/chart">
                  <c:ext xmlns:c16="http://schemas.microsoft.com/office/drawing/2014/chart" uri="{C3380CC4-5D6E-409C-BE32-E72D297353CC}">
                    <c16:uniqueId val="{0000000B-52A5-4349-9ADA-2A074F0D0C46}"/>
                  </c:ext>
                </c:extLst>
              </c15:ser>
            </c15:filteredLineSeries>
            <c15:filteredLineSeries>
              <c15:ser>
                <c:idx val="3"/>
                <c:order val="12"/>
                <c:tx>
                  <c:v>Inductor Loss</c:v>
                </c:tx>
                <c:spPr>
                  <a:ln w="38100">
                    <a:solidFill>
                      <a:srgbClr val="800080"/>
                    </a:solidFill>
                    <a:prstDash val="dash"/>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Calculations'!$BP$9:$BP$109</c15:sqref>
                        </c15:formulaRef>
                      </c:ext>
                    </c:extLst>
                    <c:numCache>
                      <c:formatCode>0.000</c:formatCode>
                      <c:ptCount val="101"/>
                      <c:pt idx="0">
                        <c:v>0.26565911720848034</c:v>
                      </c:pt>
                      <c:pt idx="1">
                        <c:v>0.26579630391885301</c:v>
                      </c:pt>
                      <c:pt idx="2">
                        <c:v>0.26610062303457804</c:v>
                      </c:pt>
                      <c:pt idx="3">
                        <c:v>0.26657209470366122</c:v>
                      </c:pt>
                      <c:pt idx="4">
                        <c:v>0.2672107524827117</c:v>
                      </c:pt>
                      <c:pt idx="5">
                        <c:v>0.26801664334367359</c:v>
                      </c:pt>
                      <c:pt idx="6">
                        <c:v>0.26898982768324814</c:v>
                      </c:pt>
                      <c:pt idx="7">
                        <c:v>0.27013037933500927</c:v>
                      </c:pt>
                      <c:pt idx="8">
                        <c:v>0.2714383855842224</c:v>
                      </c:pt>
                      <c:pt idx="9">
                        <c:v>0.27291394718536693</c:v>
                      </c:pt>
                      <c:pt idx="10">
                        <c:v>0.27455717838236804</c:v>
                      </c:pt>
                      <c:pt idx="11">
                        <c:v>0.27636820693155761</c:v>
                      </c:pt>
                      <c:pt idx="12">
                        <c:v>0.27834717412735172</c:v>
                      </c:pt>
                      <c:pt idx="13">
                        <c:v>0.28049423483067404</c:v>
                      </c:pt>
                      <c:pt idx="14">
                        <c:v>0.28280955750012549</c:v>
                      </c:pt>
                      <c:pt idx="15">
                        <c:v>0.28529332422591619</c:v>
                      </c:pt>
                      <c:pt idx="16">
                        <c:v>0.28794573076656566</c:v>
                      </c:pt>
                      <c:pt idx="17">
                        <c:v>0.29076698658839467</c:v>
                      </c:pt>
                      <c:pt idx="18">
                        <c:v>0.29375731490781998</c:v>
                      </c:pt>
                      <c:pt idx="19">
                        <c:v>0.29691695273646257</c:v>
                      </c:pt>
                      <c:pt idx="20">
                        <c:v>0.30024615092909224</c:v>
                      </c:pt>
                      <c:pt idx="21">
                        <c:v>0.30374517423442832</c:v>
                      </c:pt>
                      <c:pt idx="22">
                        <c:v>0.30741430134881009</c:v>
                      </c:pt>
                      <c:pt idx="23">
                        <c:v>0.3112538249727585</c:v>
                      </c:pt>
                      <c:pt idx="24">
                        <c:v>0.31526405187045703</c:v>
                      </c:pt>
                      <c:pt idx="25">
                        <c:v>0.31944530293216483</c:v>
                      </c:pt>
                      <c:pt idx="26">
                        <c:v>0.32379791323959262</c:v>
                      </c:pt>
                      <c:pt idx="27">
                        <c:v>0.32832223213426426</c:v>
                      </c:pt>
                      <c:pt idx="28">
                        <c:v>0.33301862328889148</c:v>
                      </c:pt>
                      <c:pt idx="29">
                        <c:v>0.33788746478178272</c:v>
                      </c:pt>
                      <c:pt idx="30">
                        <c:v>0.3429291491743271</c:v>
                      </c:pt>
                      <c:pt idx="31">
                        <c:v>0.34814408359157223</c:v>
                      </c:pt>
                      <c:pt idx="32">
                        <c:v>0.353532689805929</c:v>
                      </c:pt>
                      <c:pt idx="33">
                        <c:v>0.35909540432404125</c:v>
                      </c:pt>
                      <c:pt idx="34">
                        <c:v>0.36483267847684897</c:v>
                      </c:pt>
                      <c:pt idx="35">
                        <c:v>0.3707449785128798</c:v>
                      </c:pt>
                      <c:pt idx="36">
                        <c:v>0.37683278569480932</c:v>
                      </c:pt>
                      <c:pt idx="37">
                        <c:v>0.38309659639932347</c:v>
                      </c:pt>
                      <c:pt idx="38">
                        <c:v>0.38953692222032232</c:v>
                      </c:pt>
                      <c:pt idx="39">
                        <c:v>0.39615429007551195</c:v>
                      </c:pt>
                      <c:pt idx="40">
                        <c:v>0.40294924231641738</c:v>
                      </c:pt>
                      <c:pt idx="41">
                        <c:v>0.40992233684186491</c:v>
                      </c:pt>
                      <c:pt idx="42">
                        <c:v>0.4170741472149796</c:v>
                      </c:pt>
                      <c:pt idx="43">
                        <c:v>0.42440526278374296</c:v>
                      </c:pt>
                      <c:pt idx="44">
                        <c:v>0.43191628880515298</c:v>
                      </c:pt>
                      <c:pt idx="45">
                        <c:v>0.43960784657305269</c:v>
                      </c:pt>
                      <c:pt idx="46">
                        <c:v>0.44748057354965576</c:v>
                      </c:pt>
                      <c:pt idx="47">
                        <c:v>0.45553512350083925</c:v>
                      </c:pt>
                      <c:pt idx="48">
                        <c:v>0.46377216663525433</c:v>
                      </c:pt>
                      <c:pt idx="49">
                        <c:v>0.47219238974730104</c:v>
                      </c:pt>
                      <c:pt idx="50">
                        <c:v>0.48079649636404337</c:v>
                      </c:pt>
                      <c:pt idx="51">
                        <c:v>0.48958520689610618</c:v>
                      </c:pt>
                      <c:pt idx="52">
                        <c:v>0.49855925879262619</c:v>
                      </c:pt>
                      <c:pt idx="53">
                        <c:v>0.5077194067003199</c:v>
                      </c:pt>
                      <c:pt idx="54">
                        <c:v>0.51706642262672653</c:v>
                      </c:pt>
                      <c:pt idx="55">
                        <c:v>0.52660109610770411</c:v>
                      </c:pt>
                      <c:pt idx="56">
                        <c:v>0.53632423437923926</c:v>
                      </c:pt>
                      <c:pt idx="57">
                        <c:v>0.54623666255364267</c:v>
                      </c:pt>
                      <c:pt idx="58">
                        <c:v>0.55633922380021561</c:v>
                      </c:pt>
                      <c:pt idx="59">
                        <c:v>0.56663277953044044</c:v>
                      </c:pt>
                      <c:pt idx="60">
                        <c:v>0.57711820958779669</c:v>
                      </c:pt>
                      <c:pt idx="61">
                        <c:v>0.58779641244227177</c:v>
                      </c:pt>
                      <c:pt idx="62">
                        <c:v>0.59866830538964078</c:v>
                      </c:pt>
                      <c:pt idx="63">
                        <c:v>0.60973482475561869</c:v>
                      </c:pt>
                      <c:pt idx="64">
                        <c:v>0.6209969261049576</c:v>
                      </c:pt>
                      <c:pt idx="65">
                        <c:v>0.63245558445558303</c:v>
                      </c:pt>
                      <c:pt idx="66">
                        <c:v>0.64411179449786404</c:v>
                      </c:pt>
                      <c:pt idx="67">
                        <c:v>0.65596657081910603</c:v>
                      </c:pt>
                      <c:pt idx="68">
                        <c:v>0.66802094813337676</c:v>
                      </c:pt>
                      <c:pt idx="69">
                        <c:v>0.68027598151674229</c:v>
                      </c:pt>
                      <c:pt idx="70">
                        <c:v>0.6927327466480433</c:v>
                      </c:pt>
                      <c:pt idx="71">
                        <c:v>0.70539234005530105</c:v>
                      </c:pt>
                      <c:pt idx="72">
                        <c:v>0.71825587936786417</c:v>
                      </c:pt>
                      <c:pt idx="73">
                        <c:v>0.73132450357441148</c:v>
                      </c:pt>
                      <c:pt idx="74">
                        <c:v>0.74459937328692516</c:v>
                      </c:pt>
                      <c:pt idx="75">
                        <c:v>0.75808167101075397</c:v>
                      </c:pt>
                      <c:pt idx="76">
                        <c:v>0.77177260142088411</c:v>
                      </c:pt>
                      <c:pt idx="77">
                        <c:v>0.7856733916445483</c:v>
                      </c:pt>
                      <c:pt idx="78">
                        <c:v>0.79978529155029532</c:v>
                      </c:pt>
                      <c:pt idx="79">
                        <c:v>0.8141095740436628</c:v>
                      </c:pt>
                      <c:pt idx="80">
                        <c:v>0.82864753536957614</c:v>
                      </c:pt>
                      <c:pt idx="81">
                        <c:v>0.84340049542162476</c:v>
                      </c:pt>
                      <c:pt idx="82">
                        <c:v>0.85836979805835045</c:v>
                      </c:pt>
                      <c:pt idx="83">
                        <c:v>0.87355681142670383</c:v>
                      </c:pt>
                      <c:pt idx="84">
                        <c:v>0.88896292829281243</c:v>
                      </c:pt>
                      <c:pt idx="85">
                        <c:v>0.90458956638023058</c:v>
                      </c:pt>
                      <c:pt idx="86">
                        <c:v>0.92043816871580642</c:v>
                      </c:pt>
                      <c:pt idx="87">
                        <c:v>0.93651020398335882</c:v>
                      </c:pt>
                      <c:pt idx="88">
                        <c:v>0.95280716688532241</c:v>
                      </c:pt>
                      <c:pt idx="89">
                        <c:v>0.96933057851252258</c:v>
                      </c:pt>
                      <c:pt idx="90">
                        <c:v>0.98608198672228875</c:v>
                      </c:pt>
                      <c:pt idx="91">
                        <c:v>1.0030629665250581</c:v>
                      </c:pt>
                      <c:pt idx="92">
                        <c:v>1.0202751204796838</c:v>
                      </c:pt>
                      <c:pt idx="93">
                        <c:v>1.037720079097634</c:v>
                      </c:pt>
                      <c:pt idx="94">
                        <c:v>1.0553995012562762</c:v>
                      </c:pt>
                      <c:pt idx="95">
                        <c:v>1.0733150746214648</c:v>
                      </c:pt>
                      <c:pt idx="96">
                        <c:v>1.0914685160796367</c:v>
                      </c:pt>
                      <c:pt idx="97">
                        <c:v>1.1098615721796328</c:v>
                      </c:pt>
                      <c:pt idx="98">
                        <c:v>1.1284960195844715</c:v>
                      </c:pt>
                      <c:pt idx="99">
                        <c:v>1.1473736655333138</c:v>
                      </c:pt>
                      <c:pt idx="100">
                        <c:v>1.1664963483138355</c:v>
                      </c:pt>
                    </c:numCache>
                  </c:numRef>
                </c:val>
                <c:smooth val="0"/>
                <c:extLst xmlns:c15="http://schemas.microsoft.com/office/drawing/2012/chart">
                  <c:ext xmlns:c16="http://schemas.microsoft.com/office/drawing/2014/chart" uri="{C3380CC4-5D6E-409C-BE32-E72D297353CC}">
                    <c16:uniqueId val="{0000000C-52A5-4349-9ADA-2A074F0D0C46}"/>
                  </c:ext>
                </c:extLst>
              </c15:ser>
            </c15:filteredLineSeries>
            <c15:filteredLineSeries>
              <c15:ser>
                <c:idx val="1"/>
                <c:order val="13"/>
                <c:tx>
                  <c:strRef>
                    <c:extLst xmlns:c15="http://schemas.microsoft.com/office/drawing/2012/chart">
                      <c:ext xmlns:c15="http://schemas.microsoft.com/office/drawing/2012/chart" uri="{02D57815-91ED-43cb-92C2-25804820EDAC}">
                        <c15:formulaRef>
                          <c15:sqref>'Efficiency vs Load Calculations'!$BS$8</c15:sqref>
                        </c15:formulaRef>
                      </c:ext>
                    </c:extLst>
                    <c:strCache>
                      <c:ptCount val="1"/>
                      <c:pt idx="0">
                        <c:v>Buck ''SYNC'' MOSFET Loss</c:v>
                      </c:pt>
                    </c:strCache>
                  </c:strRef>
                </c:tx>
                <c:spPr>
                  <a:ln w="38100">
                    <a:solidFill>
                      <a:srgbClr val="002060"/>
                    </a:solidFill>
                    <a:prstDash val="sysDot"/>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Calculations'!$BS$9:$BS$109</c15:sqref>
                        </c15:formulaRef>
                      </c:ext>
                    </c:extLst>
                    <c:numCache>
                      <c:formatCode>0.000</c:formatCode>
                      <c:ptCount val="101"/>
                      <c:pt idx="0">
                        <c:v>3.052429571815201E-2</c:v>
                      </c:pt>
                      <c:pt idx="1">
                        <c:v>3.5863480897242485E-2</c:v>
                      </c:pt>
                      <c:pt idx="2">
                        <c:v>3.9730033943421873E-2</c:v>
                      </c:pt>
                      <c:pt idx="3">
                        <c:v>4.3719051772311196E-2</c:v>
                      </c:pt>
                      <c:pt idx="4">
                        <c:v>4.7830839760933039E-2</c:v>
                      </c:pt>
                      <c:pt idx="5">
                        <c:v>5.2065724803173591E-2</c:v>
                      </c:pt>
                      <c:pt idx="6">
                        <c:v>5.6424055415732977E-2</c:v>
                      </c:pt>
                      <c:pt idx="7">
                        <c:v>6.0906201853576758E-2</c:v>
                      </c:pt>
                      <c:pt idx="8">
                        <c:v>6.5512556234968183E-2</c:v>
                      </c:pt>
                      <c:pt idx="9">
                        <c:v>7.0243532676168036E-2</c:v>
                      </c:pt>
                      <c:pt idx="10">
                        <c:v>7.5099567435896991E-2</c:v>
                      </c:pt>
                      <c:pt idx="11">
                        <c:v>8.187701131416586E-2</c:v>
                      </c:pt>
                      <c:pt idx="12">
                        <c:v>8.9876945672302339E-2</c:v>
                      </c:pt>
                      <c:pt idx="13">
                        <c:v>9.8005539913078019E-2</c:v>
                      </c:pt>
                      <c:pt idx="14">
                        <c:v>0.10626357580770966</c:v>
                      </c:pt>
                      <c:pt idx="15">
                        <c:v>0.11465185895149579</c:v>
                      </c:pt>
                      <c:pt idx="16">
                        <c:v>0.12317121904557357</c:v>
                      </c:pt>
                      <c:pt idx="17">
                        <c:v>0.13182251018991303</c:v>
                      </c:pt>
                      <c:pt idx="18">
                        <c:v>0.14060661118776147</c:v>
                      </c:pt>
                      <c:pt idx="19">
                        <c:v>0.14952442586176073</c:v>
                      </c:pt>
                      <c:pt idx="20">
                        <c:v>0.15857688338197146</c:v>
                      </c:pt>
                      <c:pt idx="21">
                        <c:v>0.16776493860604672</c:v>
                      </c:pt>
                      <c:pt idx="22">
                        <c:v>0.17708957243181245</c:v>
                      </c:pt>
                      <c:pt idx="23">
                        <c:v>0.18655179216251841</c:v>
                      </c:pt>
                      <c:pt idx="24">
                        <c:v>0.19615263188503948</c:v>
                      </c:pt>
                      <c:pt idx="25">
                        <c:v>0.2058931528613164</c:v>
                      </c:pt>
                      <c:pt idx="26">
                        <c:v>0.21577444393333833</c:v>
                      </c:pt>
                      <c:pt idx="27">
                        <c:v>0.22579762194198238</c:v>
                      </c:pt>
                      <c:pt idx="28">
                        <c:v>0.23596383216003858</c:v>
                      </c:pt>
                      <c:pt idx="29">
                        <c:v>0.24627424873976173</c:v>
                      </c:pt>
                      <c:pt idx="30">
                        <c:v>0.25673007517530622</c:v>
                      </c:pt>
                      <c:pt idx="31">
                        <c:v>0.26733254478041429</c:v>
                      </c:pt>
                      <c:pt idx="32">
                        <c:v>0.27808292118174366</c:v>
                      </c:pt>
                      <c:pt idx="33">
                        <c:v>0.28898249882823435</c:v>
                      </c:pt>
                      <c:pt idx="34">
                        <c:v>0.30003260351693373</c:v>
                      </c:pt>
                      <c:pt idx="35">
                        <c:v>0.31123459293571176</c:v>
                      </c:pt>
                      <c:pt idx="36">
                        <c:v>0.32258985722331895</c:v>
                      </c:pt>
                      <c:pt idx="37">
                        <c:v>0.33409981954725509</c:v>
                      </c:pt>
                      <c:pt idx="38">
                        <c:v>0.3457659366999376</c:v>
                      </c:pt>
                      <c:pt idx="39">
                        <c:v>0.35758969971367538</c:v>
                      </c:pt>
                      <c:pt idx="40">
                        <c:v>0.36957263449497507</c:v>
                      </c:pt>
                      <c:pt idx="41">
                        <c:v>0.38171630247872812</c:v>
                      </c:pt>
                      <c:pt idx="42">
                        <c:v>0.39402230130284821</c:v>
                      </c:pt>
                      <c:pt idx="43">
                        <c:v>0.40649226550394868</c:v>
                      </c:pt>
                      <c:pt idx="44">
                        <c:v>0.41912786723467699</c:v>
                      </c:pt>
                      <c:pt idx="45">
                        <c:v>0.43193081700334474</c:v>
                      </c:pt>
                      <c:pt idx="46">
                        <c:v>0.44490286443651672</c:v>
                      </c:pt>
                      <c:pt idx="47">
                        <c:v>0.45804579906524978</c:v>
                      </c:pt>
                      <c:pt idx="48">
                        <c:v>0.47136145113570016</c:v>
                      </c:pt>
                      <c:pt idx="49">
                        <c:v>0.48485169244484244</c:v>
                      </c:pt>
                      <c:pt idx="50">
                        <c:v>0.49851843720207956</c:v>
                      </c:pt>
                      <c:pt idx="51">
                        <c:v>0.51236364291754555</c:v>
                      </c:pt>
                      <c:pt idx="52">
                        <c:v>0.52638931131794175</c:v>
                      </c:pt>
                      <c:pt idx="53">
                        <c:v>0.540597489290778</c:v>
                      </c:pt>
                      <c:pt idx="54">
                        <c:v>0.55499026985792177</c:v>
                      </c:pt>
                      <c:pt idx="55">
                        <c:v>0.56956979317940171</c:v>
                      </c:pt>
                      <c:pt idx="56">
                        <c:v>0.58433824758844199</c:v>
                      </c:pt>
                      <c:pt idx="57">
                        <c:v>0.59929787065874707</c:v>
                      </c:pt>
                      <c:pt idx="58">
                        <c:v>0.61445095030510011</c:v>
                      </c:pt>
                      <c:pt idx="59">
                        <c:v>0.62979982591837347</c:v>
                      </c:pt>
                      <c:pt idx="60">
                        <c:v>0.64534688953610186</c:v>
                      </c:pt>
                      <c:pt idx="61">
                        <c:v>0.66109458704981328</c:v>
                      </c:pt>
                      <c:pt idx="62">
                        <c:v>0.67704541945035701</c:v>
                      </c:pt>
                      <c:pt idx="63">
                        <c:v>0.69320194411252578</c:v>
                      </c:pt>
                      <c:pt idx="64">
                        <c:v>0.70956677612032049</c:v>
                      </c:pt>
                      <c:pt idx="65">
                        <c:v>0.72614258963425315</c:v>
                      </c:pt>
                      <c:pt idx="66">
                        <c:v>0.74293211930215808</c:v>
                      </c:pt>
                      <c:pt idx="67">
                        <c:v>0.7599381617150256</c:v>
                      </c:pt>
                      <c:pt idx="68">
                        <c:v>0.77716357690944671</c:v>
                      </c:pt>
                      <c:pt idx="69">
                        <c:v>0.79461128991831809</c:v>
                      </c:pt>
                      <c:pt idx="70">
                        <c:v>0.81228429237153121</c:v>
                      </c:pt>
                      <c:pt idx="71">
                        <c:v>0.83018564414843499</c:v>
                      </c:pt>
                      <c:pt idx="72">
                        <c:v>0.84831847508394675</c:v>
                      </c:pt>
                      <c:pt idx="73">
                        <c:v>0.86668598673025643</c:v>
                      </c:pt>
                      <c:pt idx="74">
                        <c:v>0.88529145417616006</c:v>
                      </c:pt>
                      <c:pt idx="75">
                        <c:v>0.90413822792614384</c:v>
                      </c:pt>
                      <c:pt idx="76">
                        <c:v>0.9232297358414272</c:v>
                      </c:pt>
                      <c:pt idx="77">
                        <c:v>0.94256948514528183</c:v>
                      </c:pt>
                      <c:pt idx="78">
                        <c:v>0.96216106449502303</c:v>
                      </c:pt>
                      <c:pt idx="79">
                        <c:v>0.98200814612320586</c:v>
                      </c:pt>
                      <c:pt idx="80">
                        <c:v>1.0021144880506363</c:v>
                      </c:pt>
                      <c:pt idx="81">
                        <c:v>1.0224839363739522</c:v>
                      </c:pt>
                      <c:pt idx="82">
                        <c:v>1.0431204276306318</c:v>
                      </c:pt>
                      <c:pt idx="83">
                        <c:v>1.064027991244429</c:v>
                      </c:pt>
                      <c:pt idx="84">
                        <c:v>1.0852107520543592</c:v>
                      </c:pt>
                      <c:pt idx="85">
                        <c:v>1.1066729329305103</c:v>
                      </c:pt>
                      <c:pt idx="86">
                        <c:v>1.1284188574800955</c:v>
                      </c:pt>
                      <c:pt idx="87">
                        <c:v>1.1504529528473215</c:v>
                      </c:pt>
                      <c:pt idx="88">
                        <c:v>1.1727797526108215</c:v>
                      </c:pt>
                      <c:pt idx="89">
                        <c:v>1.1954038997825518</c:v>
                      </c:pt>
                      <c:pt idx="90">
                        <c:v>1.218330149912265</c:v>
                      </c:pt>
                      <c:pt idx="91">
                        <c:v>1.2415633743018315</c:v>
                      </c:pt>
                      <c:pt idx="92">
                        <c:v>1.2651085633339079</c:v>
                      </c:pt>
                      <c:pt idx="93">
                        <c:v>1.2889708299196529</c:v>
                      </c:pt>
                      <c:pt idx="94">
                        <c:v>1.3131554130704117</c:v>
                      </c:pt>
                      <c:pt idx="95">
                        <c:v>1.337667681598538</c:v>
                      </c:pt>
                      <c:pt idx="96">
                        <c:v>1.3625131379527535</c:v>
                      </c:pt>
                      <c:pt idx="97">
                        <c:v>1.3876974221937302</c:v>
                      </c:pt>
                      <c:pt idx="98">
                        <c:v>1.4132263161158303</c:v>
                      </c:pt>
                      <c:pt idx="99">
                        <c:v>1.4391057475212585</c:v>
                      </c:pt>
                      <c:pt idx="100">
                        <c:v>1.4653417946531597</c:v>
                      </c:pt>
                    </c:numCache>
                  </c:numRef>
                </c:val>
                <c:smooth val="0"/>
                <c:extLst xmlns:c15="http://schemas.microsoft.com/office/drawing/2012/chart">
                  <c:ext xmlns:c16="http://schemas.microsoft.com/office/drawing/2014/chart" uri="{C3380CC4-5D6E-409C-BE32-E72D297353CC}">
                    <c16:uniqueId val="{0000000D-52A5-4349-9ADA-2A074F0D0C46}"/>
                  </c:ext>
                </c:extLst>
              </c15:ser>
            </c15:filteredLineSeries>
          </c:ext>
        </c:extLst>
      </c:lineChart>
      <c:catAx>
        <c:axId val="19635712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359296"/>
        <c:crosses val="autoZero"/>
        <c:auto val="1"/>
        <c:lblAlgn val="ctr"/>
        <c:lblOffset val="100"/>
        <c:tickLblSkip val="20"/>
        <c:tickMarkSkip val="20"/>
        <c:noMultiLvlLbl val="1"/>
      </c:catAx>
      <c:valAx>
        <c:axId val="196359296"/>
        <c:scaling>
          <c:orientation val="minMax"/>
          <c:max val="100"/>
          <c:min val="7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357120"/>
        <c:crosses val="autoZero"/>
        <c:crossBetween val="between"/>
        <c:majorUnit val="5"/>
        <c:minorUnit val="2.5"/>
      </c:valAx>
      <c:valAx>
        <c:axId val="19636121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371584"/>
        <c:crosses val="max"/>
        <c:crossBetween val="between"/>
      </c:valAx>
      <c:catAx>
        <c:axId val="196371584"/>
        <c:scaling>
          <c:orientation val="minMax"/>
        </c:scaling>
        <c:delete val="1"/>
        <c:axPos val="b"/>
        <c:numFmt formatCode="General" sourceLinked="1"/>
        <c:majorTickMark val="out"/>
        <c:minorTickMark val="none"/>
        <c:tickLblPos val="nextTo"/>
        <c:crossAx val="196361216"/>
        <c:crosses val="autoZero"/>
        <c:auto val="1"/>
        <c:lblAlgn val="ctr"/>
        <c:lblOffset val="100"/>
        <c:noMultiLvlLbl val="0"/>
      </c:catAx>
      <c:spPr>
        <a:noFill/>
        <a:ln w="25400">
          <a:noFill/>
        </a:ln>
      </c:spPr>
    </c:plotArea>
    <c:legend>
      <c:legendPos val="t"/>
      <c:layout>
        <c:manualLayout>
          <c:xMode val="edge"/>
          <c:yMode val="edge"/>
          <c:x val="0.63005910896542383"/>
          <c:y val="1.4357197956540091E-2"/>
          <c:w val="0.2573969285492303"/>
          <c:h val="0.1717043872288607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I</a:t>
            </a:r>
            <a:r>
              <a:rPr lang="en-US" sz="1800" b="1" i="0" u="none" strike="noStrike" baseline="-25000"/>
              <a:t>OUT</a:t>
            </a:r>
            <a:r>
              <a:rPr lang="en-US" sz="1800" b="1" i="0" u="none" strike="noStrike" baseline="0"/>
              <a:t> = I</a:t>
            </a:r>
            <a:r>
              <a:rPr lang="en-US" sz="1800" b="1" i="0" u="none" strike="noStrike" baseline="-25000"/>
              <a:t>OUT(max)</a:t>
            </a:r>
            <a:endParaRPr lang="en-US" sz="1800">
              <a:latin typeface="Arial" pitchFamily="34" charset="0"/>
              <a:cs typeface="Arial" pitchFamily="34" charset="0"/>
            </a:endParaRPr>
          </a:p>
        </c:rich>
      </c:tx>
      <c:layout>
        <c:manualLayout>
          <c:xMode val="edge"/>
          <c:yMode val="edge"/>
          <c:x val="8.6461554556559683E-2"/>
          <c:y val="5.1078541245190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31750">
              <a:solidFill>
                <a:srgbClr val="FF0000"/>
              </a:solidFill>
              <a:prstDash val="solid"/>
            </a:ln>
          </c:spPr>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Calculations'!$BO$9:$BO$209</c:f>
              <c:numCache>
                <c:formatCode>0.00</c:formatCode>
                <c:ptCount val="201"/>
                <c:pt idx="0">
                  <c:v>95.549377136149715</c:v>
                </c:pt>
                <c:pt idx="1">
                  <c:v>95.532263889966728</c:v>
                </c:pt>
                <c:pt idx="2">
                  <c:v>95.515110946792703</c:v>
                </c:pt>
                <c:pt idx="3">
                  <c:v>95.497921563735773</c:v>
                </c:pt>
                <c:pt idx="4">
                  <c:v>95.480698874935015</c:v>
                </c:pt>
                <c:pt idx="5">
                  <c:v>95.46344589523342</c:v>
                </c:pt>
                <c:pt idx="6">
                  <c:v>95.446165523831439</c:v>
                </c:pt>
                <c:pt idx="7">
                  <c:v>95.428860547907206</c:v>
                </c:pt>
                <c:pt idx="8">
                  <c:v>95.411533646191657</c:v>
                </c:pt>
                <c:pt idx="9">
                  <c:v>95.394187392488902</c:v>
                </c:pt>
                <c:pt idx="10">
                  <c:v>95.37682425913394</c:v>
                </c:pt>
                <c:pt idx="11">
                  <c:v>95.359446620381874</c:v>
                </c:pt>
                <c:pt idx="12">
                  <c:v>95.342056755723192</c:v>
                </c:pt>
                <c:pt idx="13">
                  <c:v>95.324656853121752</c:v>
                </c:pt>
                <c:pt idx="14">
                  <c:v>95.307249012172193</c:v>
                </c:pt>
                <c:pt idx="15">
                  <c:v>95.289835247175219</c:v>
                </c:pt>
                <c:pt idx="16">
                  <c:v>95.272417490129016</c:v>
                </c:pt>
                <c:pt idx="17">
                  <c:v>95.254997593636375</c:v>
                </c:pt>
                <c:pt idx="18">
                  <c:v>95.237577333727103</c:v>
                </c:pt>
                <c:pt idx="19">
                  <c:v>95.220158412596007</c:v>
                </c:pt>
                <c:pt idx="20">
                  <c:v>95.202742461257046</c:v>
                </c:pt>
                <c:pt idx="21">
                  <c:v>95.185331042114257</c:v>
                </c:pt>
                <c:pt idx="22">
                  <c:v>95.167925651451057</c:v>
                </c:pt>
                <c:pt idx="23">
                  <c:v>95.150527721838614</c:v>
                </c:pt>
                <c:pt idx="24">
                  <c:v>95.133138624465204</c:v>
                </c:pt>
                <c:pt idx="25">
                  <c:v>95.11575967138802</c:v>
                </c:pt>
                <c:pt idx="26">
                  <c:v>95.09839211770911</c:v>
                </c:pt>
                <c:pt idx="27">
                  <c:v>95.081037163677209</c:v>
                </c:pt>
                <c:pt idx="28">
                  <c:v>95.063695956717481</c:v>
                </c:pt>
                <c:pt idx="29">
                  <c:v>95.046369593390949</c:v>
                </c:pt>
                <c:pt idx="30">
                  <c:v>95.029059121285471</c:v>
                </c:pt>
                <c:pt idx="31">
                  <c:v>95.011765540840386</c:v>
                </c:pt>
                <c:pt idx="32">
                  <c:v>94.99448980710666</c:v>
                </c:pt>
                <c:pt idx="33">
                  <c:v>94.977232831444454</c:v>
                </c:pt>
                <c:pt idx="34">
                  <c:v>94.959995483160171</c:v>
                </c:pt>
                <c:pt idx="35">
                  <c:v>94.942778591084732</c:v>
                </c:pt>
                <c:pt idx="36">
                  <c:v>94.925582945095016</c:v>
                </c:pt>
                <c:pt idx="37">
                  <c:v>94.908409297580505</c:v>
                </c:pt>
                <c:pt idx="38">
                  <c:v>94.89125836485654</c:v>
                </c:pt>
                <c:pt idx="39">
                  <c:v>94.874130828526404</c:v>
                </c:pt>
                <c:pt idx="40">
                  <c:v>94.85702733679372</c:v>
                </c:pt>
                <c:pt idx="41">
                  <c:v>94.839948505726966</c:v>
                </c:pt>
                <c:pt idx="42">
                  <c:v>94.822894920477651</c:v>
                </c:pt>
                <c:pt idx="43">
                  <c:v>94.805867136453983</c:v>
                </c:pt>
                <c:pt idx="44">
                  <c:v>94.788865680451295</c:v>
                </c:pt>
                <c:pt idx="45">
                  <c:v>94.771891051741136</c:v>
                </c:pt>
                <c:pt idx="46">
                  <c:v>94.754943723120022</c:v>
                </c:pt>
                <c:pt idx="47">
                  <c:v>94.738024141919936</c:v>
                </c:pt>
                <c:pt idx="48">
                  <c:v>94.721132730981111</c:v>
                </c:pt>
                <c:pt idx="49">
                  <c:v>94.704269889589369</c:v>
                </c:pt>
                <c:pt idx="50">
                  <c:v>94.687435994378674</c:v>
                </c:pt>
                <c:pt idx="51">
                  <c:v>94.670631400200222</c:v>
                </c:pt>
                <c:pt idx="52">
                  <c:v>94.653856440959743</c:v>
                </c:pt>
                <c:pt idx="53">
                  <c:v>94.637111430423587</c:v>
                </c:pt>
                <c:pt idx="54">
                  <c:v>94.620396662995148</c:v>
                </c:pt>
                <c:pt idx="55">
                  <c:v>94.603712414462677</c:v>
                </c:pt>
                <c:pt idx="56">
                  <c:v>94.587058942719167</c:v>
                </c:pt>
                <c:pt idx="57">
                  <c:v>94.570436488455982</c:v>
                </c:pt>
                <c:pt idx="58">
                  <c:v>94.553845275830568</c:v>
                </c:pt>
                <c:pt idx="59">
                  <c:v>94.537285513109723</c:v>
                </c:pt>
                <c:pt idx="60">
                  <c:v>94.520757393288861</c:v>
                </c:pt>
                <c:pt idx="61">
                  <c:v>94.504261094688616</c:v>
                </c:pt>
                <c:pt idx="62">
                  <c:v>94.487796781529269</c:v>
                </c:pt>
                <c:pt idx="63">
                  <c:v>94.471364604484052</c:v>
                </c:pt>
                <c:pt idx="64">
                  <c:v>94.454964701211992</c:v>
                </c:pt>
                <c:pt idx="65">
                  <c:v>94.438597196871086</c:v>
                </c:pt>
                <c:pt idx="66">
                  <c:v>94.422262204612551</c:v>
                </c:pt>
                <c:pt idx="67">
                  <c:v>94.405959826056929</c:v>
                </c:pt>
                <c:pt idx="68">
                  <c:v>94.38969015175249</c:v>
                </c:pt>
                <c:pt idx="69">
                  <c:v>94.373453261616874</c:v>
                </c:pt>
                <c:pt idx="70">
                  <c:v>94.357249225362452</c:v>
                </c:pt>
                <c:pt idx="71">
                  <c:v>94.341078102905968</c:v>
                </c:pt>
                <c:pt idx="72">
                  <c:v>94.324939944763088</c:v>
                </c:pt>
                <c:pt idx="73">
                  <c:v>94.308834792428613</c:v>
                </c:pt>
                <c:pt idx="74">
                  <c:v>94.292762678742449</c:v>
                </c:pt>
                <c:pt idx="75">
                  <c:v>94.276723628242337</c:v>
                </c:pt>
                <c:pt idx="76">
                  <c:v>94.260717657503506</c:v>
                </c:pt>
                <c:pt idx="77">
                  <c:v>94.244744775465847</c:v>
                </c:pt>
                <c:pt idx="78">
                  <c:v>94.228804983749185</c:v>
                </c:pt>
                <c:pt idx="79">
                  <c:v>94.212898276956778</c:v>
                </c:pt>
                <c:pt idx="80">
                  <c:v>94.197024642967918</c:v>
                </c:pt>
                <c:pt idx="81">
                  <c:v>94.181184063219547</c:v>
                </c:pt>
                <c:pt idx="82">
                  <c:v>94.165376512977744</c:v>
                </c:pt>
                <c:pt idx="83">
                  <c:v>94.149601961599117</c:v>
                </c:pt>
                <c:pt idx="84">
                  <c:v>94.133860372782678</c:v>
                </c:pt>
                <c:pt idx="85">
                  <c:v>94.118151704812476</c:v>
                </c:pt>
                <c:pt idx="86">
                  <c:v>94.102475910791313</c:v>
                </c:pt>
                <c:pt idx="87">
                  <c:v>94.086832938865825</c:v>
                </c:pt>
                <c:pt idx="88">
                  <c:v>94.071222732443502</c:v>
                </c:pt>
                <c:pt idx="89">
                  <c:v>94.055645230401524</c:v>
                </c:pt>
                <c:pt idx="90">
                  <c:v>94.040100367288105</c:v>
                </c:pt>
                <c:pt idx="91">
                  <c:v>94.024588073516355</c:v>
                </c:pt>
                <c:pt idx="92">
                  <c:v>94.009108275551071</c:v>
                </c:pt>
                <c:pt idx="93">
                  <c:v>93.993660896088684</c:v>
                </c:pt>
                <c:pt idx="94">
                  <c:v>93.978245854230579</c:v>
                </c:pt>
                <c:pt idx="95">
                  <c:v>93.962863065650055</c:v>
                </c:pt>
                <c:pt idx="96">
                  <c:v>93.947512442753165</c:v>
                </c:pt>
                <c:pt idx="97">
                  <c:v>93.932193894833617</c:v>
                </c:pt>
                <c:pt idx="98">
                  <c:v>93.916907328222067</c:v>
                </c:pt>
                <c:pt idx="99">
                  <c:v>93.901652646429781</c:v>
                </c:pt>
                <c:pt idx="100">
                  <c:v>93.886429750287149</c:v>
                </c:pt>
                <c:pt idx="101">
                  <c:v>93.871238538076966</c:v>
                </c:pt>
                <c:pt idx="102">
                  <c:v>93.856078905662983</c:v>
                </c:pt>
                <c:pt idx="103">
                  <c:v>93.840950746613487</c:v>
                </c:pt>
                <c:pt idx="104">
                  <c:v>93.825853952320529</c:v>
                </c:pt>
                <c:pt idx="105">
                  <c:v>93.810788412114604</c:v>
                </c:pt>
                <c:pt idx="106">
                  <c:v>93.795754013375131</c:v>
                </c:pt>
                <c:pt idx="107">
                  <c:v>93.780750641636914</c:v>
                </c:pt>
                <c:pt idx="108">
                  <c:v>93.765778180692536</c:v>
                </c:pt>
                <c:pt idx="109">
                  <c:v>93.750836512691038</c:v>
                </c:pt>
                <c:pt idx="110">
                  <c:v>93.735925518232875</c:v>
                </c:pt>
                <c:pt idx="111">
                  <c:v>93.721045076461408</c:v>
                </c:pt>
                <c:pt idx="112">
                  <c:v>93.706195065150894</c:v>
                </c:pt>
                <c:pt idx="113">
                  <c:v>93.691375360791255</c:v>
                </c:pt>
                <c:pt idx="114">
                  <c:v>93.676585838669695</c:v>
                </c:pt>
                <c:pt idx="115">
                  <c:v>93.661826372949122</c:v>
                </c:pt>
                <c:pt idx="116">
                  <c:v>93.647096836743856</c:v>
                </c:pt>
                <c:pt idx="117">
                  <c:v>93.632397102192272</c:v>
                </c:pt>
                <c:pt idx="118">
                  <c:v>93.617727040526759</c:v>
                </c:pt>
                <c:pt idx="119">
                  <c:v>93.60308652214114</c:v>
                </c:pt>
                <c:pt idx="120">
                  <c:v>93.588475416655456</c:v>
                </c:pt>
                <c:pt idx="121">
                  <c:v>93.573893592978251</c:v>
                </c:pt>
                <c:pt idx="122">
                  <c:v>93.559340919366534</c:v>
                </c:pt>
                <c:pt idx="123">
                  <c:v>93.54481726348348</c:v>
                </c:pt>
                <c:pt idx="124">
                  <c:v>93.530322492453863</c:v>
                </c:pt>
                <c:pt idx="125">
                  <c:v>93.515856472917392</c:v>
                </c:pt>
                <c:pt idx="126">
                  <c:v>93.501419071079965</c:v>
                </c:pt>
                <c:pt idx="127">
                  <c:v>93.48701015276302</c:v>
                </c:pt>
                <c:pt idx="128">
                  <c:v>93.472629583450811</c:v>
                </c:pt>
                <c:pt idx="129">
                  <c:v>93.458277228336087</c:v>
                </c:pt>
                <c:pt idx="130">
                  <c:v>93.443952952363645</c:v>
                </c:pt>
                <c:pt idx="131">
                  <c:v>93.429656620272553</c:v>
                </c:pt>
                <c:pt idx="132">
                  <c:v>93.415388096636448</c:v>
                </c:pt>
                <c:pt idx="133">
                  <c:v>93.401147245902294</c:v>
                </c:pt>
                <c:pt idx="134">
                  <c:v>93.386933932427667</c:v>
                </c:pt>
                <c:pt idx="135">
                  <c:v>93.372748020516511</c:v>
                </c:pt>
                <c:pt idx="136">
                  <c:v>93.358589374453373</c:v>
                </c:pt>
                <c:pt idx="137">
                  <c:v>93.34445785853643</c:v>
                </c:pt>
                <c:pt idx="138">
                  <c:v>93.330353337109045</c:v>
                </c:pt>
                <c:pt idx="139">
                  <c:v>93.316275674590059</c:v>
                </c:pt>
                <c:pt idx="140">
                  <c:v>93.302224735502875</c:v>
                </c:pt>
                <c:pt idx="141">
                  <c:v>93.288200384503256</c:v>
                </c:pt>
                <c:pt idx="142">
                  <c:v>93.274202486406182</c:v>
                </c:pt>
                <c:pt idx="143">
                  <c:v>93.260230906211234</c:v>
                </c:pt>
                <c:pt idx="144">
                  <c:v>93.246285509127276</c:v>
                </c:pt>
                <c:pt idx="145">
                  <c:v>93.23236616059576</c:v>
                </c:pt>
                <c:pt idx="146">
                  <c:v>93.218472726313394</c:v>
                </c:pt>
                <c:pt idx="147">
                  <c:v>93.204605072253472</c:v>
                </c:pt>
                <c:pt idx="148">
                  <c:v>93.190763064686479</c:v>
                </c:pt>
                <c:pt idx="149">
                  <c:v>93.176946570199775</c:v>
                </c:pt>
                <c:pt idx="150">
                  <c:v>93.163155455716378</c:v>
                </c:pt>
                <c:pt idx="151">
                  <c:v>93.14938958851296</c:v>
                </c:pt>
                <c:pt idx="152">
                  <c:v>93.135648836236882</c:v>
                </c:pt>
                <c:pt idx="153">
                  <c:v>93.121933066922693</c:v>
                </c:pt>
                <c:pt idx="154">
                  <c:v>93.108242149007651</c:v>
                </c:pt>
                <c:pt idx="155">
                  <c:v>93.094575951346641</c:v>
                </c:pt>
                <c:pt idx="156">
                  <c:v>93.080934343226374</c:v>
                </c:pt>
                <c:pt idx="157">
                  <c:v>93.06731719437883</c:v>
                </c:pt>
                <c:pt idx="158">
                  <c:v>93.053724374994232</c:v>
                </c:pt>
                <c:pt idx="159">
                  <c:v>93.040155755733153</c:v>
                </c:pt>
                <c:pt idx="160">
                  <c:v>93.026611207738256</c:v>
                </c:pt>
                <c:pt idx="161">
                  <c:v>93.013090602645221</c:v>
                </c:pt>
                <c:pt idx="162">
                  <c:v>92.999593812593289</c:v>
                </c:pt>
                <c:pt idx="163">
                  <c:v>92.986120710235198</c:v>
                </c:pt>
                <c:pt idx="164">
                  <c:v>92.97267116874653</c:v>
                </c:pt>
                <c:pt idx="165">
                  <c:v>92.959245061834693</c:v>
                </c:pt>
                <c:pt idx="166">
                  <c:v>92.945842263747238</c:v>
                </c:pt>
                <c:pt idx="167">
                  <c:v>92.932462649279884</c:v>
                </c:pt>
                <c:pt idx="168">
                  <c:v>92.919106093784023</c:v>
                </c:pt>
                <c:pt idx="169">
                  <c:v>92.905772473173627</c:v>
                </c:pt>
                <c:pt idx="170">
                  <c:v>92.892461663932096</c:v>
                </c:pt>
                <c:pt idx="171">
                  <c:v>92.879173543118284</c:v>
                </c:pt>
                <c:pt idx="172">
                  <c:v>92.86590798837247</c:v>
                </c:pt>
                <c:pt idx="173">
                  <c:v>92.852664877921754</c:v>
                </c:pt>
                <c:pt idx="174">
                  <c:v>92.839444090585204</c:v>
                </c:pt>
                <c:pt idx="175">
                  <c:v>92.826245505778488</c:v>
                </c:pt>
                <c:pt idx="176">
                  <c:v>92.813069003518436</c:v>
                </c:pt>
                <c:pt idx="177">
                  <c:v>92.799914464427019</c:v>
                </c:pt>
                <c:pt idx="178">
                  <c:v>92.786781769735157</c:v>
                </c:pt>
                <c:pt idx="179">
                  <c:v>92.773670801286173</c:v>
                </c:pt>
                <c:pt idx="180">
                  <c:v>92.76058144153896</c:v>
                </c:pt>
                <c:pt idx="181">
                  <c:v>92.747513573570956</c:v>
                </c:pt>
                <c:pt idx="182">
                  <c:v>92.73446708108068</c:v>
                </c:pt>
                <c:pt idx="183">
                  <c:v>92.721441848390143</c:v>
                </c:pt>
                <c:pt idx="184">
                  <c:v>92.708437760446998</c:v>
                </c:pt>
                <c:pt idx="185">
                  <c:v>92.695454702826368</c:v>
                </c:pt>
                <c:pt idx="186">
                  <c:v>92.682492561732573</c:v>
                </c:pt>
                <c:pt idx="187">
                  <c:v>92.669551224000486</c:v>
                </c:pt>
                <c:pt idx="188">
                  <c:v>92.656630577096749</c:v>
                </c:pt>
                <c:pt idx="189">
                  <c:v>92.6437305091209</c:v>
                </c:pt>
                <c:pt idx="190">
                  <c:v>92.630850908806082</c:v>
                </c:pt>
                <c:pt idx="191">
                  <c:v>92.617991665519611</c:v>
                </c:pt>
                <c:pt idx="192">
                  <c:v>92.605152669263575</c:v>
                </c:pt>
                <c:pt idx="193">
                  <c:v>92.592333810675029</c:v>
                </c:pt>
                <c:pt idx="194">
                  <c:v>92.579534981026043</c:v>
                </c:pt>
                <c:pt idx="195">
                  <c:v>92.56675607222374</c:v>
                </c:pt>
                <c:pt idx="196">
                  <c:v>92.553996976809941</c:v>
                </c:pt>
                <c:pt idx="197">
                  <c:v>92.541257587960942</c:v>
                </c:pt>
                <c:pt idx="198">
                  <c:v>92.528537799486955</c:v>
                </c:pt>
                <c:pt idx="199">
                  <c:v>92.515837505831371</c:v>
                </c:pt>
                <c:pt idx="200">
                  <c:v>92.503156602070149</c:v>
                </c:pt>
              </c:numCache>
            </c:numRef>
          </c:val>
          <c:smooth val="0"/>
          <c:extLst>
            <c:ext xmlns:c16="http://schemas.microsoft.com/office/drawing/2014/chart" uri="{C3380CC4-5D6E-409C-BE32-E72D297353CC}">
              <c16:uniqueId val="{00000000-D94A-4A6C-A3EF-19A07815FC45}"/>
            </c:ext>
          </c:extLst>
        </c:ser>
        <c:dLbls>
          <c:showLegendKey val="0"/>
          <c:showVal val="0"/>
          <c:showCatName val="0"/>
          <c:showSerName val="0"/>
          <c:showPercent val="0"/>
          <c:showBubbleSize val="0"/>
        </c:dLbls>
        <c:marker val="1"/>
        <c:smooth val="0"/>
        <c:axId val="196417792"/>
        <c:axId val="196419968"/>
      </c:lineChart>
      <c:lineChart>
        <c:grouping val="standard"/>
        <c:varyColors val="0"/>
        <c:dLbls>
          <c:showLegendKey val="0"/>
          <c:showVal val="0"/>
          <c:showCatName val="0"/>
          <c:showSerName val="0"/>
          <c:showPercent val="0"/>
          <c:showBubbleSize val="0"/>
        </c:dLbls>
        <c:marker val="1"/>
        <c:smooth val="0"/>
        <c:axId val="196432256"/>
        <c:axId val="196421888"/>
        <c:extLst>
          <c:ext xmlns:c15="http://schemas.microsoft.com/office/drawing/2012/chart" uri="{02D57815-91ED-43cb-92C2-25804820EDAC}">
            <c15:filteredLineSeries>
              <c15:ser>
                <c:idx val="13"/>
                <c:order val="1"/>
                <c:tx>
                  <c:strRef>
                    <c:extLst>
                      <c:ext uri="{02D57815-91ED-43cb-92C2-25804820EDAC}">
                        <c15:formulaRef>
                          <c15:sqref>'Efficiency vs VIN Calculations'!$BE$7</c15:sqref>
                        </c15:formulaRef>
                      </c:ext>
                    </c:extLst>
                    <c:strCache>
                      <c:ptCount val="1"/>
                      <c:pt idx="0">
                        <c:v>Controller IC Losses</c:v>
                      </c:pt>
                    </c:strCache>
                  </c:strRef>
                </c:tx>
                <c:marker>
                  <c:symbol val="none"/>
                </c:marker>
                <c:cat>
                  <c:numRef>
                    <c:extLst>
                      <c:ex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c:ext uri="{02D57815-91ED-43cb-92C2-25804820EDAC}">
                        <c15:formulaRef>
                          <c15:sqref>'Efficiency vs VIN Calculations'!$BH$9:$BH$209</c15:sqref>
                        </c15:formulaRef>
                      </c:ext>
                    </c:extLst>
                    <c:numCache>
                      <c:formatCode>0.000</c:formatCode>
                      <c:ptCount val="201"/>
                      <c:pt idx="0">
                        <c:v>0.51683999999999997</c:v>
                      </c:pt>
                      <c:pt idx="1">
                        <c:v>0.51683999999999997</c:v>
                      </c:pt>
                      <c:pt idx="2">
                        <c:v>0.51683999999999997</c:v>
                      </c:pt>
                      <c:pt idx="3">
                        <c:v>0.51683999999999997</c:v>
                      </c:pt>
                      <c:pt idx="4">
                        <c:v>0.51683999999999997</c:v>
                      </c:pt>
                      <c:pt idx="5">
                        <c:v>0.51683999999999997</c:v>
                      </c:pt>
                      <c:pt idx="6">
                        <c:v>0.51683999999999997</c:v>
                      </c:pt>
                      <c:pt idx="7">
                        <c:v>0.51683999999999997</c:v>
                      </c:pt>
                      <c:pt idx="8">
                        <c:v>0.51683999999999997</c:v>
                      </c:pt>
                      <c:pt idx="9">
                        <c:v>0.51683999999999997</c:v>
                      </c:pt>
                      <c:pt idx="10">
                        <c:v>0.51683999999999997</c:v>
                      </c:pt>
                      <c:pt idx="11">
                        <c:v>0.51683999999999997</c:v>
                      </c:pt>
                      <c:pt idx="12">
                        <c:v>0.51683999999999997</c:v>
                      </c:pt>
                      <c:pt idx="13">
                        <c:v>0.51683999999999997</c:v>
                      </c:pt>
                      <c:pt idx="14">
                        <c:v>0.51683999999999997</c:v>
                      </c:pt>
                      <c:pt idx="15">
                        <c:v>0.51683999999999997</c:v>
                      </c:pt>
                      <c:pt idx="16">
                        <c:v>0.51683999999999997</c:v>
                      </c:pt>
                      <c:pt idx="17">
                        <c:v>0.51683999999999997</c:v>
                      </c:pt>
                      <c:pt idx="18">
                        <c:v>0.51683999999999997</c:v>
                      </c:pt>
                      <c:pt idx="19">
                        <c:v>0.51683999999999997</c:v>
                      </c:pt>
                      <c:pt idx="20">
                        <c:v>0.51683999999999997</c:v>
                      </c:pt>
                      <c:pt idx="21">
                        <c:v>0.51683999999999997</c:v>
                      </c:pt>
                      <c:pt idx="22">
                        <c:v>0.51683999999999997</c:v>
                      </c:pt>
                      <c:pt idx="23">
                        <c:v>0.51683999999999997</c:v>
                      </c:pt>
                      <c:pt idx="24">
                        <c:v>0.51683999999999997</c:v>
                      </c:pt>
                      <c:pt idx="25">
                        <c:v>0.51683999999999997</c:v>
                      </c:pt>
                      <c:pt idx="26">
                        <c:v>0.51683999999999997</c:v>
                      </c:pt>
                      <c:pt idx="27">
                        <c:v>0.51683999999999997</c:v>
                      </c:pt>
                      <c:pt idx="28">
                        <c:v>0.51683999999999997</c:v>
                      </c:pt>
                      <c:pt idx="29">
                        <c:v>0.51683999999999997</c:v>
                      </c:pt>
                      <c:pt idx="30">
                        <c:v>0.51683999999999997</c:v>
                      </c:pt>
                      <c:pt idx="31">
                        <c:v>0.51683999999999997</c:v>
                      </c:pt>
                      <c:pt idx="32">
                        <c:v>0.51683999999999997</c:v>
                      </c:pt>
                      <c:pt idx="33">
                        <c:v>0.51683999999999997</c:v>
                      </c:pt>
                      <c:pt idx="34">
                        <c:v>0.51683999999999997</c:v>
                      </c:pt>
                      <c:pt idx="35">
                        <c:v>0.51683999999999997</c:v>
                      </c:pt>
                      <c:pt idx="36">
                        <c:v>0.51683999999999997</c:v>
                      </c:pt>
                      <c:pt idx="37">
                        <c:v>0.51683999999999997</c:v>
                      </c:pt>
                      <c:pt idx="38">
                        <c:v>0.51683999999999997</c:v>
                      </c:pt>
                      <c:pt idx="39">
                        <c:v>0.51683999999999997</c:v>
                      </c:pt>
                      <c:pt idx="40">
                        <c:v>0.51683999999999997</c:v>
                      </c:pt>
                      <c:pt idx="41">
                        <c:v>0.51683999999999997</c:v>
                      </c:pt>
                      <c:pt idx="42">
                        <c:v>0.51683999999999997</c:v>
                      </c:pt>
                      <c:pt idx="43">
                        <c:v>0.51683999999999997</c:v>
                      </c:pt>
                      <c:pt idx="44">
                        <c:v>0.51683999999999997</c:v>
                      </c:pt>
                      <c:pt idx="45">
                        <c:v>0.51683999999999997</c:v>
                      </c:pt>
                      <c:pt idx="46">
                        <c:v>0.51683999999999997</c:v>
                      </c:pt>
                      <c:pt idx="47">
                        <c:v>0.51683999999999997</c:v>
                      </c:pt>
                      <c:pt idx="48">
                        <c:v>0.51683999999999997</c:v>
                      </c:pt>
                      <c:pt idx="49">
                        <c:v>0.51683999999999997</c:v>
                      </c:pt>
                      <c:pt idx="50">
                        <c:v>0.51683999999999997</c:v>
                      </c:pt>
                      <c:pt idx="51">
                        <c:v>0.51683999999999997</c:v>
                      </c:pt>
                      <c:pt idx="52">
                        <c:v>0.51683999999999997</c:v>
                      </c:pt>
                      <c:pt idx="53">
                        <c:v>0.51683999999999997</c:v>
                      </c:pt>
                      <c:pt idx="54">
                        <c:v>0.51683999999999997</c:v>
                      </c:pt>
                      <c:pt idx="55">
                        <c:v>0.51683999999999997</c:v>
                      </c:pt>
                      <c:pt idx="56">
                        <c:v>0.51683999999999997</c:v>
                      </c:pt>
                      <c:pt idx="57">
                        <c:v>0.51683999999999997</c:v>
                      </c:pt>
                      <c:pt idx="58">
                        <c:v>0.51683999999999997</c:v>
                      </c:pt>
                      <c:pt idx="59">
                        <c:v>0.51683999999999997</c:v>
                      </c:pt>
                      <c:pt idx="60">
                        <c:v>0.51683999999999997</c:v>
                      </c:pt>
                      <c:pt idx="61">
                        <c:v>0.51683999999999997</c:v>
                      </c:pt>
                      <c:pt idx="62">
                        <c:v>0.51683999999999997</c:v>
                      </c:pt>
                      <c:pt idx="63">
                        <c:v>0.51683999999999997</c:v>
                      </c:pt>
                      <c:pt idx="64">
                        <c:v>0.51683999999999997</c:v>
                      </c:pt>
                      <c:pt idx="65">
                        <c:v>0.51683999999999997</c:v>
                      </c:pt>
                      <c:pt idx="66">
                        <c:v>0.51683999999999997</c:v>
                      </c:pt>
                      <c:pt idx="67">
                        <c:v>0.51683999999999997</c:v>
                      </c:pt>
                      <c:pt idx="68">
                        <c:v>0.51683999999999997</c:v>
                      </c:pt>
                      <c:pt idx="69">
                        <c:v>0.51683999999999997</c:v>
                      </c:pt>
                      <c:pt idx="70">
                        <c:v>0.51683999999999997</c:v>
                      </c:pt>
                      <c:pt idx="71">
                        <c:v>0.51683999999999997</c:v>
                      </c:pt>
                      <c:pt idx="72">
                        <c:v>0.51683999999999997</c:v>
                      </c:pt>
                      <c:pt idx="73">
                        <c:v>0.51683999999999997</c:v>
                      </c:pt>
                      <c:pt idx="74">
                        <c:v>0.51683999999999997</c:v>
                      </c:pt>
                      <c:pt idx="75">
                        <c:v>0.51683999999999997</c:v>
                      </c:pt>
                      <c:pt idx="76">
                        <c:v>0.51683999999999997</c:v>
                      </c:pt>
                      <c:pt idx="77">
                        <c:v>0.51683999999999997</c:v>
                      </c:pt>
                      <c:pt idx="78">
                        <c:v>0.51683999999999997</c:v>
                      </c:pt>
                      <c:pt idx="79">
                        <c:v>0.51683999999999997</c:v>
                      </c:pt>
                      <c:pt idx="80">
                        <c:v>0.51683999999999997</c:v>
                      </c:pt>
                      <c:pt idx="81">
                        <c:v>0.51683999999999997</c:v>
                      </c:pt>
                      <c:pt idx="82">
                        <c:v>0.51683999999999997</c:v>
                      </c:pt>
                      <c:pt idx="83">
                        <c:v>0.51683999999999997</c:v>
                      </c:pt>
                      <c:pt idx="84">
                        <c:v>0.51683999999999997</c:v>
                      </c:pt>
                      <c:pt idx="85">
                        <c:v>0.51683999999999997</c:v>
                      </c:pt>
                      <c:pt idx="86">
                        <c:v>0.51683999999999997</c:v>
                      </c:pt>
                      <c:pt idx="87">
                        <c:v>0.51683999999999997</c:v>
                      </c:pt>
                      <c:pt idx="88">
                        <c:v>0.51683999999999997</c:v>
                      </c:pt>
                      <c:pt idx="89">
                        <c:v>0.51683999999999997</c:v>
                      </c:pt>
                      <c:pt idx="90">
                        <c:v>0.51683999999999997</c:v>
                      </c:pt>
                      <c:pt idx="91">
                        <c:v>0.51683999999999997</c:v>
                      </c:pt>
                      <c:pt idx="92">
                        <c:v>0.51683999999999997</c:v>
                      </c:pt>
                      <c:pt idx="93">
                        <c:v>0.51683999999999997</c:v>
                      </c:pt>
                      <c:pt idx="94">
                        <c:v>0.51683999999999997</c:v>
                      </c:pt>
                      <c:pt idx="95">
                        <c:v>0.51683999999999997</c:v>
                      </c:pt>
                      <c:pt idx="96">
                        <c:v>0.51683999999999997</c:v>
                      </c:pt>
                      <c:pt idx="97">
                        <c:v>0.51683999999999997</c:v>
                      </c:pt>
                      <c:pt idx="98">
                        <c:v>0.51683999999999997</c:v>
                      </c:pt>
                      <c:pt idx="99">
                        <c:v>0.51683999999999997</c:v>
                      </c:pt>
                      <c:pt idx="100">
                        <c:v>0.51683999999999997</c:v>
                      </c:pt>
                      <c:pt idx="101">
                        <c:v>0.51683999999999997</c:v>
                      </c:pt>
                      <c:pt idx="102">
                        <c:v>0.51683999999999997</c:v>
                      </c:pt>
                      <c:pt idx="103">
                        <c:v>0.51683999999999997</c:v>
                      </c:pt>
                      <c:pt idx="104">
                        <c:v>0.51683999999999997</c:v>
                      </c:pt>
                      <c:pt idx="105">
                        <c:v>0.51683999999999997</c:v>
                      </c:pt>
                      <c:pt idx="106">
                        <c:v>0.51683999999999997</c:v>
                      </c:pt>
                      <c:pt idx="107">
                        <c:v>0.51683999999999997</c:v>
                      </c:pt>
                      <c:pt idx="108">
                        <c:v>0.51683999999999997</c:v>
                      </c:pt>
                      <c:pt idx="109">
                        <c:v>0.51683999999999997</c:v>
                      </c:pt>
                      <c:pt idx="110">
                        <c:v>0.51683999999999997</c:v>
                      </c:pt>
                      <c:pt idx="111">
                        <c:v>0.51683999999999997</c:v>
                      </c:pt>
                      <c:pt idx="112">
                        <c:v>0.51683999999999997</c:v>
                      </c:pt>
                      <c:pt idx="113">
                        <c:v>0.51683999999999997</c:v>
                      </c:pt>
                      <c:pt idx="114">
                        <c:v>0.51683999999999997</c:v>
                      </c:pt>
                      <c:pt idx="115">
                        <c:v>0.51683999999999997</c:v>
                      </c:pt>
                      <c:pt idx="116">
                        <c:v>0.51683999999999997</c:v>
                      </c:pt>
                      <c:pt idx="117">
                        <c:v>0.51683999999999997</c:v>
                      </c:pt>
                      <c:pt idx="118">
                        <c:v>0.51683999999999997</c:v>
                      </c:pt>
                      <c:pt idx="119">
                        <c:v>0.51683999999999997</c:v>
                      </c:pt>
                      <c:pt idx="120">
                        <c:v>0.51683999999999997</c:v>
                      </c:pt>
                      <c:pt idx="121">
                        <c:v>0.51683999999999997</c:v>
                      </c:pt>
                      <c:pt idx="122">
                        <c:v>0.51683999999999997</c:v>
                      </c:pt>
                      <c:pt idx="123">
                        <c:v>0.51683999999999997</c:v>
                      </c:pt>
                      <c:pt idx="124">
                        <c:v>0.51683999999999997</c:v>
                      </c:pt>
                      <c:pt idx="125">
                        <c:v>0.51683999999999997</c:v>
                      </c:pt>
                      <c:pt idx="126">
                        <c:v>0.51683999999999997</c:v>
                      </c:pt>
                      <c:pt idx="127">
                        <c:v>0.51683999999999997</c:v>
                      </c:pt>
                      <c:pt idx="128">
                        <c:v>0.51683999999999997</c:v>
                      </c:pt>
                      <c:pt idx="129">
                        <c:v>0.51683999999999997</c:v>
                      </c:pt>
                      <c:pt idx="130">
                        <c:v>0.51683999999999997</c:v>
                      </c:pt>
                      <c:pt idx="131">
                        <c:v>0.51683999999999997</c:v>
                      </c:pt>
                      <c:pt idx="132">
                        <c:v>0.51683999999999997</c:v>
                      </c:pt>
                      <c:pt idx="133">
                        <c:v>0.51683999999999997</c:v>
                      </c:pt>
                      <c:pt idx="134">
                        <c:v>0.51683999999999997</c:v>
                      </c:pt>
                      <c:pt idx="135">
                        <c:v>0.51683999999999997</c:v>
                      </c:pt>
                      <c:pt idx="136">
                        <c:v>0.51683999999999997</c:v>
                      </c:pt>
                      <c:pt idx="137">
                        <c:v>0.51683999999999997</c:v>
                      </c:pt>
                      <c:pt idx="138">
                        <c:v>0.51683999999999997</c:v>
                      </c:pt>
                      <c:pt idx="139">
                        <c:v>0.51683999999999997</c:v>
                      </c:pt>
                      <c:pt idx="140">
                        <c:v>0.51683999999999997</c:v>
                      </c:pt>
                      <c:pt idx="141">
                        <c:v>0.51683999999999997</c:v>
                      </c:pt>
                      <c:pt idx="142">
                        <c:v>0.51683999999999997</c:v>
                      </c:pt>
                      <c:pt idx="143">
                        <c:v>0.51683999999999997</c:v>
                      </c:pt>
                      <c:pt idx="144">
                        <c:v>0.51683999999999997</c:v>
                      </c:pt>
                      <c:pt idx="145">
                        <c:v>0.51683999999999997</c:v>
                      </c:pt>
                      <c:pt idx="146">
                        <c:v>0.51683999999999997</c:v>
                      </c:pt>
                      <c:pt idx="147">
                        <c:v>0.51683999999999997</c:v>
                      </c:pt>
                      <c:pt idx="148">
                        <c:v>0.51683999999999997</c:v>
                      </c:pt>
                      <c:pt idx="149">
                        <c:v>0.51683999999999997</c:v>
                      </c:pt>
                      <c:pt idx="150">
                        <c:v>0.51683999999999997</c:v>
                      </c:pt>
                      <c:pt idx="151">
                        <c:v>0.51683999999999997</c:v>
                      </c:pt>
                      <c:pt idx="152">
                        <c:v>0.51683999999999997</c:v>
                      </c:pt>
                      <c:pt idx="153">
                        <c:v>0.51683999999999997</c:v>
                      </c:pt>
                      <c:pt idx="154">
                        <c:v>0.51683999999999997</c:v>
                      </c:pt>
                      <c:pt idx="155">
                        <c:v>0.51683999999999997</c:v>
                      </c:pt>
                      <c:pt idx="156">
                        <c:v>0.51683999999999997</c:v>
                      </c:pt>
                      <c:pt idx="157">
                        <c:v>0.51683999999999997</c:v>
                      </c:pt>
                      <c:pt idx="158">
                        <c:v>0.51683999999999997</c:v>
                      </c:pt>
                      <c:pt idx="159">
                        <c:v>0.51683999999999997</c:v>
                      </c:pt>
                      <c:pt idx="160">
                        <c:v>0.51683999999999997</c:v>
                      </c:pt>
                      <c:pt idx="161">
                        <c:v>0.51683999999999997</c:v>
                      </c:pt>
                      <c:pt idx="162">
                        <c:v>0.51683999999999997</c:v>
                      </c:pt>
                      <c:pt idx="163">
                        <c:v>0.51683999999999997</c:v>
                      </c:pt>
                      <c:pt idx="164">
                        <c:v>0.51683999999999997</c:v>
                      </c:pt>
                      <c:pt idx="165">
                        <c:v>0.51683999999999997</c:v>
                      </c:pt>
                      <c:pt idx="166">
                        <c:v>0.51683999999999997</c:v>
                      </c:pt>
                      <c:pt idx="167">
                        <c:v>0.51683999999999997</c:v>
                      </c:pt>
                      <c:pt idx="168">
                        <c:v>0.51683999999999997</c:v>
                      </c:pt>
                      <c:pt idx="169">
                        <c:v>0.51683999999999997</c:v>
                      </c:pt>
                      <c:pt idx="170">
                        <c:v>0.51683999999999997</c:v>
                      </c:pt>
                      <c:pt idx="171">
                        <c:v>0.51683999999999997</c:v>
                      </c:pt>
                      <c:pt idx="172">
                        <c:v>0.51683999999999997</c:v>
                      </c:pt>
                      <c:pt idx="173">
                        <c:v>0.51683999999999997</c:v>
                      </c:pt>
                      <c:pt idx="174">
                        <c:v>0.51683999999999997</c:v>
                      </c:pt>
                      <c:pt idx="175">
                        <c:v>0.51683999999999997</c:v>
                      </c:pt>
                      <c:pt idx="176">
                        <c:v>0.51683999999999997</c:v>
                      </c:pt>
                      <c:pt idx="177">
                        <c:v>0.51683999999999997</c:v>
                      </c:pt>
                      <c:pt idx="178">
                        <c:v>0.51683999999999997</c:v>
                      </c:pt>
                      <c:pt idx="179">
                        <c:v>0.51683999999999997</c:v>
                      </c:pt>
                      <c:pt idx="180">
                        <c:v>0.51683999999999997</c:v>
                      </c:pt>
                      <c:pt idx="181">
                        <c:v>0.51683999999999997</c:v>
                      </c:pt>
                      <c:pt idx="182">
                        <c:v>0.51683999999999997</c:v>
                      </c:pt>
                      <c:pt idx="183">
                        <c:v>0.51683999999999997</c:v>
                      </c:pt>
                      <c:pt idx="184">
                        <c:v>0.51683999999999997</c:v>
                      </c:pt>
                      <c:pt idx="185">
                        <c:v>0.51683999999999997</c:v>
                      </c:pt>
                      <c:pt idx="186">
                        <c:v>0.51683999999999997</c:v>
                      </c:pt>
                      <c:pt idx="187">
                        <c:v>0.51683999999999997</c:v>
                      </c:pt>
                      <c:pt idx="188">
                        <c:v>0.51683999999999997</c:v>
                      </c:pt>
                      <c:pt idx="189">
                        <c:v>0.51683999999999997</c:v>
                      </c:pt>
                      <c:pt idx="190">
                        <c:v>0.51683999999999997</c:v>
                      </c:pt>
                      <c:pt idx="191">
                        <c:v>0.51683999999999997</c:v>
                      </c:pt>
                      <c:pt idx="192">
                        <c:v>0.51683999999999997</c:v>
                      </c:pt>
                      <c:pt idx="193">
                        <c:v>0.51683999999999997</c:v>
                      </c:pt>
                      <c:pt idx="194">
                        <c:v>0.51683999999999997</c:v>
                      </c:pt>
                      <c:pt idx="195">
                        <c:v>0.51683999999999997</c:v>
                      </c:pt>
                      <c:pt idx="196">
                        <c:v>0.51683999999999997</c:v>
                      </c:pt>
                      <c:pt idx="197">
                        <c:v>0.51683999999999997</c:v>
                      </c:pt>
                      <c:pt idx="198">
                        <c:v>0.51683999999999997</c:v>
                      </c:pt>
                      <c:pt idx="199">
                        <c:v>0.51683999999999997</c:v>
                      </c:pt>
                      <c:pt idx="200">
                        <c:v>0.51683999999999997</c:v>
                      </c:pt>
                    </c:numCache>
                  </c:numRef>
                </c:val>
                <c:smooth val="0"/>
                <c:extLst>
                  <c:ext xmlns:c16="http://schemas.microsoft.com/office/drawing/2014/chart" uri="{C3380CC4-5D6E-409C-BE32-E72D297353CC}">
                    <c16:uniqueId val="{00000001-D94A-4A6C-A3EF-19A07815FC45}"/>
                  </c:ext>
                </c:extLst>
              </c15:ser>
            </c15:filteredLineSeries>
            <c15:filteredLineSeries>
              <c15:ser>
                <c:idx val="12"/>
                <c:order val="2"/>
                <c:tx>
                  <c:strRef>
                    <c:extLst xmlns:c15="http://schemas.microsoft.com/office/drawing/2012/chart">
                      <c:ext xmlns:c15="http://schemas.microsoft.com/office/drawing/2012/chart" uri="{02D57815-91ED-43cb-92C2-25804820EDAC}">
                        <c15:formulaRef>
                          <c15:sqref>'Efficiency vs VIN Calculations'!$BB$8</c15:sqref>
                        </c15:formulaRef>
                      </c:ext>
                    </c:extLst>
                    <c:strCache>
                      <c:ptCount val="1"/>
                      <c:pt idx="0">
                        <c:v>Reverse Recovery Loss MOSFET D BOOST</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Calculations'!$BB$9:$BB$209</c15:sqref>
                        </c15:formulaRef>
                      </c:ext>
                    </c:extLst>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xmlns:c15="http://schemas.microsoft.com/office/drawing/2012/chart">
                  <c:ext xmlns:c16="http://schemas.microsoft.com/office/drawing/2014/chart" uri="{C3380CC4-5D6E-409C-BE32-E72D297353CC}">
                    <c16:uniqueId val="{00000002-D94A-4A6C-A3EF-19A07815FC45}"/>
                  </c:ext>
                </c:extLst>
              </c15:ser>
            </c15:filteredLineSeries>
            <c15:filteredLineSeries>
              <c15:ser>
                <c:idx val="11"/>
                <c:order val="3"/>
                <c:tx>
                  <c:strRef>
                    <c:extLst xmlns:c15="http://schemas.microsoft.com/office/drawing/2012/chart">
                      <c:ext xmlns:c15="http://schemas.microsoft.com/office/drawing/2012/chart" uri="{02D57815-91ED-43cb-92C2-25804820EDAC}">
                        <c15:formulaRef>
                          <c15:sqref>'Efficiency vs VIN Calculations'!$AU$7</c15:sqref>
                        </c15:formulaRef>
                      </c:ext>
                    </c:extLst>
                    <c:strCache>
                      <c:ptCount val="1"/>
                      <c:pt idx="0">
                        <c:v>High-side BOOST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Calculations'!$AX$9:$AX$209</c15:sqref>
                        </c15:formulaRef>
                      </c:ext>
                    </c:extLst>
                    <c:numCache>
                      <c:formatCode>0.000</c:formatCode>
                      <c:ptCount val="201"/>
                      <c:pt idx="0">
                        <c:v>0.71051455693915033</c:v>
                      </c:pt>
                      <c:pt idx="1">
                        <c:v>0.71062929431359978</c:v>
                      </c:pt>
                      <c:pt idx="2">
                        <c:v>0.7107445488526366</c:v>
                      </c:pt>
                      <c:pt idx="3">
                        <c:v>0.71086026741060471</c:v>
                      </c:pt>
                      <c:pt idx="4">
                        <c:v>0.71097639943322877</c:v>
                      </c:pt>
                      <c:pt idx="5">
                        <c:v>0.71109289683160382</c:v>
                      </c:pt>
                      <c:pt idx="6">
                        <c:v>0.71120971386280474</c:v>
                      </c:pt>
                      <c:pt idx="7">
                        <c:v>0.71132680701673412</c:v>
                      </c:pt>
                      <c:pt idx="8">
                        <c:v>0.71144413490885572</c:v>
                      </c:pt>
                      <c:pt idx="9">
                        <c:v>0.71156165817847028</c:v>
                      </c:pt>
                      <c:pt idx="10">
                        <c:v>0.71167933939222783</c:v>
                      </c:pt>
                      <c:pt idx="11">
                        <c:v>0.71179714295257812</c:v>
                      </c:pt>
                      <c:pt idx="12">
                        <c:v>0.71191503501088294</c:v>
                      </c:pt>
                      <c:pt idx="13">
                        <c:v>0.71203298338493093</c:v>
                      </c:pt>
                      <c:pt idx="14">
                        <c:v>0.7121509574806143</c:v>
                      </c:pt>
                      <c:pt idx="15">
                        <c:v>0.71226892821753163</c:v>
                      </c:pt>
                      <c:pt idx="16">
                        <c:v>0.71238686795830952</c:v>
                      </c:pt>
                      <c:pt idx="17">
                        <c:v>0.71250475044143669</c:v>
                      </c:pt>
                      <c:pt idx="18">
                        <c:v>0.71262255071741665</c:v>
                      </c:pt>
                      <c:pt idx="19">
                        <c:v>0.71274024508807221</c:v>
                      </c:pt>
                      <c:pt idx="20">
                        <c:v>0.7128578110488154</c:v>
                      </c:pt>
                      <c:pt idx="21">
                        <c:v>0.71297522723374396</c:v>
                      </c:pt>
                      <c:pt idx="22">
                        <c:v>0.71309247336339565</c:v>
                      </c:pt>
                      <c:pt idx="23">
                        <c:v>0.71320953019503774</c:v>
                      </c:pt>
                      <c:pt idx="24">
                        <c:v>0.71332637947534305</c:v>
                      </c:pt>
                      <c:pt idx="25">
                        <c:v>0.71344300389534065</c:v>
                      </c:pt>
                      <c:pt idx="26">
                        <c:v>0.71355938704751409</c:v>
                      </c:pt>
                      <c:pt idx="27">
                        <c:v>0.71367551338493884</c:v>
                      </c:pt>
                      <c:pt idx="28">
                        <c:v>0.71379136818235966</c:v>
                      </c:pt>
                      <c:pt idx="29">
                        <c:v>0.71390693749909595</c:v>
                      </c:pt>
                      <c:pt idx="30">
                        <c:v>0.71402220814369499</c:v>
                      </c:pt>
                      <c:pt idx="31">
                        <c:v>0.71413716764023671</c:v>
                      </c:pt>
                      <c:pt idx="32">
                        <c:v>0.71425180419620959</c:v>
                      </c:pt>
                      <c:pt idx="33">
                        <c:v>0.71436610667187483</c:v>
                      </c:pt>
                      <c:pt idx="34">
                        <c:v>0.7144800645510524</c:v>
                      </c:pt>
                      <c:pt idx="35">
                        <c:v>0.71459366791324774</c:v>
                      </c:pt>
                      <c:pt idx="36">
                        <c:v>0.71470690740706289</c:v>
                      </c:pt>
                      <c:pt idx="37">
                        <c:v>0.71481977422481846</c:v>
                      </c:pt>
                      <c:pt idx="38">
                        <c:v>0.7149322600783371</c:v>
                      </c:pt>
                      <c:pt idx="39">
                        <c:v>0.71504435717582426</c:v>
                      </c:pt>
                      <c:pt idx="40">
                        <c:v>0.71515605819979522</c:v>
                      </c:pt>
                      <c:pt idx="41">
                        <c:v>0.71526735628599858</c:v>
                      </c:pt>
                      <c:pt idx="42">
                        <c:v>0.71537824500328751</c:v>
                      </c:pt>
                      <c:pt idx="43">
                        <c:v>0.71548871833439087</c:v>
                      </c:pt>
                      <c:pt idx="44">
                        <c:v>0.71559877065754696</c:v>
                      </c:pt>
                      <c:pt idx="45">
                        <c:v>0.7157083967289497</c:v>
                      </c:pt>
                      <c:pt idx="46">
                        <c:v>0.71581759166598036</c:v>
                      </c:pt>
                      <c:pt idx="47">
                        <c:v>0.71592635093117518</c:v>
                      </c:pt>
                      <c:pt idx="48">
                        <c:v>0.71603467031690382</c:v>
                      </c:pt>
                      <c:pt idx="49">
                        <c:v>0.71614254593072213</c:v>
                      </c:pt>
                      <c:pt idx="50">
                        <c:v>0.71624997418136394</c:v>
                      </c:pt>
                      <c:pt idx="51">
                        <c:v>0.71635695176534997</c:v>
                      </c:pt>
                      <c:pt idx="52">
                        <c:v>0.71646347565417712</c:v>
                      </c:pt>
                      <c:pt idx="53">
                        <c:v>0.71656954308206799</c:v>
                      </c:pt>
                      <c:pt idx="54">
                        <c:v>0.71667515153424932</c:v>
                      </c:pt>
                      <c:pt idx="55">
                        <c:v>0.71678029873573956</c:v>
                      </c:pt>
                      <c:pt idx="56">
                        <c:v>0.71688498264061973</c:v>
                      </c:pt>
                      <c:pt idx="57">
                        <c:v>0.71698920142176636</c:v>
                      </c:pt>
                      <c:pt idx="58">
                        <c:v>0.71709295346102542</c:v>
                      </c:pt>
                      <c:pt idx="59">
                        <c:v>0.71719623733980808</c:v>
                      </c:pt>
                      <c:pt idx="60">
                        <c:v>0.71729905183008602</c:v>
                      </c:pt>
                      <c:pt idx="61">
                        <c:v>0.71740139588577734</c:v>
                      </c:pt>
                      <c:pt idx="62">
                        <c:v>0.71750326863448888</c:v>
                      </c:pt>
                      <c:pt idx="63">
                        <c:v>0.71760466936962075</c:v>
                      </c:pt>
                      <c:pt idx="64">
                        <c:v>0.71770559754279717</c:v>
                      </c:pt>
                      <c:pt idx="65">
                        <c:v>0.71780605275662246</c:v>
                      </c:pt>
                      <c:pt idx="66">
                        <c:v>0.71790603475773995</c:v>
                      </c:pt>
                      <c:pt idx="67">
                        <c:v>0.71800554343018774</c:v>
                      </c:pt>
                      <c:pt idx="68">
                        <c:v>0.71810457878902823</c:v>
                      </c:pt>
                      <c:pt idx="69">
                        <c:v>0.7182031409742512</c:v>
                      </c:pt>
                      <c:pt idx="70">
                        <c:v>0.71830123024492853</c:v>
                      </c:pt>
                      <c:pt idx="71">
                        <c:v>0.71839884697361778</c:v>
                      </c:pt>
                      <c:pt idx="72">
                        <c:v>0.71849599164099476</c:v>
                      </c:pt>
                      <c:pt idx="73">
                        <c:v>0.71859266483071604</c:v>
                      </c:pt>
                      <c:pt idx="74">
                        <c:v>0.71868886722449099</c:v>
                      </c:pt>
                      <c:pt idx="75">
                        <c:v>0.71878459959736318</c:v>
                      </c:pt>
                      <c:pt idx="76">
                        <c:v>0.71887986281318372</c:v>
                      </c:pt>
                      <c:pt idx="77">
                        <c:v>0.71897465782027836</c:v>
                      </c:pt>
                      <c:pt idx="78">
                        <c:v>0.71906898564729005</c:v>
                      </c:pt>
                      <c:pt idx="79">
                        <c:v>0.719162847399196</c:v>
                      </c:pt>
                      <c:pt idx="80">
                        <c:v>0.71925624425349088</c:v>
                      </c:pt>
                      <c:pt idx="81">
                        <c:v>0.71934917745652505</c:v>
                      </c:pt>
                      <c:pt idx="82">
                        <c:v>0.71944164831999735</c:v>
                      </c:pt>
                      <c:pt idx="83">
                        <c:v>0.71953365821759319</c:v>
                      </c:pt>
                      <c:pt idx="84">
                        <c:v>0.7196252085817596</c:v>
                      </c:pt>
                      <c:pt idx="85">
                        <c:v>0.71971630090061556</c:v>
                      </c:pt>
                      <c:pt idx="86">
                        <c:v>0.71980693671498774</c:v>
                      </c:pt>
                      <c:pt idx="87">
                        <c:v>0.71989711761557373</c:v>
                      </c:pt>
                      <c:pt idx="88">
                        <c:v>0.71998684524021606</c:v>
                      </c:pt>
                      <c:pt idx="89">
                        <c:v>0.72007612127129417</c:v>
                      </c:pt>
                      <c:pt idx="90">
                        <c:v>0.72016494743322113</c:v>
                      </c:pt>
                      <c:pt idx="91">
                        <c:v>0.72025332549004506</c:v>
                      </c:pt>
                      <c:pt idx="92">
                        <c:v>0.72034125724315157</c:v>
                      </c:pt>
                      <c:pt idx="93">
                        <c:v>0.72042874452905614</c:v>
                      </c:pt>
                      <c:pt idx="94">
                        <c:v>0.72051578921729431</c:v>
                      </c:pt>
                      <c:pt idx="95">
                        <c:v>0.7206023932083947</c:v>
                      </c:pt>
                      <c:pt idx="96">
                        <c:v>0.72068855843193713</c:v>
                      </c:pt>
                      <c:pt idx="97">
                        <c:v>0.72077428684469491</c:v>
                      </c:pt>
                      <c:pt idx="98">
                        <c:v>0.72085958042884679</c:v>
                      </c:pt>
                      <c:pt idx="99">
                        <c:v>0.72094444119027157</c:v>
                      </c:pt>
                      <c:pt idx="100">
                        <c:v>0.7210288711569085</c:v>
                      </c:pt>
                      <c:pt idx="101">
                        <c:v>0.72111287237718669</c:v>
                      </c:pt>
                      <c:pt idx="102">
                        <c:v>0.72119644691852336</c:v>
                      </c:pt>
                      <c:pt idx="103">
                        <c:v>0.72127959686588061</c:v>
                      </c:pt>
                      <c:pt idx="104">
                        <c:v>0.72136232432038594</c:v>
                      </c:pt>
                      <c:pt idx="105">
                        <c:v>0.72144463139800885</c:v>
                      </c:pt>
                      <c:pt idx="106">
                        <c:v>0.72152652022829278</c:v>
                      </c:pt>
                      <c:pt idx="107">
                        <c:v>0.72160799295314437</c:v>
                      </c:pt>
                      <c:pt idx="108">
                        <c:v>0.72168905172567044</c:v>
                      </c:pt>
                      <c:pt idx="109">
                        <c:v>0.72176969870906138</c:v>
                      </c:pt>
                      <c:pt idx="110">
                        <c:v>0.72184993607553116</c:v>
                      </c:pt>
                      <c:pt idx="111">
                        <c:v>0.72192976600529313</c:v>
                      </c:pt>
                      <c:pt idx="112">
                        <c:v>0.72200919068558667</c:v>
                      </c:pt>
                      <c:pt idx="113">
                        <c:v>0.7220882123097393</c:v>
                      </c:pt>
                      <c:pt idx="114">
                        <c:v>0.72216683307627494</c:v>
                      </c:pt>
                      <c:pt idx="115">
                        <c:v>0.72224505518805848</c:v>
                      </c:pt>
                      <c:pt idx="116">
                        <c:v>0.72232288085147489</c:v>
                      </c:pt>
                      <c:pt idx="117">
                        <c:v>0.72240031227564994</c:v>
                      </c:pt>
                      <c:pt idx="118">
                        <c:v>0.72247735167169913</c:v>
                      </c:pt>
                      <c:pt idx="119">
                        <c:v>0.72255400125201374</c:v>
                      </c:pt>
                      <c:pt idx="120">
                        <c:v>0.72263026322957558</c:v>
                      </c:pt>
                      <c:pt idx="121">
                        <c:v>0.72270613981730636</c:v>
                      </c:pt>
                      <c:pt idx="122">
                        <c:v>0.72278163322743916</c:v>
                      </c:pt>
                      <c:pt idx="123">
                        <c:v>0.72285674567092728</c:v>
                      </c:pt>
                      <c:pt idx="124">
                        <c:v>0.7229314793568713</c:v>
                      </c:pt>
                      <c:pt idx="125">
                        <c:v>0.72300583649197769</c:v>
                      </c:pt>
                      <c:pt idx="126">
                        <c:v>0.7230798192800395</c:v>
                      </c:pt>
                      <c:pt idx="127">
                        <c:v>0.72315342992144316</c:v>
                      </c:pt>
                      <c:pt idx="128">
                        <c:v>0.72322667061269541</c:v>
                      </c:pt>
                      <c:pt idx="129">
                        <c:v>0.72329954354597548</c:v>
                      </c:pt>
                      <c:pt idx="130">
                        <c:v>0.72337205090870649</c:v>
                      </c:pt>
                      <c:pt idx="131">
                        <c:v>0.72344419488314715</c:v>
                      </c:pt>
                      <c:pt idx="132">
                        <c:v>0.72351597764600373</c:v>
                      </c:pt>
                      <c:pt idx="133">
                        <c:v>0.72358740136806232</c:v>
                      </c:pt>
                      <c:pt idx="134">
                        <c:v>0.7236584682138355</c:v>
                      </c:pt>
                      <c:pt idx="135">
                        <c:v>0.72372918034122879</c:v>
                      </c:pt>
                      <c:pt idx="136">
                        <c:v>0.72379953990122581</c:v>
                      </c:pt>
                      <c:pt idx="137">
                        <c:v>0.7238695490375836</c:v>
                      </c:pt>
                      <c:pt idx="138">
                        <c:v>0.72393920988655047</c:v>
                      </c:pt>
                      <c:pt idx="139">
                        <c:v>0.72400852457659237</c:v>
                      </c:pt>
                      <c:pt idx="140">
                        <c:v>0.72407749522813869</c:v>
                      </c:pt>
                      <c:pt idx="141">
                        <c:v>0.72414612395333677</c:v>
                      </c:pt>
                      <c:pt idx="142">
                        <c:v>0.72421441285582466</c:v>
                      </c:pt>
                      <c:pt idx="143">
                        <c:v>0.72428236403051205</c:v>
                      </c:pt>
                      <c:pt idx="144">
                        <c:v>0.72434997956337643</c:v>
                      </c:pt>
                      <c:pt idx="145">
                        <c:v>0.72441726153126862</c:v>
                      </c:pt>
                      <c:pt idx="146">
                        <c:v>0.72448421200173219</c:v>
                      </c:pt>
                      <c:pt idx="147">
                        <c:v>0.72455083303282952</c:v>
                      </c:pt>
                      <c:pt idx="148">
                        <c:v>0.72461712667298406</c:v>
                      </c:pt>
                      <c:pt idx="149">
                        <c:v>0.72468309496082528</c:v>
                      </c:pt>
                      <c:pt idx="150">
                        <c:v>0.7247487399250504</c:v>
                      </c:pt>
                      <c:pt idx="151">
                        <c:v>0.72481406358428946</c:v>
                      </c:pt>
                      <c:pt idx="152">
                        <c:v>0.72487906794698231</c:v>
                      </c:pt>
                      <c:pt idx="153">
                        <c:v>0.72494375501126473</c:v>
                      </c:pt>
                      <c:pt idx="154">
                        <c:v>0.72500812676485804</c:v>
                      </c:pt>
                      <c:pt idx="155">
                        <c:v>0.72507218518497207</c:v>
                      </c:pt>
                      <c:pt idx="156">
                        <c:v>0.72513593223821315</c:v>
                      </c:pt>
                      <c:pt idx="157">
                        <c:v>0.72519936988049805</c:v>
                      </c:pt>
                      <c:pt idx="158">
                        <c:v>0.72526250005697446</c:v>
                      </c:pt>
                      <c:pt idx="159">
                        <c:v>0.72532532470195432</c:v>
                      </c:pt>
                      <c:pt idx="160">
                        <c:v>0.72538784573884518</c:v>
                      </c:pt>
                      <c:pt idx="161">
                        <c:v>0.72545006508009025</c:v>
                      </c:pt>
                      <c:pt idx="162">
                        <c:v>0.7255119846271183</c:v>
                      </c:pt>
                      <c:pt idx="163">
                        <c:v>0.72557360627029333</c:v>
                      </c:pt>
                      <c:pt idx="164">
                        <c:v>0.72563493188887418</c:v>
                      </c:pt>
                      <c:pt idx="165">
                        <c:v>0.72569596335097608</c:v>
                      </c:pt>
                      <c:pt idx="166">
                        <c:v>0.72575670251353852</c:v>
                      </c:pt>
                      <c:pt idx="167">
                        <c:v>0.72581715122229762</c:v>
                      </c:pt>
                      <c:pt idx="168">
                        <c:v>0.72587731131176469</c:v>
                      </c:pt>
                      <c:pt idx="169">
                        <c:v>0.7259371846052034</c:v>
                      </c:pt>
                      <c:pt idx="170">
                        <c:v>0.7259967729146205</c:v>
                      </c:pt>
                      <c:pt idx="171">
                        <c:v>0.72605607804075101</c:v>
                      </c:pt>
                      <c:pt idx="172">
                        <c:v>0.72611510177305316</c:v>
                      </c:pt>
                      <c:pt idx="173">
                        <c:v>0.72617384588970457</c:v>
                      </c:pt>
                      <c:pt idx="174">
                        <c:v>0.72623231215760287</c:v>
                      </c:pt>
                      <c:pt idx="175">
                        <c:v>0.7262905023323688</c:v>
                      </c:pt>
                      <c:pt idx="176">
                        <c:v>0.72634841815835371</c:v>
                      </c:pt>
                      <c:pt idx="177">
                        <c:v>0.72640606136864783</c:v>
                      </c:pt>
                      <c:pt idx="178">
                        <c:v>0.72646343368509503</c:v>
                      </c:pt>
                      <c:pt idx="179">
                        <c:v>0.72652053681830564</c:v>
                      </c:pt>
                      <c:pt idx="180">
                        <c:v>0.7265773724676784</c:v>
                      </c:pt>
                      <c:pt idx="181">
                        <c:v>0.72663394232141587</c:v>
                      </c:pt>
                      <c:pt idx="182">
                        <c:v>0.72669024805655202</c:v>
                      </c:pt>
                      <c:pt idx="183">
                        <c:v>0.72674629133897484</c:v>
                      </c:pt>
                      <c:pt idx="184">
                        <c:v>0.72680207382345574</c:v>
                      </c:pt>
                      <c:pt idx="185">
                        <c:v>0.7268575971536767</c:v>
                      </c:pt>
                      <c:pt idx="186">
                        <c:v>0.72691286296226487</c:v>
                      </c:pt>
                      <c:pt idx="187">
                        <c:v>0.72696787287082365</c:v>
                      </c:pt>
                      <c:pt idx="188">
                        <c:v>0.7270226284899689</c:v>
                      </c:pt>
                      <c:pt idx="189">
                        <c:v>0.7270771314193657</c:v>
                      </c:pt>
                      <c:pt idx="190">
                        <c:v>0.72713138324776716</c:v>
                      </c:pt>
                      <c:pt idx="191">
                        <c:v>0.7271853855530559</c:v>
                      </c:pt>
                      <c:pt idx="192">
                        <c:v>0.72723913990228151</c:v>
                      </c:pt>
                      <c:pt idx="193">
                        <c:v>0.72729264785170977</c:v>
                      </c:pt>
                      <c:pt idx="194">
                        <c:v>0.72734591094686085</c:v>
                      </c:pt>
                      <c:pt idx="195">
                        <c:v>0.72739893072255946</c:v>
                      </c:pt>
                      <c:pt idx="196">
                        <c:v>0.72745170870297959</c:v>
                      </c:pt>
                      <c:pt idx="197">
                        <c:v>0.72750424640169165</c:v>
                      </c:pt>
                      <c:pt idx="198">
                        <c:v>0.72755654532171454</c:v>
                      </c:pt>
                      <c:pt idx="199">
                        <c:v>0.72760860695556173</c:v>
                      </c:pt>
                      <c:pt idx="200">
                        <c:v>0.7276604327852948</c:v>
                      </c:pt>
                    </c:numCache>
                  </c:numRef>
                </c:val>
                <c:smooth val="0"/>
                <c:extLst xmlns:c15="http://schemas.microsoft.com/office/drawing/2012/chart">
                  <c:ext xmlns:c16="http://schemas.microsoft.com/office/drawing/2014/chart" uri="{C3380CC4-5D6E-409C-BE32-E72D297353CC}">
                    <c16:uniqueId val="{00000003-D94A-4A6C-A3EF-19A07815FC45}"/>
                  </c:ext>
                </c:extLst>
              </c15:ser>
            </c15:filteredLineSeries>
            <c15:filteredLineSeries>
              <c15:ser>
                <c:idx val="10"/>
                <c:order val="4"/>
                <c:tx>
                  <c:strRef>
                    <c:extLst xmlns:c15="http://schemas.microsoft.com/office/drawing/2012/chart">
                      <c:ext xmlns:c15="http://schemas.microsoft.com/office/drawing/2012/chart" uri="{02D57815-91ED-43cb-92C2-25804820EDAC}">
                        <c15:formulaRef>
                          <c15:sqref>'Efficiency vs VIN Calculations'!$AP$7</c15:sqref>
                        </c15:formulaRef>
                      </c:ext>
                    </c:extLst>
                    <c:strCache>
                      <c:ptCount val="1"/>
                      <c:pt idx="0">
                        <c:v>Low-side BOOST "Control"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Calculations'!$AT$9:$AT$209</c15:sqref>
                        </c15:formulaRef>
                      </c:ext>
                    </c:extLst>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xmlns:c15="http://schemas.microsoft.com/office/drawing/2012/chart">
                  <c:ext xmlns:c16="http://schemas.microsoft.com/office/drawing/2014/chart" uri="{C3380CC4-5D6E-409C-BE32-E72D297353CC}">
                    <c16:uniqueId val="{00000004-D94A-4A6C-A3EF-19A07815FC45}"/>
                  </c:ext>
                </c:extLst>
              </c15:ser>
            </c15:filteredLineSeries>
            <c15:filteredLineSeries>
              <c15:ser>
                <c:idx val="9"/>
                <c:order val="5"/>
                <c:tx>
                  <c:strRef>
                    <c:extLst xmlns:c15="http://schemas.microsoft.com/office/drawing/2012/chart">
                      <c:ext xmlns:c15="http://schemas.microsoft.com/office/drawing/2012/chart" uri="{02D57815-91ED-43cb-92C2-25804820EDAC}">
                        <c15:formulaRef>
                          <c15:sqref>'Efficiency vs VIN Calculations'!$AL$7</c15:sqref>
                        </c15:formulaRef>
                      </c:ext>
                    </c:extLst>
                    <c:strCache>
                      <c:ptCount val="1"/>
                      <c:pt idx="0">
                        <c:v>Low-side BUCK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Calculations'!$AO$9:$AO$209</c15:sqref>
                        </c15:formulaRef>
                      </c:ext>
                    </c:extLst>
                    <c:numCache>
                      <c:formatCode>0.000</c:formatCode>
                      <c:ptCount val="201"/>
                      <c:pt idx="0">
                        <c:v>0.76682892981848416</c:v>
                      </c:pt>
                      <c:pt idx="1">
                        <c:v>0.77067995133071665</c:v>
                      </c:pt>
                      <c:pt idx="2">
                        <c:v>0.77448532657974101</c:v>
                      </c:pt>
                      <c:pt idx="3">
                        <c:v>0.77824588924239702</c:v>
                      </c:pt>
                      <c:pt idx="4">
                        <c:v>0.78196245207250448</c:v>
                      </c:pt>
                      <c:pt idx="5">
                        <c:v>0.78563580757727103</c:v>
                      </c:pt>
                      <c:pt idx="6">
                        <c:v>0.78926672866675163</c:v>
                      </c:pt>
                      <c:pt idx="7">
                        <c:v>0.7928559692776449</c:v>
                      </c:pt>
                      <c:pt idx="8">
                        <c:v>0.79640426497262817</c:v>
                      </c:pt>
                      <c:pt idx="9">
                        <c:v>0.79991233351637692</c:v>
                      </c:pt>
                      <c:pt idx="10">
                        <c:v>0.80338087542934766</c:v>
                      </c:pt>
                      <c:pt idx="11">
                        <c:v>0.80681057452034755</c:v>
                      </c:pt>
                      <c:pt idx="12">
                        <c:v>0.81020209839885504</c:v>
                      </c:pt>
                      <c:pt idx="13">
                        <c:v>0.81355609896801429</c:v>
                      </c:pt>
                      <c:pt idx="14">
                        <c:v>0.81687321289916603</c:v>
                      </c:pt>
                      <c:pt idx="15">
                        <c:v>0.82015406208874098</c:v>
                      </c:pt>
                      <c:pt idx="16">
                        <c:v>0.82339925409829551</c:v>
                      </c:pt>
                      <c:pt idx="17">
                        <c:v>0.82660938257843231</c:v>
                      </c:pt>
                      <c:pt idx="18">
                        <c:v>0.82978502767730455</c:v>
                      </c:pt>
                      <c:pt idx="19">
                        <c:v>0.83292675643437541</c:v>
                      </c:pt>
                      <c:pt idx="20">
                        <c:v>0.83603512316006456</c:v>
                      </c:pt>
                      <c:pt idx="21">
                        <c:v>0.8391106698018832</c:v>
                      </c:pt>
                      <c:pt idx="22">
                        <c:v>0.84215392629763086</c:v>
                      </c:pt>
                      <c:pt idx="23">
                        <c:v>0.84516541091620023</c:v>
                      </c:pt>
                      <c:pt idx="24">
                        <c:v>0.8481456305865015</c:v>
                      </c:pt>
                      <c:pt idx="25">
                        <c:v>0.85109508121500776</c:v>
                      </c:pt>
                      <c:pt idx="26">
                        <c:v>0.8540142479923819</c:v>
                      </c:pt>
                      <c:pt idx="27">
                        <c:v>0.85690360568963519</c:v>
                      </c:pt>
                      <c:pt idx="28">
                        <c:v>0.85976361894424647</c:v>
                      </c:pt>
                      <c:pt idx="29">
                        <c:v>0.86259474253663693</c:v>
                      </c:pt>
                      <c:pt idx="30">
                        <c:v>0.86539742165739941</c:v>
                      </c:pt>
                      <c:pt idx="31">
                        <c:v>0.86817209216563918</c:v>
                      </c:pt>
                      <c:pt idx="32">
                        <c:v>0.87091918083878606</c:v>
                      </c:pt>
                      <c:pt idx="33">
                        <c:v>0.87363910561420688</c:v>
                      </c:pt>
                      <c:pt idx="34">
                        <c:v>0.87633227582294171</c:v>
                      </c:pt>
                      <c:pt idx="35">
                        <c:v>0.87899909241586827</c:v>
                      </c:pt>
                      <c:pt idx="36">
                        <c:v>0.8816399481825854</c:v>
                      </c:pt>
                      <c:pt idx="37">
                        <c:v>0.88425522796329536</c:v>
                      </c:pt>
                      <c:pt idx="38">
                        <c:v>0.88684530885394941</c:v>
                      </c:pt>
                      <c:pt idx="39">
                        <c:v>0.88941056040491417</c:v>
                      </c:pt>
                      <c:pt idx="40">
                        <c:v>0.89195134481339899</c:v>
                      </c:pt>
                      <c:pt idx="41">
                        <c:v>0.89446801710987722</c:v>
                      </c:pt>
                      <c:pt idx="42">
                        <c:v>0.89696092533872873</c:v>
                      </c:pt>
                      <c:pt idx="43">
                        <c:v>0.89943041073330832</c:v>
                      </c:pt>
                      <c:pt idx="44">
                        <c:v>0.90187680788565172</c:v>
                      </c:pt>
                      <c:pt idx="45">
                        <c:v>0.9043004449110108</c:v>
                      </c:pt>
                      <c:pt idx="46">
                        <c:v>0.90670164360740579</c:v>
                      </c:pt>
                      <c:pt idx="47">
                        <c:v>0.90908071961037218</c:v>
                      </c:pt>
                      <c:pt idx="48">
                        <c:v>0.91143798254307751</c:v>
                      </c:pt>
                      <c:pt idx="49">
                        <c:v>0.91377373616196889</c:v>
                      </c:pt>
                      <c:pt idx="50">
                        <c:v>0.91608827849811103</c:v>
                      </c:pt>
                      <c:pt idx="51">
                        <c:v>0.91838190199436642</c:v>
                      </c:pt>
                      <c:pt idx="52">
                        <c:v>0.92065489363856057</c:v>
                      </c:pt>
                      <c:pt idx="53">
                        <c:v>0.92290753509277534</c:v>
                      </c:pt>
                      <c:pt idx="54">
                        <c:v>0.92514010281889936</c:v>
                      </c:pt>
                      <c:pt idx="55">
                        <c:v>0.92735286820056895</c:v>
                      </c:pt>
                      <c:pt idx="56">
                        <c:v>0.92954609766161789</c:v>
                      </c:pt>
                      <c:pt idx="57">
                        <c:v>0.9317200527811591</c:v>
                      </c:pt>
                      <c:pt idx="58">
                        <c:v>0.933874990405406</c:v>
                      </c:pt>
                      <c:pt idx="59">
                        <c:v>0.93601116275635154</c:v>
                      </c:pt>
                      <c:pt idx="60">
                        <c:v>0.93812881753739774</c:v>
                      </c:pt>
                      <c:pt idx="61">
                        <c:v>0.94022819803605207</c:v>
                      </c:pt>
                      <c:pt idx="62">
                        <c:v>0.94230954322377058</c:v>
                      </c:pt>
                      <c:pt idx="63">
                        <c:v>0.94437308785305663</c:v>
                      </c:pt>
                      <c:pt idx="64">
                        <c:v>0.9464190625518949</c:v>
                      </c:pt>
                      <c:pt idx="65">
                        <c:v>0.94844769391561101</c:v>
                      </c:pt>
                      <c:pt idx="66">
                        <c:v>0.95045920459623856</c:v>
                      </c:pt>
                      <c:pt idx="67">
                        <c:v>0.95245381338947666</c:v>
                      </c:pt>
                      <c:pt idx="68">
                        <c:v>0.95443173531931014</c:v>
                      </c:pt>
                      <c:pt idx="69">
                        <c:v>0.95639318172037024</c:v>
                      </c:pt>
                      <c:pt idx="70">
                        <c:v>0.95833836031810749</c:v>
                      </c:pt>
                      <c:pt idx="71">
                        <c:v>0.96026747530684109</c:v>
                      </c:pt>
                      <c:pt idx="72">
                        <c:v>0.962180727425758</c:v>
                      </c:pt>
                      <c:pt idx="73">
                        <c:v>0.96407831403291944</c:v>
                      </c:pt>
                      <c:pt idx="74">
                        <c:v>0.96596042917734182</c:v>
                      </c:pt>
                      <c:pt idx="75">
                        <c:v>0.96782726366920513</c:v>
                      </c:pt>
                      <c:pt idx="76">
                        <c:v>0.96967900514825323</c:v>
                      </c:pt>
                      <c:pt idx="77">
                        <c:v>0.97151583815043518</c:v>
                      </c:pt>
                      <c:pt idx="78">
                        <c:v>0.9733379441728468</c:v>
                      </c:pt>
                      <c:pt idx="79">
                        <c:v>0.97514550173701653</c:v>
                      </c:pt>
                      <c:pt idx="80">
                        <c:v>0.97693868645059367</c:v>
                      </c:pt>
                      <c:pt idx="81">
                        <c:v>0.97871767106747887</c:v>
                      </c:pt>
                      <c:pt idx="82">
                        <c:v>0.9804826255464496</c:v>
                      </c:pt>
                      <c:pt idx="83">
                        <c:v>0.98223371710832152</c:v>
                      </c:pt>
                      <c:pt idx="84">
                        <c:v>0.98397111029169038</c:v>
                      </c:pt>
                      <c:pt idx="85">
                        <c:v>0.98569496700729542</c:v>
                      </c:pt>
                      <c:pt idx="86">
                        <c:v>0.9874054465910439</c:v>
                      </c:pt>
                      <c:pt idx="87">
                        <c:v>0.98910270585573901</c:v>
                      </c:pt>
                      <c:pt idx="88">
                        <c:v>0.99078689914154328</c:v>
                      </c:pt>
                      <c:pt idx="89">
                        <c:v>0.99245817836521943</c:v>
                      </c:pt>
                      <c:pt idx="90">
                        <c:v>0.99411669306817918</c:v>
                      </c:pt>
                      <c:pt idx="91">
                        <c:v>0.99576259046337701</c:v>
                      </c:pt>
                      <c:pt idx="92">
                        <c:v>0.9973960154810807</c:v>
                      </c:pt>
                      <c:pt idx="93">
                        <c:v>0.99901711081355027</c:v>
                      </c:pt>
                      <c:pt idx="94">
                        <c:v>1.0006260169586552</c:v>
                      </c:pt>
                      <c:pt idx="95">
                        <c:v>1.0022228722624618</c:v>
                      </c:pt>
                      <c:pt idx="96">
                        <c:v>1.0038078129608174</c:v>
                      </c:pt>
                      <c:pt idx="97">
                        <c:v>1.0053809732199614</c:v>
                      </c:pt>
                      <c:pt idx="98">
                        <c:v>1.0069424851761863</c:v>
                      </c:pt>
                      <c:pt idx="99">
                        <c:v>1.0084924789745804</c:v>
                      </c:pt>
                      <c:pt idx="100">
                        <c:v>1.010031082806871</c:v>
                      </c:pt>
                      <c:pt idx="101">
                        <c:v>1.011558422948398</c:v>
                      </c:pt>
                      <c:pt idx="102">
                        <c:v>1.0130746237942396</c:v>
                      </c:pt>
                      <c:pt idx="103">
                        <c:v>1.0145798078945107</c:v>
                      </c:pt>
                      <c:pt idx="104">
                        <c:v>1.0160740959888612</c:v>
                      </c:pt>
                      <c:pt idx="105">
                        <c:v>1.0175576070401895</c:v>
                      </c:pt>
                      <c:pt idx="106">
                        <c:v>1.0190304582675984</c:v>
                      </c:pt>
                      <c:pt idx="107">
                        <c:v>1.0204927651786095</c:v>
                      </c:pt>
                      <c:pt idx="108">
                        <c:v>1.0219446416006575</c:v>
                      </c:pt>
                      <c:pt idx="109">
                        <c:v>1.0233861997118798</c:v>
                      </c:pt>
                      <c:pt idx="110">
                        <c:v>1.0248175500712282</c:v>
                      </c:pt>
                      <c:pt idx="111">
                        <c:v>1.0262388016479096</c:v>
                      </c:pt>
                      <c:pt idx="112">
                        <c:v>1.027650061850182</c:v>
                      </c:pt>
                      <c:pt idx="113">
                        <c:v>1.0290514365535188</c:v>
                      </c:pt>
                      <c:pt idx="114">
                        <c:v>1.0304430301281553</c:v>
                      </c:pt>
                      <c:pt idx="115">
                        <c:v>1.0318249454660404</c:v>
                      </c:pt>
                      <c:pt idx="116">
                        <c:v>1.0331972840072012</c:v>
                      </c:pt>
                      <c:pt idx="117">
                        <c:v>1.0345601457655385</c:v>
                      </c:pt>
                      <c:pt idx="118">
                        <c:v>1.0359136293540712</c:v>
                      </c:pt>
                      <c:pt idx="119">
                        <c:v>1.0372578320096353</c:v>
                      </c:pt>
                      <c:pt idx="120">
                        <c:v>1.0385928496170584</c:v>
                      </c:pt>
                      <c:pt idx="121">
                        <c:v>1.0399187767328253</c:v>
                      </c:pt>
                      <c:pt idx="122">
                        <c:v>1.0412357066082309</c:v>
                      </c:pt>
                      <c:pt idx="123">
                        <c:v>1.0425437312120578</c:v>
                      </c:pt>
                      <c:pt idx="124">
                        <c:v>1.043842941252769</c:v>
                      </c:pt>
                      <c:pt idx="125">
                        <c:v>1.0451334262002403</c:v>
                      </c:pt>
                      <c:pt idx="126">
                        <c:v>1.0464152743070376</c:v>
                      </c:pt>
                      <c:pt idx="127">
                        <c:v>1.0476885726292535</c:v>
                      </c:pt>
                      <c:pt idx="128">
                        <c:v>1.0489534070469129</c:v>
                      </c:pt>
                      <c:pt idx="129">
                        <c:v>1.0502098622839555</c:v>
                      </c:pt>
                      <c:pt idx="130">
                        <c:v>1.0514580219278122</c:v>
                      </c:pt>
                      <c:pt idx="131">
                        <c:v>1.0526979684485769</c:v>
                      </c:pt>
                      <c:pt idx="132">
                        <c:v>1.0539297832177901</c:v>
                      </c:pt>
                      <c:pt idx="133">
                        <c:v>1.05515354652684</c:v>
                      </c:pt>
                      <c:pt idx="134">
                        <c:v>1.0563693376049894</c:v>
                      </c:pt>
                      <c:pt idx="135">
                        <c:v>1.0575772346370429</c:v>
                      </c:pt>
                      <c:pt idx="136">
                        <c:v>1.0587773147806565</c:v>
                      </c:pt>
                      <c:pt idx="137">
                        <c:v>1.0599696541833008</c:v>
                      </c:pt>
                      <c:pt idx="138">
                        <c:v>1.0611543279988866</c:v>
                      </c:pt>
                      <c:pt idx="139">
                        <c:v>1.06233141040406</c:v>
                      </c:pt>
                      <c:pt idx="140">
                        <c:v>1.0635009746141726</c:v>
                      </c:pt>
                      <c:pt idx="141">
                        <c:v>1.0646630928989416</c:v>
                      </c:pt>
                      <c:pt idx="142">
                        <c:v>1.0658178365977951</c:v>
                      </c:pt>
                      <c:pt idx="143">
                        <c:v>1.0669652761349229</c:v>
                      </c:pt>
                      <c:pt idx="144">
                        <c:v>1.0681054810340289</c:v>
                      </c:pt>
                      <c:pt idx="145">
                        <c:v>1.0692385199327992</c:v>
                      </c:pt>
                      <c:pt idx="146">
                        <c:v>1.0703644605970881</c:v>
                      </c:pt>
                      <c:pt idx="147">
                        <c:v>1.0714833699348296</c:v>
                      </c:pt>
                      <c:pt idx="148">
                        <c:v>1.0725953140096836</c:v>
                      </c:pt>
                      <c:pt idx="149">
                        <c:v>1.0737003580544169</c:v>
                      </c:pt>
                      <c:pt idx="150">
                        <c:v>1.0747985664840289</c:v>
                      </c:pt>
                      <c:pt idx="151">
                        <c:v>1.0758900029086298</c:v>
                      </c:pt>
                      <c:pt idx="152">
                        <c:v>1.0769747301460695</c:v>
                      </c:pt>
                      <c:pt idx="153">
                        <c:v>1.0780528102343332</c:v>
                      </c:pt>
                      <c:pt idx="154">
                        <c:v>1.0791243044436958</c:v>
                      </c:pt>
                      <c:pt idx="155">
                        <c:v>1.0801892732886553</c:v>
                      </c:pt>
                      <c:pt idx="156">
                        <c:v>1.081247776539636</c:v>
                      </c:pt>
                      <c:pt idx="157">
                        <c:v>1.0822998732344777</c:v>
                      </c:pt>
                      <c:pt idx="158">
                        <c:v>1.0833456216897084</c:v>
                      </c:pt>
                      <c:pt idx="159">
                        <c:v>1.0843850795116077</c:v>
                      </c:pt>
                      <c:pt idx="160">
                        <c:v>1.0854183036070688</c:v>
                      </c:pt>
                      <c:pt idx="161">
                        <c:v>1.0864453501942528</c:v>
                      </c:pt>
                      <c:pt idx="162">
                        <c:v>1.0874662748130592</c:v>
                      </c:pt>
                      <c:pt idx="163">
                        <c:v>1.0884811323353889</c:v>
                      </c:pt>
                      <c:pt idx="164">
                        <c:v>1.0894899769752358</c:v>
                      </c:pt>
                      <c:pt idx="165">
                        <c:v>1.090492862298583</c:v>
                      </c:pt>
                      <c:pt idx="166">
                        <c:v>1.0914898412331246</c:v>
                      </c:pt>
                      <c:pt idx="167">
                        <c:v>1.0924809660778108</c:v>
                      </c:pt>
                      <c:pt idx="168">
                        <c:v>1.0934662885122206</c:v>
                      </c:pt>
                      <c:pt idx="169">
                        <c:v>1.0944458596057665</c:v>
                      </c:pt>
                      <c:pt idx="170">
                        <c:v>1.0954197298267341</c:v>
                      </c:pt>
                      <c:pt idx="171">
                        <c:v>1.0963879490511599</c:v>
                      </c:pt>
                      <c:pt idx="172">
                        <c:v>1.0973505665715522</c:v>
                      </c:pt>
                      <c:pt idx="173">
                        <c:v>1.0983076311054543</c:v>
                      </c:pt>
                      <c:pt idx="174">
                        <c:v>1.0992591908038609</c:v>
                      </c:pt>
                      <c:pt idx="175">
                        <c:v>1.1002052932594828</c:v>
                      </c:pt>
                      <c:pt idx="176">
                        <c:v>1.1011459855148649</c:v>
                      </c:pt>
                      <c:pt idx="177">
                        <c:v>1.1020813140703669</c:v>
                      </c:pt>
                      <c:pt idx="178">
                        <c:v>1.1030113248920004</c:v>
                      </c:pt>
                      <c:pt idx="179">
                        <c:v>1.1039360634191298</c:v>
                      </c:pt>
                      <c:pt idx="180">
                        <c:v>1.1048555745720428</c:v>
                      </c:pt>
                      <c:pt idx="181">
                        <c:v>1.1057699027593837</c:v>
                      </c:pt>
                      <c:pt idx="182">
                        <c:v>1.1066790918854659</c:v>
                      </c:pt>
                      <c:pt idx="183">
                        <c:v>1.1075831853574523</c:v>
                      </c:pt>
                      <c:pt idx="184">
                        <c:v>1.1084822260924161</c:v>
                      </c:pt>
                      <c:pt idx="185">
                        <c:v>1.1093762565242786</c:v>
                      </c:pt>
                      <c:pt idx="186">
                        <c:v>1.110265318610631</c:v>
                      </c:pt>
                      <c:pt idx="187">
                        <c:v>1.1111494538394386</c:v>
                      </c:pt>
                      <c:pt idx="188">
                        <c:v>1.1120287032356302</c:v>
                      </c:pt>
                      <c:pt idx="189">
                        <c:v>1.1129031073675799</c:v>
                      </c:pt>
                      <c:pt idx="190">
                        <c:v>1.1137727063534753</c:v>
                      </c:pt>
                      <c:pt idx="191">
                        <c:v>1.1146375398675825</c:v>
                      </c:pt>
                      <c:pt idx="192">
                        <c:v>1.1154976471464033</c:v>
                      </c:pt>
                      <c:pt idx="193">
                        <c:v>1.1163530669947295</c:v>
                      </c:pt>
                      <c:pt idx="194">
                        <c:v>1.1172038377916007</c:v>
                      </c:pt>
                      <c:pt idx="195">
                        <c:v>1.1180499974961573</c:v>
                      </c:pt>
                      <c:pt idx="196">
                        <c:v>1.1188915836533992</c:v>
                      </c:pt>
                      <c:pt idx="197">
                        <c:v>1.11972863339985</c:v>
                      </c:pt>
                      <c:pt idx="198">
                        <c:v>1.1205611834691289</c:v>
                      </c:pt>
                      <c:pt idx="199">
                        <c:v>1.1213892701974255</c:v>
                      </c:pt>
                      <c:pt idx="200">
                        <c:v>1.1222129295288936</c:v>
                      </c:pt>
                    </c:numCache>
                  </c:numRef>
                </c:val>
                <c:smooth val="0"/>
                <c:extLst xmlns:c15="http://schemas.microsoft.com/office/drawing/2012/chart">
                  <c:ext xmlns:c16="http://schemas.microsoft.com/office/drawing/2014/chart" uri="{C3380CC4-5D6E-409C-BE32-E72D297353CC}">
                    <c16:uniqueId val="{00000005-D94A-4A6C-A3EF-19A07815FC45}"/>
                  </c:ext>
                </c:extLst>
              </c15:ser>
            </c15:filteredLineSeries>
            <c15:filteredLineSeries>
              <c15:ser>
                <c:idx val="8"/>
                <c:order val="6"/>
                <c:tx>
                  <c:strRef>
                    <c:extLst xmlns:c15="http://schemas.microsoft.com/office/drawing/2012/chart">
                      <c:ext xmlns:c15="http://schemas.microsoft.com/office/drawing/2012/chart" uri="{02D57815-91ED-43cb-92C2-25804820EDAC}">
                        <c15:formulaRef>
                          <c15:sqref>'Efficiency vs VIN Calculations'!$AG$7</c15:sqref>
                        </c15:formulaRef>
                      </c:ext>
                    </c:extLst>
                    <c:strCache>
                      <c:ptCount val="1"/>
                      <c:pt idx="0">
                        <c:v>High-side BUCK "Control"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Calculations'!$AK$9:$AK$209</c15:sqref>
                        </c15:formulaRef>
                      </c:ext>
                    </c:extLst>
                    <c:numCache>
                      <c:formatCode>0.000</c:formatCode>
                      <c:ptCount val="201"/>
                      <c:pt idx="0">
                        <c:v>3.1666385121192331</c:v>
                      </c:pt>
                      <c:pt idx="1">
                        <c:v>3.1792936199445592</c:v>
                      </c:pt>
                      <c:pt idx="2">
                        <c:v>3.1920114162546822</c:v>
                      </c:pt>
                      <c:pt idx="3">
                        <c:v>3.2047904127596665</c:v>
                      </c:pt>
                      <c:pt idx="4">
                        <c:v>3.2176291686049869</c:v>
                      </c:pt>
                      <c:pt idx="5">
                        <c:v>3.2305262884760442</c:v>
                      </c:pt>
                      <c:pt idx="6">
                        <c:v>3.2434804207935253</c:v>
                      </c:pt>
                      <c:pt idx="7">
                        <c:v>3.2564902559945779</c:v>
                      </c:pt>
                      <c:pt idx="8">
                        <c:v>3.2695545248950224</c:v>
                      </c:pt>
                      <c:pt idx="9">
                        <c:v>3.282671997128169</c:v>
                      </c:pt>
                      <c:pt idx="10">
                        <c:v>3.2958414796560689</c:v>
                      </c:pt>
                      <c:pt idx="11">
                        <c:v>3.3090618153492928</c:v>
                      </c:pt>
                      <c:pt idx="12">
                        <c:v>3.3223318816315497</c:v>
                      </c:pt>
                      <c:pt idx="13">
                        <c:v>3.3356505891857298</c:v>
                      </c:pt>
                      <c:pt idx="14">
                        <c:v>3.3490168807180889</c:v>
                      </c:pt>
                      <c:pt idx="15">
                        <c:v>3.3624297297775882</c:v>
                      </c:pt>
                      <c:pt idx="16">
                        <c:v>3.3758881396274552</c:v>
                      </c:pt>
                      <c:pt idx="17">
                        <c:v>3.3893911421663523</c:v>
                      </c:pt>
                      <c:pt idx="18">
                        <c:v>3.4029377968965386</c:v>
                      </c:pt>
                      <c:pt idx="19">
                        <c:v>3.4165271899367062</c:v>
                      </c:pt>
                      <c:pt idx="20">
                        <c:v>3.4301584330771866</c:v>
                      </c:pt>
                      <c:pt idx="21">
                        <c:v>3.4438306628754507</c:v>
                      </c:pt>
                      <c:pt idx="22">
                        <c:v>3.4575430397898574</c:v>
                      </c:pt>
                      <c:pt idx="23">
                        <c:v>3.4712947473498188</c:v>
                      </c:pt>
                      <c:pt idx="24">
                        <c:v>3.4850849913605462</c:v>
                      </c:pt>
                      <c:pt idx="25">
                        <c:v>3.4989129991407326</c:v>
                      </c:pt>
                      <c:pt idx="26">
                        <c:v>3.5127780187915696</c:v>
                      </c:pt>
                      <c:pt idx="27">
                        <c:v>3.5266793184955949</c:v>
                      </c:pt>
                      <c:pt idx="28">
                        <c:v>3.5406161858439678</c:v>
                      </c:pt>
                      <c:pt idx="29">
                        <c:v>3.5545879271908016</c:v>
                      </c:pt>
                      <c:pt idx="30">
                        <c:v>3.5685938670333135</c:v>
                      </c:pt>
                      <c:pt idx="31">
                        <c:v>3.5826333474165679</c:v>
                      </c:pt>
                      <c:pt idx="32">
                        <c:v>3.5967057273616909</c:v>
                      </c:pt>
                      <c:pt idx="33">
                        <c:v>3.6108103823164601</c:v>
                      </c:pt>
                      <c:pt idx="34">
                        <c:v>3.6249467036272716</c:v>
                      </c:pt>
                      <c:pt idx="35">
                        <c:v>3.639114098031488</c:v>
                      </c:pt>
                      <c:pt idx="36">
                        <c:v>3.6533119871692743</c:v>
                      </c:pt>
                      <c:pt idx="37">
                        <c:v>3.667539807114029</c:v>
                      </c:pt>
                      <c:pt idx="38">
                        <c:v>3.681797007920609</c:v>
                      </c:pt>
                      <c:pt idx="39">
                        <c:v>3.6960830531905251</c:v>
                      </c:pt>
                      <c:pt idx="40">
                        <c:v>3.710397419653416</c:v>
                      </c:pt>
                      <c:pt idx="41">
                        <c:v>3.724739596764028</c:v>
                      </c:pt>
                      <c:pt idx="42">
                        <c:v>3.7391090863140954</c:v>
                      </c:pt>
                      <c:pt idx="43">
                        <c:v>3.7535054020584204</c:v>
                      </c:pt>
                      <c:pt idx="44">
                        <c:v>3.7679280693545913</c:v>
                      </c:pt>
                      <c:pt idx="45">
                        <c:v>3.782376624815734</c:v>
                      </c:pt>
                      <c:pt idx="46">
                        <c:v>3.7968506159757478</c:v>
                      </c:pt>
                      <c:pt idx="47">
                        <c:v>3.8113496009665213</c:v>
                      </c:pt>
                      <c:pt idx="48">
                        <c:v>3.8258731482066044</c:v>
                      </c:pt>
                      <c:pt idx="49">
                        <c:v>3.8404208361008707</c:v>
                      </c:pt>
                      <c:pt idx="50">
                        <c:v>3.8549922527507312</c:v>
                      </c:pt>
                      <c:pt idx="51">
                        <c:v>3.8695869956744389</c:v>
                      </c:pt>
                      <c:pt idx="52">
                        <c:v>3.8842046715371072</c:v>
                      </c:pt>
                      <c:pt idx="53">
                        <c:v>3.8988448958900173</c:v>
                      </c:pt>
                      <c:pt idx="54">
                        <c:v>3.9135072929188652</c:v>
                      </c:pt>
                      <c:pt idx="55">
                        <c:v>3.9281914952005765</c:v>
                      </c:pt>
                      <c:pt idx="56">
                        <c:v>3.9428971434683557</c:v>
                      </c:pt>
                      <c:pt idx="57">
                        <c:v>3.9576238863846478</c:v>
                      </c:pt>
                      <c:pt idx="58">
                        <c:v>3.9723713803216838</c:v>
                      </c:pt>
                      <c:pt idx="59">
                        <c:v>3.9871392891493405</c:v>
                      </c:pt>
                      <c:pt idx="60">
                        <c:v>4.0019272840300033</c:v>
                      </c:pt>
                      <c:pt idx="61">
                        <c:v>4.0167350432201943</c:v>
                      </c:pt>
                      <c:pt idx="62">
                        <c:v>4.0315622518786576</c:v>
                      </c:pt>
                      <c:pt idx="63">
                        <c:v>4.0464086018807217</c:v>
                      </c:pt>
                      <c:pt idx="64">
                        <c:v>4.0612737916386248</c:v>
                      </c:pt>
                      <c:pt idx="65">
                        <c:v>4.0761575259276572</c:v>
                      </c:pt>
                      <c:pt idx="66">
                        <c:v>4.0910595157178191</c:v>
                      </c:pt>
                      <c:pt idx="67">
                        <c:v>4.1059794780108732</c:v>
                      </c:pt>
                      <c:pt idx="68">
                        <c:v>4.1209171356825163</c:v>
                      </c:pt>
                      <c:pt idx="69">
                        <c:v>4.1358722173295401</c:v>
                      </c:pt>
                      <c:pt idx="70">
                        <c:v>4.1508444571217513</c:v>
                      </c:pt>
                      <c:pt idx="71">
                        <c:v>4.1658335946585154</c:v>
                      </c:pt>
                      <c:pt idx="72">
                        <c:v>4.1808393748297306</c:v>
                      </c:pt>
                      <c:pt idx="73">
                        <c:v>4.1958615476810754</c:v>
                      </c:pt>
                      <c:pt idx="74">
                        <c:v>4.2108998682834038</c:v>
                      </c:pt>
                      <c:pt idx="75">
                        <c:v>4.2259540966060865</c:v>
                      </c:pt>
                      <c:pt idx="76">
                        <c:v>4.2410239973942145</c:v>
                      </c:pt>
                      <c:pt idx="77">
                        <c:v>4.2561093400494903</c:v>
                      </c:pt>
                      <c:pt idx="78">
                        <c:v>4.2712098985146936</c:v>
                      </c:pt>
                      <c:pt idx="79">
                        <c:v>4.2863254511615922</c:v>
                      </c:pt>
                      <c:pt idx="80">
                        <c:v>4.3014557806821747</c:v>
                      </c:pt>
                      <c:pt idx="81">
                        <c:v>4.3166006739831015</c:v>
                      </c:pt>
                      <c:pt idx="82">
                        <c:v>4.3317599220832506</c:v>
                      </c:pt>
                      <c:pt idx="83">
                        <c:v>4.3469333200142533</c:v>
                      </c:pt>
                      <c:pt idx="84">
                        <c:v>4.3621206667239312</c:v>
                      </c:pt>
                      <c:pt idx="85">
                        <c:v>4.3773217649825149</c:v>
                      </c:pt>
                      <c:pt idx="86">
                        <c:v>4.3925364212915738</c:v>
                      </c:pt>
                      <c:pt idx="87">
                        <c:v>4.4077644457955403</c:v>
                      </c:pt>
                      <c:pt idx="88">
                        <c:v>4.4230056521957737</c:v>
                      </c:pt>
                      <c:pt idx="89">
                        <c:v>4.4382598576670347</c:v>
                      </c:pt>
                      <c:pt idx="90">
                        <c:v>4.4535268827763517</c:v>
                      </c:pt>
                      <c:pt idx="91">
                        <c:v>4.4688065514041266</c:v>
                      </c:pt>
                      <c:pt idx="92">
                        <c:v>4.48409869066748</c:v>
                      </c:pt>
                      <c:pt idx="93">
                        <c:v>4.499403130845705</c:v>
                      </c:pt>
                      <c:pt idx="94">
                        <c:v>4.5147197053077956</c:v>
                      </c:pt>
                      <c:pt idx="95">
                        <c:v>4.5300482504419648</c:v>
                      </c:pt>
                      <c:pt idx="96">
                        <c:v>4.545388605587104</c:v>
                      </c:pt>
                      <c:pt idx="97">
                        <c:v>4.5607406129661037</c:v>
                      </c:pt>
                      <c:pt idx="98">
                        <c:v>4.5761041176209867</c:v>
                      </c:pt>
                      <c:pt idx="99">
                        <c:v>4.591478967349798</c:v>
                      </c:pt>
                      <c:pt idx="100">
                        <c:v>4.6068650126451924</c:v>
                      </c:pt>
                      <c:pt idx="101">
                        <c:v>4.6222621066346665</c:v>
                      </c:pt>
                      <c:pt idx="102">
                        <c:v>4.6376701050223774</c:v>
                      </c:pt>
                      <c:pt idx="103">
                        <c:v>4.6530888660325154</c:v>
                      </c:pt>
                      <c:pt idx="104">
                        <c:v>4.6685182503541647</c:v>
                      </c:pt>
                      <c:pt idx="105">
                        <c:v>4.6839581210876222</c:v>
                      </c:pt>
                      <c:pt idx="106">
                        <c:v>4.6994083436921086</c:v>
                      </c:pt>
                      <c:pt idx="107">
                        <c:v>4.714868785934855</c:v>
                      </c:pt>
                      <c:pt idx="108">
                        <c:v>4.730339317841505</c:v>
                      </c:pt>
                      <c:pt idx="109">
                        <c:v>4.7458198116477925</c:v>
                      </c:pt>
                      <c:pt idx="110">
                        <c:v>4.7613101417524719</c:v>
                      </c:pt>
                      <c:pt idx="111">
                        <c:v>4.7768101846714428</c:v>
                      </c:pt>
                      <c:pt idx="112">
                        <c:v>4.7923198189930547</c:v>
                      </c:pt>
                      <c:pt idx="113">
                        <c:v>4.8078389253345382</c:v>
                      </c:pt>
                      <c:pt idx="114">
                        <c:v>4.8233673862995339</c:v>
                      </c:pt>
                      <c:pt idx="115">
                        <c:v>4.8389050864366983</c:v>
                      </c:pt>
                      <c:pt idx="116">
                        <c:v>4.8544519121993428</c:v>
                      </c:pt>
                      <c:pt idx="117">
                        <c:v>4.8700077519060789</c:v>
                      </c:pt>
                      <c:pt idx="118">
                        <c:v>4.8855724957024345</c:v>
                      </c:pt>
                      <c:pt idx="119">
                        <c:v>4.9011460355234302</c:v>
                      </c:pt>
                      <c:pt idx="120">
                        <c:v>4.9167282650570714</c:v>
                      </c:pt>
                      <c:pt idx="121">
                        <c:v>4.9323190797087335</c:v>
                      </c:pt>
                      <c:pt idx="122">
                        <c:v>4.9479183765664159</c:v>
                      </c:pt>
                      <c:pt idx="123">
                        <c:v>4.9635260543668487</c:v>
                      </c:pt>
                      <c:pt idx="124">
                        <c:v>4.9791420134624138</c:v>
                      </c:pt>
                      <c:pt idx="125">
                        <c:v>4.994766155788855</c:v>
                      </c:pt>
                      <c:pt idx="126">
                        <c:v>5.0103983848337839</c:v>
                      </c:pt>
                      <c:pt idx="127">
                        <c:v>5.0260386056059225</c:v>
                      </c:pt>
                      <c:pt idx="128">
                        <c:v>5.0416867246050758</c:v>
                      </c:pt>
                      <c:pt idx="129">
                        <c:v>5.0573426497928375</c:v>
                      </c:pt>
                      <c:pt idx="130">
                        <c:v>5.0730062905639581</c:v>
                      </c:pt>
                      <c:pt idx="131">
                        <c:v>5.0886775577184107</c:v>
                      </c:pt>
                      <c:pt idx="132">
                        <c:v>5.1043563634341016</c:v>
                      </c:pt>
                      <c:pt idx="133">
                        <c:v>5.1200426212402128</c:v>
                      </c:pt>
                      <c:pt idx="134">
                        <c:v>5.1357362459911782</c:v>
                      </c:pt>
                      <c:pt idx="135">
                        <c:v>5.1514371538412389</c:v>
                      </c:pt>
                      <c:pt idx="136">
                        <c:v>5.1671452622196163</c:v>
                      </c:pt>
                      <c:pt idx="137">
                        <c:v>5.1828604898062229</c:v>
                      </c:pt>
                      <c:pt idx="138">
                        <c:v>5.1985827565079603</c:v>
                      </c:pt>
                      <c:pt idx="139">
                        <c:v>5.2143119834355218</c:v>
                      </c:pt>
                      <c:pt idx="140">
                        <c:v>5.2300480928807591</c:v>
                      </c:pt>
                      <c:pt idx="141">
                        <c:v>5.2457910082945265</c:v>
                      </c:pt>
                      <c:pt idx="142">
                        <c:v>5.2615406542650494</c:v>
                      </c:pt>
                      <c:pt idx="143">
                        <c:v>5.2772969564967696</c:v>
                      </c:pt>
                      <c:pt idx="144">
                        <c:v>5.2930598417896526</c:v>
                      </c:pt>
                      <c:pt idx="145">
                        <c:v>5.3088292380189737</c:v>
                      </c:pt>
                      <c:pt idx="146">
                        <c:v>5.3246050741155377</c:v>
                      </c:pt>
                      <c:pt idx="147">
                        <c:v>5.3403872800463441</c:v>
                      </c:pt>
                      <c:pt idx="148">
                        <c:v>5.356175786795677</c:v>
                      </c:pt>
                      <c:pt idx="149">
                        <c:v>5.3719705263466038</c:v>
                      </c:pt>
                      <c:pt idx="150">
                        <c:v>5.3877714316628849</c:v>
                      </c:pt>
                      <c:pt idx="151">
                        <c:v>5.4035784366712702</c:v>
                      </c:pt>
                      <c:pt idx="152">
                        <c:v>5.419391476244189</c:v>
                      </c:pt>
                      <c:pt idx="153">
                        <c:v>5.4352104861828012</c:v>
                      </c:pt>
                      <c:pt idx="154">
                        <c:v>5.4510354032004251</c:v>
                      </c:pt>
                      <c:pt idx="155">
                        <c:v>5.4668661649063148</c:v>
                      </c:pt>
                      <c:pt idx="156">
                        <c:v>5.4827027097897849</c:v>
                      </c:pt>
                      <c:pt idx="157">
                        <c:v>5.4985449772046664</c:v>
                      </c:pt>
                      <c:pt idx="158">
                        <c:v>5.5143929073541109</c:v>
                      </c:pt>
                      <c:pt idx="159">
                        <c:v>5.5302464412756924</c:v>
                      </c:pt>
                      <c:pt idx="160">
                        <c:v>5.5461055208268428</c:v>
                      </c:pt>
                      <c:pt idx="161">
                        <c:v>5.5619700886705772</c:v>
                      </c:pt>
                      <c:pt idx="162">
                        <c:v>5.5778400882615262</c:v>
                      </c:pt>
                      <c:pt idx="163">
                        <c:v>5.5937154638322673</c:v>
                      </c:pt>
                      <c:pt idx="164">
                        <c:v>5.6095961603799127</c:v>
                      </c:pt>
                      <c:pt idx="165">
                        <c:v>5.625482123653005</c:v>
                      </c:pt>
                      <c:pt idx="166">
                        <c:v>5.6413733001386666</c:v>
                      </c:pt>
                      <c:pt idx="167">
                        <c:v>5.6572696370500175</c:v>
                      </c:pt>
                      <c:pt idx="168">
                        <c:v>5.6731710823138402</c:v>
                      </c:pt>
                      <c:pt idx="169">
                        <c:v>5.68907758455852</c:v>
                      </c:pt>
                      <c:pt idx="170">
                        <c:v>5.7049890931022018</c:v>
                      </c:pt>
                      <c:pt idx="171">
                        <c:v>5.720905557941216</c:v>
                      </c:pt>
                      <c:pt idx="172">
                        <c:v>5.7368269297387027</c:v>
                      </c:pt>
                      <c:pt idx="173">
                        <c:v>5.7527531598135013</c:v>
                      </c:pt>
                      <c:pt idx="174">
                        <c:v>5.7686842001292371</c:v>
                      </c:pt>
                      <c:pt idx="175">
                        <c:v>5.7846200032836395</c:v>
                      </c:pt>
                      <c:pt idx="176">
                        <c:v>5.8005605224980643</c:v>
                      </c:pt>
                      <c:pt idx="177">
                        <c:v>5.8165057116072241</c:v>
                      </c:pt>
                      <c:pt idx="178">
                        <c:v>5.8324555250491361</c:v>
                      </c:pt>
                      <c:pt idx="179">
                        <c:v>5.8484099178552462</c:v>
                      </c:pt>
                      <c:pt idx="180">
                        <c:v>5.8643688456407688</c:v>
                      </c:pt>
                      <c:pt idx="181">
                        <c:v>5.8803322645951868</c:v>
                      </c:pt>
                      <c:pt idx="182">
                        <c:v>5.8963001314729748</c:v>
                      </c:pt>
                      <c:pt idx="183">
                        <c:v>5.9122724035844731</c:v>
                      </c:pt>
                      <c:pt idx="184">
                        <c:v>5.9282490387869435</c:v>
                      </c:pt>
                      <c:pt idx="185">
                        <c:v>5.9442299954758111</c:v>
                      </c:pt>
                      <c:pt idx="186">
                        <c:v>5.9602152325760605</c:v>
                      </c:pt>
                      <c:pt idx="187">
                        <c:v>5.9762047095338078</c:v>
                      </c:pt>
                      <c:pt idx="188">
                        <c:v>5.992198386308023</c:v>
                      </c:pt>
                      <c:pt idx="189">
                        <c:v>6.0081962233624155</c:v>
                      </c:pt>
                      <c:pt idx="190">
                        <c:v>6.0241981816574759</c:v>
                      </c:pt>
                      <c:pt idx="191">
                        <c:v>6.0402042226426733</c:v>
                      </c:pt>
                      <c:pt idx="192">
                        <c:v>6.0562143082487809</c:v>
                      </c:pt>
                      <c:pt idx="193">
                        <c:v>6.0722284008803644</c:v>
                      </c:pt>
                      <c:pt idx="194">
                        <c:v>6.0882464634084013</c:v>
                      </c:pt>
                      <c:pt idx="195">
                        <c:v>6.1042684591630518</c:v>
                      </c:pt>
                      <c:pt idx="196">
                        <c:v>6.120294351926546</c:v>
                      </c:pt>
                      <c:pt idx="197">
                        <c:v>6.1363241059262092</c:v>
                      </c:pt>
                      <c:pt idx="198">
                        <c:v>6.1523576858276297</c:v>
                      </c:pt>
                      <c:pt idx="199">
                        <c:v>6.1683950567279311</c:v>
                      </c:pt>
                      <c:pt idx="200">
                        <c:v>6.1844361841491873</c:v>
                      </c:pt>
                    </c:numCache>
                  </c:numRef>
                </c:val>
                <c:smooth val="0"/>
                <c:extLst xmlns:c15="http://schemas.microsoft.com/office/drawing/2012/chart">
                  <c:ext xmlns:c16="http://schemas.microsoft.com/office/drawing/2014/chart" uri="{C3380CC4-5D6E-409C-BE32-E72D297353CC}">
                    <c16:uniqueId val="{00000006-D94A-4A6C-A3EF-19A07815FC45}"/>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'Efficiency vs VIN Calculations'!$AF$8</c15:sqref>
                        </c15:formulaRef>
                      </c:ext>
                    </c:extLst>
                    <c:strCache>
                      <c:ptCount val="1"/>
                      <c:pt idx="0">
                        <c:v>Total Cin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Calculations'!$AF$9:$AF$209</c15:sqref>
                        </c15:formulaRef>
                      </c:ext>
                    </c:extLst>
                    <c:numCache>
                      <c:formatCode>0.000</c:formatCode>
                      <c:ptCount val="201"/>
                      <c:pt idx="0">
                        <c:v>5.6109654535195889E-2</c:v>
                      </c:pt>
                      <c:pt idx="1">
                        <c:v>5.6808454005512085E-2</c:v>
                      </c:pt>
                      <c:pt idx="2">
                        <c:v>5.7483154589628063E-2</c:v>
                      </c:pt>
                      <c:pt idx="3">
                        <c:v>5.8134545191856318E-2</c:v>
                      </c:pt>
                      <c:pt idx="4">
                        <c:v>5.8763385142715681E-2</c:v>
                      </c:pt>
                      <c:pt idx="5">
                        <c:v>5.9370405482510616E-2</c:v>
                      </c:pt>
                      <c:pt idx="6">
                        <c:v>5.9956310181083286E-2</c:v>
                      </c:pt>
                      <c:pt idx="7">
                        <c:v>6.052177729732662E-2</c:v>
                      </c:pt>
                      <c:pt idx="8">
                        <c:v>6.1067460081822192E-2</c:v>
                      </c:pt>
                      <c:pt idx="9">
                        <c:v>6.1593988025755587E-2</c:v>
                      </c:pt>
                      <c:pt idx="10">
                        <c:v>6.2101967859069067E-2</c:v>
                      </c:pt>
                      <c:pt idx="11">
                        <c:v>6.2591984500626266E-2</c:v>
                      </c:pt>
                      <c:pt idx="12">
                        <c:v>6.3064601962997346E-2</c:v>
                      </c:pt>
                      <c:pt idx="13">
                        <c:v>6.3520364214312189E-2</c:v>
                      </c:pt>
                      <c:pt idx="14">
                        <c:v>6.3959795999483773E-2</c:v>
                      </c:pt>
                      <c:pt idx="15">
                        <c:v>6.4383403622964644E-2</c:v>
                      </c:pt>
                      <c:pt idx="16">
                        <c:v>6.4791675695071854E-2</c:v>
                      </c:pt>
                      <c:pt idx="17">
                        <c:v>6.5185083843794997E-2</c:v>
                      </c:pt>
                      <c:pt idx="18">
                        <c:v>6.5564083393889708E-2</c:v>
                      </c:pt>
                      <c:pt idx="19">
                        <c:v>6.5929114014954243E-2</c:v>
                      </c:pt>
                      <c:pt idx="20">
                        <c:v>6.6280600340088272E-2</c:v>
                      </c:pt>
                      <c:pt idx="21">
                        <c:v>6.6618952556640965E-2</c:v>
                      </c:pt>
                      <c:pt idx="22">
                        <c:v>6.6944566970469174E-2</c:v>
                      </c:pt>
                      <c:pt idx="23">
                        <c:v>6.7257826545046584E-2</c:v>
                      </c:pt>
                      <c:pt idx="24">
                        <c:v>6.7559101416687611E-2</c:v>
                      </c:pt>
                      <c:pt idx="25">
                        <c:v>6.7848749387080742E-2</c:v>
                      </c:pt>
                      <c:pt idx="26">
                        <c:v>6.8127116394257226E-2</c:v>
                      </c:pt>
                      <c:pt idx="27">
                        <c:v>6.8394536963061275E-2</c:v>
                      </c:pt>
                      <c:pt idx="28">
                        <c:v>6.8651334636126521E-2</c:v>
                      </c:pt>
                      <c:pt idx="29">
                        <c:v>6.889782238631055E-2</c:v>
                      </c:pt>
                      <c:pt idx="30">
                        <c:v>6.9134303011486667E-2</c:v>
                      </c:pt>
                      <c:pt idx="31">
                        <c:v>6.9361069512543047E-2</c:v>
                      </c:pt>
                      <c:pt idx="32">
                        <c:v>6.9578405455394912E-2</c:v>
                      </c:pt>
                      <c:pt idx="33">
                        <c:v>6.9786585317771252E-2</c:v>
                      </c:pt>
                      <c:pt idx="34">
                        <c:v>6.9985874821497374E-2</c:v>
                      </c:pt>
                      <c:pt idx="35">
                        <c:v>7.0176531250957103E-2</c:v>
                      </c:pt>
                      <c:pt idx="36">
                        <c:v>7.0358803758381494E-2</c:v>
                      </c:pt>
                      <c:pt idx="37">
                        <c:v>7.0532933656578214E-2</c:v>
                      </c:pt>
                      <c:pt idx="38">
                        <c:v>7.0699154699683103E-2</c:v>
                      </c:pt>
                      <c:pt idx="39">
                        <c:v>7.0857693352485707E-2</c:v>
                      </c:pt>
                      <c:pt idx="40">
                        <c:v>7.1008769048852477E-2</c:v>
                      </c:pt>
                      <c:pt idx="41">
                        <c:v>7.1152594439743741E-2</c:v>
                      </c:pt>
                      <c:pt idx="42">
                        <c:v>7.1289375631296961E-2</c:v>
                      </c:pt>
                      <c:pt idx="43">
                        <c:v>7.1419312413423003E-2</c:v>
                      </c:pt>
                      <c:pt idx="44">
                        <c:v>7.1542598479341177E-2</c:v>
                      </c:pt>
                      <c:pt idx="45">
                        <c:v>7.1659421636457124E-2</c:v>
                      </c:pt>
                      <c:pt idx="46">
                        <c:v>7.1769964008967277E-2</c:v>
                      </c:pt>
                      <c:pt idx="47">
                        <c:v>7.1874402232554951E-2</c:v>
                      </c:pt>
                      <c:pt idx="48">
                        <c:v>7.1972907641525183E-2</c:v>
                      </c:pt>
                      <c:pt idx="49">
                        <c:v>7.2065646448708623E-2</c:v>
                      </c:pt>
                      <c:pt idx="50">
                        <c:v>7.2152779918447887E-2</c:v>
                      </c:pt>
                      <c:pt idx="51">
                        <c:v>7.2234464532966211E-2</c:v>
                      </c:pt>
                      <c:pt idx="52">
                        <c:v>7.2310852152402114E-2</c:v>
                      </c:pt>
                      <c:pt idx="53">
                        <c:v>7.2382090168781402E-2</c:v>
                      </c:pt>
                      <c:pt idx="54">
                        <c:v>7.2448321654184286E-2</c:v>
                      </c:pt>
                      <c:pt idx="55">
                        <c:v>7.2509685503353599E-2</c:v>
                      </c:pt>
                      <c:pt idx="56">
                        <c:v>7.2566316570978312E-2</c:v>
                      </c:pt>
                      <c:pt idx="57">
                        <c:v>7.2618345803875287E-2</c:v>
                      </c:pt>
                      <c:pt idx="58">
                        <c:v>7.2665900368282452E-2</c:v>
                      </c:pt>
                      <c:pt idx="59">
                        <c:v>7.270910377246631E-2</c:v>
                      </c:pt>
                      <c:pt idx="60">
                        <c:v>7.2748075984836943E-2</c:v>
                      </c:pt>
                      <c:pt idx="61">
                        <c:v>7.2782933547755904E-2</c:v>
                      </c:pt>
                      <c:pt idx="62">
                        <c:v>7.281378968721243E-2</c:v>
                      </c:pt>
                      <c:pt idx="63">
                        <c:v>7.2840754418537018E-2</c:v>
                      </c:pt>
                      <c:pt idx="64">
                        <c:v>7.2863934648312173E-2</c:v>
                      </c:pt>
                      <c:pt idx="65">
                        <c:v>7.2883434272634426E-2</c:v>
                      </c:pt>
                      <c:pt idx="66">
                        <c:v>7.2899354271873537E-2</c:v>
                      </c:pt>
                      <c:pt idx="67">
                        <c:v>7.2911792802069414E-2</c:v>
                      </c:pt>
                      <c:pt idx="68">
                        <c:v>7.2920845283099722E-2</c:v>
                      </c:pt>
                      <c:pt idx="69">
                        <c:v>7.2926604483746812E-2</c:v>
                      </c:pt>
                      <c:pt idx="70">
                        <c:v>7.2929160603785737E-2</c:v>
                      </c:pt>
                      <c:pt idx="71">
                        <c:v>7.2928601353210346E-2</c:v>
                      </c:pt>
                      <c:pt idx="72">
                        <c:v>7.2925012028709046E-2</c:v>
                      </c:pt>
                      <c:pt idx="73">
                        <c:v>7.2918475587497478E-2</c:v>
                      </c:pt>
                      <c:pt idx="74">
                        <c:v>7.2909072718610135E-2</c:v>
                      </c:pt>
                      <c:pt idx="75">
                        <c:v>7.2896881911748826E-2</c:v>
                      </c:pt>
                      <c:pt idx="76">
                        <c:v>7.288197952378199E-2</c:v>
                      </c:pt>
                      <c:pt idx="77">
                        <c:v>7.2864439842984241E-2</c:v>
                      </c:pt>
                      <c:pt idx="78">
                        <c:v>7.2844335151102099E-2</c:v>
                      </c:pt>
                      <c:pt idx="79">
                        <c:v>7.2821735783328775E-2</c:v>
                      </c:pt>
                      <c:pt idx="80">
                        <c:v>7.2796710186265642E-2</c:v>
                      </c:pt>
                      <c:pt idx="81">
                        <c:v>7.2769324973947266E-2</c:v>
                      </c:pt>
                      <c:pt idx="82">
                        <c:v>7.2739644982001514E-2</c:v>
                      </c:pt>
                      <c:pt idx="83">
                        <c:v>7.2707733320014567E-2</c:v>
                      </c:pt>
                      <c:pt idx="84">
                        <c:v>7.2673651422166891E-2</c:v>
                      </c:pt>
                      <c:pt idx="85">
                        <c:v>7.263745909620449E-2</c:v>
                      </c:pt>
                      <c:pt idx="86">
                        <c:v>7.2599214570806342E-2</c:v>
                      </c:pt>
                      <c:pt idx="87">
                        <c:v>7.2558974541406723E-2</c:v>
                      </c:pt>
                      <c:pt idx="88">
                        <c:v>7.2516794214528613E-2</c:v>
                      </c:pt>
                      <c:pt idx="89">
                        <c:v>7.2472727350682511E-2</c:v>
                      </c:pt>
                      <c:pt idx="90">
                        <c:v>7.2426826305882278E-2</c:v>
                      </c:pt>
                      <c:pt idx="91">
                        <c:v>7.2379142071827621E-2</c:v>
                      </c:pt>
                      <c:pt idx="92">
                        <c:v>7.2329724314801724E-2</c:v>
                      </c:pt>
                      <c:pt idx="93">
                        <c:v>7.2278621413328803E-2</c:v>
                      </c:pt>
                      <c:pt idx="94">
                        <c:v>7.2225880494636713E-2</c:v>
                      </c:pt>
                      <c:pt idx="95">
                        <c:v>7.2171547469966249E-2</c:v>
                      </c:pt>
                      <c:pt idx="96">
                        <c:v>7.2115667068768249E-2</c:v>
                      </c:pt>
                      <c:pt idx="97">
                        <c:v>7.2058282871827237E-2</c:v>
                      </c:pt>
                      <c:pt idx="98">
                        <c:v>7.1999437343349404E-2</c:v>
                      </c:pt>
                      <c:pt idx="99">
                        <c:v>7.1939171862050996E-2</c:v>
                      </c:pt>
                      <c:pt idx="100">
                        <c:v>7.1877526751281617E-2</c:v>
                      </c:pt>
                      <c:pt idx="101">
                        <c:v>7.1814541308216365E-2</c:v>
                      </c:pt>
                      <c:pt idx="102">
                        <c:v>7.175025383214792E-2</c:v>
                      </c:pt>
                      <c:pt idx="103">
                        <c:v>7.1684701651910723E-2</c:v>
                      </c:pt>
                      <c:pt idx="104">
                        <c:v>7.161792115246586E-2</c:v>
                      </c:pt>
                      <c:pt idx="105">
                        <c:v>7.1549947800675778E-2</c:v>
                      </c:pt>
                      <c:pt idx="106">
                        <c:v>7.1480816170296169E-2</c:v>
                      </c:pt>
                      <c:pt idx="107">
                        <c:v>7.1410559966211651E-2</c:v>
                      </c:pt>
                      <c:pt idx="108">
                        <c:v>7.1339212047940428E-2</c:v>
                      </c:pt>
                      <c:pt idx="109">
                        <c:v>7.1266804452432705E-2</c:v>
                      </c:pt>
                      <c:pt idx="110">
                        <c:v>7.1193368416186481E-2</c:v>
                      </c:pt>
                      <c:pt idx="111">
                        <c:v>7.1118934396702999E-2</c:v>
                      </c:pt>
                      <c:pt idx="112">
                        <c:v>7.1043532093304759E-2</c:v>
                      </c:pt>
                      <c:pt idx="113">
                        <c:v>7.0967190467335864E-2</c:v>
                      </c:pt>
                      <c:pt idx="114">
                        <c:v>7.0889937761766234E-2</c:v>
                      </c:pt>
                      <c:pt idx="115">
                        <c:v>7.0811801520218529E-2</c:v>
                      </c:pt>
                      <c:pt idx="116">
                        <c:v>7.0732808605436931E-2</c:v>
                      </c:pt>
                      <c:pt idx="117">
                        <c:v>7.0652985217215886E-2</c:v>
                      </c:pt>
                      <c:pt idx="118">
                        <c:v>7.0572356909806469E-2</c:v>
                      </c:pt>
                      <c:pt idx="119">
                        <c:v>7.0490948608817369E-2</c:v>
                      </c:pt>
                      <c:pt idx="120">
                        <c:v>7.0408784627626078E-2</c:v>
                      </c:pt>
                      <c:pt idx="121">
                        <c:v>7.0325888683317198E-2</c:v>
                      </c:pt>
                      <c:pt idx="122">
                        <c:v>7.0242283912162071E-2</c:v>
                      </c:pt>
                      <c:pt idx="123">
                        <c:v>7.0157992884654602E-2</c:v>
                      </c:pt>
                      <c:pt idx="124">
                        <c:v>7.007303762011774E-2</c:v>
                      </c:pt>
                      <c:pt idx="125">
                        <c:v>6.9987439600893694E-2</c:v>
                      </c:pt>
                      <c:pt idx="126">
                        <c:v>6.9901219786131355E-2</c:v>
                      </c:pt>
                      <c:pt idx="127">
                        <c:v>6.9814398625183655E-2</c:v>
                      </c:pt>
                      <c:pt idx="128">
                        <c:v>6.972699607062692E-2</c:v>
                      </c:pt>
                      <c:pt idx="129">
                        <c:v>6.9639031590913905E-2</c:v>
                      </c:pt>
                      <c:pt idx="130">
                        <c:v>6.955052418267238E-2</c:v>
                      </c:pt>
                      <c:pt idx="131">
                        <c:v>6.9461492382659862E-2</c:v>
                      </c:pt>
                      <c:pt idx="132">
                        <c:v>6.937195427938532E-2</c:v>
                      </c:pt>
                      <c:pt idx="133">
                        <c:v>6.9281927524408121E-2</c:v>
                      </c:pt>
                      <c:pt idx="134">
                        <c:v>6.9191429343324035E-2</c:v>
                      </c:pt>
                      <c:pt idx="135">
                        <c:v>6.9100476546447881E-2</c:v>
                      </c:pt>
                      <c:pt idx="136">
                        <c:v>6.9009085539202472E-2</c:v>
                      </c:pt>
                      <c:pt idx="137">
                        <c:v>6.8917272332222154E-2</c:v>
                      </c:pt>
                      <c:pt idx="138">
                        <c:v>6.8825052551180085E-2</c:v>
                      </c:pt>
                      <c:pt idx="139">
                        <c:v>6.8732441446347464E-2</c:v>
                      </c:pt>
                      <c:pt idx="140">
                        <c:v>6.8639453901892827E-2</c:v>
                      </c:pt>
                      <c:pt idx="141">
                        <c:v>6.8546104444929007E-2</c:v>
                      </c:pt>
                      <c:pt idx="142">
                        <c:v>6.84524072543157E-2</c:v>
                      </c:pt>
                      <c:pt idx="143">
                        <c:v>6.8358376169224688E-2</c:v>
                      </c:pt>
                      <c:pt idx="144">
                        <c:v>6.8264024697474793E-2</c:v>
                      </c:pt>
                      <c:pt idx="145">
                        <c:v>6.8169366023643319E-2</c:v>
                      </c:pt>
                      <c:pt idx="146">
                        <c:v>6.807441301696103E-2</c:v>
                      </c:pt>
                      <c:pt idx="147">
                        <c:v>6.7979178238996338E-2</c:v>
                      </c:pt>
                      <c:pt idx="148">
                        <c:v>6.7883673951135787E-2</c:v>
                      </c:pt>
                      <c:pt idx="149">
                        <c:v>6.7787912121865607E-2</c:v>
                      </c:pt>
                      <c:pt idx="150">
                        <c:v>6.7691904433861569E-2</c:v>
                      </c:pt>
                      <c:pt idx="151">
                        <c:v>6.7595662290891645E-2</c:v>
                      </c:pt>
                      <c:pt idx="152">
                        <c:v>6.7499196824537241E-2</c:v>
                      </c:pt>
                      <c:pt idx="153">
                        <c:v>6.7402518900738395E-2</c:v>
                      </c:pt>
                      <c:pt idx="154">
                        <c:v>6.7305639126168187E-2</c:v>
                      </c:pt>
                      <c:pt idx="155">
                        <c:v>6.7208567854440182E-2</c:v>
                      </c:pt>
                      <c:pt idx="156">
                        <c:v>6.7111315192155629E-2</c:v>
                      </c:pt>
                      <c:pt idx="157">
                        <c:v>6.7013891004793089E-2</c:v>
                      </c:pt>
                      <c:pt idx="158">
                        <c:v>6.691630492244606E-2</c:v>
                      </c:pt>
                      <c:pt idx="159">
                        <c:v>6.6818566345412667E-2</c:v>
                      </c:pt>
                      <c:pt idx="160">
                        <c:v>6.6720684449641743E-2</c:v>
                      </c:pt>
                      <c:pt idx="161">
                        <c:v>6.6622668192038853E-2</c:v>
                      </c:pt>
                      <c:pt idx="162">
                        <c:v>6.6524526315637003E-2</c:v>
                      </c:pt>
                      <c:pt idx="163">
                        <c:v>6.6426267354635193E-2</c:v>
                      </c:pt>
                      <c:pt idx="164">
                        <c:v>6.6327899639308671E-2</c:v>
                      </c:pt>
                      <c:pt idx="165">
                        <c:v>6.6229431300794825E-2</c:v>
                      </c:pt>
                      <c:pt idx="166">
                        <c:v>6.6130870275757661E-2</c:v>
                      </c:pt>
                      <c:pt idx="167">
                        <c:v>6.603222431093464E-2</c:v>
                      </c:pt>
                      <c:pt idx="168">
                        <c:v>6.5933500967568767E-2</c:v>
                      </c:pt>
                      <c:pt idx="169">
                        <c:v>6.5834707625729669E-2</c:v>
                      </c:pt>
                      <c:pt idx="170">
                        <c:v>6.5735851488525968E-2</c:v>
                      </c:pt>
                      <c:pt idx="171">
                        <c:v>6.5636939586212764E-2</c:v>
                      </c:pt>
                      <c:pt idx="172">
                        <c:v>6.5537978780196252E-2</c:v>
                      </c:pt>
                      <c:pt idx="173">
                        <c:v>6.5438975766939037E-2</c:v>
                      </c:pt>
                      <c:pt idx="174">
                        <c:v>6.5339937081768398E-2</c:v>
                      </c:pt>
                      <c:pt idx="175">
                        <c:v>6.5240869102590235E-2</c:v>
                      </c:pt>
                      <c:pt idx="176">
                        <c:v>6.5141778053511415E-2</c:v>
                      </c:pt>
                      <c:pt idx="177">
                        <c:v>6.5042670008372827E-2</c:v>
                      </c:pt>
                      <c:pt idx="178">
                        <c:v>6.4943550894195526E-2</c:v>
                      </c:pt>
                      <c:pt idx="179">
                        <c:v>6.4844426494542265E-2</c:v>
                      </c:pt>
                      <c:pt idx="180">
                        <c:v>6.4745302452797415E-2</c:v>
                      </c:pt>
                      <c:pt idx="181">
                        <c:v>6.4646184275365892E-2</c:v>
                      </c:pt>
                      <c:pt idx="182">
                        <c:v>6.4547077334794964E-2</c:v>
                      </c:pt>
                      <c:pt idx="183">
                        <c:v>6.4447986872819885E-2</c:v>
                      </c:pt>
                      <c:pt idx="184">
                        <c:v>6.4348918003335767E-2</c:v>
                      </c:pt>
                      <c:pt idx="185">
                        <c:v>6.4249875715297694E-2</c:v>
                      </c:pt>
                      <c:pt idx="186">
                        <c:v>6.4150864875550551E-2</c:v>
                      </c:pt>
                      <c:pt idx="187">
                        <c:v>6.405189023159126E-2</c:v>
                      </c:pt>
                      <c:pt idx="188">
                        <c:v>6.3952956414264184E-2</c:v>
                      </c:pt>
                      <c:pt idx="189">
                        <c:v>6.3854067940392306E-2</c:v>
                      </c:pt>
                      <c:pt idx="190">
                        <c:v>6.3755229215345141E-2</c:v>
                      </c:pt>
                      <c:pt idx="191">
                        <c:v>6.3656444535545753E-2</c:v>
                      </c:pt>
                      <c:pt idx="192">
                        <c:v>6.3557718090917883E-2</c:v>
                      </c:pt>
                      <c:pt idx="193">
                        <c:v>6.3459053967275039E-2</c:v>
                      </c:pt>
                      <c:pt idx="194">
                        <c:v>6.3360456148652711E-2</c:v>
                      </c:pt>
                      <c:pt idx="195">
                        <c:v>6.3261928519585939E-2</c:v>
                      </c:pt>
                      <c:pt idx="196">
                        <c:v>6.3163474867332661E-2</c:v>
                      </c:pt>
                      <c:pt idx="197">
                        <c:v>6.3065098884044907E-2</c:v>
                      </c:pt>
                      <c:pt idx="198">
                        <c:v>6.2966804168888946E-2</c:v>
                      </c:pt>
                      <c:pt idx="199">
                        <c:v>6.2868594230115746E-2</c:v>
                      </c:pt>
                      <c:pt idx="200">
                        <c:v>6.2770472487082923E-2</c:v>
                      </c:pt>
                    </c:numCache>
                  </c:numRef>
                </c:val>
                <c:smooth val="0"/>
                <c:extLst xmlns:c15="http://schemas.microsoft.com/office/drawing/2012/chart">
                  <c:ext xmlns:c16="http://schemas.microsoft.com/office/drawing/2014/chart" uri="{C3380CC4-5D6E-409C-BE32-E72D297353CC}">
                    <c16:uniqueId val="{00000007-D94A-4A6C-A3EF-19A07815FC45}"/>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'Efficiency vs VIN Calculations'!$AC$8</c15:sqref>
                        </c15:formulaRef>
                      </c:ext>
                    </c:extLst>
                    <c:strCache>
                      <c:ptCount val="1"/>
                      <c:pt idx="0">
                        <c:v>Total Cout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Calculations'!$AC$9:$AC$209</c15:sqref>
                        </c15:formulaRef>
                      </c:ext>
                    </c:extLst>
                    <c:numCache>
                      <c:formatCode>0.000</c:formatCode>
                      <c:ptCount val="201"/>
                      <c:pt idx="0">
                        <c:v>2.6259597524932012E-3</c:v>
                      </c:pt>
                      <c:pt idx="1">
                        <c:v>2.7256505648593898E-3</c:v>
                      </c:pt>
                      <c:pt idx="2">
                        <c:v>2.8257859992278141E-3</c:v>
                      </c:pt>
                      <c:pt idx="3">
                        <c:v>2.9263198215073011E-3</c:v>
                      </c:pt>
                      <c:pt idx="4">
                        <c:v>3.0272080573061017E-3</c:v>
                      </c:pt>
                      <c:pt idx="5">
                        <c:v>3.1284088820129879E-3</c:v>
                      </c:pt>
                      <c:pt idx="6">
                        <c:v>3.2298825166463029E-3</c:v>
                      </c:pt>
                      <c:pt idx="7">
                        <c:v>3.3315911291397992E-3</c:v>
                      </c:pt>
                      <c:pt idx="8">
                        <c:v>3.4334987407546452E-3</c:v>
                      </c:pt>
                      <c:pt idx="9">
                        <c:v>3.5355711373265971E-3</c:v>
                      </c:pt>
                      <c:pt idx="10">
                        <c:v>3.6377757850752142E-3</c:v>
                      </c:pt>
                      <c:pt idx="11">
                        <c:v>3.7400817507190821E-3</c:v>
                      </c:pt>
                      <c:pt idx="12">
                        <c:v>3.842459625656458E-3</c:v>
                      </c:pt>
                      <c:pt idx="13">
                        <c:v>3.9448814539856693E-3</c:v>
                      </c:pt>
                      <c:pt idx="14">
                        <c:v>4.0473206641531388E-3</c:v>
                      </c:pt>
                      <c:pt idx="15">
                        <c:v>4.1497520040297518E-3</c:v>
                      </c:pt>
                      <c:pt idx="16">
                        <c:v>4.2521514792282838E-3</c:v>
                      </c:pt>
                      <c:pt idx="17">
                        <c:v>4.3544962944856401E-3</c:v>
                      </c:pt>
                      <c:pt idx="18">
                        <c:v>4.456764797944289E-3</c:v>
                      </c:pt>
                      <c:pt idx="19">
                        <c:v>4.5589364281769266E-3</c:v>
                      </c:pt>
                      <c:pt idx="20">
                        <c:v>4.6609916638075182E-3</c:v>
                      </c:pt>
                      <c:pt idx="21">
                        <c:v>4.7629119755906472E-3</c:v>
                      </c:pt>
                      <c:pt idx="22">
                        <c:v>4.8646797808187649E-3</c:v>
                      </c:pt>
                      <c:pt idx="23">
                        <c:v>4.9662783999348814E-3</c:v>
                      </c:pt>
                      <c:pt idx="24">
                        <c:v>5.0676920152348389E-3</c:v>
                      </c:pt>
                      <c:pt idx="25">
                        <c:v>5.1689056315502814E-3</c:v>
                      </c:pt>
                      <c:pt idx="26">
                        <c:v>5.2699050388094219E-3</c:v>
                      </c:pt>
                      <c:pt idx="27">
                        <c:v>5.3706767763785556E-3</c:v>
                      </c:pt>
                      <c:pt idx="28">
                        <c:v>5.4712080990927947E-3</c:v>
                      </c:pt>
                      <c:pt idx="29">
                        <c:v>5.5714869448894866E-3</c:v>
                      </c:pt>
                      <c:pt idx="30">
                        <c:v>5.6715019039628098E-3</c:v>
                      </c:pt>
                      <c:pt idx="31">
                        <c:v>5.7712421893622431E-3</c:v>
                      </c:pt>
                      <c:pt idx="32">
                        <c:v>5.8706976089622264E-3</c:v>
                      </c:pt>
                      <c:pt idx="33">
                        <c:v>5.9698585387339799E-3</c:v>
                      </c:pt>
                      <c:pt idx="34">
                        <c:v>6.0687158972544397E-3</c:v>
                      </c:pt>
                      <c:pt idx="35">
                        <c:v>6.1672611213907328E-3</c:v>
                      </c:pt>
                      <c:pt idx="36">
                        <c:v>6.2654861431018687E-3</c:v>
                      </c:pt>
                      <c:pt idx="37">
                        <c:v>6.3633833673025879E-3</c:v>
                      </c:pt>
                      <c:pt idx="38">
                        <c:v>6.4609456507371604E-3</c:v>
                      </c:pt>
                      <c:pt idx="39">
                        <c:v>6.5581662818137015E-3</c:v>
                      </c:pt>
                      <c:pt idx="40">
                        <c:v>6.6550389613523313E-3</c:v>
                      </c:pt>
                      <c:pt idx="41">
                        <c:v>6.7515577842026907E-3</c:v>
                      </c:pt>
                      <c:pt idx="42">
                        <c:v>6.847717221689067E-3</c:v>
                      </c:pt>
                      <c:pt idx="43">
                        <c:v>6.9435121048430125E-3</c:v>
                      </c:pt>
                      <c:pt idx="44">
                        <c:v>7.0389376083861352E-3</c:v>
                      </c:pt>
                      <c:pt idx="45">
                        <c:v>7.1339892354268805E-3</c:v>
                      </c:pt>
                      <c:pt idx="46">
                        <c:v>7.2286628028377219E-3</c:v>
                      </c:pt>
                      <c:pt idx="47">
                        <c:v>7.3229544272803565E-3</c:v>
                      </c:pt>
                      <c:pt idx="48">
                        <c:v>7.4168605118484603E-3</c:v>
                      </c:pt>
                      <c:pt idx="49">
                        <c:v>7.51037773329902E-3</c:v>
                      </c:pt>
                      <c:pt idx="50">
                        <c:v>7.6035030298446729E-3</c:v>
                      </c:pt>
                      <c:pt idx="51">
                        <c:v>7.6962335894809695E-3</c:v>
                      </c:pt>
                      <c:pt idx="52">
                        <c:v>7.7885668388237433E-3</c:v>
                      </c:pt>
                      <c:pt idx="53">
                        <c:v>7.8805004324329873E-3</c:v>
                      </c:pt>
                      <c:pt idx="54">
                        <c:v>7.9720322426008444E-3</c:v>
                      </c:pt>
                      <c:pt idx="55">
                        <c:v>8.0631603495823888E-3</c:v>
                      </c:pt>
                      <c:pt idx="56">
                        <c:v>8.1538830322490582E-3</c:v>
                      </c:pt>
                      <c:pt idx="57">
                        <c:v>8.2441987591453519E-3</c:v>
                      </c:pt>
                      <c:pt idx="58">
                        <c:v>8.3341061799305904E-3</c:v>
                      </c:pt>
                      <c:pt idx="59">
                        <c:v>8.4236041171883089E-3</c:v>
                      </c:pt>
                      <c:pt idx="60">
                        <c:v>8.5126915585866433E-3</c:v>
                      </c:pt>
                      <c:pt idx="61">
                        <c:v>8.6013676493741139E-3</c:v>
                      </c:pt>
                      <c:pt idx="62">
                        <c:v>8.6896316851955823E-3</c:v>
                      </c:pt>
                      <c:pt idx="63">
                        <c:v>8.7774831052142756E-3</c:v>
                      </c:pt>
                      <c:pt idx="64">
                        <c:v>8.86492148552619E-3</c:v>
                      </c:pt>
                      <c:pt idx="65">
                        <c:v>8.9519465328539698E-3</c:v>
                      </c:pt>
                      <c:pt idx="66">
                        <c:v>9.03855807850781E-3</c:v>
                      </c:pt>
                      <c:pt idx="67">
                        <c:v>9.1247560726018338E-3</c:v>
                      </c:pt>
                      <c:pt idx="68">
                        <c:v>9.2105405785144947E-3</c:v>
                      </c:pt>
                      <c:pt idx="69">
                        <c:v>9.2959117675824737E-3</c:v>
                      </c:pt>
                      <c:pt idx="70">
                        <c:v>9.3808699140179395E-3</c:v>
                      </c:pt>
                      <c:pt idx="71">
                        <c:v>9.465415390039339E-3</c:v>
                      </c:pt>
                      <c:pt idx="72">
                        <c:v>9.5495486612064556E-3</c:v>
                      </c:pt>
                      <c:pt idx="73">
                        <c:v>9.6332702819510452E-3</c:v>
                      </c:pt>
                      <c:pt idx="74">
                        <c:v>9.7165808912945649E-3</c:v>
                      </c:pt>
                      <c:pt idx="75">
                        <c:v>9.7994812087448483E-3</c:v>
                      </c:pt>
                      <c:pt idx="76">
                        <c:v>9.8819720303642312E-3</c:v>
                      </c:pt>
                      <c:pt idx="77">
                        <c:v>9.9640542250017203E-3</c:v>
                      </c:pt>
                      <c:pt idx="78">
                        <c:v>1.004572873068219E-2</c:v>
                      </c:pt>
                      <c:pt idx="79">
                        <c:v>1.0126996551146064E-2</c:v>
                      </c:pt>
                      <c:pt idx="80">
                        <c:v>1.0207858752532889E-2</c:v>
                      </c:pt>
                      <c:pt idx="81">
                        <c:v>1.0288316460202982E-2</c:v>
                      </c:pt>
                      <c:pt idx="82">
                        <c:v>1.036837085569111E-2</c:v>
                      </c:pt>
                      <c:pt idx="83">
                        <c:v>1.0448023173786864E-2</c:v>
                      </c:pt>
                      <c:pt idx="84">
                        <c:v>1.0527274699736154E-2</c:v>
                      </c:pt>
                      <c:pt idx="85">
                        <c:v>1.0606126766559029E-2</c:v>
                      </c:pt>
                      <c:pt idx="86">
                        <c:v>1.0684580752478806E-2</c:v>
                      </c:pt>
                      <c:pt idx="87">
                        <c:v>1.076263807845791E-2</c:v>
                      </c:pt>
                      <c:pt idx="88">
                        <c:v>1.0840300205836054E-2</c:v>
                      </c:pt>
                      <c:pt idx="89">
                        <c:v>1.0917568634066411E-2</c:v>
                      </c:pt>
                      <c:pt idx="90">
                        <c:v>1.0994444898545848E-2</c:v>
                      </c:pt>
                      <c:pt idx="91">
                        <c:v>1.1070930568535258E-2</c:v>
                      </c:pt>
                      <c:pt idx="92">
                        <c:v>1.1147027245166344E-2</c:v>
                      </c:pt>
                      <c:pt idx="93">
                        <c:v>1.1222736559531222E-2</c:v>
                      </c:pt>
                      <c:pt idx="94">
                        <c:v>1.1298060170851615E-2</c:v>
                      </c:pt>
                      <c:pt idx="95">
                        <c:v>1.1372999764724103E-2</c:v>
                      </c:pt>
                      <c:pt idx="96">
                        <c:v>1.1447557051438722E-2</c:v>
                      </c:pt>
                      <c:pt idx="97">
                        <c:v>1.1521733764367515E-2</c:v>
                      </c:pt>
                      <c:pt idx="98">
                        <c:v>1.1595531658420494E-2</c:v>
                      </c:pt>
                      <c:pt idx="99">
                        <c:v>1.1668952508566081E-2</c:v>
                      </c:pt>
                      <c:pt idx="100">
                        <c:v>1.1741998108413641E-2</c:v>
                      </c:pt>
                      <c:pt idx="101">
                        <c:v>1.1814670268855297E-2</c:v>
                      </c:pt>
                      <c:pt idx="102">
                        <c:v>1.1886970816764939E-2</c:v>
                      </c:pt>
                      <c:pt idx="103">
                        <c:v>1.195890159375192E-2</c:v>
                      </c:pt>
                      <c:pt idx="104">
                        <c:v>1.203046445496728E-2</c:v>
                      </c:pt>
                      <c:pt idx="105">
                        <c:v>1.2101661267960487E-2</c:v>
                      </c:pt>
                      <c:pt idx="106">
                        <c:v>1.2172493911584585E-2</c:v>
                      </c:pt>
                      <c:pt idx="107">
                        <c:v>1.2242964274947761E-2</c:v>
                      </c:pt>
                      <c:pt idx="108">
                        <c:v>1.231307425640964E-2</c:v>
                      </c:pt>
                      <c:pt idx="109">
                        <c:v>1.2382825762620328E-2</c:v>
                      </c:pt>
                      <c:pt idx="110">
                        <c:v>1.2452220707600704E-2</c:v>
                      </c:pt>
                      <c:pt idx="111">
                        <c:v>1.2521261011862059E-2</c:v>
                      </c:pt>
                      <c:pt idx="112">
                        <c:v>1.2589948601563917E-2</c:v>
                      </c:pt>
                      <c:pt idx="113">
                        <c:v>1.2658285407707939E-2</c:v>
                      </c:pt>
                      <c:pt idx="114">
                        <c:v>1.2726273365367205E-2</c:v>
                      </c:pt>
                      <c:pt idx="115">
                        <c:v>1.2793914412948693E-2</c:v>
                      </c:pt>
                      <c:pt idx="116">
                        <c:v>1.2861210491488367E-2</c:v>
                      </c:pt>
                      <c:pt idx="117">
                        <c:v>1.2928163543977016E-2</c:v>
                      </c:pt>
                      <c:pt idx="118">
                        <c:v>1.2994775514716022E-2</c:v>
                      </c:pt>
                      <c:pt idx="119">
                        <c:v>1.3061048348701577E-2</c:v>
                      </c:pt>
                      <c:pt idx="120">
                        <c:v>1.3126983991036487E-2</c:v>
                      </c:pt>
                      <c:pt idx="121">
                        <c:v>1.3192584386368326E-2</c:v>
                      </c:pt>
                      <c:pt idx="122">
                        <c:v>1.3257851478352827E-2</c:v>
                      </c:pt>
                      <c:pt idx="123">
                        <c:v>1.3322787209141811E-2</c:v>
                      </c:pt>
                      <c:pt idx="124">
                        <c:v>1.3387393518894349E-2</c:v>
                      </c:pt>
                      <c:pt idx="125">
                        <c:v>1.3451672345310375E-2</c:v>
                      </c:pt>
                      <c:pt idx="126">
                        <c:v>1.3515625623186067E-2</c:v>
                      </c:pt>
                      <c:pt idx="127">
                        <c:v>1.3579255283989785E-2</c:v>
                      </c:pt>
                      <c:pt idx="128">
                        <c:v>1.3642563255457978E-2</c:v>
                      </c:pt>
                      <c:pt idx="129">
                        <c:v>1.3705551461210259E-2</c:v>
                      </c:pt>
                      <c:pt idx="130">
                        <c:v>1.3768221820382847E-2</c:v>
                      </c:pt>
                      <c:pt idx="131">
                        <c:v>1.3830576247279654E-2</c:v>
                      </c:pt>
                      <c:pt idx="132">
                        <c:v>1.3892616651040414E-2</c:v>
                      </c:pt>
                      <c:pt idx="133">
                        <c:v>1.3954344935325005E-2</c:v>
                      </c:pt>
                      <c:pt idx="134">
                        <c:v>1.4015762998013537E-2</c:v>
                      </c:pt>
                      <c:pt idx="135">
                        <c:v>1.4076872730921406E-2</c:v>
                      </c:pt>
                      <c:pt idx="136">
                        <c:v>1.4137676019528889E-2</c:v>
                      </c:pt>
                      <c:pt idx="137">
                        <c:v>1.4198174742724523E-2</c:v>
                      </c:pt>
                      <c:pt idx="138">
                        <c:v>1.4258370772561932E-2</c:v>
                      </c:pt>
                      <c:pt idx="139">
                        <c:v>1.4318265974029383E-2</c:v>
                      </c:pt>
                      <c:pt idx="140">
                        <c:v>1.4377862204831695E-2</c:v>
                      </c:pt>
                      <c:pt idx="141">
                        <c:v>1.4437161315183923E-2</c:v>
                      </c:pt>
                      <c:pt idx="142">
                        <c:v>1.4496165147616522E-2</c:v>
                      </c:pt>
                      <c:pt idx="143">
                        <c:v>1.4554875536791235E-2</c:v>
                      </c:pt>
                      <c:pt idx="144">
                        <c:v>1.4613294309327625E-2</c:v>
                      </c:pt>
                      <c:pt idx="145">
                        <c:v>1.4671423283639575E-2</c:v>
                      </c:pt>
                      <c:pt idx="146">
                        <c:v>1.4729264269781472E-2</c:v>
                      </c:pt>
                      <c:pt idx="147">
                        <c:v>1.4786819069303641E-2</c:v>
                      </c:pt>
                      <c:pt idx="148">
                        <c:v>1.4844089475116775E-2</c:v>
                      </c:pt>
                      <c:pt idx="149">
                        <c:v>1.4901077271364836E-2</c:v>
                      </c:pt>
                      <c:pt idx="150">
                        <c:v>1.4957784233306171E-2</c:v>
                      </c:pt>
                      <c:pt idx="151">
                        <c:v>1.5014212127202518E-2</c:v>
                      </c:pt>
                      <c:pt idx="152">
                        <c:v>1.5070362710215692E-2</c:v>
                      </c:pt>
                      <c:pt idx="153">
                        <c:v>1.51262377303113E-2</c:v>
                      </c:pt>
                      <c:pt idx="154">
                        <c:v>1.5181838926169689E-2</c:v>
                      </c:pt>
                      <c:pt idx="155">
                        <c:v>1.5237168027103334E-2</c:v>
                      </c:pt>
                      <c:pt idx="156">
                        <c:v>1.5292226752980882E-2</c:v>
                      </c:pt>
                      <c:pt idx="157">
                        <c:v>1.5347016814157186E-2</c:v>
                      </c:pt>
                      <c:pt idx="158">
                        <c:v>1.5401539911409261E-2</c:v>
                      </c:pt>
                      <c:pt idx="159">
                        <c:v>1.5455797735878036E-2</c:v>
                      </c:pt>
                      <c:pt idx="160">
                        <c:v>1.5509791969015391E-2</c:v>
                      </c:pt>
                      <c:pt idx="161">
                        <c:v>1.5563524282536455E-2</c:v>
                      </c:pt>
                      <c:pt idx="162">
                        <c:v>1.561699633837694E-2</c:v>
                      </c:pt>
                      <c:pt idx="163">
                        <c:v>1.5670209788655246E-2</c:v>
                      </c:pt>
                      <c:pt idx="164">
                        <c:v>1.5723166275639099E-2</c:v>
                      </c:pt>
                      <c:pt idx="165">
                        <c:v>1.5775867431716651E-2</c:v>
                      </c:pt>
                      <c:pt idx="166">
                        <c:v>1.5828314879371773E-2</c:v>
                      </c:pt>
                      <c:pt idx="167">
                        <c:v>1.5880510231163446E-2</c:v>
                      </c:pt>
                      <c:pt idx="168">
                        <c:v>1.5932455089708857E-2</c:v>
                      </c:pt>
                      <c:pt idx="169">
                        <c:v>1.5984151047670366E-2</c:v>
                      </c:pt>
                      <c:pt idx="170">
                        <c:v>1.6035599687745938E-2</c:v>
                      </c:pt>
                      <c:pt idx="171">
                        <c:v>1.6086802582663023E-2</c:v>
                      </c:pt>
                      <c:pt idx="172">
                        <c:v>1.6137761295175555E-2</c:v>
                      </c:pt>
                      <c:pt idx="173">
                        <c:v>1.6188477378064219E-2</c:v>
                      </c:pt>
                      <c:pt idx="174">
                        <c:v>1.6238952374139554E-2</c:v>
                      </c:pt>
                      <c:pt idx="175">
                        <c:v>1.6289187816248007E-2</c:v>
                      </c:pt>
                      <c:pt idx="176">
                        <c:v>1.6339185227280579E-2</c:v>
                      </c:pt>
                      <c:pt idx="177">
                        <c:v>1.638894612018417E-2</c:v>
                      </c:pt>
                      <c:pt idx="178">
                        <c:v>1.6438471997975324E-2</c:v>
                      </c:pt>
                      <c:pt idx="179">
                        <c:v>1.6487764353756418E-2</c:v>
                      </c:pt>
                      <c:pt idx="180">
                        <c:v>1.6536824670733991E-2</c:v>
                      </c:pt>
                      <c:pt idx="181">
                        <c:v>1.6585654422239332E-2</c:v>
                      </c:pt>
                      <c:pt idx="182">
                        <c:v>1.6634255071751113E-2</c:v>
                      </c:pt>
                      <c:pt idx="183">
                        <c:v>1.668262807291988E-2</c:v>
                      </c:pt>
                      <c:pt idx="184">
                        <c:v>1.6730774869594452E-2</c:v>
                      </c:pt>
                      <c:pt idx="185">
                        <c:v>1.6778696895850227E-2</c:v>
                      </c:pt>
                      <c:pt idx="186">
                        <c:v>1.6826395576018963E-2</c:v>
                      </c:pt>
                      <c:pt idx="187">
                        <c:v>1.6873872324720318E-2</c:v>
                      </c:pt>
                      <c:pt idx="188">
                        <c:v>1.6921128546894842E-2</c:v>
                      </c:pt>
                      <c:pt idx="189">
                        <c:v>1.6968165637838449E-2</c:v>
                      </c:pt>
                      <c:pt idx="190">
                        <c:v>1.7014984983238259E-2</c:v>
                      </c:pt>
                      <c:pt idx="191">
                        <c:v>1.7061587959209774E-2</c:v>
                      </c:pt>
                      <c:pt idx="192">
                        <c:v>1.7107975932335231E-2</c:v>
                      </c:pt>
                      <c:pt idx="193">
                        <c:v>1.7154150259703186E-2</c:v>
                      </c:pt>
                      <c:pt idx="194">
                        <c:v>1.7200112288949205E-2</c:v>
                      </c:pt>
                      <c:pt idx="195">
                        <c:v>1.7245863358297534E-2</c:v>
                      </c:pt>
                      <c:pt idx="196">
                        <c:v>1.7291404796603918E-2</c:v>
                      </c:pt>
                      <c:pt idx="197">
                        <c:v>1.7336737923399115E-2</c:v>
                      </c:pt>
                      <c:pt idx="198">
                        <c:v>1.7381864048933576E-2</c:v>
                      </c:pt>
                      <c:pt idx="199">
                        <c:v>1.7426784474222707E-2</c:v>
                      </c:pt>
                      <c:pt idx="200">
                        <c:v>1.7471500491093049E-2</c:v>
                      </c:pt>
                    </c:numCache>
                  </c:numRef>
                </c:val>
                <c:smooth val="0"/>
                <c:extLst xmlns:c15="http://schemas.microsoft.com/office/drawing/2012/chart">
                  <c:ext xmlns:c16="http://schemas.microsoft.com/office/drawing/2014/chart" uri="{C3380CC4-5D6E-409C-BE32-E72D297353CC}">
                    <c16:uniqueId val="{00000008-D94A-4A6C-A3EF-19A07815FC45}"/>
                  </c:ext>
                </c:extLst>
              </c15:ser>
            </c15:filteredLineSeries>
            <c15:filteredLineSeries>
              <c15:ser>
                <c:idx val="5"/>
                <c:order val="9"/>
                <c:tx>
                  <c:strRef>
                    <c:extLst xmlns:c15="http://schemas.microsoft.com/office/drawing/2012/chart">
                      <c:ext xmlns:c15="http://schemas.microsoft.com/office/drawing/2012/chart" uri="{02D57815-91ED-43cb-92C2-25804820EDAC}">
                        <c15:formulaRef>
                          <c15:sqref>'Efficiency vs VIN Calculations'!$X$8</c15:sqref>
                        </c15:formulaRef>
                      </c:ext>
                    </c:extLst>
                    <c:strCache>
                      <c:ptCount val="1"/>
                      <c:pt idx="0">
                        <c:v>DCR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Calculations'!$X$9:$X$209</c15:sqref>
                        </c15:formulaRef>
                      </c:ext>
                    </c:extLst>
                    <c:numCache>
                      <c:formatCode>0.000</c:formatCode>
                      <c:ptCount val="201"/>
                      <c:pt idx="0">
                        <c:v>0.89849918959212216</c:v>
                      </c:pt>
                      <c:pt idx="1">
                        <c:v>0.89863205432339699</c:v>
                      </c:pt>
                      <c:pt idx="2">
                        <c:v>0.89876551428543616</c:v>
                      </c:pt>
                      <c:pt idx="3">
                        <c:v>0.89889950789134287</c:v>
                      </c:pt>
                      <c:pt idx="4">
                        <c:v>0.89903397656129536</c:v>
                      </c:pt>
                      <c:pt idx="5">
                        <c:v>0.89916886457629241</c:v>
                      </c:pt>
                      <c:pt idx="6">
                        <c:v>0.89930411893958162</c:v>
                      </c:pt>
                      <c:pt idx="7">
                        <c:v>0.89943968924531881</c:v>
                      </c:pt>
                      <c:pt idx="8">
                        <c:v>0.89957552755405856</c:v>
                      </c:pt>
                      <c:pt idx="9">
                        <c:v>0.8997115882746729</c:v>
                      </c:pt>
                      <c:pt idx="10">
                        <c:v>0.89984782805234487</c:v>
                      </c:pt>
                      <c:pt idx="11">
                        <c:v>0.89998420566229376</c:v>
                      </c:pt>
                      <c:pt idx="12">
                        <c:v>0.90012068190890759</c:v>
                      </c:pt>
                      <c:pt idx="13">
                        <c:v>0.90025721952998705</c:v>
                      </c:pt>
                      <c:pt idx="14">
                        <c:v>0.90039378310581708</c:v>
                      </c:pt>
                      <c:pt idx="15">
                        <c:v>0.90053033897279733</c:v>
                      </c:pt>
                      <c:pt idx="16">
                        <c:v>0.90066685514138678</c:v>
                      </c:pt>
                      <c:pt idx="17">
                        <c:v>0.90080330121812735</c:v>
                      </c:pt>
                      <c:pt idx="18">
                        <c:v>0.90093964833151963</c:v>
                      </c:pt>
                      <c:pt idx="19">
                        <c:v>0.9010758690615549</c:v>
                      </c:pt>
                      <c:pt idx="20">
                        <c:v>0.90121193737269489</c:v>
                      </c:pt>
                      <c:pt idx="21">
                        <c:v>0.90134782855012718</c:v>
                      </c:pt>
                      <c:pt idx="22">
                        <c:v>0.9014835191391104</c:v>
                      </c:pt>
                      <c:pt idx="23">
                        <c:v>0.90161898688726194</c:v>
                      </c:pt>
                      <c:pt idx="24">
                        <c:v>0.90175421068961614</c:v>
                      </c:pt>
                      <c:pt idx="25">
                        <c:v>0.90188917053632423</c:v>
                      </c:pt>
                      <c:pt idx="26">
                        <c:v>0.90202384746284803</c:v>
                      </c:pt>
                      <c:pt idx="27">
                        <c:v>0.90215822350252062</c:v>
                      </c:pt>
                      <c:pt idx="28">
                        <c:v>0.90229228164136199</c:v>
                      </c:pt>
                      <c:pt idx="29">
                        <c:v>0.9024260057750142</c:v>
                      </c:pt>
                      <c:pt idx="30">
                        <c:v>0.90255938066770958</c:v>
                      </c:pt>
                      <c:pt idx="31">
                        <c:v>0.90269239191315509</c:v>
                      </c:pt>
                      <c:pt idx="32">
                        <c:v>0.90282502589724067</c:v>
                      </c:pt>
                      <c:pt idx="33">
                        <c:v>0.90295726976247914</c:v>
                      </c:pt>
                      <c:pt idx="34">
                        <c:v>0.90308911137409276</c:v>
                      </c:pt>
                      <c:pt idx="35">
                        <c:v>0.90322053928766133</c:v>
                      </c:pt>
                      <c:pt idx="36">
                        <c:v>0.9033515427182589</c:v>
                      </c:pt>
                      <c:pt idx="37">
                        <c:v>0.90348211151099878</c:v>
                      </c:pt>
                      <c:pt idx="38">
                        <c:v>0.9036122361129254</c:v>
                      </c:pt>
                      <c:pt idx="39">
                        <c:v>0.90374190754618289</c:v>
                      </c:pt>
                      <c:pt idx="40">
                        <c:v>0.903871117382397</c:v>
                      </c:pt>
                      <c:pt idx="41">
                        <c:v>0.90399985771821534</c:v>
                      </c:pt>
                      <c:pt idx="42">
                        <c:v>0.90412812115194829</c:v>
                      </c:pt>
                      <c:pt idx="43">
                        <c:v>0.90425590076125451</c:v>
                      </c:pt>
                      <c:pt idx="44">
                        <c:v>0.90438319008182821</c:v>
                      </c:pt>
                      <c:pt idx="45">
                        <c:v>0.90450998308703079</c:v>
                      </c:pt>
                      <c:pt idx="46">
                        <c:v>0.90463627416843462</c:v>
                      </c:pt>
                      <c:pt idx="47">
                        <c:v>0.90476205811722044</c:v>
                      </c:pt>
                      <c:pt idx="48">
                        <c:v>0.90488733010640154</c:v>
                      </c:pt>
                      <c:pt idx="49">
                        <c:v>0.90501208567383118</c:v>
                      </c:pt>
                      <c:pt idx="50">
                        <c:v>0.90513632070594985</c:v>
                      </c:pt>
                      <c:pt idx="51">
                        <c:v>0.9052600314222522</c:v>
                      </c:pt>
                      <c:pt idx="52">
                        <c:v>0.90538321436042657</c:v>
                      </c:pt>
                      <c:pt idx="53">
                        <c:v>0.90550586636214447</c:v>
                      </c:pt>
                      <c:pt idx="54">
                        <c:v>0.90562798455946569</c:v>
                      </c:pt>
                      <c:pt idx="55">
                        <c:v>0.90574956636183279</c:v>
                      </c:pt>
                      <c:pt idx="56">
                        <c:v>0.90587060944362929</c:v>
                      </c:pt>
                      <c:pt idx="57">
                        <c:v>0.90599111173227231</c:v>
                      </c:pt>
                      <c:pt idx="58">
                        <c:v>0.90611107139681746</c:v>
                      </c:pt>
                      <c:pt idx="59">
                        <c:v>0.90623048683705509</c:v>
                      </c:pt>
                      <c:pt idx="60">
                        <c:v>0.9063493566730686</c:v>
                      </c:pt>
                      <c:pt idx="61">
                        <c:v>0.90646767973524711</c:v>
                      </c:pt>
                      <c:pt idx="62">
                        <c:v>0.90658545505471211</c:v>
                      </c:pt>
                      <c:pt idx="63">
                        <c:v>0.90670268185416492</c:v>
                      </c:pt>
                      <c:pt idx="64">
                        <c:v>0.90681935953911053</c:v>
                      </c:pt>
                      <c:pt idx="65">
                        <c:v>0.90693548768946364</c:v>
                      </c:pt>
                      <c:pt idx="66">
                        <c:v>0.90705106605150099</c:v>
                      </c:pt>
                      <c:pt idx="67">
                        <c:v>0.90716609453016228</c:v>
                      </c:pt>
                      <c:pt idx="68">
                        <c:v>0.9072805731816671</c:v>
                      </c:pt>
                      <c:pt idx="69">
                        <c:v>0.90739450220644968</c:v>
                      </c:pt>
                      <c:pt idx="70">
                        <c:v>0.90750788194238563</c:v>
                      </c:pt>
                      <c:pt idx="71">
                        <c:v>0.90762071285830781</c:v>
                      </c:pt>
                      <c:pt idx="72">
                        <c:v>0.90773299554778808</c:v>
                      </c:pt>
                      <c:pt idx="73">
                        <c:v>0.90784473072318472</c:v>
                      </c:pt>
                      <c:pt idx="74">
                        <c:v>0.90795591920993557</c:v>
                      </c:pt>
                      <c:pt idx="75">
                        <c:v>0.9080665619410907</c:v>
                      </c:pt>
                      <c:pt idx="76">
                        <c:v>0.90817665995207131</c:v>
                      </c:pt>
                      <c:pt idx="77">
                        <c:v>0.90828621437565005</c:v>
                      </c:pt>
                      <c:pt idx="78">
                        <c:v>0.90839522643713844</c:v>
                      </c:pt>
                      <c:pt idx="79">
                        <c:v>0.90850369744977333</c:v>
                      </c:pt>
                      <c:pt idx="80">
                        <c:v>0.90861162881029922</c:v>
                      </c:pt>
                      <c:pt idx="81">
                        <c:v>0.90871902199472798</c:v>
                      </c:pt>
                      <c:pt idx="82">
                        <c:v>0.90882587855427921</c:v>
                      </c:pt>
                      <c:pt idx="83">
                        <c:v>0.90893220011148934</c:v>
                      </c:pt>
                      <c:pt idx="84">
                        <c:v>0.90903798835647809</c:v>
                      </c:pt>
                      <c:pt idx="85">
                        <c:v>0.9091432450433734</c:v>
                      </c:pt>
                      <c:pt idx="86">
                        <c:v>0.90924797198688168</c:v>
                      </c:pt>
                      <c:pt idx="87">
                        <c:v>0.90935217105900479</c:v>
                      </c:pt>
                      <c:pt idx="88">
                        <c:v>0.90945584418588699</c:v>
                      </c:pt>
                      <c:pt idx="89">
                        <c:v>0.90955899334479684</c:v>
                      </c:pt>
                      <c:pt idx="90">
                        <c:v>0.90966162056123279</c:v>
                      </c:pt>
                      <c:pt idx="91">
                        <c:v>0.90976372790614879</c:v>
                      </c:pt>
                      <c:pt idx="92">
                        <c:v>0.90986531749329647</c:v>
                      </c:pt>
                      <c:pt idx="93">
                        <c:v>0.90996639147667346</c:v>
                      </c:pt>
                      <c:pt idx="94">
                        <c:v>0.91006695204808385</c:v>
                      </c:pt>
                      <c:pt idx="95">
                        <c:v>0.91016700143479434</c:v>
                      </c:pt>
                      <c:pt idx="96">
                        <c:v>0.91026654189728984</c:v>
                      </c:pt>
                      <c:pt idx="97">
                        <c:v>0.91036557572712662</c:v>
                      </c:pt>
                      <c:pt idx="98">
                        <c:v>0.91046410524486598</c:v>
                      </c:pt>
                      <c:pt idx="99">
                        <c:v>0.91056213279810372</c:v>
                      </c:pt>
                      <c:pt idx="100">
                        <c:v>0.9106596607595755</c:v>
                      </c:pt>
                      <c:pt idx="101">
                        <c:v>0.91075669152534211</c:v>
                      </c:pt>
                      <c:pt idx="102">
                        <c:v>0.91085322751305653</c:v>
                      </c:pt>
                      <c:pt idx="103">
                        <c:v>0.91094927116029567</c:v>
                      </c:pt>
                      <c:pt idx="104">
                        <c:v>0.91104482492296812</c:v>
                      </c:pt>
                      <c:pt idx="105">
                        <c:v>0.91113989127378592</c:v>
                      </c:pt>
                      <c:pt idx="106">
                        <c:v>0.91123447270080138</c:v>
                      </c:pt>
                      <c:pt idx="107">
                        <c:v>0.91132857170600912</c:v>
                      </c:pt>
                      <c:pt idx="108">
                        <c:v>0.91142219080400344</c:v>
                      </c:pt>
                      <c:pt idx="109">
                        <c:v>0.91151533252069183</c:v>
                      </c:pt>
                      <c:pt idx="110">
                        <c:v>0.91160799939206982</c:v>
                      </c:pt>
                      <c:pt idx="111">
                        <c:v>0.91170019396304114</c:v>
                      </c:pt>
                      <c:pt idx="112">
                        <c:v>0.91179191878629473</c:v>
                      </c:pt>
                      <c:pt idx="113">
                        <c:v>0.91188317642122385</c:v>
                      </c:pt>
                      <c:pt idx="114">
                        <c:v>0.91197396943289744</c:v>
                      </c:pt>
                      <c:pt idx="115">
                        <c:v>0.91206430039107367</c:v>
                      </c:pt>
                      <c:pt idx="116">
                        <c:v>0.91215417186925585</c:v>
                      </c:pt>
                      <c:pt idx="117">
                        <c:v>0.91224358644379278</c:v>
                      </c:pt>
                      <c:pt idx="118">
                        <c:v>0.91233254669301422</c:v>
                      </c:pt>
                      <c:pt idx="119">
                        <c:v>0.91242105519640926</c:v>
                      </c:pt>
                      <c:pt idx="120">
                        <c:v>0.9125091145338361</c:v>
                      </c:pt>
                      <c:pt idx="121">
                        <c:v>0.91259672728477459</c:v>
                      </c:pt>
                      <c:pt idx="122">
                        <c:v>0.91268389602760158</c:v>
                      </c:pt>
                      <c:pt idx="123">
                        <c:v>0.91277062333891146</c:v>
                      </c:pt>
                      <c:pt idx="124">
                        <c:v>0.91285691179285711</c:v>
                      </c:pt>
                      <c:pt idx="125">
                        <c:v>0.91294276396052643</c:v>
                      </c:pt>
                      <c:pt idx="126">
                        <c:v>0.91302818240934758</c:v>
                      </c:pt>
                      <c:pt idx="127">
                        <c:v>0.9131131697025191</c:v>
                      </c:pt>
                      <c:pt idx="128">
                        <c:v>0.91319772839846913</c:v>
                      </c:pt>
                      <c:pt idx="129">
                        <c:v>0.91328186105033926</c:v>
                      </c:pt>
                      <c:pt idx="130">
                        <c:v>0.9133655702054928</c:v>
                      </c:pt>
                      <c:pt idx="131">
                        <c:v>0.91344885840504619</c:v>
                      </c:pt>
                      <c:pt idx="132">
                        <c:v>0.91353172818342476</c:v>
                      </c:pt>
                      <c:pt idx="133">
                        <c:v>0.91361418206793865</c:v>
                      </c:pt>
                      <c:pt idx="134">
                        <c:v>0.91369622257838023</c:v>
                      </c:pt>
                      <c:pt idx="135">
                        <c:v>0.91377785222663954</c:v>
                      </c:pt>
                      <c:pt idx="136">
                        <c:v>0.91385907351634588</c:v>
                      </c:pt>
                      <c:pt idx="137">
                        <c:v>0.91393988894251621</c:v>
                      </c:pt>
                      <c:pt idx="138">
                        <c:v>0.91402030099123499</c:v>
                      </c:pt>
                      <c:pt idx="139">
                        <c:v>0.91410031213933918</c:v>
                      </c:pt>
                      <c:pt idx="140">
                        <c:v>0.91417992485412802</c:v>
                      </c:pt>
                      <c:pt idx="141">
                        <c:v>0.91425914159308297</c:v>
                      </c:pt>
                      <c:pt idx="142">
                        <c:v>0.91433796480360829</c:v>
                      </c:pt>
                      <c:pt idx="143">
                        <c:v>0.91441639692277987</c:v>
                      </c:pt>
                      <c:pt idx="144">
                        <c:v>0.91449444037711392</c:v>
                      </c:pt>
                      <c:pt idx="145">
                        <c:v>0.9145720975823447</c:v>
                      </c:pt>
                      <c:pt idx="146">
                        <c:v>0.91464937094321852</c:v>
                      </c:pt>
                      <c:pt idx="147">
                        <c:v>0.91472626285329639</c:v>
                      </c:pt>
                      <c:pt idx="148">
                        <c:v>0.91480277569477508</c:v>
                      </c:pt>
                      <c:pt idx="149">
                        <c:v>0.91487891183830972</c:v>
                      </c:pt>
                      <c:pt idx="150">
                        <c:v>0.91495467364285721</c:v>
                      </c:pt>
                      <c:pt idx="151">
                        <c:v>0.91503006345552462</c:v>
                      </c:pt>
                      <c:pt idx="152">
                        <c:v>0.91510508361142839</c:v>
                      </c:pt>
                      <c:pt idx="153">
                        <c:v>0.91517973643356543</c:v>
                      </c:pt>
                      <c:pt idx="154">
                        <c:v>0.91525402423268942</c:v>
                      </c:pt>
                      <c:pt idx="155">
                        <c:v>0.91532794930720207</c:v>
                      </c:pt>
                      <c:pt idx="156">
                        <c:v>0.91540151394304725</c:v>
                      </c:pt>
                      <c:pt idx="157">
                        <c:v>0.91547472041361577</c:v>
                      </c:pt>
                      <c:pt idx="158">
                        <c:v>0.91554757097965744</c:v>
                      </c:pt>
                      <c:pt idx="159">
                        <c:v>0.91562006788920414</c:v>
                      </c:pt>
                      <c:pt idx="160">
                        <c:v>0.91569221337749451</c:v>
                      </c:pt>
                      <c:pt idx="161">
                        <c:v>0.91576400966690774</c:v>
                      </c:pt>
                      <c:pt idx="162">
                        <c:v>0.9158354589669081</c:v>
                      </c:pt>
                      <c:pt idx="163">
                        <c:v>0.91590656347398802</c:v>
                      </c:pt>
                      <c:pt idx="164">
                        <c:v>0.91597732537162613</c:v>
                      </c:pt>
                      <c:pt idx="165">
                        <c:v>0.91604774683024359</c:v>
                      </c:pt>
                      <c:pt idx="166">
                        <c:v>0.91611783000717062</c:v>
                      </c:pt>
                      <c:pt idx="167">
                        <c:v>0.91618757704661669</c:v>
                      </c:pt>
                      <c:pt idx="168">
                        <c:v>0.91625699007964734</c:v>
                      </c:pt>
                      <c:pt idx="169">
                        <c:v>0.91632607122416176</c:v>
                      </c:pt>
                      <c:pt idx="170">
                        <c:v>0.91639482258488369</c:v>
                      </c:pt>
                      <c:pt idx="171">
                        <c:v>0.9164632462533463</c:v>
                      </c:pt>
                      <c:pt idx="172">
                        <c:v>0.91653134430788941</c:v>
                      </c:pt>
                      <c:pt idx="173">
                        <c:v>0.91659911881365697</c:v>
                      </c:pt>
                      <c:pt idx="174">
                        <c:v>0.9166665718225997</c:v>
                      </c:pt>
                      <c:pt idx="175">
                        <c:v>0.91673370537348242</c:v>
                      </c:pt>
                      <c:pt idx="176">
                        <c:v>0.91680052149189284</c:v>
                      </c:pt>
                      <c:pt idx="177">
                        <c:v>0.91686702219025507</c:v>
                      </c:pt>
                      <c:pt idx="178">
                        <c:v>0.91693320946784784</c:v>
                      </c:pt>
                      <c:pt idx="179">
                        <c:v>0.91699908531082186</c:v>
                      </c:pt>
                      <c:pt idx="180">
                        <c:v>0.91706465169222695</c:v>
                      </c:pt>
                      <c:pt idx="181">
                        <c:v>0.91712991057203241</c:v>
                      </c:pt>
                      <c:pt idx="182">
                        <c:v>0.91719486389716143</c:v>
                      </c:pt>
                      <c:pt idx="183">
                        <c:v>0.91725951360151736</c:v>
                      </c:pt>
                      <c:pt idx="184">
                        <c:v>0.91732386160602186</c:v>
                      </c:pt>
                      <c:pt idx="185">
                        <c:v>0.91738790981864693</c:v>
                      </c:pt>
                      <c:pt idx="186">
                        <c:v>0.91745166013445734</c:v>
                      </c:pt>
                      <c:pt idx="187">
                        <c:v>0.91751511443564815</c:v>
                      </c:pt>
                      <c:pt idx="188">
                        <c:v>0.91757827459158914</c:v>
                      </c:pt>
                      <c:pt idx="189">
                        <c:v>0.9176411424588683</c:v>
                      </c:pt>
                      <c:pt idx="190">
                        <c:v>0.91770371988133947</c:v>
                      </c:pt>
                      <c:pt idx="191">
                        <c:v>0.91776600869017055</c:v>
                      </c:pt>
                      <c:pt idx="192">
                        <c:v>0.91782801070389086</c:v>
                      </c:pt>
                      <c:pt idx="193">
                        <c:v>0.91788972772844757</c:v>
                      </c:pt>
                      <c:pt idx="194">
                        <c:v>0.9179511615572532</c:v>
                      </c:pt>
                      <c:pt idx="195">
                        <c:v>0.91801231397124439</c:v>
                      </c:pt>
                      <c:pt idx="196">
                        <c:v>0.91807318673893579</c:v>
                      </c:pt>
                      <c:pt idx="197">
                        <c:v>0.91813378161647596</c:v>
                      </c:pt>
                      <c:pt idx="198">
                        <c:v>0.9181941003477091</c:v>
                      </c:pt>
                      <c:pt idx="199">
                        <c:v>0.9182541446642305</c:v>
                      </c:pt>
                      <c:pt idx="200">
                        <c:v>0.91831391628544901</c:v>
                      </c:pt>
                    </c:numCache>
                  </c:numRef>
                </c:val>
                <c:smooth val="0"/>
                <c:extLst xmlns:c15="http://schemas.microsoft.com/office/drawing/2012/chart">
                  <c:ext xmlns:c16="http://schemas.microsoft.com/office/drawing/2014/chart" uri="{C3380CC4-5D6E-409C-BE32-E72D297353CC}">
                    <c16:uniqueId val="{00000009-D94A-4A6C-A3EF-19A07815FC45}"/>
                  </c:ext>
                </c:extLst>
              </c15:ser>
            </c15:filteredLineSeries>
            <c15:filteredLineSeries>
              <c15:ser>
                <c:idx val="4"/>
                <c:order val="10"/>
                <c:tx>
                  <c:strRef>
                    <c:extLst xmlns:c15="http://schemas.microsoft.com/office/drawing/2012/chart">
                      <c:ext xmlns:c15="http://schemas.microsoft.com/office/drawing/2012/chart" uri="{02D57815-91ED-43cb-92C2-25804820EDAC}">
                        <c15:formulaRef>
                          <c15:sqref>'Efficiency vs VIN Calculations'!$Y$8</c15:sqref>
                        </c15:formulaRef>
                      </c:ext>
                    </c:extLst>
                    <c:strCache>
                      <c:ptCount val="1"/>
                      <c:pt idx="0">
                        <c:v>Core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Calculations'!$Y$9:$Y$209</c15:sqref>
                        </c15:formulaRef>
                      </c:ext>
                    </c:extLst>
                    <c:numCache>
                      <c:formatCode>0.000</c:formatCode>
                      <c:ptCount val="201"/>
                      <c:pt idx="0">
                        <c:v>0.26799715872171348</c:v>
                      </c:pt>
                      <c:pt idx="1">
                        <c:v>0.27975121583219742</c:v>
                      </c:pt>
                      <c:pt idx="2">
                        <c:v>0.29162367340451267</c:v>
                      </c:pt>
                      <c:pt idx="3">
                        <c:v>0.3036078799742758</c:v>
                      </c:pt>
                      <c:pt idx="4">
                        <c:v>0.31569742101438547</c:v>
                      </c:pt>
                      <c:pt idx="5">
                        <c:v>0.32788611206096679</c:v>
                      </c:pt>
                      <c:pt idx="6">
                        <c:v>0.34016799186917956</c:v>
                      </c:pt>
                      <c:pt idx="7">
                        <c:v>0.35253731562590362</c:v>
                      </c:pt>
                      <c:pt idx="8">
                        <c:v>0.36498854824165494</c:v>
                      </c:pt>
                      <c:pt idx="9">
                        <c:v>0.377516357740108</c:v>
                      </c:pt>
                      <c:pt idx="10">
                        <c:v>0.39011560876017426</c:v>
                      </c:pt>
                      <c:pt idx="11">
                        <c:v>0.40278135618269306</c:v>
                      </c:pt>
                      <c:pt idx="12">
                        <c:v>0.41550883889127527</c:v>
                      </c:pt>
                      <c:pt idx="13">
                        <c:v>0.42829347367472315</c:v>
                      </c:pt>
                      <c:pt idx="14">
                        <c:v>0.44113084927661728</c:v>
                      </c:pt>
                      <c:pt idx="15">
                        <c:v>0.45401672059610781</c:v>
                      </c:pt>
                      <c:pt idx="16">
                        <c:v>0.46694700304263459</c:v>
                      </c:pt>
                      <c:pt idx="17">
                        <c:v>0.47991776704614708</c:v>
                      </c:pt>
                      <c:pt idx="18">
                        <c:v>0.49292523272347771</c:v>
                      </c:pt>
                      <c:pt idx="19">
                        <c:v>0.50596576470067733</c:v>
                      </c:pt>
                      <c:pt idx="20">
                        <c:v>0.51903586709046623</c:v>
                      </c:pt>
                      <c:pt idx="21">
                        <c:v>0.53213217862338946</c:v>
                      </c:pt>
                      <c:pt idx="22">
                        <c:v>0.54525146793074053</c:v>
                      </c:pt>
                      <c:pt idx="23">
                        <c:v>0.55839062897701663</c:v>
                      </c:pt>
                      <c:pt idx="24">
                        <c:v>0.57154667663924841</c:v>
                      </c:pt>
                      <c:pt idx="25">
                        <c:v>0.5847167424303612</c:v>
                      </c:pt>
                      <c:pt idx="26">
                        <c:v>0.59789807036348053</c:v>
                      </c:pt>
                      <c:pt idx="27">
                        <c:v>0.61108801295394122</c:v>
                      </c:pt>
                      <c:pt idx="28">
                        <c:v>0.62428402735565114</c:v>
                      </c:pt>
                      <c:pt idx="29">
                        <c:v>0.63748367162834119</c:v>
                      </c:pt>
                      <c:pt idx="30">
                        <c:v>0.65068460113222704</c:v>
                      </c:pt>
                      <c:pt idx="31">
                        <c:v>0.66388456504649618</c:v>
                      </c:pt>
                      <c:pt idx="32">
                        <c:v>0.67708140300810482</c:v>
                      </c:pt>
                      <c:pt idx="33">
                        <c:v>0.69027304186731098</c:v>
                      </c:pt>
                      <c:pt idx="34">
                        <c:v>0.70345749255641965</c:v>
                      </c:pt>
                      <c:pt idx="35">
                        <c:v>0.71663284706823749</c:v>
                      </c:pt>
                      <c:pt idx="36">
                        <c:v>0.72979727554078666</c:v>
                      </c:pt>
                      <c:pt idx="37">
                        <c:v>0.74294902344486846</c:v>
                      </c:pt>
                      <c:pt idx="38">
                        <c:v>0.75608640887113621</c:v>
                      </c:pt>
                      <c:pt idx="39">
                        <c:v>0.76920781991339493</c:v>
                      </c:pt>
                      <c:pt idx="40">
                        <c:v>0.78231171214492201</c:v>
                      </c:pt>
                      <c:pt idx="41">
                        <c:v>0.79539660618467223</c:v>
                      </c:pt>
                      <c:pt idx="42">
                        <c:v>0.80846108535031147</c:v>
                      </c:pt>
                      <c:pt idx="43">
                        <c:v>0.82150379339508517</c:v>
                      </c:pt>
                      <c:pt idx="44">
                        <c:v>0.83452343232565696</c:v>
                      </c:pt>
                      <c:pt idx="45">
                        <c:v>0.84751876029804463</c:v>
                      </c:pt>
                      <c:pt idx="46">
                        <c:v>0.86048858958897401</c:v>
                      </c:pt>
                      <c:pt idx="47">
                        <c:v>0.87343178463995752</c:v>
                      </c:pt>
                      <c:pt idx="48">
                        <c:v>0.88634726017152954</c:v>
                      </c:pt>
                      <c:pt idx="49">
                        <c:v>0.89923397936515903</c:v>
                      </c:pt>
                      <c:pt idx="50">
                        <c:v>0.91209095211039881</c:v>
                      </c:pt>
                      <c:pt idx="51">
                        <c:v>0.92491723331496545</c:v>
                      </c:pt>
                      <c:pt idx="52">
                        <c:v>0.9377119212754581</c:v>
                      </c:pt>
                      <c:pt idx="53">
                        <c:v>0.9504741561065615</c:v>
                      </c:pt>
                      <c:pt idx="54">
                        <c:v>0.96320311822659066</c:v>
                      </c:pt>
                      <c:pt idx="55">
                        <c:v>0.97589802689736338</c:v>
                      </c:pt>
                      <c:pt idx="56">
                        <c:v>0.98855813881642973</c:v>
                      </c:pt>
                      <c:pt idx="57">
                        <c:v>1.0011827467597332</c:v>
                      </c:pt>
                      <c:pt idx="58">
                        <c:v>1.0137711782729055</c:v>
                      </c:pt>
                      <c:pt idx="59">
                        <c:v>1.0263227944094</c:v>
                      </c:pt>
                      <c:pt idx="60">
                        <c:v>1.0388369885137649</c:v>
                      </c:pt>
                      <c:pt idx="61">
                        <c:v>1.0513131850484214</c:v>
                      </c:pt>
                      <c:pt idx="62">
                        <c:v>1.063750838462346</c:v>
                      </c:pt>
                      <c:pt idx="63">
                        <c:v>1.0761494321001326</c:v>
                      </c:pt>
                      <c:pt idx="64">
                        <c:v>1.0885084771499767</c:v>
                      </c:pt>
                      <c:pt idx="65">
                        <c:v>1.1008275116291375</c:v>
                      </c:pt>
                      <c:pt idx="66">
                        <c:v>1.1131060994055222</c:v>
                      </c:pt>
                      <c:pt idx="67">
                        <c:v>1.1253438292540945</c:v>
                      </c:pt>
                      <c:pt idx="68">
                        <c:v>1.1375403139467981</c:v>
                      </c:pt>
                      <c:pt idx="69">
                        <c:v>1.1496951893747975</c:v>
                      </c:pt>
                      <c:pt idx="70">
                        <c:v>1.1618081137018799</c:v>
                      </c:pt>
                      <c:pt idx="71">
                        <c:v>1.1738787665478341</c:v>
                      </c:pt>
                      <c:pt idx="72">
                        <c:v>1.1859068482007642</c:v>
                      </c:pt>
                      <c:pt idx="73">
                        <c:v>1.1978920788572409</c:v>
                      </c:pt>
                      <c:pt idx="74">
                        <c:v>1.2098341978893403</c:v>
                      </c:pt>
                      <c:pt idx="75">
                        <c:v>1.2217329631375229</c:v>
                      </c:pt>
                      <c:pt idx="76">
                        <c:v>1.2335881502284738</c:v>
                      </c:pt>
                      <c:pt idx="77">
                        <c:v>1.2453995519169752</c:v>
                      </c:pt>
                      <c:pt idx="78">
                        <c:v>1.2571669774509338</c:v>
                      </c:pt>
                      <c:pt idx="79">
                        <c:v>1.2688902519587593</c:v>
                      </c:pt>
                      <c:pt idx="80">
                        <c:v>1.2805692158582445</c:v>
                      </c:pt>
                      <c:pt idx="81">
                        <c:v>1.2922037242862072</c:v>
                      </c:pt>
                      <c:pt idx="82">
                        <c:v>1.3037936465481208</c:v>
                      </c:pt>
                      <c:pt idx="83">
                        <c:v>1.3153388655870493</c:v>
                      </c:pt>
                      <c:pt idx="84">
                        <c:v>1.3268392774711459</c:v>
                      </c:pt>
                      <c:pt idx="85">
                        <c:v>1.338294790899089</c:v>
                      </c:pt>
                      <c:pt idx="86">
                        <c:v>1.3497053267227892</c:v>
                      </c:pt>
                      <c:pt idx="87">
                        <c:v>1.3610708174867785</c:v>
                      </c:pt>
                      <c:pt idx="88">
                        <c:v>1.3723912069836433</c:v>
                      </c:pt>
                      <c:pt idx="89">
                        <c:v>1.3836664498249645</c:v>
                      </c:pt>
                      <c:pt idx="90">
                        <c:v>1.3948965110272082</c:v>
                      </c:pt>
                      <c:pt idx="91">
                        <c:v>1.406081365612009</c:v>
                      </c:pt>
                      <c:pt idx="92">
                        <c:v>1.4172209982203678</c:v>
                      </c:pt>
                      <c:pt idx="93">
                        <c:v>1.4283154027402558</c:v>
                      </c:pt>
                      <c:pt idx="94">
                        <c:v>1.4393645819471474</c:v>
                      </c:pt>
                      <c:pt idx="95">
                        <c:v>1.4503685471570169</c:v>
                      </c:pt>
                      <c:pt idx="96">
                        <c:v>1.4613273178914032</c:v>
                      </c:pt>
                      <c:pt idx="97">
                        <c:v>1.4722409215540488</c:v>
                      </c:pt>
                      <c:pt idx="98">
                        <c:v>1.4831093931187649</c:v>
                      </c:pt>
                      <c:pt idx="99">
                        <c:v>1.4939327748280891</c:v>
                      </c:pt>
                      <c:pt idx="100">
                        <c:v>1.5047111159023929</c:v>
                      </c:pt>
                      <c:pt idx="101">
                        <c:v>1.5154444722590306</c:v>
                      </c:pt>
                      <c:pt idx="102">
                        <c:v>1.5261329062412188</c:v>
                      </c:pt>
                      <c:pt idx="103">
                        <c:v>1.5367764863562781</c:v>
                      </c:pt>
                      <c:pt idx="104">
                        <c:v>1.5473752870229227</c:v>
                      </c:pt>
                      <c:pt idx="105">
                        <c:v>1.5579293883272816</c:v>
                      </c:pt>
                      <c:pt idx="106">
                        <c:v>1.5684388757873593</c:v>
                      </c:pt>
                      <c:pt idx="107">
                        <c:v>1.5789038401256104</c:v>
                      </c:pt>
                      <c:pt idx="108">
                        <c:v>1.5893243770493826</c:v>
                      </c:pt>
                      <c:pt idx="109">
                        <c:v>1.5997005870389305</c:v>
                      </c:pt>
                      <c:pt idx="110">
                        <c:v>1.6100325751427651</c:v>
                      </c:pt>
                      <c:pt idx="111">
                        <c:v>1.6203204507800486</c:v>
                      </c:pt>
                      <c:pt idx="112">
                        <c:v>1.6305643275498383</c:v>
                      </c:pt>
                      <c:pt idx="113">
                        <c:v>1.6407643230468827</c:v>
                      </c:pt>
                      <c:pt idx="114">
                        <c:v>1.6509205586838285</c:v>
                      </c:pt>
                      <c:pt idx="115">
                        <c:v>1.6610331595195171</c:v>
                      </c:pt>
                      <c:pt idx="116">
                        <c:v>1.6711022540932623</c:v>
                      </c:pt>
                      <c:pt idx="117">
                        <c:v>1.6811279742648246</c:v>
                      </c:pt>
                      <c:pt idx="118">
                        <c:v>1.6911104550599416</c:v>
                      </c:pt>
                      <c:pt idx="119">
                        <c:v>1.7010498345211906</c:v>
                      </c:pt>
                      <c:pt idx="120">
                        <c:v>1.7109462535640192</c:v>
                      </c:pt>
                      <c:pt idx="121">
                        <c:v>1.7207998558377715</c:v>
                      </c:pt>
                      <c:pt idx="122">
                        <c:v>1.7306107875915167</c:v>
                      </c:pt>
                      <c:pt idx="123">
                        <c:v>1.7403791975445417</c:v>
                      </c:pt>
                      <c:pt idx="124">
                        <c:v>1.7501052367613519</c:v>
                      </c:pt>
                      <c:pt idx="125">
                        <c:v>1.7597890585309821</c:v>
                      </c:pt>
                      <c:pt idx="126">
                        <c:v>1.7694308182505534</c:v>
                      </c:pt>
                      <c:pt idx="127">
                        <c:v>1.7790306733128414</c:v>
                      </c:pt>
                      <c:pt idx="128">
                        <c:v>1.7885887829978027</c:v>
                      </c:pt>
                      <c:pt idx="129">
                        <c:v>1.7981053083678384</c:v>
                      </c:pt>
                      <c:pt idx="130">
                        <c:v>1.807580412166784</c:v>
                      </c:pt>
                      <c:pt idx="131">
                        <c:v>1.8170142587223681</c:v>
                      </c:pt>
                      <c:pt idx="132">
                        <c:v>1.8264070138521469</c:v>
                      </c:pt>
                      <c:pt idx="133">
                        <c:v>1.8357588447726958</c:v>
                      </c:pt>
                      <c:pt idx="134">
                        <c:v>1.8450699200120226</c:v>
                      </c:pt>
                      <c:pt idx="135">
                        <c:v>1.8543404093250533</c:v>
                      </c:pt>
                      <c:pt idx="136">
                        <c:v>1.8635704836121214</c:v>
                      </c:pt>
                      <c:pt idx="137">
                        <c:v>1.8727603148402887</c:v>
                      </c:pt>
                      <c:pt idx="138">
                        <c:v>1.8819100759675256</c:v>
                      </c:pt>
                      <c:pt idx="139">
                        <c:v>1.8910199408695274</c:v>
                      </c:pt>
                      <c:pt idx="140">
                        <c:v>1.9000900842691455</c:v>
                      </c:pt>
                      <c:pt idx="141">
                        <c:v>1.9091206816683641</c:v>
                      </c:pt>
                      <c:pt idx="142">
                        <c:v>1.9181119092826875</c:v>
                      </c:pt>
                      <c:pt idx="143">
                        <c:v>1.9270639439778665</c:v>
                      </c:pt>
                      <c:pt idx="144">
                        <c:v>1.935976963208939</c:v>
                      </c:pt>
                      <c:pt idx="145">
                        <c:v>1.9448511449614361</c:v>
                      </c:pt>
                      <c:pt idx="146">
                        <c:v>1.9536866676947284</c:v>
                      </c:pt>
                      <c:pt idx="147">
                        <c:v>1.9624837102874186</c:v>
                      </c:pt>
                      <c:pt idx="148">
                        <c:v>1.9712424519847418</c:v>
                      </c:pt>
                      <c:pt idx="149">
                        <c:v>1.9799630723478683</c:v>
                      </c:pt>
                      <c:pt idx="150">
                        <c:v>1.9886457512050664</c:v>
                      </c:pt>
                      <c:pt idx="151">
                        <c:v>1.9972906686046701</c:v>
                      </c:pt>
                      <c:pt idx="152">
                        <c:v>2.0058980047697932</c:v>
                      </c:pt>
                      <c:pt idx="153">
                        <c:v>2.0144679400546828</c:v>
                      </c:pt>
                      <c:pt idx="154">
                        <c:v>2.0230006549027637</c:v>
                      </c:pt>
                      <c:pt idx="155">
                        <c:v>2.0314963298061808</c:v>
                      </c:pt>
                      <c:pt idx="156">
                        <c:v>2.0399551452669282</c:v>
                      </c:pt>
                      <c:pt idx="157">
                        <c:v>2.0483772817593882</c:v>
                      </c:pt>
                      <c:pt idx="158">
                        <c:v>2.0567629196943362</c:v>
                      </c:pt>
                      <c:pt idx="159">
                        <c:v>2.0651122393842938</c:v>
                      </c:pt>
                      <c:pt idx="160">
                        <c:v>2.0734254210102345</c:v>
                      </c:pt>
                      <c:pt idx="161">
                        <c:v>2.0817026445895292</c:v>
                      </c:pt>
                      <c:pt idx="162">
                        <c:v>2.0899440899451922</c:v>
                      </c:pt>
                      <c:pt idx="163">
                        <c:v>2.0981499366762812</c:v>
                      </c:pt>
                      <c:pt idx="164">
                        <c:v>2.1063203641294961</c:v>
                      </c:pt>
                      <c:pt idx="165">
                        <c:v>2.1144555513718681</c:v>
                      </c:pt>
                      <c:pt idx="166">
                        <c:v>2.1225556771645553</c:v>
                      </c:pt>
                      <c:pt idx="167">
                        <c:v>2.1306209199376975</c:v>
                      </c:pt>
                      <c:pt idx="168">
                        <c:v>2.1386514577662528</c:v>
                      </c:pt>
                      <c:pt idx="169">
                        <c:v>2.1466474683468624</c:v>
                      </c:pt>
                      <c:pt idx="170">
                        <c:v>2.1546091289756295</c:v>
                      </c:pt>
                      <c:pt idx="171">
                        <c:v>2.1625366165268334</c:v>
                      </c:pt>
                      <c:pt idx="172">
                        <c:v>2.170430107432531</c:v>
                      </c:pt>
                      <c:pt idx="173">
                        <c:v>2.1782897776630139</c:v>
                      </c:pt>
                      <c:pt idx="174">
                        <c:v>2.1861158027081062</c:v>
                      </c:pt>
                      <c:pt idx="175">
                        <c:v>2.1939083575592488</c:v>
                      </c:pt>
                      <c:pt idx="176">
                        <c:v>2.2016676166923763</c:v>
                      </c:pt>
                      <c:pt idx="177">
                        <c:v>2.2093937540515354</c:v>
                      </c:pt>
                      <c:pt idx="178">
                        <c:v>2.2170869430332401</c:v>
                      </c:pt>
                      <c:pt idx="179">
                        <c:v>2.224747356471525</c:v>
                      </c:pt>
                      <c:pt idx="180">
                        <c:v>2.2323751666236595</c:v>
                      </c:pt>
                      <c:pt idx="181">
                        <c:v>2.2399705451565497</c:v>
                      </c:pt>
                      <c:pt idx="182">
                        <c:v>2.2475336631337632</c:v>
                      </c:pt>
                      <c:pt idx="183">
                        <c:v>2.2550646910031511</c:v>
                      </c:pt>
                      <c:pt idx="184">
                        <c:v>2.2625637985850808</c:v>
                      </c:pt>
                      <c:pt idx="185">
                        <c:v>2.2700311550612415</c:v>
                      </c:pt>
                      <c:pt idx="186">
                        <c:v>2.277466928964003</c:v>
                      </c:pt>
                      <c:pt idx="187">
                        <c:v>2.284871288166304</c:v>
                      </c:pt>
                      <c:pt idx="188">
                        <c:v>2.2922443998720481</c:v>
                      </c:pt>
                      <c:pt idx="189">
                        <c:v>2.2995864306070457</c:v>
                      </c:pt>
                      <c:pt idx="190">
                        <c:v>2.3068975462103771</c:v>
                      </c:pt>
                      <c:pt idx="191">
                        <c:v>2.3141779118262691</c:v>
                      </c:pt>
                      <c:pt idx="192">
                        <c:v>2.3214276918964045</c:v>
                      </c:pt>
                      <c:pt idx="193">
                        <c:v>2.328647050152679</c:v>
                      </c:pt>
                      <c:pt idx="194">
                        <c:v>2.3358361496103468</c:v>
                      </c:pt>
                      <c:pt idx="195">
                        <c:v>2.3429951525616373</c:v>
                      </c:pt>
                      <c:pt idx="196">
                        <c:v>2.3501242205697004</c:v>
                      </c:pt>
                      <c:pt idx="197">
                        <c:v>2.357223514462957</c:v>
                      </c:pt>
                      <c:pt idx="198">
                        <c:v>2.3642931943298415</c:v>
                      </c:pt>
                      <c:pt idx="199">
                        <c:v>2.3713334195138445</c:v>
                      </c:pt>
                      <c:pt idx="200">
                        <c:v>2.3783443486089562</c:v>
                      </c:pt>
                    </c:numCache>
                  </c:numRef>
                </c:val>
                <c:smooth val="0"/>
                <c:extLst xmlns:c15="http://schemas.microsoft.com/office/drawing/2012/chart">
                  <c:ext xmlns:c16="http://schemas.microsoft.com/office/drawing/2014/chart" uri="{C3380CC4-5D6E-409C-BE32-E72D297353CC}">
                    <c16:uniqueId val="{0000000A-D94A-4A6C-A3EF-19A07815FC45}"/>
                  </c:ext>
                </c:extLst>
              </c15:ser>
            </c15:filteredLineSeries>
            <c15:filteredLineSeries>
              <c15:ser>
                <c:idx val="3"/>
                <c:order val="11"/>
                <c:tx>
                  <c:v>Inductor Loss</c:v>
                </c:tx>
                <c:spPr>
                  <a:ln w="38100">
                    <a:solidFill>
                      <a:srgbClr val="800080"/>
                    </a:solidFill>
                    <a:prstDash val="dash"/>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Calculations'!$BP$9:$BP$209</c15:sqref>
                        </c15:formulaRef>
                      </c:ext>
                    </c:extLst>
                    <c:numCache>
                      <c:formatCode>0.000</c:formatCode>
                      <c:ptCount val="201"/>
                      <c:pt idx="0">
                        <c:v>1.1664963483138355</c:v>
                      </c:pt>
                      <c:pt idx="1">
                        <c:v>1.1783832701555945</c:v>
                      </c:pt>
                      <c:pt idx="2">
                        <c:v>1.1903891876899488</c:v>
                      </c:pt>
                      <c:pt idx="3">
                        <c:v>1.2025073878656187</c:v>
                      </c:pt>
                      <c:pt idx="4">
                        <c:v>1.2147313975756808</c:v>
                      </c:pt>
                      <c:pt idx="5">
                        <c:v>1.2270549766372592</c:v>
                      </c:pt>
                      <c:pt idx="6">
                        <c:v>1.2394721108087612</c:v>
                      </c:pt>
                      <c:pt idx="7">
                        <c:v>1.2519770048712224</c:v>
                      </c:pt>
                      <c:pt idx="8">
                        <c:v>1.2645640757957135</c:v>
                      </c:pt>
                      <c:pt idx="9">
                        <c:v>1.2772279460147808</c:v>
                      </c:pt>
                      <c:pt idx="10">
                        <c:v>1.2899634368125192</c:v>
                      </c:pt>
                      <c:pt idx="11">
                        <c:v>1.3027655618449869</c:v>
                      </c:pt>
                      <c:pt idx="12">
                        <c:v>1.3156295208001829</c:v>
                      </c:pt>
                      <c:pt idx="13">
                        <c:v>1.3285506932047102</c:v>
                      </c:pt>
                      <c:pt idx="14">
                        <c:v>1.3415246323824344</c:v>
                      </c:pt>
                      <c:pt idx="15">
                        <c:v>1.3545470595689051</c:v>
                      </c:pt>
                      <c:pt idx="16">
                        <c:v>1.3676138581840214</c:v>
                      </c:pt>
                      <c:pt idx="17">
                        <c:v>1.3807210682642745</c:v>
                      </c:pt>
                      <c:pt idx="18">
                        <c:v>1.3938648810549974</c:v>
                      </c:pt>
                      <c:pt idx="19">
                        <c:v>1.4070416337622322</c:v>
                      </c:pt>
                      <c:pt idx="20">
                        <c:v>1.4202478044631612</c:v>
                      </c:pt>
                      <c:pt idx="21">
                        <c:v>1.4334800071735168</c:v>
                      </c:pt>
                      <c:pt idx="22">
                        <c:v>1.4467349870698509</c:v>
                      </c:pt>
                      <c:pt idx="23">
                        <c:v>1.4600096158642786</c:v>
                      </c:pt>
                      <c:pt idx="24">
                        <c:v>1.4733008873288647</c:v>
                      </c:pt>
                      <c:pt idx="25">
                        <c:v>1.4866059129666853</c:v>
                      </c:pt>
                      <c:pt idx="26">
                        <c:v>1.4999219178263286</c:v>
                      </c:pt>
                      <c:pt idx="27">
                        <c:v>1.5132462364564618</c:v>
                      </c:pt>
                      <c:pt idx="28">
                        <c:v>1.5265763089970132</c:v>
                      </c:pt>
                      <c:pt idx="29">
                        <c:v>1.5399096774033554</c:v>
                      </c:pt>
                      <c:pt idx="30">
                        <c:v>1.5532439817999366</c:v>
                      </c:pt>
                      <c:pt idx="31">
                        <c:v>1.5665769569596513</c:v>
                      </c:pt>
                      <c:pt idx="32">
                        <c:v>1.5799064289053455</c:v>
                      </c:pt>
                      <c:pt idx="33">
                        <c:v>1.5932303116297901</c:v>
                      </c:pt>
                      <c:pt idx="34">
                        <c:v>1.6065466039305125</c:v>
                      </c:pt>
                      <c:pt idx="35">
                        <c:v>1.6198533863558988</c:v>
                      </c:pt>
                      <c:pt idx="36">
                        <c:v>1.6331488182590457</c:v>
                      </c:pt>
                      <c:pt idx="37">
                        <c:v>1.6464311349558671</c:v>
                      </c:pt>
                      <c:pt idx="38">
                        <c:v>1.6596986449840616</c:v>
                      </c:pt>
                      <c:pt idx="39">
                        <c:v>1.6729497274595779</c:v>
                      </c:pt>
                      <c:pt idx="40">
                        <c:v>1.6861828295273189</c:v>
                      </c:pt>
                      <c:pt idx="41">
                        <c:v>1.6993964639028876</c:v>
                      </c:pt>
                      <c:pt idx="42">
                        <c:v>1.7125892065022597</c:v>
                      </c:pt>
                      <c:pt idx="43">
                        <c:v>1.7257596941563396</c:v>
                      </c:pt>
                      <c:pt idx="44">
                        <c:v>1.7389066224074852</c:v>
                      </c:pt>
                      <c:pt idx="45">
                        <c:v>1.7520287433850754</c:v>
                      </c:pt>
                      <c:pt idx="46">
                        <c:v>1.7651248637574086</c:v>
                      </c:pt>
                      <c:pt idx="47">
                        <c:v>1.778193842757178</c:v>
                      </c:pt>
                      <c:pt idx="48">
                        <c:v>1.7912345902779312</c:v>
                      </c:pt>
                      <c:pt idx="49">
                        <c:v>1.8042460650389902</c:v>
                      </c:pt>
                      <c:pt idx="50">
                        <c:v>1.8172272728163485</c:v>
                      </c:pt>
                      <c:pt idx="51">
                        <c:v>1.8301772647372176</c:v>
                      </c:pt>
                      <c:pt idx="52">
                        <c:v>1.8430951356358847</c:v>
                      </c:pt>
                      <c:pt idx="53">
                        <c:v>1.855980022468706</c:v>
                      </c:pt>
                      <c:pt idx="54">
                        <c:v>1.8688311027860562</c:v>
                      </c:pt>
                      <c:pt idx="55">
                        <c:v>1.8816475932591961</c:v>
                      </c:pt>
                      <c:pt idx="56">
                        <c:v>1.894428748260059</c:v>
                      </c:pt>
                      <c:pt idx="57">
                        <c:v>1.9071738584920055</c:v>
                      </c:pt>
                      <c:pt idx="58">
                        <c:v>1.919882249669723</c:v>
                      </c:pt>
                      <c:pt idx="59">
                        <c:v>1.932553281246455</c:v>
                      </c:pt>
                      <c:pt idx="60">
                        <c:v>1.9451863451868334</c:v>
                      </c:pt>
                      <c:pt idx="61">
                        <c:v>1.9577808647836685</c:v>
                      </c:pt>
                      <c:pt idx="62">
                        <c:v>1.9703362935170581</c:v>
                      </c:pt>
                      <c:pt idx="63">
                        <c:v>1.9828521139542974</c:v>
                      </c:pt>
                      <c:pt idx="64">
                        <c:v>1.9953278366890872</c:v>
                      </c:pt>
                      <c:pt idx="65">
                        <c:v>2.0077629993186012</c:v>
                      </c:pt>
                      <c:pt idx="66">
                        <c:v>2.0201571654570234</c:v>
                      </c:pt>
                      <c:pt idx="67">
                        <c:v>2.0325099237842568</c:v>
                      </c:pt>
                      <c:pt idx="68">
                        <c:v>2.0448208871284654</c:v>
                      </c:pt>
                      <c:pt idx="69">
                        <c:v>2.0570896915812473</c:v>
                      </c:pt>
                      <c:pt idx="70">
                        <c:v>2.0693159956442653</c:v>
                      </c:pt>
                      <c:pt idx="71">
                        <c:v>2.0814994794061419</c:v>
                      </c:pt>
                      <c:pt idx="72">
                        <c:v>2.0936398437485524</c:v>
                      </c:pt>
                      <c:pt idx="73">
                        <c:v>2.1057368095804256</c:v>
                      </c:pt>
                      <c:pt idx="74">
                        <c:v>2.1177901170992759</c:v>
                      </c:pt>
                      <c:pt idx="75">
                        <c:v>2.1297995250786137</c:v>
                      </c:pt>
                      <c:pt idx="76">
                        <c:v>2.1417648101805451</c:v>
                      </c:pt>
                      <c:pt idx="77">
                        <c:v>2.1536857662926252</c:v>
                      </c:pt>
                      <c:pt idx="78">
                        <c:v>2.1655622038880722</c:v>
                      </c:pt>
                      <c:pt idx="79">
                        <c:v>2.1773939494085326</c:v>
                      </c:pt>
                      <c:pt idx="80">
                        <c:v>2.1891808446685435</c:v>
                      </c:pt>
                      <c:pt idx="81">
                        <c:v>2.2009227462809351</c:v>
                      </c:pt>
                      <c:pt idx="82">
                        <c:v>2.2126195251023999</c:v>
                      </c:pt>
                      <c:pt idx="83">
                        <c:v>2.2242710656985385</c:v>
                      </c:pt>
                      <c:pt idx="84">
                        <c:v>2.2358772658276242</c:v>
                      </c:pt>
                      <c:pt idx="85">
                        <c:v>2.2474380359424622</c:v>
                      </c:pt>
                      <c:pt idx="86">
                        <c:v>2.2589532987096708</c:v>
                      </c:pt>
                      <c:pt idx="87">
                        <c:v>2.2704229885457834</c:v>
                      </c:pt>
                      <c:pt idx="88">
                        <c:v>2.2818470511695303</c:v>
                      </c:pt>
                      <c:pt idx="89">
                        <c:v>2.2932254431697614</c:v>
                      </c:pt>
                      <c:pt idx="90">
                        <c:v>2.3045581315884411</c:v>
                      </c:pt>
                      <c:pt idx="91">
                        <c:v>2.315845093518158</c:v>
                      </c:pt>
                      <c:pt idx="92">
                        <c:v>2.3270863157136645</c:v>
                      </c:pt>
                      <c:pt idx="93">
                        <c:v>2.3382817942169294</c:v>
                      </c:pt>
                      <c:pt idx="94">
                        <c:v>2.3494315339952312</c:v>
                      </c:pt>
                      <c:pt idx="95">
                        <c:v>2.3605355485918111</c:v>
                      </c:pt>
                      <c:pt idx="96">
                        <c:v>2.371593859788693</c:v>
                      </c:pt>
                      <c:pt idx="97">
                        <c:v>2.3826064972811754</c:v>
                      </c:pt>
                      <c:pt idx="98">
                        <c:v>2.3935734983636308</c:v>
                      </c:pt>
                      <c:pt idx="99">
                        <c:v>2.4044949076261926</c:v>
                      </c:pt>
                      <c:pt idx="100">
                        <c:v>2.4153707766619683</c:v>
                      </c:pt>
                      <c:pt idx="101">
                        <c:v>2.4262011637843726</c:v>
                      </c:pt>
                      <c:pt idx="102">
                        <c:v>2.4369861337542753</c:v>
                      </c:pt>
                      <c:pt idx="103">
                        <c:v>2.4477257575165736</c:v>
                      </c:pt>
                      <c:pt idx="104">
                        <c:v>2.4584201119458911</c:v>
                      </c:pt>
                      <c:pt idx="105">
                        <c:v>2.4690692796010674</c:v>
                      </c:pt>
                      <c:pt idx="106">
                        <c:v>2.4796733484881606</c:v>
                      </c:pt>
                      <c:pt idx="107">
                        <c:v>2.4902324118316193</c:v>
                      </c:pt>
                      <c:pt idx="108">
                        <c:v>2.500746567853386</c:v>
                      </c:pt>
                      <c:pt idx="109">
                        <c:v>2.5112159195596222</c:v>
                      </c:pt>
                      <c:pt idx="110">
                        <c:v>2.5216405745348349</c:v>
                      </c:pt>
                      <c:pt idx="111">
                        <c:v>2.5320206447430897</c:v>
                      </c:pt>
                      <c:pt idx="112">
                        <c:v>2.5423562463361331</c:v>
                      </c:pt>
                      <c:pt idx="113">
                        <c:v>2.5526474994681063</c:v>
                      </c:pt>
                      <c:pt idx="114">
                        <c:v>2.5628945281167259</c:v>
                      </c:pt>
                      <c:pt idx="115">
                        <c:v>2.5730974599105907</c:v>
                      </c:pt>
                      <c:pt idx="116">
                        <c:v>2.5832564259625181</c:v>
                      </c:pt>
                      <c:pt idx="117">
                        <c:v>2.5933715607086176</c:v>
                      </c:pt>
                      <c:pt idx="118">
                        <c:v>2.603443001752956</c:v>
                      </c:pt>
                      <c:pt idx="119">
                        <c:v>2.6134708897176</c:v>
                      </c:pt>
                      <c:pt idx="120">
                        <c:v>2.6234553680978552</c:v>
                      </c:pt>
                      <c:pt idx="121">
                        <c:v>2.6333965831225461</c:v>
                      </c:pt>
                      <c:pt idx="122">
                        <c:v>2.6432946836191182</c:v>
                      </c:pt>
                      <c:pt idx="123">
                        <c:v>2.6531498208834532</c:v>
                      </c:pt>
                      <c:pt idx="124">
                        <c:v>2.6629621485542092</c:v>
                      </c:pt>
                      <c:pt idx="125">
                        <c:v>2.6727318224915084</c:v>
                      </c:pt>
                      <c:pt idx="126">
                        <c:v>2.6824590006599012</c:v>
                      </c:pt>
                      <c:pt idx="127">
                        <c:v>2.6921438430153604</c:v>
                      </c:pt>
                      <c:pt idx="128">
                        <c:v>2.7017865113962718</c:v>
                      </c:pt>
                      <c:pt idx="129">
                        <c:v>2.7113871694181775</c:v>
                      </c:pt>
                      <c:pt idx="130">
                        <c:v>2.7209459823722768</c:v>
                      </c:pt>
                      <c:pt idx="131">
                        <c:v>2.7304631171274143</c:v>
                      </c:pt>
                      <c:pt idx="132">
                        <c:v>2.7399387420355716</c:v>
                      </c:pt>
                      <c:pt idx="133">
                        <c:v>2.7493730268406344</c:v>
                      </c:pt>
                      <c:pt idx="134">
                        <c:v>2.7587661425904031</c:v>
                      </c:pt>
                      <c:pt idx="135">
                        <c:v>2.7681182615516926</c:v>
                      </c:pt>
                      <c:pt idx="136">
                        <c:v>2.7774295571284675</c:v>
                      </c:pt>
                      <c:pt idx="137">
                        <c:v>2.786700203782805</c:v>
                      </c:pt>
                      <c:pt idx="138">
                        <c:v>2.7959303769587605</c:v>
                      </c:pt>
                      <c:pt idx="139">
                        <c:v>2.8051202530088668</c:v>
                      </c:pt>
                      <c:pt idx="140">
                        <c:v>2.8142700091232733</c:v>
                      </c:pt>
                      <c:pt idx="141">
                        <c:v>2.8233798232614471</c:v>
                      </c:pt>
                      <c:pt idx="142">
                        <c:v>2.8324498740862958</c:v>
                      </c:pt>
                      <c:pt idx="143">
                        <c:v>2.8414803409006462</c:v>
                      </c:pt>
                      <c:pt idx="144">
                        <c:v>2.8504714035860528</c:v>
                      </c:pt>
                      <c:pt idx="145">
                        <c:v>2.8594232425437807</c:v>
                      </c:pt>
                      <c:pt idx="146">
                        <c:v>2.8683360386379468</c:v>
                      </c:pt>
                      <c:pt idx="147">
                        <c:v>2.8772099731407152</c:v>
                      </c:pt>
                      <c:pt idx="148">
                        <c:v>2.8860452276795168</c:v>
                      </c:pt>
                      <c:pt idx="149">
                        <c:v>2.8948419841861779</c:v>
                      </c:pt>
                      <c:pt idx="150">
                        <c:v>2.9036004248479235</c:v>
                      </c:pt>
                      <c:pt idx="151">
                        <c:v>2.9123207320601949</c:v>
                      </c:pt>
                      <c:pt idx="152">
                        <c:v>2.9210030883812217</c:v>
                      </c:pt>
                      <c:pt idx="153">
                        <c:v>2.9296476764882482</c:v>
                      </c:pt>
                      <c:pt idx="154">
                        <c:v>2.9382546791354534</c:v>
                      </c:pt>
                      <c:pt idx="155">
                        <c:v>2.946824279113383</c:v>
                      </c:pt>
                      <c:pt idx="156">
                        <c:v>2.9553566592099756</c:v>
                      </c:pt>
                      <c:pt idx="157">
                        <c:v>2.9638520021730042</c:v>
                      </c:pt>
                      <c:pt idx="158">
                        <c:v>2.9723104906739937</c:v>
                      </c:pt>
                      <c:pt idx="159">
                        <c:v>2.9807323072734979</c:v>
                      </c:pt>
                      <c:pt idx="160">
                        <c:v>2.9891176343877293</c:v>
                      </c:pt>
                      <c:pt idx="161">
                        <c:v>2.9974666542564368</c:v>
                      </c:pt>
                      <c:pt idx="162">
                        <c:v>3.0057795489121002</c:v>
                      </c:pt>
                      <c:pt idx="163">
                        <c:v>3.0140565001502693</c:v>
                      </c:pt>
                      <c:pt idx="164">
                        <c:v>3.022297689501122</c:v>
                      </c:pt>
                      <c:pt idx="165">
                        <c:v>3.0305032982021118</c:v>
                      </c:pt>
                      <c:pt idx="166">
                        <c:v>3.0386735071717261</c:v>
                      </c:pt>
                      <c:pt idx="167">
                        <c:v>3.0468084969843141</c:v>
                      </c:pt>
                      <c:pt idx="168">
                        <c:v>3.0549084478459001</c:v>
                      </c:pt>
                      <c:pt idx="169">
                        <c:v>3.0629735395710243</c:v>
                      </c:pt>
                      <c:pt idx="170">
                        <c:v>3.0710039515605132</c:v>
                      </c:pt>
                      <c:pt idx="171">
                        <c:v>3.0789998627801798</c:v>
                      </c:pt>
                      <c:pt idx="172">
                        <c:v>3.0869614517404202</c:v>
                      </c:pt>
                      <c:pt idx="173">
                        <c:v>3.0948888964766708</c:v>
                      </c:pt>
                      <c:pt idx="174">
                        <c:v>3.1027823745307059</c:v>
                      </c:pt>
                      <c:pt idx="175">
                        <c:v>3.1106420629327314</c:v>
                      </c:pt>
                      <c:pt idx="176">
                        <c:v>3.1184681381842694</c:v>
                      </c:pt>
                      <c:pt idx="177">
                        <c:v>3.1262607762417902</c:v>
                      </c:pt>
                      <c:pt idx="178">
                        <c:v>3.1340201525010878</c:v>
                      </c:pt>
                      <c:pt idx="179">
                        <c:v>3.1417464417823471</c:v>
                      </c:pt>
                      <c:pt idx="180">
                        <c:v>3.1494398183158863</c:v>
                      </c:pt>
                      <c:pt idx="181">
                        <c:v>3.1571004557285822</c:v>
                      </c:pt>
                      <c:pt idx="182">
                        <c:v>3.1647285270309249</c:v>
                      </c:pt>
                      <c:pt idx="183">
                        <c:v>3.1723242046046685</c:v>
                      </c:pt>
                      <c:pt idx="184">
                        <c:v>3.1798876601911026</c:v>
                      </c:pt>
                      <c:pt idx="185">
                        <c:v>3.1874190648798884</c:v>
                      </c:pt>
                      <c:pt idx="186">
                        <c:v>3.1949185890984602</c:v>
                      </c:pt>
                      <c:pt idx="187">
                        <c:v>3.2023864026019524</c:v>
                      </c:pt>
                      <c:pt idx="188">
                        <c:v>3.2098226744636373</c:v>
                      </c:pt>
                      <c:pt idx="189">
                        <c:v>3.2172275730659141</c:v>
                      </c:pt>
                      <c:pt idx="190">
                        <c:v>3.2246012660917165</c:v>
                      </c:pt>
                      <c:pt idx="191">
                        <c:v>3.2319439205164397</c:v>
                      </c:pt>
                      <c:pt idx="192">
                        <c:v>3.2392557026002953</c:v>
                      </c:pt>
                      <c:pt idx="193">
                        <c:v>3.2465367778811265</c:v>
                      </c:pt>
                      <c:pt idx="194">
                        <c:v>3.2537873111676001</c:v>
                      </c:pt>
                      <c:pt idx="195">
                        <c:v>3.2610074665328819</c:v>
                      </c:pt>
                      <c:pt idx="196">
                        <c:v>3.2681974073086364</c:v>
                      </c:pt>
                      <c:pt idx="197">
                        <c:v>3.275357296079433</c:v>
                      </c:pt>
                      <c:pt idx="198">
                        <c:v>3.2824872946775505</c:v>
                      </c:pt>
                      <c:pt idx="199">
                        <c:v>3.289587564178075</c:v>
                      </c:pt>
                      <c:pt idx="200">
                        <c:v>3.2966582648944049</c:v>
                      </c:pt>
                    </c:numCache>
                  </c:numRef>
                </c:val>
                <c:smooth val="0"/>
                <c:extLst xmlns:c15="http://schemas.microsoft.com/office/drawing/2012/chart">
                  <c:ext xmlns:c16="http://schemas.microsoft.com/office/drawing/2014/chart" uri="{C3380CC4-5D6E-409C-BE32-E72D297353CC}">
                    <c16:uniqueId val="{0000000B-D94A-4A6C-A3EF-19A07815FC45}"/>
                  </c:ext>
                </c:extLst>
              </c15:ser>
            </c15:filteredLineSeries>
            <c15:filteredLineSeries>
              <c15:ser>
                <c:idx val="2"/>
                <c:order val="12"/>
                <c:tx>
                  <c:v>Total MOSFET Loss</c:v>
                </c:tx>
                <c:spPr>
                  <a:ln w="38100">
                    <a:solidFill>
                      <a:srgbClr val="808000"/>
                    </a:solidFill>
                    <a:prstDash val="sysDash"/>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Calculations'!$BQ$9:$BQ$209</c15:sqref>
                        </c15:formulaRef>
                      </c:ext>
                    </c:extLst>
                    <c:numCache>
                      <c:formatCode>0.000</c:formatCode>
                      <c:ptCount val="201"/>
                      <c:pt idx="0">
                        <c:v>4.8833771988768673</c:v>
                      </c:pt>
                      <c:pt idx="1">
                        <c:v>4.9016780655888761</c:v>
                      </c:pt>
                      <c:pt idx="2">
                        <c:v>4.9199964916870602</c:v>
                      </c:pt>
                      <c:pt idx="3">
                        <c:v>4.9383317694126685</c:v>
                      </c:pt>
                      <c:pt idx="4">
                        <c:v>4.9566832201107207</c:v>
                      </c:pt>
                      <c:pt idx="5">
                        <c:v>4.9750501928849182</c:v>
                      </c:pt>
                      <c:pt idx="6">
                        <c:v>4.9934320633230813</c:v>
                      </c:pt>
                      <c:pt idx="7">
                        <c:v>5.0118282322889574</c:v>
                      </c:pt>
                      <c:pt idx="8">
                        <c:v>5.0302381247765062</c:v>
                      </c:pt>
                      <c:pt idx="9">
                        <c:v>5.0486611888230168</c:v>
                      </c:pt>
                      <c:pt idx="10">
                        <c:v>5.0670968944776442</c:v>
                      </c:pt>
                      <c:pt idx="11">
                        <c:v>5.0855447328222185</c:v>
                      </c:pt>
                      <c:pt idx="12">
                        <c:v>5.1040042150412885</c:v>
                      </c:pt>
                      <c:pt idx="13">
                        <c:v>5.1224748715386745</c:v>
                      </c:pt>
                      <c:pt idx="14">
                        <c:v>5.1409562510978697</c:v>
                      </c:pt>
                      <c:pt idx="15">
                        <c:v>5.1594479200838617</c:v>
                      </c:pt>
                      <c:pt idx="16">
                        <c:v>5.1779494616840598</c:v>
                      </c:pt>
                      <c:pt idx="17">
                        <c:v>5.196460475186222</c:v>
                      </c:pt>
                      <c:pt idx="18">
                        <c:v>5.2149805752912588</c:v>
                      </c:pt>
                      <c:pt idx="19">
                        <c:v>5.2335093914591546</c:v>
                      </c:pt>
                      <c:pt idx="20">
                        <c:v>5.252046567286067</c:v>
                      </c:pt>
                      <c:pt idx="21">
                        <c:v>5.2705917599110776</c:v>
                      </c:pt>
                      <c:pt idx="22">
                        <c:v>5.2891446394508845</c:v>
                      </c:pt>
                      <c:pt idx="23">
                        <c:v>5.3077048884610569</c:v>
                      </c:pt>
                      <c:pt idx="24">
                        <c:v>5.3262722014223911</c:v>
                      </c:pt>
                      <c:pt idx="25">
                        <c:v>5.3448462842510818</c:v>
                      </c:pt>
                      <c:pt idx="26">
                        <c:v>5.3634268538314656</c:v>
                      </c:pt>
                      <c:pt idx="27">
                        <c:v>5.3820136375701688</c:v>
                      </c:pt>
                      <c:pt idx="28">
                        <c:v>5.4006063729705733</c:v>
                      </c:pt>
                      <c:pt idx="29">
                        <c:v>5.4192048072265342</c:v>
                      </c:pt>
                      <c:pt idx="30">
                        <c:v>5.4378086968344084</c:v>
                      </c:pt>
                      <c:pt idx="31">
                        <c:v>5.4564178072224436</c:v>
                      </c:pt>
                      <c:pt idx="32">
                        <c:v>5.4750319123966866</c:v>
                      </c:pt>
                      <c:pt idx="33">
                        <c:v>5.4936507946025417</c:v>
                      </c:pt>
                      <c:pt idx="34">
                        <c:v>5.512274244001266</c:v>
                      </c:pt>
                      <c:pt idx="35">
                        <c:v>5.5309020583606046</c:v>
                      </c:pt>
                      <c:pt idx="36">
                        <c:v>5.5495340427589221</c:v>
                      </c:pt>
                      <c:pt idx="37">
                        <c:v>5.5681700093021433</c:v>
                      </c:pt>
                      <c:pt idx="38">
                        <c:v>5.5868097768528955</c:v>
                      </c:pt>
                      <c:pt idx="39">
                        <c:v>5.6054531707712627</c:v>
                      </c:pt>
                      <c:pt idx="40">
                        <c:v>5.6241000226666111</c:v>
                      </c:pt>
                      <c:pt idx="41">
                        <c:v>5.6427501701599034</c:v>
                      </c:pt>
                      <c:pt idx="42">
                        <c:v>5.661403456656112</c:v>
                      </c:pt>
                      <c:pt idx="43">
                        <c:v>5.6800597311261196</c:v>
                      </c:pt>
                      <c:pt idx="44">
                        <c:v>5.6987188478977897</c:v>
                      </c:pt>
                      <c:pt idx="45">
                        <c:v>5.7173806664556945</c:v>
                      </c:pt>
                      <c:pt idx="46">
                        <c:v>5.7360450512491337</c:v>
                      </c:pt>
                      <c:pt idx="47">
                        <c:v>5.7547118715080687</c:v>
                      </c:pt>
                      <c:pt idx="48">
                        <c:v>5.7733810010665865</c:v>
                      </c:pt>
                      <c:pt idx="49">
                        <c:v>5.7920523181935621</c:v>
                      </c:pt>
                      <c:pt idx="50">
                        <c:v>5.8107257054302064</c:v>
                      </c:pt>
                      <c:pt idx="51">
                        <c:v>5.8294010494341553</c:v>
                      </c:pt>
                      <c:pt idx="52">
                        <c:v>5.8480782408298451</c:v>
                      </c:pt>
                      <c:pt idx="53">
                        <c:v>5.866757174064861</c:v>
                      </c:pt>
                      <c:pt idx="54">
                        <c:v>5.8854377472720136</c:v>
                      </c:pt>
                      <c:pt idx="55">
                        <c:v>5.9041198621368851</c:v>
                      </c:pt>
                      <c:pt idx="56">
                        <c:v>5.9228034237705929</c:v>
                      </c:pt>
                      <c:pt idx="57">
                        <c:v>5.9414883405875729</c:v>
                      </c:pt>
                      <c:pt idx="58">
                        <c:v>5.9601745241881154</c:v>
                      </c:pt>
                      <c:pt idx="59">
                        <c:v>5.9788618892454997</c:v>
                      </c:pt>
                      <c:pt idx="60">
                        <c:v>5.9975503533974868</c:v>
                      </c:pt>
                      <c:pt idx="61">
                        <c:v>6.0162398371420229</c:v>
                      </c:pt>
                      <c:pt idx="62">
                        <c:v>6.0349302637369169</c:v>
                      </c:pt>
                      <c:pt idx="63">
                        <c:v>6.0536215591033997</c:v>
                      </c:pt>
                      <c:pt idx="64">
                        <c:v>6.0723136517333165</c:v>
                      </c:pt>
                      <c:pt idx="65">
                        <c:v>6.0910064725998909</c:v>
                      </c:pt>
                      <c:pt idx="66">
                        <c:v>6.1096999550717968</c:v>
                      </c:pt>
                      <c:pt idx="67">
                        <c:v>6.1283940348305377</c:v>
                      </c:pt>
                      <c:pt idx="68">
                        <c:v>6.147088649790855</c:v>
                      </c:pt>
                      <c:pt idx="69">
                        <c:v>6.1657837400241613</c:v>
                      </c:pt>
                      <c:pt idx="70">
                        <c:v>6.184479247684787</c:v>
                      </c:pt>
                      <c:pt idx="71">
                        <c:v>6.2031751169389739</c:v>
                      </c:pt>
                      <c:pt idx="72">
                        <c:v>6.2218712938964833</c:v>
                      </c:pt>
                      <c:pt idx="73">
                        <c:v>6.240567726544711</c:v>
                      </c:pt>
                      <c:pt idx="74">
                        <c:v>6.2592643646852357</c:v>
                      </c:pt>
                      <c:pt idx="75">
                        <c:v>6.277961159872655</c:v>
                      </c:pt>
                      <c:pt idx="76">
                        <c:v>6.2966580653556523</c:v>
                      </c:pt>
                      <c:pt idx="77">
                        <c:v>6.315355036020204</c:v>
                      </c:pt>
                      <c:pt idx="78">
                        <c:v>6.3340520283348303</c:v>
                      </c:pt>
                      <c:pt idx="79">
                        <c:v>6.3527490002978046</c:v>
                      </c:pt>
                      <c:pt idx="80">
                        <c:v>6.3714459113862594</c:v>
                      </c:pt>
                      <c:pt idx="81">
                        <c:v>6.3901427225071057</c:v>
                      </c:pt>
                      <c:pt idx="82">
                        <c:v>6.4088393959496974</c:v>
                      </c:pt>
                      <c:pt idx="83">
                        <c:v>6.4275358953401689</c:v>
                      </c:pt>
                      <c:pt idx="84">
                        <c:v>6.4462321855973803</c:v>
                      </c:pt>
                      <c:pt idx="85">
                        <c:v>6.4649282328904256</c:v>
                      </c:pt>
                      <c:pt idx="86">
                        <c:v>6.4836240045976057</c:v>
                      </c:pt>
                      <c:pt idx="87">
                        <c:v>6.5023194692668529</c:v>
                      </c:pt>
                      <c:pt idx="88">
                        <c:v>6.5210145965775332</c:v>
                      </c:pt>
                      <c:pt idx="89">
                        <c:v>6.5397093573035479</c:v>
                      </c:pt>
                      <c:pt idx="90">
                        <c:v>6.5584037232777517</c:v>
                      </c:pt>
                      <c:pt idx="91">
                        <c:v>6.577097667357549</c:v>
                      </c:pt>
                      <c:pt idx="92">
                        <c:v>6.5957911633917119</c:v>
                      </c:pt>
                      <c:pt idx="93">
                        <c:v>6.6144841861883119</c:v>
                      </c:pt>
                      <c:pt idx="94">
                        <c:v>6.6331767114837445</c:v>
                      </c:pt>
                      <c:pt idx="95">
                        <c:v>6.6518687159128209</c:v>
                      </c:pt>
                      <c:pt idx="96">
                        <c:v>6.6705601769798593</c:v>
                      </c:pt>
                      <c:pt idx="97">
                        <c:v>6.6892510730307597</c:v>
                      </c:pt>
                      <c:pt idx="98">
                        <c:v>6.7079413832260206</c:v>
                      </c:pt>
                      <c:pt idx="99">
                        <c:v>6.7266310875146491</c:v>
                      </c:pt>
                      <c:pt idx="100">
                        <c:v>6.7453201666089724</c:v>
                      </c:pt>
                      <c:pt idx="101">
                        <c:v>6.764008601960251</c:v>
                      </c:pt>
                      <c:pt idx="102">
                        <c:v>6.7826963757351404</c:v>
                      </c:pt>
                      <c:pt idx="103">
                        <c:v>6.8013834707929064</c:v>
                      </c:pt>
                      <c:pt idx="104">
                        <c:v>6.8200698706634117</c:v>
                      </c:pt>
                      <c:pt idx="105">
                        <c:v>6.8387555595258203</c:v>
                      </c:pt>
                      <c:pt idx="106">
                        <c:v>6.8574405221879999</c:v>
                      </c:pt>
                      <c:pt idx="107">
                        <c:v>6.8761247440666082</c:v>
                      </c:pt>
                      <c:pt idx="108">
                        <c:v>6.8948082111678328</c:v>
                      </c:pt>
                      <c:pt idx="109">
                        <c:v>6.9134909100687345</c:v>
                      </c:pt>
                      <c:pt idx="110">
                        <c:v>6.9321728278992314</c:v>
                      </c:pt>
                      <c:pt idx="111">
                        <c:v>6.9508539523246453</c:v>
                      </c:pt>
                      <c:pt idx="112">
                        <c:v>6.9695342715288229</c:v>
                      </c:pt>
                      <c:pt idx="113">
                        <c:v>6.9882137741977957</c:v>
                      </c:pt>
                      <c:pt idx="114">
                        <c:v>7.0068924495039644</c:v>
                      </c:pt>
                      <c:pt idx="115">
                        <c:v>7.0255702870907966</c:v>
                      </c:pt>
                      <c:pt idx="116">
                        <c:v>7.0442472770580187</c:v>
                      </c:pt>
                      <c:pt idx="117">
                        <c:v>7.0629234099472669</c:v>
                      </c:pt>
                      <c:pt idx="118">
                        <c:v>7.0815986767282046</c:v>
                      </c:pt>
                      <c:pt idx="119">
                        <c:v>7.1002730687850795</c:v>
                      </c:pt>
                      <c:pt idx="120">
                        <c:v>7.1189465779037047</c:v>
                      </c:pt>
                      <c:pt idx="121">
                        <c:v>7.137619196258866</c:v>
                      </c:pt>
                      <c:pt idx="122">
                        <c:v>7.1562909164020851</c:v>
                      </c:pt>
                      <c:pt idx="123">
                        <c:v>7.1749617312498337</c:v>
                      </c:pt>
                      <c:pt idx="124">
                        <c:v>7.1936316340720543</c:v>
                      </c:pt>
                      <c:pt idx="125">
                        <c:v>7.2123006184810725</c:v>
                      </c:pt>
                      <c:pt idx="126">
                        <c:v>7.2309686784208616</c:v>
                      </c:pt>
                      <c:pt idx="127">
                        <c:v>7.2496358081566195</c:v>
                      </c:pt>
                      <c:pt idx="128">
                        <c:v>7.2683020022646838</c:v>
                      </c:pt>
                      <c:pt idx="129">
                        <c:v>7.2869672556227689</c:v>
                      </c:pt>
                      <c:pt idx="130">
                        <c:v>7.3056315634004765</c:v>
                      </c:pt>
                      <c:pt idx="131">
                        <c:v>7.324294921050134</c:v>
                      </c:pt>
                      <c:pt idx="132">
                        <c:v>7.3429573242978963</c:v>
                      </c:pt>
                      <c:pt idx="133">
                        <c:v>7.3616187691351156</c:v>
                      </c:pt>
                      <c:pt idx="134">
                        <c:v>7.3802792518100029</c:v>
                      </c:pt>
                      <c:pt idx="135">
                        <c:v>7.3989387688195105</c:v>
                      </c:pt>
                      <c:pt idx="136">
                        <c:v>7.4175973169014986</c:v>
                      </c:pt>
                      <c:pt idx="137">
                        <c:v>7.4362548930271082</c:v>
                      </c:pt>
                      <c:pt idx="138">
                        <c:v>7.4549114943933974</c:v>
                      </c:pt>
                      <c:pt idx="139">
                        <c:v>7.4735671184161738</c:v>
                      </c:pt>
                      <c:pt idx="140">
                        <c:v>7.4922217627230703</c:v>
                      </c:pt>
                      <c:pt idx="141">
                        <c:v>7.5108754251468044</c:v>
                      </c:pt>
                      <c:pt idx="142">
                        <c:v>7.5295281037186692</c:v>
                      </c:pt>
                      <c:pt idx="143">
                        <c:v>7.548179796662204</c:v>
                      </c:pt>
                      <c:pt idx="144">
                        <c:v>7.5668305023870577</c:v>
                      </c:pt>
                      <c:pt idx="145">
                        <c:v>7.585480219483042</c:v>
                      </c:pt>
                      <c:pt idx="146">
                        <c:v>7.6041289467143578</c:v>
                      </c:pt>
                      <c:pt idx="147">
                        <c:v>7.6227766830140027</c:v>
                      </c:pt>
                      <c:pt idx="148">
                        <c:v>7.6414234274783448</c:v>
                      </c:pt>
                      <c:pt idx="149">
                        <c:v>7.6600691793618463</c:v>
                      </c:pt>
                      <c:pt idx="150">
                        <c:v>7.6787139380719642</c:v>
                      </c:pt>
                      <c:pt idx="151">
                        <c:v>7.6973577031641893</c:v>
                      </c:pt>
                      <c:pt idx="152">
                        <c:v>7.7160004743372408</c:v>
                      </c:pt>
                      <c:pt idx="153">
                        <c:v>7.734642251428399</c:v>
                      </c:pt>
                      <c:pt idx="154">
                        <c:v>7.7532830344089785</c:v>
                      </c:pt>
                      <c:pt idx="155">
                        <c:v>7.7719228233799429</c:v>
                      </c:pt>
                      <c:pt idx="156">
                        <c:v>7.7905616185676347</c:v>
                      </c:pt>
                      <c:pt idx="157">
                        <c:v>7.8091994203196418</c:v>
                      </c:pt>
                      <c:pt idx="158">
                        <c:v>7.827836229100793</c:v>
                      </c:pt>
                      <c:pt idx="159">
                        <c:v>7.8464720454892545</c:v>
                      </c:pt>
                      <c:pt idx="160">
                        <c:v>7.8651068701727569</c:v>
                      </c:pt>
                      <c:pt idx="161">
                        <c:v>7.8837407039449197</c:v>
                      </c:pt>
                      <c:pt idx="162">
                        <c:v>7.9023735477017043</c:v>
                      </c:pt>
                      <c:pt idx="163">
                        <c:v>7.9210054024379488</c:v>
                      </c:pt>
                      <c:pt idx="164">
                        <c:v>7.9396362692440228</c:v>
                      </c:pt>
                      <c:pt idx="165">
                        <c:v>7.9582661493025642</c:v>
                      </c:pt>
                      <c:pt idx="166">
                        <c:v>7.976895043885329</c:v>
                      </c:pt>
                      <c:pt idx="167">
                        <c:v>7.9955229543501263</c:v>
                      </c:pt>
                      <c:pt idx="168">
                        <c:v>8.0141498821378256</c:v>
                      </c:pt>
                      <c:pt idx="169">
                        <c:v>8.0327758287694895</c:v>
                      </c:pt>
                      <c:pt idx="170">
                        <c:v>8.0514007958435556</c:v>
                      </c:pt>
                      <c:pt idx="171">
                        <c:v>8.0700247850331266</c:v>
                      </c:pt>
                      <c:pt idx="172">
                        <c:v>8.0886477980833078</c:v>
                      </c:pt>
                      <c:pt idx="173">
                        <c:v>8.1072698368086602</c:v>
                      </c:pt>
                      <c:pt idx="174">
                        <c:v>8.1258909030907009</c:v>
                      </c:pt>
                      <c:pt idx="175">
                        <c:v>8.1445109988754911</c:v>
                      </c:pt>
                      <c:pt idx="176">
                        <c:v>8.1631301261712839</c:v>
                      </c:pt>
                      <c:pt idx="177">
                        <c:v>8.1817482870462399</c:v>
                      </c:pt>
                      <c:pt idx="178">
                        <c:v>8.2003654836262303</c:v>
                      </c:pt>
                      <c:pt idx="179">
                        <c:v>8.2189817180926816</c:v>
                      </c:pt>
                      <c:pt idx="180">
                        <c:v>8.2375969926804906</c:v>
                      </c:pt>
                      <c:pt idx="181">
                        <c:v>8.2562113096759866</c:v>
                      </c:pt>
                      <c:pt idx="182">
                        <c:v>8.2748246714149936</c:v>
                      </c:pt>
                      <c:pt idx="183">
                        <c:v>8.2934370802808992</c:v>
                      </c:pt>
                      <c:pt idx="184">
                        <c:v>8.3120485387028165</c:v>
                      </c:pt>
                      <c:pt idx="185">
                        <c:v>8.3306590491537662</c:v>
                      </c:pt>
                      <c:pt idx="186">
                        <c:v>8.349268614148956</c:v>
                      </c:pt>
                      <c:pt idx="187">
                        <c:v>8.3678772362440696</c:v>
                      </c:pt>
                      <c:pt idx="188">
                        <c:v>8.3864849180336218</c:v>
                      </c:pt>
                      <c:pt idx="189">
                        <c:v>8.4050916621493617</c:v>
                      </c:pt>
                      <c:pt idx="190">
                        <c:v>8.423697471258718</c:v>
                      </c:pt>
                      <c:pt idx="191">
                        <c:v>8.4423023480633113</c:v>
                      </c:pt>
                      <c:pt idx="192">
                        <c:v>8.4609062952974661</c:v>
                      </c:pt>
                      <c:pt idx="193">
                        <c:v>8.4795093157268031</c:v>
                      </c:pt>
                      <c:pt idx="194">
                        <c:v>8.4981114121468622</c:v>
                      </c:pt>
                      <c:pt idx="195">
                        <c:v>8.5167125873817682</c:v>
                      </c:pt>
                      <c:pt idx="196">
                        <c:v>8.5353128442829238</c:v>
                      </c:pt>
                      <c:pt idx="197">
                        <c:v>8.5539121857277518</c:v>
                      </c:pt>
                      <c:pt idx="198">
                        <c:v>8.5725106146184729</c:v>
                      </c:pt>
                      <c:pt idx="199">
                        <c:v>8.591108133880919</c:v>
                      </c:pt>
                      <c:pt idx="200">
                        <c:v>8.6097047464633754</c:v>
                      </c:pt>
                    </c:numCache>
                  </c:numRef>
                </c:val>
                <c:smooth val="0"/>
                <c:extLst xmlns:c15="http://schemas.microsoft.com/office/drawing/2012/chart">
                  <c:ext xmlns:c16="http://schemas.microsoft.com/office/drawing/2014/chart" uri="{C3380CC4-5D6E-409C-BE32-E72D297353CC}">
                    <c16:uniqueId val="{0000000C-D94A-4A6C-A3EF-19A07815FC45}"/>
                  </c:ext>
                </c:extLst>
              </c15:ser>
            </c15:filteredLineSeries>
            <c15:filteredLineSeries>
              <c15:ser>
                <c:idx val="1"/>
                <c:order val="13"/>
                <c:tx>
                  <c:v>Shunt Loss</c:v>
                </c:tx>
                <c:spPr>
                  <a:ln w="38100">
                    <a:solidFill>
                      <a:srgbClr val="002060"/>
                    </a:solidFill>
                    <a:prstDash val="sysDot"/>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Calculations'!$BV$9:$BV$209</c15:sqref>
                        </c15:formulaRef>
                      </c:ext>
                    </c:extLst>
                    <c:numCache>
                      <c:formatCode>0.000</c:formatCode>
                      <c:ptCount val="201"/>
                      <c:pt idx="0">
                        <c:v>9.5243761045760475E-2</c:v>
                      </c:pt>
                      <c:pt idx="1">
                        <c:v>9.7103942143320229E-2</c:v>
                      </c:pt>
                      <c:pt idx="2">
                        <c:v>9.8939226247063222E-2</c:v>
                      </c:pt>
                      <c:pt idx="3">
                        <c:v>0.10075012281131032</c:v>
                      </c:pt>
                      <c:pt idx="4">
                        <c:v>0.10253712712614538</c:v>
                      </c:pt>
                      <c:pt idx="5">
                        <c:v>0.10430072081800383</c:v>
                      </c:pt>
                      <c:pt idx="6">
                        <c:v>0.10604137232874646</c:v>
                      </c:pt>
                      <c:pt idx="7">
                        <c:v>0.10775953737430781</c:v>
                      </c:pt>
                      <c:pt idx="8">
                        <c:v>0.10945565938394397</c:v>
                      </c:pt>
                      <c:pt idx="9">
                        <c:v>0.11113016992104552</c:v>
                      </c:pt>
                      <c:pt idx="10">
                        <c:v>0.11278348908642792</c:v>
                      </c:pt>
                      <c:pt idx="11">
                        <c:v>0.11441602590495836</c:v>
                      </c:pt>
                      <c:pt idx="12">
                        <c:v>0.11602817869632817</c:v>
                      </c:pt>
                      <c:pt idx="13">
                        <c:v>0.11762033543073909</c:v>
                      </c:pt>
                      <c:pt idx="14">
                        <c:v>0.11919287407022439</c:v>
                      </c:pt>
                      <c:pt idx="15">
                        <c:v>0.1207461628962888</c:v>
                      </c:pt>
                      <c:pt idx="16">
                        <c:v>0.12228056082451272</c:v>
                      </c:pt>
                      <c:pt idx="17">
                        <c:v>0.12379641770673275</c:v>
                      </c:pt>
                      <c:pt idx="18">
                        <c:v>0.12529407462137399</c:v>
                      </c:pt>
                      <c:pt idx="19">
                        <c:v>0.12677386415248401</c:v>
                      </c:pt>
                      <c:pt idx="20">
                        <c:v>0.12823611065798432</c:v>
                      </c:pt>
                      <c:pt idx="21">
                        <c:v>0.12968113052763078</c:v>
                      </c:pt>
                      <c:pt idx="22">
                        <c:v>0.13110923243114761</c:v>
                      </c:pt>
                      <c:pt idx="23">
                        <c:v>0.13252071755697739</c:v>
                      </c:pt>
                      <c:pt idx="24">
                        <c:v>0.13391587984206133</c:v>
                      </c:pt>
                      <c:pt idx="25">
                        <c:v>0.13529500619305165</c:v>
                      </c:pt>
                      <c:pt idx="26">
                        <c:v>0.13665837669932793</c:v>
                      </c:pt>
                      <c:pt idx="27">
                        <c:v>0.13800626483817699</c:v>
                      </c:pt>
                      <c:pt idx="28">
                        <c:v>0.1393389376724771</c:v>
                      </c:pt>
                      <c:pt idx="29">
                        <c:v>0.1406566560412052</c:v>
                      </c:pt>
                      <c:pt idx="30">
                        <c:v>0.14195967474307819</c:v>
                      </c:pt>
                      <c:pt idx="31">
                        <c:v>0.14324824271361644</c:v>
                      </c:pt>
                      <c:pt idx="32">
                        <c:v>0.14452260319590926</c:v>
                      </c:pt>
                      <c:pt idx="33">
                        <c:v>0.14578299390534422</c:v>
                      </c:pt>
                      <c:pt idx="34">
                        <c:v>0.14702964718855258</c:v>
                      </c:pt>
                      <c:pt idx="35">
                        <c:v>0.14826279017681024</c:v>
                      </c:pt>
                      <c:pt idx="36">
                        <c:v>0.1494826449341207</c:v>
                      </c:pt>
                      <c:pt idx="37">
                        <c:v>0.15068942860019804</c:v>
                      </c:pt>
                      <c:pt idx="38">
                        <c:v>0.1518833535285565</c:v>
                      </c:pt>
                      <c:pt idx="39">
                        <c:v>0.15306462741990351</c:v>
                      </c:pt>
                      <c:pt idx="40">
                        <c:v>0.15423345345102449</c:v>
                      </c:pt>
                      <c:pt idx="41">
                        <c:v>0.15539003039933866</c:v>
                      </c:pt>
                      <c:pt idx="42">
                        <c:v>0.15653455276329697</c:v>
                      </c:pt>
                      <c:pt idx="43">
                        <c:v>0.15766721087878552</c:v>
                      </c:pt>
                      <c:pt idx="44">
                        <c:v>0.15878819103169034</c:v>
                      </c:pt>
                      <c:pt idx="45">
                        <c:v>0.15989767556677256</c:v>
                      </c:pt>
                      <c:pt idx="46">
                        <c:v>0.16099584299299696</c:v>
                      </c:pt>
                      <c:pt idx="47">
                        <c:v>0.16208286808544808</c:v>
                      </c:pt>
                      <c:pt idx="48">
                        <c:v>0.163158921983966</c:v>
                      </c:pt>
                      <c:pt idx="49">
                        <c:v>0.16422417228862493</c:v>
                      </c:pt>
                      <c:pt idx="50">
                        <c:v>0.1652787831521734</c:v>
                      </c:pt>
                      <c:pt idx="51">
                        <c:v>0.1663229153695501</c:v>
                      </c:pt>
                      <c:pt idx="52">
                        <c:v>0.16735672646458483</c:v>
                      </c:pt>
                      <c:pt idx="53">
                        <c:v>0.16838037077398726</c:v>
                      </c:pt>
                      <c:pt idx="54">
                        <c:v>0.16939399952872411</c:v>
                      </c:pt>
                      <c:pt idx="55">
                        <c:v>0.17039776093288103</c:v>
                      </c:pt>
                      <c:pt idx="56">
                        <c:v>0.17139180024009879</c:v>
                      </c:pt>
                      <c:pt idx="57">
                        <c:v>0.17237625982767349</c:v>
                      </c:pt>
                      <c:pt idx="58">
                        <c:v>0.17335127926840257</c:v>
                      </c:pt>
                      <c:pt idx="59">
                        <c:v>0.17431699540026038</c:v>
                      </c:pt>
                      <c:pt idx="60">
                        <c:v>0.17527354239397575</c:v>
                      </c:pt>
                      <c:pt idx="61">
                        <c:v>0.17622105181859207</c:v>
                      </c:pt>
                      <c:pt idx="62">
                        <c:v>0.17715965270507372</c:v>
                      </c:pt>
                      <c:pt idx="63">
                        <c:v>0.17808947160803332</c:v>
                      </c:pt>
                      <c:pt idx="64">
                        <c:v>0.17901063266564149</c:v>
                      </c:pt>
                      <c:pt idx="65">
                        <c:v>0.17992325765778311</c:v>
                      </c:pt>
                      <c:pt idx="66">
                        <c:v>0.18082746606252023</c:v>
                      </c:pt>
                      <c:pt idx="67">
                        <c:v>0.18172337511092054</c:v>
                      </c:pt>
                      <c:pt idx="68">
                        <c:v>0.18261109984030491</c:v>
                      </c:pt>
                      <c:pt idx="69">
                        <c:v>0.18349075314596974</c:v>
                      </c:pt>
                      <c:pt idx="70">
                        <c:v>0.18436244583143466</c:v>
                      </c:pt>
                      <c:pt idx="71">
                        <c:v>0.18522628665726396</c:v>
                      </c:pt>
                      <c:pt idx="72">
                        <c:v>0.18608238238851102</c:v>
                      </c:pt>
                      <c:pt idx="73">
                        <c:v>0.18693083784083039</c:v>
                      </c:pt>
                      <c:pt idx="74">
                        <c:v>0.18777175592530185</c:v>
                      </c:pt>
                      <c:pt idx="75">
                        <c:v>0.18860523769200777</c:v>
                      </c:pt>
                      <c:pt idx="76">
                        <c:v>0.18943138237240628</c:v>
                      </c:pt>
                      <c:pt idx="77">
                        <c:v>0.19025028742053757</c:v>
                      </c:pt>
                      <c:pt idx="78">
                        <c:v>0.19106204855310263</c:v>
                      </c:pt>
                      <c:pt idx="79">
                        <c:v>0.19186675978844844</c:v>
                      </c:pt>
                      <c:pt idx="80">
                        <c:v>0.19266451348449792</c:v>
                      </c:pt>
                      <c:pt idx="81">
                        <c:v>0.19345540037565465</c:v>
                      </c:pt>
                      <c:pt idx="82">
                        <c:v>0.19423950960871764</c:v>
                      </c:pt>
                      <c:pt idx="83">
                        <c:v>0.19501692877783569</c:v>
                      </c:pt>
                      <c:pt idx="84">
                        <c:v>0.19578774395853263</c:v>
                      </c:pt>
                      <c:pt idx="85">
                        <c:v>0.1965520397408313</c:v>
                      </c:pt>
                      <c:pt idx="86">
                        <c:v>0.197309899261505</c:v>
                      </c:pt>
                      <c:pt idx="87">
                        <c:v>0.19806140423548393</c:v>
                      </c:pt>
                      <c:pt idx="88">
                        <c:v>0.19880663498644066</c:v>
                      </c:pt>
                      <c:pt idx="89">
                        <c:v>0.19954567047658259</c:v>
                      </c:pt>
                      <c:pt idx="90">
                        <c:v>0.20027858833567269</c:v>
                      </c:pt>
                      <c:pt idx="91">
                        <c:v>0.20100546488930435</c:v>
                      </c:pt>
                      <c:pt idx="92">
                        <c:v>0.20172637518645123</c:v>
                      </c:pt>
                      <c:pt idx="93">
                        <c:v>0.202441393026315</c:v>
                      </c:pt>
                      <c:pt idx="94">
                        <c:v>0.20315059098449087</c:v>
                      </c:pt>
                      <c:pt idx="95">
                        <c:v>0.20385404043847249</c:v>
                      </c:pt>
                      <c:pt idx="96">
                        <c:v>0.2045518115925147</c:v>
                      </c:pt>
                      <c:pt idx="97">
                        <c:v>0.20524397350187404</c:v>
                      </c:pt>
                      <c:pt idx="98">
                        <c:v>0.20593059409644426</c:v>
                      </c:pt>
                      <c:pt idx="99">
                        <c:v>0.20661174020380574</c:v>
                      </c:pt>
                      <c:pt idx="100">
                        <c:v>0.20728747757170468</c:v>
                      </c:pt>
                      <c:pt idx="101">
                        <c:v>0.20795787088997914</c:v>
                      </c:pt>
                      <c:pt idx="102">
                        <c:v>0.20862298381194871</c:v>
                      </c:pt>
                      <c:pt idx="103">
                        <c:v>0.20928287897528172</c:v>
                      </c:pt>
                      <c:pt idx="104">
                        <c:v>0.20993761802235544</c:v>
                      </c:pt>
                      <c:pt idx="105">
                        <c:v>0.21058726162012459</c:v>
                      </c:pt>
                      <c:pt idx="106">
                        <c:v>0.21123186947951084</c:v>
                      </c:pt>
                      <c:pt idx="107">
                        <c:v>0.21187150037432789</c:v>
                      </c:pt>
                      <c:pt idx="108">
                        <c:v>0.21250621215975474</c:v>
                      </c:pt>
                      <c:pt idx="109">
                        <c:v>0.21313606179036876</c:v>
                      </c:pt>
                      <c:pt idx="110">
                        <c:v>0.21376110533775314</c:v>
                      </c:pt>
                      <c:pt idx="111">
                        <c:v>0.21438139800768866</c:v>
                      </c:pt>
                      <c:pt idx="112">
                        <c:v>0.21499699415694171</c:v>
                      </c:pt>
                      <c:pt idx="113">
                        <c:v>0.21560794730966026</c:v>
                      </c:pt>
                      <c:pt idx="114">
                        <c:v>0.2162143101733871</c:v>
                      </c:pt>
                      <c:pt idx="115">
                        <c:v>0.21681613465470315</c:v>
                      </c:pt>
                      <c:pt idx="116">
                        <c:v>0.21741347187450827</c:v>
                      </c:pt>
                      <c:pt idx="117">
                        <c:v>0.21800637218295166</c:v>
                      </c:pt>
                      <c:pt idx="118">
                        <c:v>0.21859488517401926</c:v>
                      </c:pt>
                      <c:pt idx="119">
                        <c:v>0.21917905969978904</c:v>
                      </c:pt>
                      <c:pt idx="120">
                        <c:v>0.21975894388436168</c:v>
                      </c:pt>
                      <c:pt idx="121">
                        <c:v>0.22033458513747775</c:v>
                      </c:pt>
                      <c:pt idx="122">
                        <c:v>0.22090603016782495</c:v>
                      </c:pt>
                      <c:pt idx="123">
                        <c:v>0.2214733249960496</c:v>
                      </c:pt>
                      <c:pt idx="124">
                        <c:v>0.22203651496747479</c:v>
                      </c:pt>
                      <c:pt idx="125">
                        <c:v>0.22259564476453733</c:v>
                      </c:pt>
                      <c:pt idx="126">
                        <c:v>0.22315075841894647</c:v>
                      </c:pt>
                      <c:pt idx="127">
                        <c:v>0.22370189932357584</c:v>
                      </c:pt>
                      <c:pt idx="128">
                        <c:v>0.22424911024409255</c:v>
                      </c:pt>
                      <c:pt idx="129">
                        <c:v>0.22479243333033139</c:v>
                      </c:pt>
                      <c:pt idx="130">
                        <c:v>0.22533191012742079</c:v>
                      </c:pt>
                      <c:pt idx="131">
                        <c:v>0.22586758158666595</c:v>
                      </c:pt>
                      <c:pt idx="132">
                        <c:v>0.22639948807619728</c:v>
                      </c:pt>
                      <c:pt idx="133">
                        <c:v>0.22692766939138773</c:v>
                      </c:pt>
                      <c:pt idx="134">
                        <c:v>0.22745216476504573</c:v>
                      </c:pt>
                      <c:pt idx="135">
                        <c:v>0.22797301287739116</c:v>
                      </c:pt>
                      <c:pt idx="136">
                        <c:v>0.22849025186581715</c:v>
                      </c:pt>
                      <c:pt idx="137">
                        <c:v>0.22900391933444325</c:v>
                      </c:pt>
                      <c:pt idx="138">
                        <c:v>0.22951405236346914</c:v>
                      </c:pt>
                      <c:pt idx="139">
                        <c:v>0.23002068751832727</c:v>
                      </c:pt>
                      <c:pt idx="140">
                        <c:v>0.23052386085864507</c:v>
                      </c:pt>
                      <c:pt idx="141">
                        <c:v>0.23102360794701915</c:v>
                      </c:pt>
                      <c:pt idx="142">
                        <c:v>0.23151996385760495</c:v>
                      </c:pt>
                      <c:pt idx="143">
                        <c:v>0.23201296318452952</c:v>
                      </c:pt>
                      <c:pt idx="144">
                        <c:v>0.23250264005012811</c:v>
                      </c:pt>
                      <c:pt idx="145">
                        <c:v>0.23298902811301139</c:v>
                      </c:pt>
                      <c:pt idx="146">
                        <c:v>0.23347216057596715</c:v>
                      </c:pt>
                      <c:pt idx="147">
                        <c:v>0.23395207019369849</c:v>
                      </c:pt>
                      <c:pt idx="148">
                        <c:v>0.23442878928040528</c:v>
                      </c:pt>
                      <c:pt idx="149">
                        <c:v>0.23490234971721058</c:v>
                      </c:pt>
                      <c:pt idx="150">
                        <c:v>0.23537278295943564</c:v>
                      </c:pt>
                      <c:pt idx="151">
                        <c:v>0.23584012004372967</c:v>
                      </c:pt>
                      <c:pt idx="152">
                        <c:v>0.23630439159505356</c:v>
                      </c:pt>
                      <c:pt idx="153">
                        <c:v>0.23676562783352612</c:v>
                      </c:pt>
                      <c:pt idx="154">
                        <c:v>0.23722385858113001</c:v>
                      </c:pt>
                      <c:pt idx="155">
                        <c:v>0.23767911326828725</c:v>
                      </c:pt>
                      <c:pt idx="156">
                        <c:v>0.2381314209403014</c:v>
                      </c:pt>
                      <c:pt idx="157">
                        <c:v>0.23858081026367448</c:v>
                      </c:pt>
                      <c:pt idx="158">
                        <c:v>0.23902730953229676</c:v>
                      </c:pt>
                      <c:pt idx="159">
                        <c:v>0.23947094667351709</c:v>
                      </c:pt>
                      <c:pt idx="160">
                        <c:v>0.23991174925409328</c:v>
                      </c:pt>
                      <c:pt idx="161">
                        <c:v>0.24034974448602492</c:v>
                      </c:pt>
                      <c:pt idx="162">
                        <c:v>0.24078495923227614</c:v>
                      </c:pt>
                      <c:pt idx="163">
                        <c:v>0.24121742001238292</c:v>
                      </c:pt>
                      <c:pt idx="164">
                        <c:v>0.24164715300795586</c:v>
                      </c:pt>
                      <c:pt idx="165">
                        <c:v>0.24207418406807468</c:v>
                      </c:pt>
                      <c:pt idx="166">
                        <c:v>0.24249853871457924</c:v>
                      </c:pt>
                      <c:pt idx="167">
                        <c:v>0.24292024214726035</c:v>
                      </c:pt>
                      <c:pt idx="168">
                        <c:v>0.2433393192489508</c:v>
                      </c:pt>
                      <c:pt idx="169">
                        <c:v>0.24375579459051933</c:v>
                      </c:pt>
                      <c:pt idx="170">
                        <c:v>0.24416969243577061</c:v>
                      </c:pt>
                      <c:pt idx="171">
                        <c:v>0.24458103674625206</c:v>
                      </c:pt>
                      <c:pt idx="172">
                        <c:v>0.24498985118597091</c:v>
                      </c:pt>
                      <c:pt idx="173">
                        <c:v>0.24539615912602142</c:v>
                      </c:pt>
                      <c:pt idx="174">
                        <c:v>0.245799983649127</c:v>
                      </c:pt>
                      <c:pt idx="175">
                        <c:v>0.24620134755409687</c:v>
                      </c:pt>
                      <c:pt idx="176">
                        <c:v>0.24660027336019974</c:v>
                      </c:pt>
                      <c:pt idx="177">
                        <c:v>0.24699678331145661</c:v>
                      </c:pt>
                      <c:pt idx="178">
                        <c:v>0.2473908993808549</c:v>
                      </c:pt>
                      <c:pt idx="179">
                        <c:v>0.24778264327448393</c:v>
                      </c:pt>
                      <c:pt idx="180">
                        <c:v>0.2481720364355956</c:v>
                      </c:pt>
                      <c:pt idx="181">
                        <c:v>0.24855910004858903</c:v>
                      </c:pt>
                      <c:pt idx="182">
                        <c:v>0.24894385504292538</c:v>
                      </c:pt>
                      <c:pt idx="183">
                        <c:v>0.24932632209696848</c:v>
                      </c:pt>
                      <c:pt idx="184">
                        <c:v>0.24970652164175824</c:v>
                      </c:pt>
                      <c:pt idx="185">
                        <c:v>0.25008447386471383</c:v>
                      </c:pt>
                      <c:pt idx="186">
                        <c:v>0.2504601987132723</c:v>
                      </c:pt>
                      <c:pt idx="187">
                        <c:v>0.25083371589846032</c:v>
                      </c:pt>
                      <c:pt idx="188">
                        <c:v>0.25120504489840212</c:v>
                      </c:pt>
                      <c:pt idx="189">
                        <c:v>0.25157420496176591</c:v>
                      </c:pt>
                      <c:pt idx="190">
                        <c:v>0.25194121511114775</c:v>
                      </c:pt>
                      <c:pt idx="191">
                        <c:v>0.25230609414639615</c:v>
                      </c:pt>
                      <c:pt idx="192">
                        <c:v>0.25266886064787791</c:v>
                      </c:pt>
                      <c:pt idx="193">
                        <c:v>0.25302953297968561</c:v>
                      </c:pt>
                      <c:pt idx="194">
                        <c:v>0.25338812929278987</c:v>
                      </c:pt>
                      <c:pt idx="195">
                        <c:v>0.25374466752813574</c:v>
                      </c:pt>
                      <c:pt idx="196">
                        <c:v>0.25409916541968491</c:v>
                      </c:pt>
                      <c:pt idx="197">
                        <c:v>0.25445164049740482</c:v>
                      </c:pt>
                      <c:pt idx="198">
                        <c:v>0.25480211009020742</c:v>
                      </c:pt>
                      <c:pt idx="199">
                        <c:v>0.25515059132883422</c:v>
                      </c:pt>
                      <c:pt idx="200">
                        <c:v>0.25549710114869434</c:v>
                      </c:pt>
                    </c:numCache>
                  </c:numRef>
                </c:val>
                <c:smooth val="0"/>
                <c:extLst xmlns:c15="http://schemas.microsoft.com/office/drawing/2012/chart">
                  <c:ext xmlns:c16="http://schemas.microsoft.com/office/drawing/2014/chart" uri="{C3380CC4-5D6E-409C-BE32-E72D297353CC}">
                    <c16:uniqueId val="{0000000D-D94A-4A6C-A3EF-19A07815FC45}"/>
                  </c:ext>
                </c:extLst>
              </c15:ser>
            </c15:filteredLineSeries>
          </c:ext>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9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1"/>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49875781939918706"/>
          <c:y val="1.189262617588698E-2"/>
          <c:w val="0.3949506604757641"/>
          <c:h val="9.5302662028614274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I</a:t>
            </a:r>
            <a:r>
              <a:rPr lang="en-US" sz="1800" b="1" i="0" u="none" strike="noStrike" baseline="-25000"/>
              <a:t>OUT</a:t>
            </a:r>
            <a:r>
              <a:rPr lang="en-US" sz="1800" b="1" i="0" u="none" strike="noStrike" baseline="0"/>
              <a:t> = I</a:t>
            </a:r>
            <a:r>
              <a:rPr lang="en-US" sz="1800" b="1" i="0" u="none" strike="noStrike" baseline="-25000"/>
              <a:t>OUT(max)</a:t>
            </a:r>
            <a:endParaRPr lang="en-US" sz="1800">
              <a:latin typeface="Arial" pitchFamily="34" charset="0"/>
              <a:cs typeface="Arial" pitchFamily="34" charset="0"/>
            </a:endParaRPr>
          </a:p>
        </c:rich>
      </c:tx>
      <c:layout>
        <c:manualLayout>
          <c:xMode val="edge"/>
          <c:yMode val="edge"/>
          <c:x val="8.6461554556559683E-2"/>
          <c:y val="5.1078541245190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417792"/>
        <c:axId val="196419968"/>
        <c:extLst>
          <c:ext xmlns:c15="http://schemas.microsoft.com/office/drawing/2012/chart" uri="{02D57815-91ED-43cb-92C2-25804820EDAC}">
            <c15:filteredLineSeries>
              <c15:ser>
                <c:idx val="0"/>
                <c:order val="0"/>
                <c:tx>
                  <c:v>Efficiency</c:v>
                </c:tx>
                <c:spPr>
                  <a:ln w="31750">
                    <a:solidFill>
                      <a:srgbClr val="FF0000"/>
                    </a:solidFill>
                    <a:prstDash val="solid"/>
                  </a:ln>
                </c:spPr>
                <c:marker>
                  <c:symbol val="none"/>
                </c:marker>
                <c:cat>
                  <c:numRef>
                    <c:extLst>
                      <c:ex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c:ext uri="{02D57815-91ED-43cb-92C2-25804820EDAC}">
                        <c15:formulaRef>
                          <c15:sqref>'Efficiency vs VIN Calculations'!$BO$9:$BO$209</c15:sqref>
                        </c15:formulaRef>
                      </c:ext>
                    </c:extLst>
                    <c:numCache>
                      <c:formatCode>0.00</c:formatCode>
                      <c:ptCount val="201"/>
                      <c:pt idx="0">
                        <c:v>95.549377136149715</c:v>
                      </c:pt>
                      <c:pt idx="1">
                        <c:v>95.532263889966728</c:v>
                      </c:pt>
                      <c:pt idx="2">
                        <c:v>95.515110946792703</c:v>
                      </c:pt>
                      <c:pt idx="3">
                        <c:v>95.497921563735773</c:v>
                      </c:pt>
                      <c:pt idx="4">
                        <c:v>95.480698874935015</c:v>
                      </c:pt>
                      <c:pt idx="5">
                        <c:v>95.46344589523342</c:v>
                      </c:pt>
                      <c:pt idx="6">
                        <c:v>95.446165523831439</c:v>
                      </c:pt>
                      <c:pt idx="7">
                        <c:v>95.428860547907206</c:v>
                      </c:pt>
                      <c:pt idx="8">
                        <c:v>95.411533646191657</c:v>
                      </c:pt>
                      <c:pt idx="9">
                        <c:v>95.394187392488902</c:v>
                      </c:pt>
                      <c:pt idx="10">
                        <c:v>95.37682425913394</c:v>
                      </c:pt>
                      <c:pt idx="11">
                        <c:v>95.359446620381874</c:v>
                      </c:pt>
                      <c:pt idx="12">
                        <c:v>95.342056755723192</c:v>
                      </c:pt>
                      <c:pt idx="13">
                        <c:v>95.324656853121752</c:v>
                      </c:pt>
                      <c:pt idx="14">
                        <c:v>95.307249012172193</c:v>
                      </c:pt>
                      <c:pt idx="15">
                        <c:v>95.289835247175219</c:v>
                      </c:pt>
                      <c:pt idx="16">
                        <c:v>95.272417490129016</c:v>
                      </c:pt>
                      <c:pt idx="17">
                        <c:v>95.254997593636375</c:v>
                      </c:pt>
                      <c:pt idx="18">
                        <c:v>95.237577333727103</c:v>
                      </c:pt>
                      <c:pt idx="19">
                        <c:v>95.220158412596007</c:v>
                      </c:pt>
                      <c:pt idx="20">
                        <c:v>95.202742461257046</c:v>
                      </c:pt>
                      <c:pt idx="21">
                        <c:v>95.185331042114257</c:v>
                      </c:pt>
                      <c:pt idx="22">
                        <c:v>95.167925651451057</c:v>
                      </c:pt>
                      <c:pt idx="23">
                        <c:v>95.150527721838614</c:v>
                      </c:pt>
                      <c:pt idx="24">
                        <c:v>95.133138624465204</c:v>
                      </c:pt>
                      <c:pt idx="25">
                        <c:v>95.11575967138802</c:v>
                      </c:pt>
                      <c:pt idx="26">
                        <c:v>95.09839211770911</c:v>
                      </c:pt>
                      <c:pt idx="27">
                        <c:v>95.081037163677209</c:v>
                      </c:pt>
                      <c:pt idx="28">
                        <c:v>95.063695956717481</c:v>
                      </c:pt>
                      <c:pt idx="29">
                        <c:v>95.046369593390949</c:v>
                      </c:pt>
                      <c:pt idx="30">
                        <c:v>95.029059121285471</c:v>
                      </c:pt>
                      <c:pt idx="31">
                        <c:v>95.011765540840386</c:v>
                      </c:pt>
                      <c:pt idx="32">
                        <c:v>94.99448980710666</c:v>
                      </c:pt>
                      <c:pt idx="33">
                        <c:v>94.977232831444454</c:v>
                      </c:pt>
                      <c:pt idx="34">
                        <c:v>94.959995483160171</c:v>
                      </c:pt>
                      <c:pt idx="35">
                        <c:v>94.942778591084732</c:v>
                      </c:pt>
                      <c:pt idx="36">
                        <c:v>94.925582945095016</c:v>
                      </c:pt>
                      <c:pt idx="37">
                        <c:v>94.908409297580505</c:v>
                      </c:pt>
                      <c:pt idx="38">
                        <c:v>94.89125836485654</c:v>
                      </c:pt>
                      <c:pt idx="39">
                        <c:v>94.874130828526404</c:v>
                      </c:pt>
                      <c:pt idx="40">
                        <c:v>94.85702733679372</c:v>
                      </c:pt>
                      <c:pt idx="41">
                        <c:v>94.839948505726966</c:v>
                      </c:pt>
                      <c:pt idx="42">
                        <c:v>94.822894920477651</c:v>
                      </c:pt>
                      <c:pt idx="43">
                        <c:v>94.805867136453983</c:v>
                      </c:pt>
                      <c:pt idx="44">
                        <c:v>94.788865680451295</c:v>
                      </c:pt>
                      <c:pt idx="45">
                        <c:v>94.771891051741136</c:v>
                      </c:pt>
                      <c:pt idx="46">
                        <c:v>94.754943723120022</c:v>
                      </c:pt>
                      <c:pt idx="47">
                        <c:v>94.738024141919936</c:v>
                      </c:pt>
                      <c:pt idx="48">
                        <c:v>94.721132730981111</c:v>
                      </c:pt>
                      <c:pt idx="49">
                        <c:v>94.704269889589369</c:v>
                      </c:pt>
                      <c:pt idx="50">
                        <c:v>94.687435994378674</c:v>
                      </c:pt>
                      <c:pt idx="51">
                        <c:v>94.670631400200222</c:v>
                      </c:pt>
                      <c:pt idx="52">
                        <c:v>94.653856440959743</c:v>
                      </c:pt>
                      <c:pt idx="53">
                        <c:v>94.637111430423587</c:v>
                      </c:pt>
                      <c:pt idx="54">
                        <c:v>94.620396662995148</c:v>
                      </c:pt>
                      <c:pt idx="55">
                        <c:v>94.603712414462677</c:v>
                      </c:pt>
                      <c:pt idx="56">
                        <c:v>94.587058942719167</c:v>
                      </c:pt>
                      <c:pt idx="57">
                        <c:v>94.570436488455982</c:v>
                      </c:pt>
                      <c:pt idx="58">
                        <c:v>94.553845275830568</c:v>
                      </c:pt>
                      <c:pt idx="59">
                        <c:v>94.537285513109723</c:v>
                      </c:pt>
                      <c:pt idx="60">
                        <c:v>94.520757393288861</c:v>
                      </c:pt>
                      <c:pt idx="61">
                        <c:v>94.504261094688616</c:v>
                      </c:pt>
                      <c:pt idx="62">
                        <c:v>94.487796781529269</c:v>
                      </c:pt>
                      <c:pt idx="63">
                        <c:v>94.471364604484052</c:v>
                      </c:pt>
                      <c:pt idx="64">
                        <c:v>94.454964701211992</c:v>
                      </c:pt>
                      <c:pt idx="65">
                        <c:v>94.438597196871086</c:v>
                      </c:pt>
                      <c:pt idx="66">
                        <c:v>94.422262204612551</c:v>
                      </c:pt>
                      <c:pt idx="67">
                        <c:v>94.405959826056929</c:v>
                      </c:pt>
                      <c:pt idx="68">
                        <c:v>94.38969015175249</c:v>
                      </c:pt>
                      <c:pt idx="69">
                        <c:v>94.373453261616874</c:v>
                      </c:pt>
                      <c:pt idx="70">
                        <c:v>94.357249225362452</c:v>
                      </c:pt>
                      <c:pt idx="71">
                        <c:v>94.341078102905968</c:v>
                      </c:pt>
                      <c:pt idx="72">
                        <c:v>94.324939944763088</c:v>
                      </c:pt>
                      <c:pt idx="73">
                        <c:v>94.308834792428613</c:v>
                      </c:pt>
                      <c:pt idx="74">
                        <c:v>94.292762678742449</c:v>
                      </c:pt>
                      <c:pt idx="75">
                        <c:v>94.276723628242337</c:v>
                      </c:pt>
                      <c:pt idx="76">
                        <c:v>94.260717657503506</c:v>
                      </c:pt>
                      <c:pt idx="77">
                        <c:v>94.244744775465847</c:v>
                      </c:pt>
                      <c:pt idx="78">
                        <c:v>94.228804983749185</c:v>
                      </c:pt>
                      <c:pt idx="79">
                        <c:v>94.212898276956778</c:v>
                      </c:pt>
                      <c:pt idx="80">
                        <c:v>94.197024642967918</c:v>
                      </c:pt>
                      <c:pt idx="81">
                        <c:v>94.181184063219547</c:v>
                      </c:pt>
                      <c:pt idx="82">
                        <c:v>94.165376512977744</c:v>
                      </c:pt>
                      <c:pt idx="83">
                        <c:v>94.149601961599117</c:v>
                      </c:pt>
                      <c:pt idx="84">
                        <c:v>94.133860372782678</c:v>
                      </c:pt>
                      <c:pt idx="85">
                        <c:v>94.118151704812476</c:v>
                      </c:pt>
                      <c:pt idx="86">
                        <c:v>94.102475910791313</c:v>
                      </c:pt>
                      <c:pt idx="87">
                        <c:v>94.086832938865825</c:v>
                      </c:pt>
                      <c:pt idx="88">
                        <c:v>94.071222732443502</c:v>
                      </c:pt>
                      <c:pt idx="89">
                        <c:v>94.055645230401524</c:v>
                      </c:pt>
                      <c:pt idx="90">
                        <c:v>94.040100367288105</c:v>
                      </c:pt>
                      <c:pt idx="91">
                        <c:v>94.024588073516355</c:v>
                      </c:pt>
                      <c:pt idx="92">
                        <c:v>94.009108275551071</c:v>
                      </c:pt>
                      <c:pt idx="93">
                        <c:v>93.993660896088684</c:v>
                      </c:pt>
                      <c:pt idx="94">
                        <c:v>93.978245854230579</c:v>
                      </c:pt>
                      <c:pt idx="95">
                        <c:v>93.962863065650055</c:v>
                      </c:pt>
                      <c:pt idx="96">
                        <c:v>93.947512442753165</c:v>
                      </c:pt>
                      <c:pt idx="97">
                        <c:v>93.932193894833617</c:v>
                      </c:pt>
                      <c:pt idx="98">
                        <c:v>93.916907328222067</c:v>
                      </c:pt>
                      <c:pt idx="99">
                        <c:v>93.901652646429781</c:v>
                      </c:pt>
                      <c:pt idx="100">
                        <c:v>93.886429750287149</c:v>
                      </c:pt>
                      <c:pt idx="101">
                        <c:v>93.871238538076966</c:v>
                      </c:pt>
                      <c:pt idx="102">
                        <c:v>93.856078905662983</c:v>
                      </c:pt>
                      <c:pt idx="103">
                        <c:v>93.840950746613487</c:v>
                      </c:pt>
                      <c:pt idx="104">
                        <c:v>93.825853952320529</c:v>
                      </c:pt>
                      <c:pt idx="105">
                        <c:v>93.810788412114604</c:v>
                      </c:pt>
                      <c:pt idx="106">
                        <c:v>93.795754013375131</c:v>
                      </c:pt>
                      <c:pt idx="107">
                        <c:v>93.780750641636914</c:v>
                      </c:pt>
                      <c:pt idx="108">
                        <c:v>93.765778180692536</c:v>
                      </c:pt>
                      <c:pt idx="109">
                        <c:v>93.750836512691038</c:v>
                      </c:pt>
                      <c:pt idx="110">
                        <c:v>93.735925518232875</c:v>
                      </c:pt>
                      <c:pt idx="111">
                        <c:v>93.721045076461408</c:v>
                      </c:pt>
                      <c:pt idx="112">
                        <c:v>93.706195065150894</c:v>
                      </c:pt>
                      <c:pt idx="113">
                        <c:v>93.691375360791255</c:v>
                      </c:pt>
                      <c:pt idx="114">
                        <c:v>93.676585838669695</c:v>
                      </c:pt>
                      <c:pt idx="115">
                        <c:v>93.661826372949122</c:v>
                      </c:pt>
                      <c:pt idx="116">
                        <c:v>93.647096836743856</c:v>
                      </c:pt>
                      <c:pt idx="117">
                        <c:v>93.632397102192272</c:v>
                      </c:pt>
                      <c:pt idx="118">
                        <c:v>93.617727040526759</c:v>
                      </c:pt>
                      <c:pt idx="119">
                        <c:v>93.60308652214114</c:v>
                      </c:pt>
                      <c:pt idx="120">
                        <c:v>93.588475416655456</c:v>
                      </c:pt>
                      <c:pt idx="121">
                        <c:v>93.573893592978251</c:v>
                      </c:pt>
                      <c:pt idx="122">
                        <c:v>93.559340919366534</c:v>
                      </c:pt>
                      <c:pt idx="123">
                        <c:v>93.54481726348348</c:v>
                      </c:pt>
                      <c:pt idx="124">
                        <c:v>93.530322492453863</c:v>
                      </c:pt>
                      <c:pt idx="125">
                        <c:v>93.515856472917392</c:v>
                      </c:pt>
                      <c:pt idx="126">
                        <c:v>93.501419071079965</c:v>
                      </c:pt>
                      <c:pt idx="127">
                        <c:v>93.48701015276302</c:v>
                      </c:pt>
                      <c:pt idx="128">
                        <c:v>93.472629583450811</c:v>
                      </c:pt>
                      <c:pt idx="129">
                        <c:v>93.458277228336087</c:v>
                      </c:pt>
                      <c:pt idx="130">
                        <c:v>93.443952952363645</c:v>
                      </c:pt>
                      <c:pt idx="131">
                        <c:v>93.429656620272553</c:v>
                      </c:pt>
                      <c:pt idx="132">
                        <c:v>93.415388096636448</c:v>
                      </c:pt>
                      <c:pt idx="133">
                        <c:v>93.401147245902294</c:v>
                      </c:pt>
                      <c:pt idx="134">
                        <c:v>93.386933932427667</c:v>
                      </c:pt>
                      <c:pt idx="135">
                        <c:v>93.372748020516511</c:v>
                      </c:pt>
                      <c:pt idx="136">
                        <c:v>93.358589374453373</c:v>
                      </c:pt>
                      <c:pt idx="137">
                        <c:v>93.34445785853643</c:v>
                      </c:pt>
                      <c:pt idx="138">
                        <c:v>93.330353337109045</c:v>
                      </c:pt>
                      <c:pt idx="139">
                        <c:v>93.316275674590059</c:v>
                      </c:pt>
                      <c:pt idx="140">
                        <c:v>93.302224735502875</c:v>
                      </c:pt>
                      <c:pt idx="141">
                        <c:v>93.288200384503256</c:v>
                      </c:pt>
                      <c:pt idx="142">
                        <c:v>93.274202486406182</c:v>
                      </c:pt>
                      <c:pt idx="143">
                        <c:v>93.260230906211234</c:v>
                      </c:pt>
                      <c:pt idx="144">
                        <c:v>93.246285509127276</c:v>
                      </c:pt>
                      <c:pt idx="145">
                        <c:v>93.23236616059576</c:v>
                      </c:pt>
                      <c:pt idx="146">
                        <c:v>93.218472726313394</c:v>
                      </c:pt>
                      <c:pt idx="147">
                        <c:v>93.204605072253472</c:v>
                      </c:pt>
                      <c:pt idx="148">
                        <c:v>93.190763064686479</c:v>
                      </c:pt>
                      <c:pt idx="149">
                        <c:v>93.176946570199775</c:v>
                      </c:pt>
                      <c:pt idx="150">
                        <c:v>93.163155455716378</c:v>
                      </c:pt>
                      <c:pt idx="151">
                        <c:v>93.14938958851296</c:v>
                      </c:pt>
                      <c:pt idx="152">
                        <c:v>93.135648836236882</c:v>
                      </c:pt>
                      <c:pt idx="153">
                        <c:v>93.121933066922693</c:v>
                      </c:pt>
                      <c:pt idx="154">
                        <c:v>93.108242149007651</c:v>
                      </c:pt>
                      <c:pt idx="155">
                        <c:v>93.094575951346641</c:v>
                      </c:pt>
                      <c:pt idx="156">
                        <c:v>93.080934343226374</c:v>
                      </c:pt>
                      <c:pt idx="157">
                        <c:v>93.06731719437883</c:v>
                      </c:pt>
                      <c:pt idx="158">
                        <c:v>93.053724374994232</c:v>
                      </c:pt>
                      <c:pt idx="159">
                        <c:v>93.040155755733153</c:v>
                      </c:pt>
                      <c:pt idx="160">
                        <c:v>93.026611207738256</c:v>
                      </c:pt>
                      <c:pt idx="161">
                        <c:v>93.013090602645221</c:v>
                      </c:pt>
                      <c:pt idx="162">
                        <c:v>92.999593812593289</c:v>
                      </c:pt>
                      <c:pt idx="163">
                        <c:v>92.986120710235198</c:v>
                      </c:pt>
                      <c:pt idx="164">
                        <c:v>92.97267116874653</c:v>
                      </c:pt>
                      <c:pt idx="165">
                        <c:v>92.959245061834693</c:v>
                      </c:pt>
                      <c:pt idx="166">
                        <c:v>92.945842263747238</c:v>
                      </c:pt>
                      <c:pt idx="167">
                        <c:v>92.932462649279884</c:v>
                      </c:pt>
                      <c:pt idx="168">
                        <c:v>92.919106093784023</c:v>
                      </c:pt>
                      <c:pt idx="169">
                        <c:v>92.905772473173627</c:v>
                      </c:pt>
                      <c:pt idx="170">
                        <c:v>92.892461663932096</c:v>
                      </c:pt>
                      <c:pt idx="171">
                        <c:v>92.879173543118284</c:v>
                      </c:pt>
                      <c:pt idx="172">
                        <c:v>92.86590798837247</c:v>
                      </c:pt>
                      <c:pt idx="173">
                        <c:v>92.852664877921754</c:v>
                      </c:pt>
                      <c:pt idx="174">
                        <c:v>92.839444090585204</c:v>
                      </c:pt>
                      <c:pt idx="175">
                        <c:v>92.826245505778488</c:v>
                      </c:pt>
                      <c:pt idx="176">
                        <c:v>92.813069003518436</c:v>
                      </c:pt>
                      <c:pt idx="177">
                        <c:v>92.799914464427019</c:v>
                      </c:pt>
                      <c:pt idx="178">
                        <c:v>92.786781769735157</c:v>
                      </c:pt>
                      <c:pt idx="179">
                        <c:v>92.773670801286173</c:v>
                      </c:pt>
                      <c:pt idx="180">
                        <c:v>92.76058144153896</c:v>
                      </c:pt>
                      <c:pt idx="181">
                        <c:v>92.747513573570956</c:v>
                      </c:pt>
                      <c:pt idx="182">
                        <c:v>92.73446708108068</c:v>
                      </c:pt>
                      <c:pt idx="183">
                        <c:v>92.721441848390143</c:v>
                      </c:pt>
                      <c:pt idx="184">
                        <c:v>92.708437760446998</c:v>
                      </c:pt>
                      <c:pt idx="185">
                        <c:v>92.695454702826368</c:v>
                      </c:pt>
                      <c:pt idx="186">
                        <c:v>92.682492561732573</c:v>
                      </c:pt>
                      <c:pt idx="187">
                        <c:v>92.669551224000486</c:v>
                      </c:pt>
                      <c:pt idx="188">
                        <c:v>92.656630577096749</c:v>
                      </c:pt>
                      <c:pt idx="189">
                        <c:v>92.6437305091209</c:v>
                      </c:pt>
                      <c:pt idx="190">
                        <c:v>92.630850908806082</c:v>
                      </c:pt>
                      <c:pt idx="191">
                        <c:v>92.617991665519611</c:v>
                      </c:pt>
                      <c:pt idx="192">
                        <c:v>92.605152669263575</c:v>
                      </c:pt>
                      <c:pt idx="193">
                        <c:v>92.592333810675029</c:v>
                      </c:pt>
                      <c:pt idx="194">
                        <c:v>92.579534981026043</c:v>
                      </c:pt>
                      <c:pt idx="195">
                        <c:v>92.56675607222374</c:v>
                      </c:pt>
                      <c:pt idx="196">
                        <c:v>92.553996976809941</c:v>
                      </c:pt>
                      <c:pt idx="197">
                        <c:v>92.541257587960942</c:v>
                      </c:pt>
                      <c:pt idx="198">
                        <c:v>92.528537799486955</c:v>
                      </c:pt>
                      <c:pt idx="199">
                        <c:v>92.515837505831371</c:v>
                      </c:pt>
                      <c:pt idx="200">
                        <c:v>92.503156602070149</c:v>
                      </c:pt>
                    </c:numCache>
                  </c:numRef>
                </c:val>
                <c:smooth val="0"/>
                <c:extLst>
                  <c:ext xmlns:c16="http://schemas.microsoft.com/office/drawing/2014/chart" uri="{C3380CC4-5D6E-409C-BE32-E72D297353CC}">
                    <c16:uniqueId val="{00000005-DAC0-423F-B197-448F000A954F}"/>
                  </c:ext>
                </c:extLst>
              </c15:ser>
            </c15:filteredLineSeries>
          </c:ext>
        </c:extLst>
      </c:lineChart>
      <c:lineChart>
        <c:grouping val="standard"/>
        <c:varyColors val="0"/>
        <c:ser>
          <c:idx val="12"/>
          <c:order val="2"/>
          <c:tx>
            <c:strRef>
              <c:f>'Efficiency vs VIN Calculations'!$BB$8</c:f>
              <c:strCache>
                <c:ptCount val="1"/>
                <c:pt idx="0">
                  <c:v>Reverse Recovery Loss MOSFET D BOOST</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Calculations'!$BB$9:$BB$209</c:f>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AC0-423F-B197-448F000A954F}"/>
            </c:ext>
          </c:extLst>
        </c:ser>
        <c:ser>
          <c:idx val="11"/>
          <c:order val="3"/>
          <c:tx>
            <c:strRef>
              <c:f>'Efficiency vs VIN Calculations'!$AU$7</c:f>
              <c:strCache>
                <c:ptCount val="1"/>
                <c:pt idx="0">
                  <c:v>High-side BOOST "Sync" MOSFET Losses </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Calculations'!$AX$9:$AX$209</c:f>
              <c:numCache>
                <c:formatCode>0.000</c:formatCode>
                <c:ptCount val="201"/>
                <c:pt idx="0">
                  <c:v>0.71051455693915033</c:v>
                </c:pt>
                <c:pt idx="1">
                  <c:v>0.71062929431359978</c:v>
                </c:pt>
                <c:pt idx="2">
                  <c:v>0.7107445488526366</c:v>
                </c:pt>
                <c:pt idx="3">
                  <c:v>0.71086026741060471</c:v>
                </c:pt>
                <c:pt idx="4">
                  <c:v>0.71097639943322877</c:v>
                </c:pt>
                <c:pt idx="5">
                  <c:v>0.71109289683160382</c:v>
                </c:pt>
                <c:pt idx="6">
                  <c:v>0.71120971386280474</c:v>
                </c:pt>
                <c:pt idx="7">
                  <c:v>0.71132680701673412</c:v>
                </c:pt>
                <c:pt idx="8">
                  <c:v>0.71144413490885572</c:v>
                </c:pt>
                <c:pt idx="9">
                  <c:v>0.71156165817847028</c:v>
                </c:pt>
                <c:pt idx="10">
                  <c:v>0.71167933939222783</c:v>
                </c:pt>
                <c:pt idx="11">
                  <c:v>0.71179714295257812</c:v>
                </c:pt>
                <c:pt idx="12">
                  <c:v>0.71191503501088294</c:v>
                </c:pt>
                <c:pt idx="13">
                  <c:v>0.71203298338493093</c:v>
                </c:pt>
                <c:pt idx="14">
                  <c:v>0.7121509574806143</c:v>
                </c:pt>
                <c:pt idx="15">
                  <c:v>0.71226892821753163</c:v>
                </c:pt>
                <c:pt idx="16">
                  <c:v>0.71238686795830952</c:v>
                </c:pt>
                <c:pt idx="17">
                  <c:v>0.71250475044143669</c:v>
                </c:pt>
                <c:pt idx="18">
                  <c:v>0.71262255071741665</c:v>
                </c:pt>
                <c:pt idx="19">
                  <c:v>0.71274024508807221</c:v>
                </c:pt>
                <c:pt idx="20">
                  <c:v>0.7128578110488154</c:v>
                </c:pt>
                <c:pt idx="21">
                  <c:v>0.71297522723374396</c:v>
                </c:pt>
                <c:pt idx="22">
                  <c:v>0.71309247336339565</c:v>
                </c:pt>
                <c:pt idx="23">
                  <c:v>0.71320953019503774</c:v>
                </c:pt>
                <c:pt idx="24">
                  <c:v>0.71332637947534305</c:v>
                </c:pt>
                <c:pt idx="25">
                  <c:v>0.71344300389534065</c:v>
                </c:pt>
                <c:pt idx="26">
                  <c:v>0.71355938704751409</c:v>
                </c:pt>
                <c:pt idx="27">
                  <c:v>0.71367551338493884</c:v>
                </c:pt>
                <c:pt idx="28">
                  <c:v>0.71379136818235966</c:v>
                </c:pt>
                <c:pt idx="29">
                  <c:v>0.71390693749909595</c:v>
                </c:pt>
                <c:pt idx="30">
                  <c:v>0.71402220814369499</c:v>
                </c:pt>
                <c:pt idx="31">
                  <c:v>0.71413716764023671</c:v>
                </c:pt>
                <c:pt idx="32">
                  <c:v>0.71425180419620959</c:v>
                </c:pt>
                <c:pt idx="33">
                  <c:v>0.71436610667187483</c:v>
                </c:pt>
                <c:pt idx="34">
                  <c:v>0.7144800645510524</c:v>
                </c:pt>
                <c:pt idx="35">
                  <c:v>0.71459366791324774</c:v>
                </c:pt>
                <c:pt idx="36">
                  <c:v>0.71470690740706289</c:v>
                </c:pt>
                <c:pt idx="37">
                  <c:v>0.71481977422481846</c:v>
                </c:pt>
                <c:pt idx="38">
                  <c:v>0.7149322600783371</c:v>
                </c:pt>
                <c:pt idx="39">
                  <c:v>0.71504435717582426</c:v>
                </c:pt>
                <c:pt idx="40">
                  <c:v>0.71515605819979522</c:v>
                </c:pt>
                <c:pt idx="41">
                  <c:v>0.71526735628599858</c:v>
                </c:pt>
                <c:pt idx="42">
                  <c:v>0.71537824500328751</c:v>
                </c:pt>
                <c:pt idx="43">
                  <c:v>0.71548871833439087</c:v>
                </c:pt>
                <c:pt idx="44">
                  <c:v>0.71559877065754696</c:v>
                </c:pt>
                <c:pt idx="45">
                  <c:v>0.7157083967289497</c:v>
                </c:pt>
                <c:pt idx="46">
                  <c:v>0.71581759166598036</c:v>
                </c:pt>
                <c:pt idx="47">
                  <c:v>0.71592635093117518</c:v>
                </c:pt>
                <c:pt idx="48">
                  <c:v>0.71603467031690382</c:v>
                </c:pt>
                <c:pt idx="49">
                  <c:v>0.71614254593072213</c:v>
                </c:pt>
                <c:pt idx="50">
                  <c:v>0.71624997418136394</c:v>
                </c:pt>
                <c:pt idx="51">
                  <c:v>0.71635695176534997</c:v>
                </c:pt>
                <c:pt idx="52">
                  <c:v>0.71646347565417712</c:v>
                </c:pt>
                <c:pt idx="53">
                  <c:v>0.71656954308206799</c:v>
                </c:pt>
                <c:pt idx="54">
                  <c:v>0.71667515153424932</c:v>
                </c:pt>
                <c:pt idx="55">
                  <c:v>0.71678029873573956</c:v>
                </c:pt>
                <c:pt idx="56">
                  <c:v>0.71688498264061973</c:v>
                </c:pt>
                <c:pt idx="57">
                  <c:v>0.71698920142176636</c:v>
                </c:pt>
                <c:pt idx="58">
                  <c:v>0.71709295346102542</c:v>
                </c:pt>
                <c:pt idx="59">
                  <c:v>0.71719623733980808</c:v>
                </c:pt>
                <c:pt idx="60">
                  <c:v>0.71729905183008602</c:v>
                </c:pt>
                <c:pt idx="61">
                  <c:v>0.71740139588577734</c:v>
                </c:pt>
                <c:pt idx="62">
                  <c:v>0.71750326863448888</c:v>
                </c:pt>
                <c:pt idx="63">
                  <c:v>0.71760466936962075</c:v>
                </c:pt>
                <c:pt idx="64">
                  <c:v>0.71770559754279717</c:v>
                </c:pt>
                <c:pt idx="65">
                  <c:v>0.71780605275662246</c:v>
                </c:pt>
                <c:pt idx="66">
                  <c:v>0.71790603475773995</c:v>
                </c:pt>
                <c:pt idx="67">
                  <c:v>0.71800554343018774</c:v>
                </c:pt>
                <c:pt idx="68">
                  <c:v>0.71810457878902823</c:v>
                </c:pt>
                <c:pt idx="69">
                  <c:v>0.7182031409742512</c:v>
                </c:pt>
                <c:pt idx="70">
                  <c:v>0.71830123024492853</c:v>
                </c:pt>
                <c:pt idx="71">
                  <c:v>0.71839884697361778</c:v>
                </c:pt>
                <c:pt idx="72">
                  <c:v>0.71849599164099476</c:v>
                </c:pt>
                <c:pt idx="73">
                  <c:v>0.71859266483071604</c:v>
                </c:pt>
                <c:pt idx="74">
                  <c:v>0.71868886722449099</c:v>
                </c:pt>
                <c:pt idx="75">
                  <c:v>0.71878459959736318</c:v>
                </c:pt>
                <c:pt idx="76">
                  <c:v>0.71887986281318372</c:v>
                </c:pt>
                <c:pt idx="77">
                  <c:v>0.71897465782027836</c:v>
                </c:pt>
                <c:pt idx="78">
                  <c:v>0.71906898564729005</c:v>
                </c:pt>
                <c:pt idx="79">
                  <c:v>0.719162847399196</c:v>
                </c:pt>
                <c:pt idx="80">
                  <c:v>0.71925624425349088</c:v>
                </c:pt>
                <c:pt idx="81">
                  <c:v>0.71934917745652505</c:v>
                </c:pt>
                <c:pt idx="82">
                  <c:v>0.71944164831999735</c:v>
                </c:pt>
                <c:pt idx="83">
                  <c:v>0.71953365821759319</c:v>
                </c:pt>
                <c:pt idx="84">
                  <c:v>0.7196252085817596</c:v>
                </c:pt>
                <c:pt idx="85">
                  <c:v>0.71971630090061556</c:v>
                </c:pt>
                <c:pt idx="86">
                  <c:v>0.71980693671498774</c:v>
                </c:pt>
                <c:pt idx="87">
                  <c:v>0.71989711761557373</c:v>
                </c:pt>
                <c:pt idx="88">
                  <c:v>0.71998684524021606</c:v>
                </c:pt>
                <c:pt idx="89">
                  <c:v>0.72007612127129417</c:v>
                </c:pt>
                <c:pt idx="90">
                  <c:v>0.72016494743322113</c:v>
                </c:pt>
                <c:pt idx="91">
                  <c:v>0.72025332549004506</c:v>
                </c:pt>
                <c:pt idx="92">
                  <c:v>0.72034125724315157</c:v>
                </c:pt>
                <c:pt idx="93">
                  <c:v>0.72042874452905614</c:v>
                </c:pt>
                <c:pt idx="94">
                  <c:v>0.72051578921729431</c:v>
                </c:pt>
                <c:pt idx="95">
                  <c:v>0.7206023932083947</c:v>
                </c:pt>
                <c:pt idx="96">
                  <c:v>0.72068855843193713</c:v>
                </c:pt>
                <c:pt idx="97">
                  <c:v>0.72077428684469491</c:v>
                </c:pt>
                <c:pt idx="98">
                  <c:v>0.72085958042884679</c:v>
                </c:pt>
                <c:pt idx="99">
                  <c:v>0.72094444119027157</c:v>
                </c:pt>
                <c:pt idx="100">
                  <c:v>0.7210288711569085</c:v>
                </c:pt>
                <c:pt idx="101">
                  <c:v>0.72111287237718669</c:v>
                </c:pt>
                <c:pt idx="102">
                  <c:v>0.72119644691852336</c:v>
                </c:pt>
                <c:pt idx="103">
                  <c:v>0.72127959686588061</c:v>
                </c:pt>
                <c:pt idx="104">
                  <c:v>0.72136232432038594</c:v>
                </c:pt>
                <c:pt idx="105">
                  <c:v>0.72144463139800885</c:v>
                </c:pt>
                <c:pt idx="106">
                  <c:v>0.72152652022829278</c:v>
                </c:pt>
                <c:pt idx="107">
                  <c:v>0.72160799295314437</c:v>
                </c:pt>
                <c:pt idx="108">
                  <c:v>0.72168905172567044</c:v>
                </c:pt>
                <c:pt idx="109">
                  <c:v>0.72176969870906138</c:v>
                </c:pt>
                <c:pt idx="110">
                  <c:v>0.72184993607553116</c:v>
                </c:pt>
                <c:pt idx="111">
                  <c:v>0.72192976600529313</c:v>
                </c:pt>
                <c:pt idx="112">
                  <c:v>0.72200919068558667</c:v>
                </c:pt>
                <c:pt idx="113">
                  <c:v>0.7220882123097393</c:v>
                </c:pt>
                <c:pt idx="114">
                  <c:v>0.72216683307627494</c:v>
                </c:pt>
                <c:pt idx="115">
                  <c:v>0.72224505518805848</c:v>
                </c:pt>
                <c:pt idx="116">
                  <c:v>0.72232288085147489</c:v>
                </c:pt>
                <c:pt idx="117">
                  <c:v>0.72240031227564994</c:v>
                </c:pt>
                <c:pt idx="118">
                  <c:v>0.72247735167169913</c:v>
                </c:pt>
                <c:pt idx="119">
                  <c:v>0.72255400125201374</c:v>
                </c:pt>
                <c:pt idx="120">
                  <c:v>0.72263026322957558</c:v>
                </c:pt>
                <c:pt idx="121">
                  <c:v>0.72270613981730636</c:v>
                </c:pt>
                <c:pt idx="122">
                  <c:v>0.72278163322743916</c:v>
                </c:pt>
                <c:pt idx="123">
                  <c:v>0.72285674567092728</c:v>
                </c:pt>
                <c:pt idx="124">
                  <c:v>0.7229314793568713</c:v>
                </c:pt>
                <c:pt idx="125">
                  <c:v>0.72300583649197769</c:v>
                </c:pt>
                <c:pt idx="126">
                  <c:v>0.7230798192800395</c:v>
                </c:pt>
                <c:pt idx="127">
                  <c:v>0.72315342992144316</c:v>
                </c:pt>
                <c:pt idx="128">
                  <c:v>0.72322667061269541</c:v>
                </c:pt>
                <c:pt idx="129">
                  <c:v>0.72329954354597548</c:v>
                </c:pt>
                <c:pt idx="130">
                  <c:v>0.72337205090870649</c:v>
                </c:pt>
                <c:pt idx="131">
                  <c:v>0.72344419488314715</c:v>
                </c:pt>
                <c:pt idx="132">
                  <c:v>0.72351597764600373</c:v>
                </c:pt>
                <c:pt idx="133">
                  <c:v>0.72358740136806232</c:v>
                </c:pt>
                <c:pt idx="134">
                  <c:v>0.7236584682138355</c:v>
                </c:pt>
                <c:pt idx="135">
                  <c:v>0.72372918034122879</c:v>
                </c:pt>
                <c:pt idx="136">
                  <c:v>0.72379953990122581</c:v>
                </c:pt>
                <c:pt idx="137">
                  <c:v>0.7238695490375836</c:v>
                </c:pt>
                <c:pt idx="138">
                  <c:v>0.72393920988655047</c:v>
                </c:pt>
                <c:pt idx="139">
                  <c:v>0.72400852457659237</c:v>
                </c:pt>
                <c:pt idx="140">
                  <c:v>0.72407749522813869</c:v>
                </c:pt>
                <c:pt idx="141">
                  <c:v>0.72414612395333677</c:v>
                </c:pt>
                <c:pt idx="142">
                  <c:v>0.72421441285582466</c:v>
                </c:pt>
                <c:pt idx="143">
                  <c:v>0.72428236403051205</c:v>
                </c:pt>
                <c:pt idx="144">
                  <c:v>0.72434997956337643</c:v>
                </c:pt>
                <c:pt idx="145">
                  <c:v>0.72441726153126862</c:v>
                </c:pt>
                <c:pt idx="146">
                  <c:v>0.72448421200173219</c:v>
                </c:pt>
                <c:pt idx="147">
                  <c:v>0.72455083303282952</c:v>
                </c:pt>
                <c:pt idx="148">
                  <c:v>0.72461712667298406</c:v>
                </c:pt>
                <c:pt idx="149">
                  <c:v>0.72468309496082528</c:v>
                </c:pt>
                <c:pt idx="150">
                  <c:v>0.7247487399250504</c:v>
                </c:pt>
                <c:pt idx="151">
                  <c:v>0.72481406358428946</c:v>
                </c:pt>
                <c:pt idx="152">
                  <c:v>0.72487906794698231</c:v>
                </c:pt>
                <c:pt idx="153">
                  <c:v>0.72494375501126473</c:v>
                </c:pt>
                <c:pt idx="154">
                  <c:v>0.72500812676485804</c:v>
                </c:pt>
                <c:pt idx="155">
                  <c:v>0.72507218518497207</c:v>
                </c:pt>
                <c:pt idx="156">
                  <c:v>0.72513593223821315</c:v>
                </c:pt>
                <c:pt idx="157">
                  <c:v>0.72519936988049805</c:v>
                </c:pt>
                <c:pt idx="158">
                  <c:v>0.72526250005697446</c:v>
                </c:pt>
                <c:pt idx="159">
                  <c:v>0.72532532470195432</c:v>
                </c:pt>
                <c:pt idx="160">
                  <c:v>0.72538784573884518</c:v>
                </c:pt>
                <c:pt idx="161">
                  <c:v>0.72545006508009025</c:v>
                </c:pt>
                <c:pt idx="162">
                  <c:v>0.7255119846271183</c:v>
                </c:pt>
                <c:pt idx="163">
                  <c:v>0.72557360627029333</c:v>
                </c:pt>
                <c:pt idx="164">
                  <c:v>0.72563493188887418</c:v>
                </c:pt>
                <c:pt idx="165">
                  <c:v>0.72569596335097608</c:v>
                </c:pt>
                <c:pt idx="166">
                  <c:v>0.72575670251353852</c:v>
                </c:pt>
                <c:pt idx="167">
                  <c:v>0.72581715122229762</c:v>
                </c:pt>
                <c:pt idx="168">
                  <c:v>0.72587731131176469</c:v>
                </c:pt>
                <c:pt idx="169">
                  <c:v>0.7259371846052034</c:v>
                </c:pt>
                <c:pt idx="170">
                  <c:v>0.7259967729146205</c:v>
                </c:pt>
                <c:pt idx="171">
                  <c:v>0.72605607804075101</c:v>
                </c:pt>
                <c:pt idx="172">
                  <c:v>0.72611510177305316</c:v>
                </c:pt>
                <c:pt idx="173">
                  <c:v>0.72617384588970457</c:v>
                </c:pt>
                <c:pt idx="174">
                  <c:v>0.72623231215760287</c:v>
                </c:pt>
                <c:pt idx="175">
                  <c:v>0.7262905023323688</c:v>
                </c:pt>
                <c:pt idx="176">
                  <c:v>0.72634841815835371</c:v>
                </c:pt>
                <c:pt idx="177">
                  <c:v>0.72640606136864783</c:v>
                </c:pt>
                <c:pt idx="178">
                  <c:v>0.72646343368509503</c:v>
                </c:pt>
                <c:pt idx="179">
                  <c:v>0.72652053681830564</c:v>
                </c:pt>
                <c:pt idx="180">
                  <c:v>0.7265773724676784</c:v>
                </c:pt>
                <c:pt idx="181">
                  <c:v>0.72663394232141587</c:v>
                </c:pt>
                <c:pt idx="182">
                  <c:v>0.72669024805655202</c:v>
                </c:pt>
                <c:pt idx="183">
                  <c:v>0.72674629133897484</c:v>
                </c:pt>
                <c:pt idx="184">
                  <c:v>0.72680207382345574</c:v>
                </c:pt>
                <c:pt idx="185">
                  <c:v>0.7268575971536767</c:v>
                </c:pt>
                <c:pt idx="186">
                  <c:v>0.72691286296226487</c:v>
                </c:pt>
                <c:pt idx="187">
                  <c:v>0.72696787287082365</c:v>
                </c:pt>
                <c:pt idx="188">
                  <c:v>0.7270226284899689</c:v>
                </c:pt>
                <c:pt idx="189">
                  <c:v>0.7270771314193657</c:v>
                </c:pt>
                <c:pt idx="190">
                  <c:v>0.72713138324776716</c:v>
                </c:pt>
                <c:pt idx="191">
                  <c:v>0.7271853855530559</c:v>
                </c:pt>
                <c:pt idx="192">
                  <c:v>0.72723913990228151</c:v>
                </c:pt>
                <c:pt idx="193">
                  <c:v>0.72729264785170977</c:v>
                </c:pt>
                <c:pt idx="194">
                  <c:v>0.72734591094686085</c:v>
                </c:pt>
                <c:pt idx="195">
                  <c:v>0.72739893072255946</c:v>
                </c:pt>
                <c:pt idx="196">
                  <c:v>0.72745170870297959</c:v>
                </c:pt>
                <c:pt idx="197">
                  <c:v>0.72750424640169165</c:v>
                </c:pt>
                <c:pt idx="198">
                  <c:v>0.72755654532171454</c:v>
                </c:pt>
                <c:pt idx="199">
                  <c:v>0.72760860695556173</c:v>
                </c:pt>
                <c:pt idx="200">
                  <c:v>0.7276604327852948</c:v>
                </c:pt>
              </c:numCache>
            </c:numRef>
          </c:val>
          <c:smooth val="0"/>
          <c:extLst>
            <c:ext xmlns:c16="http://schemas.microsoft.com/office/drawing/2014/chart" uri="{C3380CC4-5D6E-409C-BE32-E72D297353CC}">
              <c16:uniqueId val="{00000001-DAC0-423F-B197-448F000A954F}"/>
            </c:ext>
          </c:extLst>
        </c:ser>
        <c:ser>
          <c:idx val="10"/>
          <c:order val="4"/>
          <c:tx>
            <c:strRef>
              <c:f>'Efficiency vs VIN Calculations'!$AP$7</c:f>
              <c:strCache>
                <c:ptCount val="1"/>
                <c:pt idx="0">
                  <c:v>Low-side BOOST "Control" MOSFET Losses </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Calculations'!$AT$9:$AT$209</c:f>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2-DAC0-423F-B197-448F000A954F}"/>
            </c:ext>
          </c:extLst>
        </c:ser>
        <c:ser>
          <c:idx val="9"/>
          <c:order val="5"/>
          <c:tx>
            <c:strRef>
              <c:f>'Efficiency vs VIN Calculations'!$AL$7</c:f>
              <c:strCache>
                <c:ptCount val="1"/>
                <c:pt idx="0">
                  <c:v>Low-side BUCK "Sync" MOSFET Losses </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Calculations'!$AO$9:$AO$209</c:f>
              <c:numCache>
                <c:formatCode>0.000</c:formatCode>
                <c:ptCount val="201"/>
                <c:pt idx="0">
                  <c:v>0.76682892981848416</c:v>
                </c:pt>
                <c:pt idx="1">
                  <c:v>0.77067995133071665</c:v>
                </c:pt>
                <c:pt idx="2">
                  <c:v>0.77448532657974101</c:v>
                </c:pt>
                <c:pt idx="3">
                  <c:v>0.77824588924239702</c:v>
                </c:pt>
                <c:pt idx="4">
                  <c:v>0.78196245207250448</c:v>
                </c:pt>
                <c:pt idx="5">
                  <c:v>0.78563580757727103</c:v>
                </c:pt>
                <c:pt idx="6">
                  <c:v>0.78926672866675163</c:v>
                </c:pt>
                <c:pt idx="7">
                  <c:v>0.7928559692776449</c:v>
                </c:pt>
                <c:pt idx="8">
                  <c:v>0.79640426497262817</c:v>
                </c:pt>
                <c:pt idx="9">
                  <c:v>0.79991233351637692</c:v>
                </c:pt>
                <c:pt idx="10">
                  <c:v>0.80338087542934766</c:v>
                </c:pt>
                <c:pt idx="11">
                  <c:v>0.80681057452034755</c:v>
                </c:pt>
                <c:pt idx="12">
                  <c:v>0.81020209839885504</c:v>
                </c:pt>
                <c:pt idx="13">
                  <c:v>0.81355609896801429</c:v>
                </c:pt>
                <c:pt idx="14">
                  <c:v>0.81687321289916603</c:v>
                </c:pt>
                <c:pt idx="15">
                  <c:v>0.82015406208874098</c:v>
                </c:pt>
                <c:pt idx="16">
                  <c:v>0.82339925409829551</c:v>
                </c:pt>
                <c:pt idx="17">
                  <c:v>0.82660938257843231</c:v>
                </c:pt>
                <c:pt idx="18">
                  <c:v>0.82978502767730455</c:v>
                </c:pt>
                <c:pt idx="19">
                  <c:v>0.83292675643437541</c:v>
                </c:pt>
                <c:pt idx="20">
                  <c:v>0.83603512316006456</c:v>
                </c:pt>
                <c:pt idx="21">
                  <c:v>0.8391106698018832</c:v>
                </c:pt>
                <c:pt idx="22">
                  <c:v>0.84215392629763086</c:v>
                </c:pt>
                <c:pt idx="23">
                  <c:v>0.84516541091620023</c:v>
                </c:pt>
                <c:pt idx="24">
                  <c:v>0.8481456305865015</c:v>
                </c:pt>
                <c:pt idx="25">
                  <c:v>0.85109508121500776</c:v>
                </c:pt>
                <c:pt idx="26">
                  <c:v>0.8540142479923819</c:v>
                </c:pt>
                <c:pt idx="27">
                  <c:v>0.85690360568963519</c:v>
                </c:pt>
                <c:pt idx="28">
                  <c:v>0.85976361894424647</c:v>
                </c:pt>
                <c:pt idx="29">
                  <c:v>0.86259474253663693</c:v>
                </c:pt>
                <c:pt idx="30">
                  <c:v>0.86539742165739941</c:v>
                </c:pt>
                <c:pt idx="31">
                  <c:v>0.86817209216563918</c:v>
                </c:pt>
                <c:pt idx="32">
                  <c:v>0.87091918083878606</c:v>
                </c:pt>
                <c:pt idx="33">
                  <c:v>0.87363910561420688</c:v>
                </c:pt>
                <c:pt idx="34">
                  <c:v>0.87633227582294171</c:v>
                </c:pt>
                <c:pt idx="35">
                  <c:v>0.87899909241586827</c:v>
                </c:pt>
                <c:pt idx="36">
                  <c:v>0.8816399481825854</c:v>
                </c:pt>
                <c:pt idx="37">
                  <c:v>0.88425522796329536</c:v>
                </c:pt>
                <c:pt idx="38">
                  <c:v>0.88684530885394941</c:v>
                </c:pt>
                <c:pt idx="39">
                  <c:v>0.88941056040491417</c:v>
                </c:pt>
                <c:pt idx="40">
                  <c:v>0.89195134481339899</c:v>
                </c:pt>
                <c:pt idx="41">
                  <c:v>0.89446801710987722</c:v>
                </c:pt>
                <c:pt idx="42">
                  <c:v>0.89696092533872873</c:v>
                </c:pt>
                <c:pt idx="43">
                  <c:v>0.89943041073330832</c:v>
                </c:pt>
                <c:pt idx="44">
                  <c:v>0.90187680788565172</c:v>
                </c:pt>
                <c:pt idx="45">
                  <c:v>0.9043004449110108</c:v>
                </c:pt>
                <c:pt idx="46">
                  <c:v>0.90670164360740579</c:v>
                </c:pt>
                <c:pt idx="47">
                  <c:v>0.90908071961037218</c:v>
                </c:pt>
                <c:pt idx="48">
                  <c:v>0.91143798254307751</c:v>
                </c:pt>
                <c:pt idx="49">
                  <c:v>0.91377373616196889</c:v>
                </c:pt>
                <c:pt idx="50">
                  <c:v>0.91608827849811103</c:v>
                </c:pt>
                <c:pt idx="51">
                  <c:v>0.91838190199436642</c:v>
                </c:pt>
                <c:pt idx="52">
                  <c:v>0.92065489363856057</c:v>
                </c:pt>
                <c:pt idx="53">
                  <c:v>0.92290753509277534</c:v>
                </c:pt>
                <c:pt idx="54">
                  <c:v>0.92514010281889936</c:v>
                </c:pt>
                <c:pt idx="55">
                  <c:v>0.92735286820056895</c:v>
                </c:pt>
                <c:pt idx="56">
                  <c:v>0.92954609766161789</c:v>
                </c:pt>
                <c:pt idx="57">
                  <c:v>0.9317200527811591</c:v>
                </c:pt>
                <c:pt idx="58">
                  <c:v>0.933874990405406</c:v>
                </c:pt>
                <c:pt idx="59">
                  <c:v>0.93601116275635154</c:v>
                </c:pt>
                <c:pt idx="60">
                  <c:v>0.93812881753739774</c:v>
                </c:pt>
                <c:pt idx="61">
                  <c:v>0.94022819803605207</c:v>
                </c:pt>
                <c:pt idx="62">
                  <c:v>0.94230954322377058</c:v>
                </c:pt>
                <c:pt idx="63">
                  <c:v>0.94437308785305663</c:v>
                </c:pt>
                <c:pt idx="64">
                  <c:v>0.9464190625518949</c:v>
                </c:pt>
                <c:pt idx="65">
                  <c:v>0.94844769391561101</c:v>
                </c:pt>
                <c:pt idx="66">
                  <c:v>0.95045920459623856</c:v>
                </c:pt>
                <c:pt idx="67">
                  <c:v>0.95245381338947666</c:v>
                </c:pt>
                <c:pt idx="68">
                  <c:v>0.95443173531931014</c:v>
                </c:pt>
                <c:pt idx="69">
                  <c:v>0.95639318172037024</c:v>
                </c:pt>
                <c:pt idx="70">
                  <c:v>0.95833836031810749</c:v>
                </c:pt>
                <c:pt idx="71">
                  <c:v>0.96026747530684109</c:v>
                </c:pt>
                <c:pt idx="72">
                  <c:v>0.962180727425758</c:v>
                </c:pt>
                <c:pt idx="73">
                  <c:v>0.96407831403291944</c:v>
                </c:pt>
                <c:pt idx="74">
                  <c:v>0.96596042917734182</c:v>
                </c:pt>
                <c:pt idx="75">
                  <c:v>0.96782726366920513</c:v>
                </c:pt>
                <c:pt idx="76">
                  <c:v>0.96967900514825323</c:v>
                </c:pt>
                <c:pt idx="77">
                  <c:v>0.97151583815043518</c:v>
                </c:pt>
                <c:pt idx="78">
                  <c:v>0.9733379441728468</c:v>
                </c:pt>
                <c:pt idx="79">
                  <c:v>0.97514550173701653</c:v>
                </c:pt>
                <c:pt idx="80">
                  <c:v>0.97693868645059367</c:v>
                </c:pt>
                <c:pt idx="81">
                  <c:v>0.97871767106747887</c:v>
                </c:pt>
                <c:pt idx="82">
                  <c:v>0.9804826255464496</c:v>
                </c:pt>
                <c:pt idx="83">
                  <c:v>0.98223371710832152</c:v>
                </c:pt>
                <c:pt idx="84">
                  <c:v>0.98397111029169038</c:v>
                </c:pt>
                <c:pt idx="85">
                  <c:v>0.98569496700729542</c:v>
                </c:pt>
                <c:pt idx="86">
                  <c:v>0.9874054465910439</c:v>
                </c:pt>
                <c:pt idx="87">
                  <c:v>0.98910270585573901</c:v>
                </c:pt>
                <c:pt idx="88">
                  <c:v>0.99078689914154328</c:v>
                </c:pt>
                <c:pt idx="89">
                  <c:v>0.99245817836521943</c:v>
                </c:pt>
                <c:pt idx="90">
                  <c:v>0.99411669306817918</c:v>
                </c:pt>
                <c:pt idx="91">
                  <c:v>0.99576259046337701</c:v>
                </c:pt>
                <c:pt idx="92">
                  <c:v>0.9973960154810807</c:v>
                </c:pt>
                <c:pt idx="93">
                  <c:v>0.99901711081355027</c:v>
                </c:pt>
                <c:pt idx="94">
                  <c:v>1.0006260169586552</c:v>
                </c:pt>
                <c:pt idx="95">
                  <c:v>1.0022228722624618</c:v>
                </c:pt>
                <c:pt idx="96">
                  <c:v>1.0038078129608174</c:v>
                </c:pt>
                <c:pt idx="97">
                  <c:v>1.0053809732199614</c:v>
                </c:pt>
                <c:pt idx="98">
                  <c:v>1.0069424851761863</c:v>
                </c:pt>
                <c:pt idx="99">
                  <c:v>1.0084924789745804</c:v>
                </c:pt>
                <c:pt idx="100">
                  <c:v>1.010031082806871</c:v>
                </c:pt>
                <c:pt idx="101">
                  <c:v>1.011558422948398</c:v>
                </c:pt>
                <c:pt idx="102">
                  <c:v>1.0130746237942396</c:v>
                </c:pt>
                <c:pt idx="103">
                  <c:v>1.0145798078945107</c:v>
                </c:pt>
                <c:pt idx="104">
                  <c:v>1.0160740959888612</c:v>
                </c:pt>
                <c:pt idx="105">
                  <c:v>1.0175576070401895</c:v>
                </c:pt>
                <c:pt idx="106">
                  <c:v>1.0190304582675984</c:v>
                </c:pt>
                <c:pt idx="107">
                  <c:v>1.0204927651786095</c:v>
                </c:pt>
                <c:pt idx="108">
                  <c:v>1.0219446416006575</c:v>
                </c:pt>
                <c:pt idx="109">
                  <c:v>1.0233861997118798</c:v>
                </c:pt>
                <c:pt idx="110">
                  <c:v>1.0248175500712282</c:v>
                </c:pt>
                <c:pt idx="111">
                  <c:v>1.0262388016479096</c:v>
                </c:pt>
                <c:pt idx="112">
                  <c:v>1.027650061850182</c:v>
                </c:pt>
                <c:pt idx="113">
                  <c:v>1.0290514365535188</c:v>
                </c:pt>
                <c:pt idx="114">
                  <c:v>1.0304430301281553</c:v>
                </c:pt>
                <c:pt idx="115">
                  <c:v>1.0318249454660404</c:v>
                </c:pt>
                <c:pt idx="116">
                  <c:v>1.0331972840072012</c:v>
                </c:pt>
                <c:pt idx="117">
                  <c:v>1.0345601457655385</c:v>
                </c:pt>
                <c:pt idx="118">
                  <c:v>1.0359136293540712</c:v>
                </c:pt>
                <c:pt idx="119">
                  <c:v>1.0372578320096353</c:v>
                </c:pt>
                <c:pt idx="120">
                  <c:v>1.0385928496170584</c:v>
                </c:pt>
                <c:pt idx="121">
                  <c:v>1.0399187767328253</c:v>
                </c:pt>
                <c:pt idx="122">
                  <c:v>1.0412357066082309</c:v>
                </c:pt>
                <c:pt idx="123">
                  <c:v>1.0425437312120578</c:v>
                </c:pt>
                <c:pt idx="124">
                  <c:v>1.043842941252769</c:v>
                </c:pt>
                <c:pt idx="125">
                  <c:v>1.0451334262002403</c:v>
                </c:pt>
                <c:pt idx="126">
                  <c:v>1.0464152743070376</c:v>
                </c:pt>
                <c:pt idx="127">
                  <c:v>1.0476885726292535</c:v>
                </c:pt>
                <c:pt idx="128">
                  <c:v>1.0489534070469129</c:v>
                </c:pt>
                <c:pt idx="129">
                  <c:v>1.0502098622839555</c:v>
                </c:pt>
                <c:pt idx="130">
                  <c:v>1.0514580219278122</c:v>
                </c:pt>
                <c:pt idx="131">
                  <c:v>1.0526979684485769</c:v>
                </c:pt>
                <c:pt idx="132">
                  <c:v>1.0539297832177901</c:v>
                </c:pt>
                <c:pt idx="133">
                  <c:v>1.05515354652684</c:v>
                </c:pt>
                <c:pt idx="134">
                  <c:v>1.0563693376049894</c:v>
                </c:pt>
                <c:pt idx="135">
                  <c:v>1.0575772346370429</c:v>
                </c:pt>
                <c:pt idx="136">
                  <c:v>1.0587773147806565</c:v>
                </c:pt>
                <c:pt idx="137">
                  <c:v>1.0599696541833008</c:v>
                </c:pt>
                <c:pt idx="138">
                  <c:v>1.0611543279988866</c:v>
                </c:pt>
                <c:pt idx="139">
                  <c:v>1.06233141040406</c:v>
                </c:pt>
                <c:pt idx="140">
                  <c:v>1.0635009746141726</c:v>
                </c:pt>
                <c:pt idx="141">
                  <c:v>1.0646630928989416</c:v>
                </c:pt>
                <c:pt idx="142">
                  <c:v>1.0658178365977951</c:v>
                </c:pt>
                <c:pt idx="143">
                  <c:v>1.0669652761349229</c:v>
                </c:pt>
                <c:pt idx="144">
                  <c:v>1.0681054810340289</c:v>
                </c:pt>
                <c:pt idx="145">
                  <c:v>1.0692385199327992</c:v>
                </c:pt>
                <c:pt idx="146">
                  <c:v>1.0703644605970881</c:v>
                </c:pt>
                <c:pt idx="147">
                  <c:v>1.0714833699348296</c:v>
                </c:pt>
                <c:pt idx="148">
                  <c:v>1.0725953140096836</c:v>
                </c:pt>
                <c:pt idx="149">
                  <c:v>1.0737003580544169</c:v>
                </c:pt>
                <c:pt idx="150">
                  <c:v>1.0747985664840289</c:v>
                </c:pt>
                <c:pt idx="151">
                  <c:v>1.0758900029086298</c:v>
                </c:pt>
                <c:pt idx="152">
                  <c:v>1.0769747301460695</c:v>
                </c:pt>
                <c:pt idx="153">
                  <c:v>1.0780528102343332</c:v>
                </c:pt>
                <c:pt idx="154">
                  <c:v>1.0791243044436958</c:v>
                </c:pt>
                <c:pt idx="155">
                  <c:v>1.0801892732886553</c:v>
                </c:pt>
                <c:pt idx="156">
                  <c:v>1.081247776539636</c:v>
                </c:pt>
                <c:pt idx="157">
                  <c:v>1.0822998732344777</c:v>
                </c:pt>
                <c:pt idx="158">
                  <c:v>1.0833456216897084</c:v>
                </c:pt>
                <c:pt idx="159">
                  <c:v>1.0843850795116077</c:v>
                </c:pt>
                <c:pt idx="160">
                  <c:v>1.0854183036070688</c:v>
                </c:pt>
                <c:pt idx="161">
                  <c:v>1.0864453501942528</c:v>
                </c:pt>
                <c:pt idx="162">
                  <c:v>1.0874662748130592</c:v>
                </c:pt>
                <c:pt idx="163">
                  <c:v>1.0884811323353889</c:v>
                </c:pt>
                <c:pt idx="164">
                  <c:v>1.0894899769752358</c:v>
                </c:pt>
                <c:pt idx="165">
                  <c:v>1.090492862298583</c:v>
                </c:pt>
                <c:pt idx="166">
                  <c:v>1.0914898412331246</c:v>
                </c:pt>
                <c:pt idx="167">
                  <c:v>1.0924809660778108</c:v>
                </c:pt>
                <c:pt idx="168">
                  <c:v>1.0934662885122206</c:v>
                </c:pt>
                <c:pt idx="169">
                  <c:v>1.0944458596057665</c:v>
                </c:pt>
                <c:pt idx="170">
                  <c:v>1.0954197298267341</c:v>
                </c:pt>
                <c:pt idx="171">
                  <c:v>1.0963879490511599</c:v>
                </c:pt>
                <c:pt idx="172">
                  <c:v>1.0973505665715522</c:v>
                </c:pt>
                <c:pt idx="173">
                  <c:v>1.0983076311054543</c:v>
                </c:pt>
                <c:pt idx="174">
                  <c:v>1.0992591908038609</c:v>
                </c:pt>
                <c:pt idx="175">
                  <c:v>1.1002052932594828</c:v>
                </c:pt>
                <c:pt idx="176">
                  <c:v>1.1011459855148649</c:v>
                </c:pt>
                <c:pt idx="177">
                  <c:v>1.1020813140703669</c:v>
                </c:pt>
                <c:pt idx="178">
                  <c:v>1.1030113248920004</c:v>
                </c:pt>
                <c:pt idx="179">
                  <c:v>1.1039360634191298</c:v>
                </c:pt>
                <c:pt idx="180">
                  <c:v>1.1048555745720428</c:v>
                </c:pt>
                <c:pt idx="181">
                  <c:v>1.1057699027593837</c:v>
                </c:pt>
                <c:pt idx="182">
                  <c:v>1.1066790918854659</c:v>
                </c:pt>
                <c:pt idx="183">
                  <c:v>1.1075831853574523</c:v>
                </c:pt>
                <c:pt idx="184">
                  <c:v>1.1084822260924161</c:v>
                </c:pt>
                <c:pt idx="185">
                  <c:v>1.1093762565242786</c:v>
                </c:pt>
                <c:pt idx="186">
                  <c:v>1.110265318610631</c:v>
                </c:pt>
                <c:pt idx="187">
                  <c:v>1.1111494538394386</c:v>
                </c:pt>
                <c:pt idx="188">
                  <c:v>1.1120287032356302</c:v>
                </c:pt>
                <c:pt idx="189">
                  <c:v>1.1129031073675799</c:v>
                </c:pt>
                <c:pt idx="190">
                  <c:v>1.1137727063534753</c:v>
                </c:pt>
                <c:pt idx="191">
                  <c:v>1.1146375398675825</c:v>
                </c:pt>
                <c:pt idx="192">
                  <c:v>1.1154976471464033</c:v>
                </c:pt>
                <c:pt idx="193">
                  <c:v>1.1163530669947295</c:v>
                </c:pt>
                <c:pt idx="194">
                  <c:v>1.1172038377916007</c:v>
                </c:pt>
                <c:pt idx="195">
                  <c:v>1.1180499974961573</c:v>
                </c:pt>
                <c:pt idx="196">
                  <c:v>1.1188915836533992</c:v>
                </c:pt>
                <c:pt idx="197">
                  <c:v>1.11972863339985</c:v>
                </c:pt>
                <c:pt idx="198">
                  <c:v>1.1205611834691289</c:v>
                </c:pt>
                <c:pt idx="199">
                  <c:v>1.1213892701974255</c:v>
                </c:pt>
                <c:pt idx="200">
                  <c:v>1.1222129295288936</c:v>
                </c:pt>
              </c:numCache>
            </c:numRef>
          </c:val>
          <c:smooth val="0"/>
          <c:extLst>
            <c:ext xmlns:c16="http://schemas.microsoft.com/office/drawing/2014/chart" uri="{C3380CC4-5D6E-409C-BE32-E72D297353CC}">
              <c16:uniqueId val="{00000003-DAC0-423F-B197-448F000A954F}"/>
            </c:ext>
          </c:extLst>
        </c:ser>
        <c:ser>
          <c:idx val="8"/>
          <c:order val="6"/>
          <c:tx>
            <c:strRef>
              <c:f>'Efficiency vs VIN Calculations'!$AG$7</c:f>
              <c:strCache>
                <c:ptCount val="1"/>
                <c:pt idx="0">
                  <c:v>High-side BUCK "Control" MOSFET Losses </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Calculations'!$AK$9:$AK$209</c:f>
              <c:numCache>
                <c:formatCode>0.000</c:formatCode>
                <c:ptCount val="201"/>
                <c:pt idx="0">
                  <c:v>3.1666385121192331</c:v>
                </c:pt>
                <c:pt idx="1">
                  <c:v>3.1792936199445592</c:v>
                </c:pt>
                <c:pt idx="2">
                  <c:v>3.1920114162546822</c:v>
                </c:pt>
                <c:pt idx="3">
                  <c:v>3.2047904127596665</c:v>
                </c:pt>
                <c:pt idx="4">
                  <c:v>3.2176291686049869</c:v>
                </c:pt>
                <c:pt idx="5">
                  <c:v>3.2305262884760442</c:v>
                </c:pt>
                <c:pt idx="6">
                  <c:v>3.2434804207935253</c:v>
                </c:pt>
                <c:pt idx="7">
                  <c:v>3.2564902559945779</c:v>
                </c:pt>
                <c:pt idx="8">
                  <c:v>3.2695545248950224</c:v>
                </c:pt>
                <c:pt idx="9">
                  <c:v>3.282671997128169</c:v>
                </c:pt>
                <c:pt idx="10">
                  <c:v>3.2958414796560689</c:v>
                </c:pt>
                <c:pt idx="11">
                  <c:v>3.3090618153492928</c:v>
                </c:pt>
                <c:pt idx="12">
                  <c:v>3.3223318816315497</c:v>
                </c:pt>
                <c:pt idx="13">
                  <c:v>3.3356505891857298</c:v>
                </c:pt>
                <c:pt idx="14">
                  <c:v>3.3490168807180889</c:v>
                </c:pt>
                <c:pt idx="15">
                  <c:v>3.3624297297775882</c:v>
                </c:pt>
                <c:pt idx="16">
                  <c:v>3.3758881396274552</c:v>
                </c:pt>
                <c:pt idx="17">
                  <c:v>3.3893911421663523</c:v>
                </c:pt>
                <c:pt idx="18">
                  <c:v>3.4029377968965386</c:v>
                </c:pt>
                <c:pt idx="19">
                  <c:v>3.4165271899367062</c:v>
                </c:pt>
                <c:pt idx="20">
                  <c:v>3.4301584330771866</c:v>
                </c:pt>
                <c:pt idx="21">
                  <c:v>3.4438306628754507</c:v>
                </c:pt>
                <c:pt idx="22">
                  <c:v>3.4575430397898574</c:v>
                </c:pt>
                <c:pt idx="23">
                  <c:v>3.4712947473498188</c:v>
                </c:pt>
                <c:pt idx="24">
                  <c:v>3.4850849913605462</c:v>
                </c:pt>
                <c:pt idx="25">
                  <c:v>3.4989129991407326</c:v>
                </c:pt>
                <c:pt idx="26">
                  <c:v>3.5127780187915696</c:v>
                </c:pt>
                <c:pt idx="27">
                  <c:v>3.5266793184955949</c:v>
                </c:pt>
                <c:pt idx="28">
                  <c:v>3.5406161858439678</c:v>
                </c:pt>
                <c:pt idx="29">
                  <c:v>3.5545879271908016</c:v>
                </c:pt>
                <c:pt idx="30">
                  <c:v>3.5685938670333135</c:v>
                </c:pt>
                <c:pt idx="31">
                  <c:v>3.5826333474165679</c:v>
                </c:pt>
                <c:pt idx="32">
                  <c:v>3.5967057273616909</c:v>
                </c:pt>
                <c:pt idx="33">
                  <c:v>3.6108103823164601</c:v>
                </c:pt>
                <c:pt idx="34">
                  <c:v>3.6249467036272716</c:v>
                </c:pt>
                <c:pt idx="35">
                  <c:v>3.639114098031488</c:v>
                </c:pt>
                <c:pt idx="36">
                  <c:v>3.6533119871692743</c:v>
                </c:pt>
                <c:pt idx="37">
                  <c:v>3.667539807114029</c:v>
                </c:pt>
                <c:pt idx="38">
                  <c:v>3.681797007920609</c:v>
                </c:pt>
                <c:pt idx="39">
                  <c:v>3.6960830531905251</c:v>
                </c:pt>
                <c:pt idx="40">
                  <c:v>3.710397419653416</c:v>
                </c:pt>
                <c:pt idx="41">
                  <c:v>3.724739596764028</c:v>
                </c:pt>
                <c:pt idx="42">
                  <c:v>3.7391090863140954</c:v>
                </c:pt>
                <c:pt idx="43">
                  <c:v>3.7535054020584204</c:v>
                </c:pt>
                <c:pt idx="44">
                  <c:v>3.7679280693545913</c:v>
                </c:pt>
                <c:pt idx="45">
                  <c:v>3.782376624815734</c:v>
                </c:pt>
                <c:pt idx="46">
                  <c:v>3.7968506159757478</c:v>
                </c:pt>
                <c:pt idx="47">
                  <c:v>3.8113496009665213</c:v>
                </c:pt>
                <c:pt idx="48">
                  <c:v>3.8258731482066044</c:v>
                </c:pt>
                <c:pt idx="49">
                  <c:v>3.8404208361008707</c:v>
                </c:pt>
                <c:pt idx="50">
                  <c:v>3.8549922527507312</c:v>
                </c:pt>
                <c:pt idx="51">
                  <c:v>3.8695869956744389</c:v>
                </c:pt>
                <c:pt idx="52">
                  <c:v>3.8842046715371072</c:v>
                </c:pt>
                <c:pt idx="53">
                  <c:v>3.8988448958900173</c:v>
                </c:pt>
                <c:pt idx="54">
                  <c:v>3.9135072929188652</c:v>
                </c:pt>
                <c:pt idx="55">
                  <c:v>3.9281914952005765</c:v>
                </c:pt>
                <c:pt idx="56">
                  <c:v>3.9428971434683557</c:v>
                </c:pt>
                <c:pt idx="57">
                  <c:v>3.9576238863846478</c:v>
                </c:pt>
                <c:pt idx="58">
                  <c:v>3.9723713803216838</c:v>
                </c:pt>
                <c:pt idx="59">
                  <c:v>3.9871392891493405</c:v>
                </c:pt>
                <c:pt idx="60">
                  <c:v>4.0019272840300033</c:v>
                </c:pt>
                <c:pt idx="61">
                  <c:v>4.0167350432201943</c:v>
                </c:pt>
                <c:pt idx="62">
                  <c:v>4.0315622518786576</c:v>
                </c:pt>
                <c:pt idx="63">
                  <c:v>4.0464086018807217</c:v>
                </c:pt>
                <c:pt idx="64">
                  <c:v>4.0612737916386248</c:v>
                </c:pt>
                <c:pt idx="65">
                  <c:v>4.0761575259276572</c:v>
                </c:pt>
                <c:pt idx="66">
                  <c:v>4.0910595157178191</c:v>
                </c:pt>
                <c:pt idx="67">
                  <c:v>4.1059794780108732</c:v>
                </c:pt>
                <c:pt idx="68">
                  <c:v>4.1209171356825163</c:v>
                </c:pt>
                <c:pt idx="69">
                  <c:v>4.1358722173295401</c:v>
                </c:pt>
                <c:pt idx="70">
                  <c:v>4.1508444571217513</c:v>
                </c:pt>
                <c:pt idx="71">
                  <c:v>4.1658335946585154</c:v>
                </c:pt>
                <c:pt idx="72">
                  <c:v>4.1808393748297306</c:v>
                </c:pt>
                <c:pt idx="73">
                  <c:v>4.1958615476810754</c:v>
                </c:pt>
                <c:pt idx="74">
                  <c:v>4.2108998682834038</c:v>
                </c:pt>
                <c:pt idx="75">
                  <c:v>4.2259540966060865</c:v>
                </c:pt>
                <c:pt idx="76">
                  <c:v>4.2410239973942145</c:v>
                </c:pt>
                <c:pt idx="77">
                  <c:v>4.2561093400494903</c:v>
                </c:pt>
                <c:pt idx="78">
                  <c:v>4.2712098985146936</c:v>
                </c:pt>
                <c:pt idx="79">
                  <c:v>4.2863254511615922</c:v>
                </c:pt>
                <c:pt idx="80">
                  <c:v>4.3014557806821747</c:v>
                </c:pt>
                <c:pt idx="81">
                  <c:v>4.3166006739831015</c:v>
                </c:pt>
                <c:pt idx="82">
                  <c:v>4.3317599220832506</c:v>
                </c:pt>
                <c:pt idx="83">
                  <c:v>4.3469333200142533</c:v>
                </c:pt>
                <c:pt idx="84">
                  <c:v>4.3621206667239312</c:v>
                </c:pt>
                <c:pt idx="85">
                  <c:v>4.3773217649825149</c:v>
                </c:pt>
                <c:pt idx="86">
                  <c:v>4.3925364212915738</c:v>
                </c:pt>
                <c:pt idx="87">
                  <c:v>4.4077644457955403</c:v>
                </c:pt>
                <c:pt idx="88">
                  <c:v>4.4230056521957737</c:v>
                </c:pt>
                <c:pt idx="89">
                  <c:v>4.4382598576670347</c:v>
                </c:pt>
                <c:pt idx="90">
                  <c:v>4.4535268827763517</c:v>
                </c:pt>
                <c:pt idx="91">
                  <c:v>4.4688065514041266</c:v>
                </c:pt>
                <c:pt idx="92">
                  <c:v>4.48409869066748</c:v>
                </c:pt>
                <c:pt idx="93">
                  <c:v>4.499403130845705</c:v>
                </c:pt>
                <c:pt idx="94">
                  <c:v>4.5147197053077956</c:v>
                </c:pt>
                <c:pt idx="95">
                  <c:v>4.5300482504419648</c:v>
                </c:pt>
                <c:pt idx="96">
                  <c:v>4.545388605587104</c:v>
                </c:pt>
                <c:pt idx="97">
                  <c:v>4.5607406129661037</c:v>
                </c:pt>
                <c:pt idx="98">
                  <c:v>4.5761041176209867</c:v>
                </c:pt>
                <c:pt idx="99">
                  <c:v>4.591478967349798</c:v>
                </c:pt>
                <c:pt idx="100">
                  <c:v>4.6068650126451924</c:v>
                </c:pt>
                <c:pt idx="101">
                  <c:v>4.6222621066346665</c:v>
                </c:pt>
                <c:pt idx="102">
                  <c:v>4.6376701050223774</c:v>
                </c:pt>
                <c:pt idx="103">
                  <c:v>4.6530888660325154</c:v>
                </c:pt>
                <c:pt idx="104">
                  <c:v>4.6685182503541647</c:v>
                </c:pt>
                <c:pt idx="105">
                  <c:v>4.6839581210876222</c:v>
                </c:pt>
                <c:pt idx="106">
                  <c:v>4.6994083436921086</c:v>
                </c:pt>
                <c:pt idx="107">
                  <c:v>4.714868785934855</c:v>
                </c:pt>
                <c:pt idx="108">
                  <c:v>4.730339317841505</c:v>
                </c:pt>
                <c:pt idx="109">
                  <c:v>4.7458198116477925</c:v>
                </c:pt>
                <c:pt idx="110">
                  <c:v>4.7613101417524719</c:v>
                </c:pt>
                <c:pt idx="111">
                  <c:v>4.7768101846714428</c:v>
                </c:pt>
                <c:pt idx="112">
                  <c:v>4.7923198189930547</c:v>
                </c:pt>
                <c:pt idx="113">
                  <c:v>4.8078389253345382</c:v>
                </c:pt>
                <c:pt idx="114">
                  <c:v>4.8233673862995339</c:v>
                </c:pt>
                <c:pt idx="115">
                  <c:v>4.8389050864366983</c:v>
                </c:pt>
                <c:pt idx="116">
                  <c:v>4.8544519121993428</c:v>
                </c:pt>
                <c:pt idx="117">
                  <c:v>4.8700077519060789</c:v>
                </c:pt>
                <c:pt idx="118">
                  <c:v>4.8855724957024345</c:v>
                </c:pt>
                <c:pt idx="119">
                  <c:v>4.9011460355234302</c:v>
                </c:pt>
                <c:pt idx="120">
                  <c:v>4.9167282650570714</c:v>
                </c:pt>
                <c:pt idx="121">
                  <c:v>4.9323190797087335</c:v>
                </c:pt>
                <c:pt idx="122">
                  <c:v>4.9479183765664159</c:v>
                </c:pt>
                <c:pt idx="123">
                  <c:v>4.9635260543668487</c:v>
                </c:pt>
                <c:pt idx="124">
                  <c:v>4.9791420134624138</c:v>
                </c:pt>
                <c:pt idx="125">
                  <c:v>4.994766155788855</c:v>
                </c:pt>
                <c:pt idx="126">
                  <c:v>5.0103983848337839</c:v>
                </c:pt>
                <c:pt idx="127">
                  <c:v>5.0260386056059225</c:v>
                </c:pt>
                <c:pt idx="128">
                  <c:v>5.0416867246050758</c:v>
                </c:pt>
                <c:pt idx="129">
                  <c:v>5.0573426497928375</c:v>
                </c:pt>
                <c:pt idx="130">
                  <c:v>5.0730062905639581</c:v>
                </c:pt>
                <c:pt idx="131">
                  <c:v>5.0886775577184107</c:v>
                </c:pt>
                <c:pt idx="132">
                  <c:v>5.1043563634341016</c:v>
                </c:pt>
                <c:pt idx="133">
                  <c:v>5.1200426212402128</c:v>
                </c:pt>
                <c:pt idx="134">
                  <c:v>5.1357362459911782</c:v>
                </c:pt>
                <c:pt idx="135">
                  <c:v>5.1514371538412389</c:v>
                </c:pt>
                <c:pt idx="136">
                  <c:v>5.1671452622196163</c:v>
                </c:pt>
                <c:pt idx="137">
                  <c:v>5.1828604898062229</c:v>
                </c:pt>
                <c:pt idx="138">
                  <c:v>5.1985827565079603</c:v>
                </c:pt>
                <c:pt idx="139">
                  <c:v>5.2143119834355218</c:v>
                </c:pt>
                <c:pt idx="140">
                  <c:v>5.2300480928807591</c:v>
                </c:pt>
                <c:pt idx="141">
                  <c:v>5.2457910082945265</c:v>
                </c:pt>
                <c:pt idx="142">
                  <c:v>5.2615406542650494</c:v>
                </c:pt>
                <c:pt idx="143">
                  <c:v>5.2772969564967696</c:v>
                </c:pt>
                <c:pt idx="144">
                  <c:v>5.2930598417896526</c:v>
                </c:pt>
                <c:pt idx="145">
                  <c:v>5.3088292380189737</c:v>
                </c:pt>
                <c:pt idx="146">
                  <c:v>5.3246050741155377</c:v>
                </c:pt>
                <c:pt idx="147">
                  <c:v>5.3403872800463441</c:v>
                </c:pt>
                <c:pt idx="148">
                  <c:v>5.356175786795677</c:v>
                </c:pt>
                <c:pt idx="149">
                  <c:v>5.3719705263466038</c:v>
                </c:pt>
                <c:pt idx="150">
                  <c:v>5.3877714316628849</c:v>
                </c:pt>
                <c:pt idx="151">
                  <c:v>5.4035784366712702</c:v>
                </c:pt>
                <c:pt idx="152">
                  <c:v>5.419391476244189</c:v>
                </c:pt>
                <c:pt idx="153">
                  <c:v>5.4352104861828012</c:v>
                </c:pt>
                <c:pt idx="154">
                  <c:v>5.4510354032004251</c:v>
                </c:pt>
                <c:pt idx="155">
                  <c:v>5.4668661649063148</c:v>
                </c:pt>
                <c:pt idx="156">
                  <c:v>5.4827027097897849</c:v>
                </c:pt>
                <c:pt idx="157">
                  <c:v>5.4985449772046664</c:v>
                </c:pt>
                <c:pt idx="158">
                  <c:v>5.5143929073541109</c:v>
                </c:pt>
                <c:pt idx="159">
                  <c:v>5.5302464412756924</c:v>
                </c:pt>
                <c:pt idx="160">
                  <c:v>5.5461055208268428</c:v>
                </c:pt>
                <c:pt idx="161">
                  <c:v>5.5619700886705772</c:v>
                </c:pt>
                <c:pt idx="162">
                  <c:v>5.5778400882615262</c:v>
                </c:pt>
                <c:pt idx="163">
                  <c:v>5.5937154638322673</c:v>
                </c:pt>
                <c:pt idx="164">
                  <c:v>5.6095961603799127</c:v>
                </c:pt>
                <c:pt idx="165">
                  <c:v>5.625482123653005</c:v>
                </c:pt>
                <c:pt idx="166">
                  <c:v>5.6413733001386666</c:v>
                </c:pt>
                <c:pt idx="167">
                  <c:v>5.6572696370500175</c:v>
                </c:pt>
                <c:pt idx="168">
                  <c:v>5.6731710823138402</c:v>
                </c:pt>
                <c:pt idx="169">
                  <c:v>5.68907758455852</c:v>
                </c:pt>
                <c:pt idx="170">
                  <c:v>5.7049890931022018</c:v>
                </c:pt>
                <c:pt idx="171">
                  <c:v>5.720905557941216</c:v>
                </c:pt>
                <c:pt idx="172">
                  <c:v>5.7368269297387027</c:v>
                </c:pt>
                <c:pt idx="173">
                  <c:v>5.7527531598135013</c:v>
                </c:pt>
                <c:pt idx="174">
                  <c:v>5.7686842001292371</c:v>
                </c:pt>
                <c:pt idx="175">
                  <c:v>5.7846200032836395</c:v>
                </c:pt>
                <c:pt idx="176">
                  <c:v>5.8005605224980643</c:v>
                </c:pt>
                <c:pt idx="177">
                  <c:v>5.8165057116072241</c:v>
                </c:pt>
                <c:pt idx="178">
                  <c:v>5.8324555250491361</c:v>
                </c:pt>
                <c:pt idx="179">
                  <c:v>5.8484099178552462</c:v>
                </c:pt>
                <c:pt idx="180">
                  <c:v>5.8643688456407688</c:v>
                </c:pt>
                <c:pt idx="181">
                  <c:v>5.8803322645951868</c:v>
                </c:pt>
                <c:pt idx="182">
                  <c:v>5.8963001314729748</c:v>
                </c:pt>
                <c:pt idx="183">
                  <c:v>5.9122724035844731</c:v>
                </c:pt>
                <c:pt idx="184">
                  <c:v>5.9282490387869435</c:v>
                </c:pt>
                <c:pt idx="185">
                  <c:v>5.9442299954758111</c:v>
                </c:pt>
                <c:pt idx="186">
                  <c:v>5.9602152325760605</c:v>
                </c:pt>
                <c:pt idx="187">
                  <c:v>5.9762047095338078</c:v>
                </c:pt>
                <c:pt idx="188">
                  <c:v>5.992198386308023</c:v>
                </c:pt>
                <c:pt idx="189">
                  <c:v>6.0081962233624155</c:v>
                </c:pt>
                <c:pt idx="190">
                  <c:v>6.0241981816574759</c:v>
                </c:pt>
                <c:pt idx="191">
                  <c:v>6.0402042226426733</c:v>
                </c:pt>
                <c:pt idx="192">
                  <c:v>6.0562143082487809</c:v>
                </c:pt>
                <c:pt idx="193">
                  <c:v>6.0722284008803644</c:v>
                </c:pt>
                <c:pt idx="194">
                  <c:v>6.0882464634084013</c:v>
                </c:pt>
                <c:pt idx="195">
                  <c:v>6.1042684591630518</c:v>
                </c:pt>
                <c:pt idx="196">
                  <c:v>6.120294351926546</c:v>
                </c:pt>
                <c:pt idx="197">
                  <c:v>6.1363241059262092</c:v>
                </c:pt>
                <c:pt idx="198">
                  <c:v>6.1523576858276297</c:v>
                </c:pt>
                <c:pt idx="199">
                  <c:v>6.1683950567279311</c:v>
                </c:pt>
                <c:pt idx="200">
                  <c:v>6.1844361841491873</c:v>
                </c:pt>
              </c:numCache>
            </c:numRef>
          </c:val>
          <c:smooth val="0"/>
          <c:extLst>
            <c:ext xmlns:c16="http://schemas.microsoft.com/office/drawing/2014/chart" uri="{C3380CC4-5D6E-409C-BE32-E72D297353CC}">
              <c16:uniqueId val="{00000004-DAC0-423F-B197-448F000A954F}"/>
            </c:ext>
          </c:extLst>
        </c:ser>
        <c:dLbls>
          <c:showLegendKey val="0"/>
          <c:showVal val="0"/>
          <c:showCatName val="0"/>
          <c:showSerName val="0"/>
          <c:showPercent val="0"/>
          <c:showBubbleSize val="0"/>
        </c:dLbls>
        <c:marker val="1"/>
        <c:smooth val="0"/>
        <c:axId val="196432256"/>
        <c:axId val="196421888"/>
        <c:extLst>
          <c:ext xmlns:c15="http://schemas.microsoft.com/office/drawing/2012/chart" uri="{02D57815-91ED-43cb-92C2-25804820EDAC}">
            <c15:filteredLineSeries>
              <c15:ser>
                <c:idx val="13"/>
                <c:order val="1"/>
                <c:tx>
                  <c:strRef>
                    <c:extLst>
                      <c:ext uri="{02D57815-91ED-43cb-92C2-25804820EDAC}">
                        <c15:formulaRef>
                          <c15:sqref>'Efficiency vs VIN Calculations'!$BE$7</c15:sqref>
                        </c15:formulaRef>
                      </c:ext>
                    </c:extLst>
                    <c:strCache>
                      <c:ptCount val="1"/>
                      <c:pt idx="0">
                        <c:v>Controller IC Losses</c:v>
                      </c:pt>
                    </c:strCache>
                  </c:strRef>
                </c:tx>
                <c:marker>
                  <c:symbol val="none"/>
                </c:marker>
                <c:cat>
                  <c:numRef>
                    <c:extLst>
                      <c:ex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c:ext uri="{02D57815-91ED-43cb-92C2-25804820EDAC}">
                        <c15:formulaRef>
                          <c15:sqref>'Efficiency vs VIN Calculations'!$BH$9:$BH$209</c15:sqref>
                        </c15:formulaRef>
                      </c:ext>
                    </c:extLst>
                    <c:numCache>
                      <c:formatCode>0.000</c:formatCode>
                      <c:ptCount val="201"/>
                      <c:pt idx="0">
                        <c:v>0.51683999999999997</c:v>
                      </c:pt>
                      <c:pt idx="1">
                        <c:v>0.51683999999999997</c:v>
                      </c:pt>
                      <c:pt idx="2">
                        <c:v>0.51683999999999997</c:v>
                      </c:pt>
                      <c:pt idx="3">
                        <c:v>0.51683999999999997</c:v>
                      </c:pt>
                      <c:pt idx="4">
                        <c:v>0.51683999999999997</c:v>
                      </c:pt>
                      <c:pt idx="5">
                        <c:v>0.51683999999999997</c:v>
                      </c:pt>
                      <c:pt idx="6">
                        <c:v>0.51683999999999997</c:v>
                      </c:pt>
                      <c:pt idx="7">
                        <c:v>0.51683999999999997</c:v>
                      </c:pt>
                      <c:pt idx="8">
                        <c:v>0.51683999999999997</c:v>
                      </c:pt>
                      <c:pt idx="9">
                        <c:v>0.51683999999999997</c:v>
                      </c:pt>
                      <c:pt idx="10">
                        <c:v>0.51683999999999997</c:v>
                      </c:pt>
                      <c:pt idx="11">
                        <c:v>0.51683999999999997</c:v>
                      </c:pt>
                      <c:pt idx="12">
                        <c:v>0.51683999999999997</c:v>
                      </c:pt>
                      <c:pt idx="13">
                        <c:v>0.51683999999999997</c:v>
                      </c:pt>
                      <c:pt idx="14">
                        <c:v>0.51683999999999997</c:v>
                      </c:pt>
                      <c:pt idx="15">
                        <c:v>0.51683999999999997</c:v>
                      </c:pt>
                      <c:pt idx="16">
                        <c:v>0.51683999999999997</c:v>
                      </c:pt>
                      <c:pt idx="17">
                        <c:v>0.51683999999999997</c:v>
                      </c:pt>
                      <c:pt idx="18">
                        <c:v>0.51683999999999997</c:v>
                      </c:pt>
                      <c:pt idx="19">
                        <c:v>0.51683999999999997</c:v>
                      </c:pt>
                      <c:pt idx="20">
                        <c:v>0.51683999999999997</c:v>
                      </c:pt>
                      <c:pt idx="21">
                        <c:v>0.51683999999999997</c:v>
                      </c:pt>
                      <c:pt idx="22">
                        <c:v>0.51683999999999997</c:v>
                      </c:pt>
                      <c:pt idx="23">
                        <c:v>0.51683999999999997</c:v>
                      </c:pt>
                      <c:pt idx="24">
                        <c:v>0.51683999999999997</c:v>
                      </c:pt>
                      <c:pt idx="25">
                        <c:v>0.51683999999999997</c:v>
                      </c:pt>
                      <c:pt idx="26">
                        <c:v>0.51683999999999997</c:v>
                      </c:pt>
                      <c:pt idx="27">
                        <c:v>0.51683999999999997</c:v>
                      </c:pt>
                      <c:pt idx="28">
                        <c:v>0.51683999999999997</c:v>
                      </c:pt>
                      <c:pt idx="29">
                        <c:v>0.51683999999999997</c:v>
                      </c:pt>
                      <c:pt idx="30">
                        <c:v>0.51683999999999997</c:v>
                      </c:pt>
                      <c:pt idx="31">
                        <c:v>0.51683999999999997</c:v>
                      </c:pt>
                      <c:pt idx="32">
                        <c:v>0.51683999999999997</c:v>
                      </c:pt>
                      <c:pt idx="33">
                        <c:v>0.51683999999999997</c:v>
                      </c:pt>
                      <c:pt idx="34">
                        <c:v>0.51683999999999997</c:v>
                      </c:pt>
                      <c:pt idx="35">
                        <c:v>0.51683999999999997</c:v>
                      </c:pt>
                      <c:pt idx="36">
                        <c:v>0.51683999999999997</c:v>
                      </c:pt>
                      <c:pt idx="37">
                        <c:v>0.51683999999999997</c:v>
                      </c:pt>
                      <c:pt idx="38">
                        <c:v>0.51683999999999997</c:v>
                      </c:pt>
                      <c:pt idx="39">
                        <c:v>0.51683999999999997</c:v>
                      </c:pt>
                      <c:pt idx="40">
                        <c:v>0.51683999999999997</c:v>
                      </c:pt>
                      <c:pt idx="41">
                        <c:v>0.51683999999999997</c:v>
                      </c:pt>
                      <c:pt idx="42">
                        <c:v>0.51683999999999997</c:v>
                      </c:pt>
                      <c:pt idx="43">
                        <c:v>0.51683999999999997</c:v>
                      </c:pt>
                      <c:pt idx="44">
                        <c:v>0.51683999999999997</c:v>
                      </c:pt>
                      <c:pt idx="45">
                        <c:v>0.51683999999999997</c:v>
                      </c:pt>
                      <c:pt idx="46">
                        <c:v>0.51683999999999997</c:v>
                      </c:pt>
                      <c:pt idx="47">
                        <c:v>0.51683999999999997</c:v>
                      </c:pt>
                      <c:pt idx="48">
                        <c:v>0.51683999999999997</c:v>
                      </c:pt>
                      <c:pt idx="49">
                        <c:v>0.51683999999999997</c:v>
                      </c:pt>
                      <c:pt idx="50">
                        <c:v>0.51683999999999997</c:v>
                      </c:pt>
                      <c:pt idx="51">
                        <c:v>0.51683999999999997</c:v>
                      </c:pt>
                      <c:pt idx="52">
                        <c:v>0.51683999999999997</c:v>
                      </c:pt>
                      <c:pt idx="53">
                        <c:v>0.51683999999999997</c:v>
                      </c:pt>
                      <c:pt idx="54">
                        <c:v>0.51683999999999997</c:v>
                      </c:pt>
                      <c:pt idx="55">
                        <c:v>0.51683999999999997</c:v>
                      </c:pt>
                      <c:pt idx="56">
                        <c:v>0.51683999999999997</c:v>
                      </c:pt>
                      <c:pt idx="57">
                        <c:v>0.51683999999999997</c:v>
                      </c:pt>
                      <c:pt idx="58">
                        <c:v>0.51683999999999997</c:v>
                      </c:pt>
                      <c:pt idx="59">
                        <c:v>0.51683999999999997</c:v>
                      </c:pt>
                      <c:pt idx="60">
                        <c:v>0.51683999999999997</c:v>
                      </c:pt>
                      <c:pt idx="61">
                        <c:v>0.51683999999999997</c:v>
                      </c:pt>
                      <c:pt idx="62">
                        <c:v>0.51683999999999997</c:v>
                      </c:pt>
                      <c:pt idx="63">
                        <c:v>0.51683999999999997</c:v>
                      </c:pt>
                      <c:pt idx="64">
                        <c:v>0.51683999999999997</c:v>
                      </c:pt>
                      <c:pt idx="65">
                        <c:v>0.51683999999999997</c:v>
                      </c:pt>
                      <c:pt idx="66">
                        <c:v>0.51683999999999997</c:v>
                      </c:pt>
                      <c:pt idx="67">
                        <c:v>0.51683999999999997</c:v>
                      </c:pt>
                      <c:pt idx="68">
                        <c:v>0.51683999999999997</c:v>
                      </c:pt>
                      <c:pt idx="69">
                        <c:v>0.51683999999999997</c:v>
                      </c:pt>
                      <c:pt idx="70">
                        <c:v>0.51683999999999997</c:v>
                      </c:pt>
                      <c:pt idx="71">
                        <c:v>0.51683999999999997</c:v>
                      </c:pt>
                      <c:pt idx="72">
                        <c:v>0.51683999999999997</c:v>
                      </c:pt>
                      <c:pt idx="73">
                        <c:v>0.51683999999999997</c:v>
                      </c:pt>
                      <c:pt idx="74">
                        <c:v>0.51683999999999997</c:v>
                      </c:pt>
                      <c:pt idx="75">
                        <c:v>0.51683999999999997</c:v>
                      </c:pt>
                      <c:pt idx="76">
                        <c:v>0.51683999999999997</c:v>
                      </c:pt>
                      <c:pt idx="77">
                        <c:v>0.51683999999999997</c:v>
                      </c:pt>
                      <c:pt idx="78">
                        <c:v>0.51683999999999997</c:v>
                      </c:pt>
                      <c:pt idx="79">
                        <c:v>0.51683999999999997</c:v>
                      </c:pt>
                      <c:pt idx="80">
                        <c:v>0.51683999999999997</c:v>
                      </c:pt>
                      <c:pt idx="81">
                        <c:v>0.51683999999999997</c:v>
                      </c:pt>
                      <c:pt idx="82">
                        <c:v>0.51683999999999997</c:v>
                      </c:pt>
                      <c:pt idx="83">
                        <c:v>0.51683999999999997</c:v>
                      </c:pt>
                      <c:pt idx="84">
                        <c:v>0.51683999999999997</c:v>
                      </c:pt>
                      <c:pt idx="85">
                        <c:v>0.51683999999999997</c:v>
                      </c:pt>
                      <c:pt idx="86">
                        <c:v>0.51683999999999997</c:v>
                      </c:pt>
                      <c:pt idx="87">
                        <c:v>0.51683999999999997</c:v>
                      </c:pt>
                      <c:pt idx="88">
                        <c:v>0.51683999999999997</c:v>
                      </c:pt>
                      <c:pt idx="89">
                        <c:v>0.51683999999999997</c:v>
                      </c:pt>
                      <c:pt idx="90">
                        <c:v>0.51683999999999997</c:v>
                      </c:pt>
                      <c:pt idx="91">
                        <c:v>0.51683999999999997</c:v>
                      </c:pt>
                      <c:pt idx="92">
                        <c:v>0.51683999999999997</c:v>
                      </c:pt>
                      <c:pt idx="93">
                        <c:v>0.51683999999999997</c:v>
                      </c:pt>
                      <c:pt idx="94">
                        <c:v>0.51683999999999997</c:v>
                      </c:pt>
                      <c:pt idx="95">
                        <c:v>0.51683999999999997</c:v>
                      </c:pt>
                      <c:pt idx="96">
                        <c:v>0.51683999999999997</c:v>
                      </c:pt>
                      <c:pt idx="97">
                        <c:v>0.51683999999999997</c:v>
                      </c:pt>
                      <c:pt idx="98">
                        <c:v>0.51683999999999997</c:v>
                      </c:pt>
                      <c:pt idx="99">
                        <c:v>0.51683999999999997</c:v>
                      </c:pt>
                      <c:pt idx="100">
                        <c:v>0.51683999999999997</c:v>
                      </c:pt>
                      <c:pt idx="101">
                        <c:v>0.51683999999999997</c:v>
                      </c:pt>
                      <c:pt idx="102">
                        <c:v>0.51683999999999997</c:v>
                      </c:pt>
                      <c:pt idx="103">
                        <c:v>0.51683999999999997</c:v>
                      </c:pt>
                      <c:pt idx="104">
                        <c:v>0.51683999999999997</c:v>
                      </c:pt>
                      <c:pt idx="105">
                        <c:v>0.51683999999999997</c:v>
                      </c:pt>
                      <c:pt idx="106">
                        <c:v>0.51683999999999997</c:v>
                      </c:pt>
                      <c:pt idx="107">
                        <c:v>0.51683999999999997</c:v>
                      </c:pt>
                      <c:pt idx="108">
                        <c:v>0.51683999999999997</c:v>
                      </c:pt>
                      <c:pt idx="109">
                        <c:v>0.51683999999999997</c:v>
                      </c:pt>
                      <c:pt idx="110">
                        <c:v>0.51683999999999997</c:v>
                      </c:pt>
                      <c:pt idx="111">
                        <c:v>0.51683999999999997</c:v>
                      </c:pt>
                      <c:pt idx="112">
                        <c:v>0.51683999999999997</c:v>
                      </c:pt>
                      <c:pt idx="113">
                        <c:v>0.51683999999999997</c:v>
                      </c:pt>
                      <c:pt idx="114">
                        <c:v>0.51683999999999997</c:v>
                      </c:pt>
                      <c:pt idx="115">
                        <c:v>0.51683999999999997</c:v>
                      </c:pt>
                      <c:pt idx="116">
                        <c:v>0.51683999999999997</c:v>
                      </c:pt>
                      <c:pt idx="117">
                        <c:v>0.51683999999999997</c:v>
                      </c:pt>
                      <c:pt idx="118">
                        <c:v>0.51683999999999997</c:v>
                      </c:pt>
                      <c:pt idx="119">
                        <c:v>0.51683999999999997</c:v>
                      </c:pt>
                      <c:pt idx="120">
                        <c:v>0.51683999999999997</c:v>
                      </c:pt>
                      <c:pt idx="121">
                        <c:v>0.51683999999999997</c:v>
                      </c:pt>
                      <c:pt idx="122">
                        <c:v>0.51683999999999997</c:v>
                      </c:pt>
                      <c:pt idx="123">
                        <c:v>0.51683999999999997</c:v>
                      </c:pt>
                      <c:pt idx="124">
                        <c:v>0.51683999999999997</c:v>
                      </c:pt>
                      <c:pt idx="125">
                        <c:v>0.51683999999999997</c:v>
                      </c:pt>
                      <c:pt idx="126">
                        <c:v>0.51683999999999997</c:v>
                      </c:pt>
                      <c:pt idx="127">
                        <c:v>0.51683999999999997</c:v>
                      </c:pt>
                      <c:pt idx="128">
                        <c:v>0.51683999999999997</c:v>
                      </c:pt>
                      <c:pt idx="129">
                        <c:v>0.51683999999999997</c:v>
                      </c:pt>
                      <c:pt idx="130">
                        <c:v>0.51683999999999997</c:v>
                      </c:pt>
                      <c:pt idx="131">
                        <c:v>0.51683999999999997</c:v>
                      </c:pt>
                      <c:pt idx="132">
                        <c:v>0.51683999999999997</c:v>
                      </c:pt>
                      <c:pt idx="133">
                        <c:v>0.51683999999999997</c:v>
                      </c:pt>
                      <c:pt idx="134">
                        <c:v>0.51683999999999997</c:v>
                      </c:pt>
                      <c:pt idx="135">
                        <c:v>0.51683999999999997</c:v>
                      </c:pt>
                      <c:pt idx="136">
                        <c:v>0.51683999999999997</c:v>
                      </c:pt>
                      <c:pt idx="137">
                        <c:v>0.51683999999999997</c:v>
                      </c:pt>
                      <c:pt idx="138">
                        <c:v>0.51683999999999997</c:v>
                      </c:pt>
                      <c:pt idx="139">
                        <c:v>0.51683999999999997</c:v>
                      </c:pt>
                      <c:pt idx="140">
                        <c:v>0.51683999999999997</c:v>
                      </c:pt>
                      <c:pt idx="141">
                        <c:v>0.51683999999999997</c:v>
                      </c:pt>
                      <c:pt idx="142">
                        <c:v>0.51683999999999997</c:v>
                      </c:pt>
                      <c:pt idx="143">
                        <c:v>0.51683999999999997</c:v>
                      </c:pt>
                      <c:pt idx="144">
                        <c:v>0.51683999999999997</c:v>
                      </c:pt>
                      <c:pt idx="145">
                        <c:v>0.51683999999999997</c:v>
                      </c:pt>
                      <c:pt idx="146">
                        <c:v>0.51683999999999997</c:v>
                      </c:pt>
                      <c:pt idx="147">
                        <c:v>0.51683999999999997</c:v>
                      </c:pt>
                      <c:pt idx="148">
                        <c:v>0.51683999999999997</c:v>
                      </c:pt>
                      <c:pt idx="149">
                        <c:v>0.51683999999999997</c:v>
                      </c:pt>
                      <c:pt idx="150">
                        <c:v>0.51683999999999997</c:v>
                      </c:pt>
                      <c:pt idx="151">
                        <c:v>0.51683999999999997</c:v>
                      </c:pt>
                      <c:pt idx="152">
                        <c:v>0.51683999999999997</c:v>
                      </c:pt>
                      <c:pt idx="153">
                        <c:v>0.51683999999999997</c:v>
                      </c:pt>
                      <c:pt idx="154">
                        <c:v>0.51683999999999997</c:v>
                      </c:pt>
                      <c:pt idx="155">
                        <c:v>0.51683999999999997</c:v>
                      </c:pt>
                      <c:pt idx="156">
                        <c:v>0.51683999999999997</c:v>
                      </c:pt>
                      <c:pt idx="157">
                        <c:v>0.51683999999999997</c:v>
                      </c:pt>
                      <c:pt idx="158">
                        <c:v>0.51683999999999997</c:v>
                      </c:pt>
                      <c:pt idx="159">
                        <c:v>0.51683999999999997</c:v>
                      </c:pt>
                      <c:pt idx="160">
                        <c:v>0.51683999999999997</c:v>
                      </c:pt>
                      <c:pt idx="161">
                        <c:v>0.51683999999999997</c:v>
                      </c:pt>
                      <c:pt idx="162">
                        <c:v>0.51683999999999997</c:v>
                      </c:pt>
                      <c:pt idx="163">
                        <c:v>0.51683999999999997</c:v>
                      </c:pt>
                      <c:pt idx="164">
                        <c:v>0.51683999999999997</c:v>
                      </c:pt>
                      <c:pt idx="165">
                        <c:v>0.51683999999999997</c:v>
                      </c:pt>
                      <c:pt idx="166">
                        <c:v>0.51683999999999997</c:v>
                      </c:pt>
                      <c:pt idx="167">
                        <c:v>0.51683999999999997</c:v>
                      </c:pt>
                      <c:pt idx="168">
                        <c:v>0.51683999999999997</c:v>
                      </c:pt>
                      <c:pt idx="169">
                        <c:v>0.51683999999999997</c:v>
                      </c:pt>
                      <c:pt idx="170">
                        <c:v>0.51683999999999997</c:v>
                      </c:pt>
                      <c:pt idx="171">
                        <c:v>0.51683999999999997</c:v>
                      </c:pt>
                      <c:pt idx="172">
                        <c:v>0.51683999999999997</c:v>
                      </c:pt>
                      <c:pt idx="173">
                        <c:v>0.51683999999999997</c:v>
                      </c:pt>
                      <c:pt idx="174">
                        <c:v>0.51683999999999997</c:v>
                      </c:pt>
                      <c:pt idx="175">
                        <c:v>0.51683999999999997</c:v>
                      </c:pt>
                      <c:pt idx="176">
                        <c:v>0.51683999999999997</c:v>
                      </c:pt>
                      <c:pt idx="177">
                        <c:v>0.51683999999999997</c:v>
                      </c:pt>
                      <c:pt idx="178">
                        <c:v>0.51683999999999997</c:v>
                      </c:pt>
                      <c:pt idx="179">
                        <c:v>0.51683999999999997</c:v>
                      </c:pt>
                      <c:pt idx="180">
                        <c:v>0.51683999999999997</c:v>
                      </c:pt>
                      <c:pt idx="181">
                        <c:v>0.51683999999999997</c:v>
                      </c:pt>
                      <c:pt idx="182">
                        <c:v>0.51683999999999997</c:v>
                      </c:pt>
                      <c:pt idx="183">
                        <c:v>0.51683999999999997</c:v>
                      </c:pt>
                      <c:pt idx="184">
                        <c:v>0.51683999999999997</c:v>
                      </c:pt>
                      <c:pt idx="185">
                        <c:v>0.51683999999999997</c:v>
                      </c:pt>
                      <c:pt idx="186">
                        <c:v>0.51683999999999997</c:v>
                      </c:pt>
                      <c:pt idx="187">
                        <c:v>0.51683999999999997</c:v>
                      </c:pt>
                      <c:pt idx="188">
                        <c:v>0.51683999999999997</c:v>
                      </c:pt>
                      <c:pt idx="189">
                        <c:v>0.51683999999999997</c:v>
                      </c:pt>
                      <c:pt idx="190">
                        <c:v>0.51683999999999997</c:v>
                      </c:pt>
                      <c:pt idx="191">
                        <c:v>0.51683999999999997</c:v>
                      </c:pt>
                      <c:pt idx="192">
                        <c:v>0.51683999999999997</c:v>
                      </c:pt>
                      <c:pt idx="193">
                        <c:v>0.51683999999999997</c:v>
                      </c:pt>
                      <c:pt idx="194">
                        <c:v>0.51683999999999997</c:v>
                      </c:pt>
                      <c:pt idx="195">
                        <c:v>0.51683999999999997</c:v>
                      </c:pt>
                      <c:pt idx="196">
                        <c:v>0.51683999999999997</c:v>
                      </c:pt>
                      <c:pt idx="197">
                        <c:v>0.51683999999999997</c:v>
                      </c:pt>
                      <c:pt idx="198">
                        <c:v>0.51683999999999997</c:v>
                      </c:pt>
                      <c:pt idx="199">
                        <c:v>0.51683999999999997</c:v>
                      </c:pt>
                      <c:pt idx="200">
                        <c:v>0.51683999999999997</c:v>
                      </c:pt>
                    </c:numCache>
                  </c:numRef>
                </c:val>
                <c:smooth val="0"/>
                <c:extLst>
                  <c:ext xmlns:c16="http://schemas.microsoft.com/office/drawing/2014/chart" uri="{C3380CC4-5D6E-409C-BE32-E72D297353CC}">
                    <c16:uniqueId val="{00000006-DAC0-423F-B197-448F000A954F}"/>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'Efficiency vs VIN Calculations'!$AF$8</c15:sqref>
                        </c15:formulaRef>
                      </c:ext>
                    </c:extLst>
                    <c:strCache>
                      <c:ptCount val="1"/>
                      <c:pt idx="0">
                        <c:v>Total Cin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Calculations'!$AF$9:$AF$209</c15:sqref>
                        </c15:formulaRef>
                      </c:ext>
                    </c:extLst>
                    <c:numCache>
                      <c:formatCode>0.000</c:formatCode>
                      <c:ptCount val="201"/>
                      <c:pt idx="0">
                        <c:v>5.6109654535195889E-2</c:v>
                      </c:pt>
                      <c:pt idx="1">
                        <c:v>5.6808454005512085E-2</c:v>
                      </c:pt>
                      <c:pt idx="2">
                        <c:v>5.7483154589628063E-2</c:v>
                      </c:pt>
                      <c:pt idx="3">
                        <c:v>5.8134545191856318E-2</c:v>
                      </c:pt>
                      <c:pt idx="4">
                        <c:v>5.8763385142715681E-2</c:v>
                      </c:pt>
                      <c:pt idx="5">
                        <c:v>5.9370405482510616E-2</c:v>
                      </c:pt>
                      <c:pt idx="6">
                        <c:v>5.9956310181083286E-2</c:v>
                      </c:pt>
                      <c:pt idx="7">
                        <c:v>6.052177729732662E-2</c:v>
                      </c:pt>
                      <c:pt idx="8">
                        <c:v>6.1067460081822192E-2</c:v>
                      </c:pt>
                      <c:pt idx="9">
                        <c:v>6.1593988025755587E-2</c:v>
                      </c:pt>
                      <c:pt idx="10">
                        <c:v>6.2101967859069067E-2</c:v>
                      </c:pt>
                      <c:pt idx="11">
                        <c:v>6.2591984500626266E-2</c:v>
                      </c:pt>
                      <c:pt idx="12">
                        <c:v>6.3064601962997346E-2</c:v>
                      </c:pt>
                      <c:pt idx="13">
                        <c:v>6.3520364214312189E-2</c:v>
                      </c:pt>
                      <c:pt idx="14">
                        <c:v>6.3959795999483773E-2</c:v>
                      </c:pt>
                      <c:pt idx="15">
                        <c:v>6.4383403622964644E-2</c:v>
                      </c:pt>
                      <c:pt idx="16">
                        <c:v>6.4791675695071854E-2</c:v>
                      </c:pt>
                      <c:pt idx="17">
                        <c:v>6.5185083843794997E-2</c:v>
                      </c:pt>
                      <c:pt idx="18">
                        <c:v>6.5564083393889708E-2</c:v>
                      </c:pt>
                      <c:pt idx="19">
                        <c:v>6.5929114014954243E-2</c:v>
                      </c:pt>
                      <c:pt idx="20">
                        <c:v>6.6280600340088272E-2</c:v>
                      </c:pt>
                      <c:pt idx="21">
                        <c:v>6.6618952556640965E-2</c:v>
                      </c:pt>
                      <c:pt idx="22">
                        <c:v>6.6944566970469174E-2</c:v>
                      </c:pt>
                      <c:pt idx="23">
                        <c:v>6.7257826545046584E-2</c:v>
                      </c:pt>
                      <c:pt idx="24">
                        <c:v>6.7559101416687611E-2</c:v>
                      </c:pt>
                      <c:pt idx="25">
                        <c:v>6.7848749387080742E-2</c:v>
                      </c:pt>
                      <c:pt idx="26">
                        <c:v>6.8127116394257226E-2</c:v>
                      </c:pt>
                      <c:pt idx="27">
                        <c:v>6.8394536963061275E-2</c:v>
                      </c:pt>
                      <c:pt idx="28">
                        <c:v>6.8651334636126521E-2</c:v>
                      </c:pt>
                      <c:pt idx="29">
                        <c:v>6.889782238631055E-2</c:v>
                      </c:pt>
                      <c:pt idx="30">
                        <c:v>6.9134303011486667E-2</c:v>
                      </c:pt>
                      <c:pt idx="31">
                        <c:v>6.9361069512543047E-2</c:v>
                      </c:pt>
                      <c:pt idx="32">
                        <c:v>6.9578405455394912E-2</c:v>
                      </c:pt>
                      <c:pt idx="33">
                        <c:v>6.9786585317771252E-2</c:v>
                      </c:pt>
                      <c:pt idx="34">
                        <c:v>6.9985874821497374E-2</c:v>
                      </c:pt>
                      <c:pt idx="35">
                        <c:v>7.0176531250957103E-2</c:v>
                      </c:pt>
                      <c:pt idx="36">
                        <c:v>7.0358803758381494E-2</c:v>
                      </c:pt>
                      <c:pt idx="37">
                        <c:v>7.0532933656578214E-2</c:v>
                      </c:pt>
                      <c:pt idx="38">
                        <c:v>7.0699154699683103E-2</c:v>
                      </c:pt>
                      <c:pt idx="39">
                        <c:v>7.0857693352485707E-2</c:v>
                      </c:pt>
                      <c:pt idx="40">
                        <c:v>7.1008769048852477E-2</c:v>
                      </c:pt>
                      <c:pt idx="41">
                        <c:v>7.1152594439743741E-2</c:v>
                      </c:pt>
                      <c:pt idx="42">
                        <c:v>7.1289375631296961E-2</c:v>
                      </c:pt>
                      <c:pt idx="43">
                        <c:v>7.1419312413423003E-2</c:v>
                      </c:pt>
                      <c:pt idx="44">
                        <c:v>7.1542598479341177E-2</c:v>
                      </c:pt>
                      <c:pt idx="45">
                        <c:v>7.1659421636457124E-2</c:v>
                      </c:pt>
                      <c:pt idx="46">
                        <c:v>7.1769964008967277E-2</c:v>
                      </c:pt>
                      <c:pt idx="47">
                        <c:v>7.1874402232554951E-2</c:v>
                      </c:pt>
                      <c:pt idx="48">
                        <c:v>7.1972907641525183E-2</c:v>
                      </c:pt>
                      <c:pt idx="49">
                        <c:v>7.2065646448708623E-2</c:v>
                      </c:pt>
                      <c:pt idx="50">
                        <c:v>7.2152779918447887E-2</c:v>
                      </c:pt>
                      <c:pt idx="51">
                        <c:v>7.2234464532966211E-2</c:v>
                      </c:pt>
                      <c:pt idx="52">
                        <c:v>7.2310852152402114E-2</c:v>
                      </c:pt>
                      <c:pt idx="53">
                        <c:v>7.2382090168781402E-2</c:v>
                      </c:pt>
                      <c:pt idx="54">
                        <c:v>7.2448321654184286E-2</c:v>
                      </c:pt>
                      <c:pt idx="55">
                        <c:v>7.2509685503353599E-2</c:v>
                      </c:pt>
                      <c:pt idx="56">
                        <c:v>7.2566316570978312E-2</c:v>
                      </c:pt>
                      <c:pt idx="57">
                        <c:v>7.2618345803875287E-2</c:v>
                      </c:pt>
                      <c:pt idx="58">
                        <c:v>7.2665900368282452E-2</c:v>
                      </c:pt>
                      <c:pt idx="59">
                        <c:v>7.270910377246631E-2</c:v>
                      </c:pt>
                      <c:pt idx="60">
                        <c:v>7.2748075984836943E-2</c:v>
                      </c:pt>
                      <c:pt idx="61">
                        <c:v>7.2782933547755904E-2</c:v>
                      </c:pt>
                      <c:pt idx="62">
                        <c:v>7.281378968721243E-2</c:v>
                      </c:pt>
                      <c:pt idx="63">
                        <c:v>7.2840754418537018E-2</c:v>
                      </c:pt>
                      <c:pt idx="64">
                        <c:v>7.2863934648312173E-2</c:v>
                      </c:pt>
                      <c:pt idx="65">
                        <c:v>7.2883434272634426E-2</c:v>
                      </c:pt>
                      <c:pt idx="66">
                        <c:v>7.2899354271873537E-2</c:v>
                      </c:pt>
                      <c:pt idx="67">
                        <c:v>7.2911792802069414E-2</c:v>
                      </c:pt>
                      <c:pt idx="68">
                        <c:v>7.2920845283099722E-2</c:v>
                      </c:pt>
                      <c:pt idx="69">
                        <c:v>7.2926604483746812E-2</c:v>
                      </c:pt>
                      <c:pt idx="70">
                        <c:v>7.2929160603785737E-2</c:v>
                      </c:pt>
                      <c:pt idx="71">
                        <c:v>7.2928601353210346E-2</c:v>
                      </c:pt>
                      <c:pt idx="72">
                        <c:v>7.2925012028709046E-2</c:v>
                      </c:pt>
                      <c:pt idx="73">
                        <c:v>7.2918475587497478E-2</c:v>
                      </c:pt>
                      <c:pt idx="74">
                        <c:v>7.2909072718610135E-2</c:v>
                      </c:pt>
                      <c:pt idx="75">
                        <c:v>7.2896881911748826E-2</c:v>
                      </c:pt>
                      <c:pt idx="76">
                        <c:v>7.288197952378199E-2</c:v>
                      </c:pt>
                      <c:pt idx="77">
                        <c:v>7.2864439842984241E-2</c:v>
                      </c:pt>
                      <c:pt idx="78">
                        <c:v>7.2844335151102099E-2</c:v>
                      </c:pt>
                      <c:pt idx="79">
                        <c:v>7.2821735783328775E-2</c:v>
                      </c:pt>
                      <c:pt idx="80">
                        <c:v>7.2796710186265642E-2</c:v>
                      </c:pt>
                      <c:pt idx="81">
                        <c:v>7.2769324973947266E-2</c:v>
                      </c:pt>
                      <c:pt idx="82">
                        <c:v>7.2739644982001514E-2</c:v>
                      </c:pt>
                      <c:pt idx="83">
                        <c:v>7.2707733320014567E-2</c:v>
                      </c:pt>
                      <c:pt idx="84">
                        <c:v>7.2673651422166891E-2</c:v>
                      </c:pt>
                      <c:pt idx="85">
                        <c:v>7.263745909620449E-2</c:v>
                      </c:pt>
                      <c:pt idx="86">
                        <c:v>7.2599214570806342E-2</c:v>
                      </c:pt>
                      <c:pt idx="87">
                        <c:v>7.2558974541406723E-2</c:v>
                      </c:pt>
                      <c:pt idx="88">
                        <c:v>7.2516794214528613E-2</c:v>
                      </c:pt>
                      <c:pt idx="89">
                        <c:v>7.2472727350682511E-2</c:v>
                      </c:pt>
                      <c:pt idx="90">
                        <c:v>7.2426826305882278E-2</c:v>
                      </c:pt>
                      <c:pt idx="91">
                        <c:v>7.2379142071827621E-2</c:v>
                      </c:pt>
                      <c:pt idx="92">
                        <c:v>7.2329724314801724E-2</c:v>
                      </c:pt>
                      <c:pt idx="93">
                        <c:v>7.2278621413328803E-2</c:v>
                      </c:pt>
                      <c:pt idx="94">
                        <c:v>7.2225880494636713E-2</c:v>
                      </c:pt>
                      <c:pt idx="95">
                        <c:v>7.2171547469966249E-2</c:v>
                      </c:pt>
                      <c:pt idx="96">
                        <c:v>7.2115667068768249E-2</c:v>
                      </c:pt>
                      <c:pt idx="97">
                        <c:v>7.2058282871827237E-2</c:v>
                      </c:pt>
                      <c:pt idx="98">
                        <c:v>7.1999437343349404E-2</c:v>
                      </c:pt>
                      <c:pt idx="99">
                        <c:v>7.1939171862050996E-2</c:v>
                      </c:pt>
                      <c:pt idx="100">
                        <c:v>7.1877526751281617E-2</c:v>
                      </c:pt>
                      <c:pt idx="101">
                        <c:v>7.1814541308216365E-2</c:v>
                      </c:pt>
                      <c:pt idx="102">
                        <c:v>7.175025383214792E-2</c:v>
                      </c:pt>
                      <c:pt idx="103">
                        <c:v>7.1684701651910723E-2</c:v>
                      </c:pt>
                      <c:pt idx="104">
                        <c:v>7.161792115246586E-2</c:v>
                      </c:pt>
                      <c:pt idx="105">
                        <c:v>7.1549947800675778E-2</c:v>
                      </c:pt>
                      <c:pt idx="106">
                        <c:v>7.1480816170296169E-2</c:v>
                      </c:pt>
                      <c:pt idx="107">
                        <c:v>7.1410559966211651E-2</c:v>
                      </c:pt>
                      <c:pt idx="108">
                        <c:v>7.1339212047940428E-2</c:v>
                      </c:pt>
                      <c:pt idx="109">
                        <c:v>7.1266804452432705E-2</c:v>
                      </c:pt>
                      <c:pt idx="110">
                        <c:v>7.1193368416186481E-2</c:v>
                      </c:pt>
                      <c:pt idx="111">
                        <c:v>7.1118934396702999E-2</c:v>
                      </c:pt>
                      <c:pt idx="112">
                        <c:v>7.1043532093304759E-2</c:v>
                      </c:pt>
                      <c:pt idx="113">
                        <c:v>7.0967190467335864E-2</c:v>
                      </c:pt>
                      <c:pt idx="114">
                        <c:v>7.0889937761766234E-2</c:v>
                      </c:pt>
                      <c:pt idx="115">
                        <c:v>7.0811801520218529E-2</c:v>
                      </c:pt>
                      <c:pt idx="116">
                        <c:v>7.0732808605436931E-2</c:v>
                      </c:pt>
                      <c:pt idx="117">
                        <c:v>7.0652985217215886E-2</c:v>
                      </c:pt>
                      <c:pt idx="118">
                        <c:v>7.0572356909806469E-2</c:v>
                      </c:pt>
                      <c:pt idx="119">
                        <c:v>7.0490948608817369E-2</c:v>
                      </c:pt>
                      <c:pt idx="120">
                        <c:v>7.0408784627626078E-2</c:v>
                      </c:pt>
                      <c:pt idx="121">
                        <c:v>7.0325888683317198E-2</c:v>
                      </c:pt>
                      <c:pt idx="122">
                        <c:v>7.0242283912162071E-2</c:v>
                      </c:pt>
                      <c:pt idx="123">
                        <c:v>7.0157992884654602E-2</c:v>
                      </c:pt>
                      <c:pt idx="124">
                        <c:v>7.007303762011774E-2</c:v>
                      </c:pt>
                      <c:pt idx="125">
                        <c:v>6.9987439600893694E-2</c:v>
                      </c:pt>
                      <c:pt idx="126">
                        <c:v>6.9901219786131355E-2</c:v>
                      </c:pt>
                      <c:pt idx="127">
                        <c:v>6.9814398625183655E-2</c:v>
                      </c:pt>
                      <c:pt idx="128">
                        <c:v>6.972699607062692E-2</c:v>
                      </c:pt>
                      <c:pt idx="129">
                        <c:v>6.9639031590913905E-2</c:v>
                      </c:pt>
                      <c:pt idx="130">
                        <c:v>6.955052418267238E-2</c:v>
                      </c:pt>
                      <c:pt idx="131">
                        <c:v>6.9461492382659862E-2</c:v>
                      </c:pt>
                      <c:pt idx="132">
                        <c:v>6.937195427938532E-2</c:v>
                      </c:pt>
                      <c:pt idx="133">
                        <c:v>6.9281927524408121E-2</c:v>
                      </c:pt>
                      <c:pt idx="134">
                        <c:v>6.9191429343324035E-2</c:v>
                      </c:pt>
                      <c:pt idx="135">
                        <c:v>6.9100476546447881E-2</c:v>
                      </c:pt>
                      <c:pt idx="136">
                        <c:v>6.9009085539202472E-2</c:v>
                      </c:pt>
                      <c:pt idx="137">
                        <c:v>6.8917272332222154E-2</c:v>
                      </c:pt>
                      <c:pt idx="138">
                        <c:v>6.8825052551180085E-2</c:v>
                      </c:pt>
                      <c:pt idx="139">
                        <c:v>6.8732441446347464E-2</c:v>
                      </c:pt>
                      <c:pt idx="140">
                        <c:v>6.8639453901892827E-2</c:v>
                      </c:pt>
                      <c:pt idx="141">
                        <c:v>6.8546104444929007E-2</c:v>
                      </c:pt>
                      <c:pt idx="142">
                        <c:v>6.84524072543157E-2</c:v>
                      </c:pt>
                      <c:pt idx="143">
                        <c:v>6.8358376169224688E-2</c:v>
                      </c:pt>
                      <c:pt idx="144">
                        <c:v>6.8264024697474793E-2</c:v>
                      </c:pt>
                      <c:pt idx="145">
                        <c:v>6.8169366023643319E-2</c:v>
                      </c:pt>
                      <c:pt idx="146">
                        <c:v>6.807441301696103E-2</c:v>
                      </c:pt>
                      <c:pt idx="147">
                        <c:v>6.7979178238996338E-2</c:v>
                      </c:pt>
                      <c:pt idx="148">
                        <c:v>6.7883673951135787E-2</c:v>
                      </c:pt>
                      <c:pt idx="149">
                        <c:v>6.7787912121865607E-2</c:v>
                      </c:pt>
                      <c:pt idx="150">
                        <c:v>6.7691904433861569E-2</c:v>
                      </c:pt>
                      <c:pt idx="151">
                        <c:v>6.7595662290891645E-2</c:v>
                      </c:pt>
                      <c:pt idx="152">
                        <c:v>6.7499196824537241E-2</c:v>
                      </c:pt>
                      <c:pt idx="153">
                        <c:v>6.7402518900738395E-2</c:v>
                      </c:pt>
                      <c:pt idx="154">
                        <c:v>6.7305639126168187E-2</c:v>
                      </c:pt>
                      <c:pt idx="155">
                        <c:v>6.7208567854440182E-2</c:v>
                      </c:pt>
                      <c:pt idx="156">
                        <c:v>6.7111315192155629E-2</c:v>
                      </c:pt>
                      <c:pt idx="157">
                        <c:v>6.7013891004793089E-2</c:v>
                      </c:pt>
                      <c:pt idx="158">
                        <c:v>6.691630492244606E-2</c:v>
                      </c:pt>
                      <c:pt idx="159">
                        <c:v>6.6818566345412667E-2</c:v>
                      </c:pt>
                      <c:pt idx="160">
                        <c:v>6.6720684449641743E-2</c:v>
                      </c:pt>
                      <c:pt idx="161">
                        <c:v>6.6622668192038853E-2</c:v>
                      </c:pt>
                      <c:pt idx="162">
                        <c:v>6.6524526315637003E-2</c:v>
                      </c:pt>
                      <c:pt idx="163">
                        <c:v>6.6426267354635193E-2</c:v>
                      </c:pt>
                      <c:pt idx="164">
                        <c:v>6.6327899639308671E-2</c:v>
                      </c:pt>
                      <c:pt idx="165">
                        <c:v>6.6229431300794825E-2</c:v>
                      </c:pt>
                      <c:pt idx="166">
                        <c:v>6.6130870275757661E-2</c:v>
                      </c:pt>
                      <c:pt idx="167">
                        <c:v>6.603222431093464E-2</c:v>
                      </c:pt>
                      <c:pt idx="168">
                        <c:v>6.5933500967568767E-2</c:v>
                      </c:pt>
                      <c:pt idx="169">
                        <c:v>6.5834707625729669E-2</c:v>
                      </c:pt>
                      <c:pt idx="170">
                        <c:v>6.5735851488525968E-2</c:v>
                      </c:pt>
                      <c:pt idx="171">
                        <c:v>6.5636939586212764E-2</c:v>
                      </c:pt>
                      <c:pt idx="172">
                        <c:v>6.5537978780196252E-2</c:v>
                      </c:pt>
                      <c:pt idx="173">
                        <c:v>6.5438975766939037E-2</c:v>
                      </c:pt>
                      <c:pt idx="174">
                        <c:v>6.5339937081768398E-2</c:v>
                      </c:pt>
                      <c:pt idx="175">
                        <c:v>6.5240869102590235E-2</c:v>
                      </c:pt>
                      <c:pt idx="176">
                        <c:v>6.5141778053511415E-2</c:v>
                      </c:pt>
                      <c:pt idx="177">
                        <c:v>6.5042670008372827E-2</c:v>
                      </c:pt>
                      <c:pt idx="178">
                        <c:v>6.4943550894195526E-2</c:v>
                      </c:pt>
                      <c:pt idx="179">
                        <c:v>6.4844426494542265E-2</c:v>
                      </c:pt>
                      <c:pt idx="180">
                        <c:v>6.4745302452797415E-2</c:v>
                      </c:pt>
                      <c:pt idx="181">
                        <c:v>6.4646184275365892E-2</c:v>
                      </c:pt>
                      <c:pt idx="182">
                        <c:v>6.4547077334794964E-2</c:v>
                      </c:pt>
                      <c:pt idx="183">
                        <c:v>6.4447986872819885E-2</c:v>
                      </c:pt>
                      <c:pt idx="184">
                        <c:v>6.4348918003335767E-2</c:v>
                      </c:pt>
                      <c:pt idx="185">
                        <c:v>6.4249875715297694E-2</c:v>
                      </c:pt>
                      <c:pt idx="186">
                        <c:v>6.4150864875550551E-2</c:v>
                      </c:pt>
                      <c:pt idx="187">
                        <c:v>6.405189023159126E-2</c:v>
                      </c:pt>
                      <c:pt idx="188">
                        <c:v>6.3952956414264184E-2</c:v>
                      </c:pt>
                      <c:pt idx="189">
                        <c:v>6.3854067940392306E-2</c:v>
                      </c:pt>
                      <c:pt idx="190">
                        <c:v>6.3755229215345141E-2</c:v>
                      </c:pt>
                      <c:pt idx="191">
                        <c:v>6.3656444535545753E-2</c:v>
                      </c:pt>
                      <c:pt idx="192">
                        <c:v>6.3557718090917883E-2</c:v>
                      </c:pt>
                      <c:pt idx="193">
                        <c:v>6.3459053967275039E-2</c:v>
                      </c:pt>
                      <c:pt idx="194">
                        <c:v>6.3360456148652711E-2</c:v>
                      </c:pt>
                      <c:pt idx="195">
                        <c:v>6.3261928519585939E-2</c:v>
                      </c:pt>
                      <c:pt idx="196">
                        <c:v>6.3163474867332661E-2</c:v>
                      </c:pt>
                      <c:pt idx="197">
                        <c:v>6.3065098884044907E-2</c:v>
                      </c:pt>
                      <c:pt idx="198">
                        <c:v>6.2966804168888946E-2</c:v>
                      </c:pt>
                      <c:pt idx="199">
                        <c:v>6.2868594230115746E-2</c:v>
                      </c:pt>
                      <c:pt idx="200">
                        <c:v>6.2770472487082923E-2</c:v>
                      </c:pt>
                    </c:numCache>
                  </c:numRef>
                </c:val>
                <c:smooth val="0"/>
                <c:extLst xmlns:c15="http://schemas.microsoft.com/office/drawing/2012/chart">
                  <c:ext xmlns:c16="http://schemas.microsoft.com/office/drawing/2014/chart" uri="{C3380CC4-5D6E-409C-BE32-E72D297353CC}">
                    <c16:uniqueId val="{00000007-DAC0-423F-B197-448F000A954F}"/>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'Efficiency vs VIN Calculations'!$AC$8</c15:sqref>
                        </c15:formulaRef>
                      </c:ext>
                    </c:extLst>
                    <c:strCache>
                      <c:ptCount val="1"/>
                      <c:pt idx="0">
                        <c:v>Total Cout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Calculations'!$AC$9:$AC$209</c15:sqref>
                        </c15:formulaRef>
                      </c:ext>
                    </c:extLst>
                    <c:numCache>
                      <c:formatCode>0.000</c:formatCode>
                      <c:ptCount val="201"/>
                      <c:pt idx="0">
                        <c:v>2.6259597524932012E-3</c:v>
                      </c:pt>
                      <c:pt idx="1">
                        <c:v>2.7256505648593898E-3</c:v>
                      </c:pt>
                      <c:pt idx="2">
                        <c:v>2.8257859992278141E-3</c:v>
                      </c:pt>
                      <c:pt idx="3">
                        <c:v>2.9263198215073011E-3</c:v>
                      </c:pt>
                      <c:pt idx="4">
                        <c:v>3.0272080573061017E-3</c:v>
                      </c:pt>
                      <c:pt idx="5">
                        <c:v>3.1284088820129879E-3</c:v>
                      </c:pt>
                      <c:pt idx="6">
                        <c:v>3.2298825166463029E-3</c:v>
                      </c:pt>
                      <c:pt idx="7">
                        <c:v>3.3315911291397992E-3</c:v>
                      </c:pt>
                      <c:pt idx="8">
                        <c:v>3.4334987407546452E-3</c:v>
                      </c:pt>
                      <c:pt idx="9">
                        <c:v>3.5355711373265971E-3</c:v>
                      </c:pt>
                      <c:pt idx="10">
                        <c:v>3.6377757850752142E-3</c:v>
                      </c:pt>
                      <c:pt idx="11">
                        <c:v>3.7400817507190821E-3</c:v>
                      </c:pt>
                      <c:pt idx="12">
                        <c:v>3.842459625656458E-3</c:v>
                      </c:pt>
                      <c:pt idx="13">
                        <c:v>3.9448814539856693E-3</c:v>
                      </c:pt>
                      <c:pt idx="14">
                        <c:v>4.0473206641531388E-3</c:v>
                      </c:pt>
                      <c:pt idx="15">
                        <c:v>4.1497520040297518E-3</c:v>
                      </c:pt>
                      <c:pt idx="16">
                        <c:v>4.2521514792282838E-3</c:v>
                      </c:pt>
                      <c:pt idx="17">
                        <c:v>4.3544962944856401E-3</c:v>
                      </c:pt>
                      <c:pt idx="18">
                        <c:v>4.456764797944289E-3</c:v>
                      </c:pt>
                      <c:pt idx="19">
                        <c:v>4.5589364281769266E-3</c:v>
                      </c:pt>
                      <c:pt idx="20">
                        <c:v>4.6609916638075182E-3</c:v>
                      </c:pt>
                      <c:pt idx="21">
                        <c:v>4.7629119755906472E-3</c:v>
                      </c:pt>
                      <c:pt idx="22">
                        <c:v>4.8646797808187649E-3</c:v>
                      </c:pt>
                      <c:pt idx="23">
                        <c:v>4.9662783999348814E-3</c:v>
                      </c:pt>
                      <c:pt idx="24">
                        <c:v>5.0676920152348389E-3</c:v>
                      </c:pt>
                      <c:pt idx="25">
                        <c:v>5.1689056315502814E-3</c:v>
                      </c:pt>
                      <c:pt idx="26">
                        <c:v>5.2699050388094219E-3</c:v>
                      </c:pt>
                      <c:pt idx="27">
                        <c:v>5.3706767763785556E-3</c:v>
                      </c:pt>
                      <c:pt idx="28">
                        <c:v>5.4712080990927947E-3</c:v>
                      </c:pt>
                      <c:pt idx="29">
                        <c:v>5.5714869448894866E-3</c:v>
                      </c:pt>
                      <c:pt idx="30">
                        <c:v>5.6715019039628098E-3</c:v>
                      </c:pt>
                      <c:pt idx="31">
                        <c:v>5.7712421893622431E-3</c:v>
                      </c:pt>
                      <c:pt idx="32">
                        <c:v>5.8706976089622264E-3</c:v>
                      </c:pt>
                      <c:pt idx="33">
                        <c:v>5.9698585387339799E-3</c:v>
                      </c:pt>
                      <c:pt idx="34">
                        <c:v>6.0687158972544397E-3</c:v>
                      </c:pt>
                      <c:pt idx="35">
                        <c:v>6.1672611213907328E-3</c:v>
                      </c:pt>
                      <c:pt idx="36">
                        <c:v>6.2654861431018687E-3</c:v>
                      </c:pt>
                      <c:pt idx="37">
                        <c:v>6.3633833673025879E-3</c:v>
                      </c:pt>
                      <c:pt idx="38">
                        <c:v>6.4609456507371604E-3</c:v>
                      </c:pt>
                      <c:pt idx="39">
                        <c:v>6.5581662818137015E-3</c:v>
                      </c:pt>
                      <c:pt idx="40">
                        <c:v>6.6550389613523313E-3</c:v>
                      </c:pt>
                      <c:pt idx="41">
                        <c:v>6.7515577842026907E-3</c:v>
                      </c:pt>
                      <c:pt idx="42">
                        <c:v>6.847717221689067E-3</c:v>
                      </c:pt>
                      <c:pt idx="43">
                        <c:v>6.9435121048430125E-3</c:v>
                      </c:pt>
                      <c:pt idx="44">
                        <c:v>7.0389376083861352E-3</c:v>
                      </c:pt>
                      <c:pt idx="45">
                        <c:v>7.1339892354268805E-3</c:v>
                      </c:pt>
                      <c:pt idx="46">
                        <c:v>7.2286628028377219E-3</c:v>
                      </c:pt>
                      <c:pt idx="47">
                        <c:v>7.3229544272803565E-3</c:v>
                      </c:pt>
                      <c:pt idx="48">
                        <c:v>7.4168605118484603E-3</c:v>
                      </c:pt>
                      <c:pt idx="49">
                        <c:v>7.51037773329902E-3</c:v>
                      </c:pt>
                      <c:pt idx="50">
                        <c:v>7.6035030298446729E-3</c:v>
                      </c:pt>
                      <c:pt idx="51">
                        <c:v>7.6962335894809695E-3</c:v>
                      </c:pt>
                      <c:pt idx="52">
                        <c:v>7.7885668388237433E-3</c:v>
                      </c:pt>
                      <c:pt idx="53">
                        <c:v>7.8805004324329873E-3</c:v>
                      </c:pt>
                      <c:pt idx="54">
                        <c:v>7.9720322426008444E-3</c:v>
                      </c:pt>
                      <c:pt idx="55">
                        <c:v>8.0631603495823888E-3</c:v>
                      </c:pt>
                      <c:pt idx="56">
                        <c:v>8.1538830322490582E-3</c:v>
                      </c:pt>
                      <c:pt idx="57">
                        <c:v>8.2441987591453519E-3</c:v>
                      </c:pt>
                      <c:pt idx="58">
                        <c:v>8.3341061799305904E-3</c:v>
                      </c:pt>
                      <c:pt idx="59">
                        <c:v>8.4236041171883089E-3</c:v>
                      </c:pt>
                      <c:pt idx="60">
                        <c:v>8.5126915585866433E-3</c:v>
                      </c:pt>
                      <c:pt idx="61">
                        <c:v>8.6013676493741139E-3</c:v>
                      </c:pt>
                      <c:pt idx="62">
                        <c:v>8.6896316851955823E-3</c:v>
                      </c:pt>
                      <c:pt idx="63">
                        <c:v>8.7774831052142756E-3</c:v>
                      </c:pt>
                      <c:pt idx="64">
                        <c:v>8.86492148552619E-3</c:v>
                      </c:pt>
                      <c:pt idx="65">
                        <c:v>8.9519465328539698E-3</c:v>
                      </c:pt>
                      <c:pt idx="66">
                        <c:v>9.03855807850781E-3</c:v>
                      </c:pt>
                      <c:pt idx="67">
                        <c:v>9.1247560726018338E-3</c:v>
                      </c:pt>
                      <c:pt idx="68">
                        <c:v>9.2105405785144947E-3</c:v>
                      </c:pt>
                      <c:pt idx="69">
                        <c:v>9.2959117675824737E-3</c:v>
                      </c:pt>
                      <c:pt idx="70">
                        <c:v>9.3808699140179395E-3</c:v>
                      </c:pt>
                      <c:pt idx="71">
                        <c:v>9.465415390039339E-3</c:v>
                      </c:pt>
                      <c:pt idx="72">
                        <c:v>9.5495486612064556E-3</c:v>
                      </c:pt>
                      <c:pt idx="73">
                        <c:v>9.6332702819510452E-3</c:v>
                      </c:pt>
                      <c:pt idx="74">
                        <c:v>9.7165808912945649E-3</c:v>
                      </c:pt>
                      <c:pt idx="75">
                        <c:v>9.7994812087448483E-3</c:v>
                      </c:pt>
                      <c:pt idx="76">
                        <c:v>9.8819720303642312E-3</c:v>
                      </c:pt>
                      <c:pt idx="77">
                        <c:v>9.9640542250017203E-3</c:v>
                      </c:pt>
                      <c:pt idx="78">
                        <c:v>1.004572873068219E-2</c:v>
                      </c:pt>
                      <c:pt idx="79">
                        <c:v>1.0126996551146064E-2</c:v>
                      </c:pt>
                      <c:pt idx="80">
                        <c:v>1.0207858752532889E-2</c:v>
                      </c:pt>
                      <c:pt idx="81">
                        <c:v>1.0288316460202982E-2</c:v>
                      </c:pt>
                      <c:pt idx="82">
                        <c:v>1.036837085569111E-2</c:v>
                      </c:pt>
                      <c:pt idx="83">
                        <c:v>1.0448023173786864E-2</c:v>
                      </c:pt>
                      <c:pt idx="84">
                        <c:v>1.0527274699736154E-2</c:v>
                      </c:pt>
                      <c:pt idx="85">
                        <c:v>1.0606126766559029E-2</c:v>
                      </c:pt>
                      <c:pt idx="86">
                        <c:v>1.0684580752478806E-2</c:v>
                      </c:pt>
                      <c:pt idx="87">
                        <c:v>1.076263807845791E-2</c:v>
                      </c:pt>
                      <c:pt idx="88">
                        <c:v>1.0840300205836054E-2</c:v>
                      </c:pt>
                      <c:pt idx="89">
                        <c:v>1.0917568634066411E-2</c:v>
                      </c:pt>
                      <c:pt idx="90">
                        <c:v>1.0994444898545848E-2</c:v>
                      </c:pt>
                      <c:pt idx="91">
                        <c:v>1.1070930568535258E-2</c:v>
                      </c:pt>
                      <c:pt idx="92">
                        <c:v>1.1147027245166344E-2</c:v>
                      </c:pt>
                      <c:pt idx="93">
                        <c:v>1.1222736559531222E-2</c:v>
                      </c:pt>
                      <c:pt idx="94">
                        <c:v>1.1298060170851615E-2</c:v>
                      </c:pt>
                      <c:pt idx="95">
                        <c:v>1.1372999764724103E-2</c:v>
                      </c:pt>
                      <c:pt idx="96">
                        <c:v>1.1447557051438722E-2</c:v>
                      </c:pt>
                      <c:pt idx="97">
                        <c:v>1.1521733764367515E-2</c:v>
                      </c:pt>
                      <c:pt idx="98">
                        <c:v>1.1595531658420494E-2</c:v>
                      </c:pt>
                      <c:pt idx="99">
                        <c:v>1.1668952508566081E-2</c:v>
                      </c:pt>
                      <c:pt idx="100">
                        <c:v>1.1741998108413641E-2</c:v>
                      </c:pt>
                      <c:pt idx="101">
                        <c:v>1.1814670268855297E-2</c:v>
                      </c:pt>
                      <c:pt idx="102">
                        <c:v>1.1886970816764939E-2</c:v>
                      </c:pt>
                      <c:pt idx="103">
                        <c:v>1.195890159375192E-2</c:v>
                      </c:pt>
                      <c:pt idx="104">
                        <c:v>1.203046445496728E-2</c:v>
                      </c:pt>
                      <c:pt idx="105">
                        <c:v>1.2101661267960487E-2</c:v>
                      </c:pt>
                      <c:pt idx="106">
                        <c:v>1.2172493911584585E-2</c:v>
                      </c:pt>
                      <c:pt idx="107">
                        <c:v>1.2242964274947761E-2</c:v>
                      </c:pt>
                      <c:pt idx="108">
                        <c:v>1.231307425640964E-2</c:v>
                      </c:pt>
                      <c:pt idx="109">
                        <c:v>1.2382825762620328E-2</c:v>
                      </c:pt>
                      <c:pt idx="110">
                        <c:v>1.2452220707600704E-2</c:v>
                      </c:pt>
                      <c:pt idx="111">
                        <c:v>1.2521261011862059E-2</c:v>
                      </c:pt>
                      <c:pt idx="112">
                        <c:v>1.2589948601563917E-2</c:v>
                      </c:pt>
                      <c:pt idx="113">
                        <c:v>1.2658285407707939E-2</c:v>
                      </c:pt>
                      <c:pt idx="114">
                        <c:v>1.2726273365367205E-2</c:v>
                      </c:pt>
                      <c:pt idx="115">
                        <c:v>1.2793914412948693E-2</c:v>
                      </c:pt>
                      <c:pt idx="116">
                        <c:v>1.2861210491488367E-2</c:v>
                      </c:pt>
                      <c:pt idx="117">
                        <c:v>1.2928163543977016E-2</c:v>
                      </c:pt>
                      <c:pt idx="118">
                        <c:v>1.2994775514716022E-2</c:v>
                      </c:pt>
                      <c:pt idx="119">
                        <c:v>1.3061048348701577E-2</c:v>
                      </c:pt>
                      <c:pt idx="120">
                        <c:v>1.3126983991036487E-2</c:v>
                      </c:pt>
                      <c:pt idx="121">
                        <c:v>1.3192584386368326E-2</c:v>
                      </c:pt>
                      <c:pt idx="122">
                        <c:v>1.3257851478352827E-2</c:v>
                      </c:pt>
                      <c:pt idx="123">
                        <c:v>1.3322787209141811E-2</c:v>
                      </c:pt>
                      <c:pt idx="124">
                        <c:v>1.3387393518894349E-2</c:v>
                      </c:pt>
                      <c:pt idx="125">
                        <c:v>1.3451672345310375E-2</c:v>
                      </c:pt>
                      <c:pt idx="126">
                        <c:v>1.3515625623186067E-2</c:v>
                      </c:pt>
                      <c:pt idx="127">
                        <c:v>1.3579255283989785E-2</c:v>
                      </c:pt>
                      <c:pt idx="128">
                        <c:v>1.3642563255457978E-2</c:v>
                      </c:pt>
                      <c:pt idx="129">
                        <c:v>1.3705551461210259E-2</c:v>
                      </c:pt>
                      <c:pt idx="130">
                        <c:v>1.3768221820382847E-2</c:v>
                      </c:pt>
                      <c:pt idx="131">
                        <c:v>1.3830576247279654E-2</c:v>
                      </c:pt>
                      <c:pt idx="132">
                        <c:v>1.3892616651040414E-2</c:v>
                      </c:pt>
                      <c:pt idx="133">
                        <c:v>1.3954344935325005E-2</c:v>
                      </c:pt>
                      <c:pt idx="134">
                        <c:v>1.4015762998013537E-2</c:v>
                      </c:pt>
                      <c:pt idx="135">
                        <c:v>1.4076872730921406E-2</c:v>
                      </c:pt>
                      <c:pt idx="136">
                        <c:v>1.4137676019528889E-2</c:v>
                      </c:pt>
                      <c:pt idx="137">
                        <c:v>1.4198174742724523E-2</c:v>
                      </c:pt>
                      <c:pt idx="138">
                        <c:v>1.4258370772561932E-2</c:v>
                      </c:pt>
                      <c:pt idx="139">
                        <c:v>1.4318265974029383E-2</c:v>
                      </c:pt>
                      <c:pt idx="140">
                        <c:v>1.4377862204831695E-2</c:v>
                      </c:pt>
                      <c:pt idx="141">
                        <c:v>1.4437161315183923E-2</c:v>
                      </c:pt>
                      <c:pt idx="142">
                        <c:v>1.4496165147616522E-2</c:v>
                      </c:pt>
                      <c:pt idx="143">
                        <c:v>1.4554875536791235E-2</c:v>
                      </c:pt>
                      <c:pt idx="144">
                        <c:v>1.4613294309327625E-2</c:v>
                      </c:pt>
                      <c:pt idx="145">
                        <c:v>1.4671423283639575E-2</c:v>
                      </c:pt>
                      <c:pt idx="146">
                        <c:v>1.4729264269781472E-2</c:v>
                      </c:pt>
                      <c:pt idx="147">
                        <c:v>1.4786819069303641E-2</c:v>
                      </c:pt>
                      <c:pt idx="148">
                        <c:v>1.4844089475116775E-2</c:v>
                      </c:pt>
                      <c:pt idx="149">
                        <c:v>1.4901077271364836E-2</c:v>
                      </c:pt>
                      <c:pt idx="150">
                        <c:v>1.4957784233306171E-2</c:v>
                      </c:pt>
                      <c:pt idx="151">
                        <c:v>1.5014212127202518E-2</c:v>
                      </c:pt>
                      <c:pt idx="152">
                        <c:v>1.5070362710215692E-2</c:v>
                      </c:pt>
                      <c:pt idx="153">
                        <c:v>1.51262377303113E-2</c:v>
                      </c:pt>
                      <c:pt idx="154">
                        <c:v>1.5181838926169689E-2</c:v>
                      </c:pt>
                      <c:pt idx="155">
                        <c:v>1.5237168027103334E-2</c:v>
                      </c:pt>
                      <c:pt idx="156">
                        <c:v>1.5292226752980882E-2</c:v>
                      </c:pt>
                      <c:pt idx="157">
                        <c:v>1.5347016814157186E-2</c:v>
                      </c:pt>
                      <c:pt idx="158">
                        <c:v>1.5401539911409261E-2</c:v>
                      </c:pt>
                      <c:pt idx="159">
                        <c:v>1.5455797735878036E-2</c:v>
                      </c:pt>
                      <c:pt idx="160">
                        <c:v>1.5509791969015391E-2</c:v>
                      </c:pt>
                      <c:pt idx="161">
                        <c:v>1.5563524282536455E-2</c:v>
                      </c:pt>
                      <c:pt idx="162">
                        <c:v>1.561699633837694E-2</c:v>
                      </c:pt>
                      <c:pt idx="163">
                        <c:v>1.5670209788655246E-2</c:v>
                      </c:pt>
                      <c:pt idx="164">
                        <c:v>1.5723166275639099E-2</c:v>
                      </c:pt>
                      <c:pt idx="165">
                        <c:v>1.5775867431716651E-2</c:v>
                      </c:pt>
                      <c:pt idx="166">
                        <c:v>1.5828314879371773E-2</c:v>
                      </c:pt>
                      <c:pt idx="167">
                        <c:v>1.5880510231163446E-2</c:v>
                      </c:pt>
                      <c:pt idx="168">
                        <c:v>1.5932455089708857E-2</c:v>
                      </c:pt>
                      <c:pt idx="169">
                        <c:v>1.5984151047670366E-2</c:v>
                      </c:pt>
                      <c:pt idx="170">
                        <c:v>1.6035599687745938E-2</c:v>
                      </c:pt>
                      <c:pt idx="171">
                        <c:v>1.6086802582663023E-2</c:v>
                      </c:pt>
                      <c:pt idx="172">
                        <c:v>1.6137761295175555E-2</c:v>
                      </c:pt>
                      <c:pt idx="173">
                        <c:v>1.6188477378064219E-2</c:v>
                      </c:pt>
                      <c:pt idx="174">
                        <c:v>1.6238952374139554E-2</c:v>
                      </c:pt>
                      <c:pt idx="175">
                        <c:v>1.6289187816248007E-2</c:v>
                      </c:pt>
                      <c:pt idx="176">
                        <c:v>1.6339185227280579E-2</c:v>
                      </c:pt>
                      <c:pt idx="177">
                        <c:v>1.638894612018417E-2</c:v>
                      </c:pt>
                      <c:pt idx="178">
                        <c:v>1.6438471997975324E-2</c:v>
                      </c:pt>
                      <c:pt idx="179">
                        <c:v>1.6487764353756418E-2</c:v>
                      </c:pt>
                      <c:pt idx="180">
                        <c:v>1.6536824670733991E-2</c:v>
                      </c:pt>
                      <c:pt idx="181">
                        <c:v>1.6585654422239332E-2</c:v>
                      </c:pt>
                      <c:pt idx="182">
                        <c:v>1.6634255071751113E-2</c:v>
                      </c:pt>
                      <c:pt idx="183">
                        <c:v>1.668262807291988E-2</c:v>
                      </c:pt>
                      <c:pt idx="184">
                        <c:v>1.6730774869594452E-2</c:v>
                      </c:pt>
                      <c:pt idx="185">
                        <c:v>1.6778696895850227E-2</c:v>
                      </c:pt>
                      <c:pt idx="186">
                        <c:v>1.6826395576018963E-2</c:v>
                      </c:pt>
                      <c:pt idx="187">
                        <c:v>1.6873872324720318E-2</c:v>
                      </c:pt>
                      <c:pt idx="188">
                        <c:v>1.6921128546894842E-2</c:v>
                      </c:pt>
                      <c:pt idx="189">
                        <c:v>1.6968165637838449E-2</c:v>
                      </c:pt>
                      <c:pt idx="190">
                        <c:v>1.7014984983238259E-2</c:v>
                      </c:pt>
                      <c:pt idx="191">
                        <c:v>1.7061587959209774E-2</c:v>
                      </c:pt>
                      <c:pt idx="192">
                        <c:v>1.7107975932335231E-2</c:v>
                      </c:pt>
                      <c:pt idx="193">
                        <c:v>1.7154150259703186E-2</c:v>
                      </c:pt>
                      <c:pt idx="194">
                        <c:v>1.7200112288949205E-2</c:v>
                      </c:pt>
                      <c:pt idx="195">
                        <c:v>1.7245863358297534E-2</c:v>
                      </c:pt>
                      <c:pt idx="196">
                        <c:v>1.7291404796603918E-2</c:v>
                      </c:pt>
                      <c:pt idx="197">
                        <c:v>1.7336737923399115E-2</c:v>
                      </c:pt>
                      <c:pt idx="198">
                        <c:v>1.7381864048933576E-2</c:v>
                      </c:pt>
                      <c:pt idx="199">
                        <c:v>1.7426784474222707E-2</c:v>
                      </c:pt>
                      <c:pt idx="200">
                        <c:v>1.7471500491093049E-2</c:v>
                      </c:pt>
                    </c:numCache>
                  </c:numRef>
                </c:val>
                <c:smooth val="0"/>
                <c:extLst xmlns:c15="http://schemas.microsoft.com/office/drawing/2012/chart">
                  <c:ext xmlns:c16="http://schemas.microsoft.com/office/drawing/2014/chart" uri="{C3380CC4-5D6E-409C-BE32-E72D297353CC}">
                    <c16:uniqueId val="{00000008-DAC0-423F-B197-448F000A954F}"/>
                  </c:ext>
                </c:extLst>
              </c15:ser>
            </c15:filteredLineSeries>
            <c15:filteredLineSeries>
              <c15:ser>
                <c:idx val="5"/>
                <c:order val="9"/>
                <c:tx>
                  <c:strRef>
                    <c:extLst xmlns:c15="http://schemas.microsoft.com/office/drawing/2012/chart">
                      <c:ext xmlns:c15="http://schemas.microsoft.com/office/drawing/2012/chart" uri="{02D57815-91ED-43cb-92C2-25804820EDAC}">
                        <c15:formulaRef>
                          <c15:sqref>'Efficiency vs VIN Calculations'!$X$8</c15:sqref>
                        </c15:formulaRef>
                      </c:ext>
                    </c:extLst>
                    <c:strCache>
                      <c:ptCount val="1"/>
                      <c:pt idx="0">
                        <c:v>DCR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Calculations'!$X$9:$X$209</c15:sqref>
                        </c15:formulaRef>
                      </c:ext>
                    </c:extLst>
                    <c:numCache>
                      <c:formatCode>0.000</c:formatCode>
                      <c:ptCount val="201"/>
                      <c:pt idx="0">
                        <c:v>0.89849918959212216</c:v>
                      </c:pt>
                      <c:pt idx="1">
                        <c:v>0.89863205432339699</c:v>
                      </c:pt>
                      <c:pt idx="2">
                        <c:v>0.89876551428543616</c:v>
                      </c:pt>
                      <c:pt idx="3">
                        <c:v>0.89889950789134287</c:v>
                      </c:pt>
                      <c:pt idx="4">
                        <c:v>0.89903397656129536</c:v>
                      </c:pt>
                      <c:pt idx="5">
                        <c:v>0.89916886457629241</c:v>
                      </c:pt>
                      <c:pt idx="6">
                        <c:v>0.89930411893958162</c:v>
                      </c:pt>
                      <c:pt idx="7">
                        <c:v>0.89943968924531881</c:v>
                      </c:pt>
                      <c:pt idx="8">
                        <c:v>0.89957552755405856</c:v>
                      </c:pt>
                      <c:pt idx="9">
                        <c:v>0.8997115882746729</c:v>
                      </c:pt>
                      <c:pt idx="10">
                        <c:v>0.89984782805234487</c:v>
                      </c:pt>
                      <c:pt idx="11">
                        <c:v>0.89998420566229376</c:v>
                      </c:pt>
                      <c:pt idx="12">
                        <c:v>0.90012068190890759</c:v>
                      </c:pt>
                      <c:pt idx="13">
                        <c:v>0.90025721952998705</c:v>
                      </c:pt>
                      <c:pt idx="14">
                        <c:v>0.90039378310581708</c:v>
                      </c:pt>
                      <c:pt idx="15">
                        <c:v>0.90053033897279733</c:v>
                      </c:pt>
                      <c:pt idx="16">
                        <c:v>0.90066685514138678</c:v>
                      </c:pt>
                      <c:pt idx="17">
                        <c:v>0.90080330121812735</c:v>
                      </c:pt>
                      <c:pt idx="18">
                        <c:v>0.90093964833151963</c:v>
                      </c:pt>
                      <c:pt idx="19">
                        <c:v>0.9010758690615549</c:v>
                      </c:pt>
                      <c:pt idx="20">
                        <c:v>0.90121193737269489</c:v>
                      </c:pt>
                      <c:pt idx="21">
                        <c:v>0.90134782855012718</c:v>
                      </c:pt>
                      <c:pt idx="22">
                        <c:v>0.9014835191391104</c:v>
                      </c:pt>
                      <c:pt idx="23">
                        <c:v>0.90161898688726194</c:v>
                      </c:pt>
                      <c:pt idx="24">
                        <c:v>0.90175421068961614</c:v>
                      </c:pt>
                      <c:pt idx="25">
                        <c:v>0.90188917053632423</c:v>
                      </c:pt>
                      <c:pt idx="26">
                        <c:v>0.90202384746284803</c:v>
                      </c:pt>
                      <c:pt idx="27">
                        <c:v>0.90215822350252062</c:v>
                      </c:pt>
                      <c:pt idx="28">
                        <c:v>0.90229228164136199</c:v>
                      </c:pt>
                      <c:pt idx="29">
                        <c:v>0.9024260057750142</c:v>
                      </c:pt>
                      <c:pt idx="30">
                        <c:v>0.90255938066770958</c:v>
                      </c:pt>
                      <c:pt idx="31">
                        <c:v>0.90269239191315509</c:v>
                      </c:pt>
                      <c:pt idx="32">
                        <c:v>0.90282502589724067</c:v>
                      </c:pt>
                      <c:pt idx="33">
                        <c:v>0.90295726976247914</c:v>
                      </c:pt>
                      <c:pt idx="34">
                        <c:v>0.90308911137409276</c:v>
                      </c:pt>
                      <c:pt idx="35">
                        <c:v>0.90322053928766133</c:v>
                      </c:pt>
                      <c:pt idx="36">
                        <c:v>0.9033515427182589</c:v>
                      </c:pt>
                      <c:pt idx="37">
                        <c:v>0.90348211151099878</c:v>
                      </c:pt>
                      <c:pt idx="38">
                        <c:v>0.9036122361129254</c:v>
                      </c:pt>
                      <c:pt idx="39">
                        <c:v>0.90374190754618289</c:v>
                      </c:pt>
                      <c:pt idx="40">
                        <c:v>0.903871117382397</c:v>
                      </c:pt>
                      <c:pt idx="41">
                        <c:v>0.90399985771821534</c:v>
                      </c:pt>
                      <c:pt idx="42">
                        <c:v>0.90412812115194829</c:v>
                      </c:pt>
                      <c:pt idx="43">
                        <c:v>0.90425590076125451</c:v>
                      </c:pt>
                      <c:pt idx="44">
                        <c:v>0.90438319008182821</c:v>
                      </c:pt>
                      <c:pt idx="45">
                        <c:v>0.90450998308703079</c:v>
                      </c:pt>
                      <c:pt idx="46">
                        <c:v>0.90463627416843462</c:v>
                      </c:pt>
                      <c:pt idx="47">
                        <c:v>0.90476205811722044</c:v>
                      </c:pt>
                      <c:pt idx="48">
                        <c:v>0.90488733010640154</c:v>
                      </c:pt>
                      <c:pt idx="49">
                        <c:v>0.90501208567383118</c:v>
                      </c:pt>
                      <c:pt idx="50">
                        <c:v>0.90513632070594985</c:v>
                      </c:pt>
                      <c:pt idx="51">
                        <c:v>0.9052600314222522</c:v>
                      </c:pt>
                      <c:pt idx="52">
                        <c:v>0.90538321436042657</c:v>
                      </c:pt>
                      <c:pt idx="53">
                        <c:v>0.90550586636214447</c:v>
                      </c:pt>
                      <c:pt idx="54">
                        <c:v>0.90562798455946569</c:v>
                      </c:pt>
                      <c:pt idx="55">
                        <c:v>0.90574956636183279</c:v>
                      </c:pt>
                      <c:pt idx="56">
                        <c:v>0.90587060944362929</c:v>
                      </c:pt>
                      <c:pt idx="57">
                        <c:v>0.90599111173227231</c:v>
                      </c:pt>
                      <c:pt idx="58">
                        <c:v>0.90611107139681746</c:v>
                      </c:pt>
                      <c:pt idx="59">
                        <c:v>0.90623048683705509</c:v>
                      </c:pt>
                      <c:pt idx="60">
                        <c:v>0.9063493566730686</c:v>
                      </c:pt>
                      <c:pt idx="61">
                        <c:v>0.90646767973524711</c:v>
                      </c:pt>
                      <c:pt idx="62">
                        <c:v>0.90658545505471211</c:v>
                      </c:pt>
                      <c:pt idx="63">
                        <c:v>0.90670268185416492</c:v>
                      </c:pt>
                      <c:pt idx="64">
                        <c:v>0.90681935953911053</c:v>
                      </c:pt>
                      <c:pt idx="65">
                        <c:v>0.90693548768946364</c:v>
                      </c:pt>
                      <c:pt idx="66">
                        <c:v>0.90705106605150099</c:v>
                      </c:pt>
                      <c:pt idx="67">
                        <c:v>0.90716609453016228</c:v>
                      </c:pt>
                      <c:pt idx="68">
                        <c:v>0.9072805731816671</c:v>
                      </c:pt>
                      <c:pt idx="69">
                        <c:v>0.90739450220644968</c:v>
                      </c:pt>
                      <c:pt idx="70">
                        <c:v>0.90750788194238563</c:v>
                      </c:pt>
                      <c:pt idx="71">
                        <c:v>0.90762071285830781</c:v>
                      </c:pt>
                      <c:pt idx="72">
                        <c:v>0.90773299554778808</c:v>
                      </c:pt>
                      <c:pt idx="73">
                        <c:v>0.90784473072318472</c:v>
                      </c:pt>
                      <c:pt idx="74">
                        <c:v>0.90795591920993557</c:v>
                      </c:pt>
                      <c:pt idx="75">
                        <c:v>0.9080665619410907</c:v>
                      </c:pt>
                      <c:pt idx="76">
                        <c:v>0.90817665995207131</c:v>
                      </c:pt>
                      <c:pt idx="77">
                        <c:v>0.90828621437565005</c:v>
                      </c:pt>
                      <c:pt idx="78">
                        <c:v>0.90839522643713844</c:v>
                      </c:pt>
                      <c:pt idx="79">
                        <c:v>0.90850369744977333</c:v>
                      </c:pt>
                      <c:pt idx="80">
                        <c:v>0.90861162881029922</c:v>
                      </c:pt>
                      <c:pt idx="81">
                        <c:v>0.90871902199472798</c:v>
                      </c:pt>
                      <c:pt idx="82">
                        <c:v>0.90882587855427921</c:v>
                      </c:pt>
                      <c:pt idx="83">
                        <c:v>0.90893220011148934</c:v>
                      </c:pt>
                      <c:pt idx="84">
                        <c:v>0.90903798835647809</c:v>
                      </c:pt>
                      <c:pt idx="85">
                        <c:v>0.9091432450433734</c:v>
                      </c:pt>
                      <c:pt idx="86">
                        <c:v>0.90924797198688168</c:v>
                      </c:pt>
                      <c:pt idx="87">
                        <c:v>0.90935217105900479</c:v>
                      </c:pt>
                      <c:pt idx="88">
                        <c:v>0.90945584418588699</c:v>
                      </c:pt>
                      <c:pt idx="89">
                        <c:v>0.90955899334479684</c:v>
                      </c:pt>
                      <c:pt idx="90">
                        <c:v>0.90966162056123279</c:v>
                      </c:pt>
                      <c:pt idx="91">
                        <c:v>0.90976372790614879</c:v>
                      </c:pt>
                      <c:pt idx="92">
                        <c:v>0.90986531749329647</c:v>
                      </c:pt>
                      <c:pt idx="93">
                        <c:v>0.90996639147667346</c:v>
                      </c:pt>
                      <c:pt idx="94">
                        <c:v>0.91006695204808385</c:v>
                      </c:pt>
                      <c:pt idx="95">
                        <c:v>0.91016700143479434</c:v>
                      </c:pt>
                      <c:pt idx="96">
                        <c:v>0.91026654189728984</c:v>
                      </c:pt>
                      <c:pt idx="97">
                        <c:v>0.91036557572712662</c:v>
                      </c:pt>
                      <c:pt idx="98">
                        <c:v>0.91046410524486598</c:v>
                      </c:pt>
                      <c:pt idx="99">
                        <c:v>0.91056213279810372</c:v>
                      </c:pt>
                      <c:pt idx="100">
                        <c:v>0.9106596607595755</c:v>
                      </c:pt>
                      <c:pt idx="101">
                        <c:v>0.91075669152534211</c:v>
                      </c:pt>
                      <c:pt idx="102">
                        <c:v>0.91085322751305653</c:v>
                      </c:pt>
                      <c:pt idx="103">
                        <c:v>0.91094927116029567</c:v>
                      </c:pt>
                      <c:pt idx="104">
                        <c:v>0.91104482492296812</c:v>
                      </c:pt>
                      <c:pt idx="105">
                        <c:v>0.91113989127378592</c:v>
                      </c:pt>
                      <c:pt idx="106">
                        <c:v>0.91123447270080138</c:v>
                      </c:pt>
                      <c:pt idx="107">
                        <c:v>0.91132857170600912</c:v>
                      </c:pt>
                      <c:pt idx="108">
                        <c:v>0.91142219080400344</c:v>
                      </c:pt>
                      <c:pt idx="109">
                        <c:v>0.91151533252069183</c:v>
                      </c:pt>
                      <c:pt idx="110">
                        <c:v>0.91160799939206982</c:v>
                      </c:pt>
                      <c:pt idx="111">
                        <c:v>0.91170019396304114</c:v>
                      </c:pt>
                      <c:pt idx="112">
                        <c:v>0.91179191878629473</c:v>
                      </c:pt>
                      <c:pt idx="113">
                        <c:v>0.91188317642122385</c:v>
                      </c:pt>
                      <c:pt idx="114">
                        <c:v>0.91197396943289744</c:v>
                      </c:pt>
                      <c:pt idx="115">
                        <c:v>0.91206430039107367</c:v>
                      </c:pt>
                      <c:pt idx="116">
                        <c:v>0.91215417186925585</c:v>
                      </c:pt>
                      <c:pt idx="117">
                        <c:v>0.91224358644379278</c:v>
                      </c:pt>
                      <c:pt idx="118">
                        <c:v>0.91233254669301422</c:v>
                      </c:pt>
                      <c:pt idx="119">
                        <c:v>0.91242105519640926</c:v>
                      </c:pt>
                      <c:pt idx="120">
                        <c:v>0.9125091145338361</c:v>
                      </c:pt>
                      <c:pt idx="121">
                        <c:v>0.91259672728477459</c:v>
                      </c:pt>
                      <c:pt idx="122">
                        <c:v>0.91268389602760158</c:v>
                      </c:pt>
                      <c:pt idx="123">
                        <c:v>0.91277062333891146</c:v>
                      </c:pt>
                      <c:pt idx="124">
                        <c:v>0.91285691179285711</c:v>
                      </c:pt>
                      <c:pt idx="125">
                        <c:v>0.91294276396052643</c:v>
                      </c:pt>
                      <c:pt idx="126">
                        <c:v>0.91302818240934758</c:v>
                      </c:pt>
                      <c:pt idx="127">
                        <c:v>0.9131131697025191</c:v>
                      </c:pt>
                      <c:pt idx="128">
                        <c:v>0.91319772839846913</c:v>
                      </c:pt>
                      <c:pt idx="129">
                        <c:v>0.91328186105033926</c:v>
                      </c:pt>
                      <c:pt idx="130">
                        <c:v>0.9133655702054928</c:v>
                      </c:pt>
                      <c:pt idx="131">
                        <c:v>0.91344885840504619</c:v>
                      </c:pt>
                      <c:pt idx="132">
                        <c:v>0.91353172818342476</c:v>
                      </c:pt>
                      <c:pt idx="133">
                        <c:v>0.91361418206793865</c:v>
                      </c:pt>
                      <c:pt idx="134">
                        <c:v>0.91369622257838023</c:v>
                      </c:pt>
                      <c:pt idx="135">
                        <c:v>0.91377785222663954</c:v>
                      </c:pt>
                      <c:pt idx="136">
                        <c:v>0.91385907351634588</c:v>
                      </c:pt>
                      <c:pt idx="137">
                        <c:v>0.91393988894251621</c:v>
                      </c:pt>
                      <c:pt idx="138">
                        <c:v>0.91402030099123499</c:v>
                      </c:pt>
                      <c:pt idx="139">
                        <c:v>0.91410031213933918</c:v>
                      </c:pt>
                      <c:pt idx="140">
                        <c:v>0.91417992485412802</c:v>
                      </c:pt>
                      <c:pt idx="141">
                        <c:v>0.91425914159308297</c:v>
                      </c:pt>
                      <c:pt idx="142">
                        <c:v>0.91433796480360829</c:v>
                      </c:pt>
                      <c:pt idx="143">
                        <c:v>0.91441639692277987</c:v>
                      </c:pt>
                      <c:pt idx="144">
                        <c:v>0.91449444037711392</c:v>
                      </c:pt>
                      <c:pt idx="145">
                        <c:v>0.9145720975823447</c:v>
                      </c:pt>
                      <c:pt idx="146">
                        <c:v>0.91464937094321852</c:v>
                      </c:pt>
                      <c:pt idx="147">
                        <c:v>0.91472626285329639</c:v>
                      </c:pt>
                      <c:pt idx="148">
                        <c:v>0.91480277569477508</c:v>
                      </c:pt>
                      <c:pt idx="149">
                        <c:v>0.91487891183830972</c:v>
                      </c:pt>
                      <c:pt idx="150">
                        <c:v>0.91495467364285721</c:v>
                      </c:pt>
                      <c:pt idx="151">
                        <c:v>0.91503006345552462</c:v>
                      </c:pt>
                      <c:pt idx="152">
                        <c:v>0.91510508361142839</c:v>
                      </c:pt>
                      <c:pt idx="153">
                        <c:v>0.91517973643356543</c:v>
                      </c:pt>
                      <c:pt idx="154">
                        <c:v>0.91525402423268942</c:v>
                      </c:pt>
                      <c:pt idx="155">
                        <c:v>0.91532794930720207</c:v>
                      </c:pt>
                      <c:pt idx="156">
                        <c:v>0.91540151394304725</c:v>
                      </c:pt>
                      <c:pt idx="157">
                        <c:v>0.91547472041361577</c:v>
                      </c:pt>
                      <c:pt idx="158">
                        <c:v>0.91554757097965744</c:v>
                      </c:pt>
                      <c:pt idx="159">
                        <c:v>0.91562006788920414</c:v>
                      </c:pt>
                      <c:pt idx="160">
                        <c:v>0.91569221337749451</c:v>
                      </c:pt>
                      <c:pt idx="161">
                        <c:v>0.91576400966690774</c:v>
                      </c:pt>
                      <c:pt idx="162">
                        <c:v>0.9158354589669081</c:v>
                      </c:pt>
                      <c:pt idx="163">
                        <c:v>0.91590656347398802</c:v>
                      </c:pt>
                      <c:pt idx="164">
                        <c:v>0.91597732537162613</c:v>
                      </c:pt>
                      <c:pt idx="165">
                        <c:v>0.91604774683024359</c:v>
                      </c:pt>
                      <c:pt idx="166">
                        <c:v>0.91611783000717062</c:v>
                      </c:pt>
                      <c:pt idx="167">
                        <c:v>0.91618757704661669</c:v>
                      </c:pt>
                      <c:pt idx="168">
                        <c:v>0.91625699007964734</c:v>
                      </c:pt>
                      <c:pt idx="169">
                        <c:v>0.91632607122416176</c:v>
                      </c:pt>
                      <c:pt idx="170">
                        <c:v>0.91639482258488369</c:v>
                      </c:pt>
                      <c:pt idx="171">
                        <c:v>0.9164632462533463</c:v>
                      </c:pt>
                      <c:pt idx="172">
                        <c:v>0.91653134430788941</c:v>
                      </c:pt>
                      <c:pt idx="173">
                        <c:v>0.91659911881365697</c:v>
                      </c:pt>
                      <c:pt idx="174">
                        <c:v>0.9166665718225997</c:v>
                      </c:pt>
                      <c:pt idx="175">
                        <c:v>0.91673370537348242</c:v>
                      </c:pt>
                      <c:pt idx="176">
                        <c:v>0.91680052149189284</c:v>
                      </c:pt>
                      <c:pt idx="177">
                        <c:v>0.91686702219025507</c:v>
                      </c:pt>
                      <c:pt idx="178">
                        <c:v>0.91693320946784784</c:v>
                      </c:pt>
                      <c:pt idx="179">
                        <c:v>0.91699908531082186</c:v>
                      </c:pt>
                      <c:pt idx="180">
                        <c:v>0.91706465169222695</c:v>
                      </c:pt>
                      <c:pt idx="181">
                        <c:v>0.91712991057203241</c:v>
                      </c:pt>
                      <c:pt idx="182">
                        <c:v>0.91719486389716143</c:v>
                      </c:pt>
                      <c:pt idx="183">
                        <c:v>0.91725951360151736</c:v>
                      </c:pt>
                      <c:pt idx="184">
                        <c:v>0.91732386160602186</c:v>
                      </c:pt>
                      <c:pt idx="185">
                        <c:v>0.91738790981864693</c:v>
                      </c:pt>
                      <c:pt idx="186">
                        <c:v>0.91745166013445734</c:v>
                      </c:pt>
                      <c:pt idx="187">
                        <c:v>0.91751511443564815</c:v>
                      </c:pt>
                      <c:pt idx="188">
                        <c:v>0.91757827459158914</c:v>
                      </c:pt>
                      <c:pt idx="189">
                        <c:v>0.9176411424588683</c:v>
                      </c:pt>
                      <c:pt idx="190">
                        <c:v>0.91770371988133947</c:v>
                      </c:pt>
                      <c:pt idx="191">
                        <c:v>0.91776600869017055</c:v>
                      </c:pt>
                      <c:pt idx="192">
                        <c:v>0.91782801070389086</c:v>
                      </c:pt>
                      <c:pt idx="193">
                        <c:v>0.91788972772844757</c:v>
                      </c:pt>
                      <c:pt idx="194">
                        <c:v>0.9179511615572532</c:v>
                      </c:pt>
                      <c:pt idx="195">
                        <c:v>0.91801231397124439</c:v>
                      </c:pt>
                      <c:pt idx="196">
                        <c:v>0.91807318673893579</c:v>
                      </c:pt>
                      <c:pt idx="197">
                        <c:v>0.91813378161647596</c:v>
                      </c:pt>
                      <c:pt idx="198">
                        <c:v>0.9181941003477091</c:v>
                      </c:pt>
                      <c:pt idx="199">
                        <c:v>0.9182541446642305</c:v>
                      </c:pt>
                      <c:pt idx="200">
                        <c:v>0.91831391628544901</c:v>
                      </c:pt>
                    </c:numCache>
                  </c:numRef>
                </c:val>
                <c:smooth val="0"/>
                <c:extLst xmlns:c15="http://schemas.microsoft.com/office/drawing/2012/chart">
                  <c:ext xmlns:c16="http://schemas.microsoft.com/office/drawing/2014/chart" uri="{C3380CC4-5D6E-409C-BE32-E72D297353CC}">
                    <c16:uniqueId val="{00000009-DAC0-423F-B197-448F000A954F}"/>
                  </c:ext>
                </c:extLst>
              </c15:ser>
            </c15:filteredLineSeries>
            <c15:filteredLineSeries>
              <c15:ser>
                <c:idx val="4"/>
                <c:order val="10"/>
                <c:tx>
                  <c:strRef>
                    <c:extLst xmlns:c15="http://schemas.microsoft.com/office/drawing/2012/chart">
                      <c:ext xmlns:c15="http://schemas.microsoft.com/office/drawing/2012/chart" uri="{02D57815-91ED-43cb-92C2-25804820EDAC}">
                        <c15:formulaRef>
                          <c15:sqref>'Efficiency vs VIN Calculations'!$Y$8</c15:sqref>
                        </c15:formulaRef>
                      </c:ext>
                    </c:extLst>
                    <c:strCache>
                      <c:ptCount val="1"/>
                      <c:pt idx="0">
                        <c:v>Core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Calculations'!$Y$9:$Y$209</c15:sqref>
                        </c15:formulaRef>
                      </c:ext>
                    </c:extLst>
                    <c:numCache>
                      <c:formatCode>0.000</c:formatCode>
                      <c:ptCount val="201"/>
                      <c:pt idx="0">
                        <c:v>0.26799715872171348</c:v>
                      </c:pt>
                      <c:pt idx="1">
                        <c:v>0.27975121583219742</c:v>
                      </c:pt>
                      <c:pt idx="2">
                        <c:v>0.29162367340451267</c:v>
                      </c:pt>
                      <c:pt idx="3">
                        <c:v>0.3036078799742758</c:v>
                      </c:pt>
                      <c:pt idx="4">
                        <c:v>0.31569742101438547</c:v>
                      </c:pt>
                      <c:pt idx="5">
                        <c:v>0.32788611206096679</c:v>
                      </c:pt>
                      <c:pt idx="6">
                        <c:v>0.34016799186917956</c:v>
                      </c:pt>
                      <c:pt idx="7">
                        <c:v>0.35253731562590362</c:v>
                      </c:pt>
                      <c:pt idx="8">
                        <c:v>0.36498854824165494</c:v>
                      </c:pt>
                      <c:pt idx="9">
                        <c:v>0.377516357740108</c:v>
                      </c:pt>
                      <c:pt idx="10">
                        <c:v>0.39011560876017426</c:v>
                      </c:pt>
                      <c:pt idx="11">
                        <c:v>0.40278135618269306</c:v>
                      </c:pt>
                      <c:pt idx="12">
                        <c:v>0.41550883889127527</c:v>
                      </c:pt>
                      <c:pt idx="13">
                        <c:v>0.42829347367472315</c:v>
                      </c:pt>
                      <c:pt idx="14">
                        <c:v>0.44113084927661728</c:v>
                      </c:pt>
                      <c:pt idx="15">
                        <c:v>0.45401672059610781</c:v>
                      </c:pt>
                      <c:pt idx="16">
                        <c:v>0.46694700304263459</c:v>
                      </c:pt>
                      <c:pt idx="17">
                        <c:v>0.47991776704614708</c:v>
                      </c:pt>
                      <c:pt idx="18">
                        <c:v>0.49292523272347771</c:v>
                      </c:pt>
                      <c:pt idx="19">
                        <c:v>0.50596576470067733</c:v>
                      </c:pt>
                      <c:pt idx="20">
                        <c:v>0.51903586709046623</c:v>
                      </c:pt>
                      <c:pt idx="21">
                        <c:v>0.53213217862338946</c:v>
                      </c:pt>
                      <c:pt idx="22">
                        <c:v>0.54525146793074053</c:v>
                      </c:pt>
                      <c:pt idx="23">
                        <c:v>0.55839062897701663</c:v>
                      </c:pt>
                      <c:pt idx="24">
                        <c:v>0.57154667663924841</c:v>
                      </c:pt>
                      <c:pt idx="25">
                        <c:v>0.5847167424303612</c:v>
                      </c:pt>
                      <c:pt idx="26">
                        <c:v>0.59789807036348053</c:v>
                      </c:pt>
                      <c:pt idx="27">
                        <c:v>0.61108801295394122</c:v>
                      </c:pt>
                      <c:pt idx="28">
                        <c:v>0.62428402735565114</c:v>
                      </c:pt>
                      <c:pt idx="29">
                        <c:v>0.63748367162834119</c:v>
                      </c:pt>
                      <c:pt idx="30">
                        <c:v>0.65068460113222704</c:v>
                      </c:pt>
                      <c:pt idx="31">
                        <c:v>0.66388456504649618</c:v>
                      </c:pt>
                      <c:pt idx="32">
                        <c:v>0.67708140300810482</c:v>
                      </c:pt>
                      <c:pt idx="33">
                        <c:v>0.69027304186731098</c:v>
                      </c:pt>
                      <c:pt idx="34">
                        <c:v>0.70345749255641965</c:v>
                      </c:pt>
                      <c:pt idx="35">
                        <c:v>0.71663284706823749</c:v>
                      </c:pt>
                      <c:pt idx="36">
                        <c:v>0.72979727554078666</c:v>
                      </c:pt>
                      <c:pt idx="37">
                        <c:v>0.74294902344486846</c:v>
                      </c:pt>
                      <c:pt idx="38">
                        <c:v>0.75608640887113621</c:v>
                      </c:pt>
                      <c:pt idx="39">
                        <c:v>0.76920781991339493</c:v>
                      </c:pt>
                      <c:pt idx="40">
                        <c:v>0.78231171214492201</c:v>
                      </c:pt>
                      <c:pt idx="41">
                        <c:v>0.79539660618467223</c:v>
                      </c:pt>
                      <c:pt idx="42">
                        <c:v>0.80846108535031147</c:v>
                      </c:pt>
                      <c:pt idx="43">
                        <c:v>0.82150379339508517</c:v>
                      </c:pt>
                      <c:pt idx="44">
                        <c:v>0.83452343232565696</c:v>
                      </c:pt>
                      <c:pt idx="45">
                        <c:v>0.84751876029804463</c:v>
                      </c:pt>
                      <c:pt idx="46">
                        <c:v>0.86048858958897401</c:v>
                      </c:pt>
                      <c:pt idx="47">
                        <c:v>0.87343178463995752</c:v>
                      </c:pt>
                      <c:pt idx="48">
                        <c:v>0.88634726017152954</c:v>
                      </c:pt>
                      <c:pt idx="49">
                        <c:v>0.89923397936515903</c:v>
                      </c:pt>
                      <c:pt idx="50">
                        <c:v>0.91209095211039881</c:v>
                      </c:pt>
                      <c:pt idx="51">
                        <c:v>0.92491723331496545</c:v>
                      </c:pt>
                      <c:pt idx="52">
                        <c:v>0.9377119212754581</c:v>
                      </c:pt>
                      <c:pt idx="53">
                        <c:v>0.9504741561065615</c:v>
                      </c:pt>
                      <c:pt idx="54">
                        <c:v>0.96320311822659066</c:v>
                      </c:pt>
                      <c:pt idx="55">
                        <c:v>0.97589802689736338</c:v>
                      </c:pt>
                      <c:pt idx="56">
                        <c:v>0.98855813881642973</c:v>
                      </c:pt>
                      <c:pt idx="57">
                        <c:v>1.0011827467597332</c:v>
                      </c:pt>
                      <c:pt idx="58">
                        <c:v>1.0137711782729055</c:v>
                      </c:pt>
                      <c:pt idx="59">
                        <c:v>1.0263227944094</c:v>
                      </c:pt>
                      <c:pt idx="60">
                        <c:v>1.0388369885137649</c:v>
                      </c:pt>
                      <c:pt idx="61">
                        <c:v>1.0513131850484214</c:v>
                      </c:pt>
                      <c:pt idx="62">
                        <c:v>1.063750838462346</c:v>
                      </c:pt>
                      <c:pt idx="63">
                        <c:v>1.0761494321001326</c:v>
                      </c:pt>
                      <c:pt idx="64">
                        <c:v>1.0885084771499767</c:v>
                      </c:pt>
                      <c:pt idx="65">
                        <c:v>1.1008275116291375</c:v>
                      </c:pt>
                      <c:pt idx="66">
                        <c:v>1.1131060994055222</c:v>
                      </c:pt>
                      <c:pt idx="67">
                        <c:v>1.1253438292540945</c:v>
                      </c:pt>
                      <c:pt idx="68">
                        <c:v>1.1375403139467981</c:v>
                      </c:pt>
                      <c:pt idx="69">
                        <c:v>1.1496951893747975</c:v>
                      </c:pt>
                      <c:pt idx="70">
                        <c:v>1.1618081137018799</c:v>
                      </c:pt>
                      <c:pt idx="71">
                        <c:v>1.1738787665478341</c:v>
                      </c:pt>
                      <c:pt idx="72">
                        <c:v>1.1859068482007642</c:v>
                      </c:pt>
                      <c:pt idx="73">
                        <c:v>1.1978920788572409</c:v>
                      </c:pt>
                      <c:pt idx="74">
                        <c:v>1.2098341978893403</c:v>
                      </c:pt>
                      <c:pt idx="75">
                        <c:v>1.2217329631375229</c:v>
                      </c:pt>
                      <c:pt idx="76">
                        <c:v>1.2335881502284738</c:v>
                      </c:pt>
                      <c:pt idx="77">
                        <c:v>1.2453995519169752</c:v>
                      </c:pt>
                      <c:pt idx="78">
                        <c:v>1.2571669774509338</c:v>
                      </c:pt>
                      <c:pt idx="79">
                        <c:v>1.2688902519587593</c:v>
                      </c:pt>
                      <c:pt idx="80">
                        <c:v>1.2805692158582445</c:v>
                      </c:pt>
                      <c:pt idx="81">
                        <c:v>1.2922037242862072</c:v>
                      </c:pt>
                      <c:pt idx="82">
                        <c:v>1.3037936465481208</c:v>
                      </c:pt>
                      <c:pt idx="83">
                        <c:v>1.3153388655870493</c:v>
                      </c:pt>
                      <c:pt idx="84">
                        <c:v>1.3268392774711459</c:v>
                      </c:pt>
                      <c:pt idx="85">
                        <c:v>1.338294790899089</c:v>
                      </c:pt>
                      <c:pt idx="86">
                        <c:v>1.3497053267227892</c:v>
                      </c:pt>
                      <c:pt idx="87">
                        <c:v>1.3610708174867785</c:v>
                      </c:pt>
                      <c:pt idx="88">
                        <c:v>1.3723912069836433</c:v>
                      </c:pt>
                      <c:pt idx="89">
                        <c:v>1.3836664498249645</c:v>
                      </c:pt>
                      <c:pt idx="90">
                        <c:v>1.3948965110272082</c:v>
                      </c:pt>
                      <c:pt idx="91">
                        <c:v>1.406081365612009</c:v>
                      </c:pt>
                      <c:pt idx="92">
                        <c:v>1.4172209982203678</c:v>
                      </c:pt>
                      <c:pt idx="93">
                        <c:v>1.4283154027402558</c:v>
                      </c:pt>
                      <c:pt idx="94">
                        <c:v>1.4393645819471474</c:v>
                      </c:pt>
                      <c:pt idx="95">
                        <c:v>1.4503685471570169</c:v>
                      </c:pt>
                      <c:pt idx="96">
                        <c:v>1.4613273178914032</c:v>
                      </c:pt>
                      <c:pt idx="97">
                        <c:v>1.4722409215540488</c:v>
                      </c:pt>
                      <c:pt idx="98">
                        <c:v>1.4831093931187649</c:v>
                      </c:pt>
                      <c:pt idx="99">
                        <c:v>1.4939327748280891</c:v>
                      </c:pt>
                      <c:pt idx="100">
                        <c:v>1.5047111159023929</c:v>
                      </c:pt>
                      <c:pt idx="101">
                        <c:v>1.5154444722590306</c:v>
                      </c:pt>
                      <c:pt idx="102">
                        <c:v>1.5261329062412188</c:v>
                      </c:pt>
                      <c:pt idx="103">
                        <c:v>1.5367764863562781</c:v>
                      </c:pt>
                      <c:pt idx="104">
                        <c:v>1.5473752870229227</c:v>
                      </c:pt>
                      <c:pt idx="105">
                        <c:v>1.5579293883272816</c:v>
                      </c:pt>
                      <c:pt idx="106">
                        <c:v>1.5684388757873593</c:v>
                      </c:pt>
                      <c:pt idx="107">
                        <c:v>1.5789038401256104</c:v>
                      </c:pt>
                      <c:pt idx="108">
                        <c:v>1.5893243770493826</c:v>
                      </c:pt>
                      <c:pt idx="109">
                        <c:v>1.5997005870389305</c:v>
                      </c:pt>
                      <c:pt idx="110">
                        <c:v>1.6100325751427651</c:v>
                      </c:pt>
                      <c:pt idx="111">
                        <c:v>1.6203204507800486</c:v>
                      </c:pt>
                      <c:pt idx="112">
                        <c:v>1.6305643275498383</c:v>
                      </c:pt>
                      <c:pt idx="113">
                        <c:v>1.6407643230468827</c:v>
                      </c:pt>
                      <c:pt idx="114">
                        <c:v>1.6509205586838285</c:v>
                      </c:pt>
                      <c:pt idx="115">
                        <c:v>1.6610331595195171</c:v>
                      </c:pt>
                      <c:pt idx="116">
                        <c:v>1.6711022540932623</c:v>
                      </c:pt>
                      <c:pt idx="117">
                        <c:v>1.6811279742648246</c:v>
                      </c:pt>
                      <c:pt idx="118">
                        <c:v>1.6911104550599416</c:v>
                      </c:pt>
                      <c:pt idx="119">
                        <c:v>1.7010498345211906</c:v>
                      </c:pt>
                      <c:pt idx="120">
                        <c:v>1.7109462535640192</c:v>
                      </c:pt>
                      <c:pt idx="121">
                        <c:v>1.7207998558377715</c:v>
                      </c:pt>
                      <c:pt idx="122">
                        <c:v>1.7306107875915167</c:v>
                      </c:pt>
                      <c:pt idx="123">
                        <c:v>1.7403791975445417</c:v>
                      </c:pt>
                      <c:pt idx="124">
                        <c:v>1.7501052367613519</c:v>
                      </c:pt>
                      <c:pt idx="125">
                        <c:v>1.7597890585309821</c:v>
                      </c:pt>
                      <c:pt idx="126">
                        <c:v>1.7694308182505534</c:v>
                      </c:pt>
                      <c:pt idx="127">
                        <c:v>1.7790306733128414</c:v>
                      </c:pt>
                      <c:pt idx="128">
                        <c:v>1.7885887829978027</c:v>
                      </c:pt>
                      <c:pt idx="129">
                        <c:v>1.7981053083678384</c:v>
                      </c:pt>
                      <c:pt idx="130">
                        <c:v>1.807580412166784</c:v>
                      </c:pt>
                      <c:pt idx="131">
                        <c:v>1.8170142587223681</c:v>
                      </c:pt>
                      <c:pt idx="132">
                        <c:v>1.8264070138521469</c:v>
                      </c:pt>
                      <c:pt idx="133">
                        <c:v>1.8357588447726958</c:v>
                      </c:pt>
                      <c:pt idx="134">
                        <c:v>1.8450699200120226</c:v>
                      </c:pt>
                      <c:pt idx="135">
                        <c:v>1.8543404093250533</c:v>
                      </c:pt>
                      <c:pt idx="136">
                        <c:v>1.8635704836121214</c:v>
                      </c:pt>
                      <c:pt idx="137">
                        <c:v>1.8727603148402887</c:v>
                      </c:pt>
                      <c:pt idx="138">
                        <c:v>1.8819100759675256</c:v>
                      </c:pt>
                      <c:pt idx="139">
                        <c:v>1.8910199408695274</c:v>
                      </c:pt>
                      <c:pt idx="140">
                        <c:v>1.9000900842691455</c:v>
                      </c:pt>
                      <c:pt idx="141">
                        <c:v>1.9091206816683641</c:v>
                      </c:pt>
                      <c:pt idx="142">
                        <c:v>1.9181119092826875</c:v>
                      </c:pt>
                      <c:pt idx="143">
                        <c:v>1.9270639439778665</c:v>
                      </c:pt>
                      <c:pt idx="144">
                        <c:v>1.935976963208939</c:v>
                      </c:pt>
                      <c:pt idx="145">
                        <c:v>1.9448511449614361</c:v>
                      </c:pt>
                      <c:pt idx="146">
                        <c:v>1.9536866676947284</c:v>
                      </c:pt>
                      <c:pt idx="147">
                        <c:v>1.9624837102874186</c:v>
                      </c:pt>
                      <c:pt idx="148">
                        <c:v>1.9712424519847418</c:v>
                      </c:pt>
                      <c:pt idx="149">
                        <c:v>1.9799630723478683</c:v>
                      </c:pt>
                      <c:pt idx="150">
                        <c:v>1.9886457512050664</c:v>
                      </c:pt>
                      <c:pt idx="151">
                        <c:v>1.9972906686046701</c:v>
                      </c:pt>
                      <c:pt idx="152">
                        <c:v>2.0058980047697932</c:v>
                      </c:pt>
                      <c:pt idx="153">
                        <c:v>2.0144679400546828</c:v>
                      </c:pt>
                      <c:pt idx="154">
                        <c:v>2.0230006549027637</c:v>
                      </c:pt>
                      <c:pt idx="155">
                        <c:v>2.0314963298061808</c:v>
                      </c:pt>
                      <c:pt idx="156">
                        <c:v>2.0399551452669282</c:v>
                      </c:pt>
                      <c:pt idx="157">
                        <c:v>2.0483772817593882</c:v>
                      </c:pt>
                      <c:pt idx="158">
                        <c:v>2.0567629196943362</c:v>
                      </c:pt>
                      <c:pt idx="159">
                        <c:v>2.0651122393842938</c:v>
                      </c:pt>
                      <c:pt idx="160">
                        <c:v>2.0734254210102345</c:v>
                      </c:pt>
                      <c:pt idx="161">
                        <c:v>2.0817026445895292</c:v>
                      </c:pt>
                      <c:pt idx="162">
                        <c:v>2.0899440899451922</c:v>
                      </c:pt>
                      <c:pt idx="163">
                        <c:v>2.0981499366762812</c:v>
                      </c:pt>
                      <c:pt idx="164">
                        <c:v>2.1063203641294961</c:v>
                      </c:pt>
                      <c:pt idx="165">
                        <c:v>2.1144555513718681</c:v>
                      </c:pt>
                      <c:pt idx="166">
                        <c:v>2.1225556771645553</c:v>
                      </c:pt>
                      <c:pt idx="167">
                        <c:v>2.1306209199376975</c:v>
                      </c:pt>
                      <c:pt idx="168">
                        <c:v>2.1386514577662528</c:v>
                      </c:pt>
                      <c:pt idx="169">
                        <c:v>2.1466474683468624</c:v>
                      </c:pt>
                      <c:pt idx="170">
                        <c:v>2.1546091289756295</c:v>
                      </c:pt>
                      <c:pt idx="171">
                        <c:v>2.1625366165268334</c:v>
                      </c:pt>
                      <c:pt idx="172">
                        <c:v>2.170430107432531</c:v>
                      </c:pt>
                      <c:pt idx="173">
                        <c:v>2.1782897776630139</c:v>
                      </c:pt>
                      <c:pt idx="174">
                        <c:v>2.1861158027081062</c:v>
                      </c:pt>
                      <c:pt idx="175">
                        <c:v>2.1939083575592488</c:v>
                      </c:pt>
                      <c:pt idx="176">
                        <c:v>2.2016676166923763</c:v>
                      </c:pt>
                      <c:pt idx="177">
                        <c:v>2.2093937540515354</c:v>
                      </c:pt>
                      <c:pt idx="178">
                        <c:v>2.2170869430332401</c:v>
                      </c:pt>
                      <c:pt idx="179">
                        <c:v>2.224747356471525</c:v>
                      </c:pt>
                      <c:pt idx="180">
                        <c:v>2.2323751666236595</c:v>
                      </c:pt>
                      <c:pt idx="181">
                        <c:v>2.2399705451565497</c:v>
                      </c:pt>
                      <c:pt idx="182">
                        <c:v>2.2475336631337632</c:v>
                      </c:pt>
                      <c:pt idx="183">
                        <c:v>2.2550646910031511</c:v>
                      </c:pt>
                      <c:pt idx="184">
                        <c:v>2.2625637985850808</c:v>
                      </c:pt>
                      <c:pt idx="185">
                        <c:v>2.2700311550612415</c:v>
                      </c:pt>
                      <c:pt idx="186">
                        <c:v>2.277466928964003</c:v>
                      </c:pt>
                      <c:pt idx="187">
                        <c:v>2.284871288166304</c:v>
                      </c:pt>
                      <c:pt idx="188">
                        <c:v>2.2922443998720481</c:v>
                      </c:pt>
                      <c:pt idx="189">
                        <c:v>2.2995864306070457</c:v>
                      </c:pt>
                      <c:pt idx="190">
                        <c:v>2.3068975462103771</c:v>
                      </c:pt>
                      <c:pt idx="191">
                        <c:v>2.3141779118262691</c:v>
                      </c:pt>
                      <c:pt idx="192">
                        <c:v>2.3214276918964045</c:v>
                      </c:pt>
                      <c:pt idx="193">
                        <c:v>2.328647050152679</c:v>
                      </c:pt>
                      <c:pt idx="194">
                        <c:v>2.3358361496103468</c:v>
                      </c:pt>
                      <c:pt idx="195">
                        <c:v>2.3429951525616373</c:v>
                      </c:pt>
                      <c:pt idx="196">
                        <c:v>2.3501242205697004</c:v>
                      </c:pt>
                      <c:pt idx="197">
                        <c:v>2.357223514462957</c:v>
                      </c:pt>
                      <c:pt idx="198">
                        <c:v>2.3642931943298415</c:v>
                      </c:pt>
                      <c:pt idx="199">
                        <c:v>2.3713334195138445</c:v>
                      </c:pt>
                      <c:pt idx="200">
                        <c:v>2.3783443486089562</c:v>
                      </c:pt>
                    </c:numCache>
                  </c:numRef>
                </c:val>
                <c:smooth val="0"/>
                <c:extLst xmlns:c15="http://schemas.microsoft.com/office/drawing/2012/chart">
                  <c:ext xmlns:c16="http://schemas.microsoft.com/office/drawing/2014/chart" uri="{C3380CC4-5D6E-409C-BE32-E72D297353CC}">
                    <c16:uniqueId val="{0000000A-DAC0-423F-B197-448F000A954F}"/>
                  </c:ext>
                </c:extLst>
              </c15:ser>
            </c15:filteredLineSeries>
            <c15:filteredLineSeries>
              <c15:ser>
                <c:idx val="3"/>
                <c:order val="11"/>
                <c:tx>
                  <c:v>Inductor Loss</c:v>
                </c:tx>
                <c:spPr>
                  <a:ln w="38100">
                    <a:solidFill>
                      <a:srgbClr val="800080"/>
                    </a:solidFill>
                    <a:prstDash val="dash"/>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Calculations'!$BP$9:$BP$209</c15:sqref>
                        </c15:formulaRef>
                      </c:ext>
                    </c:extLst>
                    <c:numCache>
                      <c:formatCode>0.000</c:formatCode>
                      <c:ptCount val="201"/>
                      <c:pt idx="0">
                        <c:v>1.1664963483138355</c:v>
                      </c:pt>
                      <c:pt idx="1">
                        <c:v>1.1783832701555945</c:v>
                      </c:pt>
                      <c:pt idx="2">
                        <c:v>1.1903891876899488</c:v>
                      </c:pt>
                      <c:pt idx="3">
                        <c:v>1.2025073878656187</c:v>
                      </c:pt>
                      <c:pt idx="4">
                        <c:v>1.2147313975756808</c:v>
                      </c:pt>
                      <c:pt idx="5">
                        <c:v>1.2270549766372592</c:v>
                      </c:pt>
                      <c:pt idx="6">
                        <c:v>1.2394721108087612</c:v>
                      </c:pt>
                      <c:pt idx="7">
                        <c:v>1.2519770048712224</c:v>
                      </c:pt>
                      <c:pt idx="8">
                        <c:v>1.2645640757957135</c:v>
                      </c:pt>
                      <c:pt idx="9">
                        <c:v>1.2772279460147808</c:v>
                      </c:pt>
                      <c:pt idx="10">
                        <c:v>1.2899634368125192</c:v>
                      </c:pt>
                      <c:pt idx="11">
                        <c:v>1.3027655618449869</c:v>
                      </c:pt>
                      <c:pt idx="12">
                        <c:v>1.3156295208001829</c:v>
                      </c:pt>
                      <c:pt idx="13">
                        <c:v>1.3285506932047102</c:v>
                      </c:pt>
                      <c:pt idx="14">
                        <c:v>1.3415246323824344</c:v>
                      </c:pt>
                      <c:pt idx="15">
                        <c:v>1.3545470595689051</c:v>
                      </c:pt>
                      <c:pt idx="16">
                        <c:v>1.3676138581840214</c:v>
                      </c:pt>
                      <c:pt idx="17">
                        <c:v>1.3807210682642745</c:v>
                      </c:pt>
                      <c:pt idx="18">
                        <c:v>1.3938648810549974</c:v>
                      </c:pt>
                      <c:pt idx="19">
                        <c:v>1.4070416337622322</c:v>
                      </c:pt>
                      <c:pt idx="20">
                        <c:v>1.4202478044631612</c:v>
                      </c:pt>
                      <c:pt idx="21">
                        <c:v>1.4334800071735168</c:v>
                      </c:pt>
                      <c:pt idx="22">
                        <c:v>1.4467349870698509</c:v>
                      </c:pt>
                      <c:pt idx="23">
                        <c:v>1.4600096158642786</c:v>
                      </c:pt>
                      <c:pt idx="24">
                        <c:v>1.4733008873288647</c:v>
                      </c:pt>
                      <c:pt idx="25">
                        <c:v>1.4866059129666853</c:v>
                      </c:pt>
                      <c:pt idx="26">
                        <c:v>1.4999219178263286</c:v>
                      </c:pt>
                      <c:pt idx="27">
                        <c:v>1.5132462364564618</c:v>
                      </c:pt>
                      <c:pt idx="28">
                        <c:v>1.5265763089970132</c:v>
                      </c:pt>
                      <c:pt idx="29">
                        <c:v>1.5399096774033554</c:v>
                      </c:pt>
                      <c:pt idx="30">
                        <c:v>1.5532439817999366</c:v>
                      </c:pt>
                      <c:pt idx="31">
                        <c:v>1.5665769569596513</c:v>
                      </c:pt>
                      <c:pt idx="32">
                        <c:v>1.5799064289053455</c:v>
                      </c:pt>
                      <c:pt idx="33">
                        <c:v>1.5932303116297901</c:v>
                      </c:pt>
                      <c:pt idx="34">
                        <c:v>1.6065466039305125</c:v>
                      </c:pt>
                      <c:pt idx="35">
                        <c:v>1.6198533863558988</c:v>
                      </c:pt>
                      <c:pt idx="36">
                        <c:v>1.6331488182590457</c:v>
                      </c:pt>
                      <c:pt idx="37">
                        <c:v>1.6464311349558671</c:v>
                      </c:pt>
                      <c:pt idx="38">
                        <c:v>1.6596986449840616</c:v>
                      </c:pt>
                      <c:pt idx="39">
                        <c:v>1.6729497274595779</c:v>
                      </c:pt>
                      <c:pt idx="40">
                        <c:v>1.6861828295273189</c:v>
                      </c:pt>
                      <c:pt idx="41">
                        <c:v>1.6993964639028876</c:v>
                      </c:pt>
                      <c:pt idx="42">
                        <c:v>1.7125892065022597</c:v>
                      </c:pt>
                      <c:pt idx="43">
                        <c:v>1.7257596941563396</c:v>
                      </c:pt>
                      <c:pt idx="44">
                        <c:v>1.7389066224074852</c:v>
                      </c:pt>
                      <c:pt idx="45">
                        <c:v>1.7520287433850754</c:v>
                      </c:pt>
                      <c:pt idx="46">
                        <c:v>1.7651248637574086</c:v>
                      </c:pt>
                      <c:pt idx="47">
                        <c:v>1.778193842757178</c:v>
                      </c:pt>
                      <c:pt idx="48">
                        <c:v>1.7912345902779312</c:v>
                      </c:pt>
                      <c:pt idx="49">
                        <c:v>1.8042460650389902</c:v>
                      </c:pt>
                      <c:pt idx="50">
                        <c:v>1.8172272728163485</c:v>
                      </c:pt>
                      <c:pt idx="51">
                        <c:v>1.8301772647372176</c:v>
                      </c:pt>
                      <c:pt idx="52">
                        <c:v>1.8430951356358847</c:v>
                      </c:pt>
                      <c:pt idx="53">
                        <c:v>1.855980022468706</c:v>
                      </c:pt>
                      <c:pt idx="54">
                        <c:v>1.8688311027860562</c:v>
                      </c:pt>
                      <c:pt idx="55">
                        <c:v>1.8816475932591961</c:v>
                      </c:pt>
                      <c:pt idx="56">
                        <c:v>1.894428748260059</c:v>
                      </c:pt>
                      <c:pt idx="57">
                        <c:v>1.9071738584920055</c:v>
                      </c:pt>
                      <c:pt idx="58">
                        <c:v>1.919882249669723</c:v>
                      </c:pt>
                      <c:pt idx="59">
                        <c:v>1.932553281246455</c:v>
                      </c:pt>
                      <c:pt idx="60">
                        <c:v>1.9451863451868334</c:v>
                      </c:pt>
                      <c:pt idx="61">
                        <c:v>1.9577808647836685</c:v>
                      </c:pt>
                      <c:pt idx="62">
                        <c:v>1.9703362935170581</c:v>
                      </c:pt>
                      <c:pt idx="63">
                        <c:v>1.9828521139542974</c:v>
                      </c:pt>
                      <c:pt idx="64">
                        <c:v>1.9953278366890872</c:v>
                      </c:pt>
                      <c:pt idx="65">
                        <c:v>2.0077629993186012</c:v>
                      </c:pt>
                      <c:pt idx="66">
                        <c:v>2.0201571654570234</c:v>
                      </c:pt>
                      <c:pt idx="67">
                        <c:v>2.0325099237842568</c:v>
                      </c:pt>
                      <c:pt idx="68">
                        <c:v>2.0448208871284654</c:v>
                      </c:pt>
                      <c:pt idx="69">
                        <c:v>2.0570896915812473</c:v>
                      </c:pt>
                      <c:pt idx="70">
                        <c:v>2.0693159956442653</c:v>
                      </c:pt>
                      <c:pt idx="71">
                        <c:v>2.0814994794061419</c:v>
                      </c:pt>
                      <c:pt idx="72">
                        <c:v>2.0936398437485524</c:v>
                      </c:pt>
                      <c:pt idx="73">
                        <c:v>2.1057368095804256</c:v>
                      </c:pt>
                      <c:pt idx="74">
                        <c:v>2.1177901170992759</c:v>
                      </c:pt>
                      <c:pt idx="75">
                        <c:v>2.1297995250786137</c:v>
                      </c:pt>
                      <c:pt idx="76">
                        <c:v>2.1417648101805451</c:v>
                      </c:pt>
                      <c:pt idx="77">
                        <c:v>2.1536857662926252</c:v>
                      </c:pt>
                      <c:pt idx="78">
                        <c:v>2.1655622038880722</c:v>
                      </c:pt>
                      <c:pt idx="79">
                        <c:v>2.1773939494085326</c:v>
                      </c:pt>
                      <c:pt idx="80">
                        <c:v>2.1891808446685435</c:v>
                      </c:pt>
                      <c:pt idx="81">
                        <c:v>2.2009227462809351</c:v>
                      </c:pt>
                      <c:pt idx="82">
                        <c:v>2.2126195251023999</c:v>
                      </c:pt>
                      <c:pt idx="83">
                        <c:v>2.2242710656985385</c:v>
                      </c:pt>
                      <c:pt idx="84">
                        <c:v>2.2358772658276242</c:v>
                      </c:pt>
                      <c:pt idx="85">
                        <c:v>2.2474380359424622</c:v>
                      </c:pt>
                      <c:pt idx="86">
                        <c:v>2.2589532987096708</c:v>
                      </c:pt>
                      <c:pt idx="87">
                        <c:v>2.2704229885457834</c:v>
                      </c:pt>
                      <c:pt idx="88">
                        <c:v>2.2818470511695303</c:v>
                      </c:pt>
                      <c:pt idx="89">
                        <c:v>2.2932254431697614</c:v>
                      </c:pt>
                      <c:pt idx="90">
                        <c:v>2.3045581315884411</c:v>
                      </c:pt>
                      <c:pt idx="91">
                        <c:v>2.315845093518158</c:v>
                      </c:pt>
                      <c:pt idx="92">
                        <c:v>2.3270863157136645</c:v>
                      </c:pt>
                      <c:pt idx="93">
                        <c:v>2.3382817942169294</c:v>
                      </c:pt>
                      <c:pt idx="94">
                        <c:v>2.3494315339952312</c:v>
                      </c:pt>
                      <c:pt idx="95">
                        <c:v>2.3605355485918111</c:v>
                      </c:pt>
                      <c:pt idx="96">
                        <c:v>2.371593859788693</c:v>
                      </c:pt>
                      <c:pt idx="97">
                        <c:v>2.3826064972811754</c:v>
                      </c:pt>
                      <c:pt idx="98">
                        <c:v>2.3935734983636308</c:v>
                      </c:pt>
                      <c:pt idx="99">
                        <c:v>2.4044949076261926</c:v>
                      </c:pt>
                      <c:pt idx="100">
                        <c:v>2.4153707766619683</c:v>
                      </c:pt>
                      <c:pt idx="101">
                        <c:v>2.4262011637843726</c:v>
                      </c:pt>
                      <c:pt idx="102">
                        <c:v>2.4369861337542753</c:v>
                      </c:pt>
                      <c:pt idx="103">
                        <c:v>2.4477257575165736</c:v>
                      </c:pt>
                      <c:pt idx="104">
                        <c:v>2.4584201119458911</c:v>
                      </c:pt>
                      <c:pt idx="105">
                        <c:v>2.4690692796010674</c:v>
                      </c:pt>
                      <c:pt idx="106">
                        <c:v>2.4796733484881606</c:v>
                      </c:pt>
                      <c:pt idx="107">
                        <c:v>2.4902324118316193</c:v>
                      </c:pt>
                      <c:pt idx="108">
                        <c:v>2.500746567853386</c:v>
                      </c:pt>
                      <c:pt idx="109">
                        <c:v>2.5112159195596222</c:v>
                      </c:pt>
                      <c:pt idx="110">
                        <c:v>2.5216405745348349</c:v>
                      </c:pt>
                      <c:pt idx="111">
                        <c:v>2.5320206447430897</c:v>
                      </c:pt>
                      <c:pt idx="112">
                        <c:v>2.5423562463361331</c:v>
                      </c:pt>
                      <c:pt idx="113">
                        <c:v>2.5526474994681063</c:v>
                      </c:pt>
                      <c:pt idx="114">
                        <c:v>2.5628945281167259</c:v>
                      </c:pt>
                      <c:pt idx="115">
                        <c:v>2.5730974599105907</c:v>
                      </c:pt>
                      <c:pt idx="116">
                        <c:v>2.5832564259625181</c:v>
                      </c:pt>
                      <c:pt idx="117">
                        <c:v>2.5933715607086176</c:v>
                      </c:pt>
                      <c:pt idx="118">
                        <c:v>2.603443001752956</c:v>
                      </c:pt>
                      <c:pt idx="119">
                        <c:v>2.6134708897176</c:v>
                      </c:pt>
                      <c:pt idx="120">
                        <c:v>2.6234553680978552</c:v>
                      </c:pt>
                      <c:pt idx="121">
                        <c:v>2.6333965831225461</c:v>
                      </c:pt>
                      <c:pt idx="122">
                        <c:v>2.6432946836191182</c:v>
                      </c:pt>
                      <c:pt idx="123">
                        <c:v>2.6531498208834532</c:v>
                      </c:pt>
                      <c:pt idx="124">
                        <c:v>2.6629621485542092</c:v>
                      </c:pt>
                      <c:pt idx="125">
                        <c:v>2.6727318224915084</c:v>
                      </c:pt>
                      <c:pt idx="126">
                        <c:v>2.6824590006599012</c:v>
                      </c:pt>
                      <c:pt idx="127">
                        <c:v>2.6921438430153604</c:v>
                      </c:pt>
                      <c:pt idx="128">
                        <c:v>2.7017865113962718</c:v>
                      </c:pt>
                      <c:pt idx="129">
                        <c:v>2.7113871694181775</c:v>
                      </c:pt>
                      <c:pt idx="130">
                        <c:v>2.7209459823722768</c:v>
                      </c:pt>
                      <c:pt idx="131">
                        <c:v>2.7304631171274143</c:v>
                      </c:pt>
                      <c:pt idx="132">
                        <c:v>2.7399387420355716</c:v>
                      </c:pt>
                      <c:pt idx="133">
                        <c:v>2.7493730268406344</c:v>
                      </c:pt>
                      <c:pt idx="134">
                        <c:v>2.7587661425904031</c:v>
                      </c:pt>
                      <c:pt idx="135">
                        <c:v>2.7681182615516926</c:v>
                      </c:pt>
                      <c:pt idx="136">
                        <c:v>2.7774295571284675</c:v>
                      </c:pt>
                      <c:pt idx="137">
                        <c:v>2.786700203782805</c:v>
                      </c:pt>
                      <c:pt idx="138">
                        <c:v>2.7959303769587605</c:v>
                      </c:pt>
                      <c:pt idx="139">
                        <c:v>2.8051202530088668</c:v>
                      </c:pt>
                      <c:pt idx="140">
                        <c:v>2.8142700091232733</c:v>
                      </c:pt>
                      <c:pt idx="141">
                        <c:v>2.8233798232614471</c:v>
                      </c:pt>
                      <c:pt idx="142">
                        <c:v>2.8324498740862958</c:v>
                      </c:pt>
                      <c:pt idx="143">
                        <c:v>2.8414803409006462</c:v>
                      </c:pt>
                      <c:pt idx="144">
                        <c:v>2.8504714035860528</c:v>
                      </c:pt>
                      <c:pt idx="145">
                        <c:v>2.8594232425437807</c:v>
                      </c:pt>
                      <c:pt idx="146">
                        <c:v>2.8683360386379468</c:v>
                      </c:pt>
                      <c:pt idx="147">
                        <c:v>2.8772099731407152</c:v>
                      </c:pt>
                      <c:pt idx="148">
                        <c:v>2.8860452276795168</c:v>
                      </c:pt>
                      <c:pt idx="149">
                        <c:v>2.8948419841861779</c:v>
                      </c:pt>
                      <c:pt idx="150">
                        <c:v>2.9036004248479235</c:v>
                      </c:pt>
                      <c:pt idx="151">
                        <c:v>2.9123207320601949</c:v>
                      </c:pt>
                      <c:pt idx="152">
                        <c:v>2.9210030883812217</c:v>
                      </c:pt>
                      <c:pt idx="153">
                        <c:v>2.9296476764882482</c:v>
                      </c:pt>
                      <c:pt idx="154">
                        <c:v>2.9382546791354534</c:v>
                      </c:pt>
                      <c:pt idx="155">
                        <c:v>2.946824279113383</c:v>
                      </c:pt>
                      <c:pt idx="156">
                        <c:v>2.9553566592099756</c:v>
                      </c:pt>
                      <c:pt idx="157">
                        <c:v>2.9638520021730042</c:v>
                      </c:pt>
                      <c:pt idx="158">
                        <c:v>2.9723104906739937</c:v>
                      </c:pt>
                      <c:pt idx="159">
                        <c:v>2.9807323072734979</c:v>
                      </c:pt>
                      <c:pt idx="160">
                        <c:v>2.9891176343877293</c:v>
                      </c:pt>
                      <c:pt idx="161">
                        <c:v>2.9974666542564368</c:v>
                      </c:pt>
                      <c:pt idx="162">
                        <c:v>3.0057795489121002</c:v>
                      </c:pt>
                      <c:pt idx="163">
                        <c:v>3.0140565001502693</c:v>
                      </c:pt>
                      <c:pt idx="164">
                        <c:v>3.022297689501122</c:v>
                      </c:pt>
                      <c:pt idx="165">
                        <c:v>3.0305032982021118</c:v>
                      </c:pt>
                      <c:pt idx="166">
                        <c:v>3.0386735071717261</c:v>
                      </c:pt>
                      <c:pt idx="167">
                        <c:v>3.0468084969843141</c:v>
                      </c:pt>
                      <c:pt idx="168">
                        <c:v>3.0549084478459001</c:v>
                      </c:pt>
                      <c:pt idx="169">
                        <c:v>3.0629735395710243</c:v>
                      </c:pt>
                      <c:pt idx="170">
                        <c:v>3.0710039515605132</c:v>
                      </c:pt>
                      <c:pt idx="171">
                        <c:v>3.0789998627801798</c:v>
                      </c:pt>
                      <c:pt idx="172">
                        <c:v>3.0869614517404202</c:v>
                      </c:pt>
                      <c:pt idx="173">
                        <c:v>3.0948888964766708</c:v>
                      </c:pt>
                      <c:pt idx="174">
                        <c:v>3.1027823745307059</c:v>
                      </c:pt>
                      <c:pt idx="175">
                        <c:v>3.1106420629327314</c:v>
                      </c:pt>
                      <c:pt idx="176">
                        <c:v>3.1184681381842694</c:v>
                      </c:pt>
                      <c:pt idx="177">
                        <c:v>3.1262607762417902</c:v>
                      </c:pt>
                      <c:pt idx="178">
                        <c:v>3.1340201525010878</c:v>
                      </c:pt>
                      <c:pt idx="179">
                        <c:v>3.1417464417823471</c:v>
                      </c:pt>
                      <c:pt idx="180">
                        <c:v>3.1494398183158863</c:v>
                      </c:pt>
                      <c:pt idx="181">
                        <c:v>3.1571004557285822</c:v>
                      </c:pt>
                      <c:pt idx="182">
                        <c:v>3.1647285270309249</c:v>
                      </c:pt>
                      <c:pt idx="183">
                        <c:v>3.1723242046046685</c:v>
                      </c:pt>
                      <c:pt idx="184">
                        <c:v>3.1798876601911026</c:v>
                      </c:pt>
                      <c:pt idx="185">
                        <c:v>3.1874190648798884</c:v>
                      </c:pt>
                      <c:pt idx="186">
                        <c:v>3.1949185890984602</c:v>
                      </c:pt>
                      <c:pt idx="187">
                        <c:v>3.2023864026019524</c:v>
                      </c:pt>
                      <c:pt idx="188">
                        <c:v>3.2098226744636373</c:v>
                      </c:pt>
                      <c:pt idx="189">
                        <c:v>3.2172275730659141</c:v>
                      </c:pt>
                      <c:pt idx="190">
                        <c:v>3.2246012660917165</c:v>
                      </c:pt>
                      <c:pt idx="191">
                        <c:v>3.2319439205164397</c:v>
                      </c:pt>
                      <c:pt idx="192">
                        <c:v>3.2392557026002953</c:v>
                      </c:pt>
                      <c:pt idx="193">
                        <c:v>3.2465367778811265</c:v>
                      </c:pt>
                      <c:pt idx="194">
                        <c:v>3.2537873111676001</c:v>
                      </c:pt>
                      <c:pt idx="195">
                        <c:v>3.2610074665328819</c:v>
                      </c:pt>
                      <c:pt idx="196">
                        <c:v>3.2681974073086364</c:v>
                      </c:pt>
                      <c:pt idx="197">
                        <c:v>3.275357296079433</c:v>
                      </c:pt>
                      <c:pt idx="198">
                        <c:v>3.2824872946775505</c:v>
                      </c:pt>
                      <c:pt idx="199">
                        <c:v>3.289587564178075</c:v>
                      </c:pt>
                      <c:pt idx="200">
                        <c:v>3.2966582648944049</c:v>
                      </c:pt>
                    </c:numCache>
                  </c:numRef>
                </c:val>
                <c:smooth val="0"/>
                <c:extLst xmlns:c15="http://schemas.microsoft.com/office/drawing/2012/chart">
                  <c:ext xmlns:c16="http://schemas.microsoft.com/office/drawing/2014/chart" uri="{C3380CC4-5D6E-409C-BE32-E72D297353CC}">
                    <c16:uniqueId val="{0000000B-DAC0-423F-B197-448F000A954F}"/>
                  </c:ext>
                </c:extLst>
              </c15:ser>
            </c15:filteredLineSeries>
            <c15:filteredLineSeries>
              <c15:ser>
                <c:idx val="2"/>
                <c:order val="12"/>
                <c:tx>
                  <c:v>Total MOSFET Loss</c:v>
                </c:tx>
                <c:spPr>
                  <a:ln w="38100">
                    <a:solidFill>
                      <a:srgbClr val="808000"/>
                    </a:solidFill>
                    <a:prstDash val="sysDash"/>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Calculations'!$BQ$9:$BQ$209</c15:sqref>
                        </c15:formulaRef>
                      </c:ext>
                    </c:extLst>
                    <c:numCache>
                      <c:formatCode>0.000</c:formatCode>
                      <c:ptCount val="201"/>
                      <c:pt idx="0">
                        <c:v>4.8833771988768673</c:v>
                      </c:pt>
                      <c:pt idx="1">
                        <c:v>4.9016780655888761</c:v>
                      </c:pt>
                      <c:pt idx="2">
                        <c:v>4.9199964916870602</c:v>
                      </c:pt>
                      <c:pt idx="3">
                        <c:v>4.9383317694126685</c:v>
                      </c:pt>
                      <c:pt idx="4">
                        <c:v>4.9566832201107207</c:v>
                      </c:pt>
                      <c:pt idx="5">
                        <c:v>4.9750501928849182</c:v>
                      </c:pt>
                      <c:pt idx="6">
                        <c:v>4.9934320633230813</c:v>
                      </c:pt>
                      <c:pt idx="7">
                        <c:v>5.0118282322889574</c:v>
                      </c:pt>
                      <c:pt idx="8">
                        <c:v>5.0302381247765062</c:v>
                      </c:pt>
                      <c:pt idx="9">
                        <c:v>5.0486611888230168</c:v>
                      </c:pt>
                      <c:pt idx="10">
                        <c:v>5.0670968944776442</c:v>
                      </c:pt>
                      <c:pt idx="11">
                        <c:v>5.0855447328222185</c:v>
                      </c:pt>
                      <c:pt idx="12">
                        <c:v>5.1040042150412885</c:v>
                      </c:pt>
                      <c:pt idx="13">
                        <c:v>5.1224748715386745</c:v>
                      </c:pt>
                      <c:pt idx="14">
                        <c:v>5.1409562510978697</c:v>
                      </c:pt>
                      <c:pt idx="15">
                        <c:v>5.1594479200838617</c:v>
                      </c:pt>
                      <c:pt idx="16">
                        <c:v>5.1779494616840598</c:v>
                      </c:pt>
                      <c:pt idx="17">
                        <c:v>5.196460475186222</c:v>
                      </c:pt>
                      <c:pt idx="18">
                        <c:v>5.2149805752912588</c:v>
                      </c:pt>
                      <c:pt idx="19">
                        <c:v>5.2335093914591546</c:v>
                      </c:pt>
                      <c:pt idx="20">
                        <c:v>5.252046567286067</c:v>
                      </c:pt>
                      <c:pt idx="21">
                        <c:v>5.2705917599110776</c:v>
                      </c:pt>
                      <c:pt idx="22">
                        <c:v>5.2891446394508845</c:v>
                      </c:pt>
                      <c:pt idx="23">
                        <c:v>5.3077048884610569</c:v>
                      </c:pt>
                      <c:pt idx="24">
                        <c:v>5.3262722014223911</c:v>
                      </c:pt>
                      <c:pt idx="25">
                        <c:v>5.3448462842510818</c:v>
                      </c:pt>
                      <c:pt idx="26">
                        <c:v>5.3634268538314656</c:v>
                      </c:pt>
                      <c:pt idx="27">
                        <c:v>5.3820136375701688</c:v>
                      </c:pt>
                      <c:pt idx="28">
                        <c:v>5.4006063729705733</c:v>
                      </c:pt>
                      <c:pt idx="29">
                        <c:v>5.4192048072265342</c:v>
                      </c:pt>
                      <c:pt idx="30">
                        <c:v>5.4378086968344084</c:v>
                      </c:pt>
                      <c:pt idx="31">
                        <c:v>5.4564178072224436</c:v>
                      </c:pt>
                      <c:pt idx="32">
                        <c:v>5.4750319123966866</c:v>
                      </c:pt>
                      <c:pt idx="33">
                        <c:v>5.4936507946025417</c:v>
                      </c:pt>
                      <c:pt idx="34">
                        <c:v>5.512274244001266</c:v>
                      </c:pt>
                      <c:pt idx="35">
                        <c:v>5.5309020583606046</c:v>
                      </c:pt>
                      <c:pt idx="36">
                        <c:v>5.5495340427589221</c:v>
                      </c:pt>
                      <c:pt idx="37">
                        <c:v>5.5681700093021433</c:v>
                      </c:pt>
                      <c:pt idx="38">
                        <c:v>5.5868097768528955</c:v>
                      </c:pt>
                      <c:pt idx="39">
                        <c:v>5.6054531707712627</c:v>
                      </c:pt>
                      <c:pt idx="40">
                        <c:v>5.6241000226666111</c:v>
                      </c:pt>
                      <c:pt idx="41">
                        <c:v>5.6427501701599034</c:v>
                      </c:pt>
                      <c:pt idx="42">
                        <c:v>5.661403456656112</c:v>
                      </c:pt>
                      <c:pt idx="43">
                        <c:v>5.6800597311261196</c:v>
                      </c:pt>
                      <c:pt idx="44">
                        <c:v>5.6987188478977897</c:v>
                      </c:pt>
                      <c:pt idx="45">
                        <c:v>5.7173806664556945</c:v>
                      </c:pt>
                      <c:pt idx="46">
                        <c:v>5.7360450512491337</c:v>
                      </c:pt>
                      <c:pt idx="47">
                        <c:v>5.7547118715080687</c:v>
                      </c:pt>
                      <c:pt idx="48">
                        <c:v>5.7733810010665865</c:v>
                      </c:pt>
                      <c:pt idx="49">
                        <c:v>5.7920523181935621</c:v>
                      </c:pt>
                      <c:pt idx="50">
                        <c:v>5.8107257054302064</c:v>
                      </c:pt>
                      <c:pt idx="51">
                        <c:v>5.8294010494341553</c:v>
                      </c:pt>
                      <c:pt idx="52">
                        <c:v>5.8480782408298451</c:v>
                      </c:pt>
                      <c:pt idx="53">
                        <c:v>5.866757174064861</c:v>
                      </c:pt>
                      <c:pt idx="54">
                        <c:v>5.8854377472720136</c:v>
                      </c:pt>
                      <c:pt idx="55">
                        <c:v>5.9041198621368851</c:v>
                      </c:pt>
                      <c:pt idx="56">
                        <c:v>5.9228034237705929</c:v>
                      </c:pt>
                      <c:pt idx="57">
                        <c:v>5.9414883405875729</c:v>
                      </c:pt>
                      <c:pt idx="58">
                        <c:v>5.9601745241881154</c:v>
                      </c:pt>
                      <c:pt idx="59">
                        <c:v>5.9788618892454997</c:v>
                      </c:pt>
                      <c:pt idx="60">
                        <c:v>5.9975503533974868</c:v>
                      </c:pt>
                      <c:pt idx="61">
                        <c:v>6.0162398371420229</c:v>
                      </c:pt>
                      <c:pt idx="62">
                        <c:v>6.0349302637369169</c:v>
                      </c:pt>
                      <c:pt idx="63">
                        <c:v>6.0536215591033997</c:v>
                      </c:pt>
                      <c:pt idx="64">
                        <c:v>6.0723136517333165</c:v>
                      </c:pt>
                      <c:pt idx="65">
                        <c:v>6.0910064725998909</c:v>
                      </c:pt>
                      <c:pt idx="66">
                        <c:v>6.1096999550717968</c:v>
                      </c:pt>
                      <c:pt idx="67">
                        <c:v>6.1283940348305377</c:v>
                      </c:pt>
                      <c:pt idx="68">
                        <c:v>6.147088649790855</c:v>
                      </c:pt>
                      <c:pt idx="69">
                        <c:v>6.1657837400241613</c:v>
                      </c:pt>
                      <c:pt idx="70">
                        <c:v>6.184479247684787</c:v>
                      </c:pt>
                      <c:pt idx="71">
                        <c:v>6.2031751169389739</c:v>
                      </c:pt>
                      <c:pt idx="72">
                        <c:v>6.2218712938964833</c:v>
                      </c:pt>
                      <c:pt idx="73">
                        <c:v>6.240567726544711</c:v>
                      </c:pt>
                      <c:pt idx="74">
                        <c:v>6.2592643646852357</c:v>
                      </c:pt>
                      <c:pt idx="75">
                        <c:v>6.277961159872655</c:v>
                      </c:pt>
                      <c:pt idx="76">
                        <c:v>6.2966580653556523</c:v>
                      </c:pt>
                      <c:pt idx="77">
                        <c:v>6.315355036020204</c:v>
                      </c:pt>
                      <c:pt idx="78">
                        <c:v>6.3340520283348303</c:v>
                      </c:pt>
                      <c:pt idx="79">
                        <c:v>6.3527490002978046</c:v>
                      </c:pt>
                      <c:pt idx="80">
                        <c:v>6.3714459113862594</c:v>
                      </c:pt>
                      <c:pt idx="81">
                        <c:v>6.3901427225071057</c:v>
                      </c:pt>
                      <c:pt idx="82">
                        <c:v>6.4088393959496974</c:v>
                      </c:pt>
                      <c:pt idx="83">
                        <c:v>6.4275358953401689</c:v>
                      </c:pt>
                      <c:pt idx="84">
                        <c:v>6.4462321855973803</c:v>
                      </c:pt>
                      <c:pt idx="85">
                        <c:v>6.4649282328904256</c:v>
                      </c:pt>
                      <c:pt idx="86">
                        <c:v>6.4836240045976057</c:v>
                      </c:pt>
                      <c:pt idx="87">
                        <c:v>6.5023194692668529</c:v>
                      </c:pt>
                      <c:pt idx="88">
                        <c:v>6.5210145965775332</c:v>
                      </c:pt>
                      <c:pt idx="89">
                        <c:v>6.5397093573035479</c:v>
                      </c:pt>
                      <c:pt idx="90">
                        <c:v>6.5584037232777517</c:v>
                      </c:pt>
                      <c:pt idx="91">
                        <c:v>6.577097667357549</c:v>
                      </c:pt>
                      <c:pt idx="92">
                        <c:v>6.5957911633917119</c:v>
                      </c:pt>
                      <c:pt idx="93">
                        <c:v>6.6144841861883119</c:v>
                      </c:pt>
                      <c:pt idx="94">
                        <c:v>6.6331767114837445</c:v>
                      </c:pt>
                      <c:pt idx="95">
                        <c:v>6.6518687159128209</c:v>
                      </c:pt>
                      <c:pt idx="96">
                        <c:v>6.6705601769798593</c:v>
                      </c:pt>
                      <c:pt idx="97">
                        <c:v>6.6892510730307597</c:v>
                      </c:pt>
                      <c:pt idx="98">
                        <c:v>6.7079413832260206</c:v>
                      </c:pt>
                      <c:pt idx="99">
                        <c:v>6.7266310875146491</c:v>
                      </c:pt>
                      <c:pt idx="100">
                        <c:v>6.7453201666089724</c:v>
                      </c:pt>
                      <c:pt idx="101">
                        <c:v>6.764008601960251</c:v>
                      </c:pt>
                      <c:pt idx="102">
                        <c:v>6.7826963757351404</c:v>
                      </c:pt>
                      <c:pt idx="103">
                        <c:v>6.8013834707929064</c:v>
                      </c:pt>
                      <c:pt idx="104">
                        <c:v>6.8200698706634117</c:v>
                      </c:pt>
                      <c:pt idx="105">
                        <c:v>6.8387555595258203</c:v>
                      </c:pt>
                      <c:pt idx="106">
                        <c:v>6.8574405221879999</c:v>
                      </c:pt>
                      <c:pt idx="107">
                        <c:v>6.8761247440666082</c:v>
                      </c:pt>
                      <c:pt idx="108">
                        <c:v>6.8948082111678328</c:v>
                      </c:pt>
                      <c:pt idx="109">
                        <c:v>6.9134909100687345</c:v>
                      </c:pt>
                      <c:pt idx="110">
                        <c:v>6.9321728278992314</c:v>
                      </c:pt>
                      <c:pt idx="111">
                        <c:v>6.9508539523246453</c:v>
                      </c:pt>
                      <c:pt idx="112">
                        <c:v>6.9695342715288229</c:v>
                      </c:pt>
                      <c:pt idx="113">
                        <c:v>6.9882137741977957</c:v>
                      </c:pt>
                      <c:pt idx="114">
                        <c:v>7.0068924495039644</c:v>
                      </c:pt>
                      <c:pt idx="115">
                        <c:v>7.0255702870907966</c:v>
                      </c:pt>
                      <c:pt idx="116">
                        <c:v>7.0442472770580187</c:v>
                      </c:pt>
                      <c:pt idx="117">
                        <c:v>7.0629234099472669</c:v>
                      </c:pt>
                      <c:pt idx="118">
                        <c:v>7.0815986767282046</c:v>
                      </c:pt>
                      <c:pt idx="119">
                        <c:v>7.1002730687850795</c:v>
                      </c:pt>
                      <c:pt idx="120">
                        <c:v>7.1189465779037047</c:v>
                      </c:pt>
                      <c:pt idx="121">
                        <c:v>7.137619196258866</c:v>
                      </c:pt>
                      <c:pt idx="122">
                        <c:v>7.1562909164020851</c:v>
                      </c:pt>
                      <c:pt idx="123">
                        <c:v>7.1749617312498337</c:v>
                      </c:pt>
                      <c:pt idx="124">
                        <c:v>7.1936316340720543</c:v>
                      </c:pt>
                      <c:pt idx="125">
                        <c:v>7.2123006184810725</c:v>
                      </c:pt>
                      <c:pt idx="126">
                        <c:v>7.2309686784208616</c:v>
                      </c:pt>
                      <c:pt idx="127">
                        <c:v>7.2496358081566195</c:v>
                      </c:pt>
                      <c:pt idx="128">
                        <c:v>7.2683020022646838</c:v>
                      </c:pt>
                      <c:pt idx="129">
                        <c:v>7.2869672556227689</c:v>
                      </c:pt>
                      <c:pt idx="130">
                        <c:v>7.3056315634004765</c:v>
                      </c:pt>
                      <c:pt idx="131">
                        <c:v>7.324294921050134</c:v>
                      </c:pt>
                      <c:pt idx="132">
                        <c:v>7.3429573242978963</c:v>
                      </c:pt>
                      <c:pt idx="133">
                        <c:v>7.3616187691351156</c:v>
                      </c:pt>
                      <c:pt idx="134">
                        <c:v>7.3802792518100029</c:v>
                      </c:pt>
                      <c:pt idx="135">
                        <c:v>7.3989387688195105</c:v>
                      </c:pt>
                      <c:pt idx="136">
                        <c:v>7.4175973169014986</c:v>
                      </c:pt>
                      <c:pt idx="137">
                        <c:v>7.4362548930271082</c:v>
                      </c:pt>
                      <c:pt idx="138">
                        <c:v>7.4549114943933974</c:v>
                      </c:pt>
                      <c:pt idx="139">
                        <c:v>7.4735671184161738</c:v>
                      </c:pt>
                      <c:pt idx="140">
                        <c:v>7.4922217627230703</c:v>
                      </c:pt>
                      <c:pt idx="141">
                        <c:v>7.5108754251468044</c:v>
                      </c:pt>
                      <c:pt idx="142">
                        <c:v>7.5295281037186692</c:v>
                      </c:pt>
                      <c:pt idx="143">
                        <c:v>7.548179796662204</c:v>
                      </c:pt>
                      <c:pt idx="144">
                        <c:v>7.5668305023870577</c:v>
                      </c:pt>
                      <c:pt idx="145">
                        <c:v>7.585480219483042</c:v>
                      </c:pt>
                      <c:pt idx="146">
                        <c:v>7.6041289467143578</c:v>
                      </c:pt>
                      <c:pt idx="147">
                        <c:v>7.6227766830140027</c:v>
                      </c:pt>
                      <c:pt idx="148">
                        <c:v>7.6414234274783448</c:v>
                      </c:pt>
                      <c:pt idx="149">
                        <c:v>7.6600691793618463</c:v>
                      </c:pt>
                      <c:pt idx="150">
                        <c:v>7.6787139380719642</c:v>
                      </c:pt>
                      <c:pt idx="151">
                        <c:v>7.6973577031641893</c:v>
                      </c:pt>
                      <c:pt idx="152">
                        <c:v>7.7160004743372408</c:v>
                      </c:pt>
                      <c:pt idx="153">
                        <c:v>7.734642251428399</c:v>
                      </c:pt>
                      <c:pt idx="154">
                        <c:v>7.7532830344089785</c:v>
                      </c:pt>
                      <c:pt idx="155">
                        <c:v>7.7719228233799429</c:v>
                      </c:pt>
                      <c:pt idx="156">
                        <c:v>7.7905616185676347</c:v>
                      </c:pt>
                      <c:pt idx="157">
                        <c:v>7.8091994203196418</c:v>
                      </c:pt>
                      <c:pt idx="158">
                        <c:v>7.827836229100793</c:v>
                      </c:pt>
                      <c:pt idx="159">
                        <c:v>7.8464720454892545</c:v>
                      </c:pt>
                      <c:pt idx="160">
                        <c:v>7.8651068701727569</c:v>
                      </c:pt>
                      <c:pt idx="161">
                        <c:v>7.8837407039449197</c:v>
                      </c:pt>
                      <c:pt idx="162">
                        <c:v>7.9023735477017043</c:v>
                      </c:pt>
                      <c:pt idx="163">
                        <c:v>7.9210054024379488</c:v>
                      </c:pt>
                      <c:pt idx="164">
                        <c:v>7.9396362692440228</c:v>
                      </c:pt>
                      <c:pt idx="165">
                        <c:v>7.9582661493025642</c:v>
                      </c:pt>
                      <c:pt idx="166">
                        <c:v>7.976895043885329</c:v>
                      </c:pt>
                      <c:pt idx="167">
                        <c:v>7.9955229543501263</c:v>
                      </c:pt>
                      <c:pt idx="168">
                        <c:v>8.0141498821378256</c:v>
                      </c:pt>
                      <c:pt idx="169">
                        <c:v>8.0327758287694895</c:v>
                      </c:pt>
                      <c:pt idx="170">
                        <c:v>8.0514007958435556</c:v>
                      </c:pt>
                      <c:pt idx="171">
                        <c:v>8.0700247850331266</c:v>
                      </c:pt>
                      <c:pt idx="172">
                        <c:v>8.0886477980833078</c:v>
                      </c:pt>
                      <c:pt idx="173">
                        <c:v>8.1072698368086602</c:v>
                      </c:pt>
                      <c:pt idx="174">
                        <c:v>8.1258909030907009</c:v>
                      </c:pt>
                      <c:pt idx="175">
                        <c:v>8.1445109988754911</c:v>
                      </c:pt>
                      <c:pt idx="176">
                        <c:v>8.1631301261712839</c:v>
                      </c:pt>
                      <c:pt idx="177">
                        <c:v>8.1817482870462399</c:v>
                      </c:pt>
                      <c:pt idx="178">
                        <c:v>8.2003654836262303</c:v>
                      </c:pt>
                      <c:pt idx="179">
                        <c:v>8.2189817180926816</c:v>
                      </c:pt>
                      <c:pt idx="180">
                        <c:v>8.2375969926804906</c:v>
                      </c:pt>
                      <c:pt idx="181">
                        <c:v>8.2562113096759866</c:v>
                      </c:pt>
                      <c:pt idx="182">
                        <c:v>8.2748246714149936</c:v>
                      </c:pt>
                      <c:pt idx="183">
                        <c:v>8.2934370802808992</c:v>
                      </c:pt>
                      <c:pt idx="184">
                        <c:v>8.3120485387028165</c:v>
                      </c:pt>
                      <c:pt idx="185">
                        <c:v>8.3306590491537662</c:v>
                      </c:pt>
                      <c:pt idx="186">
                        <c:v>8.349268614148956</c:v>
                      </c:pt>
                      <c:pt idx="187">
                        <c:v>8.3678772362440696</c:v>
                      </c:pt>
                      <c:pt idx="188">
                        <c:v>8.3864849180336218</c:v>
                      </c:pt>
                      <c:pt idx="189">
                        <c:v>8.4050916621493617</c:v>
                      </c:pt>
                      <c:pt idx="190">
                        <c:v>8.423697471258718</c:v>
                      </c:pt>
                      <c:pt idx="191">
                        <c:v>8.4423023480633113</c:v>
                      </c:pt>
                      <c:pt idx="192">
                        <c:v>8.4609062952974661</c:v>
                      </c:pt>
                      <c:pt idx="193">
                        <c:v>8.4795093157268031</c:v>
                      </c:pt>
                      <c:pt idx="194">
                        <c:v>8.4981114121468622</c:v>
                      </c:pt>
                      <c:pt idx="195">
                        <c:v>8.5167125873817682</c:v>
                      </c:pt>
                      <c:pt idx="196">
                        <c:v>8.5353128442829238</c:v>
                      </c:pt>
                      <c:pt idx="197">
                        <c:v>8.5539121857277518</c:v>
                      </c:pt>
                      <c:pt idx="198">
                        <c:v>8.5725106146184729</c:v>
                      </c:pt>
                      <c:pt idx="199">
                        <c:v>8.591108133880919</c:v>
                      </c:pt>
                      <c:pt idx="200">
                        <c:v>8.6097047464633754</c:v>
                      </c:pt>
                    </c:numCache>
                  </c:numRef>
                </c:val>
                <c:smooth val="0"/>
                <c:extLst xmlns:c15="http://schemas.microsoft.com/office/drawing/2012/chart">
                  <c:ext xmlns:c16="http://schemas.microsoft.com/office/drawing/2014/chart" uri="{C3380CC4-5D6E-409C-BE32-E72D297353CC}">
                    <c16:uniqueId val="{0000000C-DAC0-423F-B197-448F000A954F}"/>
                  </c:ext>
                </c:extLst>
              </c15:ser>
            </c15:filteredLineSeries>
            <c15:filteredLineSeries>
              <c15:ser>
                <c:idx val="1"/>
                <c:order val="13"/>
                <c:tx>
                  <c:v>Shunt Loss</c:v>
                </c:tx>
                <c:spPr>
                  <a:ln w="38100">
                    <a:solidFill>
                      <a:srgbClr val="002060"/>
                    </a:solidFill>
                    <a:prstDash val="sysDot"/>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Calculations'!$BV$9:$BV$209</c15:sqref>
                        </c15:formulaRef>
                      </c:ext>
                    </c:extLst>
                    <c:numCache>
                      <c:formatCode>0.000</c:formatCode>
                      <c:ptCount val="201"/>
                      <c:pt idx="0">
                        <c:v>9.5243761045760475E-2</c:v>
                      </c:pt>
                      <c:pt idx="1">
                        <c:v>9.7103942143320229E-2</c:v>
                      </c:pt>
                      <c:pt idx="2">
                        <c:v>9.8939226247063222E-2</c:v>
                      </c:pt>
                      <c:pt idx="3">
                        <c:v>0.10075012281131032</c:v>
                      </c:pt>
                      <c:pt idx="4">
                        <c:v>0.10253712712614538</c:v>
                      </c:pt>
                      <c:pt idx="5">
                        <c:v>0.10430072081800383</c:v>
                      </c:pt>
                      <c:pt idx="6">
                        <c:v>0.10604137232874646</c:v>
                      </c:pt>
                      <c:pt idx="7">
                        <c:v>0.10775953737430781</c:v>
                      </c:pt>
                      <c:pt idx="8">
                        <c:v>0.10945565938394397</c:v>
                      </c:pt>
                      <c:pt idx="9">
                        <c:v>0.11113016992104552</c:v>
                      </c:pt>
                      <c:pt idx="10">
                        <c:v>0.11278348908642792</c:v>
                      </c:pt>
                      <c:pt idx="11">
                        <c:v>0.11441602590495836</c:v>
                      </c:pt>
                      <c:pt idx="12">
                        <c:v>0.11602817869632817</c:v>
                      </c:pt>
                      <c:pt idx="13">
                        <c:v>0.11762033543073909</c:v>
                      </c:pt>
                      <c:pt idx="14">
                        <c:v>0.11919287407022439</c:v>
                      </c:pt>
                      <c:pt idx="15">
                        <c:v>0.1207461628962888</c:v>
                      </c:pt>
                      <c:pt idx="16">
                        <c:v>0.12228056082451272</c:v>
                      </c:pt>
                      <c:pt idx="17">
                        <c:v>0.12379641770673275</c:v>
                      </c:pt>
                      <c:pt idx="18">
                        <c:v>0.12529407462137399</c:v>
                      </c:pt>
                      <c:pt idx="19">
                        <c:v>0.12677386415248401</c:v>
                      </c:pt>
                      <c:pt idx="20">
                        <c:v>0.12823611065798432</c:v>
                      </c:pt>
                      <c:pt idx="21">
                        <c:v>0.12968113052763078</c:v>
                      </c:pt>
                      <c:pt idx="22">
                        <c:v>0.13110923243114761</c:v>
                      </c:pt>
                      <c:pt idx="23">
                        <c:v>0.13252071755697739</c:v>
                      </c:pt>
                      <c:pt idx="24">
                        <c:v>0.13391587984206133</c:v>
                      </c:pt>
                      <c:pt idx="25">
                        <c:v>0.13529500619305165</c:v>
                      </c:pt>
                      <c:pt idx="26">
                        <c:v>0.13665837669932793</c:v>
                      </c:pt>
                      <c:pt idx="27">
                        <c:v>0.13800626483817699</c:v>
                      </c:pt>
                      <c:pt idx="28">
                        <c:v>0.1393389376724771</c:v>
                      </c:pt>
                      <c:pt idx="29">
                        <c:v>0.1406566560412052</c:v>
                      </c:pt>
                      <c:pt idx="30">
                        <c:v>0.14195967474307819</c:v>
                      </c:pt>
                      <c:pt idx="31">
                        <c:v>0.14324824271361644</c:v>
                      </c:pt>
                      <c:pt idx="32">
                        <c:v>0.14452260319590926</c:v>
                      </c:pt>
                      <c:pt idx="33">
                        <c:v>0.14578299390534422</c:v>
                      </c:pt>
                      <c:pt idx="34">
                        <c:v>0.14702964718855258</c:v>
                      </c:pt>
                      <c:pt idx="35">
                        <c:v>0.14826279017681024</c:v>
                      </c:pt>
                      <c:pt idx="36">
                        <c:v>0.1494826449341207</c:v>
                      </c:pt>
                      <c:pt idx="37">
                        <c:v>0.15068942860019804</c:v>
                      </c:pt>
                      <c:pt idx="38">
                        <c:v>0.1518833535285565</c:v>
                      </c:pt>
                      <c:pt idx="39">
                        <c:v>0.15306462741990351</c:v>
                      </c:pt>
                      <c:pt idx="40">
                        <c:v>0.15423345345102449</c:v>
                      </c:pt>
                      <c:pt idx="41">
                        <c:v>0.15539003039933866</c:v>
                      </c:pt>
                      <c:pt idx="42">
                        <c:v>0.15653455276329697</c:v>
                      </c:pt>
                      <c:pt idx="43">
                        <c:v>0.15766721087878552</c:v>
                      </c:pt>
                      <c:pt idx="44">
                        <c:v>0.15878819103169034</c:v>
                      </c:pt>
                      <c:pt idx="45">
                        <c:v>0.15989767556677256</c:v>
                      </c:pt>
                      <c:pt idx="46">
                        <c:v>0.16099584299299696</c:v>
                      </c:pt>
                      <c:pt idx="47">
                        <c:v>0.16208286808544808</c:v>
                      </c:pt>
                      <c:pt idx="48">
                        <c:v>0.163158921983966</c:v>
                      </c:pt>
                      <c:pt idx="49">
                        <c:v>0.16422417228862493</c:v>
                      </c:pt>
                      <c:pt idx="50">
                        <c:v>0.1652787831521734</c:v>
                      </c:pt>
                      <c:pt idx="51">
                        <c:v>0.1663229153695501</c:v>
                      </c:pt>
                      <c:pt idx="52">
                        <c:v>0.16735672646458483</c:v>
                      </c:pt>
                      <c:pt idx="53">
                        <c:v>0.16838037077398726</c:v>
                      </c:pt>
                      <c:pt idx="54">
                        <c:v>0.16939399952872411</c:v>
                      </c:pt>
                      <c:pt idx="55">
                        <c:v>0.17039776093288103</c:v>
                      </c:pt>
                      <c:pt idx="56">
                        <c:v>0.17139180024009879</c:v>
                      </c:pt>
                      <c:pt idx="57">
                        <c:v>0.17237625982767349</c:v>
                      </c:pt>
                      <c:pt idx="58">
                        <c:v>0.17335127926840257</c:v>
                      </c:pt>
                      <c:pt idx="59">
                        <c:v>0.17431699540026038</c:v>
                      </c:pt>
                      <c:pt idx="60">
                        <c:v>0.17527354239397575</c:v>
                      </c:pt>
                      <c:pt idx="61">
                        <c:v>0.17622105181859207</c:v>
                      </c:pt>
                      <c:pt idx="62">
                        <c:v>0.17715965270507372</c:v>
                      </c:pt>
                      <c:pt idx="63">
                        <c:v>0.17808947160803332</c:v>
                      </c:pt>
                      <c:pt idx="64">
                        <c:v>0.17901063266564149</c:v>
                      </c:pt>
                      <c:pt idx="65">
                        <c:v>0.17992325765778311</c:v>
                      </c:pt>
                      <c:pt idx="66">
                        <c:v>0.18082746606252023</c:v>
                      </c:pt>
                      <c:pt idx="67">
                        <c:v>0.18172337511092054</c:v>
                      </c:pt>
                      <c:pt idx="68">
                        <c:v>0.18261109984030491</c:v>
                      </c:pt>
                      <c:pt idx="69">
                        <c:v>0.18349075314596974</c:v>
                      </c:pt>
                      <c:pt idx="70">
                        <c:v>0.18436244583143466</c:v>
                      </c:pt>
                      <c:pt idx="71">
                        <c:v>0.18522628665726396</c:v>
                      </c:pt>
                      <c:pt idx="72">
                        <c:v>0.18608238238851102</c:v>
                      </c:pt>
                      <c:pt idx="73">
                        <c:v>0.18693083784083039</c:v>
                      </c:pt>
                      <c:pt idx="74">
                        <c:v>0.18777175592530185</c:v>
                      </c:pt>
                      <c:pt idx="75">
                        <c:v>0.18860523769200777</c:v>
                      </c:pt>
                      <c:pt idx="76">
                        <c:v>0.18943138237240628</c:v>
                      </c:pt>
                      <c:pt idx="77">
                        <c:v>0.19025028742053757</c:v>
                      </c:pt>
                      <c:pt idx="78">
                        <c:v>0.19106204855310263</c:v>
                      </c:pt>
                      <c:pt idx="79">
                        <c:v>0.19186675978844844</c:v>
                      </c:pt>
                      <c:pt idx="80">
                        <c:v>0.19266451348449792</c:v>
                      </c:pt>
                      <c:pt idx="81">
                        <c:v>0.19345540037565465</c:v>
                      </c:pt>
                      <c:pt idx="82">
                        <c:v>0.19423950960871764</c:v>
                      </c:pt>
                      <c:pt idx="83">
                        <c:v>0.19501692877783569</c:v>
                      </c:pt>
                      <c:pt idx="84">
                        <c:v>0.19578774395853263</c:v>
                      </c:pt>
                      <c:pt idx="85">
                        <c:v>0.1965520397408313</c:v>
                      </c:pt>
                      <c:pt idx="86">
                        <c:v>0.197309899261505</c:v>
                      </c:pt>
                      <c:pt idx="87">
                        <c:v>0.19806140423548393</c:v>
                      </c:pt>
                      <c:pt idx="88">
                        <c:v>0.19880663498644066</c:v>
                      </c:pt>
                      <c:pt idx="89">
                        <c:v>0.19954567047658259</c:v>
                      </c:pt>
                      <c:pt idx="90">
                        <c:v>0.20027858833567269</c:v>
                      </c:pt>
                      <c:pt idx="91">
                        <c:v>0.20100546488930435</c:v>
                      </c:pt>
                      <c:pt idx="92">
                        <c:v>0.20172637518645123</c:v>
                      </c:pt>
                      <c:pt idx="93">
                        <c:v>0.202441393026315</c:v>
                      </c:pt>
                      <c:pt idx="94">
                        <c:v>0.20315059098449087</c:v>
                      </c:pt>
                      <c:pt idx="95">
                        <c:v>0.20385404043847249</c:v>
                      </c:pt>
                      <c:pt idx="96">
                        <c:v>0.2045518115925147</c:v>
                      </c:pt>
                      <c:pt idx="97">
                        <c:v>0.20524397350187404</c:v>
                      </c:pt>
                      <c:pt idx="98">
                        <c:v>0.20593059409644426</c:v>
                      </c:pt>
                      <c:pt idx="99">
                        <c:v>0.20661174020380574</c:v>
                      </c:pt>
                      <c:pt idx="100">
                        <c:v>0.20728747757170468</c:v>
                      </c:pt>
                      <c:pt idx="101">
                        <c:v>0.20795787088997914</c:v>
                      </c:pt>
                      <c:pt idx="102">
                        <c:v>0.20862298381194871</c:v>
                      </c:pt>
                      <c:pt idx="103">
                        <c:v>0.20928287897528172</c:v>
                      </c:pt>
                      <c:pt idx="104">
                        <c:v>0.20993761802235544</c:v>
                      </c:pt>
                      <c:pt idx="105">
                        <c:v>0.21058726162012459</c:v>
                      </c:pt>
                      <c:pt idx="106">
                        <c:v>0.21123186947951084</c:v>
                      </c:pt>
                      <c:pt idx="107">
                        <c:v>0.21187150037432789</c:v>
                      </c:pt>
                      <c:pt idx="108">
                        <c:v>0.21250621215975474</c:v>
                      </c:pt>
                      <c:pt idx="109">
                        <c:v>0.21313606179036876</c:v>
                      </c:pt>
                      <c:pt idx="110">
                        <c:v>0.21376110533775314</c:v>
                      </c:pt>
                      <c:pt idx="111">
                        <c:v>0.21438139800768866</c:v>
                      </c:pt>
                      <c:pt idx="112">
                        <c:v>0.21499699415694171</c:v>
                      </c:pt>
                      <c:pt idx="113">
                        <c:v>0.21560794730966026</c:v>
                      </c:pt>
                      <c:pt idx="114">
                        <c:v>0.2162143101733871</c:v>
                      </c:pt>
                      <c:pt idx="115">
                        <c:v>0.21681613465470315</c:v>
                      </c:pt>
                      <c:pt idx="116">
                        <c:v>0.21741347187450827</c:v>
                      </c:pt>
                      <c:pt idx="117">
                        <c:v>0.21800637218295166</c:v>
                      </c:pt>
                      <c:pt idx="118">
                        <c:v>0.21859488517401926</c:v>
                      </c:pt>
                      <c:pt idx="119">
                        <c:v>0.21917905969978904</c:v>
                      </c:pt>
                      <c:pt idx="120">
                        <c:v>0.21975894388436168</c:v>
                      </c:pt>
                      <c:pt idx="121">
                        <c:v>0.22033458513747775</c:v>
                      </c:pt>
                      <c:pt idx="122">
                        <c:v>0.22090603016782495</c:v>
                      </c:pt>
                      <c:pt idx="123">
                        <c:v>0.2214733249960496</c:v>
                      </c:pt>
                      <c:pt idx="124">
                        <c:v>0.22203651496747479</c:v>
                      </c:pt>
                      <c:pt idx="125">
                        <c:v>0.22259564476453733</c:v>
                      </c:pt>
                      <c:pt idx="126">
                        <c:v>0.22315075841894647</c:v>
                      </c:pt>
                      <c:pt idx="127">
                        <c:v>0.22370189932357584</c:v>
                      </c:pt>
                      <c:pt idx="128">
                        <c:v>0.22424911024409255</c:v>
                      </c:pt>
                      <c:pt idx="129">
                        <c:v>0.22479243333033139</c:v>
                      </c:pt>
                      <c:pt idx="130">
                        <c:v>0.22533191012742079</c:v>
                      </c:pt>
                      <c:pt idx="131">
                        <c:v>0.22586758158666595</c:v>
                      </c:pt>
                      <c:pt idx="132">
                        <c:v>0.22639948807619728</c:v>
                      </c:pt>
                      <c:pt idx="133">
                        <c:v>0.22692766939138773</c:v>
                      </c:pt>
                      <c:pt idx="134">
                        <c:v>0.22745216476504573</c:v>
                      </c:pt>
                      <c:pt idx="135">
                        <c:v>0.22797301287739116</c:v>
                      </c:pt>
                      <c:pt idx="136">
                        <c:v>0.22849025186581715</c:v>
                      </c:pt>
                      <c:pt idx="137">
                        <c:v>0.22900391933444325</c:v>
                      </c:pt>
                      <c:pt idx="138">
                        <c:v>0.22951405236346914</c:v>
                      </c:pt>
                      <c:pt idx="139">
                        <c:v>0.23002068751832727</c:v>
                      </c:pt>
                      <c:pt idx="140">
                        <c:v>0.23052386085864507</c:v>
                      </c:pt>
                      <c:pt idx="141">
                        <c:v>0.23102360794701915</c:v>
                      </c:pt>
                      <c:pt idx="142">
                        <c:v>0.23151996385760495</c:v>
                      </c:pt>
                      <c:pt idx="143">
                        <c:v>0.23201296318452952</c:v>
                      </c:pt>
                      <c:pt idx="144">
                        <c:v>0.23250264005012811</c:v>
                      </c:pt>
                      <c:pt idx="145">
                        <c:v>0.23298902811301139</c:v>
                      </c:pt>
                      <c:pt idx="146">
                        <c:v>0.23347216057596715</c:v>
                      </c:pt>
                      <c:pt idx="147">
                        <c:v>0.23395207019369849</c:v>
                      </c:pt>
                      <c:pt idx="148">
                        <c:v>0.23442878928040528</c:v>
                      </c:pt>
                      <c:pt idx="149">
                        <c:v>0.23490234971721058</c:v>
                      </c:pt>
                      <c:pt idx="150">
                        <c:v>0.23537278295943564</c:v>
                      </c:pt>
                      <c:pt idx="151">
                        <c:v>0.23584012004372967</c:v>
                      </c:pt>
                      <c:pt idx="152">
                        <c:v>0.23630439159505356</c:v>
                      </c:pt>
                      <c:pt idx="153">
                        <c:v>0.23676562783352612</c:v>
                      </c:pt>
                      <c:pt idx="154">
                        <c:v>0.23722385858113001</c:v>
                      </c:pt>
                      <c:pt idx="155">
                        <c:v>0.23767911326828725</c:v>
                      </c:pt>
                      <c:pt idx="156">
                        <c:v>0.2381314209403014</c:v>
                      </c:pt>
                      <c:pt idx="157">
                        <c:v>0.23858081026367448</c:v>
                      </c:pt>
                      <c:pt idx="158">
                        <c:v>0.23902730953229676</c:v>
                      </c:pt>
                      <c:pt idx="159">
                        <c:v>0.23947094667351709</c:v>
                      </c:pt>
                      <c:pt idx="160">
                        <c:v>0.23991174925409328</c:v>
                      </c:pt>
                      <c:pt idx="161">
                        <c:v>0.24034974448602492</c:v>
                      </c:pt>
                      <c:pt idx="162">
                        <c:v>0.24078495923227614</c:v>
                      </c:pt>
                      <c:pt idx="163">
                        <c:v>0.24121742001238292</c:v>
                      </c:pt>
                      <c:pt idx="164">
                        <c:v>0.24164715300795586</c:v>
                      </c:pt>
                      <c:pt idx="165">
                        <c:v>0.24207418406807468</c:v>
                      </c:pt>
                      <c:pt idx="166">
                        <c:v>0.24249853871457924</c:v>
                      </c:pt>
                      <c:pt idx="167">
                        <c:v>0.24292024214726035</c:v>
                      </c:pt>
                      <c:pt idx="168">
                        <c:v>0.2433393192489508</c:v>
                      </c:pt>
                      <c:pt idx="169">
                        <c:v>0.24375579459051933</c:v>
                      </c:pt>
                      <c:pt idx="170">
                        <c:v>0.24416969243577061</c:v>
                      </c:pt>
                      <c:pt idx="171">
                        <c:v>0.24458103674625206</c:v>
                      </c:pt>
                      <c:pt idx="172">
                        <c:v>0.24498985118597091</c:v>
                      </c:pt>
                      <c:pt idx="173">
                        <c:v>0.24539615912602142</c:v>
                      </c:pt>
                      <c:pt idx="174">
                        <c:v>0.245799983649127</c:v>
                      </c:pt>
                      <c:pt idx="175">
                        <c:v>0.24620134755409687</c:v>
                      </c:pt>
                      <c:pt idx="176">
                        <c:v>0.24660027336019974</c:v>
                      </c:pt>
                      <c:pt idx="177">
                        <c:v>0.24699678331145661</c:v>
                      </c:pt>
                      <c:pt idx="178">
                        <c:v>0.2473908993808549</c:v>
                      </c:pt>
                      <c:pt idx="179">
                        <c:v>0.24778264327448393</c:v>
                      </c:pt>
                      <c:pt idx="180">
                        <c:v>0.2481720364355956</c:v>
                      </c:pt>
                      <c:pt idx="181">
                        <c:v>0.24855910004858903</c:v>
                      </c:pt>
                      <c:pt idx="182">
                        <c:v>0.24894385504292538</c:v>
                      </c:pt>
                      <c:pt idx="183">
                        <c:v>0.24932632209696848</c:v>
                      </c:pt>
                      <c:pt idx="184">
                        <c:v>0.24970652164175824</c:v>
                      </c:pt>
                      <c:pt idx="185">
                        <c:v>0.25008447386471383</c:v>
                      </c:pt>
                      <c:pt idx="186">
                        <c:v>0.2504601987132723</c:v>
                      </c:pt>
                      <c:pt idx="187">
                        <c:v>0.25083371589846032</c:v>
                      </c:pt>
                      <c:pt idx="188">
                        <c:v>0.25120504489840212</c:v>
                      </c:pt>
                      <c:pt idx="189">
                        <c:v>0.25157420496176591</c:v>
                      </c:pt>
                      <c:pt idx="190">
                        <c:v>0.25194121511114775</c:v>
                      </c:pt>
                      <c:pt idx="191">
                        <c:v>0.25230609414639615</c:v>
                      </c:pt>
                      <c:pt idx="192">
                        <c:v>0.25266886064787791</c:v>
                      </c:pt>
                      <c:pt idx="193">
                        <c:v>0.25302953297968561</c:v>
                      </c:pt>
                      <c:pt idx="194">
                        <c:v>0.25338812929278987</c:v>
                      </c:pt>
                      <c:pt idx="195">
                        <c:v>0.25374466752813574</c:v>
                      </c:pt>
                      <c:pt idx="196">
                        <c:v>0.25409916541968491</c:v>
                      </c:pt>
                      <c:pt idx="197">
                        <c:v>0.25445164049740482</c:v>
                      </c:pt>
                      <c:pt idx="198">
                        <c:v>0.25480211009020742</c:v>
                      </c:pt>
                      <c:pt idx="199">
                        <c:v>0.25515059132883422</c:v>
                      </c:pt>
                      <c:pt idx="200">
                        <c:v>0.25549710114869434</c:v>
                      </c:pt>
                    </c:numCache>
                  </c:numRef>
                </c:val>
                <c:smooth val="0"/>
                <c:extLst xmlns:c15="http://schemas.microsoft.com/office/drawing/2012/chart">
                  <c:ext xmlns:c16="http://schemas.microsoft.com/office/drawing/2014/chart" uri="{C3380CC4-5D6E-409C-BE32-E72D297353CC}">
                    <c16:uniqueId val="{0000000D-DAC0-423F-B197-448F000A954F}"/>
                  </c:ext>
                </c:extLst>
              </c15:ser>
            </c15:filteredLineSeries>
          </c:ext>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38777696750391555"/>
          <c:y val="2.0343390532745328E-3"/>
          <c:w val="0.5137470653214069"/>
          <c:h val="0.1914209614740856"/>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I</a:t>
            </a:r>
            <a:r>
              <a:rPr lang="en-US" sz="1800" b="1" i="0" u="none" strike="noStrike" baseline="-25000"/>
              <a:t>OUT</a:t>
            </a:r>
            <a:r>
              <a:rPr lang="en-US" sz="1800" b="1" i="0" u="none" strike="noStrike" baseline="0"/>
              <a:t> = I</a:t>
            </a:r>
            <a:r>
              <a:rPr lang="en-US" sz="1800" b="1" i="0" u="none" strike="noStrike" baseline="-25000"/>
              <a:t>OUT(max)</a:t>
            </a:r>
            <a:endParaRPr lang="en-US" sz="1800">
              <a:latin typeface="Arial" pitchFamily="34" charset="0"/>
              <a:cs typeface="Arial" pitchFamily="34" charset="0"/>
            </a:endParaRPr>
          </a:p>
        </c:rich>
      </c:tx>
      <c:layout>
        <c:manualLayout>
          <c:xMode val="edge"/>
          <c:yMode val="edge"/>
          <c:x val="8.6461554556559683E-2"/>
          <c:y val="5.1078541245190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417792"/>
        <c:axId val="196419968"/>
        <c:extLst>
          <c:ext xmlns:c15="http://schemas.microsoft.com/office/drawing/2012/chart" uri="{02D57815-91ED-43cb-92C2-25804820EDAC}">
            <c15:filteredLineSeries>
              <c15:ser>
                <c:idx val="0"/>
                <c:order val="0"/>
                <c:tx>
                  <c:v>Efficiency</c:v>
                </c:tx>
                <c:spPr>
                  <a:ln w="31750">
                    <a:solidFill>
                      <a:srgbClr val="FF0000"/>
                    </a:solidFill>
                    <a:prstDash val="solid"/>
                  </a:ln>
                </c:spPr>
                <c:marker>
                  <c:symbol val="none"/>
                </c:marker>
                <c:cat>
                  <c:numRef>
                    <c:extLst>
                      <c:ex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c:ext uri="{02D57815-91ED-43cb-92C2-25804820EDAC}">
                        <c15:formulaRef>
                          <c15:sqref>'Efficiency vs VIN Calculations'!$BO$9:$BO$209</c15:sqref>
                        </c15:formulaRef>
                      </c:ext>
                    </c:extLst>
                    <c:numCache>
                      <c:formatCode>0.00</c:formatCode>
                      <c:ptCount val="201"/>
                      <c:pt idx="0">
                        <c:v>95.549377136149715</c:v>
                      </c:pt>
                      <c:pt idx="1">
                        <c:v>95.532263889966728</c:v>
                      </c:pt>
                      <c:pt idx="2">
                        <c:v>95.515110946792703</c:v>
                      </c:pt>
                      <c:pt idx="3">
                        <c:v>95.497921563735773</c:v>
                      </c:pt>
                      <c:pt idx="4">
                        <c:v>95.480698874935015</c:v>
                      </c:pt>
                      <c:pt idx="5">
                        <c:v>95.46344589523342</c:v>
                      </c:pt>
                      <c:pt idx="6">
                        <c:v>95.446165523831439</c:v>
                      </c:pt>
                      <c:pt idx="7">
                        <c:v>95.428860547907206</c:v>
                      </c:pt>
                      <c:pt idx="8">
                        <c:v>95.411533646191657</c:v>
                      </c:pt>
                      <c:pt idx="9">
                        <c:v>95.394187392488902</c:v>
                      </c:pt>
                      <c:pt idx="10">
                        <c:v>95.37682425913394</c:v>
                      </c:pt>
                      <c:pt idx="11">
                        <c:v>95.359446620381874</c:v>
                      </c:pt>
                      <c:pt idx="12">
                        <c:v>95.342056755723192</c:v>
                      </c:pt>
                      <c:pt idx="13">
                        <c:v>95.324656853121752</c:v>
                      </c:pt>
                      <c:pt idx="14">
                        <c:v>95.307249012172193</c:v>
                      </c:pt>
                      <c:pt idx="15">
                        <c:v>95.289835247175219</c:v>
                      </c:pt>
                      <c:pt idx="16">
                        <c:v>95.272417490129016</c:v>
                      </c:pt>
                      <c:pt idx="17">
                        <c:v>95.254997593636375</c:v>
                      </c:pt>
                      <c:pt idx="18">
                        <c:v>95.237577333727103</c:v>
                      </c:pt>
                      <c:pt idx="19">
                        <c:v>95.220158412596007</c:v>
                      </c:pt>
                      <c:pt idx="20">
                        <c:v>95.202742461257046</c:v>
                      </c:pt>
                      <c:pt idx="21">
                        <c:v>95.185331042114257</c:v>
                      </c:pt>
                      <c:pt idx="22">
                        <c:v>95.167925651451057</c:v>
                      </c:pt>
                      <c:pt idx="23">
                        <c:v>95.150527721838614</c:v>
                      </c:pt>
                      <c:pt idx="24">
                        <c:v>95.133138624465204</c:v>
                      </c:pt>
                      <c:pt idx="25">
                        <c:v>95.11575967138802</c:v>
                      </c:pt>
                      <c:pt idx="26">
                        <c:v>95.09839211770911</c:v>
                      </c:pt>
                      <c:pt idx="27">
                        <c:v>95.081037163677209</c:v>
                      </c:pt>
                      <c:pt idx="28">
                        <c:v>95.063695956717481</c:v>
                      </c:pt>
                      <c:pt idx="29">
                        <c:v>95.046369593390949</c:v>
                      </c:pt>
                      <c:pt idx="30">
                        <c:v>95.029059121285471</c:v>
                      </c:pt>
                      <c:pt idx="31">
                        <c:v>95.011765540840386</c:v>
                      </c:pt>
                      <c:pt idx="32">
                        <c:v>94.99448980710666</c:v>
                      </c:pt>
                      <c:pt idx="33">
                        <c:v>94.977232831444454</c:v>
                      </c:pt>
                      <c:pt idx="34">
                        <c:v>94.959995483160171</c:v>
                      </c:pt>
                      <c:pt idx="35">
                        <c:v>94.942778591084732</c:v>
                      </c:pt>
                      <c:pt idx="36">
                        <c:v>94.925582945095016</c:v>
                      </c:pt>
                      <c:pt idx="37">
                        <c:v>94.908409297580505</c:v>
                      </c:pt>
                      <c:pt idx="38">
                        <c:v>94.89125836485654</c:v>
                      </c:pt>
                      <c:pt idx="39">
                        <c:v>94.874130828526404</c:v>
                      </c:pt>
                      <c:pt idx="40">
                        <c:v>94.85702733679372</c:v>
                      </c:pt>
                      <c:pt idx="41">
                        <c:v>94.839948505726966</c:v>
                      </c:pt>
                      <c:pt idx="42">
                        <c:v>94.822894920477651</c:v>
                      </c:pt>
                      <c:pt idx="43">
                        <c:v>94.805867136453983</c:v>
                      </c:pt>
                      <c:pt idx="44">
                        <c:v>94.788865680451295</c:v>
                      </c:pt>
                      <c:pt idx="45">
                        <c:v>94.771891051741136</c:v>
                      </c:pt>
                      <c:pt idx="46">
                        <c:v>94.754943723120022</c:v>
                      </c:pt>
                      <c:pt idx="47">
                        <c:v>94.738024141919936</c:v>
                      </c:pt>
                      <c:pt idx="48">
                        <c:v>94.721132730981111</c:v>
                      </c:pt>
                      <c:pt idx="49">
                        <c:v>94.704269889589369</c:v>
                      </c:pt>
                      <c:pt idx="50">
                        <c:v>94.687435994378674</c:v>
                      </c:pt>
                      <c:pt idx="51">
                        <c:v>94.670631400200222</c:v>
                      </c:pt>
                      <c:pt idx="52">
                        <c:v>94.653856440959743</c:v>
                      </c:pt>
                      <c:pt idx="53">
                        <c:v>94.637111430423587</c:v>
                      </c:pt>
                      <c:pt idx="54">
                        <c:v>94.620396662995148</c:v>
                      </c:pt>
                      <c:pt idx="55">
                        <c:v>94.603712414462677</c:v>
                      </c:pt>
                      <c:pt idx="56">
                        <c:v>94.587058942719167</c:v>
                      </c:pt>
                      <c:pt idx="57">
                        <c:v>94.570436488455982</c:v>
                      </c:pt>
                      <c:pt idx="58">
                        <c:v>94.553845275830568</c:v>
                      </c:pt>
                      <c:pt idx="59">
                        <c:v>94.537285513109723</c:v>
                      </c:pt>
                      <c:pt idx="60">
                        <c:v>94.520757393288861</c:v>
                      </c:pt>
                      <c:pt idx="61">
                        <c:v>94.504261094688616</c:v>
                      </c:pt>
                      <c:pt idx="62">
                        <c:v>94.487796781529269</c:v>
                      </c:pt>
                      <c:pt idx="63">
                        <c:v>94.471364604484052</c:v>
                      </c:pt>
                      <c:pt idx="64">
                        <c:v>94.454964701211992</c:v>
                      </c:pt>
                      <c:pt idx="65">
                        <c:v>94.438597196871086</c:v>
                      </c:pt>
                      <c:pt idx="66">
                        <c:v>94.422262204612551</c:v>
                      </c:pt>
                      <c:pt idx="67">
                        <c:v>94.405959826056929</c:v>
                      </c:pt>
                      <c:pt idx="68">
                        <c:v>94.38969015175249</c:v>
                      </c:pt>
                      <c:pt idx="69">
                        <c:v>94.373453261616874</c:v>
                      </c:pt>
                      <c:pt idx="70">
                        <c:v>94.357249225362452</c:v>
                      </c:pt>
                      <c:pt idx="71">
                        <c:v>94.341078102905968</c:v>
                      </c:pt>
                      <c:pt idx="72">
                        <c:v>94.324939944763088</c:v>
                      </c:pt>
                      <c:pt idx="73">
                        <c:v>94.308834792428613</c:v>
                      </c:pt>
                      <c:pt idx="74">
                        <c:v>94.292762678742449</c:v>
                      </c:pt>
                      <c:pt idx="75">
                        <c:v>94.276723628242337</c:v>
                      </c:pt>
                      <c:pt idx="76">
                        <c:v>94.260717657503506</c:v>
                      </c:pt>
                      <c:pt idx="77">
                        <c:v>94.244744775465847</c:v>
                      </c:pt>
                      <c:pt idx="78">
                        <c:v>94.228804983749185</c:v>
                      </c:pt>
                      <c:pt idx="79">
                        <c:v>94.212898276956778</c:v>
                      </c:pt>
                      <c:pt idx="80">
                        <c:v>94.197024642967918</c:v>
                      </c:pt>
                      <c:pt idx="81">
                        <c:v>94.181184063219547</c:v>
                      </c:pt>
                      <c:pt idx="82">
                        <c:v>94.165376512977744</c:v>
                      </c:pt>
                      <c:pt idx="83">
                        <c:v>94.149601961599117</c:v>
                      </c:pt>
                      <c:pt idx="84">
                        <c:v>94.133860372782678</c:v>
                      </c:pt>
                      <c:pt idx="85">
                        <c:v>94.118151704812476</c:v>
                      </c:pt>
                      <c:pt idx="86">
                        <c:v>94.102475910791313</c:v>
                      </c:pt>
                      <c:pt idx="87">
                        <c:v>94.086832938865825</c:v>
                      </c:pt>
                      <c:pt idx="88">
                        <c:v>94.071222732443502</c:v>
                      </c:pt>
                      <c:pt idx="89">
                        <c:v>94.055645230401524</c:v>
                      </c:pt>
                      <c:pt idx="90">
                        <c:v>94.040100367288105</c:v>
                      </c:pt>
                      <c:pt idx="91">
                        <c:v>94.024588073516355</c:v>
                      </c:pt>
                      <c:pt idx="92">
                        <c:v>94.009108275551071</c:v>
                      </c:pt>
                      <c:pt idx="93">
                        <c:v>93.993660896088684</c:v>
                      </c:pt>
                      <c:pt idx="94">
                        <c:v>93.978245854230579</c:v>
                      </c:pt>
                      <c:pt idx="95">
                        <c:v>93.962863065650055</c:v>
                      </c:pt>
                      <c:pt idx="96">
                        <c:v>93.947512442753165</c:v>
                      </c:pt>
                      <c:pt idx="97">
                        <c:v>93.932193894833617</c:v>
                      </c:pt>
                      <c:pt idx="98">
                        <c:v>93.916907328222067</c:v>
                      </c:pt>
                      <c:pt idx="99">
                        <c:v>93.901652646429781</c:v>
                      </c:pt>
                      <c:pt idx="100">
                        <c:v>93.886429750287149</c:v>
                      </c:pt>
                      <c:pt idx="101">
                        <c:v>93.871238538076966</c:v>
                      </c:pt>
                      <c:pt idx="102">
                        <c:v>93.856078905662983</c:v>
                      </c:pt>
                      <c:pt idx="103">
                        <c:v>93.840950746613487</c:v>
                      </c:pt>
                      <c:pt idx="104">
                        <c:v>93.825853952320529</c:v>
                      </c:pt>
                      <c:pt idx="105">
                        <c:v>93.810788412114604</c:v>
                      </c:pt>
                      <c:pt idx="106">
                        <c:v>93.795754013375131</c:v>
                      </c:pt>
                      <c:pt idx="107">
                        <c:v>93.780750641636914</c:v>
                      </c:pt>
                      <c:pt idx="108">
                        <c:v>93.765778180692536</c:v>
                      </c:pt>
                      <c:pt idx="109">
                        <c:v>93.750836512691038</c:v>
                      </c:pt>
                      <c:pt idx="110">
                        <c:v>93.735925518232875</c:v>
                      </c:pt>
                      <c:pt idx="111">
                        <c:v>93.721045076461408</c:v>
                      </c:pt>
                      <c:pt idx="112">
                        <c:v>93.706195065150894</c:v>
                      </c:pt>
                      <c:pt idx="113">
                        <c:v>93.691375360791255</c:v>
                      </c:pt>
                      <c:pt idx="114">
                        <c:v>93.676585838669695</c:v>
                      </c:pt>
                      <c:pt idx="115">
                        <c:v>93.661826372949122</c:v>
                      </c:pt>
                      <c:pt idx="116">
                        <c:v>93.647096836743856</c:v>
                      </c:pt>
                      <c:pt idx="117">
                        <c:v>93.632397102192272</c:v>
                      </c:pt>
                      <c:pt idx="118">
                        <c:v>93.617727040526759</c:v>
                      </c:pt>
                      <c:pt idx="119">
                        <c:v>93.60308652214114</c:v>
                      </c:pt>
                      <c:pt idx="120">
                        <c:v>93.588475416655456</c:v>
                      </c:pt>
                      <c:pt idx="121">
                        <c:v>93.573893592978251</c:v>
                      </c:pt>
                      <c:pt idx="122">
                        <c:v>93.559340919366534</c:v>
                      </c:pt>
                      <c:pt idx="123">
                        <c:v>93.54481726348348</c:v>
                      </c:pt>
                      <c:pt idx="124">
                        <c:v>93.530322492453863</c:v>
                      </c:pt>
                      <c:pt idx="125">
                        <c:v>93.515856472917392</c:v>
                      </c:pt>
                      <c:pt idx="126">
                        <c:v>93.501419071079965</c:v>
                      </c:pt>
                      <c:pt idx="127">
                        <c:v>93.48701015276302</c:v>
                      </c:pt>
                      <c:pt idx="128">
                        <c:v>93.472629583450811</c:v>
                      </c:pt>
                      <c:pt idx="129">
                        <c:v>93.458277228336087</c:v>
                      </c:pt>
                      <c:pt idx="130">
                        <c:v>93.443952952363645</c:v>
                      </c:pt>
                      <c:pt idx="131">
                        <c:v>93.429656620272553</c:v>
                      </c:pt>
                      <c:pt idx="132">
                        <c:v>93.415388096636448</c:v>
                      </c:pt>
                      <c:pt idx="133">
                        <c:v>93.401147245902294</c:v>
                      </c:pt>
                      <c:pt idx="134">
                        <c:v>93.386933932427667</c:v>
                      </c:pt>
                      <c:pt idx="135">
                        <c:v>93.372748020516511</c:v>
                      </c:pt>
                      <c:pt idx="136">
                        <c:v>93.358589374453373</c:v>
                      </c:pt>
                      <c:pt idx="137">
                        <c:v>93.34445785853643</c:v>
                      </c:pt>
                      <c:pt idx="138">
                        <c:v>93.330353337109045</c:v>
                      </c:pt>
                      <c:pt idx="139">
                        <c:v>93.316275674590059</c:v>
                      </c:pt>
                      <c:pt idx="140">
                        <c:v>93.302224735502875</c:v>
                      </c:pt>
                      <c:pt idx="141">
                        <c:v>93.288200384503256</c:v>
                      </c:pt>
                      <c:pt idx="142">
                        <c:v>93.274202486406182</c:v>
                      </c:pt>
                      <c:pt idx="143">
                        <c:v>93.260230906211234</c:v>
                      </c:pt>
                      <c:pt idx="144">
                        <c:v>93.246285509127276</c:v>
                      </c:pt>
                      <c:pt idx="145">
                        <c:v>93.23236616059576</c:v>
                      </c:pt>
                      <c:pt idx="146">
                        <c:v>93.218472726313394</c:v>
                      </c:pt>
                      <c:pt idx="147">
                        <c:v>93.204605072253472</c:v>
                      </c:pt>
                      <c:pt idx="148">
                        <c:v>93.190763064686479</c:v>
                      </c:pt>
                      <c:pt idx="149">
                        <c:v>93.176946570199775</c:v>
                      </c:pt>
                      <c:pt idx="150">
                        <c:v>93.163155455716378</c:v>
                      </c:pt>
                      <c:pt idx="151">
                        <c:v>93.14938958851296</c:v>
                      </c:pt>
                      <c:pt idx="152">
                        <c:v>93.135648836236882</c:v>
                      </c:pt>
                      <c:pt idx="153">
                        <c:v>93.121933066922693</c:v>
                      </c:pt>
                      <c:pt idx="154">
                        <c:v>93.108242149007651</c:v>
                      </c:pt>
                      <c:pt idx="155">
                        <c:v>93.094575951346641</c:v>
                      </c:pt>
                      <c:pt idx="156">
                        <c:v>93.080934343226374</c:v>
                      </c:pt>
                      <c:pt idx="157">
                        <c:v>93.06731719437883</c:v>
                      </c:pt>
                      <c:pt idx="158">
                        <c:v>93.053724374994232</c:v>
                      </c:pt>
                      <c:pt idx="159">
                        <c:v>93.040155755733153</c:v>
                      </c:pt>
                      <c:pt idx="160">
                        <c:v>93.026611207738256</c:v>
                      </c:pt>
                      <c:pt idx="161">
                        <c:v>93.013090602645221</c:v>
                      </c:pt>
                      <c:pt idx="162">
                        <c:v>92.999593812593289</c:v>
                      </c:pt>
                      <c:pt idx="163">
                        <c:v>92.986120710235198</c:v>
                      </c:pt>
                      <c:pt idx="164">
                        <c:v>92.97267116874653</c:v>
                      </c:pt>
                      <c:pt idx="165">
                        <c:v>92.959245061834693</c:v>
                      </c:pt>
                      <c:pt idx="166">
                        <c:v>92.945842263747238</c:v>
                      </c:pt>
                      <c:pt idx="167">
                        <c:v>92.932462649279884</c:v>
                      </c:pt>
                      <c:pt idx="168">
                        <c:v>92.919106093784023</c:v>
                      </c:pt>
                      <c:pt idx="169">
                        <c:v>92.905772473173627</c:v>
                      </c:pt>
                      <c:pt idx="170">
                        <c:v>92.892461663932096</c:v>
                      </c:pt>
                      <c:pt idx="171">
                        <c:v>92.879173543118284</c:v>
                      </c:pt>
                      <c:pt idx="172">
                        <c:v>92.86590798837247</c:v>
                      </c:pt>
                      <c:pt idx="173">
                        <c:v>92.852664877921754</c:v>
                      </c:pt>
                      <c:pt idx="174">
                        <c:v>92.839444090585204</c:v>
                      </c:pt>
                      <c:pt idx="175">
                        <c:v>92.826245505778488</c:v>
                      </c:pt>
                      <c:pt idx="176">
                        <c:v>92.813069003518436</c:v>
                      </c:pt>
                      <c:pt idx="177">
                        <c:v>92.799914464427019</c:v>
                      </c:pt>
                      <c:pt idx="178">
                        <c:v>92.786781769735157</c:v>
                      </c:pt>
                      <c:pt idx="179">
                        <c:v>92.773670801286173</c:v>
                      </c:pt>
                      <c:pt idx="180">
                        <c:v>92.76058144153896</c:v>
                      </c:pt>
                      <c:pt idx="181">
                        <c:v>92.747513573570956</c:v>
                      </c:pt>
                      <c:pt idx="182">
                        <c:v>92.73446708108068</c:v>
                      </c:pt>
                      <c:pt idx="183">
                        <c:v>92.721441848390143</c:v>
                      </c:pt>
                      <c:pt idx="184">
                        <c:v>92.708437760446998</c:v>
                      </c:pt>
                      <c:pt idx="185">
                        <c:v>92.695454702826368</c:v>
                      </c:pt>
                      <c:pt idx="186">
                        <c:v>92.682492561732573</c:v>
                      </c:pt>
                      <c:pt idx="187">
                        <c:v>92.669551224000486</c:v>
                      </c:pt>
                      <c:pt idx="188">
                        <c:v>92.656630577096749</c:v>
                      </c:pt>
                      <c:pt idx="189">
                        <c:v>92.6437305091209</c:v>
                      </c:pt>
                      <c:pt idx="190">
                        <c:v>92.630850908806082</c:v>
                      </c:pt>
                      <c:pt idx="191">
                        <c:v>92.617991665519611</c:v>
                      </c:pt>
                      <c:pt idx="192">
                        <c:v>92.605152669263575</c:v>
                      </c:pt>
                      <c:pt idx="193">
                        <c:v>92.592333810675029</c:v>
                      </c:pt>
                      <c:pt idx="194">
                        <c:v>92.579534981026043</c:v>
                      </c:pt>
                      <c:pt idx="195">
                        <c:v>92.56675607222374</c:v>
                      </c:pt>
                      <c:pt idx="196">
                        <c:v>92.553996976809941</c:v>
                      </c:pt>
                      <c:pt idx="197">
                        <c:v>92.541257587960942</c:v>
                      </c:pt>
                      <c:pt idx="198">
                        <c:v>92.528537799486955</c:v>
                      </c:pt>
                      <c:pt idx="199">
                        <c:v>92.515837505831371</c:v>
                      </c:pt>
                      <c:pt idx="200">
                        <c:v>92.503156602070149</c:v>
                      </c:pt>
                    </c:numCache>
                  </c:numRef>
                </c:val>
                <c:smooth val="0"/>
                <c:extLst>
                  <c:ext xmlns:c16="http://schemas.microsoft.com/office/drawing/2014/chart" uri="{C3380CC4-5D6E-409C-BE32-E72D297353CC}">
                    <c16:uniqueId val="{00000002-50A6-46D4-AEF8-03ADE34CD569}"/>
                  </c:ext>
                </c:extLst>
              </c15:ser>
            </c15:filteredLineSeries>
          </c:ext>
        </c:extLst>
      </c:lineChart>
      <c:lineChart>
        <c:grouping val="standard"/>
        <c:varyColors val="0"/>
        <c:ser>
          <c:idx val="7"/>
          <c:order val="7"/>
          <c:tx>
            <c:strRef>
              <c:f>'Efficiency vs VIN Calculations'!$AF$8</c:f>
              <c:strCache>
                <c:ptCount val="1"/>
                <c:pt idx="0">
                  <c:v>Total Cin Loss</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Calculations'!$AF$9:$AF$209</c:f>
              <c:numCache>
                <c:formatCode>0.000</c:formatCode>
                <c:ptCount val="201"/>
                <c:pt idx="0">
                  <c:v>5.6109654535195889E-2</c:v>
                </c:pt>
                <c:pt idx="1">
                  <c:v>5.6808454005512085E-2</c:v>
                </c:pt>
                <c:pt idx="2">
                  <c:v>5.7483154589628063E-2</c:v>
                </c:pt>
                <c:pt idx="3">
                  <c:v>5.8134545191856318E-2</c:v>
                </c:pt>
                <c:pt idx="4">
                  <c:v>5.8763385142715681E-2</c:v>
                </c:pt>
                <c:pt idx="5">
                  <c:v>5.9370405482510616E-2</c:v>
                </c:pt>
                <c:pt idx="6">
                  <c:v>5.9956310181083286E-2</c:v>
                </c:pt>
                <c:pt idx="7">
                  <c:v>6.052177729732662E-2</c:v>
                </c:pt>
                <c:pt idx="8">
                  <c:v>6.1067460081822192E-2</c:v>
                </c:pt>
                <c:pt idx="9">
                  <c:v>6.1593988025755587E-2</c:v>
                </c:pt>
                <c:pt idx="10">
                  <c:v>6.2101967859069067E-2</c:v>
                </c:pt>
                <c:pt idx="11">
                  <c:v>6.2591984500626266E-2</c:v>
                </c:pt>
                <c:pt idx="12">
                  <c:v>6.3064601962997346E-2</c:v>
                </c:pt>
                <c:pt idx="13">
                  <c:v>6.3520364214312189E-2</c:v>
                </c:pt>
                <c:pt idx="14">
                  <c:v>6.3959795999483773E-2</c:v>
                </c:pt>
                <c:pt idx="15">
                  <c:v>6.4383403622964644E-2</c:v>
                </c:pt>
                <c:pt idx="16">
                  <c:v>6.4791675695071854E-2</c:v>
                </c:pt>
                <c:pt idx="17">
                  <c:v>6.5185083843794997E-2</c:v>
                </c:pt>
                <c:pt idx="18">
                  <c:v>6.5564083393889708E-2</c:v>
                </c:pt>
                <c:pt idx="19">
                  <c:v>6.5929114014954243E-2</c:v>
                </c:pt>
                <c:pt idx="20">
                  <c:v>6.6280600340088272E-2</c:v>
                </c:pt>
                <c:pt idx="21">
                  <c:v>6.6618952556640965E-2</c:v>
                </c:pt>
                <c:pt idx="22">
                  <c:v>6.6944566970469174E-2</c:v>
                </c:pt>
                <c:pt idx="23">
                  <c:v>6.7257826545046584E-2</c:v>
                </c:pt>
                <c:pt idx="24">
                  <c:v>6.7559101416687611E-2</c:v>
                </c:pt>
                <c:pt idx="25">
                  <c:v>6.7848749387080742E-2</c:v>
                </c:pt>
                <c:pt idx="26">
                  <c:v>6.8127116394257226E-2</c:v>
                </c:pt>
                <c:pt idx="27">
                  <c:v>6.8394536963061275E-2</c:v>
                </c:pt>
                <c:pt idx="28">
                  <c:v>6.8651334636126521E-2</c:v>
                </c:pt>
                <c:pt idx="29">
                  <c:v>6.889782238631055E-2</c:v>
                </c:pt>
                <c:pt idx="30">
                  <c:v>6.9134303011486667E-2</c:v>
                </c:pt>
                <c:pt idx="31">
                  <c:v>6.9361069512543047E-2</c:v>
                </c:pt>
                <c:pt idx="32">
                  <c:v>6.9578405455394912E-2</c:v>
                </c:pt>
                <c:pt idx="33">
                  <c:v>6.9786585317771252E-2</c:v>
                </c:pt>
                <c:pt idx="34">
                  <c:v>6.9985874821497374E-2</c:v>
                </c:pt>
                <c:pt idx="35">
                  <c:v>7.0176531250957103E-2</c:v>
                </c:pt>
                <c:pt idx="36">
                  <c:v>7.0358803758381494E-2</c:v>
                </c:pt>
                <c:pt idx="37">
                  <c:v>7.0532933656578214E-2</c:v>
                </c:pt>
                <c:pt idx="38">
                  <c:v>7.0699154699683103E-2</c:v>
                </c:pt>
                <c:pt idx="39">
                  <c:v>7.0857693352485707E-2</c:v>
                </c:pt>
                <c:pt idx="40">
                  <c:v>7.1008769048852477E-2</c:v>
                </c:pt>
                <c:pt idx="41">
                  <c:v>7.1152594439743741E-2</c:v>
                </c:pt>
                <c:pt idx="42">
                  <c:v>7.1289375631296961E-2</c:v>
                </c:pt>
                <c:pt idx="43">
                  <c:v>7.1419312413423003E-2</c:v>
                </c:pt>
                <c:pt idx="44">
                  <c:v>7.1542598479341177E-2</c:v>
                </c:pt>
                <c:pt idx="45">
                  <c:v>7.1659421636457124E-2</c:v>
                </c:pt>
                <c:pt idx="46">
                  <c:v>7.1769964008967277E-2</c:v>
                </c:pt>
                <c:pt idx="47">
                  <c:v>7.1874402232554951E-2</c:v>
                </c:pt>
                <c:pt idx="48">
                  <c:v>7.1972907641525183E-2</c:v>
                </c:pt>
                <c:pt idx="49">
                  <c:v>7.2065646448708623E-2</c:v>
                </c:pt>
                <c:pt idx="50">
                  <c:v>7.2152779918447887E-2</c:v>
                </c:pt>
                <c:pt idx="51">
                  <c:v>7.2234464532966211E-2</c:v>
                </c:pt>
                <c:pt idx="52">
                  <c:v>7.2310852152402114E-2</c:v>
                </c:pt>
                <c:pt idx="53">
                  <c:v>7.2382090168781402E-2</c:v>
                </c:pt>
                <c:pt idx="54">
                  <c:v>7.2448321654184286E-2</c:v>
                </c:pt>
                <c:pt idx="55">
                  <c:v>7.2509685503353599E-2</c:v>
                </c:pt>
                <c:pt idx="56">
                  <c:v>7.2566316570978312E-2</c:v>
                </c:pt>
                <c:pt idx="57">
                  <c:v>7.2618345803875287E-2</c:v>
                </c:pt>
                <c:pt idx="58">
                  <c:v>7.2665900368282452E-2</c:v>
                </c:pt>
                <c:pt idx="59">
                  <c:v>7.270910377246631E-2</c:v>
                </c:pt>
                <c:pt idx="60">
                  <c:v>7.2748075984836943E-2</c:v>
                </c:pt>
                <c:pt idx="61">
                  <c:v>7.2782933547755904E-2</c:v>
                </c:pt>
                <c:pt idx="62">
                  <c:v>7.281378968721243E-2</c:v>
                </c:pt>
                <c:pt idx="63">
                  <c:v>7.2840754418537018E-2</c:v>
                </c:pt>
                <c:pt idx="64">
                  <c:v>7.2863934648312173E-2</c:v>
                </c:pt>
                <c:pt idx="65">
                  <c:v>7.2883434272634426E-2</c:v>
                </c:pt>
                <c:pt idx="66">
                  <c:v>7.2899354271873537E-2</c:v>
                </c:pt>
                <c:pt idx="67">
                  <c:v>7.2911792802069414E-2</c:v>
                </c:pt>
                <c:pt idx="68">
                  <c:v>7.2920845283099722E-2</c:v>
                </c:pt>
                <c:pt idx="69">
                  <c:v>7.2926604483746812E-2</c:v>
                </c:pt>
                <c:pt idx="70">
                  <c:v>7.2929160603785737E-2</c:v>
                </c:pt>
                <c:pt idx="71">
                  <c:v>7.2928601353210346E-2</c:v>
                </c:pt>
                <c:pt idx="72">
                  <c:v>7.2925012028709046E-2</c:v>
                </c:pt>
                <c:pt idx="73">
                  <c:v>7.2918475587497478E-2</c:v>
                </c:pt>
                <c:pt idx="74">
                  <c:v>7.2909072718610135E-2</c:v>
                </c:pt>
                <c:pt idx="75">
                  <c:v>7.2896881911748826E-2</c:v>
                </c:pt>
                <c:pt idx="76">
                  <c:v>7.288197952378199E-2</c:v>
                </c:pt>
                <c:pt idx="77">
                  <c:v>7.2864439842984241E-2</c:v>
                </c:pt>
                <c:pt idx="78">
                  <c:v>7.2844335151102099E-2</c:v>
                </c:pt>
                <c:pt idx="79">
                  <c:v>7.2821735783328775E-2</c:v>
                </c:pt>
                <c:pt idx="80">
                  <c:v>7.2796710186265642E-2</c:v>
                </c:pt>
                <c:pt idx="81">
                  <c:v>7.2769324973947266E-2</c:v>
                </c:pt>
                <c:pt idx="82">
                  <c:v>7.2739644982001514E-2</c:v>
                </c:pt>
                <c:pt idx="83">
                  <c:v>7.2707733320014567E-2</c:v>
                </c:pt>
                <c:pt idx="84">
                  <c:v>7.2673651422166891E-2</c:v>
                </c:pt>
                <c:pt idx="85">
                  <c:v>7.263745909620449E-2</c:v>
                </c:pt>
                <c:pt idx="86">
                  <c:v>7.2599214570806342E-2</c:v>
                </c:pt>
                <c:pt idx="87">
                  <c:v>7.2558974541406723E-2</c:v>
                </c:pt>
                <c:pt idx="88">
                  <c:v>7.2516794214528613E-2</c:v>
                </c:pt>
                <c:pt idx="89">
                  <c:v>7.2472727350682511E-2</c:v>
                </c:pt>
                <c:pt idx="90">
                  <c:v>7.2426826305882278E-2</c:v>
                </c:pt>
                <c:pt idx="91">
                  <c:v>7.2379142071827621E-2</c:v>
                </c:pt>
                <c:pt idx="92">
                  <c:v>7.2329724314801724E-2</c:v>
                </c:pt>
                <c:pt idx="93">
                  <c:v>7.2278621413328803E-2</c:v>
                </c:pt>
                <c:pt idx="94">
                  <c:v>7.2225880494636713E-2</c:v>
                </c:pt>
                <c:pt idx="95">
                  <c:v>7.2171547469966249E-2</c:v>
                </c:pt>
                <c:pt idx="96">
                  <c:v>7.2115667068768249E-2</c:v>
                </c:pt>
                <c:pt idx="97">
                  <c:v>7.2058282871827237E-2</c:v>
                </c:pt>
                <c:pt idx="98">
                  <c:v>7.1999437343349404E-2</c:v>
                </c:pt>
                <c:pt idx="99">
                  <c:v>7.1939171862050996E-2</c:v>
                </c:pt>
                <c:pt idx="100">
                  <c:v>7.1877526751281617E-2</c:v>
                </c:pt>
                <c:pt idx="101">
                  <c:v>7.1814541308216365E-2</c:v>
                </c:pt>
                <c:pt idx="102">
                  <c:v>7.175025383214792E-2</c:v>
                </c:pt>
                <c:pt idx="103">
                  <c:v>7.1684701651910723E-2</c:v>
                </c:pt>
                <c:pt idx="104">
                  <c:v>7.161792115246586E-2</c:v>
                </c:pt>
                <c:pt idx="105">
                  <c:v>7.1549947800675778E-2</c:v>
                </c:pt>
                <c:pt idx="106">
                  <c:v>7.1480816170296169E-2</c:v>
                </c:pt>
                <c:pt idx="107">
                  <c:v>7.1410559966211651E-2</c:v>
                </c:pt>
                <c:pt idx="108">
                  <c:v>7.1339212047940428E-2</c:v>
                </c:pt>
                <c:pt idx="109">
                  <c:v>7.1266804452432705E-2</c:v>
                </c:pt>
                <c:pt idx="110">
                  <c:v>7.1193368416186481E-2</c:v>
                </c:pt>
                <c:pt idx="111">
                  <c:v>7.1118934396702999E-2</c:v>
                </c:pt>
                <c:pt idx="112">
                  <c:v>7.1043532093304759E-2</c:v>
                </c:pt>
                <c:pt idx="113">
                  <c:v>7.0967190467335864E-2</c:v>
                </c:pt>
                <c:pt idx="114">
                  <c:v>7.0889937761766234E-2</c:v>
                </c:pt>
                <c:pt idx="115">
                  <c:v>7.0811801520218529E-2</c:v>
                </c:pt>
                <c:pt idx="116">
                  <c:v>7.0732808605436931E-2</c:v>
                </c:pt>
                <c:pt idx="117">
                  <c:v>7.0652985217215886E-2</c:v>
                </c:pt>
                <c:pt idx="118">
                  <c:v>7.0572356909806469E-2</c:v>
                </c:pt>
                <c:pt idx="119">
                  <c:v>7.0490948608817369E-2</c:v>
                </c:pt>
                <c:pt idx="120">
                  <c:v>7.0408784627626078E-2</c:v>
                </c:pt>
                <c:pt idx="121">
                  <c:v>7.0325888683317198E-2</c:v>
                </c:pt>
                <c:pt idx="122">
                  <c:v>7.0242283912162071E-2</c:v>
                </c:pt>
                <c:pt idx="123">
                  <c:v>7.0157992884654602E-2</c:v>
                </c:pt>
                <c:pt idx="124">
                  <c:v>7.007303762011774E-2</c:v>
                </c:pt>
                <c:pt idx="125">
                  <c:v>6.9987439600893694E-2</c:v>
                </c:pt>
                <c:pt idx="126">
                  <c:v>6.9901219786131355E-2</c:v>
                </c:pt>
                <c:pt idx="127">
                  <c:v>6.9814398625183655E-2</c:v>
                </c:pt>
                <c:pt idx="128">
                  <c:v>6.972699607062692E-2</c:v>
                </c:pt>
                <c:pt idx="129">
                  <c:v>6.9639031590913905E-2</c:v>
                </c:pt>
                <c:pt idx="130">
                  <c:v>6.955052418267238E-2</c:v>
                </c:pt>
                <c:pt idx="131">
                  <c:v>6.9461492382659862E-2</c:v>
                </c:pt>
                <c:pt idx="132">
                  <c:v>6.937195427938532E-2</c:v>
                </c:pt>
                <c:pt idx="133">
                  <c:v>6.9281927524408121E-2</c:v>
                </c:pt>
                <c:pt idx="134">
                  <c:v>6.9191429343324035E-2</c:v>
                </c:pt>
                <c:pt idx="135">
                  <c:v>6.9100476546447881E-2</c:v>
                </c:pt>
                <c:pt idx="136">
                  <c:v>6.9009085539202472E-2</c:v>
                </c:pt>
                <c:pt idx="137">
                  <c:v>6.8917272332222154E-2</c:v>
                </c:pt>
                <c:pt idx="138">
                  <c:v>6.8825052551180085E-2</c:v>
                </c:pt>
                <c:pt idx="139">
                  <c:v>6.8732441446347464E-2</c:v>
                </c:pt>
                <c:pt idx="140">
                  <c:v>6.8639453901892827E-2</c:v>
                </c:pt>
                <c:pt idx="141">
                  <c:v>6.8546104444929007E-2</c:v>
                </c:pt>
                <c:pt idx="142">
                  <c:v>6.84524072543157E-2</c:v>
                </c:pt>
                <c:pt idx="143">
                  <c:v>6.8358376169224688E-2</c:v>
                </c:pt>
                <c:pt idx="144">
                  <c:v>6.8264024697474793E-2</c:v>
                </c:pt>
                <c:pt idx="145">
                  <c:v>6.8169366023643319E-2</c:v>
                </c:pt>
                <c:pt idx="146">
                  <c:v>6.807441301696103E-2</c:v>
                </c:pt>
                <c:pt idx="147">
                  <c:v>6.7979178238996338E-2</c:v>
                </c:pt>
                <c:pt idx="148">
                  <c:v>6.7883673951135787E-2</c:v>
                </c:pt>
                <c:pt idx="149">
                  <c:v>6.7787912121865607E-2</c:v>
                </c:pt>
                <c:pt idx="150">
                  <c:v>6.7691904433861569E-2</c:v>
                </c:pt>
                <c:pt idx="151">
                  <c:v>6.7595662290891645E-2</c:v>
                </c:pt>
                <c:pt idx="152">
                  <c:v>6.7499196824537241E-2</c:v>
                </c:pt>
                <c:pt idx="153">
                  <c:v>6.7402518900738395E-2</c:v>
                </c:pt>
                <c:pt idx="154">
                  <c:v>6.7305639126168187E-2</c:v>
                </c:pt>
                <c:pt idx="155">
                  <c:v>6.7208567854440182E-2</c:v>
                </c:pt>
                <c:pt idx="156">
                  <c:v>6.7111315192155629E-2</c:v>
                </c:pt>
                <c:pt idx="157">
                  <c:v>6.7013891004793089E-2</c:v>
                </c:pt>
                <c:pt idx="158">
                  <c:v>6.691630492244606E-2</c:v>
                </c:pt>
                <c:pt idx="159">
                  <c:v>6.6818566345412667E-2</c:v>
                </c:pt>
                <c:pt idx="160">
                  <c:v>6.6720684449641743E-2</c:v>
                </c:pt>
                <c:pt idx="161">
                  <c:v>6.6622668192038853E-2</c:v>
                </c:pt>
                <c:pt idx="162">
                  <c:v>6.6524526315637003E-2</c:v>
                </c:pt>
                <c:pt idx="163">
                  <c:v>6.6426267354635193E-2</c:v>
                </c:pt>
                <c:pt idx="164">
                  <c:v>6.6327899639308671E-2</c:v>
                </c:pt>
                <c:pt idx="165">
                  <c:v>6.6229431300794825E-2</c:v>
                </c:pt>
                <c:pt idx="166">
                  <c:v>6.6130870275757661E-2</c:v>
                </c:pt>
                <c:pt idx="167">
                  <c:v>6.603222431093464E-2</c:v>
                </c:pt>
                <c:pt idx="168">
                  <c:v>6.5933500967568767E-2</c:v>
                </c:pt>
                <c:pt idx="169">
                  <c:v>6.5834707625729669E-2</c:v>
                </c:pt>
                <c:pt idx="170">
                  <c:v>6.5735851488525968E-2</c:v>
                </c:pt>
                <c:pt idx="171">
                  <c:v>6.5636939586212764E-2</c:v>
                </c:pt>
                <c:pt idx="172">
                  <c:v>6.5537978780196252E-2</c:v>
                </c:pt>
                <c:pt idx="173">
                  <c:v>6.5438975766939037E-2</c:v>
                </c:pt>
                <c:pt idx="174">
                  <c:v>6.5339937081768398E-2</c:v>
                </c:pt>
                <c:pt idx="175">
                  <c:v>6.5240869102590235E-2</c:v>
                </c:pt>
                <c:pt idx="176">
                  <c:v>6.5141778053511415E-2</c:v>
                </c:pt>
                <c:pt idx="177">
                  <c:v>6.5042670008372827E-2</c:v>
                </c:pt>
                <c:pt idx="178">
                  <c:v>6.4943550894195526E-2</c:v>
                </c:pt>
                <c:pt idx="179">
                  <c:v>6.4844426494542265E-2</c:v>
                </c:pt>
                <c:pt idx="180">
                  <c:v>6.4745302452797415E-2</c:v>
                </c:pt>
                <c:pt idx="181">
                  <c:v>6.4646184275365892E-2</c:v>
                </c:pt>
                <c:pt idx="182">
                  <c:v>6.4547077334794964E-2</c:v>
                </c:pt>
                <c:pt idx="183">
                  <c:v>6.4447986872819885E-2</c:v>
                </c:pt>
                <c:pt idx="184">
                  <c:v>6.4348918003335767E-2</c:v>
                </c:pt>
                <c:pt idx="185">
                  <c:v>6.4249875715297694E-2</c:v>
                </c:pt>
                <c:pt idx="186">
                  <c:v>6.4150864875550551E-2</c:v>
                </c:pt>
                <c:pt idx="187">
                  <c:v>6.405189023159126E-2</c:v>
                </c:pt>
                <c:pt idx="188">
                  <c:v>6.3952956414264184E-2</c:v>
                </c:pt>
                <c:pt idx="189">
                  <c:v>6.3854067940392306E-2</c:v>
                </c:pt>
                <c:pt idx="190">
                  <c:v>6.3755229215345141E-2</c:v>
                </c:pt>
                <c:pt idx="191">
                  <c:v>6.3656444535545753E-2</c:v>
                </c:pt>
                <c:pt idx="192">
                  <c:v>6.3557718090917883E-2</c:v>
                </c:pt>
                <c:pt idx="193">
                  <c:v>6.3459053967275039E-2</c:v>
                </c:pt>
                <c:pt idx="194">
                  <c:v>6.3360456148652711E-2</c:v>
                </c:pt>
                <c:pt idx="195">
                  <c:v>6.3261928519585939E-2</c:v>
                </c:pt>
                <c:pt idx="196">
                  <c:v>6.3163474867332661E-2</c:v>
                </c:pt>
                <c:pt idx="197">
                  <c:v>6.3065098884044907E-2</c:v>
                </c:pt>
                <c:pt idx="198">
                  <c:v>6.2966804168888946E-2</c:v>
                </c:pt>
                <c:pt idx="199">
                  <c:v>6.2868594230115746E-2</c:v>
                </c:pt>
                <c:pt idx="200">
                  <c:v>6.2770472487082923E-2</c:v>
                </c:pt>
              </c:numCache>
            </c:numRef>
          </c:val>
          <c:smooth val="0"/>
          <c:extLst>
            <c:ext xmlns:c16="http://schemas.microsoft.com/office/drawing/2014/chart" uri="{C3380CC4-5D6E-409C-BE32-E72D297353CC}">
              <c16:uniqueId val="{00000000-50A6-46D4-AEF8-03ADE34CD569}"/>
            </c:ext>
          </c:extLst>
        </c:ser>
        <c:ser>
          <c:idx val="6"/>
          <c:order val="8"/>
          <c:tx>
            <c:strRef>
              <c:f>'Efficiency vs VIN Calculations'!$AC$8</c:f>
              <c:strCache>
                <c:ptCount val="1"/>
                <c:pt idx="0">
                  <c:v>Total Cout Loss</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Calculations'!$AC$9:$AC$209</c:f>
              <c:numCache>
                <c:formatCode>0.000</c:formatCode>
                <c:ptCount val="201"/>
                <c:pt idx="0">
                  <c:v>2.6259597524932012E-3</c:v>
                </c:pt>
                <c:pt idx="1">
                  <c:v>2.7256505648593898E-3</c:v>
                </c:pt>
                <c:pt idx="2">
                  <c:v>2.8257859992278141E-3</c:v>
                </c:pt>
                <c:pt idx="3">
                  <c:v>2.9263198215073011E-3</c:v>
                </c:pt>
                <c:pt idx="4">
                  <c:v>3.0272080573061017E-3</c:v>
                </c:pt>
                <c:pt idx="5">
                  <c:v>3.1284088820129879E-3</c:v>
                </c:pt>
                <c:pt idx="6">
                  <c:v>3.2298825166463029E-3</c:v>
                </c:pt>
                <c:pt idx="7">
                  <c:v>3.3315911291397992E-3</c:v>
                </c:pt>
                <c:pt idx="8">
                  <c:v>3.4334987407546452E-3</c:v>
                </c:pt>
                <c:pt idx="9">
                  <c:v>3.5355711373265971E-3</c:v>
                </c:pt>
                <c:pt idx="10">
                  <c:v>3.6377757850752142E-3</c:v>
                </c:pt>
                <c:pt idx="11">
                  <c:v>3.7400817507190821E-3</c:v>
                </c:pt>
                <c:pt idx="12">
                  <c:v>3.842459625656458E-3</c:v>
                </c:pt>
                <c:pt idx="13">
                  <c:v>3.9448814539856693E-3</c:v>
                </c:pt>
                <c:pt idx="14">
                  <c:v>4.0473206641531388E-3</c:v>
                </c:pt>
                <c:pt idx="15">
                  <c:v>4.1497520040297518E-3</c:v>
                </c:pt>
                <c:pt idx="16">
                  <c:v>4.2521514792282838E-3</c:v>
                </c:pt>
                <c:pt idx="17">
                  <c:v>4.3544962944856401E-3</c:v>
                </c:pt>
                <c:pt idx="18">
                  <c:v>4.456764797944289E-3</c:v>
                </c:pt>
                <c:pt idx="19">
                  <c:v>4.5589364281769266E-3</c:v>
                </c:pt>
                <c:pt idx="20">
                  <c:v>4.6609916638075182E-3</c:v>
                </c:pt>
                <c:pt idx="21">
                  <c:v>4.7629119755906472E-3</c:v>
                </c:pt>
                <c:pt idx="22">
                  <c:v>4.8646797808187649E-3</c:v>
                </c:pt>
                <c:pt idx="23">
                  <c:v>4.9662783999348814E-3</c:v>
                </c:pt>
                <c:pt idx="24">
                  <c:v>5.0676920152348389E-3</c:v>
                </c:pt>
                <c:pt idx="25">
                  <c:v>5.1689056315502814E-3</c:v>
                </c:pt>
                <c:pt idx="26">
                  <c:v>5.2699050388094219E-3</c:v>
                </c:pt>
                <c:pt idx="27">
                  <c:v>5.3706767763785556E-3</c:v>
                </c:pt>
                <c:pt idx="28">
                  <c:v>5.4712080990927947E-3</c:v>
                </c:pt>
                <c:pt idx="29">
                  <c:v>5.5714869448894866E-3</c:v>
                </c:pt>
                <c:pt idx="30">
                  <c:v>5.6715019039628098E-3</c:v>
                </c:pt>
                <c:pt idx="31">
                  <c:v>5.7712421893622431E-3</c:v>
                </c:pt>
                <c:pt idx="32">
                  <c:v>5.8706976089622264E-3</c:v>
                </c:pt>
                <c:pt idx="33">
                  <c:v>5.9698585387339799E-3</c:v>
                </c:pt>
                <c:pt idx="34">
                  <c:v>6.0687158972544397E-3</c:v>
                </c:pt>
                <c:pt idx="35">
                  <c:v>6.1672611213907328E-3</c:v>
                </c:pt>
                <c:pt idx="36">
                  <c:v>6.2654861431018687E-3</c:v>
                </c:pt>
                <c:pt idx="37">
                  <c:v>6.3633833673025879E-3</c:v>
                </c:pt>
                <c:pt idx="38">
                  <c:v>6.4609456507371604E-3</c:v>
                </c:pt>
                <c:pt idx="39">
                  <c:v>6.5581662818137015E-3</c:v>
                </c:pt>
                <c:pt idx="40">
                  <c:v>6.6550389613523313E-3</c:v>
                </c:pt>
                <c:pt idx="41">
                  <c:v>6.7515577842026907E-3</c:v>
                </c:pt>
                <c:pt idx="42">
                  <c:v>6.847717221689067E-3</c:v>
                </c:pt>
                <c:pt idx="43">
                  <c:v>6.9435121048430125E-3</c:v>
                </c:pt>
                <c:pt idx="44">
                  <c:v>7.0389376083861352E-3</c:v>
                </c:pt>
                <c:pt idx="45">
                  <c:v>7.1339892354268805E-3</c:v>
                </c:pt>
                <c:pt idx="46">
                  <c:v>7.2286628028377219E-3</c:v>
                </c:pt>
                <c:pt idx="47">
                  <c:v>7.3229544272803565E-3</c:v>
                </c:pt>
                <c:pt idx="48">
                  <c:v>7.4168605118484603E-3</c:v>
                </c:pt>
                <c:pt idx="49">
                  <c:v>7.51037773329902E-3</c:v>
                </c:pt>
                <c:pt idx="50">
                  <c:v>7.6035030298446729E-3</c:v>
                </c:pt>
                <c:pt idx="51">
                  <c:v>7.6962335894809695E-3</c:v>
                </c:pt>
                <c:pt idx="52">
                  <c:v>7.7885668388237433E-3</c:v>
                </c:pt>
                <c:pt idx="53">
                  <c:v>7.8805004324329873E-3</c:v>
                </c:pt>
                <c:pt idx="54">
                  <c:v>7.9720322426008444E-3</c:v>
                </c:pt>
                <c:pt idx="55">
                  <c:v>8.0631603495823888E-3</c:v>
                </c:pt>
                <c:pt idx="56">
                  <c:v>8.1538830322490582E-3</c:v>
                </c:pt>
                <c:pt idx="57">
                  <c:v>8.2441987591453519E-3</c:v>
                </c:pt>
                <c:pt idx="58">
                  <c:v>8.3341061799305904E-3</c:v>
                </c:pt>
                <c:pt idx="59">
                  <c:v>8.4236041171883089E-3</c:v>
                </c:pt>
                <c:pt idx="60">
                  <c:v>8.5126915585866433E-3</c:v>
                </c:pt>
                <c:pt idx="61">
                  <c:v>8.6013676493741139E-3</c:v>
                </c:pt>
                <c:pt idx="62">
                  <c:v>8.6896316851955823E-3</c:v>
                </c:pt>
                <c:pt idx="63">
                  <c:v>8.7774831052142756E-3</c:v>
                </c:pt>
                <c:pt idx="64">
                  <c:v>8.86492148552619E-3</c:v>
                </c:pt>
                <c:pt idx="65">
                  <c:v>8.9519465328539698E-3</c:v>
                </c:pt>
                <c:pt idx="66">
                  <c:v>9.03855807850781E-3</c:v>
                </c:pt>
                <c:pt idx="67">
                  <c:v>9.1247560726018338E-3</c:v>
                </c:pt>
                <c:pt idx="68">
                  <c:v>9.2105405785144947E-3</c:v>
                </c:pt>
                <c:pt idx="69">
                  <c:v>9.2959117675824737E-3</c:v>
                </c:pt>
                <c:pt idx="70">
                  <c:v>9.3808699140179395E-3</c:v>
                </c:pt>
                <c:pt idx="71">
                  <c:v>9.465415390039339E-3</c:v>
                </c:pt>
                <c:pt idx="72">
                  <c:v>9.5495486612064556E-3</c:v>
                </c:pt>
                <c:pt idx="73">
                  <c:v>9.6332702819510452E-3</c:v>
                </c:pt>
                <c:pt idx="74">
                  <c:v>9.7165808912945649E-3</c:v>
                </c:pt>
                <c:pt idx="75">
                  <c:v>9.7994812087448483E-3</c:v>
                </c:pt>
                <c:pt idx="76">
                  <c:v>9.8819720303642312E-3</c:v>
                </c:pt>
                <c:pt idx="77">
                  <c:v>9.9640542250017203E-3</c:v>
                </c:pt>
                <c:pt idx="78">
                  <c:v>1.004572873068219E-2</c:v>
                </c:pt>
                <c:pt idx="79">
                  <c:v>1.0126996551146064E-2</c:v>
                </c:pt>
                <c:pt idx="80">
                  <c:v>1.0207858752532889E-2</c:v>
                </c:pt>
                <c:pt idx="81">
                  <c:v>1.0288316460202982E-2</c:v>
                </c:pt>
                <c:pt idx="82">
                  <c:v>1.036837085569111E-2</c:v>
                </c:pt>
                <c:pt idx="83">
                  <c:v>1.0448023173786864E-2</c:v>
                </c:pt>
                <c:pt idx="84">
                  <c:v>1.0527274699736154E-2</c:v>
                </c:pt>
                <c:pt idx="85">
                  <c:v>1.0606126766559029E-2</c:v>
                </c:pt>
                <c:pt idx="86">
                  <c:v>1.0684580752478806E-2</c:v>
                </c:pt>
                <c:pt idx="87">
                  <c:v>1.076263807845791E-2</c:v>
                </c:pt>
                <c:pt idx="88">
                  <c:v>1.0840300205836054E-2</c:v>
                </c:pt>
                <c:pt idx="89">
                  <c:v>1.0917568634066411E-2</c:v>
                </c:pt>
                <c:pt idx="90">
                  <c:v>1.0994444898545848E-2</c:v>
                </c:pt>
                <c:pt idx="91">
                  <c:v>1.1070930568535258E-2</c:v>
                </c:pt>
                <c:pt idx="92">
                  <c:v>1.1147027245166344E-2</c:v>
                </c:pt>
                <c:pt idx="93">
                  <c:v>1.1222736559531222E-2</c:v>
                </c:pt>
                <c:pt idx="94">
                  <c:v>1.1298060170851615E-2</c:v>
                </c:pt>
                <c:pt idx="95">
                  <c:v>1.1372999764724103E-2</c:v>
                </c:pt>
                <c:pt idx="96">
                  <c:v>1.1447557051438722E-2</c:v>
                </c:pt>
                <c:pt idx="97">
                  <c:v>1.1521733764367515E-2</c:v>
                </c:pt>
                <c:pt idx="98">
                  <c:v>1.1595531658420494E-2</c:v>
                </c:pt>
                <c:pt idx="99">
                  <c:v>1.1668952508566081E-2</c:v>
                </c:pt>
                <c:pt idx="100">
                  <c:v>1.1741998108413641E-2</c:v>
                </c:pt>
                <c:pt idx="101">
                  <c:v>1.1814670268855297E-2</c:v>
                </c:pt>
                <c:pt idx="102">
                  <c:v>1.1886970816764939E-2</c:v>
                </c:pt>
                <c:pt idx="103">
                  <c:v>1.195890159375192E-2</c:v>
                </c:pt>
                <c:pt idx="104">
                  <c:v>1.203046445496728E-2</c:v>
                </c:pt>
                <c:pt idx="105">
                  <c:v>1.2101661267960487E-2</c:v>
                </c:pt>
                <c:pt idx="106">
                  <c:v>1.2172493911584585E-2</c:v>
                </c:pt>
                <c:pt idx="107">
                  <c:v>1.2242964274947761E-2</c:v>
                </c:pt>
                <c:pt idx="108">
                  <c:v>1.231307425640964E-2</c:v>
                </c:pt>
                <c:pt idx="109">
                  <c:v>1.2382825762620328E-2</c:v>
                </c:pt>
                <c:pt idx="110">
                  <c:v>1.2452220707600704E-2</c:v>
                </c:pt>
                <c:pt idx="111">
                  <c:v>1.2521261011862059E-2</c:v>
                </c:pt>
                <c:pt idx="112">
                  <c:v>1.2589948601563917E-2</c:v>
                </c:pt>
                <c:pt idx="113">
                  <c:v>1.2658285407707939E-2</c:v>
                </c:pt>
                <c:pt idx="114">
                  <c:v>1.2726273365367205E-2</c:v>
                </c:pt>
                <c:pt idx="115">
                  <c:v>1.2793914412948693E-2</c:v>
                </c:pt>
                <c:pt idx="116">
                  <c:v>1.2861210491488367E-2</c:v>
                </c:pt>
                <c:pt idx="117">
                  <c:v>1.2928163543977016E-2</c:v>
                </c:pt>
                <c:pt idx="118">
                  <c:v>1.2994775514716022E-2</c:v>
                </c:pt>
                <c:pt idx="119">
                  <c:v>1.3061048348701577E-2</c:v>
                </c:pt>
                <c:pt idx="120">
                  <c:v>1.3126983991036487E-2</c:v>
                </c:pt>
                <c:pt idx="121">
                  <c:v>1.3192584386368326E-2</c:v>
                </c:pt>
                <c:pt idx="122">
                  <c:v>1.3257851478352827E-2</c:v>
                </c:pt>
                <c:pt idx="123">
                  <c:v>1.3322787209141811E-2</c:v>
                </c:pt>
                <c:pt idx="124">
                  <c:v>1.3387393518894349E-2</c:v>
                </c:pt>
                <c:pt idx="125">
                  <c:v>1.3451672345310375E-2</c:v>
                </c:pt>
                <c:pt idx="126">
                  <c:v>1.3515625623186067E-2</c:v>
                </c:pt>
                <c:pt idx="127">
                  <c:v>1.3579255283989785E-2</c:v>
                </c:pt>
                <c:pt idx="128">
                  <c:v>1.3642563255457978E-2</c:v>
                </c:pt>
                <c:pt idx="129">
                  <c:v>1.3705551461210259E-2</c:v>
                </c:pt>
                <c:pt idx="130">
                  <c:v>1.3768221820382847E-2</c:v>
                </c:pt>
                <c:pt idx="131">
                  <c:v>1.3830576247279654E-2</c:v>
                </c:pt>
                <c:pt idx="132">
                  <c:v>1.3892616651040414E-2</c:v>
                </c:pt>
                <c:pt idx="133">
                  <c:v>1.3954344935325005E-2</c:v>
                </c:pt>
                <c:pt idx="134">
                  <c:v>1.4015762998013537E-2</c:v>
                </c:pt>
                <c:pt idx="135">
                  <c:v>1.4076872730921406E-2</c:v>
                </c:pt>
                <c:pt idx="136">
                  <c:v>1.4137676019528889E-2</c:v>
                </c:pt>
                <c:pt idx="137">
                  <c:v>1.4198174742724523E-2</c:v>
                </c:pt>
                <c:pt idx="138">
                  <c:v>1.4258370772561932E-2</c:v>
                </c:pt>
                <c:pt idx="139">
                  <c:v>1.4318265974029383E-2</c:v>
                </c:pt>
                <c:pt idx="140">
                  <c:v>1.4377862204831695E-2</c:v>
                </c:pt>
                <c:pt idx="141">
                  <c:v>1.4437161315183923E-2</c:v>
                </c:pt>
                <c:pt idx="142">
                  <c:v>1.4496165147616522E-2</c:v>
                </c:pt>
                <c:pt idx="143">
                  <c:v>1.4554875536791235E-2</c:v>
                </c:pt>
                <c:pt idx="144">
                  <c:v>1.4613294309327625E-2</c:v>
                </c:pt>
                <c:pt idx="145">
                  <c:v>1.4671423283639575E-2</c:v>
                </c:pt>
                <c:pt idx="146">
                  <c:v>1.4729264269781472E-2</c:v>
                </c:pt>
                <c:pt idx="147">
                  <c:v>1.4786819069303641E-2</c:v>
                </c:pt>
                <c:pt idx="148">
                  <c:v>1.4844089475116775E-2</c:v>
                </c:pt>
                <c:pt idx="149">
                  <c:v>1.4901077271364836E-2</c:v>
                </c:pt>
                <c:pt idx="150">
                  <c:v>1.4957784233306171E-2</c:v>
                </c:pt>
                <c:pt idx="151">
                  <c:v>1.5014212127202518E-2</c:v>
                </c:pt>
                <c:pt idx="152">
                  <c:v>1.5070362710215692E-2</c:v>
                </c:pt>
                <c:pt idx="153">
                  <c:v>1.51262377303113E-2</c:v>
                </c:pt>
                <c:pt idx="154">
                  <c:v>1.5181838926169689E-2</c:v>
                </c:pt>
                <c:pt idx="155">
                  <c:v>1.5237168027103334E-2</c:v>
                </c:pt>
                <c:pt idx="156">
                  <c:v>1.5292226752980882E-2</c:v>
                </c:pt>
                <c:pt idx="157">
                  <c:v>1.5347016814157186E-2</c:v>
                </c:pt>
                <c:pt idx="158">
                  <c:v>1.5401539911409261E-2</c:v>
                </c:pt>
                <c:pt idx="159">
                  <c:v>1.5455797735878036E-2</c:v>
                </c:pt>
                <c:pt idx="160">
                  <c:v>1.5509791969015391E-2</c:v>
                </c:pt>
                <c:pt idx="161">
                  <c:v>1.5563524282536455E-2</c:v>
                </c:pt>
                <c:pt idx="162">
                  <c:v>1.561699633837694E-2</c:v>
                </c:pt>
                <c:pt idx="163">
                  <c:v>1.5670209788655246E-2</c:v>
                </c:pt>
                <c:pt idx="164">
                  <c:v>1.5723166275639099E-2</c:v>
                </c:pt>
                <c:pt idx="165">
                  <c:v>1.5775867431716651E-2</c:v>
                </c:pt>
                <c:pt idx="166">
                  <c:v>1.5828314879371773E-2</c:v>
                </c:pt>
                <c:pt idx="167">
                  <c:v>1.5880510231163446E-2</c:v>
                </c:pt>
                <c:pt idx="168">
                  <c:v>1.5932455089708857E-2</c:v>
                </c:pt>
                <c:pt idx="169">
                  <c:v>1.5984151047670366E-2</c:v>
                </c:pt>
                <c:pt idx="170">
                  <c:v>1.6035599687745938E-2</c:v>
                </c:pt>
                <c:pt idx="171">
                  <c:v>1.6086802582663023E-2</c:v>
                </c:pt>
                <c:pt idx="172">
                  <c:v>1.6137761295175555E-2</c:v>
                </c:pt>
                <c:pt idx="173">
                  <c:v>1.6188477378064219E-2</c:v>
                </c:pt>
                <c:pt idx="174">
                  <c:v>1.6238952374139554E-2</c:v>
                </c:pt>
                <c:pt idx="175">
                  <c:v>1.6289187816248007E-2</c:v>
                </c:pt>
                <c:pt idx="176">
                  <c:v>1.6339185227280579E-2</c:v>
                </c:pt>
                <c:pt idx="177">
                  <c:v>1.638894612018417E-2</c:v>
                </c:pt>
                <c:pt idx="178">
                  <c:v>1.6438471997975324E-2</c:v>
                </c:pt>
                <c:pt idx="179">
                  <c:v>1.6487764353756418E-2</c:v>
                </c:pt>
                <c:pt idx="180">
                  <c:v>1.6536824670733991E-2</c:v>
                </c:pt>
                <c:pt idx="181">
                  <c:v>1.6585654422239332E-2</c:v>
                </c:pt>
                <c:pt idx="182">
                  <c:v>1.6634255071751113E-2</c:v>
                </c:pt>
                <c:pt idx="183">
                  <c:v>1.668262807291988E-2</c:v>
                </c:pt>
                <c:pt idx="184">
                  <c:v>1.6730774869594452E-2</c:v>
                </c:pt>
                <c:pt idx="185">
                  <c:v>1.6778696895850227E-2</c:v>
                </c:pt>
                <c:pt idx="186">
                  <c:v>1.6826395576018963E-2</c:v>
                </c:pt>
                <c:pt idx="187">
                  <c:v>1.6873872324720318E-2</c:v>
                </c:pt>
                <c:pt idx="188">
                  <c:v>1.6921128546894842E-2</c:v>
                </c:pt>
                <c:pt idx="189">
                  <c:v>1.6968165637838449E-2</c:v>
                </c:pt>
                <c:pt idx="190">
                  <c:v>1.7014984983238259E-2</c:v>
                </c:pt>
                <c:pt idx="191">
                  <c:v>1.7061587959209774E-2</c:v>
                </c:pt>
                <c:pt idx="192">
                  <c:v>1.7107975932335231E-2</c:v>
                </c:pt>
                <c:pt idx="193">
                  <c:v>1.7154150259703186E-2</c:v>
                </c:pt>
                <c:pt idx="194">
                  <c:v>1.7200112288949205E-2</c:v>
                </c:pt>
                <c:pt idx="195">
                  <c:v>1.7245863358297534E-2</c:v>
                </c:pt>
                <c:pt idx="196">
                  <c:v>1.7291404796603918E-2</c:v>
                </c:pt>
                <c:pt idx="197">
                  <c:v>1.7336737923399115E-2</c:v>
                </c:pt>
                <c:pt idx="198">
                  <c:v>1.7381864048933576E-2</c:v>
                </c:pt>
                <c:pt idx="199">
                  <c:v>1.7426784474222707E-2</c:v>
                </c:pt>
                <c:pt idx="200">
                  <c:v>1.7471500491093049E-2</c:v>
                </c:pt>
              </c:numCache>
            </c:numRef>
          </c:val>
          <c:smooth val="0"/>
          <c:extLst>
            <c:ext xmlns:c16="http://schemas.microsoft.com/office/drawing/2014/chart" uri="{C3380CC4-5D6E-409C-BE32-E72D297353CC}">
              <c16:uniqueId val="{00000001-50A6-46D4-AEF8-03ADE34CD569}"/>
            </c:ext>
          </c:extLst>
        </c:ser>
        <c:dLbls>
          <c:showLegendKey val="0"/>
          <c:showVal val="0"/>
          <c:showCatName val="0"/>
          <c:showSerName val="0"/>
          <c:showPercent val="0"/>
          <c:showBubbleSize val="0"/>
        </c:dLbls>
        <c:marker val="1"/>
        <c:smooth val="0"/>
        <c:axId val="196432256"/>
        <c:axId val="196421888"/>
        <c:extLst>
          <c:ext xmlns:c15="http://schemas.microsoft.com/office/drawing/2012/chart" uri="{02D57815-91ED-43cb-92C2-25804820EDAC}">
            <c15:filteredLineSeries>
              <c15:ser>
                <c:idx val="13"/>
                <c:order val="1"/>
                <c:tx>
                  <c:strRef>
                    <c:extLst>
                      <c:ext uri="{02D57815-91ED-43cb-92C2-25804820EDAC}">
                        <c15:formulaRef>
                          <c15:sqref>'Efficiency vs VIN Calculations'!$BE$7</c15:sqref>
                        </c15:formulaRef>
                      </c:ext>
                    </c:extLst>
                    <c:strCache>
                      <c:ptCount val="1"/>
                      <c:pt idx="0">
                        <c:v>Controller IC Losses</c:v>
                      </c:pt>
                    </c:strCache>
                  </c:strRef>
                </c:tx>
                <c:marker>
                  <c:symbol val="none"/>
                </c:marker>
                <c:cat>
                  <c:numRef>
                    <c:extLst>
                      <c:ex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c:ext uri="{02D57815-91ED-43cb-92C2-25804820EDAC}">
                        <c15:formulaRef>
                          <c15:sqref>'Efficiency vs VIN Calculations'!$BH$9:$BH$209</c15:sqref>
                        </c15:formulaRef>
                      </c:ext>
                    </c:extLst>
                    <c:numCache>
                      <c:formatCode>0.000</c:formatCode>
                      <c:ptCount val="201"/>
                      <c:pt idx="0">
                        <c:v>0.51683999999999997</c:v>
                      </c:pt>
                      <c:pt idx="1">
                        <c:v>0.51683999999999997</c:v>
                      </c:pt>
                      <c:pt idx="2">
                        <c:v>0.51683999999999997</c:v>
                      </c:pt>
                      <c:pt idx="3">
                        <c:v>0.51683999999999997</c:v>
                      </c:pt>
                      <c:pt idx="4">
                        <c:v>0.51683999999999997</c:v>
                      </c:pt>
                      <c:pt idx="5">
                        <c:v>0.51683999999999997</c:v>
                      </c:pt>
                      <c:pt idx="6">
                        <c:v>0.51683999999999997</c:v>
                      </c:pt>
                      <c:pt idx="7">
                        <c:v>0.51683999999999997</c:v>
                      </c:pt>
                      <c:pt idx="8">
                        <c:v>0.51683999999999997</c:v>
                      </c:pt>
                      <c:pt idx="9">
                        <c:v>0.51683999999999997</c:v>
                      </c:pt>
                      <c:pt idx="10">
                        <c:v>0.51683999999999997</c:v>
                      </c:pt>
                      <c:pt idx="11">
                        <c:v>0.51683999999999997</c:v>
                      </c:pt>
                      <c:pt idx="12">
                        <c:v>0.51683999999999997</c:v>
                      </c:pt>
                      <c:pt idx="13">
                        <c:v>0.51683999999999997</c:v>
                      </c:pt>
                      <c:pt idx="14">
                        <c:v>0.51683999999999997</c:v>
                      </c:pt>
                      <c:pt idx="15">
                        <c:v>0.51683999999999997</c:v>
                      </c:pt>
                      <c:pt idx="16">
                        <c:v>0.51683999999999997</c:v>
                      </c:pt>
                      <c:pt idx="17">
                        <c:v>0.51683999999999997</c:v>
                      </c:pt>
                      <c:pt idx="18">
                        <c:v>0.51683999999999997</c:v>
                      </c:pt>
                      <c:pt idx="19">
                        <c:v>0.51683999999999997</c:v>
                      </c:pt>
                      <c:pt idx="20">
                        <c:v>0.51683999999999997</c:v>
                      </c:pt>
                      <c:pt idx="21">
                        <c:v>0.51683999999999997</c:v>
                      </c:pt>
                      <c:pt idx="22">
                        <c:v>0.51683999999999997</c:v>
                      </c:pt>
                      <c:pt idx="23">
                        <c:v>0.51683999999999997</c:v>
                      </c:pt>
                      <c:pt idx="24">
                        <c:v>0.51683999999999997</c:v>
                      </c:pt>
                      <c:pt idx="25">
                        <c:v>0.51683999999999997</c:v>
                      </c:pt>
                      <c:pt idx="26">
                        <c:v>0.51683999999999997</c:v>
                      </c:pt>
                      <c:pt idx="27">
                        <c:v>0.51683999999999997</c:v>
                      </c:pt>
                      <c:pt idx="28">
                        <c:v>0.51683999999999997</c:v>
                      </c:pt>
                      <c:pt idx="29">
                        <c:v>0.51683999999999997</c:v>
                      </c:pt>
                      <c:pt idx="30">
                        <c:v>0.51683999999999997</c:v>
                      </c:pt>
                      <c:pt idx="31">
                        <c:v>0.51683999999999997</c:v>
                      </c:pt>
                      <c:pt idx="32">
                        <c:v>0.51683999999999997</c:v>
                      </c:pt>
                      <c:pt idx="33">
                        <c:v>0.51683999999999997</c:v>
                      </c:pt>
                      <c:pt idx="34">
                        <c:v>0.51683999999999997</c:v>
                      </c:pt>
                      <c:pt idx="35">
                        <c:v>0.51683999999999997</c:v>
                      </c:pt>
                      <c:pt idx="36">
                        <c:v>0.51683999999999997</c:v>
                      </c:pt>
                      <c:pt idx="37">
                        <c:v>0.51683999999999997</c:v>
                      </c:pt>
                      <c:pt idx="38">
                        <c:v>0.51683999999999997</c:v>
                      </c:pt>
                      <c:pt idx="39">
                        <c:v>0.51683999999999997</c:v>
                      </c:pt>
                      <c:pt idx="40">
                        <c:v>0.51683999999999997</c:v>
                      </c:pt>
                      <c:pt idx="41">
                        <c:v>0.51683999999999997</c:v>
                      </c:pt>
                      <c:pt idx="42">
                        <c:v>0.51683999999999997</c:v>
                      </c:pt>
                      <c:pt idx="43">
                        <c:v>0.51683999999999997</c:v>
                      </c:pt>
                      <c:pt idx="44">
                        <c:v>0.51683999999999997</c:v>
                      </c:pt>
                      <c:pt idx="45">
                        <c:v>0.51683999999999997</c:v>
                      </c:pt>
                      <c:pt idx="46">
                        <c:v>0.51683999999999997</c:v>
                      </c:pt>
                      <c:pt idx="47">
                        <c:v>0.51683999999999997</c:v>
                      </c:pt>
                      <c:pt idx="48">
                        <c:v>0.51683999999999997</c:v>
                      </c:pt>
                      <c:pt idx="49">
                        <c:v>0.51683999999999997</c:v>
                      </c:pt>
                      <c:pt idx="50">
                        <c:v>0.51683999999999997</c:v>
                      </c:pt>
                      <c:pt idx="51">
                        <c:v>0.51683999999999997</c:v>
                      </c:pt>
                      <c:pt idx="52">
                        <c:v>0.51683999999999997</c:v>
                      </c:pt>
                      <c:pt idx="53">
                        <c:v>0.51683999999999997</c:v>
                      </c:pt>
                      <c:pt idx="54">
                        <c:v>0.51683999999999997</c:v>
                      </c:pt>
                      <c:pt idx="55">
                        <c:v>0.51683999999999997</c:v>
                      </c:pt>
                      <c:pt idx="56">
                        <c:v>0.51683999999999997</c:v>
                      </c:pt>
                      <c:pt idx="57">
                        <c:v>0.51683999999999997</c:v>
                      </c:pt>
                      <c:pt idx="58">
                        <c:v>0.51683999999999997</c:v>
                      </c:pt>
                      <c:pt idx="59">
                        <c:v>0.51683999999999997</c:v>
                      </c:pt>
                      <c:pt idx="60">
                        <c:v>0.51683999999999997</c:v>
                      </c:pt>
                      <c:pt idx="61">
                        <c:v>0.51683999999999997</c:v>
                      </c:pt>
                      <c:pt idx="62">
                        <c:v>0.51683999999999997</c:v>
                      </c:pt>
                      <c:pt idx="63">
                        <c:v>0.51683999999999997</c:v>
                      </c:pt>
                      <c:pt idx="64">
                        <c:v>0.51683999999999997</c:v>
                      </c:pt>
                      <c:pt idx="65">
                        <c:v>0.51683999999999997</c:v>
                      </c:pt>
                      <c:pt idx="66">
                        <c:v>0.51683999999999997</c:v>
                      </c:pt>
                      <c:pt idx="67">
                        <c:v>0.51683999999999997</c:v>
                      </c:pt>
                      <c:pt idx="68">
                        <c:v>0.51683999999999997</c:v>
                      </c:pt>
                      <c:pt idx="69">
                        <c:v>0.51683999999999997</c:v>
                      </c:pt>
                      <c:pt idx="70">
                        <c:v>0.51683999999999997</c:v>
                      </c:pt>
                      <c:pt idx="71">
                        <c:v>0.51683999999999997</c:v>
                      </c:pt>
                      <c:pt idx="72">
                        <c:v>0.51683999999999997</c:v>
                      </c:pt>
                      <c:pt idx="73">
                        <c:v>0.51683999999999997</c:v>
                      </c:pt>
                      <c:pt idx="74">
                        <c:v>0.51683999999999997</c:v>
                      </c:pt>
                      <c:pt idx="75">
                        <c:v>0.51683999999999997</c:v>
                      </c:pt>
                      <c:pt idx="76">
                        <c:v>0.51683999999999997</c:v>
                      </c:pt>
                      <c:pt idx="77">
                        <c:v>0.51683999999999997</c:v>
                      </c:pt>
                      <c:pt idx="78">
                        <c:v>0.51683999999999997</c:v>
                      </c:pt>
                      <c:pt idx="79">
                        <c:v>0.51683999999999997</c:v>
                      </c:pt>
                      <c:pt idx="80">
                        <c:v>0.51683999999999997</c:v>
                      </c:pt>
                      <c:pt idx="81">
                        <c:v>0.51683999999999997</c:v>
                      </c:pt>
                      <c:pt idx="82">
                        <c:v>0.51683999999999997</c:v>
                      </c:pt>
                      <c:pt idx="83">
                        <c:v>0.51683999999999997</c:v>
                      </c:pt>
                      <c:pt idx="84">
                        <c:v>0.51683999999999997</c:v>
                      </c:pt>
                      <c:pt idx="85">
                        <c:v>0.51683999999999997</c:v>
                      </c:pt>
                      <c:pt idx="86">
                        <c:v>0.51683999999999997</c:v>
                      </c:pt>
                      <c:pt idx="87">
                        <c:v>0.51683999999999997</c:v>
                      </c:pt>
                      <c:pt idx="88">
                        <c:v>0.51683999999999997</c:v>
                      </c:pt>
                      <c:pt idx="89">
                        <c:v>0.51683999999999997</c:v>
                      </c:pt>
                      <c:pt idx="90">
                        <c:v>0.51683999999999997</c:v>
                      </c:pt>
                      <c:pt idx="91">
                        <c:v>0.51683999999999997</c:v>
                      </c:pt>
                      <c:pt idx="92">
                        <c:v>0.51683999999999997</c:v>
                      </c:pt>
                      <c:pt idx="93">
                        <c:v>0.51683999999999997</c:v>
                      </c:pt>
                      <c:pt idx="94">
                        <c:v>0.51683999999999997</c:v>
                      </c:pt>
                      <c:pt idx="95">
                        <c:v>0.51683999999999997</c:v>
                      </c:pt>
                      <c:pt idx="96">
                        <c:v>0.51683999999999997</c:v>
                      </c:pt>
                      <c:pt idx="97">
                        <c:v>0.51683999999999997</c:v>
                      </c:pt>
                      <c:pt idx="98">
                        <c:v>0.51683999999999997</c:v>
                      </c:pt>
                      <c:pt idx="99">
                        <c:v>0.51683999999999997</c:v>
                      </c:pt>
                      <c:pt idx="100">
                        <c:v>0.51683999999999997</c:v>
                      </c:pt>
                      <c:pt idx="101">
                        <c:v>0.51683999999999997</c:v>
                      </c:pt>
                      <c:pt idx="102">
                        <c:v>0.51683999999999997</c:v>
                      </c:pt>
                      <c:pt idx="103">
                        <c:v>0.51683999999999997</c:v>
                      </c:pt>
                      <c:pt idx="104">
                        <c:v>0.51683999999999997</c:v>
                      </c:pt>
                      <c:pt idx="105">
                        <c:v>0.51683999999999997</c:v>
                      </c:pt>
                      <c:pt idx="106">
                        <c:v>0.51683999999999997</c:v>
                      </c:pt>
                      <c:pt idx="107">
                        <c:v>0.51683999999999997</c:v>
                      </c:pt>
                      <c:pt idx="108">
                        <c:v>0.51683999999999997</c:v>
                      </c:pt>
                      <c:pt idx="109">
                        <c:v>0.51683999999999997</c:v>
                      </c:pt>
                      <c:pt idx="110">
                        <c:v>0.51683999999999997</c:v>
                      </c:pt>
                      <c:pt idx="111">
                        <c:v>0.51683999999999997</c:v>
                      </c:pt>
                      <c:pt idx="112">
                        <c:v>0.51683999999999997</c:v>
                      </c:pt>
                      <c:pt idx="113">
                        <c:v>0.51683999999999997</c:v>
                      </c:pt>
                      <c:pt idx="114">
                        <c:v>0.51683999999999997</c:v>
                      </c:pt>
                      <c:pt idx="115">
                        <c:v>0.51683999999999997</c:v>
                      </c:pt>
                      <c:pt idx="116">
                        <c:v>0.51683999999999997</c:v>
                      </c:pt>
                      <c:pt idx="117">
                        <c:v>0.51683999999999997</c:v>
                      </c:pt>
                      <c:pt idx="118">
                        <c:v>0.51683999999999997</c:v>
                      </c:pt>
                      <c:pt idx="119">
                        <c:v>0.51683999999999997</c:v>
                      </c:pt>
                      <c:pt idx="120">
                        <c:v>0.51683999999999997</c:v>
                      </c:pt>
                      <c:pt idx="121">
                        <c:v>0.51683999999999997</c:v>
                      </c:pt>
                      <c:pt idx="122">
                        <c:v>0.51683999999999997</c:v>
                      </c:pt>
                      <c:pt idx="123">
                        <c:v>0.51683999999999997</c:v>
                      </c:pt>
                      <c:pt idx="124">
                        <c:v>0.51683999999999997</c:v>
                      </c:pt>
                      <c:pt idx="125">
                        <c:v>0.51683999999999997</c:v>
                      </c:pt>
                      <c:pt idx="126">
                        <c:v>0.51683999999999997</c:v>
                      </c:pt>
                      <c:pt idx="127">
                        <c:v>0.51683999999999997</c:v>
                      </c:pt>
                      <c:pt idx="128">
                        <c:v>0.51683999999999997</c:v>
                      </c:pt>
                      <c:pt idx="129">
                        <c:v>0.51683999999999997</c:v>
                      </c:pt>
                      <c:pt idx="130">
                        <c:v>0.51683999999999997</c:v>
                      </c:pt>
                      <c:pt idx="131">
                        <c:v>0.51683999999999997</c:v>
                      </c:pt>
                      <c:pt idx="132">
                        <c:v>0.51683999999999997</c:v>
                      </c:pt>
                      <c:pt idx="133">
                        <c:v>0.51683999999999997</c:v>
                      </c:pt>
                      <c:pt idx="134">
                        <c:v>0.51683999999999997</c:v>
                      </c:pt>
                      <c:pt idx="135">
                        <c:v>0.51683999999999997</c:v>
                      </c:pt>
                      <c:pt idx="136">
                        <c:v>0.51683999999999997</c:v>
                      </c:pt>
                      <c:pt idx="137">
                        <c:v>0.51683999999999997</c:v>
                      </c:pt>
                      <c:pt idx="138">
                        <c:v>0.51683999999999997</c:v>
                      </c:pt>
                      <c:pt idx="139">
                        <c:v>0.51683999999999997</c:v>
                      </c:pt>
                      <c:pt idx="140">
                        <c:v>0.51683999999999997</c:v>
                      </c:pt>
                      <c:pt idx="141">
                        <c:v>0.51683999999999997</c:v>
                      </c:pt>
                      <c:pt idx="142">
                        <c:v>0.51683999999999997</c:v>
                      </c:pt>
                      <c:pt idx="143">
                        <c:v>0.51683999999999997</c:v>
                      </c:pt>
                      <c:pt idx="144">
                        <c:v>0.51683999999999997</c:v>
                      </c:pt>
                      <c:pt idx="145">
                        <c:v>0.51683999999999997</c:v>
                      </c:pt>
                      <c:pt idx="146">
                        <c:v>0.51683999999999997</c:v>
                      </c:pt>
                      <c:pt idx="147">
                        <c:v>0.51683999999999997</c:v>
                      </c:pt>
                      <c:pt idx="148">
                        <c:v>0.51683999999999997</c:v>
                      </c:pt>
                      <c:pt idx="149">
                        <c:v>0.51683999999999997</c:v>
                      </c:pt>
                      <c:pt idx="150">
                        <c:v>0.51683999999999997</c:v>
                      </c:pt>
                      <c:pt idx="151">
                        <c:v>0.51683999999999997</c:v>
                      </c:pt>
                      <c:pt idx="152">
                        <c:v>0.51683999999999997</c:v>
                      </c:pt>
                      <c:pt idx="153">
                        <c:v>0.51683999999999997</c:v>
                      </c:pt>
                      <c:pt idx="154">
                        <c:v>0.51683999999999997</c:v>
                      </c:pt>
                      <c:pt idx="155">
                        <c:v>0.51683999999999997</c:v>
                      </c:pt>
                      <c:pt idx="156">
                        <c:v>0.51683999999999997</c:v>
                      </c:pt>
                      <c:pt idx="157">
                        <c:v>0.51683999999999997</c:v>
                      </c:pt>
                      <c:pt idx="158">
                        <c:v>0.51683999999999997</c:v>
                      </c:pt>
                      <c:pt idx="159">
                        <c:v>0.51683999999999997</c:v>
                      </c:pt>
                      <c:pt idx="160">
                        <c:v>0.51683999999999997</c:v>
                      </c:pt>
                      <c:pt idx="161">
                        <c:v>0.51683999999999997</c:v>
                      </c:pt>
                      <c:pt idx="162">
                        <c:v>0.51683999999999997</c:v>
                      </c:pt>
                      <c:pt idx="163">
                        <c:v>0.51683999999999997</c:v>
                      </c:pt>
                      <c:pt idx="164">
                        <c:v>0.51683999999999997</c:v>
                      </c:pt>
                      <c:pt idx="165">
                        <c:v>0.51683999999999997</c:v>
                      </c:pt>
                      <c:pt idx="166">
                        <c:v>0.51683999999999997</c:v>
                      </c:pt>
                      <c:pt idx="167">
                        <c:v>0.51683999999999997</c:v>
                      </c:pt>
                      <c:pt idx="168">
                        <c:v>0.51683999999999997</c:v>
                      </c:pt>
                      <c:pt idx="169">
                        <c:v>0.51683999999999997</c:v>
                      </c:pt>
                      <c:pt idx="170">
                        <c:v>0.51683999999999997</c:v>
                      </c:pt>
                      <c:pt idx="171">
                        <c:v>0.51683999999999997</c:v>
                      </c:pt>
                      <c:pt idx="172">
                        <c:v>0.51683999999999997</c:v>
                      </c:pt>
                      <c:pt idx="173">
                        <c:v>0.51683999999999997</c:v>
                      </c:pt>
                      <c:pt idx="174">
                        <c:v>0.51683999999999997</c:v>
                      </c:pt>
                      <c:pt idx="175">
                        <c:v>0.51683999999999997</c:v>
                      </c:pt>
                      <c:pt idx="176">
                        <c:v>0.51683999999999997</c:v>
                      </c:pt>
                      <c:pt idx="177">
                        <c:v>0.51683999999999997</c:v>
                      </c:pt>
                      <c:pt idx="178">
                        <c:v>0.51683999999999997</c:v>
                      </c:pt>
                      <c:pt idx="179">
                        <c:v>0.51683999999999997</c:v>
                      </c:pt>
                      <c:pt idx="180">
                        <c:v>0.51683999999999997</c:v>
                      </c:pt>
                      <c:pt idx="181">
                        <c:v>0.51683999999999997</c:v>
                      </c:pt>
                      <c:pt idx="182">
                        <c:v>0.51683999999999997</c:v>
                      </c:pt>
                      <c:pt idx="183">
                        <c:v>0.51683999999999997</c:v>
                      </c:pt>
                      <c:pt idx="184">
                        <c:v>0.51683999999999997</c:v>
                      </c:pt>
                      <c:pt idx="185">
                        <c:v>0.51683999999999997</c:v>
                      </c:pt>
                      <c:pt idx="186">
                        <c:v>0.51683999999999997</c:v>
                      </c:pt>
                      <c:pt idx="187">
                        <c:v>0.51683999999999997</c:v>
                      </c:pt>
                      <c:pt idx="188">
                        <c:v>0.51683999999999997</c:v>
                      </c:pt>
                      <c:pt idx="189">
                        <c:v>0.51683999999999997</c:v>
                      </c:pt>
                      <c:pt idx="190">
                        <c:v>0.51683999999999997</c:v>
                      </c:pt>
                      <c:pt idx="191">
                        <c:v>0.51683999999999997</c:v>
                      </c:pt>
                      <c:pt idx="192">
                        <c:v>0.51683999999999997</c:v>
                      </c:pt>
                      <c:pt idx="193">
                        <c:v>0.51683999999999997</c:v>
                      </c:pt>
                      <c:pt idx="194">
                        <c:v>0.51683999999999997</c:v>
                      </c:pt>
                      <c:pt idx="195">
                        <c:v>0.51683999999999997</c:v>
                      </c:pt>
                      <c:pt idx="196">
                        <c:v>0.51683999999999997</c:v>
                      </c:pt>
                      <c:pt idx="197">
                        <c:v>0.51683999999999997</c:v>
                      </c:pt>
                      <c:pt idx="198">
                        <c:v>0.51683999999999997</c:v>
                      </c:pt>
                      <c:pt idx="199">
                        <c:v>0.51683999999999997</c:v>
                      </c:pt>
                      <c:pt idx="200">
                        <c:v>0.51683999999999997</c:v>
                      </c:pt>
                    </c:numCache>
                  </c:numRef>
                </c:val>
                <c:smooth val="0"/>
                <c:extLst>
                  <c:ext xmlns:c16="http://schemas.microsoft.com/office/drawing/2014/chart" uri="{C3380CC4-5D6E-409C-BE32-E72D297353CC}">
                    <c16:uniqueId val="{00000003-50A6-46D4-AEF8-03ADE34CD569}"/>
                  </c:ext>
                </c:extLst>
              </c15:ser>
            </c15:filteredLineSeries>
            <c15:filteredLineSeries>
              <c15:ser>
                <c:idx val="12"/>
                <c:order val="2"/>
                <c:tx>
                  <c:strRef>
                    <c:extLst xmlns:c15="http://schemas.microsoft.com/office/drawing/2012/chart">
                      <c:ext xmlns:c15="http://schemas.microsoft.com/office/drawing/2012/chart" uri="{02D57815-91ED-43cb-92C2-25804820EDAC}">
                        <c15:formulaRef>
                          <c15:sqref>'Efficiency vs VIN Calculations'!$BB$8</c15:sqref>
                        </c15:formulaRef>
                      </c:ext>
                    </c:extLst>
                    <c:strCache>
                      <c:ptCount val="1"/>
                      <c:pt idx="0">
                        <c:v>Reverse Recovery Loss MOSFET D BOOST</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Calculations'!$BB$9:$BB$209</c15:sqref>
                        </c15:formulaRef>
                      </c:ext>
                    </c:extLst>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xmlns:c15="http://schemas.microsoft.com/office/drawing/2012/chart">
                  <c:ext xmlns:c16="http://schemas.microsoft.com/office/drawing/2014/chart" uri="{C3380CC4-5D6E-409C-BE32-E72D297353CC}">
                    <c16:uniqueId val="{00000004-50A6-46D4-AEF8-03ADE34CD569}"/>
                  </c:ext>
                </c:extLst>
              </c15:ser>
            </c15:filteredLineSeries>
            <c15:filteredLineSeries>
              <c15:ser>
                <c:idx val="11"/>
                <c:order val="3"/>
                <c:tx>
                  <c:strRef>
                    <c:extLst xmlns:c15="http://schemas.microsoft.com/office/drawing/2012/chart">
                      <c:ext xmlns:c15="http://schemas.microsoft.com/office/drawing/2012/chart" uri="{02D57815-91ED-43cb-92C2-25804820EDAC}">
                        <c15:formulaRef>
                          <c15:sqref>'Efficiency vs VIN Calculations'!$AU$7</c15:sqref>
                        </c15:formulaRef>
                      </c:ext>
                    </c:extLst>
                    <c:strCache>
                      <c:ptCount val="1"/>
                      <c:pt idx="0">
                        <c:v>High-side BOOST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Calculations'!$AX$9:$AX$209</c15:sqref>
                        </c15:formulaRef>
                      </c:ext>
                    </c:extLst>
                    <c:numCache>
                      <c:formatCode>0.000</c:formatCode>
                      <c:ptCount val="201"/>
                      <c:pt idx="0">
                        <c:v>0.71051455693915033</c:v>
                      </c:pt>
                      <c:pt idx="1">
                        <c:v>0.71062929431359978</c:v>
                      </c:pt>
                      <c:pt idx="2">
                        <c:v>0.7107445488526366</c:v>
                      </c:pt>
                      <c:pt idx="3">
                        <c:v>0.71086026741060471</c:v>
                      </c:pt>
                      <c:pt idx="4">
                        <c:v>0.71097639943322877</c:v>
                      </c:pt>
                      <c:pt idx="5">
                        <c:v>0.71109289683160382</c:v>
                      </c:pt>
                      <c:pt idx="6">
                        <c:v>0.71120971386280474</c:v>
                      </c:pt>
                      <c:pt idx="7">
                        <c:v>0.71132680701673412</c:v>
                      </c:pt>
                      <c:pt idx="8">
                        <c:v>0.71144413490885572</c:v>
                      </c:pt>
                      <c:pt idx="9">
                        <c:v>0.71156165817847028</c:v>
                      </c:pt>
                      <c:pt idx="10">
                        <c:v>0.71167933939222783</c:v>
                      </c:pt>
                      <c:pt idx="11">
                        <c:v>0.71179714295257812</c:v>
                      </c:pt>
                      <c:pt idx="12">
                        <c:v>0.71191503501088294</c:v>
                      </c:pt>
                      <c:pt idx="13">
                        <c:v>0.71203298338493093</c:v>
                      </c:pt>
                      <c:pt idx="14">
                        <c:v>0.7121509574806143</c:v>
                      </c:pt>
                      <c:pt idx="15">
                        <c:v>0.71226892821753163</c:v>
                      </c:pt>
                      <c:pt idx="16">
                        <c:v>0.71238686795830952</c:v>
                      </c:pt>
                      <c:pt idx="17">
                        <c:v>0.71250475044143669</c:v>
                      </c:pt>
                      <c:pt idx="18">
                        <c:v>0.71262255071741665</c:v>
                      </c:pt>
                      <c:pt idx="19">
                        <c:v>0.71274024508807221</c:v>
                      </c:pt>
                      <c:pt idx="20">
                        <c:v>0.7128578110488154</c:v>
                      </c:pt>
                      <c:pt idx="21">
                        <c:v>0.71297522723374396</c:v>
                      </c:pt>
                      <c:pt idx="22">
                        <c:v>0.71309247336339565</c:v>
                      </c:pt>
                      <c:pt idx="23">
                        <c:v>0.71320953019503774</c:v>
                      </c:pt>
                      <c:pt idx="24">
                        <c:v>0.71332637947534305</c:v>
                      </c:pt>
                      <c:pt idx="25">
                        <c:v>0.71344300389534065</c:v>
                      </c:pt>
                      <c:pt idx="26">
                        <c:v>0.71355938704751409</c:v>
                      </c:pt>
                      <c:pt idx="27">
                        <c:v>0.71367551338493884</c:v>
                      </c:pt>
                      <c:pt idx="28">
                        <c:v>0.71379136818235966</c:v>
                      </c:pt>
                      <c:pt idx="29">
                        <c:v>0.71390693749909595</c:v>
                      </c:pt>
                      <c:pt idx="30">
                        <c:v>0.71402220814369499</c:v>
                      </c:pt>
                      <c:pt idx="31">
                        <c:v>0.71413716764023671</c:v>
                      </c:pt>
                      <c:pt idx="32">
                        <c:v>0.71425180419620959</c:v>
                      </c:pt>
                      <c:pt idx="33">
                        <c:v>0.71436610667187483</c:v>
                      </c:pt>
                      <c:pt idx="34">
                        <c:v>0.7144800645510524</c:v>
                      </c:pt>
                      <c:pt idx="35">
                        <c:v>0.71459366791324774</c:v>
                      </c:pt>
                      <c:pt idx="36">
                        <c:v>0.71470690740706289</c:v>
                      </c:pt>
                      <c:pt idx="37">
                        <c:v>0.71481977422481846</c:v>
                      </c:pt>
                      <c:pt idx="38">
                        <c:v>0.7149322600783371</c:v>
                      </c:pt>
                      <c:pt idx="39">
                        <c:v>0.71504435717582426</c:v>
                      </c:pt>
                      <c:pt idx="40">
                        <c:v>0.71515605819979522</c:v>
                      </c:pt>
                      <c:pt idx="41">
                        <c:v>0.71526735628599858</c:v>
                      </c:pt>
                      <c:pt idx="42">
                        <c:v>0.71537824500328751</c:v>
                      </c:pt>
                      <c:pt idx="43">
                        <c:v>0.71548871833439087</c:v>
                      </c:pt>
                      <c:pt idx="44">
                        <c:v>0.71559877065754696</c:v>
                      </c:pt>
                      <c:pt idx="45">
                        <c:v>0.7157083967289497</c:v>
                      </c:pt>
                      <c:pt idx="46">
                        <c:v>0.71581759166598036</c:v>
                      </c:pt>
                      <c:pt idx="47">
                        <c:v>0.71592635093117518</c:v>
                      </c:pt>
                      <c:pt idx="48">
                        <c:v>0.71603467031690382</c:v>
                      </c:pt>
                      <c:pt idx="49">
                        <c:v>0.71614254593072213</c:v>
                      </c:pt>
                      <c:pt idx="50">
                        <c:v>0.71624997418136394</c:v>
                      </c:pt>
                      <c:pt idx="51">
                        <c:v>0.71635695176534997</c:v>
                      </c:pt>
                      <c:pt idx="52">
                        <c:v>0.71646347565417712</c:v>
                      </c:pt>
                      <c:pt idx="53">
                        <c:v>0.71656954308206799</c:v>
                      </c:pt>
                      <c:pt idx="54">
                        <c:v>0.71667515153424932</c:v>
                      </c:pt>
                      <c:pt idx="55">
                        <c:v>0.71678029873573956</c:v>
                      </c:pt>
                      <c:pt idx="56">
                        <c:v>0.71688498264061973</c:v>
                      </c:pt>
                      <c:pt idx="57">
                        <c:v>0.71698920142176636</c:v>
                      </c:pt>
                      <c:pt idx="58">
                        <c:v>0.71709295346102542</c:v>
                      </c:pt>
                      <c:pt idx="59">
                        <c:v>0.71719623733980808</c:v>
                      </c:pt>
                      <c:pt idx="60">
                        <c:v>0.71729905183008602</c:v>
                      </c:pt>
                      <c:pt idx="61">
                        <c:v>0.71740139588577734</c:v>
                      </c:pt>
                      <c:pt idx="62">
                        <c:v>0.71750326863448888</c:v>
                      </c:pt>
                      <c:pt idx="63">
                        <c:v>0.71760466936962075</c:v>
                      </c:pt>
                      <c:pt idx="64">
                        <c:v>0.71770559754279717</c:v>
                      </c:pt>
                      <c:pt idx="65">
                        <c:v>0.71780605275662246</c:v>
                      </c:pt>
                      <c:pt idx="66">
                        <c:v>0.71790603475773995</c:v>
                      </c:pt>
                      <c:pt idx="67">
                        <c:v>0.71800554343018774</c:v>
                      </c:pt>
                      <c:pt idx="68">
                        <c:v>0.71810457878902823</c:v>
                      </c:pt>
                      <c:pt idx="69">
                        <c:v>0.7182031409742512</c:v>
                      </c:pt>
                      <c:pt idx="70">
                        <c:v>0.71830123024492853</c:v>
                      </c:pt>
                      <c:pt idx="71">
                        <c:v>0.71839884697361778</c:v>
                      </c:pt>
                      <c:pt idx="72">
                        <c:v>0.71849599164099476</c:v>
                      </c:pt>
                      <c:pt idx="73">
                        <c:v>0.71859266483071604</c:v>
                      </c:pt>
                      <c:pt idx="74">
                        <c:v>0.71868886722449099</c:v>
                      </c:pt>
                      <c:pt idx="75">
                        <c:v>0.71878459959736318</c:v>
                      </c:pt>
                      <c:pt idx="76">
                        <c:v>0.71887986281318372</c:v>
                      </c:pt>
                      <c:pt idx="77">
                        <c:v>0.71897465782027836</c:v>
                      </c:pt>
                      <c:pt idx="78">
                        <c:v>0.71906898564729005</c:v>
                      </c:pt>
                      <c:pt idx="79">
                        <c:v>0.719162847399196</c:v>
                      </c:pt>
                      <c:pt idx="80">
                        <c:v>0.71925624425349088</c:v>
                      </c:pt>
                      <c:pt idx="81">
                        <c:v>0.71934917745652505</c:v>
                      </c:pt>
                      <c:pt idx="82">
                        <c:v>0.71944164831999735</c:v>
                      </c:pt>
                      <c:pt idx="83">
                        <c:v>0.71953365821759319</c:v>
                      </c:pt>
                      <c:pt idx="84">
                        <c:v>0.7196252085817596</c:v>
                      </c:pt>
                      <c:pt idx="85">
                        <c:v>0.71971630090061556</c:v>
                      </c:pt>
                      <c:pt idx="86">
                        <c:v>0.71980693671498774</c:v>
                      </c:pt>
                      <c:pt idx="87">
                        <c:v>0.71989711761557373</c:v>
                      </c:pt>
                      <c:pt idx="88">
                        <c:v>0.71998684524021606</c:v>
                      </c:pt>
                      <c:pt idx="89">
                        <c:v>0.72007612127129417</c:v>
                      </c:pt>
                      <c:pt idx="90">
                        <c:v>0.72016494743322113</c:v>
                      </c:pt>
                      <c:pt idx="91">
                        <c:v>0.72025332549004506</c:v>
                      </c:pt>
                      <c:pt idx="92">
                        <c:v>0.72034125724315157</c:v>
                      </c:pt>
                      <c:pt idx="93">
                        <c:v>0.72042874452905614</c:v>
                      </c:pt>
                      <c:pt idx="94">
                        <c:v>0.72051578921729431</c:v>
                      </c:pt>
                      <c:pt idx="95">
                        <c:v>0.7206023932083947</c:v>
                      </c:pt>
                      <c:pt idx="96">
                        <c:v>0.72068855843193713</c:v>
                      </c:pt>
                      <c:pt idx="97">
                        <c:v>0.72077428684469491</c:v>
                      </c:pt>
                      <c:pt idx="98">
                        <c:v>0.72085958042884679</c:v>
                      </c:pt>
                      <c:pt idx="99">
                        <c:v>0.72094444119027157</c:v>
                      </c:pt>
                      <c:pt idx="100">
                        <c:v>0.7210288711569085</c:v>
                      </c:pt>
                      <c:pt idx="101">
                        <c:v>0.72111287237718669</c:v>
                      </c:pt>
                      <c:pt idx="102">
                        <c:v>0.72119644691852336</c:v>
                      </c:pt>
                      <c:pt idx="103">
                        <c:v>0.72127959686588061</c:v>
                      </c:pt>
                      <c:pt idx="104">
                        <c:v>0.72136232432038594</c:v>
                      </c:pt>
                      <c:pt idx="105">
                        <c:v>0.72144463139800885</c:v>
                      </c:pt>
                      <c:pt idx="106">
                        <c:v>0.72152652022829278</c:v>
                      </c:pt>
                      <c:pt idx="107">
                        <c:v>0.72160799295314437</c:v>
                      </c:pt>
                      <c:pt idx="108">
                        <c:v>0.72168905172567044</c:v>
                      </c:pt>
                      <c:pt idx="109">
                        <c:v>0.72176969870906138</c:v>
                      </c:pt>
                      <c:pt idx="110">
                        <c:v>0.72184993607553116</c:v>
                      </c:pt>
                      <c:pt idx="111">
                        <c:v>0.72192976600529313</c:v>
                      </c:pt>
                      <c:pt idx="112">
                        <c:v>0.72200919068558667</c:v>
                      </c:pt>
                      <c:pt idx="113">
                        <c:v>0.7220882123097393</c:v>
                      </c:pt>
                      <c:pt idx="114">
                        <c:v>0.72216683307627494</c:v>
                      </c:pt>
                      <c:pt idx="115">
                        <c:v>0.72224505518805848</c:v>
                      </c:pt>
                      <c:pt idx="116">
                        <c:v>0.72232288085147489</c:v>
                      </c:pt>
                      <c:pt idx="117">
                        <c:v>0.72240031227564994</c:v>
                      </c:pt>
                      <c:pt idx="118">
                        <c:v>0.72247735167169913</c:v>
                      </c:pt>
                      <c:pt idx="119">
                        <c:v>0.72255400125201374</c:v>
                      </c:pt>
                      <c:pt idx="120">
                        <c:v>0.72263026322957558</c:v>
                      </c:pt>
                      <c:pt idx="121">
                        <c:v>0.72270613981730636</c:v>
                      </c:pt>
                      <c:pt idx="122">
                        <c:v>0.72278163322743916</c:v>
                      </c:pt>
                      <c:pt idx="123">
                        <c:v>0.72285674567092728</c:v>
                      </c:pt>
                      <c:pt idx="124">
                        <c:v>0.7229314793568713</c:v>
                      </c:pt>
                      <c:pt idx="125">
                        <c:v>0.72300583649197769</c:v>
                      </c:pt>
                      <c:pt idx="126">
                        <c:v>0.7230798192800395</c:v>
                      </c:pt>
                      <c:pt idx="127">
                        <c:v>0.72315342992144316</c:v>
                      </c:pt>
                      <c:pt idx="128">
                        <c:v>0.72322667061269541</c:v>
                      </c:pt>
                      <c:pt idx="129">
                        <c:v>0.72329954354597548</c:v>
                      </c:pt>
                      <c:pt idx="130">
                        <c:v>0.72337205090870649</c:v>
                      </c:pt>
                      <c:pt idx="131">
                        <c:v>0.72344419488314715</c:v>
                      </c:pt>
                      <c:pt idx="132">
                        <c:v>0.72351597764600373</c:v>
                      </c:pt>
                      <c:pt idx="133">
                        <c:v>0.72358740136806232</c:v>
                      </c:pt>
                      <c:pt idx="134">
                        <c:v>0.7236584682138355</c:v>
                      </c:pt>
                      <c:pt idx="135">
                        <c:v>0.72372918034122879</c:v>
                      </c:pt>
                      <c:pt idx="136">
                        <c:v>0.72379953990122581</c:v>
                      </c:pt>
                      <c:pt idx="137">
                        <c:v>0.7238695490375836</c:v>
                      </c:pt>
                      <c:pt idx="138">
                        <c:v>0.72393920988655047</c:v>
                      </c:pt>
                      <c:pt idx="139">
                        <c:v>0.72400852457659237</c:v>
                      </c:pt>
                      <c:pt idx="140">
                        <c:v>0.72407749522813869</c:v>
                      </c:pt>
                      <c:pt idx="141">
                        <c:v>0.72414612395333677</c:v>
                      </c:pt>
                      <c:pt idx="142">
                        <c:v>0.72421441285582466</c:v>
                      </c:pt>
                      <c:pt idx="143">
                        <c:v>0.72428236403051205</c:v>
                      </c:pt>
                      <c:pt idx="144">
                        <c:v>0.72434997956337643</c:v>
                      </c:pt>
                      <c:pt idx="145">
                        <c:v>0.72441726153126862</c:v>
                      </c:pt>
                      <c:pt idx="146">
                        <c:v>0.72448421200173219</c:v>
                      </c:pt>
                      <c:pt idx="147">
                        <c:v>0.72455083303282952</c:v>
                      </c:pt>
                      <c:pt idx="148">
                        <c:v>0.72461712667298406</c:v>
                      </c:pt>
                      <c:pt idx="149">
                        <c:v>0.72468309496082528</c:v>
                      </c:pt>
                      <c:pt idx="150">
                        <c:v>0.7247487399250504</c:v>
                      </c:pt>
                      <c:pt idx="151">
                        <c:v>0.72481406358428946</c:v>
                      </c:pt>
                      <c:pt idx="152">
                        <c:v>0.72487906794698231</c:v>
                      </c:pt>
                      <c:pt idx="153">
                        <c:v>0.72494375501126473</c:v>
                      </c:pt>
                      <c:pt idx="154">
                        <c:v>0.72500812676485804</c:v>
                      </c:pt>
                      <c:pt idx="155">
                        <c:v>0.72507218518497207</c:v>
                      </c:pt>
                      <c:pt idx="156">
                        <c:v>0.72513593223821315</c:v>
                      </c:pt>
                      <c:pt idx="157">
                        <c:v>0.72519936988049805</c:v>
                      </c:pt>
                      <c:pt idx="158">
                        <c:v>0.72526250005697446</c:v>
                      </c:pt>
                      <c:pt idx="159">
                        <c:v>0.72532532470195432</c:v>
                      </c:pt>
                      <c:pt idx="160">
                        <c:v>0.72538784573884518</c:v>
                      </c:pt>
                      <c:pt idx="161">
                        <c:v>0.72545006508009025</c:v>
                      </c:pt>
                      <c:pt idx="162">
                        <c:v>0.7255119846271183</c:v>
                      </c:pt>
                      <c:pt idx="163">
                        <c:v>0.72557360627029333</c:v>
                      </c:pt>
                      <c:pt idx="164">
                        <c:v>0.72563493188887418</c:v>
                      </c:pt>
                      <c:pt idx="165">
                        <c:v>0.72569596335097608</c:v>
                      </c:pt>
                      <c:pt idx="166">
                        <c:v>0.72575670251353852</c:v>
                      </c:pt>
                      <c:pt idx="167">
                        <c:v>0.72581715122229762</c:v>
                      </c:pt>
                      <c:pt idx="168">
                        <c:v>0.72587731131176469</c:v>
                      </c:pt>
                      <c:pt idx="169">
                        <c:v>0.7259371846052034</c:v>
                      </c:pt>
                      <c:pt idx="170">
                        <c:v>0.7259967729146205</c:v>
                      </c:pt>
                      <c:pt idx="171">
                        <c:v>0.72605607804075101</c:v>
                      </c:pt>
                      <c:pt idx="172">
                        <c:v>0.72611510177305316</c:v>
                      </c:pt>
                      <c:pt idx="173">
                        <c:v>0.72617384588970457</c:v>
                      </c:pt>
                      <c:pt idx="174">
                        <c:v>0.72623231215760287</c:v>
                      </c:pt>
                      <c:pt idx="175">
                        <c:v>0.7262905023323688</c:v>
                      </c:pt>
                      <c:pt idx="176">
                        <c:v>0.72634841815835371</c:v>
                      </c:pt>
                      <c:pt idx="177">
                        <c:v>0.72640606136864783</c:v>
                      </c:pt>
                      <c:pt idx="178">
                        <c:v>0.72646343368509503</c:v>
                      </c:pt>
                      <c:pt idx="179">
                        <c:v>0.72652053681830564</c:v>
                      </c:pt>
                      <c:pt idx="180">
                        <c:v>0.7265773724676784</c:v>
                      </c:pt>
                      <c:pt idx="181">
                        <c:v>0.72663394232141587</c:v>
                      </c:pt>
                      <c:pt idx="182">
                        <c:v>0.72669024805655202</c:v>
                      </c:pt>
                      <c:pt idx="183">
                        <c:v>0.72674629133897484</c:v>
                      </c:pt>
                      <c:pt idx="184">
                        <c:v>0.72680207382345574</c:v>
                      </c:pt>
                      <c:pt idx="185">
                        <c:v>0.7268575971536767</c:v>
                      </c:pt>
                      <c:pt idx="186">
                        <c:v>0.72691286296226487</c:v>
                      </c:pt>
                      <c:pt idx="187">
                        <c:v>0.72696787287082365</c:v>
                      </c:pt>
                      <c:pt idx="188">
                        <c:v>0.7270226284899689</c:v>
                      </c:pt>
                      <c:pt idx="189">
                        <c:v>0.7270771314193657</c:v>
                      </c:pt>
                      <c:pt idx="190">
                        <c:v>0.72713138324776716</c:v>
                      </c:pt>
                      <c:pt idx="191">
                        <c:v>0.7271853855530559</c:v>
                      </c:pt>
                      <c:pt idx="192">
                        <c:v>0.72723913990228151</c:v>
                      </c:pt>
                      <c:pt idx="193">
                        <c:v>0.72729264785170977</c:v>
                      </c:pt>
                      <c:pt idx="194">
                        <c:v>0.72734591094686085</c:v>
                      </c:pt>
                      <c:pt idx="195">
                        <c:v>0.72739893072255946</c:v>
                      </c:pt>
                      <c:pt idx="196">
                        <c:v>0.72745170870297959</c:v>
                      </c:pt>
                      <c:pt idx="197">
                        <c:v>0.72750424640169165</c:v>
                      </c:pt>
                      <c:pt idx="198">
                        <c:v>0.72755654532171454</c:v>
                      </c:pt>
                      <c:pt idx="199">
                        <c:v>0.72760860695556173</c:v>
                      </c:pt>
                      <c:pt idx="200">
                        <c:v>0.7276604327852948</c:v>
                      </c:pt>
                    </c:numCache>
                  </c:numRef>
                </c:val>
                <c:smooth val="0"/>
                <c:extLst xmlns:c15="http://schemas.microsoft.com/office/drawing/2012/chart">
                  <c:ext xmlns:c16="http://schemas.microsoft.com/office/drawing/2014/chart" uri="{C3380CC4-5D6E-409C-BE32-E72D297353CC}">
                    <c16:uniqueId val="{00000005-50A6-46D4-AEF8-03ADE34CD569}"/>
                  </c:ext>
                </c:extLst>
              </c15:ser>
            </c15:filteredLineSeries>
            <c15:filteredLineSeries>
              <c15:ser>
                <c:idx val="10"/>
                <c:order val="4"/>
                <c:tx>
                  <c:strRef>
                    <c:extLst xmlns:c15="http://schemas.microsoft.com/office/drawing/2012/chart">
                      <c:ext xmlns:c15="http://schemas.microsoft.com/office/drawing/2012/chart" uri="{02D57815-91ED-43cb-92C2-25804820EDAC}">
                        <c15:formulaRef>
                          <c15:sqref>'Efficiency vs VIN Calculations'!$AP$7</c15:sqref>
                        </c15:formulaRef>
                      </c:ext>
                    </c:extLst>
                    <c:strCache>
                      <c:ptCount val="1"/>
                      <c:pt idx="0">
                        <c:v>Low-side BOOST "Control"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Calculations'!$AT$9:$AT$209</c15:sqref>
                        </c15:formulaRef>
                      </c:ext>
                    </c:extLst>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xmlns:c15="http://schemas.microsoft.com/office/drawing/2012/chart">
                  <c:ext xmlns:c16="http://schemas.microsoft.com/office/drawing/2014/chart" uri="{C3380CC4-5D6E-409C-BE32-E72D297353CC}">
                    <c16:uniqueId val="{00000006-50A6-46D4-AEF8-03ADE34CD569}"/>
                  </c:ext>
                </c:extLst>
              </c15:ser>
            </c15:filteredLineSeries>
            <c15:filteredLineSeries>
              <c15:ser>
                <c:idx val="9"/>
                <c:order val="5"/>
                <c:tx>
                  <c:strRef>
                    <c:extLst xmlns:c15="http://schemas.microsoft.com/office/drawing/2012/chart">
                      <c:ext xmlns:c15="http://schemas.microsoft.com/office/drawing/2012/chart" uri="{02D57815-91ED-43cb-92C2-25804820EDAC}">
                        <c15:formulaRef>
                          <c15:sqref>'Efficiency vs VIN Calculations'!$AL$7</c15:sqref>
                        </c15:formulaRef>
                      </c:ext>
                    </c:extLst>
                    <c:strCache>
                      <c:ptCount val="1"/>
                      <c:pt idx="0">
                        <c:v>Low-side BUCK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Calculations'!$AO$9:$AO$209</c15:sqref>
                        </c15:formulaRef>
                      </c:ext>
                    </c:extLst>
                    <c:numCache>
                      <c:formatCode>0.000</c:formatCode>
                      <c:ptCount val="201"/>
                      <c:pt idx="0">
                        <c:v>0.76682892981848416</c:v>
                      </c:pt>
                      <c:pt idx="1">
                        <c:v>0.77067995133071665</c:v>
                      </c:pt>
                      <c:pt idx="2">
                        <c:v>0.77448532657974101</c:v>
                      </c:pt>
                      <c:pt idx="3">
                        <c:v>0.77824588924239702</c:v>
                      </c:pt>
                      <c:pt idx="4">
                        <c:v>0.78196245207250448</c:v>
                      </c:pt>
                      <c:pt idx="5">
                        <c:v>0.78563580757727103</c:v>
                      </c:pt>
                      <c:pt idx="6">
                        <c:v>0.78926672866675163</c:v>
                      </c:pt>
                      <c:pt idx="7">
                        <c:v>0.7928559692776449</c:v>
                      </c:pt>
                      <c:pt idx="8">
                        <c:v>0.79640426497262817</c:v>
                      </c:pt>
                      <c:pt idx="9">
                        <c:v>0.79991233351637692</c:v>
                      </c:pt>
                      <c:pt idx="10">
                        <c:v>0.80338087542934766</c:v>
                      </c:pt>
                      <c:pt idx="11">
                        <c:v>0.80681057452034755</c:v>
                      </c:pt>
                      <c:pt idx="12">
                        <c:v>0.81020209839885504</c:v>
                      </c:pt>
                      <c:pt idx="13">
                        <c:v>0.81355609896801429</c:v>
                      </c:pt>
                      <c:pt idx="14">
                        <c:v>0.81687321289916603</c:v>
                      </c:pt>
                      <c:pt idx="15">
                        <c:v>0.82015406208874098</c:v>
                      </c:pt>
                      <c:pt idx="16">
                        <c:v>0.82339925409829551</c:v>
                      </c:pt>
                      <c:pt idx="17">
                        <c:v>0.82660938257843231</c:v>
                      </c:pt>
                      <c:pt idx="18">
                        <c:v>0.82978502767730455</c:v>
                      </c:pt>
                      <c:pt idx="19">
                        <c:v>0.83292675643437541</c:v>
                      </c:pt>
                      <c:pt idx="20">
                        <c:v>0.83603512316006456</c:v>
                      </c:pt>
                      <c:pt idx="21">
                        <c:v>0.8391106698018832</c:v>
                      </c:pt>
                      <c:pt idx="22">
                        <c:v>0.84215392629763086</c:v>
                      </c:pt>
                      <c:pt idx="23">
                        <c:v>0.84516541091620023</c:v>
                      </c:pt>
                      <c:pt idx="24">
                        <c:v>0.8481456305865015</c:v>
                      </c:pt>
                      <c:pt idx="25">
                        <c:v>0.85109508121500776</c:v>
                      </c:pt>
                      <c:pt idx="26">
                        <c:v>0.8540142479923819</c:v>
                      </c:pt>
                      <c:pt idx="27">
                        <c:v>0.85690360568963519</c:v>
                      </c:pt>
                      <c:pt idx="28">
                        <c:v>0.85976361894424647</c:v>
                      </c:pt>
                      <c:pt idx="29">
                        <c:v>0.86259474253663693</c:v>
                      </c:pt>
                      <c:pt idx="30">
                        <c:v>0.86539742165739941</c:v>
                      </c:pt>
                      <c:pt idx="31">
                        <c:v>0.86817209216563918</c:v>
                      </c:pt>
                      <c:pt idx="32">
                        <c:v>0.87091918083878606</c:v>
                      </c:pt>
                      <c:pt idx="33">
                        <c:v>0.87363910561420688</c:v>
                      </c:pt>
                      <c:pt idx="34">
                        <c:v>0.87633227582294171</c:v>
                      </c:pt>
                      <c:pt idx="35">
                        <c:v>0.87899909241586827</c:v>
                      </c:pt>
                      <c:pt idx="36">
                        <c:v>0.8816399481825854</c:v>
                      </c:pt>
                      <c:pt idx="37">
                        <c:v>0.88425522796329536</c:v>
                      </c:pt>
                      <c:pt idx="38">
                        <c:v>0.88684530885394941</c:v>
                      </c:pt>
                      <c:pt idx="39">
                        <c:v>0.88941056040491417</c:v>
                      </c:pt>
                      <c:pt idx="40">
                        <c:v>0.89195134481339899</c:v>
                      </c:pt>
                      <c:pt idx="41">
                        <c:v>0.89446801710987722</c:v>
                      </c:pt>
                      <c:pt idx="42">
                        <c:v>0.89696092533872873</c:v>
                      </c:pt>
                      <c:pt idx="43">
                        <c:v>0.89943041073330832</c:v>
                      </c:pt>
                      <c:pt idx="44">
                        <c:v>0.90187680788565172</c:v>
                      </c:pt>
                      <c:pt idx="45">
                        <c:v>0.9043004449110108</c:v>
                      </c:pt>
                      <c:pt idx="46">
                        <c:v>0.90670164360740579</c:v>
                      </c:pt>
                      <c:pt idx="47">
                        <c:v>0.90908071961037218</c:v>
                      </c:pt>
                      <c:pt idx="48">
                        <c:v>0.91143798254307751</c:v>
                      </c:pt>
                      <c:pt idx="49">
                        <c:v>0.91377373616196889</c:v>
                      </c:pt>
                      <c:pt idx="50">
                        <c:v>0.91608827849811103</c:v>
                      </c:pt>
                      <c:pt idx="51">
                        <c:v>0.91838190199436642</c:v>
                      </c:pt>
                      <c:pt idx="52">
                        <c:v>0.92065489363856057</c:v>
                      </c:pt>
                      <c:pt idx="53">
                        <c:v>0.92290753509277534</c:v>
                      </c:pt>
                      <c:pt idx="54">
                        <c:v>0.92514010281889936</c:v>
                      </c:pt>
                      <c:pt idx="55">
                        <c:v>0.92735286820056895</c:v>
                      </c:pt>
                      <c:pt idx="56">
                        <c:v>0.92954609766161789</c:v>
                      </c:pt>
                      <c:pt idx="57">
                        <c:v>0.9317200527811591</c:v>
                      </c:pt>
                      <c:pt idx="58">
                        <c:v>0.933874990405406</c:v>
                      </c:pt>
                      <c:pt idx="59">
                        <c:v>0.93601116275635154</c:v>
                      </c:pt>
                      <c:pt idx="60">
                        <c:v>0.93812881753739774</c:v>
                      </c:pt>
                      <c:pt idx="61">
                        <c:v>0.94022819803605207</c:v>
                      </c:pt>
                      <c:pt idx="62">
                        <c:v>0.94230954322377058</c:v>
                      </c:pt>
                      <c:pt idx="63">
                        <c:v>0.94437308785305663</c:v>
                      </c:pt>
                      <c:pt idx="64">
                        <c:v>0.9464190625518949</c:v>
                      </c:pt>
                      <c:pt idx="65">
                        <c:v>0.94844769391561101</c:v>
                      </c:pt>
                      <c:pt idx="66">
                        <c:v>0.95045920459623856</c:v>
                      </c:pt>
                      <c:pt idx="67">
                        <c:v>0.95245381338947666</c:v>
                      </c:pt>
                      <c:pt idx="68">
                        <c:v>0.95443173531931014</c:v>
                      </c:pt>
                      <c:pt idx="69">
                        <c:v>0.95639318172037024</c:v>
                      </c:pt>
                      <c:pt idx="70">
                        <c:v>0.95833836031810749</c:v>
                      </c:pt>
                      <c:pt idx="71">
                        <c:v>0.96026747530684109</c:v>
                      </c:pt>
                      <c:pt idx="72">
                        <c:v>0.962180727425758</c:v>
                      </c:pt>
                      <c:pt idx="73">
                        <c:v>0.96407831403291944</c:v>
                      </c:pt>
                      <c:pt idx="74">
                        <c:v>0.96596042917734182</c:v>
                      </c:pt>
                      <c:pt idx="75">
                        <c:v>0.96782726366920513</c:v>
                      </c:pt>
                      <c:pt idx="76">
                        <c:v>0.96967900514825323</c:v>
                      </c:pt>
                      <c:pt idx="77">
                        <c:v>0.97151583815043518</c:v>
                      </c:pt>
                      <c:pt idx="78">
                        <c:v>0.9733379441728468</c:v>
                      </c:pt>
                      <c:pt idx="79">
                        <c:v>0.97514550173701653</c:v>
                      </c:pt>
                      <c:pt idx="80">
                        <c:v>0.97693868645059367</c:v>
                      </c:pt>
                      <c:pt idx="81">
                        <c:v>0.97871767106747887</c:v>
                      </c:pt>
                      <c:pt idx="82">
                        <c:v>0.9804826255464496</c:v>
                      </c:pt>
                      <c:pt idx="83">
                        <c:v>0.98223371710832152</c:v>
                      </c:pt>
                      <c:pt idx="84">
                        <c:v>0.98397111029169038</c:v>
                      </c:pt>
                      <c:pt idx="85">
                        <c:v>0.98569496700729542</c:v>
                      </c:pt>
                      <c:pt idx="86">
                        <c:v>0.9874054465910439</c:v>
                      </c:pt>
                      <c:pt idx="87">
                        <c:v>0.98910270585573901</c:v>
                      </c:pt>
                      <c:pt idx="88">
                        <c:v>0.99078689914154328</c:v>
                      </c:pt>
                      <c:pt idx="89">
                        <c:v>0.99245817836521943</c:v>
                      </c:pt>
                      <c:pt idx="90">
                        <c:v>0.99411669306817918</c:v>
                      </c:pt>
                      <c:pt idx="91">
                        <c:v>0.99576259046337701</c:v>
                      </c:pt>
                      <c:pt idx="92">
                        <c:v>0.9973960154810807</c:v>
                      </c:pt>
                      <c:pt idx="93">
                        <c:v>0.99901711081355027</c:v>
                      </c:pt>
                      <c:pt idx="94">
                        <c:v>1.0006260169586552</c:v>
                      </c:pt>
                      <c:pt idx="95">
                        <c:v>1.0022228722624618</c:v>
                      </c:pt>
                      <c:pt idx="96">
                        <c:v>1.0038078129608174</c:v>
                      </c:pt>
                      <c:pt idx="97">
                        <c:v>1.0053809732199614</c:v>
                      </c:pt>
                      <c:pt idx="98">
                        <c:v>1.0069424851761863</c:v>
                      </c:pt>
                      <c:pt idx="99">
                        <c:v>1.0084924789745804</c:v>
                      </c:pt>
                      <c:pt idx="100">
                        <c:v>1.010031082806871</c:v>
                      </c:pt>
                      <c:pt idx="101">
                        <c:v>1.011558422948398</c:v>
                      </c:pt>
                      <c:pt idx="102">
                        <c:v>1.0130746237942396</c:v>
                      </c:pt>
                      <c:pt idx="103">
                        <c:v>1.0145798078945107</c:v>
                      </c:pt>
                      <c:pt idx="104">
                        <c:v>1.0160740959888612</c:v>
                      </c:pt>
                      <c:pt idx="105">
                        <c:v>1.0175576070401895</c:v>
                      </c:pt>
                      <c:pt idx="106">
                        <c:v>1.0190304582675984</c:v>
                      </c:pt>
                      <c:pt idx="107">
                        <c:v>1.0204927651786095</c:v>
                      </c:pt>
                      <c:pt idx="108">
                        <c:v>1.0219446416006575</c:v>
                      </c:pt>
                      <c:pt idx="109">
                        <c:v>1.0233861997118798</c:v>
                      </c:pt>
                      <c:pt idx="110">
                        <c:v>1.0248175500712282</c:v>
                      </c:pt>
                      <c:pt idx="111">
                        <c:v>1.0262388016479096</c:v>
                      </c:pt>
                      <c:pt idx="112">
                        <c:v>1.027650061850182</c:v>
                      </c:pt>
                      <c:pt idx="113">
                        <c:v>1.0290514365535188</c:v>
                      </c:pt>
                      <c:pt idx="114">
                        <c:v>1.0304430301281553</c:v>
                      </c:pt>
                      <c:pt idx="115">
                        <c:v>1.0318249454660404</c:v>
                      </c:pt>
                      <c:pt idx="116">
                        <c:v>1.0331972840072012</c:v>
                      </c:pt>
                      <c:pt idx="117">
                        <c:v>1.0345601457655385</c:v>
                      </c:pt>
                      <c:pt idx="118">
                        <c:v>1.0359136293540712</c:v>
                      </c:pt>
                      <c:pt idx="119">
                        <c:v>1.0372578320096353</c:v>
                      </c:pt>
                      <c:pt idx="120">
                        <c:v>1.0385928496170584</c:v>
                      </c:pt>
                      <c:pt idx="121">
                        <c:v>1.0399187767328253</c:v>
                      </c:pt>
                      <c:pt idx="122">
                        <c:v>1.0412357066082309</c:v>
                      </c:pt>
                      <c:pt idx="123">
                        <c:v>1.0425437312120578</c:v>
                      </c:pt>
                      <c:pt idx="124">
                        <c:v>1.043842941252769</c:v>
                      </c:pt>
                      <c:pt idx="125">
                        <c:v>1.0451334262002403</c:v>
                      </c:pt>
                      <c:pt idx="126">
                        <c:v>1.0464152743070376</c:v>
                      </c:pt>
                      <c:pt idx="127">
                        <c:v>1.0476885726292535</c:v>
                      </c:pt>
                      <c:pt idx="128">
                        <c:v>1.0489534070469129</c:v>
                      </c:pt>
                      <c:pt idx="129">
                        <c:v>1.0502098622839555</c:v>
                      </c:pt>
                      <c:pt idx="130">
                        <c:v>1.0514580219278122</c:v>
                      </c:pt>
                      <c:pt idx="131">
                        <c:v>1.0526979684485769</c:v>
                      </c:pt>
                      <c:pt idx="132">
                        <c:v>1.0539297832177901</c:v>
                      </c:pt>
                      <c:pt idx="133">
                        <c:v>1.05515354652684</c:v>
                      </c:pt>
                      <c:pt idx="134">
                        <c:v>1.0563693376049894</c:v>
                      </c:pt>
                      <c:pt idx="135">
                        <c:v>1.0575772346370429</c:v>
                      </c:pt>
                      <c:pt idx="136">
                        <c:v>1.0587773147806565</c:v>
                      </c:pt>
                      <c:pt idx="137">
                        <c:v>1.0599696541833008</c:v>
                      </c:pt>
                      <c:pt idx="138">
                        <c:v>1.0611543279988866</c:v>
                      </c:pt>
                      <c:pt idx="139">
                        <c:v>1.06233141040406</c:v>
                      </c:pt>
                      <c:pt idx="140">
                        <c:v>1.0635009746141726</c:v>
                      </c:pt>
                      <c:pt idx="141">
                        <c:v>1.0646630928989416</c:v>
                      </c:pt>
                      <c:pt idx="142">
                        <c:v>1.0658178365977951</c:v>
                      </c:pt>
                      <c:pt idx="143">
                        <c:v>1.0669652761349229</c:v>
                      </c:pt>
                      <c:pt idx="144">
                        <c:v>1.0681054810340289</c:v>
                      </c:pt>
                      <c:pt idx="145">
                        <c:v>1.0692385199327992</c:v>
                      </c:pt>
                      <c:pt idx="146">
                        <c:v>1.0703644605970881</c:v>
                      </c:pt>
                      <c:pt idx="147">
                        <c:v>1.0714833699348296</c:v>
                      </c:pt>
                      <c:pt idx="148">
                        <c:v>1.0725953140096836</c:v>
                      </c:pt>
                      <c:pt idx="149">
                        <c:v>1.0737003580544169</c:v>
                      </c:pt>
                      <c:pt idx="150">
                        <c:v>1.0747985664840289</c:v>
                      </c:pt>
                      <c:pt idx="151">
                        <c:v>1.0758900029086298</c:v>
                      </c:pt>
                      <c:pt idx="152">
                        <c:v>1.0769747301460695</c:v>
                      </c:pt>
                      <c:pt idx="153">
                        <c:v>1.0780528102343332</c:v>
                      </c:pt>
                      <c:pt idx="154">
                        <c:v>1.0791243044436958</c:v>
                      </c:pt>
                      <c:pt idx="155">
                        <c:v>1.0801892732886553</c:v>
                      </c:pt>
                      <c:pt idx="156">
                        <c:v>1.081247776539636</c:v>
                      </c:pt>
                      <c:pt idx="157">
                        <c:v>1.0822998732344777</c:v>
                      </c:pt>
                      <c:pt idx="158">
                        <c:v>1.0833456216897084</c:v>
                      </c:pt>
                      <c:pt idx="159">
                        <c:v>1.0843850795116077</c:v>
                      </c:pt>
                      <c:pt idx="160">
                        <c:v>1.0854183036070688</c:v>
                      </c:pt>
                      <c:pt idx="161">
                        <c:v>1.0864453501942528</c:v>
                      </c:pt>
                      <c:pt idx="162">
                        <c:v>1.0874662748130592</c:v>
                      </c:pt>
                      <c:pt idx="163">
                        <c:v>1.0884811323353889</c:v>
                      </c:pt>
                      <c:pt idx="164">
                        <c:v>1.0894899769752358</c:v>
                      </c:pt>
                      <c:pt idx="165">
                        <c:v>1.090492862298583</c:v>
                      </c:pt>
                      <c:pt idx="166">
                        <c:v>1.0914898412331246</c:v>
                      </c:pt>
                      <c:pt idx="167">
                        <c:v>1.0924809660778108</c:v>
                      </c:pt>
                      <c:pt idx="168">
                        <c:v>1.0934662885122206</c:v>
                      </c:pt>
                      <c:pt idx="169">
                        <c:v>1.0944458596057665</c:v>
                      </c:pt>
                      <c:pt idx="170">
                        <c:v>1.0954197298267341</c:v>
                      </c:pt>
                      <c:pt idx="171">
                        <c:v>1.0963879490511599</c:v>
                      </c:pt>
                      <c:pt idx="172">
                        <c:v>1.0973505665715522</c:v>
                      </c:pt>
                      <c:pt idx="173">
                        <c:v>1.0983076311054543</c:v>
                      </c:pt>
                      <c:pt idx="174">
                        <c:v>1.0992591908038609</c:v>
                      </c:pt>
                      <c:pt idx="175">
                        <c:v>1.1002052932594828</c:v>
                      </c:pt>
                      <c:pt idx="176">
                        <c:v>1.1011459855148649</c:v>
                      </c:pt>
                      <c:pt idx="177">
                        <c:v>1.1020813140703669</c:v>
                      </c:pt>
                      <c:pt idx="178">
                        <c:v>1.1030113248920004</c:v>
                      </c:pt>
                      <c:pt idx="179">
                        <c:v>1.1039360634191298</c:v>
                      </c:pt>
                      <c:pt idx="180">
                        <c:v>1.1048555745720428</c:v>
                      </c:pt>
                      <c:pt idx="181">
                        <c:v>1.1057699027593837</c:v>
                      </c:pt>
                      <c:pt idx="182">
                        <c:v>1.1066790918854659</c:v>
                      </c:pt>
                      <c:pt idx="183">
                        <c:v>1.1075831853574523</c:v>
                      </c:pt>
                      <c:pt idx="184">
                        <c:v>1.1084822260924161</c:v>
                      </c:pt>
                      <c:pt idx="185">
                        <c:v>1.1093762565242786</c:v>
                      </c:pt>
                      <c:pt idx="186">
                        <c:v>1.110265318610631</c:v>
                      </c:pt>
                      <c:pt idx="187">
                        <c:v>1.1111494538394386</c:v>
                      </c:pt>
                      <c:pt idx="188">
                        <c:v>1.1120287032356302</c:v>
                      </c:pt>
                      <c:pt idx="189">
                        <c:v>1.1129031073675799</c:v>
                      </c:pt>
                      <c:pt idx="190">
                        <c:v>1.1137727063534753</c:v>
                      </c:pt>
                      <c:pt idx="191">
                        <c:v>1.1146375398675825</c:v>
                      </c:pt>
                      <c:pt idx="192">
                        <c:v>1.1154976471464033</c:v>
                      </c:pt>
                      <c:pt idx="193">
                        <c:v>1.1163530669947295</c:v>
                      </c:pt>
                      <c:pt idx="194">
                        <c:v>1.1172038377916007</c:v>
                      </c:pt>
                      <c:pt idx="195">
                        <c:v>1.1180499974961573</c:v>
                      </c:pt>
                      <c:pt idx="196">
                        <c:v>1.1188915836533992</c:v>
                      </c:pt>
                      <c:pt idx="197">
                        <c:v>1.11972863339985</c:v>
                      </c:pt>
                      <c:pt idx="198">
                        <c:v>1.1205611834691289</c:v>
                      </c:pt>
                      <c:pt idx="199">
                        <c:v>1.1213892701974255</c:v>
                      </c:pt>
                      <c:pt idx="200">
                        <c:v>1.1222129295288936</c:v>
                      </c:pt>
                    </c:numCache>
                  </c:numRef>
                </c:val>
                <c:smooth val="0"/>
                <c:extLst xmlns:c15="http://schemas.microsoft.com/office/drawing/2012/chart">
                  <c:ext xmlns:c16="http://schemas.microsoft.com/office/drawing/2014/chart" uri="{C3380CC4-5D6E-409C-BE32-E72D297353CC}">
                    <c16:uniqueId val="{00000007-50A6-46D4-AEF8-03ADE34CD569}"/>
                  </c:ext>
                </c:extLst>
              </c15:ser>
            </c15:filteredLineSeries>
            <c15:filteredLineSeries>
              <c15:ser>
                <c:idx val="8"/>
                <c:order val="6"/>
                <c:tx>
                  <c:strRef>
                    <c:extLst xmlns:c15="http://schemas.microsoft.com/office/drawing/2012/chart">
                      <c:ext xmlns:c15="http://schemas.microsoft.com/office/drawing/2012/chart" uri="{02D57815-91ED-43cb-92C2-25804820EDAC}">
                        <c15:formulaRef>
                          <c15:sqref>'Efficiency vs VIN Calculations'!$AG$7</c15:sqref>
                        </c15:formulaRef>
                      </c:ext>
                    </c:extLst>
                    <c:strCache>
                      <c:ptCount val="1"/>
                      <c:pt idx="0">
                        <c:v>High-side BUCK "Control"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Calculations'!$AK$9:$AK$209</c15:sqref>
                        </c15:formulaRef>
                      </c:ext>
                    </c:extLst>
                    <c:numCache>
                      <c:formatCode>0.000</c:formatCode>
                      <c:ptCount val="201"/>
                      <c:pt idx="0">
                        <c:v>3.1666385121192331</c:v>
                      </c:pt>
                      <c:pt idx="1">
                        <c:v>3.1792936199445592</c:v>
                      </c:pt>
                      <c:pt idx="2">
                        <c:v>3.1920114162546822</c:v>
                      </c:pt>
                      <c:pt idx="3">
                        <c:v>3.2047904127596665</c:v>
                      </c:pt>
                      <c:pt idx="4">
                        <c:v>3.2176291686049869</c:v>
                      </c:pt>
                      <c:pt idx="5">
                        <c:v>3.2305262884760442</c:v>
                      </c:pt>
                      <c:pt idx="6">
                        <c:v>3.2434804207935253</c:v>
                      </c:pt>
                      <c:pt idx="7">
                        <c:v>3.2564902559945779</c:v>
                      </c:pt>
                      <c:pt idx="8">
                        <c:v>3.2695545248950224</c:v>
                      </c:pt>
                      <c:pt idx="9">
                        <c:v>3.282671997128169</c:v>
                      </c:pt>
                      <c:pt idx="10">
                        <c:v>3.2958414796560689</c:v>
                      </c:pt>
                      <c:pt idx="11">
                        <c:v>3.3090618153492928</c:v>
                      </c:pt>
                      <c:pt idx="12">
                        <c:v>3.3223318816315497</c:v>
                      </c:pt>
                      <c:pt idx="13">
                        <c:v>3.3356505891857298</c:v>
                      </c:pt>
                      <c:pt idx="14">
                        <c:v>3.3490168807180889</c:v>
                      </c:pt>
                      <c:pt idx="15">
                        <c:v>3.3624297297775882</c:v>
                      </c:pt>
                      <c:pt idx="16">
                        <c:v>3.3758881396274552</c:v>
                      </c:pt>
                      <c:pt idx="17">
                        <c:v>3.3893911421663523</c:v>
                      </c:pt>
                      <c:pt idx="18">
                        <c:v>3.4029377968965386</c:v>
                      </c:pt>
                      <c:pt idx="19">
                        <c:v>3.4165271899367062</c:v>
                      </c:pt>
                      <c:pt idx="20">
                        <c:v>3.4301584330771866</c:v>
                      </c:pt>
                      <c:pt idx="21">
                        <c:v>3.4438306628754507</c:v>
                      </c:pt>
                      <c:pt idx="22">
                        <c:v>3.4575430397898574</c:v>
                      </c:pt>
                      <c:pt idx="23">
                        <c:v>3.4712947473498188</c:v>
                      </c:pt>
                      <c:pt idx="24">
                        <c:v>3.4850849913605462</c:v>
                      </c:pt>
                      <c:pt idx="25">
                        <c:v>3.4989129991407326</c:v>
                      </c:pt>
                      <c:pt idx="26">
                        <c:v>3.5127780187915696</c:v>
                      </c:pt>
                      <c:pt idx="27">
                        <c:v>3.5266793184955949</c:v>
                      </c:pt>
                      <c:pt idx="28">
                        <c:v>3.5406161858439678</c:v>
                      </c:pt>
                      <c:pt idx="29">
                        <c:v>3.5545879271908016</c:v>
                      </c:pt>
                      <c:pt idx="30">
                        <c:v>3.5685938670333135</c:v>
                      </c:pt>
                      <c:pt idx="31">
                        <c:v>3.5826333474165679</c:v>
                      </c:pt>
                      <c:pt idx="32">
                        <c:v>3.5967057273616909</c:v>
                      </c:pt>
                      <c:pt idx="33">
                        <c:v>3.6108103823164601</c:v>
                      </c:pt>
                      <c:pt idx="34">
                        <c:v>3.6249467036272716</c:v>
                      </c:pt>
                      <c:pt idx="35">
                        <c:v>3.639114098031488</c:v>
                      </c:pt>
                      <c:pt idx="36">
                        <c:v>3.6533119871692743</c:v>
                      </c:pt>
                      <c:pt idx="37">
                        <c:v>3.667539807114029</c:v>
                      </c:pt>
                      <c:pt idx="38">
                        <c:v>3.681797007920609</c:v>
                      </c:pt>
                      <c:pt idx="39">
                        <c:v>3.6960830531905251</c:v>
                      </c:pt>
                      <c:pt idx="40">
                        <c:v>3.710397419653416</c:v>
                      </c:pt>
                      <c:pt idx="41">
                        <c:v>3.724739596764028</c:v>
                      </c:pt>
                      <c:pt idx="42">
                        <c:v>3.7391090863140954</c:v>
                      </c:pt>
                      <c:pt idx="43">
                        <c:v>3.7535054020584204</c:v>
                      </c:pt>
                      <c:pt idx="44">
                        <c:v>3.7679280693545913</c:v>
                      </c:pt>
                      <c:pt idx="45">
                        <c:v>3.782376624815734</c:v>
                      </c:pt>
                      <c:pt idx="46">
                        <c:v>3.7968506159757478</c:v>
                      </c:pt>
                      <c:pt idx="47">
                        <c:v>3.8113496009665213</c:v>
                      </c:pt>
                      <c:pt idx="48">
                        <c:v>3.8258731482066044</c:v>
                      </c:pt>
                      <c:pt idx="49">
                        <c:v>3.8404208361008707</c:v>
                      </c:pt>
                      <c:pt idx="50">
                        <c:v>3.8549922527507312</c:v>
                      </c:pt>
                      <c:pt idx="51">
                        <c:v>3.8695869956744389</c:v>
                      </c:pt>
                      <c:pt idx="52">
                        <c:v>3.8842046715371072</c:v>
                      </c:pt>
                      <c:pt idx="53">
                        <c:v>3.8988448958900173</c:v>
                      </c:pt>
                      <c:pt idx="54">
                        <c:v>3.9135072929188652</c:v>
                      </c:pt>
                      <c:pt idx="55">
                        <c:v>3.9281914952005765</c:v>
                      </c:pt>
                      <c:pt idx="56">
                        <c:v>3.9428971434683557</c:v>
                      </c:pt>
                      <c:pt idx="57">
                        <c:v>3.9576238863846478</c:v>
                      </c:pt>
                      <c:pt idx="58">
                        <c:v>3.9723713803216838</c:v>
                      </c:pt>
                      <c:pt idx="59">
                        <c:v>3.9871392891493405</c:v>
                      </c:pt>
                      <c:pt idx="60">
                        <c:v>4.0019272840300033</c:v>
                      </c:pt>
                      <c:pt idx="61">
                        <c:v>4.0167350432201943</c:v>
                      </c:pt>
                      <c:pt idx="62">
                        <c:v>4.0315622518786576</c:v>
                      </c:pt>
                      <c:pt idx="63">
                        <c:v>4.0464086018807217</c:v>
                      </c:pt>
                      <c:pt idx="64">
                        <c:v>4.0612737916386248</c:v>
                      </c:pt>
                      <c:pt idx="65">
                        <c:v>4.0761575259276572</c:v>
                      </c:pt>
                      <c:pt idx="66">
                        <c:v>4.0910595157178191</c:v>
                      </c:pt>
                      <c:pt idx="67">
                        <c:v>4.1059794780108732</c:v>
                      </c:pt>
                      <c:pt idx="68">
                        <c:v>4.1209171356825163</c:v>
                      </c:pt>
                      <c:pt idx="69">
                        <c:v>4.1358722173295401</c:v>
                      </c:pt>
                      <c:pt idx="70">
                        <c:v>4.1508444571217513</c:v>
                      </c:pt>
                      <c:pt idx="71">
                        <c:v>4.1658335946585154</c:v>
                      </c:pt>
                      <c:pt idx="72">
                        <c:v>4.1808393748297306</c:v>
                      </c:pt>
                      <c:pt idx="73">
                        <c:v>4.1958615476810754</c:v>
                      </c:pt>
                      <c:pt idx="74">
                        <c:v>4.2108998682834038</c:v>
                      </c:pt>
                      <c:pt idx="75">
                        <c:v>4.2259540966060865</c:v>
                      </c:pt>
                      <c:pt idx="76">
                        <c:v>4.2410239973942145</c:v>
                      </c:pt>
                      <c:pt idx="77">
                        <c:v>4.2561093400494903</c:v>
                      </c:pt>
                      <c:pt idx="78">
                        <c:v>4.2712098985146936</c:v>
                      </c:pt>
                      <c:pt idx="79">
                        <c:v>4.2863254511615922</c:v>
                      </c:pt>
                      <c:pt idx="80">
                        <c:v>4.3014557806821747</c:v>
                      </c:pt>
                      <c:pt idx="81">
                        <c:v>4.3166006739831015</c:v>
                      </c:pt>
                      <c:pt idx="82">
                        <c:v>4.3317599220832506</c:v>
                      </c:pt>
                      <c:pt idx="83">
                        <c:v>4.3469333200142533</c:v>
                      </c:pt>
                      <c:pt idx="84">
                        <c:v>4.3621206667239312</c:v>
                      </c:pt>
                      <c:pt idx="85">
                        <c:v>4.3773217649825149</c:v>
                      </c:pt>
                      <c:pt idx="86">
                        <c:v>4.3925364212915738</c:v>
                      </c:pt>
                      <c:pt idx="87">
                        <c:v>4.4077644457955403</c:v>
                      </c:pt>
                      <c:pt idx="88">
                        <c:v>4.4230056521957737</c:v>
                      </c:pt>
                      <c:pt idx="89">
                        <c:v>4.4382598576670347</c:v>
                      </c:pt>
                      <c:pt idx="90">
                        <c:v>4.4535268827763517</c:v>
                      </c:pt>
                      <c:pt idx="91">
                        <c:v>4.4688065514041266</c:v>
                      </c:pt>
                      <c:pt idx="92">
                        <c:v>4.48409869066748</c:v>
                      </c:pt>
                      <c:pt idx="93">
                        <c:v>4.499403130845705</c:v>
                      </c:pt>
                      <c:pt idx="94">
                        <c:v>4.5147197053077956</c:v>
                      </c:pt>
                      <c:pt idx="95">
                        <c:v>4.5300482504419648</c:v>
                      </c:pt>
                      <c:pt idx="96">
                        <c:v>4.545388605587104</c:v>
                      </c:pt>
                      <c:pt idx="97">
                        <c:v>4.5607406129661037</c:v>
                      </c:pt>
                      <c:pt idx="98">
                        <c:v>4.5761041176209867</c:v>
                      </c:pt>
                      <c:pt idx="99">
                        <c:v>4.591478967349798</c:v>
                      </c:pt>
                      <c:pt idx="100">
                        <c:v>4.6068650126451924</c:v>
                      </c:pt>
                      <c:pt idx="101">
                        <c:v>4.6222621066346665</c:v>
                      </c:pt>
                      <c:pt idx="102">
                        <c:v>4.6376701050223774</c:v>
                      </c:pt>
                      <c:pt idx="103">
                        <c:v>4.6530888660325154</c:v>
                      </c:pt>
                      <c:pt idx="104">
                        <c:v>4.6685182503541647</c:v>
                      </c:pt>
                      <c:pt idx="105">
                        <c:v>4.6839581210876222</c:v>
                      </c:pt>
                      <c:pt idx="106">
                        <c:v>4.6994083436921086</c:v>
                      </c:pt>
                      <c:pt idx="107">
                        <c:v>4.714868785934855</c:v>
                      </c:pt>
                      <c:pt idx="108">
                        <c:v>4.730339317841505</c:v>
                      </c:pt>
                      <c:pt idx="109">
                        <c:v>4.7458198116477925</c:v>
                      </c:pt>
                      <c:pt idx="110">
                        <c:v>4.7613101417524719</c:v>
                      </c:pt>
                      <c:pt idx="111">
                        <c:v>4.7768101846714428</c:v>
                      </c:pt>
                      <c:pt idx="112">
                        <c:v>4.7923198189930547</c:v>
                      </c:pt>
                      <c:pt idx="113">
                        <c:v>4.8078389253345382</c:v>
                      </c:pt>
                      <c:pt idx="114">
                        <c:v>4.8233673862995339</c:v>
                      </c:pt>
                      <c:pt idx="115">
                        <c:v>4.8389050864366983</c:v>
                      </c:pt>
                      <c:pt idx="116">
                        <c:v>4.8544519121993428</c:v>
                      </c:pt>
                      <c:pt idx="117">
                        <c:v>4.8700077519060789</c:v>
                      </c:pt>
                      <c:pt idx="118">
                        <c:v>4.8855724957024345</c:v>
                      </c:pt>
                      <c:pt idx="119">
                        <c:v>4.9011460355234302</c:v>
                      </c:pt>
                      <c:pt idx="120">
                        <c:v>4.9167282650570714</c:v>
                      </c:pt>
                      <c:pt idx="121">
                        <c:v>4.9323190797087335</c:v>
                      </c:pt>
                      <c:pt idx="122">
                        <c:v>4.9479183765664159</c:v>
                      </c:pt>
                      <c:pt idx="123">
                        <c:v>4.9635260543668487</c:v>
                      </c:pt>
                      <c:pt idx="124">
                        <c:v>4.9791420134624138</c:v>
                      </c:pt>
                      <c:pt idx="125">
                        <c:v>4.994766155788855</c:v>
                      </c:pt>
                      <c:pt idx="126">
                        <c:v>5.0103983848337839</c:v>
                      </c:pt>
                      <c:pt idx="127">
                        <c:v>5.0260386056059225</c:v>
                      </c:pt>
                      <c:pt idx="128">
                        <c:v>5.0416867246050758</c:v>
                      </c:pt>
                      <c:pt idx="129">
                        <c:v>5.0573426497928375</c:v>
                      </c:pt>
                      <c:pt idx="130">
                        <c:v>5.0730062905639581</c:v>
                      </c:pt>
                      <c:pt idx="131">
                        <c:v>5.0886775577184107</c:v>
                      </c:pt>
                      <c:pt idx="132">
                        <c:v>5.1043563634341016</c:v>
                      </c:pt>
                      <c:pt idx="133">
                        <c:v>5.1200426212402128</c:v>
                      </c:pt>
                      <c:pt idx="134">
                        <c:v>5.1357362459911782</c:v>
                      </c:pt>
                      <c:pt idx="135">
                        <c:v>5.1514371538412389</c:v>
                      </c:pt>
                      <c:pt idx="136">
                        <c:v>5.1671452622196163</c:v>
                      </c:pt>
                      <c:pt idx="137">
                        <c:v>5.1828604898062229</c:v>
                      </c:pt>
                      <c:pt idx="138">
                        <c:v>5.1985827565079603</c:v>
                      </c:pt>
                      <c:pt idx="139">
                        <c:v>5.2143119834355218</c:v>
                      </c:pt>
                      <c:pt idx="140">
                        <c:v>5.2300480928807591</c:v>
                      </c:pt>
                      <c:pt idx="141">
                        <c:v>5.2457910082945265</c:v>
                      </c:pt>
                      <c:pt idx="142">
                        <c:v>5.2615406542650494</c:v>
                      </c:pt>
                      <c:pt idx="143">
                        <c:v>5.2772969564967696</c:v>
                      </c:pt>
                      <c:pt idx="144">
                        <c:v>5.2930598417896526</c:v>
                      </c:pt>
                      <c:pt idx="145">
                        <c:v>5.3088292380189737</c:v>
                      </c:pt>
                      <c:pt idx="146">
                        <c:v>5.3246050741155377</c:v>
                      </c:pt>
                      <c:pt idx="147">
                        <c:v>5.3403872800463441</c:v>
                      </c:pt>
                      <c:pt idx="148">
                        <c:v>5.356175786795677</c:v>
                      </c:pt>
                      <c:pt idx="149">
                        <c:v>5.3719705263466038</c:v>
                      </c:pt>
                      <c:pt idx="150">
                        <c:v>5.3877714316628849</c:v>
                      </c:pt>
                      <c:pt idx="151">
                        <c:v>5.4035784366712702</c:v>
                      </c:pt>
                      <c:pt idx="152">
                        <c:v>5.419391476244189</c:v>
                      </c:pt>
                      <c:pt idx="153">
                        <c:v>5.4352104861828012</c:v>
                      </c:pt>
                      <c:pt idx="154">
                        <c:v>5.4510354032004251</c:v>
                      </c:pt>
                      <c:pt idx="155">
                        <c:v>5.4668661649063148</c:v>
                      </c:pt>
                      <c:pt idx="156">
                        <c:v>5.4827027097897849</c:v>
                      </c:pt>
                      <c:pt idx="157">
                        <c:v>5.4985449772046664</c:v>
                      </c:pt>
                      <c:pt idx="158">
                        <c:v>5.5143929073541109</c:v>
                      </c:pt>
                      <c:pt idx="159">
                        <c:v>5.5302464412756924</c:v>
                      </c:pt>
                      <c:pt idx="160">
                        <c:v>5.5461055208268428</c:v>
                      </c:pt>
                      <c:pt idx="161">
                        <c:v>5.5619700886705772</c:v>
                      </c:pt>
                      <c:pt idx="162">
                        <c:v>5.5778400882615262</c:v>
                      </c:pt>
                      <c:pt idx="163">
                        <c:v>5.5937154638322673</c:v>
                      </c:pt>
                      <c:pt idx="164">
                        <c:v>5.6095961603799127</c:v>
                      </c:pt>
                      <c:pt idx="165">
                        <c:v>5.625482123653005</c:v>
                      </c:pt>
                      <c:pt idx="166">
                        <c:v>5.6413733001386666</c:v>
                      </c:pt>
                      <c:pt idx="167">
                        <c:v>5.6572696370500175</c:v>
                      </c:pt>
                      <c:pt idx="168">
                        <c:v>5.6731710823138402</c:v>
                      </c:pt>
                      <c:pt idx="169">
                        <c:v>5.68907758455852</c:v>
                      </c:pt>
                      <c:pt idx="170">
                        <c:v>5.7049890931022018</c:v>
                      </c:pt>
                      <c:pt idx="171">
                        <c:v>5.720905557941216</c:v>
                      </c:pt>
                      <c:pt idx="172">
                        <c:v>5.7368269297387027</c:v>
                      </c:pt>
                      <c:pt idx="173">
                        <c:v>5.7527531598135013</c:v>
                      </c:pt>
                      <c:pt idx="174">
                        <c:v>5.7686842001292371</c:v>
                      </c:pt>
                      <c:pt idx="175">
                        <c:v>5.7846200032836395</c:v>
                      </c:pt>
                      <c:pt idx="176">
                        <c:v>5.8005605224980643</c:v>
                      </c:pt>
                      <c:pt idx="177">
                        <c:v>5.8165057116072241</c:v>
                      </c:pt>
                      <c:pt idx="178">
                        <c:v>5.8324555250491361</c:v>
                      </c:pt>
                      <c:pt idx="179">
                        <c:v>5.8484099178552462</c:v>
                      </c:pt>
                      <c:pt idx="180">
                        <c:v>5.8643688456407688</c:v>
                      </c:pt>
                      <c:pt idx="181">
                        <c:v>5.8803322645951868</c:v>
                      </c:pt>
                      <c:pt idx="182">
                        <c:v>5.8963001314729748</c:v>
                      </c:pt>
                      <c:pt idx="183">
                        <c:v>5.9122724035844731</c:v>
                      </c:pt>
                      <c:pt idx="184">
                        <c:v>5.9282490387869435</c:v>
                      </c:pt>
                      <c:pt idx="185">
                        <c:v>5.9442299954758111</c:v>
                      </c:pt>
                      <c:pt idx="186">
                        <c:v>5.9602152325760605</c:v>
                      </c:pt>
                      <c:pt idx="187">
                        <c:v>5.9762047095338078</c:v>
                      </c:pt>
                      <c:pt idx="188">
                        <c:v>5.992198386308023</c:v>
                      </c:pt>
                      <c:pt idx="189">
                        <c:v>6.0081962233624155</c:v>
                      </c:pt>
                      <c:pt idx="190">
                        <c:v>6.0241981816574759</c:v>
                      </c:pt>
                      <c:pt idx="191">
                        <c:v>6.0402042226426733</c:v>
                      </c:pt>
                      <c:pt idx="192">
                        <c:v>6.0562143082487809</c:v>
                      </c:pt>
                      <c:pt idx="193">
                        <c:v>6.0722284008803644</c:v>
                      </c:pt>
                      <c:pt idx="194">
                        <c:v>6.0882464634084013</c:v>
                      </c:pt>
                      <c:pt idx="195">
                        <c:v>6.1042684591630518</c:v>
                      </c:pt>
                      <c:pt idx="196">
                        <c:v>6.120294351926546</c:v>
                      </c:pt>
                      <c:pt idx="197">
                        <c:v>6.1363241059262092</c:v>
                      </c:pt>
                      <c:pt idx="198">
                        <c:v>6.1523576858276297</c:v>
                      </c:pt>
                      <c:pt idx="199">
                        <c:v>6.1683950567279311</c:v>
                      </c:pt>
                      <c:pt idx="200">
                        <c:v>6.1844361841491873</c:v>
                      </c:pt>
                    </c:numCache>
                  </c:numRef>
                </c:val>
                <c:smooth val="0"/>
                <c:extLst xmlns:c15="http://schemas.microsoft.com/office/drawing/2012/chart">
                  <c:ext xmlns:c16="http://schemas.microsoft.com/office/drawing/2014/chart" uri="{C3380CC4-5D6E-409C-BE32-E72D297353CC}">
                    <c16:uniqueId val="{00000008-50A6-46D4-AEF8-03ADE34CD569}"/>
                  </c:ext>
                </c:extLst>
              </c15:ser>
            </c15:filteredLineSeries>
            <c15:filteredLineSeries>
              <c15:ser>
                <c:idx val="5"/>
                <c:order val="9"/>
                <c:tx>
                  <c:strRef>
                    <c:extLst xmlns:c15="http://schemas.microsoft.com/office/drawing/2012/chart">
                      <c:ext xmlns:c15="http://schemas.microsoft.com/office/drawing/2012/chart" uri="{02D57815-91ED-43cb-92C2-25804820EDAC}">
                        <c15:formulaRef>
                          <c15:sqref>'Efficiency vs VIN Calculations'!$X$8</c15:sqref>
                        </c15:formulaRef>
                      </c:ext>
                    </c:extLst>
                    <c:strCache>
                      <c:ptCount val="1"/>
                      <c:pt idx="0">
                        <c:v>DCR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Calculations'!$X$9:$X$209</c15:sqref>
                        </c15:formulaRef>
                      </c:ext>
                    </c:extLst>
                    <c:numCache>
                      <c:formatCode>0.000</c:formatCode>
                      <c:ptCount val="201"/>
                      <c:pt idx="0">
                        <c:v>0.89849918959212216</c:v>
                      </c:pt>
                      <c:pt idx="1">
                        <c:v>0.89863205432339699</c:v>
                      </c:pt>
                      <c:pt idx="2">
                        <c:v>0.89876551428543616</c:v>
                      </c:pt>
                      <c:pt idx="3">
                        <c:v>0.89889950789134287</c:v>
                      </c:pt>
                      <c:pt idx="4">
                        <c:v>0.89903397656129536</c:v>
                      </c:pt>
                      <c:pt idx="5">
                        <c:v>0.89916886457629241</c:v>
                      </c:pt>
                      <c:pt idx="6">
                        <c:v>0.89930411893958162</c:v>
                      </c:pt>
                      <c:pt idx="7">
                        <c:v>0.89943968924531881</c:v>
                      </c:pt>
                      <c:pt idx="8">
                        <c:v>0.89957552755405856</c:v>
                      </c:pt>
                      <c:pt idx="9">
                        <c:v>0.8997115882746729</c:v>
                      </c:pt>
                      <c:pt idx="10">
                        <c:v>0.89984782805234487</c:v>
                      </c:pt>
                      <c:pt idx="11">
                        <c:v>0.89998420566229376</c:v>
                      </c:pt>
                      <c:pt idx="12">
                        <c:v>0.90012068190890759</c:v>
                      </c:pt>
                      <c:pt idx="13">
                        <c:v>0.90025721952998705</c:v>
                      </c:pt>
                      <c:pt idx="14">
                        <c:v>0.90039378310581708</c:v>
                      </c:pt>
                      <c:pt idx="15">
                        <c:v>0.90053033897279733</c:v>
                      </c:pt>
                      <c:pt idx="16">
                        <c:v>0.90066685514138678</c:v>
                      </c:pt>
                      <c:pt idx="17">
                        <c:v>0.90080330121812735</c:v>
                      </c:pt>
                      <c:pt idx="18">
                        <c:v>0.90093964833151963</c:v>
                      </c:pt>
                      <c:pt idx="19">
                        <c:v>0.9010758690615549</c:v>
                      </c:pt>
                      <c:pt idx="20">
                        <c:v>0.90121193737269489</c:v>
                      </c:pt>
                      <c:pt idx="21">
                        <c:v>0.90134782855012718</c:v>
                      </c:pt>
                      <c:pt idx="22">
                        <c:v>0.9014835191391104</c:v>
                      </c:pt>
                      <c:pt idx="23">
                        <c:v>0.90161898688726194</c:v>
                      </c:pt>
                      <c:pt idx="24">
                        <c:v>0.90175421068961614</c:v>
                      </c:pt>
                      <c:pt idx="25">
                        <c:v>0.90188917053632423</c:v>
                      </c:pt>
                      <c:pt idx="26">
                        <c:v>0.90202384746284803</c:v>
                      </c:pt>
                      <c:pt idx="27">
                        <c:v>0.90215822350252062</c:v>
                      </c:pt>
                      <c:pt idx="28">
                        <c:v>0.90229228164136199</c:v>
                      </c:pt>
                      <c:pt idx="29">
                        <c:v>0.9024260057750142</c:v>
                      </c:pt>
                      <c:pt idx="30">
                        <c:v>0.90255938066770958</c:v>
                      </c:pt>
                      <c:pt idx="31">
                        <c:v>0.90269239191315509</c:v>
                      </c:pt>
                      <c:pt idx="32">
                        <c:v>0.90282502589724067</c:v>
                      </c:pt>
                      <c:pt idx="33">
                        <c:v>0.90295726976247914</c:v>
                      </c:pt>
                      <c:pt idx="34">
                        <c:v>0.90308911137409276</c:v>
                      </c:pt>
                      <c:pt idx="35">
                        <c:v>0.90322053928766133</c:v>
                      </c:pt>
                      <c:pt idx="36">
                        <c:v>0.9033515427182589</c:v>
                      </c:pt>
                      <c:pt idx="37">
                        <c:v>0.90348211151099878</c:v>
                      </c:pt>
                      <c:pt idx="38">
                        <c:v>0.9036122361129254</c:v>
                      </c:pt>
                      <c:pt idx="39">
                        <c:v>0.90374190754618289</c:v>
                      </c:pt>
                      <c:pt idx="40">
                        <c:v>0.903871117382397</c:v>
                      </c:pt>
                      <c:pt idx="41">
                        <c:v>0.90399985771821534</c:v>
                      </c:pt>
                      <c:pt idx="42">
                        <c:v>0.90412812115194829</c:v>
                      </c:pt>
                      <c:pt idx="43">
                        <c:v>0.90425590076125451</c:v>
                      </c:pt>
                      <c:pt idx="44">
                        <c:v>0.90438319008182821</c:v>
                      </c:pt>
                      <c:pt idx="45">
                        <c:v>0.90450998308703079</c:v>
                      </c:pt>
                      <c:pt idx="46">
                        <c:v>0.90463627416843462</c:v>
                      </c:pt>
                      <c:pt idx="47">
                        <c:v>0.90476205811722044</c:v>
                      </c:pt>
                      <c:pt idx="48">
                        <c:v>0.90488733010640154</c:v>
                      </c:pt>
                      <c:pt idx="49">
                        <c:v>0.90501208567383118</c:v>
                      </c:pt>
                      <c:pt idx="50">
                        <c:v>0.90513632070594985</c:v>
                      </c:pt>
                      <c:pt idx="51">
                        <c:v>0.9052600314222522</c:v>
                      </c:pt>
                      <c:pt idx="52">
                        <c:v>0.90538321436042657</c:v>
                      </c:pt>
                      <c:pt idx="53">
                        <c:v>0.90550586636214447</c:v>
                      </c:pt>
                      <c:pt idx="54">
                        <c:v>0.90562798455946569</c:v>
                      </c:pt>
                      <c:pt idx="55">
                        <c:v>0.90574956636183279</c:v>
                      </c:pt>
                      <c:pt idx="56">
                        <c:v>0.90587060944362929</c:v>
                      </c:pt>
                      <c:pt idx="57">
                        <c:v>0.90599111173227231</c:v>
                      </c:pt>
                      <c:pt idx="58">
                        <c:v>0.90611107139681746</c:v>
                      </c:pt>
                      <c:pt idx="59">
                        <c:v>0.90623048683705509</c:v>
                      </c:pt>
                      <c:pt idx="60">
                        <c:v>0.9063493566730686</c:v>
                      </c:pt>
                      <c:pt idx="61">
                        <c:v>0.90646767973524711</c:v>
                      </c:pt>
                      <c:pt idx="62">
                        <c:v>0.90658545505471211</c:v>
                      </c:pt>
                      <c:pt idx="63">
                        <c:v>0.90670268185416492</c:v>
                      </c:pt>
                      <c:pt idx="64">
                        <c:v>0.90681935953911053</c:v>
                      </c:pt>
                      <c:pt idx="65">
                        <c:v>0.90693548768946364</c:v>
                      </c:pt>
                      <c:pt idx="66">
                        <c:v>0.90705106605150099</c:v>
                      </c:pt>
                      <c:pt idx="67">
                        <c:v>0.90716609453016228</c:v>
                      </c:pt>
                      <c:pt idx="68">
                        <c:v>0.9072805731816671</c:v>
                      </c:pt>
                      <c:pt idx="69">
                        <c:v>0.90739450220644968</c:v>
                      </c:pt>
                      <c:pt idx="70">
                        <c:v>0.90750788194238563</c:v>
                      </c:pt>
                      <c:pt idx="71">
                        <c:v>0.90762071285830781</c:v>
                      </c:pt>
                      <c:pt idx="72">
                        <c:v>0.90773299554778808</c:v>
                      </c:pt>
                      <c:pt idx="73">
                        <c:v>0.90784473072318472</c:v>
                      </c:pt>
                      <c:pt idx="74">
                        <c:v>0.90795591920993557</c:v>
                      </c:pt>
                      <c:pt idx="75">
                        <c:v>0.9080665619410907</c:v>
                      </c:pt>
                      <c:pt idx="76">
                        <c:v>0.90817665995207131</c:v>
                      </c:pt>
                      <c:pt idx="77">
                        <c:v>0.90828621437565005</c:v>
                      </c:pt>
                      <c:pt idx="78">
                        <c:v>0.90839522643713844</c:v>
                      </c:pt>
                      <c:pt idx="79">
                        <c:v>0.90850369744977333</c:v>
                      </c:pt>
                      <c:pt idx="80">
                        <c:v>0.90861162881029922</c:v>
                      </c:pt>
                      <c:pt idx="81">
                        <c:v>0.90871902199472798</c:v>
                      </c:pt>
                      <c:pt idx="82">
                        <c:v>0.90882587855427921</c:v>
                      </c:pt>
                      <c:pt idx="83">
                        <c:v>0.90893220011148934</c:v>
                      </c:pt>
                      <c:pt idx="84">
                        <c:v>0.90903798835647809</c:v>
                      </c:pt>
                      <c:pt idx="85">
                        <c:v>0.9091432450433734</c:v>
                      </c:pt>
                      <c:pt idx="86">
                        <c:v>0.90924797198688168</c:v>
                      </c:pt>
                      <c:pt idx="87">
                        <c:v>0.90935217105900479</c:v>
                      </c:pt>
                      <c:pt idx="88">
                        <c:v>0.90945584418588699</c:v>
                      </c:pt>
                      <c:pt idx="89">
                        <c:v>0.90955899334479684</c:v>
                      </c:pt>
                      <c:pt idx="90">
                        <c:v>0.90966162056123279</c:v>
                      </c:pt>
                      <c:pt idx="91">
                        <c:v>0.90976372790614879</c:v>
                      </c:pt>
                      <c:pt idx="92">
                        <c:v>0.90986531749329647</c:v>
                      </c:pt>
                      <c:pt idx="93">
                        <c:v>0.90996639147667346</c:v>
                      </c:pt>
                      <c:pt idx="94">
                        <c:v>0.91006695204808385</c:v>
                      </c:pt>
                      <c:pt idx="95">
                        <c:v>0.91016700143479434</c:v>
                      </c:pt>
                      <c:pt idx="96">
                        <c:v>0.91026654189728984</c:v>
                      </c:pt>
                      <c:pt idx="97">
                        <c:v>0.91036557572712662</c:v>
                      </c:pt>
                      <c:pt idx="98">
                        <c:v>0.91046410524486598</c:v>
                      </c:pt>
                      <c:pt idx="99">
                        <c:v>0.91056213279810372</c:v>
                      </c:pt>
                      <c:pt idx="100">
                        <c:v>0.9106596607595755</c:v>
                      </c:pt>
                      <c:pt idx="101">
                        <c:v>0.91075669152534211</c:v>
                      </c:pt>
                      <c:pt idx="102">
                        <c:v>0.91085322751305653</c:v>
                      </c:pt>
                      <c:pt idx="103">
                        <c:v>0.91094927116029567</c:v>
                      </c:pt>
                      <c:pt idx="104">
                        <c:v>0.91104482492296812</c:v>
                      </c:pt>
                      <c:pt idx="105">
                        <c:v>0.91113989127378592</c:v>
                      </c:pt>
                      <c:pt idx="106">
                        <c:v>0.91123447270080138</c:v>
                      </c:pt>
                      <c:pt idx="107">
                        <c:v>0.91132857170600912</c:v>
                      </c:pt>
                      <c:pt idx="108">
                        <c:v>0.91142219080400344</c:v>
                      </c:pt>
                      <c:pt idx="109">
                        <c:v>0.91151533252069183</c:v>
                      </c:pt>
                      <c:pt idx="110">
                        <c:v>0.91160799939206982</c:v>
                      </c:pt>
                      <c:pt idx="111">
                        <c:v>0.91170019396304114</c:v>
                      </c:pt>
                      <c:pt idx="112">
                        <c:v>0.91179191878629473</c:v>
                      </c:pt>
                      <c:pt idx="113">
                        <c:v>0.91188317642122385</c:v>
                      </c:pt>
                      <c:pt idx="114">
                        <c:v>0.91197396943289744</c:v>
                      </c:pt>
                      <c:pt idx="115">
                        <c:v>0.91206430039107367</c:v>
                      </c:pt>
                      <c:pt idx="116">
                        <c:v>0.91215417186925585</c:v>
                      </c:pt>
                      <c:pt idx="117">
                        <c:v>0.91224358644379278</c:v>
                      </c:pt>
                      <c:pt idx="118">
                        <c:v>0.91233254669301422</c:v>
                      </c:pt>
                      <c:pt idx="119">
                        <c:v>0.91242105519640926</c:v>
                      </c:pt>
                      <c:pt idx="120">
                        <c:v>0.9125091145338361</c:v>
                      </c:pt>
                      <c:pt idx="121">
                        <c:v>0.91259672728477459</c:v>
                      </c:pt>
                      <c:pt idx="122">
                        <c:v>0.91268389602760158</c:v>
                      </c:pt>
                      <c:pt idx="123">
                        <c:v>0.91277062333891146</c:v>
                      </c:pt>
                      <c:pt idx="124">
                        <c:v>0.91285691179285711</c:v>
                      </c:pt>
                      <c:pt idx="125">
                        <c:v>0.91294276396052643</c:v>
                      </c:pt>
                      <c:pt idx="126">
                        <c:v>0.91302818240934758</c:v>
                      </c:pt>
                      <c:pt idx="127">
                        <c:v>0.9131131697025191</c:v>
                      </c:pt>
                      <c:pt idx="128">
                        <c:v>0.91319772839846913</c:v>
                      </c:pt>
                      <c:pt idx="129">
                        <c:v>0.91328186105033926</c:v>
                      </c:pt>
                      <c:pt idx="130">
                        <c:v>0.9133655702054928</c:v>
                      </c:pt>
                      <c:pt idx="131">
                        <c:v>0.91344885840504619</c:v>
                      </c:pt>
                      <c:pt idx="132">
                        <c:v>0.91353172818342476</c:v>
                      </c:pt>
                      <c:pt idx="133">
                        <c:v>0.91361418206793865</c:v>
                      </c:pt>
                      <c:pt idx="134">
                        <c:v>0.91369622257838023</c:v>
                      </c:pt>
                      <c:pt idx="135">
                        <c:v>0.91377785222663954</c:v>
                      </c:pt>
                      <c:pt idx="136">
                        <c:v>0.91385907351634588</c:v>
                      </c:pt>
                      <c:pt idx="137">
                        <c:v>0.91393988894251621</c:v>
                      </c:pt>
                      <c:pt idx="138">
                        <c:v>0.91402030099123499</c:v>
                      </c:pt>
                      <c:pt idx="139">
                        <c:v>0.91410031213933918</c:v>
                      </c:pt>
                      <c:pt idx="140">
                        <c:v>0.91417992485412802</c:v>
                      </c:pt>
                      <c:pt idx="141">
                        <c:v>0.91425914159308297</c:v>
                      </c:pt>
                      <c:pt idx="142">
                        <c:v>0.91433796480360829</c:v>
                      </c:pt>
                      <c:pt idx="143">
                        <c:v>0.91441639692277987</c:v>
                      </c:pt>
                      <c:pt idx="144">
                        <c:v>0.91449444037711392</c:v>
                      </c:pt>
                      <c:pt idx="145">
                        <c:v>0.9145720975823447</c:v>
                      </c:pt>
                      <c:pt idx="146">
                        <c:v>0.91464937094321852</c:v>
                      </c:pt>
                      <c:pt idx="147">
                        <c:v>0.91472626285329639</c:v>
                      </c:pt>
                      <c:pt idx="148">
                        <c:v>0.91480277569477508</c:v>
                      </c:pt>
                      <c:pt idx="149">
                        <c:v>0.91487891183830972</c:v>
                      </c:pt>
                      <c:pt idx="150">
                        <c:v>0.91495467364285721</c:v>
                      </c:pt>
                      <c:pt idx="151">
                        <c:v>0.91503006345552462</c:v>
                      </c:pt>
                      <c:pt idx="152">
                        <c:v>0.91510508361142839</c:v>
                      </c:pt>
                      <c:pt idx="153">
                        <c:v>0.91517973643356543</c:v>
                      </c:pt>
                      <c:pt idx="154">
                        <c:v>0.91525402423268942</c:v>
                      </c:pt>
                      <c:pt idx="155">
                        <c:v>0.91532794930720207</c:v>
                      </c:pt>
                      <c:pt idx="156">
                        <c:v>0.91540151394304725</c:v>
                      </c:pt>
                      <c:pt idx="157">
                        <c:v>0.91547472041361577</c:v>
                      </c:pt>
                      <c:pt idx="158">
                        <c:v>0.91554757097965744</c:v>
                      </c:pt>
                      <c:pt idx="159">
                        <c:v>0.91562006788920414</c:v>
                      </c:pt>
                      <c:pt idx="160">
                        <c:v>0.91569221337749451</c:v>
                      </c:pt>
                      <c:pt idx="161">
                        <c:v>0.91576400966690774</c:v>
                      </c:pt>
                      <c:pt idx="162">
                        <c:v>0.9158354589669081</c:v>
                      </c:pt>
                      <c:pt idx="163">
                        <c:v>0.91590656347398802</c:v>
                      </c:pt>
                      <c:pt idx="164">
                        <c:v>0.91597732537162613</c:v>
                      </c:pt>
                      <c:pt idx="165">
                        <c:v>0.91604774683024359</c:v>
                      </c:pt>
                      <c:pt idx="166">
                        <c:v>0.91611783000717062</c:v>
                      </c:pt>
                      <c:pt idx="167">
                        <c:v>0.91618757704661669</c:v>
                      </c:pt>
                      <c:pt idx="168">
                        <c:v>0.91625699007964734</c:v>
                      </c:pt>
                      <c:pt idx="169">
                        <c:v>0.91632607122416176</c:v>
                      </c:pt>
                      <c:pt idx="170">
                        <c:v>0.91639482258488369</c:v>
                      </c:pt>
                      <c:pt idx="171">
                        <c:v>0.9164632462533463</c:v>
                      </c:pt>
                      <c:pt idx="172">
                        <c:v>0.91653134430788941</c:v>
                      </c:pt>
                      <c:pt idx="173">
                        <c:v>0.91659911881365697</c:v>
                      </c:pt>
                      <c:pt idx="174">
                        <c:v>0.9166665718225997</c:v>
                      </c:pt>
                      <c:pt idx="175">
                        <c:v>0.91673370537348242</c:v>
                      </c:pt>
                      <c:pt idx="176">
                        <c:v>0.91680052149189284</c:v>
                      </c:pt>
                      <c:pt idx="177">
                        <c:v>0.91686702219025507</c:v>
                      </c:pt>
                      <c:pt idx="178">
                        <c:v>0.91693320946784784</c:v>
                      </c:pt>
                      <c:pt idx="179">
                        <c:v>0.91699908531082186</c:v>
                      </c:pt>
                      <c:pt idx="180">
                        <c:v>0.91706465169222695</c:v>
                      </c:pt>
                      <c:pt idx="181">
                        <c:v>0.91712991057203241</c:v>
                      </c:pt>
                      <c:pt idx="182">
                        <c:v>0.91719486389716143</c:v>
                      </c:pt>
                      <c:pt idx="183">
                        <c:v>0.91725951360151736</c:v>
                      </c:pt>
                      <c:pt idx="184">
                        <c:v>0.91732386160602186</c:v>
                      </c:pt>
                      <c:pt idx="185">
                        <c:v>0.91738790981864693</c:v>
                      </c:pt>
                      <c:pt idx="186">
                        <c:v>0.91745166013445734</c:v>
                      </c:pt>
                      <c:pt idx="187">
                        <c:v>0.91751511443564815</c:v>
                      </c:pt>
                      <c:pt idx="188">
                        <c:v>0.91757827459158914</c:v>
                      </c:pt>
                      <c:pt idx="189">
                        <c:v>0.9176411424588683</c:v>
                      </c:pt>
                      <c:pt idx="190">
                        <c:v>0.91770371988133947</c:v>
                      </c:pt>
                      <c:pt idx="191">
                        <c:v>0.91776600869017055</c:v>
                      </c:pt>
                      <c:pt idx="192">
                        <c:v>0.91782801070389086</c:v>
                      </c:pt>
                      <c:pt idx="193">
                        <c:v>0.91788972772844757</c:v>
                      </c:pt>
                      <c:pt idx="194">
                        <c:v>0.9179511615572532</c:v>
                      </c:pt>
                      <c:pt idx="195">
                        <c:v>0.91801231397124439</c:v>
                      </c:pt>
                      <c:pt idx="196">
                        <c:v>0.91807318673893579</c:v>
                      </c:pt>
                      <c:pt idx="197">
                        <c:v>0.91813378161647596</c:v>
                      </c:pt>
                      <c:pt idx="198">
                        <c:v>0.9181941003477091</c:v>
                      </c:pt>
                      <c:pt idx="199">
                        <c:v>0.9182541446642305</c:v>
                      </c:pt>
                      <c:pt idx="200">
                        <c:v>0.91831391628544901</c:v>
                      </c:pt>
                    </c:numCache>
                  </c:numRef>
                </c:val>
                <c:smooth val="0"/>
                <c:extLst xmlns:c15="http://schemas.microsoft.com/office/drawing/2012/chart">
                  <c:ext xmlns:c16="http://schemas.microsoft.com/office/drawing/2014/chart" uri="{C3380CC4-5D6E-409C-BE32-E72D297353CC}">
                    <c16:uniqueId val="{00000009-50A6-46D4-AEF8-03ADE34CD569}"/>
                  </c:ext>
                </c:extLst>
              </c15:ser>
            </c15:filteredLineSeries>
            <c15:filteredLineSeries>
              <c15:ser>
                <c:idx val="4"/>
                <c:order val="10"/>
                <c:tx>
                  <c:strRef>
                    <c:extLst xmlns:c15="http://schemas.microsoft.com/office/drawing/2012/chart">
                      <c:ext xmlns:c15="http://schemas.microsoft.com/office/drawing/2012/chart" uri="{02D57815-91ED-43cb-92C2-25804820EDAC}">
                        <c15:formulaRef>
                          <c15:sqref>'Efficiency vs VIN Calculations'!$Y$8</c15:sqref>
                        </c15:formulaRef>
                      </c:ext>
                    </c:extLst>
                    <c:strCache>
                      <c:ptCount val="1"/>
                      <c:pt idx="0">
                        <c:v>Core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Calculations'!$Y$9:$Y$209</c15:sqref>
                        </c15:formulaRef>
                      </c:ext>
                    </c:extLst>
                    <c:numCache>
                      <c:formatCode>0.000</c:formatCode>
                      <c:ptCount val="201"/>
                      <c:pt idx="0">
                        <c:v>0.26799715872171348</c:v>
                      </c:pt>
                      <c:pt idx="1">
                        <c:v>0.27975121583219742</c:v>
                      </c:pt>
                      <c:pt idx="2">
                        <c:v>0.29162367340451267</c:v>
                      </c:pt>
                      <c:pt idx="3">
                        <c:v>0.3036078799742758</c:v>
                      </c:pt>
                      <c:pt idx="4">
                        <c:v>0.31569742101438547</c:v>
                      </c:pt>
                      <c:pt idx="5">
                        <c:v>0.32788611206096679</c:v>
                      </c:pt>
                      <c:pt idx="6">
                        <c:v>0.34016799186917956</c:v>
                      </c:pt>
                      <c:pt idx="7">
                        <c:v>0.35253731562590362</c:v>
                      </c:pt>
                      <c:pt idx="8">
                        <c:v>0.36498854824165494</c:v>
                      </c:pt>
                      <c:pt idx="9">
                        <c:v>0.377516357740108</c:v>
                      </c:pt>
                      <c:pt idx="10">
                        <c:v>0.39011560876017426</c:v>
                      </c:pt>
                      <c:pt idx="11">
                        <c:v>0.40278135618269306</c:v>
                      </c:pt>
                      <c:pt idx="12">
                        <c:v>0.41550883889127527</c:v>
                      </c:pt>
                      <c:pt idx="13">
                        <c:v>0.42829347367472315</c:v>
                      </c:pt>
                      <c:pt idx="14">
                        <c:v>0.44113084927661728</c:v>
                      </c:pt>
                      <c:pt idx="15">
                        <c:v>0.45401672059610781</c:v>
                      </c:pt>
                      <c:pt idx="16">
                        <c:v>0.46694700304263459</c:v>
                      </c:pt>
                      <c:pt idx="17">
                        <c:v>0.47991776704614708</c:v>
                      </c:pt>
                      <c:pt idx="18">
                        <c:v>0.49292523272347771</c:v>
                      </c:pt>
                      <c:pt idx="19">
                        <c:v>0.50596576470067733</c:v>
                      </c:pt>
                      <c:pt idx="20">
                        <c:v>0.51903586709046623</c:v>
                      </c:pt>
                      <c:pt idx="21">
                        <c:v>0.53213217862338946</c:v>
                      </c:pt>
                      <c:pt idx="22">
                        <c:v>0.54525146793074053</c:v>
                      </c:pt>
                      <c:pt idx="23">
                        <c:v>0.55839062897701663</c:v>
                      </c:pt>
                      <c:pt idx="24">
                        <c:v>0.57154667663924841</c:v>
                      </c:pt>
                      <c:pt idx="25">
                        <c:v>0.5847167424303612</c:v>
                      </c:pt>
                      <c:pt idx="26">
                        <c:v>0.59789807036348053</c:v>
                      </c:pt>
                      <c:pt idx="27">
                        <c:v>0.61108801295394122</c:v>
                      </c:pt>
                      <c:pt idx="28">
                        <c:v>0.62428402735565114</c:v>
                      </c:pt>
                      <c:pt idx="29">
                        <c:v>0.63748367162834119</c:v>
                      </c:pt>
                      <c:pt idx="30">
                        <c:v>0.65068460113222704</c:v>
                      </c:pt>
                      <c:pt idx="31">
                        <c:v>0.66388456504649618</c:v>
                      </c:pt>
                      <c:pt idx="32">
                        <c:v>0.67708140300810482</c:v>
                      </c:pt>
                      <c:pt idx="33">
                        <c:v>0.69027304186731098</c:v>
                      </c:pt>
                      <c:pt idx="34">
                        <c:v>0.70345749255641965</c:v>
                      </c:pt>
                      <c:pt idx="35">
                        <c:v>0.71663284706823749</c:v>
                      </c:pt>
                      <c:pt idx="36">
                        <c:v>0.72979727554078666</c:v>
                      </c:pt>
                      <c:pt idx="37">
                        <c:v>0.74294902344486846</c:v>
                      </c:pt>
                      <c:pt idx="38">
                        <c:v>0.75608640887113621</c:v>
                      </c:pt>
                      <c:pt idx="39">
                        <c:v>0.76920781991339493</c:v>
                      </c:pt>
                      <c:pt idx="40">
                        <c:v>0.78231171214492201</c:v>
                      </c:pt>
                      <c:pt idx="41">
                        <c:v>0.79539660618467223</c:v>
                      </c:pt>
                      <c:pt idx="42">
                        <c:v>0.80846108535031147</c:v>
                      </c:pt>
                      <c:pt idx="43">
                        <c:v>0.82150379339508517</c:v>
                      </c:pt>
                      <c:pt idx="44">
                        <c:v>0.83452343232565696</c:v>
                      </c:pt>
                      <c:pt idx="45">
                        <c:v>0.84751876029804463</c:v>
                      </c:pt>
                      <c:pt idx="46">
                        <c:v>0.86048858958897401</c:v>
                      </c:pt>
                      <c:pt idx="47">
                        <c:v>0.87343178463995752</c:v>
                      </c:pt>
                      <c:pt idx="48">
                        <c:v>0.88634726017152954</c:v>
                      </c:pt>
                      <c:pt idx="49">
                        <c:v>0.89923397936515903</c:v>
                      </c:pt>
                      <c:pt idx="50">
                        <c:v>0.91209095211039881</c:v>
                      </c:pt>
                      <c:pt idx="51">
                        <c:v>0.92491723331496545</c:v>
                      </c:pt>
                      <c:pt idx="52">
                        <c:v>0.9377119212754581</c:v>
                      </c:pt>
                      <c:pt idx="53">
                        <c:v>0.9504741561065615</c:v>
                      </c:pt>
                      <c:pt idx="54">
                        <c:v>0.96320311822659066</c:v>
                      </c:pt>
                      <c:pt idx="55">
                        <c:v>0.97589802689736338</c:v>
                      </c:pt>
                      <c:pt idx="56">
                        <c:v>0.98855813881642973</c:v>
                      </c:pt>
                      <c:pt idx="57">
                        <c:v>1.0011827467597332</c:v>
                      </c:pt>
                      <c:pt idx="58">
                        <c:v>1.0137711782729055</c:v>
                      </c:pt>
                      <c:pt idx="59">
                        <c:v>1.0263227944094</c:v>
                      </c:pt>
                      <c:pt idx="60">
                        <c:v>1.0388369885137649</c:v>
                      </c:pt>
                      <c:pt idx="61">
                        <c:v>1.0513131850484214</c:v>
                      </c:pt>
                      <c:pt idx="62">
                        <c:v>1.063750838462346</c:v>
                      </c:pt>
                      <c:pt idx="63">
                        <c:v>1.0761494321001326</c:v>
                      </c:pt>
                      <c:pt idx="64">
                        <c:v>1.0885084771499767</c:v>
                      </c:pt>
                      <c:pt idx="65">
                        <c:v>1.1008275116291375</c:v>
                      </c:pt>
                      <c:pt idx="66">
                        <c:v>1.1131060994055222</c:v>
                      </c:pt>
                      <c:pt idx="67">
                        <c:v>1.1253438292540945</c:v>
                      </c:pt>
                      <c:pt idx="68">
                        <c:v>1.1375403139467981</c:v>
                      </c:pt>
                      <c:pt idx="69">
                        <c:v>1.1496951893747975</c:v>
                      </c:pt>
                      <c:pt idx="70">
                        <c:v>1.1618081137018799</c:v>
                      </c:pt>
                      <c:pt idx="71">
                        <c:v>1.1738787665478341</c:v>
                      </c:pt>
                      <c:pt idx="72">
                        <c:v>1.1859068482007642</c:v>
                      </c:pt>
                      <c:pt idx="73">
                        <c:v>1.1978920788572409</c:v>
                      </c:pt>
                      <c:pt idx="74">
                        <c:v>1.2098341978893403</c:v>
                      </c:pt>
                      <c:pt idx="75">
                        <c:v>1.2217329631375229</c:v>
                      </c:pt>
                      <c:pt idx="76">
                        <c:v>1.2335881502284738</c:v>
                      </c:pt>
                      <c:pt idx="77">
                        <c:v>1.2453995519169752</c:v>
                      </c:pt>
                      <c:pt idx="78">
                        <c:v>1.2571669774509338</c:v>
                      </c:pt>
                      <c:pt idx="79">
                        <c:v>1.2688902519587593</c:v>
                      </c:pt>
                      <c:pt idx="80">
                        <c:v>1.2805692158582445</c:v>
                      </c:pt>
                      <c:pt idx="81">
                        <c:v>1.2922037242862072</c:v>
                      </c:pt>
                      <c:pt idx="82">
                        <c:v>1.3037936465481208</c:v>
                      </c:pt>
                      <c:pt idx="83">
                        <c:v>1.3153388655870493</c:v>
                      </c:pt>
                      <c:pt idx="84">
                        <c:v>1.3268392774711459</c:v>
                      </c:pt>
                      <c:pt idx="85">
                        <c:v>1.338294790899089</c:v>
                      </c:pt>
                      <c:pt idx="86">
                        <c:v>1.3497053267227892</c:v>
                      </c:pt>
                      <c:pt idx="87">
                        <c:v>1.3610708174867785</c:v>
                      </c:pt>
                      <c:pt idx="88">
                        <c:v>1.3723912069836433</c:v>
                      </c:pt>
                      <c:pt idx="89">
                        <c:v>1.3836664498249645</c:v>
                      </c:pt>
                      <c:pt idx="90">
                        <c:v>1.3948965110272082</c:v>
                      </c:pt>
                      <c:pt idx="91">
                        <c:v>1.406081365612009</c:v>
                      </c:pt>
                      <c:pt idx="92">
                        <c:v>1.4172209982203678</c:v>
                      </c:pt>
                      <c:pt idx="93">
                        <c:v>1.4283154027402558</c:v>
                      </c:pt>
                      <c:pt idx="94">
                        <c:v>1.4393645819471474</c:v>
                      </c:pt>
                      <c:pt idx="95">
                        <c:v>1.4503685471570169</c:v>
                      </c:pt>
                      <c:pt idx="96">
                        <c:v>1.4613273178914032</c:v>
                      </c:pt>
                      <c:pt idx="97">
                        <c:v>1.4722409215540488</c:v>
                      </c:pt>
                      <c:pt idx="98">
                        <c:v>1.4831093931187649</c:v>
                      </c:pt>
                      <c:pt idx="99">
                        <c:v>1.4939327748280891</c:v>
                      </c:pt>
                      <c:pt idx="100">
                        <c:v>1.5047111159023929</c:v>
                      </c:pt>
                      <c:pt idx="101">
                        <c:v>1.5154444722590306</c:v>
                      </c:pt>
                      <c:pt idx="102">
                        <c:v>1.5261329062412188</c:v>
                      </c:pt>
                      <c:pt idx="103">
                        <c:v>1.5367764863562781</c:v>
                      </c:pt>
                      <c:pt idx="104">
                        <c:v>1.5473752870229227</c:v>
                      </c:pt>
                      <c:pt idx="105">
                        <c:v>1.5579293883272816</c:v>
                      </c:pt>
                      <c:pt idx="106">
                        <c:v>1.5684388757873593</c:v>
                      </c:pt>
                      <c:pt idx="107">
                        <c:v>1.5789038401256104</c:v>
                      </c:pt>
                      <c:pt idx="108">
                        <c:v>1.5893243770493826</c:v>
                      </c:pt>
                      <c:pt idx="109">
                        <c:v>1.5997005870389305</c:v>
                      </c:pt>
                      <c:pt idx="110">
                        <c:v>1.6100325751427651</c:v>
                      </c:pt>
                      <c:pt idx="111">
                        <c:v>1.6203204507800486</c:v>
                      </c:pt>
                      <c:pt idx="112">
                        <c:v>1.6305643275498383</c:v>
                      </c:pt>
                      <c:pt idx="113">
                        <c:v>1.6407643230468827</c:v>
                      </c:pt>
                      <c:pt idx="114">
                        <c:v>1.6509205586838285</c:v>
                      </c:pt>
                      <c:pt idx="115">
                        <c:v>1.6610331595195171</c:v>
                      </c:pt>
                      <c:pt idx="116">
                        <c:v>1.6711022540932623</c:v>
                      </c:pt>
                      <c:pt idx="117">
                        <c:v>1.6811279742648246</c:v>
                      </c:pt>
                      <c:pt idx="118">
                        <c:v>1.6911104550599416</c:v>
                      </c:pt>
                      <c:pt idx="119">
                        <c:v>1.7010498345211906</c:v>
                      </c:pt>
                      <c:pt idx="120">
                        <c:v>1.7109462535640192</c:v>
                      </c:pt>
                      <c:pt idx="121">
                        <c:v>1.7207998558377715</c:v>
                      </c:pt>
                      <c:pt idx="122">
                        <c:v>1.7306107875915167</c:v>
                      </c:pt>
                      <c:pt idx="123">
                        <c:v>1.7403791975445417</c:v>
                      </c:pt>
                      <c:pt idx="124">
                        <c:v>1.7501052367613519</c:v>
                      </c:pt>
                      <c:pt idx="125">
                        <c:v>1.7597890585309821</c:v>
                      </c:pt>
                      <c:pt idx="126">
                        <c:v>1.7694308182505534</c:v>
                      </c:pt>
                      <c:pt idx="127">
                        <c:v>1.7790306733128414</c:v>
                      </c:pt>
                      <c:pt idx="128">
                        <c:v>1.7885887829978027</c:v>
                      </c:pt>
                      <c:pt idx="129">
                        <c:v>1.7981053083678384</c:v>
                      </c:pt>
                      <c:pt idx="130">
                        <c:v>1.807580412166784</c:v>
                      </c:pt>
                      <c:pt idx="131">
                        <c:v>1.8170142587223681</c:v>
                      </c:pt>
                      <c:pt idx="132">
                        <c:v>1.8264070138521469</c:v>
                      </c:pt>
                      <c:pt idx="133">
                        <c:v>1.8357588447726958</c:v>
                      </c:pt>
                      <c:pt idx="134">
                        <c:v>1.8450699200120226</c:v>
                      </c:pt>
                      <c:pt idx="135">
                        <c:v>1.8543404093250533</c:v>
                      </c:pt>
                      <c:pt idx="136">
                        <c:v>1.8635704836121214</c:v>
                      </c:pt>
                      <c:pt idx="137">
                        <c:v>1.8727603148402887</c:v>
                      </c:pt>
                      <c:pt idx="138">
                        <c:v>1.8819100759675256</c:v>
                      </c:pt>
                      <c:pt idx="139">
                        <c:v>1.8910199408695274</c:v>
                      </c:pt>
                      <c:pt idx="140">
                        <c:v>1.9000900842691455</c:v>
                      </c:pt>
                      <c:pt idx="141">
                        <c:v>1.9091206816683641</c:v>
                      </c:pt>
                      <c:pt idx="142">
                        <c:v>1.9181119092826875</c:v>
                      </c:pt>
                      <c:pt idx="143">
                        <c:v>1.9270639439778665</c:v>
                      </c:pt>
                      <c:pt idx="144">
                        <c:v>1.935976963208939</c:v>
                      </c:pt>
                      <c:pt idx="145">
                        <c:v>1.9448511449614361</c:v>
                      </c:pt>
                      <c:pt idx="146">
                        <c:v>1.9536866676947284</c:v>
                      </c:pt>
                      <c:pt idx="147">
                        <c:v>1.9624837102874186</c:v>
                      </c:pt>
                      <c:pt idx="148">
                        <c:v>1.9712424519847418</c:v>
                      </c:pt>
                      <c:pt idx="149">
                        <c:v>1.9799630723478683</c:v>
                      </c:pt>
                      <c:pt idx="150">
                        <c:v>1.9886457512050664</c:v>
                      </c:pt>
                      <c:pt idx="151">
                        <c:v>1.9972906686046701</c:v>
                      </c:pt>
                      <c:pt idx="152">
                        <c:v>2.0058980047697932</c:v>
                      </c:pt>
                      <c:pt idx="153">
                        <c:v>2.0144679400546828</c:v>
                      </c:pt>
                      <c:pt idx="154">
                        <c:v>2.0230006549027637</c:v>
                      </c:pt>
                      <c:pt idx="155">
                        <c:v>2.0314963298061808</c:v>
                      </c:pt>
                      <c:pt idx="156">
                        <c:v>2.0399551452669282</c:v>
                      </c:pt>
                      <c:pt idx="157">
                        <c:v>2.0483772817593882</c:v>
                      </c:pt>
                      <c:pt idx="158">
                        <c:v>2.0567629196943362</c:v>
                      </c:pt>
                      <c:pt idx="159">
                        <c:v>2.0651122393842938</c:v>
                      </c:pt>
                      <c:pt idx="160">
                        <c:v>2.0734254210102345</c:v>
                      </c:pt>
                      <c:pt idx="161">
                        <c:v>2.0817026445895292</c:v>
                      </c:pt>
                      <c:pt idx="162">
                        <c:v>2.0899440899451922</c:v>
                      </c:pt>
                      <c:pt idx="163">
                        <c:v>2.0981499366762812</c:v>
                      </c:pt>
                      <c:pt idx="164">
                        <c:v>2.1063203641294961</c:v>
                      </c:pt>
                      <c:pt idx="165">
                        <c:v>2.1144555513718681</c:v>
                      </c:pt>
                      <c:pt idx="166">
                        <c:v>2.1225556771645553</c:v>
                      </c:pt>
                      <c:pt idx="167">
                        <c:v>2.1306209199376975</c:v>
                      </c:pt>
                      <c:pt idx="168">
                        <c:v>2.1386514577662528</c:v>
                      </c:pt>
                      <c:pt idx="169">
                        <c:v>2.1466474683468624</c:v>
                      </c:pt>
                      <c:pt idx="170">
                        <c:v>2.1546091289756295</c:v>
                      </c:pt>
                      <c:pt idx="171">
                        <c:v>2.1625366165268334</c:v>
                      </c:pt>
                      <c:pt idx="172">
                        <c:v>2.170430107432531</c:v>
                      </c:pt>
                      <c:pt idx="173">
                        <c:v>2.1782897776630139</c:v>
                      </c:pt>
                      <c:pt idx="174">
                        <c:v>2.1861158027081062</c:v>
                      </c:pt>
                      <c:pt idx="175">
                        <c:v>2.1939083575592488</c:v>
                      </c:pt>
                      <c:pt idx="176">
                        <c:v>2.2016676166923763</c:v>
                      </c:pt>
                      <c:pt idx="177">
                        <c:v>2.2093937540515354</c:v>
                      </c:pt>
                      <c:pt idx="178">
                        <c:v>2.2170869430332401</c:v>
                      </c:pt>
                      <c:pt idx="179">
                        <c:v>2.224747356471525</c:v>
                      </c:pt>
                      <c:pt idx="180">
                        <c:v>2.2323751666236595</c:v>
                      </c:pt>
                      <c:pt idx="181">
                        <c:v>2.2399705451565497</c:v>
                      </c:pt>
                      <c:pt idx="182">
                        <c:v>2.2475336631337632</c:v>
                      </c:pt>
                      <c:pt idx="183">
                        <c:v>2.2550646910031511</c:v>
                      </c:pt>
                      <c:pt idx="184">
                        <c:v>2.2625637985850808</c:v>
                      </c:pt>
                      <c:pt idx="185">
                        <c:v>2.2700311550612415</c:v>
                      </c:pt>
                      <c:pt idx="186">
                        <c:v>2.277466928964003</c:v>
                      </c:pt>
                      <c:pt idx="187">
                        <c:v>2.284871288166304</c:v>
                      </c:pt>
                      <c:pt idx="188">
                        <c:v>2.2922443998720481</c:v>
                      </c:pt>
                      <c:pt idx="189">
                        <c:v>2.2995864306070457</c:v>
                      </c:pt>
                      <c:pt idx="190">
                        <c:v>2.3068975462103771</c:v>
                      </c:pt>
                      <c:pt idx="191">
                        <c:v>2.3141779118262691</c:v>
                      </c:pt>
                      <c:pt idx="192">
                        <c:v>2.3214276918964045</c:v>
                      </c:pt>
                      <c:pt idx="193">
                        <c:v>2.328647050152679</c:v>
                      </c:pt>
                      <c:pt idx="194">
                        <c:v>2.3358361496103468</c:v>
                      </c:pt>
                      <c:pt idx="195">
                        <c:v>2.3429951525616373</c:v>
                      </c:pt>
                      <c:pt idx="196">
                        <c:v>2.3501242205697004</c:v>
                      </c:pt>
                      <c:pt idx="197">
                        <c:v>2.357223514462957</c:v>
                      </c:pt>
                      <c:pt idx="198">
                        <c:v>2.3642931943298415</c:v>
                      </c:pt>
                      <c:pt idx="199">
                        <c:v>2.3713334195138445</c:v>
                      </c:pt>
                      <c:pt idx="200">
                        <c:v>2.3783443486089562</c:v>
                      </c:pt>
                    </c:numCache>
                  </c:numRef>
                </c:val>
                <c:smooth val="0"/>
                <c:extLst xmlns:c15="http://schemas.microsoft.com/office/drawing/2012/chart">
                  <c:ext xmlns:c16="http://schemas.microsoft.com/office/drawing/2014/chart" uri="{C3380CC4-5D6E-409C-BE32-E72D297353CC}">
                    <c16:uniqueId val="{0000000A-50A6-46D4-AEF8-03ADE34CD569}"/>
                  </c:ext>
                </c:extLst>
              </c15:ser>
            </c15:filteredLineSeries>
            <c15:filteredLineSeries>
              <c15:ser>
                <c:idx val="3"/>
                <c:order val="11"/>
                <c:tx>
                  <c:v>Inductor Loss</c:v>
                </c:tx>
                <c:spPr>
                  <a:ln w="38100">
                    <a:solidFill>
                      <a:srgbClr val="800080"/>
                    </a:solidFill>
                    <a:prstDash val="dash"/>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Calculations'!$BP$9:$BP$209</c15:sqref>
                        </c15:formulaRef>
                      </c:ext>
                    </c:extLst>
                    <c:numCache>
                      <c:formatCode>0.000</c:formatCode>
                      <c:ptCount val="201"/>
                      <c:pt idx="0">
                        <c:v>1.1664963483138355</c:v>
                      </c:pt>
                      <c:pt idx="1">
                        <c:v>1.1783832701555945</c:v>
                      </c:pt>
                      <c:pt idx="2">
                        <c:v>1.1903891876899488</c:v>
                      </c:pt>
                      <c:pt idx="3">
                        <c:v>1.2025073878656187</c:v>
                      </c:pt>
                      <c:pt idx="4">
                        <c:v>1.2147313975756808</c:v>
                      </c:pt>
                      <c:pt idx="5">
                        <c:v>1.2270549766372592</c:v>
                      </c:pt>
                      <c:pt idx="6">
                        <c:v>1.2394721108087612</c:v>
                      </c:pt>
                      <c:pt idx="7">
                        <c:v>1.2519770048712224</c:v>
                      </c:pt>
                      <c:pt idx="8">
                        <c:v>1.2645640757957135</c:v>
                      </c:pt>
                      <c:pt idx="9">
                        <c:v>1.2772279460147808</c:v>
                      </c:pt>
                      <c:pt idx="10">
                        <c:v>1.2899634368125192</c:v>
                      </c:pt>
                      <c:pt idx="11">
                        <c:v>1.3027655618449869</c:v>
                      </c:pt>
                      <c:pt idx="12">
                        <c:v>1.3156295208001829</c:v>
                      </c:pt>
                      <c:pt idx="13">
                        <c:v>1.3285506932047102</c:v>
                      </c:pt>
                      <c:pt idx="14">
                        <c:v>1.3415246323824344</c:v>
                      </c:pt>
                      <c:pt idx="15">
                        <c:v>1.3545470595689051</c:v>
                      </c:pt>
                      <c:pt idx="16">
                        <c:v>1.3676138581840214</c:v>
                      </c:pt>
                      <c:pt idx="17">
                        <c:v>1.3807210682642745</c:v>
                      </c:pt>
                      <c:pt idx="18">
                        <c:v>1.3938648810549974</c:v>
                      </c:pt>
                      <c:pt idx="19">
                        <c:v>1.4070416337622322</c:v>
                      </c:pt>
                      <c:pt idx="20">
                        <c:v>1.4202478044631612</c:v>
                      </c:pt>
                      <c:pt idx="21">
                        <c:v>1.4334800071735168</c:v>
                      </c:pt>
                      <c:pt idx="22">
                        <c:v>1.4467349870698509</c:v>
                      </c:pt>
                      <c:pt idx="23">
                        <c:v>1.4600096158642786</c:v>
                      </c:pt>
                      <c:pt idx="24">
                        <c:v>1.4733008873288647</c:v>
                      </c:pt>
                      <c:pt idx="25">
                        <c:v>1.4866059129666853</c:v>
                      </c:pt>
                      <c:pt idx="26">
                        <c:v>1.4999219178263286</c:v>
                      </c:pt>
                      <c:pt idx="27">
                        <c:v>1.5132462364564618</c:v>
                      </c:pt>
                      <c:pt idx="28">
                        <c:v>1.5265763089970132</c:v>
                      </c:pt>
                      <c:pt idx="29">
                        <c:v>1.5399096774033554</c:v>
                      </c:pt>
                      <c:pt idx="30">
                        <c:v>1.5532439817999366</c:v>
                      </c:pt>
                      <c:pt idx="31">
                        <c:v>1.5665769569596513</c:v>
                      </c:pt>
                      <c:pt idx="32">
                        <c:v>1.5799064289053455</c:v>
                      </c:pt>
                      <c:pt idx="33">
                        <c:v>1.5932303116297901</c:v>
                      </c:pt>
                      <c:pt idx="34">
                        <c:v>1.6065466039305125</c:v>
                      </c:pt>
                      <c:pt idx="35">
                        <c:v>1.6198533863558988</c:v>
                      </c:pt>
                      <c:pt idx="36">
                        <c:v>1.6331488182590457</c:v>
                      </c:pt>
                      <c:pt idx="37">
                        <c:v>1.6464311349558671</c:v>
                      </c:pt>
                      <c:pt idx="38">
                        <c:v>1.6596986449840616</c:v>
                      </c:pt>
                      <c:pt idx="39">
                        <c:v>1.6729497274595779</c:v>
                      </c:pt>
                      <c:pt idx="40">
                        <c:v>1.6861828295273189</c:v>
                      </c:pt>
                      <c:pt idx="41">
                        <c:v>1.6993964639028876</c:v>
                      </c:pt>
                      <c:pt idx="42">
                        <c:v>1.7125892065022597</c:v>
                      </c:pt>
                      <c:pt idx="43">
                        <c:v>1.7257596941563396</c:v>
                      </c:pt>
                      <c:pt idx="44">
                        <c:v>1.7389066224074852</c:v>
                      </c:pt>
                      <c:pt idx="45">
                        <c:v>1.7520287433850754</c:v>
                      </c:pt>
                      <c:pt idx="46">
                        <c:v>1.7651248637574086</c:v>
                      </c:pt>
                      <c:pt idx="47">
                        <c:v>1.778193842757178</c:v>
                      </c:pt>
                      <c:pt idx="48">
                        <c:v>1.7912345902779312</c:v>
                      </c:pt>
                      <c:pt idx="49">
                        <c:v>1.8042460650389902</c:v>
                      </c:pt>
                      <c:pt idx="50">
                        <c:v>1.8172272728163485</c:v>
                      </c:pt>
                      <c:pt idx="51">
                        <c:v>1.8301772647372176</c:v>
                      </c:pt>
                      <c:pt idx="52">
                        <c:v>1.8430951356358847</c:v>
                      </c:pt>
                      <c:pt idx="53">
                        <c:v>1.855980022468706</c:v>
                      </c:pt>
                      <c:pt idx="54">
                        <c:v>1.8688311027860562</c:v>
                      </c:pt>
                      <c:pt idx="55">
                        <c:v>1.8816475932591961</c:v>
                      </c:pt>
                      <c:pt idx="56">
                        <c:v>1.894428748260059</c:v>
                      </c:pt>
                      <c:pt idx="57">
                        <c:v>1.9071738584920055</c:v>
                      </c:pt>
                      <c:pt idx="58">
                        <c:v>1.919882249669723</c:v>
                      </c:pt>
                      <c:pt idx="59">
                        <c:v>1.932553281246455</c:v>
                      </c:pt>
                      <c:pt idx="60">
                        <c:v>1.9451863451868334</c:v>
                      </c:pt>
                      <c:pt idx="61">
                        <c:v>1.9577808647836685</c:v>
                      </c:pt>
                      <c:pt idx="62">
                        <c:v>1.9703362935170581</c:v>
                      </c:pt>
                      <c:pt idx="63">
                        <c:v>1.9828521139542974</c:v>
                      </c:pt>
                      <c:pt idx="64">
                        <c:v>1.9953278366890872</c:v>
                      </c:pt>
                      <c:pt idx="65">
                        <c:v>2.0077629993186012</c:v>
                      </c:pt>
                      <c:pt idx="66">
                        <c:v>2.0201571654570234</c:v>
                      </c:pt>
                      <c:pt idx="67">
                        <c:v>2.0325099237842568</c:v>
                      </c:pt>
                      <c:pt idx="68">
                        <c:v>2.0448208871284654</c:v>
                      </c:pt>
                      <c:pt idx="69">
                        <c:v>2.0570896915812473</c:v>
                      </c:pt>
                      <c:pt idx="70">
                        <c:v>2.0693159956442653</c:v>
                      </c:pt>
                      <c:pt idx="71">
                        <c:v>2.0814994794061419</c:v>
                      </c:pt>
                      <c:pt idx="72">
                        <c:v>2.0936398437485524</c:v>
                      </c:pt>
                      <c:pt idx="73">
                        <c:v>2.1057368095804256</c:v>
                      </c:pt>
                      <c:pt idx="74">
                        <c:v>2.1177901170992759</c:v>
                      </c:pt>
                      <c:pt idx="75">
                        <c:v>2.1297995250786137</c:v>
                      </c:pt>
                      <c:pt idx="76">
                        <c:v>2.1417648101805451</c:v>
                      </c:pt>
                      <c:pt idx="77">
                        <c:v>2.1536857662926252</c:v>
                      </c:pt>
                      <c:pt idx="78">
                        <c:v>2.1655622038880722</c:v>
                      </c:pt>
                      <c:pt idx="79">
                        <c:v>2.1773939494085326</c:v>
                      </c:pt>
                      <c:pt idx="80">
                        <c:v>2.1891808446685435</c:v>
                      </c:pt>
                      <c:pt idx="81">
                        <c:v>2.2009227462809351</c:v>
                      </c:pt>
                      <c:pt idx="82">
                        <c:v>2.2126195251023999</c:v>
                      </c:pt>
                      <c:pt idx="83">
                        <c:v>2.2242710656985385</c:v>
                      </c:pt>
                      <c:pt idx="84">
                        <c:v>2.2358772658276242</c:v>
                      </c:pt>
                      <c:pt idx="85">
                        <c:v>2.2474380359424622</c:v>
                      </c:pt>
                      <c:pt idx="86">
                        <c:v>2.2589532987096708</c:v>
                      </c:pt>
                      <c:pt idx="87">
                        <c:v>2.2704229885457834</c:v>
                      </c:pt>
                      <c:pt idx="88">
                        <c:v>2.2818470511695303</c:v>
                      </c:pt>
                      <c:pt idx="89">
                        <c:v>2.2932254431697614</c:v>
                      </c:pt>
                      <c:pt idx="90">
                        <c:v>2.3045581315884411</c:v>
                      </c:pt>
                      <c:pt idx="91">
                        <c:v>2.315845093518158</c:v>
                      </c:pt>
                      <c:pt idx="92">
                        <c:v>2.3270863157136645</c:v>
                      </c:pt>
                      <c:pt idx="93">
                        <c:v>2.3382817942169294</c:v>
                      </c:pt>
                      <c:pt idx="94">
                        <c:v>2.3494315339952312</c:v>
                      </c:pt>
                      <c:pt idx="95">
                        <c:v>2.3605355485918111</c:v>
                      </c:pt>
                      <c:pt idx="96">
                        <c:v>2.371593859788693</c:v>
                      </c:pt>
                      <c:pt idx="97">
                        <c:v>2.3826064972811754</c:v>
                      </c:pt>
                      <c:pt idx="98">
                        <c:v>2.3935734983636308</c:v>
                      </c:pt>
                      <c:pt idx="99">
                        <c:v>2.4044949076261926</c:v>
                      </c:pt>
                      <c:pt idx="100">
                        <c:v>2.4153707766619683</c:v>
                      </c:pt>
                      <c:pt idx="101">
                        <c:v>2.4262011637843726</c:v>
                      </c:pt>
                      <c:pt idx="102">
                        <c:v>2.4369861337542753</c:v>
                      </c:pt>
                      <c:pt idx="103">
                        <c:v>2.4477257575165736</c:v>
                      </c:pt>
                      <c:pt idx="104">
                        <c:v>2.4584201119458911</c:v>
                      </c:pt>
                      <c:pt idx="105">
                        <c:v>2.4690692796010674</c:v>
                      </c:pt>
                      <c:pt idx="106">
                        <c:v>2.4796733484881606</c:v>
                      </c:pt>
                      <c:pt idx="107">
                        <c:v>2.4902324118316193</c:v>
                      </c:pt>
                      <c:pt idx="108">
                        <c:v>2.500746567853386</c:v>
                      </c:pt>
                      <c:pt idx="109">
                        <c:v>2.5112159195596222</c:v>
                      </c:pt>
                      <c:pt idx="110">
                        <c:v>2.5216405745348349</c:v>
                      </c:pt>
                      <c:pt idx="111">
                        <c:v>2.5320206447430897</c:v>
                      </c:pt>
                      <c:pt idx="112">
                        <c:v>2.5423562463361331</c:v>
                      </c:pt>
                      <c:pt idx="113">
                        <c:v>2.5526474994681063</c:v>
                      </c:pt>
                      <c:pt idx="114">
                        <c:v>2.5628945281167259</c:v>
                      </c:pt>
                      <c:pt idx="115">
                        <c:v>2.5730974599105907</c:v>
                      </c:pt>
                      <c:pt idx="116">
                        <c:v>2.5832564259625181</c:v>
                      </c:pt>
                      <c:pt idx="117">
                        <c:v>2.5933715607086176</c:v>
                      </c:pt>
                      <c:pt idx="118">
                        <c:v>2.603443001752956</c:v>
                      </c:pt>
                      <c:pt idx="119">
                        <c:v>2.6134708897176</c:v>
                      </c:pt>
                      <c:pt idx="120">
                        <c:v>2.6234553680978552</c:v>
                      </c:pt>
                      <c:pt idx="121">
                        <c:v>2.6333965831225461</c:v>
                      </c:pt>
                      <c:pt idx="122">
                        <c:v>2.6432946836191182</c:v>
                      </c:pt>
                      <c:pt idx="123">
                        <c:v>2.6531498208834532</c:v>
                      </c:pt>
                      <c:pt idx="124">
                        <c:v>2.6629621485542092</c:v>
                      </c:pt>
                      <c:pt idx="125">
                        <c:v>2.6727318224915084</c:v>
                      </c:pt>
                      <c:pt idx="126">
                        <c:v>2.6824590006599012</c:v>
                      </c:pt>
                      <c:pt idx="127">
                        <c:v>2.6921438430153604</c:v>
                      </c:pt>
                      <c:pt idx="128">
                        <c:v>2.7017865113962718</c:v>
                      </c:pt>
                      <c:pt idx="129">
                        <c:v>2.7113871694181775</c:v>
                      </c:pt>
                      <c:pt idx="130">
                        <c:v>2.7209459823722768</c:v>
                      </c:pt>
                      <c:pt idx="131">
                        <c:v>2.7304631171274143</c:v>
                      </c:pt>
                      <c:pt idx="132">
                        <c:v>2.7399387420355716</c:v>
                      </c:pt>
                      <c:pt idx="133">
                        <c:v>2.7493730268406344</c:v>
                      </c:pt>
                      <c:pt idx="134">
                        <c:v>2.7587661425904031</c:v>
                      </c:pt>
                      <c:pt idx="135">
                        <c:v>2.7681182615516926</c:v>
                      </c:pt>
                      <c:pt idx="136">
                        <c:v>2.7774295571284675</c:v>
                      </c:pt>
                      <c:pt idx="137">
                        <c:v>2.786700203782805</c:v>
                      </c:pt>
                      <c:pt idx="138">
                        <c:v>2.7959303769587605</c:v>
                      </c:pt>
                      <c:pt idx="139">
                        <c:v>2.8051202530088668</c:v>
                      </c:pt>
                      <c:pt idx="140">
                        <c:v>2.8142700091232733</c:v>
                      </c:pt>
                      <c:pt idx="141">
                        <c:v>2.8233798232614471</c:v>
                      </c:pt>
                      <c:pt idx="142">
                        <c:v>2.8324498740862958</c:v>
                      </c:pt>
                      <c:pt idx="143">
                        <c:v>2.8414803409006462</c:v>
                      </c:pt>
                      <c:pt idx="144">
                        <c:v>2.8504714035860528</c:v>
                      </c:pt>
                      <c:pt idx="145">
                        <c:v>2.8594232425437807</c:v>
                      </c:pt>
                      <c:pt idx="146">
                        <c:v>2.8683360386379468</c:v>
                      </c:pt>
                      <c:pt idx="147">
                        <c:v>2.8772099731407152</c:v>
                      </c:pt>
                      <c:pt idx="148">
                        <c:v>2.8860452276795168</c:v>
                      </c:pt>
                      <c:pt idx="149">
                        <c:v>2.8948419841861779</c:v>
                      </c:pt>
                      <c:pt idx="150">
                        <c:v>2.9036004248479235</c:v>
                      </c:pt>
                      <c:pt idx="151">
                        <c:v>2.9123207320601949</c:v>
                      </c:pt>
                      <c:pt idx="152">
                        <c:v>2.9210030883812217</c:v>
                      </c:pt>
                      <c:pt idx="153">
                        <c:v>2.9296476764882482</c:v>
                      </c:pt>
                      <c:pt idx="154">
                        <c:v>2.9382546791354534</c:v>
                      </c:pt>
                      <c:pt idx="155">
                        <c:v>2.946824279113383</c:v>
                      </c:pt>
                      <c:pt idx="156">
                        <c:v>2.9553566592099756</c:v>
                      </c:pt>
                      <c:pt idx="157">
                        <c:v>2.9638520021730042</c:v>
                      </c:pt>
                      <c:pt idx="158">
                        <c:v>2.9723104906739937</c:v>
                      </c:pt>
                      <c:pt idx="159">
                        <c:v>2.9807323072734979</c:v>
                      </c:pt>
                      <c:pt idx="160">
                        <c:v>2.9891176343877293</c:v>
                      </c:pt>
                      <c:pt idx="161">
                        <c:v>2.9974666542564368</c:v>
                      </c:pt>
                      <c:pt idx="162">
                        <c:v>3.0057795489121002</c:v>
                      </c:pt>
                      <c:pt idx="163">
                        <c:v>3.0140565001502693</c:v>
                      </c:pt>
                      <c:pt idx="164">
                        <c:v>3.022297689501122</c:v>
                      </c:pt>
                      <c:pt idx="165">
                        <c:v>3.0305032982021118</c:v>
                      </c:pt>
                      <c:pt idx="166">
                        <c:v>3.0386735071717261</c:v>
                      </c:pt>
                      <c:pt idx="167">
                        <c:v>3.0468084969843141</c:v>
                      </c:pt>
                      <c:pt idx="168">
                        <c:v>3.0549084478459001</c:v>
                      </c:pt>
                      <c:pt idx="169">
                        <c:v>3.0629735395710243</c:v>
                      </c:pt>
                      <c:pt idx="170">
                        <c:v>3.0710039515605132</c:v>
                      </c:pt>
                      <c:pt idx="171">
                        <c:v>3.0789998627801798</c:v>
                      </c:pt>
                      <c:pt idx="172">
                        <c:v>3.0869614517404202</c:v>
                      </c:pt>
                      <c:pt idx="173">
                        <c:v>3.0948888964766708</c:v>
                      </c:pt>
                      <c:pt idx="174">
                        <c:v>3.1027823745307059</c:v>
                      </c:pt>
                      <c:pt idx="175">
                        <c:v>3.1106420629327314</c:v>
                      </c:pt>
                      <c:pt idx="176">
                        <c:v>3.1184681381842694</c:v>
                      </c:pt>
                      <c:pt idx="177">
                        <c:v>3.1262607762417902</c:v>
                      </c:pt>
                      <c:pt idx="178">
                        <c:v>3.1340201525010878</c:v>
                      </c:pt>
                      <c:pt idx="179">
                        <c:v>3.1417464417823471</c:v>
                      </c:pt>
                      <c:pt idx="180">
                        <c:v>3.1494398183158863</c:v>
                      </c:pt>
                      <c:pt idx="181">
                        <c:v>3.1571004557285822</c:v>
                      </c:pt>
                      <c:pt idx="182">
                        <c:v>3.1647285270309249</c:v>
                      </c:pt>
                      <c:pt idx="183">
                        <c:v>3.1723242046046685</c:v>
                      </c:pt>
                      <c:pt idx="184">
                        <c:v>3.1798876601911026</c:v>
                      </c:pt>
                      <c:pt idx="185">
                        <c:v>3.1874190648798884</c:v>
                      </c:pt>
                      <c:pt idx="186">
                        <c:v>3.1949185890984602</c:v>
                      </c:pt>
                      <c:pt idx="187">
                        <c:v>3.2023864026019524</c:v>
                      </c:pt>
                      <c:pt idx="188">
                        <c:v>3.2098226744636373</c:v>
                      </c:pt>
                      <c:pt idx="189">
                        <c:v>3.2172275730659141</c:v>
                      </c:pt>
                      <c:pt idx="190">
                        <c:v>3.2246012660917165</c:v>
                      </c:pt>
                      <c:pt idx="191">
                        <c:v>3.2319439205164397</c:v>
                      </c:pt>
                      <c:pt idx="192">
                        <c:v>3.2392557026002953</c:v>
                      </c:pt>
                      <c:pt idx="193">
                        <c:v>3.2465367778811265</c:v>
                      </c:pt>
                      <c:pt idx="194">
                        <c:v>3.2537873111676001</c:v>
                      </c:pt>
                      <c:pt idx="195">
                        <c:v>3.2610074665328819</c:v>
                      </c:pt>
                      <c:pt idx="196">
                        <c:v>3.2681974073086364</c:v>
                      </c:pt>
                      <c:pt idx="197">
                        <c:v>3.275357296079433</c:v>
                      </c:pt>
                      <c:pt idx="198">
                        <c:v>3.2824872946775505</c:v>
                      </c:pt>
                      <c:pt idx="199">
                        <c:v>3.289587564178075</c:v>
                      </c:pt>
                      <c:pt idx="200">
                        <c:v>3.2966582648944049</c:v>
                      </c:pt>
                    </c:numCache>
                  </c:numRef>
                </c:val>
                <c:smooth val="0"/>
                <c:extLst xmlns:c15="http://schemas.microsoft.com/office/drawing/2012/chart">
                  <c:ext xmlns:c16="http://schemas.microsoft.com/office/drawing/2014/chart" uri="{C3380CC4-5D6E-409C-BE32-E72D297353CC}">
                    <c16:uniqueId val="{0000000B-50A6-46D4-AEF8-03ADE34CD569}"/>
                  </c:ext>
                </c:extLst>
              </c15:ser>
            </c15:filteredLineSeries>
            <c15:filteredLineSeries>
              <c15:ser>
                <c:idx val="2"/>
                <c:order val="12"/>
                <c:tx>
                  <c:v>Total MOSFET Loss</c:v>
                </c:tx>
                <c:spPr>
                  <a:ln w="38100">
                    <a:solidFill>
                      <a:srgbClr val="808000"/>
                    </a:solidFill>
                    <a:prstDash val="sysDash"/>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Calculations'!$BQ$9:$BQ$209</c15:sqref>
                        </c15:formulaRef>
                      </c:ext>
                    </c:extLst>
                    <c:numCache>
                      <c:formatCode>0.000</c:formatCode>
                      <c:ptCount val="201"/>
                      <c:pt idx="0">
                        <c:v>4.8833771988768673</c:v>
                      </c:pt>
                      <c:pt idx="1">
                        <c:v>4.9016780655888761</c:v>
                      </c:pt>
                      <c:pt idx="2">
                        <c:v>4.9199964916870602</c:v>
                      </c:pt>
                      <c:pt idx="3">
                        <c:v>4.9383317694126685</c:v>
                      </c:pt>
                      <c:pt idx="4">
                        <c:v>4.9566832201107207</c:v>
                      </c:pt>
                      <c:pt idx="5">
                        <c:v>4.9750501928849182</c:v>
                      </c:pt>
                      <c:pt idx="6">
                        <c:v>4.9934320633230813</c:v>
                      </c:pt>
                      <c:pt idx="7">
                        <c:v>5.0118282322889574</c:v>
                      </c:pt>
                      <c:pt idx="8">
                        <c:v>5.0302381247765062</c:v>
                      </c:pt>
                      <c:pt idx="9">
                        <c:v>5.0486611888230168</c:v>
                      </c:pt>
                      <c:pt idx="10">
                        <c:v>5.0670968944776442</c:v>
                      </c:pt>
                      <c:pt idx="11">
                        <c:v>5.0855447328222185</c:v>
                      </c:pt>
                      <c:pt idx="12">
                        <c:v>5.1040042150412885</c:v>
                      </c:pt>
                      <c:pt idx="13">
                        <c:v>5.1224748715386745</c:v>
                      </c:pt>
                      <c:pt idx="14">
                        <c:v>5.1409562510978697</c:v>
                      </c:pt>
                      <c:pt idx="15">
                        <c:v>5.1594479200838617</c:v>
                      </c:pt>
                      <c:pt idx="16">
                        <c:v>5.1779494616840598</c:v>
                      </c:pt>
                      <c:pt idx="17">
                        <c:v>5.196460475186222</c:v>
                      </c:pt>
                      <c:pt idx="18">
                        <c:v>5.2149805752912588</c:v>
                      </c:pt>
                      <c:pt idx="19">
                        <c:v>5.2335093914591546</c:v>
                      </c:pt>
                      <c:pt idx="20">
                        <c:v>5.252046567286067</c:v>
                      </c:pt>
                      <c:pt idx="21">
                        <c:v>5.2705917599110776</c:v>
                      </c:pt>
                      <c:pt idx="22">
                        <c:v>5.2891446394508845</c:v>
                      </c:pt>
                      <c:pt idx="23">
                        <c:v>5.3077048884610569</c:v>
                      </c:pt>
                      <c:pt idx="24">
                        <c:v>5.3262722014223911</c:v>
                      </c:pt>
                      <c:pt idx="25">
                        <c:v>5.3448462842510818</c:v>
                      </c:pt>
                      <c:pt idx="26">
                        <c:v>5.3634268538314656</c:v>
                      </c:pt>
                      <c:pt idx="27">
                        <c:v>5.3820136375701688</c:v>
                      </c:pt>
                      <c:pt idx="28">
                        <c:v>5.4006063729705733</c:v>
                      </c:pt>
                      <c:pt idx="29">
                        <c:v>5.4192048072265342</c:v>
                      </c:pt>
                      <c:pt idx="30">
                        <c:v>5.4378086968344084</c:v>
                      </c:pt>
                      <c:pt idx="31">
                        <c:v>5.4564178072224436</c:v>
                      </c:pt>
                      <c:pt idx="32">
                        <c:v>5.4750319123966866</c:v>
                      </c:pt>
                      <c:pt idx="33">
                        <c:v>5.4936507946025417</c:v>
                      </c:pt>
                      <c:pt idx="34">
                        <c:v>5.512274244001266</c:v>
                      </c:pt>
                      <c:pt idx="35">
                        <c:v>5.5309020583606046</c:v>
                      </c:pt>
                      <c:pt idx="36">
                        <c:v>5.5495340427589221</c:v>
                      </c:pt>
                      <c:pt idx="37">
                        <c:v>5.5681700093021433</c:v>
                      </c:pt>
                      <c:pt idx="38">
                        <c:v>5.5868097768528955</c:v>
                      </c:pt>
                      <c:pt idx="39">
                        <c:v>5.6054531707712627</c:v>
                      </c:pt>
                      <c:pt idx="40">
                        <c:v>5.6241000226666111</c:v>
                      </c:pt>
                      <c:pt idx="41">
                        <c:v>5.6427501701599034</c:v>
                      </c:pt>
                      <c:pt idx="42">
                        <c:v>5.661403456656112</c:v>
                      </c:pt>
                      <c:pt idx="43">
                        <c:v>5.6800597311261196</c:v>
                      </c:pt>
                      <c:pt idx="44">
                        <c:v>5.6987188478977897</c:v>
                      </c:pt>
                      <c:pt idx="45">
                        <c:v>5.7173806664556945</c:v>
                      </c:pt>
                      <c:pt idx="46">
                        <c:v>5.7360450512491337</c:v>
                      </c:pt>
                      <c:pt idx="47">
                        <c:v>5.7547118715080687</c:v>
                      </c:pt>
                      <c:pt idx="48">
                        <c:v>5.7733810010665865</c:v>
                      </c:pt>
                      <c:pt idx="49">
                        <c:v>5.7920523181935621</c:v>
                      </c:pt>
                      <c:pt idx="50">
                        <c:v>5.8107257054302064</c:v>
                      </c:pt>
                      <c:pt idx="51">
                        <c:v>5.8294010494341553</c:v>
                      </c:pt>
                      <c:pt idx="52">
                        <c:v>5.8480782408298451</c:v>
                      </c:pt>
                      <c:pt idx="53">
                        <c:v>5.866757174064861</c:v>
                      </c:pt>
                      <c:pt idx="54">
                        <c:v>5.8854377472720136</c:v>
                      </c:pt>
                      <c:pt idx="55">
                        <c:v>5.9041198621368851</c:v>
                      </c:pt>
                      <c:pt idx="56">
                        <c:v>5.9228034237705929</c:v>
                      </c:pt>
                      <c:pt idx="57">
                        <c:v>5.9414883405875729</c:v>
                      </c:pt>
                      <c:pt idx="58">
                        <c:v>5.9601745241881154</c:v>
                      </c:pt>
                      <c:pt idx="59">
                        <c:v>5.9788618892454997</c:v>
                      </c:pt>
                      <c:pt idx="60">
                        <c:v>5.9975503533974868</c:v>
                      </c:pt>
                      <c:pt idx="61">
                        <c:v>6.0162398371420229</c:v>
                      </c:pt>
                      <c:pt idx="62">
                        <c:v>6.0349302637369169</c:v>
                      </c:pt>
                      <c:pt idx="63">
                        <c:v>6.0536215591033997</c:v>
                      </c:pt>
                      <c:pt idx="64">
                        <c:v>6.0723136517333165</c:v>
                      </c:pt>
                      <c:pt idx="65">
                        <c:v>6.0910064725998909</c:v>
                      </c:pt>
                      <c:pt idx="66">
                        <c:v>6.1096999550717968</c:v>
                      </c:pt>
                      <c:pt idx="67">
                        <c:v>6.1283940348305377</c:v>
                      </c:pt>
                      <c:pt idx="68">
                        <c:v>6.147088649790855</c:v>
                      </c:pt>
                      <c:pt idx="69">
                        <c:v>6.1657837400241613</c:v>
                      </c:pt>
                      <c:pt idx="70">
                        <c:v>6.184479247684787</c:v>
                      </c:pt>
                      <c:pt idx="71">
                        <c:v>6.2031751169389739</c:v>
                      </c:pt>
                      <c:pt idx="72">
                        <c:v>6.2218712938964833</c:v>
                      </c:pt>
                      <c:pt idx="73">
                        <c:v>6.240567726544711</c:v>
                      </c:pt>
                      <c:pt idx="74">
                        <c:v>6.2592643646852357</c:v>
                      </c:pt>
                      <c:pt idx="75">
                        <c:v>6.277961159872655</c:v>
                      </c:pt>
                      <c:pt idx="76">
                        <c:v>6.2966580653556523</c:v>
                      </c:pt>
                      <c:pt idx="77">
                        <c:v>6.315355036020204</c:v>
                      </c:pt>
                      <c:pt idx="78">
                        <c:v>6.3340520283348303</c:v>
                      </c:pt>
                      <c:pt idx="79">
                        <c:v>6.3527490002978046</c:v>
                      </c:pt>
                      <c:pt idx="80">
                        <c:v>6.3714459113862594</c:v>
                      </c:pt>
                      <c:pt idx="81">
                        <c:v>6.3901427225071057</c:v>
                      </c:pt>
                      <c:pt idx="82">
                        <c:v>6.4088393959496974</c:v>
                      </c:pt>
                      <c:pt idx="83">
                        <c:v>6.4275358953401689</c:v>
                      </c:pt>
                      <c:pt idx="84">
                        <c:v>6.4462321855973803</c:v>
                      </c:pt>
                      <c:pt idx="85">
                        <c:v>6.4649282328904256</c:v>
                      </c:pt>
                      <c:pt idx="86">
                        <c:v>6.4836240045976057</c:v>
                      </c:pt>
                      <c:pt idx="87">
                        <c:v>6.5023194692668529</c:v>
                      </c:pt>
                      <c:pt idx="88">
                        <c:v>6.5210145965775332</c:v>
                      </c:pt>
                      <c:pt idx="89">
                        <c:v>6.5397093573035479</c:v>
                      </c:pt>
                      <c:pt idx="90">
                        <c:v>6.5584037232777517</c:v>
                      </c:pt>
                      <c:pt idx="91">
                        <c:v>6.577097667357549</c:v>
                      </c:pt>
                      <c:pt idx="92">
                        <c:v>6.5957911633917119</c:v>
                      </c:pt>
                      <c:pt idx="93">
                        <c:v>6.6144841861883119</c:v>
                      </c:pt>
                      <c:pt idx="94">
                        <c:v>6.6331767114837445</c:v>
                      </c:pt>
                      <c:pt idx="95">
                        <c:v>6.6518687159128209</c:v>
                      </c:pt>
                      <c:pt idx="96">
                        <c:v>6.6705601769798593</c:v>
                      </c:pt>
                      <c:pt idx="97">
                        <c:v>6.6892510730307597</c:v>
                      </c:pt>
                      <c:pt idx="98">
                        <c:v>6.7079413832260206</c:v>
                      </c:pt>
                      <c:pt idx="99">
                        <c:v>6.7266310875146491</c:v>
                      </c:pt>
                      <c:pt idx="100">
                        <c:v>6.7453201666089724</c:v>
                      </c:pt>
                      <c:pt idx="101">
                        <c:v>6.764008601960251</c:v>
                      </c:pt>
                      <c:pt idx="102">
                        <c:v>6.7826963757351404</c:v>
                      </c:pt>
                      <c:pt idx="103">
                        <c:v>6.8013834707929064</c:v>
                      </c:pt>
                      <c:pt idx="104">
                        <c:v>6.8200698706634117</c:v>
                      </c:pt>
                      <c:pt idx="105">
                        <c:v>6.8387555595258203</c:v>
                      </c:pt>
                      <c:pt idx="106">
                        <c:v>6.8574405221879999</c:v>
                      </c:pt>
                      <c:pt idx="107">
                        <c:v>6.8761247440666082</c:v>
                      </c:pt>
                      <c:pt idx="108">
                        <c:v>6.8948082111678328</c:v>
                      </c:pt>
                      <c:pt idx="109">
                        <c:v>6.9134909100687345</c:v>
                      </c:pt>
                      <c:pt idx="110">
                        <c:v>6.9321728278992314</c:v>
                      </c:pt>
                      <c:pt idx="111">
                        <c:v>6.9508539523246453</c:v>
                      </c:pt>
                      <c:pt idx="112">
                        <c:v>6.9695342715288229</c:v>
                      </c:pt>
                      <c:pt idx="113">
                        <c:v>6.9882137741977957</c:v>
                      </c:pt>
                      <c:pt idx="114">
                        <c:v>7.0068924495039644</c:v>
                      </c:pt>
                      <c:pt idx="115">
                        <c:v>7.0255702870907966</c:v>
                      </c:pt>
                      <c:pt idx="116">
                        <c:v>7.0442472770580187</c:v>
                      </c:pt>
                      <c:pt idx="117">
                        <c:v>7.0629234099472669</c:v>
                      </c:pt>
                      <c:pt idx="118">
                        <c:v>7.0815986767282046</c:v>
                      </c:pt>
                      <c:pt idx="119">
                        <c:v>7.1002730687850795</c:v>
                      </c:pt>
                      <c:pt idx="120">
                        <c:v>7.1189465779037047</c:v>
                      </c:pt>
                      <c:pt idx="121">
                        <c:v>7.137619196258866</c:v>
                      </c:pt>
                      <c:pt idx="122">
                        <c:v>7.1562909164020851</c:v>
                      </c:pt>
                      <c:pt idx="123">
                        <c:v>7.1749617312498337</c:v>
                      </c:pt>
                      <c:pt idx="124">
                        <c:v>7.1936316340720543</c:v>
                      </c:pt>
                      <c:pt idx="125">
                        <c:v>7.2123006184810725</c:v>
                      </c:pt>
                      <c:pt idx="126">
                        <c:v>7.2309686784208616</c:v>
                      </c:pt>
                      <c:pt idx="127">
                        <c:v>7.2496358081566195</c:v>
                      </c:pt>
                      <c:pt idx="128">
                        <c:v>7.2683020022646838</c:v>
                      </c:pt>
                      <c:pt idx="129">
                        <c:v>7.2869672556227689</c:v>
                      </c:pt>
                      <c:pt idx="130">
                        <c:v>7.3056315634004765</c:v>
                      </c:pt>
                      <c:pt idx="131">
                        <c:v>7.324294921050134</c:v>
                      </c:pt>
                      <c:pt idx="132">
                        <c:v>7.3429573242978963</c:v>
                      </c:pt>
                      <c:pt idx="133">
                        <c:v>7.3616187691351156</c:v>
                      </c:pt>
                      <c:pt idx="134">
                        <c:v>7.3802792518100029</c:v>
                      </c:pt>
                      <c:pt idx="135">
                        <c:v>7.3989387688195105</c:v>
                      </c:pt>
                      <c:pt idx="136">
                        <c:v>7.4175973169014986</c:v>
                      </c:pt>
                      <c:pt idx="137">
                        <c:v>7.4362548930271082</c:v>
                      </c:pt>
                      <c:pt idx="138">
                        <c:v>7.4549114943933974</c:v>
                      </c:pt>
                      <c:pt idx="139">
                        <c:v>7.4735671184161738</c:v>
                      </c:pt>
                      <c:pt idx="140">
                        <c:v>7.4922217627230703</c:v>
                      </c:pt>
                      <c:pt idx="141">
                        <c:v>7.5108754251468044</c:v>
                      </c:pt>
                      <c:pt idx="142">
                        <c:v>7.5295281037186692</c:v>
                      </c:pt>
                      <c:pt idx="143">
                        <c:v>7.548179796662204</c:v>
                      </c:pt>
                      <c:pt idx="144">
                        <c:v>7.5668305023870577</c:v>
                      </c:pt>
                      <c:pt idx="145">
                        <c:v>7.585480219483042</c:v>
                      </c:pt>
                      <c:pt idx="146">
                        <c:v>7.6041289467143578</c:v>
                      </c:pt>
                      <c:pt idx="147">
                        <c:v>7.6227766830140027</c:v>
                      </c:pt>
                      <c:pt idx="148">
                        <c:v>7.6414234274783448</c:v>
                      </c:pt>
                      <c:pt idx="149">
                        <c:v>7.6600691793618463</c:v>
                      </c:pt>
                      <c:pt idx="150">
                        <c:v>7.6787139380719642</c:v>
                      </c:pt>
                      <c:pt idx="151">
                        <c:v>7.6973577031641893</c:v>
                      </c:pt>
                      <c:pt idx="152">
                        <c:v>7.7160004743372408</c:v>
                      </c:pt>
                      <c:pt idx="153">
                        <c:v>7.734642251428399</c:v>
                      </c:pt>
                      <c:pt idx="154">
                        <c:v>7.7532830344089785</c:v>
                      </c:pt>
                      <c:pt idx="155">
                        <c:v>7.7719228233799429</c:v>
                      </c:pt>
                      <c:pt idx="156">
                        <c:v>7.7905616185676347</c:v>
                      </c:pt>
                      <c:pt idx="157">
                        <c:v>7.8091994203196418</c:v>
                      </c:pt>
                      <c:pt idx="158">
                        <c:v>7.827836229100793</c:v>
                      </c:pt>
                      <c:pt idx="159">
                        <c:v>7.8464720454892545</c:v>
                      </c:pt>
                      <c:pt idx="160">
                        <c:v>7.8651068701727569</c:v>
                      </c:pt>
                      <c:pt idx="161">
                        <c:v>7.8837407039449197</c:v>
                      </c:pt>
                      <c:pt idx="162">
                        <c:v>7.9023735477017043</c:v>
                      </c:pt>
                      <c:pt idx="163">
                        <c:v>7.9210054024379488</c:v>
                      </c:pt>
                      <c:pt idx="164">
                        <c:v>7.9396362692440228</c:v>
                      </c:pt>
                      <c:pt idx="165">
                        <c:v>7.9582661493025642</c:v>
                      </c:pt>
                      <c:pt idx="166">
                        <c:v>7.976895043885329</c:v>
                      </c:pt>
                      <c:pt idx="167">
                        <c:v>7.9955229543501263</c:v>
                      </c:pt>
                      <c:pt idx="168">
                        <c:v>8.0141498821378256</c:v>
                      </c:pt>
                      <c:pt idx="169">
                        <c:v>8.0327758287694895</c:v>
                      </c:pt>
                      <c:pt idx="170">
                        <c:v>8.0514007958435556</c:v>
                      </c:pt>
                      <c:pt idx="171">
                        <c:v>8.0700247850331266</c:v>
                      </c:pt>
                      <c:pt idx="172">
                        <c:v>8.0886477980833078</c:v>
                      </c:pt>
                      <c:pt idx="173">
                        <c:v>8.1072698368086602</c:v>
                      </c:pt>
                      <c:pt idx="174">
                        <c:v>8.1258909030907009</c:v>
                      </c:pt>
                      <c:pt idx="175">
                        <c:v>8.1445109988754911</c:v>
                      </c:pt>
                      <c:pt idx="176">
                        <c:v>8.1631301261712839</c:v>
                      </c:pt>
                      <c:pt idx="177">
                        <c:v>8.1817482870462399</c:v>
                      </c:pt>
                      <c:pt idx="178">
                        <c:v>8.2003654836262303</c:v>
                      </c:pt>
                      <c:pt idx="179">
                        <c:v>8.2189817180926816</c:v>
                      </c:pt>
                      <c:pt idx="180">
                        <c:v>8.2375969926804906</c:v>
                      </c:pt>
                      <c:pt idx="181">
                        <c:v>8.2562113096759866</c:v>
                      </c:pt>
                      <c:pt idx="182">
                        <c:v>8.2748246714149936</c:v>
                      </c:pt>
                      <c:pt idx="183">
                        <c:v>8.2934370802808992</c:v>
                      </c:pt>
                      <c:pt idx="184">
                        <c:v>8.3120485387028165</c:v>
                      </c:pt>
                      <c:pt idx="185">
                        <c:v>8.3306590491537662</c:v>
                      </c:pt>
                      <c:pt idx="186">
                        <c:v>8.349268614148956</c:v>
                      </c:pt>
                      <c:pt idx="187">
                        <c:v>8.3678772362440696</c:v>
                      </c:pt>
                      <c:pt idx="188">
                        <c:v>8.3864849180336218</c:v>
                      </c:pt>
                      <c:pt idx="189">
                        <c:v>8.4050916621493617</c:v>
                      </c:pt>
                      <c:pt idx="190">
                        <c:v>8.423697471258718</c:v>
                      </c:pt>
                      <c:pt idx="191">
                        <c:v>8.4423023480633113</c:v>
                      </c:pt>
                      <c:pt idx="192">
                        <c:v>8.4609062952974661</c:v>
                      </c:pt>
                      <c:pt idx="193">
                        <c:v>8.4795093157268031</c:v>
                      </c:pt>
                      <c:pt idx="194">
                        <c:v>8.4981114121468622</c:v>
                      </c:pt>
                      <c:pt idx="195">
                        <c:v>8.5167125873817682</c:v>
                      </c:pt>
                      <c:pt idx="196">
                        <c:v>8.5353128442829238</c:v>
                      </c:pt>
                      <c:pt idx="197">
                        <c:v>8.5539121857277518</c:v>
                      </c:pt>
                      <c:pt idx="198">
                        <c:v>8.5725106146184729</c:v>
                      </c:pt>
                      <c:pt idx="199">
                        <c:v>8.591108133880919</c:v>
                      </c:pt>
                      <c:pt idx="200">
                        <c:v>8.6097047464633754</c:v>
                      </c:pt>
                    </c:numCache>
                  </c:numRef>
                </c:val>
                <c:smooth val="0"/>
                <c:extLst xmlns:c15="http://schemas.microsoft.com/office/drawing/2012/chart">
                  <c:ext xmlns:c16="http://schemas.microsoft.com/office/drawing/2014/chart" uri="{C3380CC4-5D6E-409C-BE32-E72D297353CC}">
                    <c16:uniqueId val="{0000000C-50A6-46D4-AEF8-03ADE34CD569}"/>
                  </c:ext>
                </c:extLst>
              </c15:ser>
            </c15:filteredLineSeries>
            <c15:filteredLineSeries>
              <c15:ser>
                <c:idx val="1"/>
                <c:order val="13"/>
                <c:tx>
                  <c:v>Shunt Loss</c:v>
                </c:tx>
                <c:spPr>
                  <a:ln w="38100">
                    <a:solidFill>
                      <a:srgbClr val="002060"/>
                    </a:solidFill>
                    <a:prstDash val="sysDot"/>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Calculations'!$BV$9:$BV$209</c15:sqref>
                        </c15:formulaRef>
                      </c:ext>
                    </c:extLst>
                    <c:numCache>
                      <c:formatCode>0.000</c:formatCode>
                      <c:ptCount val="201"/>
                      <c:pt idx="0">
                        <c:v>9.5243761045760475E-2</c:v>
                      </c:pt>
                      <c:pt idx="1">
                        <c:v>9.7103942143320229E-2</c:v>
                      </c:pt>
                      <c:pt idx="2">
                        <c:v>9.8939226247063222E-2</c:v>
                      </c:pt>
                      <c:pt idx="3">
                        <c:v>0.10075012281131032</c:v>
                      </c:pt>
                      <c:pt idx="4">
                        <c:v>0.10253712712614538</c:v>
                      </c:pt>
                      <c:pt idx="5">
                        <c:v>0.10430072081800383</c:v>
                      </c:pt>
                      <c:pt idx="6">
                        <c:v>0.10604137232874646</c:v>
                      </c:pt>
                      <c:pt idx="7">
                        <c:v>0.10775953737430781</c:v>
                      </c:pt>
                      <c:pt idx="8">
                        <c:v>0.10945565938394397</c:v>
                      </c:pt>
                      <c:pt idx="9">
                        <c:v>0.11113016992104552</c:v>
                      </c:pt>
                      <c:pt idx="10">
                        <c:v>0.11278348908642792</c:v>
                      </c:pt>
                      <c:pt idx="11">
                        <c:v>0.11441602590495836</c:v>
                      </c:pt>
                      <c:pt idx="12">
                        <c:v>0.11602817869632817</c:v>
                      </c:pt>
                      <c:pt idx="13">
                        <c:v>0.11762033543073909</c:v>
                      </c:pt>
                      <c:pt idx="14">
                        <c:v>0.11919287407022439</c:v>
                      </c:pt>
                      <c:pt idx="15">
                        <c:v>0.1207461628962888</c:v>
                      </c:pt>
                      <c:pt idx="16">
                        <c:v>0.12228056082451272</c:v>
                      </c:pt>
                      <c:pt idx="17">
                        <c:v>0.12379641770673275</c:v>
                      </c:pt>
                      <c:pt idx="18">
                        <c:v>0.12529407462137399</c:v>
                      </c:pt>
                      <c:pt idx="19">
                        <c:v>0.12677386415248401</c:v>
                      </c:pt>
                      <c:pt idx="20">
                        <c:v>0.12823611065798432</c:v>
                      </c:pt>
                      <c:pt idx="21">
                        <c:v>0.12968113052763078</c:v>
                      </c:pt>
                      <c:pt idx="22">
                        <c:v>0.13110923243114761</c:v>
                      </c:pt>
                      <c:pt idx="23">
                        <c:v>0.13252071755697739</c:v>
                      </c:pt>
                      <c:pt idx="24">
                        <c:v>0.13391587984206133</c:v>
                      </c:pt>
                      <c:pt idx="25">
                        <c:v>0.13529500619305165</c:v>
                      </c:pt>
                      <c:pt idx="26">
                        <c:v>0.13665837669932793</c:v>
                      </c:pt>
                      <c:pt idx="27">
                        <c:v>0.13800626483817699</c:v>
                      </c:pt>
                      <c:pt idx="28">
                        <c:v>0.1393389376724771</c:v>
                      </c:pt>
                      <c:pt idx="29">
                        <c:v>0.1406566560412052</c:v>
                      </c:pt>
                      <c:pt idx="30">
                        <c:v>0.14195967474307819</c:v>
                      </c:pt>
                      <c:pt idx="31">
                        <c:v>0.14324824271361644</c:v>
                      </c:pt>
                      <c:pt idx="32">
                        <c:v>0.14452260319590926</c:v>
                      </c:pt>
                      <c:pt idx="33">
                        <c:v>0.14578299390534422</c:v>
                      </c:pt>
                      <c:pt idx="34">
                        <c:v>0.14702964718855258</c:v>
                      </c:pt>
                      <c:pt idx="35">
                        <c:v>0.14826279017681024</c:v>
                      </c:pt>
                      <c:pt idx="36">
                        <c:v>0.1494826449341207</c:v>
                      </c:pt>
                      <c:pt idx="37">
                        <c:v>0.15068942860019804</c:v>
                      </c:pt>
                      <c:pt idx="38">
                        <c:v>0.1518833535285565</c:v>
                      </c:pt>
                      <c:pt idx="39">
                        <c:v>0.15306462741990351</c:v>
                      </c:pt>
                      <c:pt idx="40">
                        <c:v>0.15423345345102449</c:v>
                      </c:pt>
                      <c:pt idx="41">
                        <c:v>0.15539003039933866</c:v>
                      </c:pt>
                      <c:pt idx="42">
                        <c:v>0.15653455276329697</c:v>
                      </c:pt>
                      <c:pt idx="43">
                        <c:v>0.15766721087878552</c:v>
                      </c:pt>
                      <c:pt idx="44">
                        <c:v>0.15878819103169034</c:v>
                      </c:pt>
                      <c:pt idx="45">
                        <c:v>0.15989767556677256</c:v>
                      </c:pt>
                      <c:pt idx="46">
                        <c:v>0.16099584299299696</c:v>
                      </c:pt>
                      <c:pt idx="47">
                        <c:v>0.16208286808544808</c:v>
                      </c:pt>
                      <c:pt idx="48">
                        <c:v>0.163158921983966</c:v>
                      </c:pt>
                      <c:pt idx="49">
                        <c:v>0.16422417228862493</c:v>
                      </c:pt>
                      <c:pt idx="50">
                        <c:v>0.1652787831521734</c:v>
                      </c:pt>
                      <c:pt idx="51">
                        <c:v>0.1663229153695501</c:v>
                      </c:pt>
                      <c:pt idx="52">
                        <c:v>0.16735672646458483</c:v>
                      </c:pt>
                      <c:pt idx="53">
                        <c:v>0.16838037077398726</c:v>
                      </c:pt>
                      <c:pt idx="54">
                        <c:v>0.16939399952872411</c:v>
                      </c:pt>
                      <c:pt idx="55">
                        <c:v>0.17039776093288103</c:v>
                      </c:pt>
                      <c:pt idx="56">
                        <c:v>0.17139180024009879</c:v>
                      </c:pt>
                      <c:pt idx="57">
                        <c:v>0.17237625982767349</c:v>
                      </c:pt>
                      <c:pt idx="58">
                        <c:v>0.17335127926840257</c:v>
                      </c:pt>
                      <c:pt idx="59">
                        <c:v>0.17431699540026038</c:v>
                      </c:pt>
                      <c:pt idx="60">
                        <c:v>0.17527354239397575</c:v>
                      </c:pt>
                      <c:pt idx="61">
                        <c:v>0.17622105181859207</c:v>
                      </c:pt>
                      <c:pt idx="62">
                        <c:v>0.17715965270507372</c:v>
                      </c:pt>
                      <c:pt idx="63">
                        <c:v>0.17808947160803332</c:v>
                      </c:pt>
                      <c:pt idx="64">
                        <c:v>0.17901063266564149</c:v>
                      </c:pt>
                      <c:pt idx="65">
                        <c:v>0.17992325765778311</c:v>
                      </c:pt>
                      <c:pt idx="66">
                        <c:v>0.18082746606252023</c:v>
                      </c:pt>
                      <c:pt idx="67">
                        <c:v>0.18172337511092054</c:v>
                      </c:pt>
                      <c:pt idx="68">
                        <c:v>0.18261109984030491</c:v>
                      </c:pt>
                      <c:pt idx="69">
                        <c:v>0.18349075314596974</c:v>
                      </c:pt>
                      <c:pt idx="70">
                        <c:v>0.18436244583143466</c:v>
                      </c:pt>
                      <c:pt idx="71">
                        <c:v>0.18522628665726396</c:v>
                      </c:pt>
                      <c:pt idx="72">
                        <c:v>0.18608238238851102</c:v>
                      </c:pt>
                      <c:pt idx="73">
                        <c:v>0.18693083784083039</c:v>
                      </c:pt>
                      <c:pt idx="74">
                        <c:v>0.18777175592530185</c:v>
                      </c:pt>
                      <c:pt idx="75">
                        <c:v>0.18860523769200777</c:v>
                      </c:pt>
                      <c:pt idx="76">
                        <c:v>0.18943138237240628</c:v>
                      </c:pt>
                      <c:pt idx="77">
                        <c:v>0.19025028742053757</c:v>
                      </c:pt>
                      <c:pt idx="78">
                        <c:v>0.19106204855310263</c:v>
                      </c:pt>
                      <c:pt idx="79">
                        <c:v>0.19186675978844844</c:v>
                      </c:pt>
                      <c:pt idx="80">
                        <c:v>0.19266451348449792</c:v>
                      </c:pt>
                      <c:pt idx="81">
                        <c:v>0.19345540037565465</c:v>
                      </c:pt>
                      <c:pt idx="82">
                        <c:v>0.19423950960871764</c:v>
                      </c:pt>
                      <c:pt idx="83">
                        <c:v>0.19501692877783569</c:v>
                      </c:pt>
                      <c:pt idx="84">
                        <c:v>0.19578774395853263</c:v>
                      </c:pt>
                      <c:pt idx="85">
                        <c:v>0.1965520397408313</c:v>
                      </c:pt>
                      <c:pt idx="86">
                        <c:v>0.197309899261505</c:v>
                      </c:pt>
                      <c:pt idx="87">
                        <c:v>0.19806140423548393</c:v>
                      </c:pt>
                      <c:pt idx="88">
                        <c:v>0.19880663498644066</c:v>
                      </c:pt>
                      <c:pt idx="89">
                        <c:v>0.19954567047658259</c:v>
                      </c:pt>
                      <c:pt idx="90">
                        <c:v>0.20027858833567269</c:v>
                      </c:pt>
                      <c:pt idx="91">
                        <c:v>0.20100546488930435</c:v>
                      </c:pt>
                      <c:pt idx="92">
                        <c:v>0.20172637518645123</c:v>
                      </c:pt>
                      <c:pt idx="93">
                        <c:v>0.202441393026315</c:v>
                      </c:pt>
                      <c:pt idx="94">
                        <c:v>0.20315059098449087</c:v>
                      </c:pt>
                      <c:pt idx="95">
                        <c:v>0.20385404043847249</c:v>
                      </c:pt>
                      <c:pt idx="96">
                        <c:v>0.2045518115925147</c:v>
                      </c:pt>
                      <c:pt idx="97">
                        <c:v>0.20524397350187404</c:v>
                      </c:pt>
                      <c:pt idx="98">
                        <c:v>0.20593059409644426</c:v>
                      </c:pt>
                      <c:pt idx="99">
                        <c:v>0.20661174020380574</c:v>
                      </c:pt>
                      <c:pt idx="100">
                        <c:v>0.20728747757170468</c:v>
                      </c:pt>
                      <c:pt idx="101">
                        <c:v>0.20795787088997914</c:v>
                      </c:pt>
                      <c:pt idx="102">
                        <c:v>0.20862298381194871</c:v>
                      </c:pt>
                      <c:pt idx="103">
                        <c:v>0.20928287897528172</c:v>
                      </c:pt>
                      <c:pt idx="104">
                        <c:v>0.20993761802235544</c:v>
                      </c:pt>
                      <c:pt idx="105">
                        <c:v>0.21058726162012459</c:v>
                      </c:pt>
                      <c:pt idx="106">
                        <c:v>0.21123186947951084</c:v>
                      </c:pt>
                      <c:pt idx="107">
                        <c:v>0.21187150037432789</c:v>
                      </c:pt>
                      <c:pt idx="108">
                        <c:v>0.21250621215975474</c:v>
                      </c:pt>
                      <c:pt idx="109">
                        <c:v>0.21313606179036876</c:v>
                      </c:pt>
                      <c:pt idx="110">
                        <c:v>0.21376110533775314</c:v>
                      </c:pt>
                      <c:pt idx="111">
                        <c:v>0.21438139800768866</c:v>
                      </c:pt>
                      <c:pt idx="112">
                        <c:v>0.21499699415694171</c:v>
                      </c:pt>
                      <c:pt idx="113">
                        <c:v>0.21560794730966026</c:v>
                      </c:pt>
                      <c:pt idx="114">
                        <c:v>0.2162143101733871</c:v>
                      </c:pt>
                      <c:pt idx="115">
                        <c:v>0.21681613465470315</c:v>
                      </c:pt>
                      <c:pt idx="116">
                        <c:v>0.21741347187450827</c:v>
                      </c:pt>
                      <c:pt idx="117">
                        <c:v>0.21800637218295166</c:v>
                      </c:pt>
                      <c:pt idx="118">
                        <c:v>0.21859488517401926</c:v>
                      </c:pt>
                      <c:pt idx="119">
                        <c:v>0.21917905969978904</c:v>
                      </c:pt>
                      <c:pt idx="120">
                        <c:v>0.21975894388436168</c:v>
                      </c:pt>
                      <c:pt idx="121">
                        <c:v>0.22033458513747775</c:v>
                      </c:pt>
                      <c:pt idx="122">
                        <c:v>0.22090603016782495</c:v>
                      </c:pt>
                      <c:pt idx="123">
                        <c:v>0.2214733249960496</c:v>
                      </c:pt>
                      <c:pt idx="124">
                        <c:v>0.22203651496747479</c:v>
                      </c:pt>
                      <c:pt idx="125">
                        <c:v>0.22259564476453733</c:v>
                      </c:pt>
                      <c:pt idx="126">
                        <c:v>0.22315075841894647</c:v>
                      </c:pt>
                      <c:pt idx="127">
                        <c:v>0.22370189932357584</c:v>
                      </c:pt>
                      <c:pt idx="128">
                        <c:v>0.22424911024409255</c:v>
                      </c:pt>
                      <c:pt idx="129">
                        <c:v>0.22479243333033139</c:v>
                      </c:pt>
                      <c:pt idx="130">
                        <c:v>0.22533191012742079</c:v>
                      </c:pt>
                      <c:pt idx="131">
                        <c:v>0.22586758158666595</c:v>
                      </c:pt>
                      <c:pt idx="132">
                        <c:v>0.22639948807619728</c:v>
                      </c:pt>
                      <c:pt idx="133">
                        <c:v>0.22692766939138773</c:v>
                      </c:pt>
                      <c:pt idx="134">
                        <c:v>0.22745216476504573</c:v>
                      </c:pt>
                      <c:pt idx="135">
                        <c:v>0.22797301287739116</c:v>
                      </c:pt>
                      <c:pt idx="136">
                        <c:v>0.22849025186581715</c:v>
                      </c:pt>
                      <c:pt idx="137">
                        <c:v>0.22900391933444325</c:v>
                      </c:pt>
                      <c:pt idx="138">
                        <c:v>0.22951405236346914</c:v>
                      </c:pt>
                      <c:pt idx="139">
                        <c:v>0.23002068751832727</c:v>
                      </c:pt>
                      <c:pt idx="140">
                        <c:v>0.23052386085864507</c:v>
                      </c:pt>
                      <c:pt idx="141">
                        <c:v>0.23102360794701915</c:v>
                      </c:pt>
                      <c:pt idx="142">
                        <c:v>0.23151996385760495</c:v>
                      </c:pt>
                      <c:pt idx="143">
                        <c:v>0.23201296318452952</c:v>
                      </c:pt>
                      <c:pt idx="144">
                        <c:v>0.23250264005012811</c:v>
                      </c:pt>
                      <c:pt idx="145">
                        <c:v>0.23298902811301139</c:v>
                      </c:pt>
                      <c:pt idx="146">
                        <c:v>0.23347216057596715</c:v>
                      </c:pt>
                      <c:pt idx="147">
                        <c:v>0.23395207019369849</c:v>
                      </c:pt>
                      <c:pt idx="148">
                        <c:v>0.23442878928040528</c:v>
                      </c:pt>
                      <c:pt idx="149">
                        <c:v>0.23490234971721058</c:v>
                      </c:pt>
                      <c:pt idx="150">
                        <c:v>0.23537278295943564</c:v>
                      </c:pt>
                      <c:pt idx="151">
                        <c:v>0.23584012004372967</c:v>
                      </c:pt>
                      <c:pt idx="152">
                        <c:v>0.23630439159505356</c:v>
                      </c:pt>
                      <c:pt idx="153">
                        <c:v>0.23676562783352612</c:v>
                      </c:pt>
                      <c:pt idx="154">
                        <c:v>0.23722385858113001</c:v>
                      </c:pt>
                      <c:pt idx="155">
                        <c:v>0.23767911326828725</c:v>
                      </c:pt>
                      <c:pt idx="156">
                        <c:v>0.2381314209403014</c:v>
                      </c:pt>
                      <c:pt idx="157">
                        <c:v>0.23858081026367448</c:v>
                      </c:pt>
                      <c:pt idx="158">
                        <c:v>0.23902730953229676</c:v>
                      </c:pt>
                      <c:pt idx="159">
                        <c:v>0.23947094667351709</c:v>
                      </c:pt>
                      <c:pt idx="160">
                        <c:v>0.23991174925409328</c:v>
                      </c:pt>
                      <c:pt idx="161">
                        <c:v>0.24034974448602492</c:v>
                      </c:pt>
                      <c:pt idx="162">
                        <c:v>0.24078495923227614</c:v>
                      </c:pt>
                      <c:pt idx="163">
                        <c:v>0.24121742001238292</c:v>
                      </c:pt>
                      <c:pt idx="164">
                        <c:v>0.24164715300795586</c:v>
                      </c:pt>
                      <c:pt idx="165">
                        <c:v>0.24207418406807468</c:v>
                      </c:pt>
                      <c:pt idx="166">
                        <c:v>0.24249853871457924</c:v>
                      </c:pt>
                      <c:pt idx="167">
                        <c:v>0.24292024214726035</c:v>
                      </c:pt>
                      <c:pt idx="168">
                        <c:v>0.2433393192489508</c:v>
                      </c:pt>
                      <c:pt idx="169">
                        <c:v>0.24375579459051933</c:v>
                      </c:pt>
                      <c:pt idx="170">
                        <c:v>0.24416969243577061</c:v>
                      </c:pt>
                      <c:pt idx="171">
                        <c:v>0.24458103674625206</c:v>
                      </c:pt>
                      <c:pt idx="172">
                        <c:v>0.24498985118597091</c:v>
                      </c:pt>
                      <c:pt idx="173">
                        <c:v>0.24539615912602142</c:v>
                      </c:pt>
                      <c:pt idx="174">
                        <c:v>0.245799983649127</c:v>
                      </c:pt>
                      <c:pt idx="175">
                        <c:v>0.24620134755409687</c:v>
                      </c:pt>
                      <c:pt idx="176">
                        <c:v>0.24660027336019974</c:v>
                      </c:pt>
                      <c:pt idx="177">
                        <c:v>0.24699678331145661</c:v>
                      </c:pt>
                      <c:pt idx="178">
                        <c:v>0.2473908993808549</c:v>
                      </c:pt>
                      <c:pt idx="179">
                        <c:v>0.24778264327448393</c:v>
                      </c:pt>
                      <c:pt idx="180">
                        <c:v>0.2481720364355956</c:v>
                      </c:pt>
                      <c:pt idx="181">
                        <c:v>0.24855910004858903</c:v>
                      </c:pt>
                      <c:pt idx="182">
                        <c:v>0.24894385504292538</c:v>
                      </c:pt>
                      <c:pt idx="183">
                        <c:v>0.24932632209696848</c:v>
                      </c:pt>
                      <c:pt idx="184">
                        <c:v>0.24970652164175824</c:v>
                      </c:pt>
                      <c:pt idx="185">
                        <c:v>0.25008447386471383</c:v>
                      </c:pt>
                      <c:pt idx="186">
                        <c:v>0.2504601987132723</c:v>
                      </c:pt>
                      <c:pt idx="187">
                        <c:v>0.25083371589846032</c:v>
                      </c:pt>
                      <c:pt idx="188">
                        <c:v>0.25120504489840212</c:v>
                      </c:pt>
                      <c:pt idx="189">
                        <c:v>0.25157420496176591</c:v>
                      </c:pt>
                      <c:pt idx="190">
                        <c:v>0.25194121511114775</c:v>
                      </c:pt>
                      <c:pt idx="191">
                        <c:v>0.25230609414639615</c:v>
                      </c:pt>
                      <c:pt idx="192">
                        <c:v>0.25266886064787791</c:v>
                      </c:pt>
                      <c:pt idx="193">
                        <c:v>0.25302953297968561</c:v>
                      </c:pt>
                      <c:pt idx="194">
                        <c:v>0.25338812929278987</c:v>
                      </c:pt>
                      <c:pt idx="195">
                        <c:v>0.25374466752813574</c:v>
                      </c:pt>
                      <c:pt idx="196">
                        <c:v>0.25409916541968491</c:v>
                      </c:pt>
                      <c:pt idx="197">
                        <c:v>0.25445164049740482</c:v>
                      </c:pt>
                      <c:pt idx="198">
                        <c:v>0.25480211009020742</c:v>
                      </c:pt>
                      <c:pt idx="199">
                        <c:v>0.25515059132883422</c:v>
                      </c:pt>
                      <c:pt idx="200">
                        <c:v>0.25549710114869434</c:v>
                      </c:pt>
                    </c:numCache>
                  </c:numRef>
                </c:val>
                <c:smooth val="0"/>
                <c:extLst xmlns:c15="http://schemas.microsoft.com/office/drawing/2012/chart">
                  <c:ext xmlns:c16="http://schemas.microsoft.com/office/drawing/2014/chart" uri="{C3380CC4-5D6E-409C-BE32-E72D297353CC}">
                    <c16:uniqueId val="{0000000D-50A6-46D4-AEF8-03ADE34CD569}"/>
                  </c:ext>
                </c:extLst>
              </c15:ser>
            </c15:filteredLineSeries>
          </c:ext>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61442800306468137"/>
          <c:y val="2.1750913298499427E-2"/>
          <c:w val="0.26677559208967577"/>
          <c:h val="0.12980666695775783"/>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I</a:t>
            </a:r>
            <a:r>
              <a:rPr lang="en-US" sz="1800" b="1" i="0" u="none" strike="noStrike" baseline="-25000"/>
              <a:t>OUT</a:t>
            </a:r>
            <a:r>
              <a:rPr lang="en-US" sz="1800" b="1" i="0" u="none" strike="noStrike" baseline="0"/>
              <a:t> = I</a:t>
            </a:r>
            <a:r>
              <a:rPr lang="en-US" sz="1800" b="1" i="0" u="none" strike="noStrike" baseline="-25000"/>
              <a:t>OUT(max)</a:t>
            </a:r>
            <a:endParaRPr lang="en-US" sz="1800">
              <a:latin typeface="Arial" pitchFamily="34" charset="0"/>
              <a:cs typeface="Arial" pitchFamily="34" charset="0"/>
            </a:endParaRPr>
          </a:p>
        </c:rich>
      </c:tx>
      <c:layout>
        <c:manualLayout>
          <c:xMode val="edge"/>
          <c:yMode val="edge"/>
          <c:x val="8.6461554556559683E-2"/>
          <c:y val="5.1078541245190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417792"/>
        <c:axId val="196419968"/>
        <c:extLst>
          <c:ext xmlns:c15="http://schemas.microsoft.com/office/drawing/2012/chart" uri="{02D57815-91ED-43cb-92C2-25804820EDAC}">
            <c15:filteredLineSeries>
              <c15:ser>
                <c:idx val="0"/>
                <c:order val="0"/>
                <c:tx>
                  <c:v>Efficiency</c:v>
                </c:tx>
                <c:spPr>
                  <a:ln w="31750">
                    <a:solidFill>
                      <a:srgbClr val="FF0000"/>
                    </a:solidFill>
                    <a:prstDash val="solid"/>
                  </a:ln>
                </c:spPr>
                <c:marker>
                  <c:symbol val="none"/>
                </c:marker>
                <c:cat>
                  <c:numRef>
                    <c:extLst>
                      <c:ex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c:ext uri="{02D57815-91ED-43cb-92C2-25804820EDAC}">
                        <c15:formulaRef>
                          <c15:sqref>'Efficiency vs VIN Calculations'!$BO$9:$BO$209</c15:sqref>
                        </c15:formulaRef>
                      </c:ext>
                    </c:extLst>
                    <c:numCache>
                      <c:formatCode>0.00</c:formatCode>
                      <c:ptCount val="201"/>
                      <c:pt idx="0">
                        <c:v>95.549377136149715</c:v>
                      </c:pt>
                      <c:pt idx="1">
                        <c:v>95.532263889966728</c:v>
                      </c:pt>
                      <c:pt idx="2">
                        <c:v>95.515110946792703</c:v>
                      </c:pt>
                      <c:pt idx="3">
                        <c:v>95.497921563735773</c:v>
                      </c:pt>
                      <c:pt idx="4">
                        <c:v>95.480698874935015</c:v>
                      </c:pt>
                      <c:pt idx="5">
                        <c:v>95.46344589523342</c:v>
                      </c:pt>
                      <c:pt idx="6">
                        <c:v>95.446165523831439</c:v>
                      </c:pt>
                      <c:pt idx="7">
                        <c:v>95.428860547907206</c:v>
                      </c:pt>
                      <c:pt idx="8">
                        <c:v>95.411533646191657</c:v>
                      </c:pt>
                      <c:pt idx="9">
                        <c:v>95.394187392488902</c:v>
                      </c:pt>
                      <c:pt idx="10">
                        <c:v>95.37682425913394</c:v>
                      </c:pt>
                      <c:pt idx="11">
                        <c:v>95.359446620381874</c:v>
                      </c:pt>
                      <c:pt idx="12">
                        <c:v>95.342056755723192</c:v>
                      </c:pt>
                      <c:pt idx="13">
                        <c:v>95.324656853121752</c:v>
                      </c:pt>
                      <c:pt idx="14">
                        <c:v>95.307249012172193</c:v>
                      </c:pt>
                      <c:pt idx="15">
                        <c:v>95.289835247175219</c:v>
                      </c:pt>
                      <c:pt idx="16">
                        <c:v>95.272417490129016</c:v>
                      </c:pt>
                      <c:pt idx="17">
                        <c:v>95.254997593636375</c:v>
                      </c:pt>
                      <c:pt idx="18">
                        <c:v>95.237577333727103</c:v>
                      </c:pt>
                      <c:pt idx="19">
                        <c:v>95.220158412596007</c:v>
                      </c:pt>
                      <c:pt idx="20">
                        <c:v>95.202742461257046</c:v>
                      </c:pt>
                      <c:pt idx="21">
                        <c:v>95.185331042114257</c:v>
                      </c:pt>
                      <c:pt idx="22">
                        <c:v>95.167925651451057</c:v>
                      </c:pt>
                      <c:pt idx="23">
                        <c:v>95.150527721838614</c:v>
                      </c:pt>
                      <c:pt idx="24">
                        <c:v>95.133138624465204</c:v>
                      </c:pt>
                      <c:pt idx="25">
                        <c:v>95.11575967138802</c:v>
                      </c:pt>
                      <c:pt idx="26">
                        <c:v>95.09839211770911</c:v>
                      </c:pt>
                      <c:pt idx="27">
                        <c:v>95.081037163677209</c:v>
                      </c:pt>
                      <c:pt idx="28">
                        <c:v>95.063695956717481</c:v>
                      </c:pt>
                      <c:pt idx="29">
                        <c:v>95.046369593390949</c:v>
                      </c:pt>
                      <c:pt idx="30">
                        <c:v>95.029059121285471</c:v>
                      </c:pt>
                      <c:pt idx="31">
                        <c:v>95.011765540840386</c:v>
                      </c:pt>
                      <c:pt idx="32">
                        <c:v>94.99448980710666</c:v>
                      </c:pt>
                      <c:pt idx="33">
                        <c:v>94.977232831444454</c:v>
                      </c:pt>
                      <c:pt idx="34">
                        <c:v>94.959995483160171</c:v>
                      </c:pt>
                      <c:pt idx="35">
                        <c:v>94.942778591084732</c:v>
                      </c:pt>
                      <c:pt idx="36">
                        <c:v>94.925582945095016</c:v>
                      </c:pt>
                      <c:pt idx="37">
                        <c:v>94.908409297580505</c:v>
                      </c:pt>
                      <c:pt idx="38">
                        <c:v>94.89125836485654</c:v>
                      </c:pt>
                      <c:pt idx="39">
                        <c:v>94.874130828526404</c:v>
                      </c:pt>
                      <c:pt idx="40">
                        <c:v>94.85702733679372</c:v>
                      </c:pt>
                      <c:pt idx="41">
                        <c:v>94.839948505726966</c:v>
                      </c:pt>
                      <c:pt idx="42">
                        <c:v>94.822894920477651</c:v>
                      </c:pt>
                      <c:pt idx="43">
                        <c:v>94.805867136453983</c:v>
                      </c:pt>
                      <c:pt idx="44">
                        <c:v>94.788865680451295</c:v>
                      </c:pt>
                      <c:pt idx="45">
                        <c:v>94.771891051741136</c:v>
                      </c:pt>
                      <c:pt idx="46">
                        <c:v>94.754943723120022</c:v>
                      </c:pt>
                      <c:pt idx="47">
                        <c:v>94.738024141919936</c:v>
                      </c:pt>
                      <c:pt idx="48">
                        <c:v>94.721132730981111</c:v>
                      </c:pt>
                      <c:pt idx="49">
                        <c:v>94.704269889589369</c:v>
                      </c:pt>
                      <c:pt idx="50">
                        <c:v>94.687435994378674</c:v>
                      </c:pt>
                      <c:pt idx="51">
                        <c:v>94.670631400200222</c:v>
                      </c:pt>
                      <c:pt idx="52">
                        <c:v>94.653856440959743</c:v>
                      </c:pt>
                      <c:pt idx="53">
                        <c:v>94.637111430423587</c:v>
                      </c:pt>
                      <c:pt idx="54">
                        <c:v>94.620396662995148</c:v>
                      </c:pt>
                      <c:pt idx="55">
                        <c:v>94.603712414462677</c:v>
                      </c:pt>
                      <c:pt idx="56">
                        <c:v>94.587058942719167</c:v>
                      </c:pt>
                      <c:pt idx="57">
                        <c:v>94.570436488455982</c:v>
                      </c:pt>
                      <c:pt idx="58">
                        <c:v>94.553845275830568</c:v>
                      </c:pt>
                      <c:pt idx="59">
                        <c:v>94.537285513109723</c:v>
                      </c:pt>
                      <c:pt idx="60">
                        <c:v>94.520757393288861</c:v>
                      </c:pt>
                      <c:pt idx="61">
                        <c:v>94.504261094688616</c:v>
                      </c:pt>
                      <c:pt idx="62">
                        <c:v>94.487796781529269</c:v>
                      </c:pt>
                      <c:pt idx="63">
                        <c:v>94.471364604484052</c:v>
                      </c:pt>
                      <c:pt idx="64">
                        <c:v>94.454964701211992</c:v>
                      </c:pt>
                      <c:pt idx="65">
                        <c:v>94.438597196871086</c:v>
                      </c:pt>
                      <c:pt idx="66">
                        <c:v>94.422262204612551</c:v>
                      </c:pt>
                      <c:pt idx="67">
                        <c:v>94.405959826056929</c:v>
                      </c:pt>
                      <c:pt idx="68">
                        <c:v>94.38969015175249</c:v>
                      </c:pt>
                      <c:pt idx="69">
                        <c:v>94.373453261616874</c:v>
                      </c:pt>
                      <c:pt idx="70">
                        <c:v>94.357249225362452</c:v>
                      </c:pt>
                      <c:pt idx="71">
                        <c:v>94.341078102905968</c:v>
                      </c:pt>
                      <c:pt idx="72">
                        <c:v>94.324939944763088</c:v>
                      </c:pt>
                      <c:pt idx="73">
                        <c:v>94.308834792428613</c:v>
                      </c:pt>
                      <c:pt idx="74">
                        <c:v>94.292762678742449</c:v>
                      </c:pt>
                      <c:pt idx="75">
                        <c:v>94.276723628242337</c:v>
                      </c:pt>
                      <c:pt idx="76">
                        <c:v>94.260717657503506</c:v>
                      </c:pt>
                      <c:pt idx="77">
                        <c:v>94.244744775465847</c:v>
                      </c:pt>
                      <c:pt idx="78">
                        <c:v>94.228804983749185</c:v>
                      </c:pt>
                      <c:pt idx="79">
                        <c:v>94.212898276956778</c:v>
                      </c:pt>
                      <c:pt idx="80">
                        <c:v>94.197024642967918</c:v>
                      </c:pt>
                      <c:pt idx="81">
                        <c:v>94.181184063219547</c:v>
                      </c:pt>
                      <c:pt idx="82">
                        <c:v>94.165376512977744</c:v>
                      </c:pt>
                      <c:pt idx="83">
                        <c:v>94.149601961599117</c:v>
                      </c:pt>
                      <c:pt idx="84">
                        <c:v>94.133860372782678</c:v>
                      </c:pt>
                      <c:pt idx="85">
                        <c:v>94.118151704812476</c:v>
                      </c:pt>
                      <c:pt idx="86">
                        <c:v>94.102475910791313</c:v>
                      </c:pt>
                      <c:pt idx="87">
                        <c:v>94.086832938865825</c:v>
                      </c:pt>
                      <c:pt idx="88">
                        <c:v>94.071222732443502</c:v>
                      </c:pt>
                      <c:pt idx="89">
                        <c:v>94.055645230401524</c:v>
                      </c:pt>
                      <c:pt idx="90">
                        <c:v>94.040100367288105</c:v>
                      </c:pt>
                      <c:pt idx="91">
                        <c:v>94.024588073516355</c:v>
                      </c:pt>
                      <c:pt idx="92">
                        <c:v>94.009108275551071</c:v>
                      </c:pt>
                      <c:pt idx="93">
                        <c:v>93.993660896088684</c:v>
                      </c:pt>
                      <c:pt idx="94">
                        <c:v>93.978245854230579</c:v>
                      </c:pt>
                      <c:pt idx="95">
                        <c:v>93.962863065650055</c:v>
                      </c:pt>
                      <c:pt idx="96">
                        <c:v>93.947512442753165</c:v>
                      </c:pt>
                      <c:pt idx="97">
                        <c:v>93.932193894833617</c:v>
                      </c:pt>
                      <c:pt idx="98">
                        <c:v>93.916907328222067</c:v>
                      </c:pt>
                      <c:pt idx="99">
                        <c:v>93.901652646429781</c:v>
                      </c:pt>
                      <c:pt idx="100">
                        <c:v>93.886429750287149</c:v>
                      </c:pt>
                      <c:pt idx="101">
                        <c:v>93.871238538076966</c:v>
                      </c:pt>
                      <c:pt idx="102">
                        <c:v>93.856078905662983</c:v>
                      </c:pt>
                      <c:pt idx="103">
                        <c:v>93.840950746613487</c:v>
                      </c:pt>
                      <c:pt idx="104">
                        <c:v>93.825853952320529</c:v>
                      </c:pt>
                      <c:pt idx="105">
                        <c:v>93.810788412114604</c:v>
                      </c:pt>
                      <c:pt idx="106">
                        <c:v>93.795754013375131</c:v>
                      </c:pt>
                      <c:pt idx="107">
                        <c:v>93.780750641636914</c:v>
                      </c:pt>
                      <c:pt idx="108">
                        <c:v>93.765778180692536</c:v>
                      </c:pt>
                      <c:pt idx="109">
                        <c:v>93.750836512691038</c:v>
                      </c:pt>
                      <c:pt idx="110">
                        <c:v>93.735925518232875</c:v>
                      </c:pt>
                      <c:pt idx="111">
                        <c:v>93.721045076461408</c:v>
                      </c:pt>
                      <c:pt idx="112">
                        <c:v>93.706195065150894</c:v>
                      </c:pt>
                      <c:pt idx="113">
                        <c:v>93.691375360791255</c:v>
                      </c:pt>
                      <c:pt idx="114">
                        <c:v>93.676585838669695</c:v>
                      </c:pt>
                      <c:pt idx="115">
                        <c:v>93.661826372949122</c:v>
                      </c:pt>
                      <c:pt idx="116">
                        <c:v>93.647096836743856</c:v>
                      </c:pt>
                      <c:pt idx="117">
                        <c:v>93.632397102192272</c:v>
                      </c:pt>
                      <c:pt idx="118">
                        <c:v>93.617727040526759</c:v>
                      </c:pt>
                      <c:pt idx="119">
                        <c:v>93.60308652214114</c:v>
                      </c:pt>
                      <c:pt idx="120">
                        <c:v>93.588475416655456</c:v>
                      </c:pt>
                      <c:pt idx="121">
                        <c:v>93.573893592978251</c:v>
                      </c:pt>
                      <c:pt idx="122">
                        <c:v>93.559340919366534</c:v>
                      </c:pt>
                      <c:pt idx="123">
                        <c:v>93.54481726348348</c:v>
                      </c:pt>
                      <c:pt idx="124">
                        <c:v>93.530322492453863</c:v>
                      </c:pt>
                      <c:pt idx="125">
                        <c:v>93.515856472917392</c:v>
                      </c:pt>
                      <c:pt idx="126">
                        <c:v>93.501419071079965</c:v>
                      </c:pt>
                      <c:pt idx="127">
                        <c:v>93.48701015276302</c:v>
                      </c:pt>
                      <c:pt idx="128">
                        <c:v>93.472629583450811</c:v>
                      </c:pt>
                      <c:pt idx="129">
                        <c:v>93.458277228336087</c:v>
                      </c:pt>
                      <c:pt idx="130">
                        <c:v>93.443952952363645</c:v>
                      </c:pt>
                      <c:pt idx="131">
                        <c:v>93.429656620272553</c:v>
                      </c:pt>
                      <c:pt idx="132">
                        <c:v>93.415388096636448</c:v>
                      </c:pt>
                      <c:pt idx="133">
                        <c:v>93.401147245902294</c:v>
                      </c:pt>
                      <c:pt idx="134">
                        <c:v>93.386933932427667</c:v>
                      </c:pt>
                      <c:pt idx="135">
                        <c:v>93.372748020516511</c:v>
                      </c:pt>
                      <c:pt idx="136">
                        <c:v>93.358589374453373</c:v>
                      </c:pt>
                      <c:pt idx="137">
                        <c:v>93.34445785853643</c:v>
                      </c:pt>
                      <c:pt idx="138">
                        <c:v>93.330353337109045</c:v>
                      </c:pt>
                      <c:pt idx="139">
                        <c:v>93.316275674590059</c:v>
                      </c:pt>
                      <c:pt idx="140">
                        <c:v>93.302224735502875</c:v>
                      </c:pt>
                      <c:pt idx="141">
                        <c:v>93.288200384503256</c:v>
                      </c:pt>
                      <c:pt idx="142">
                        <c:v>93.274202486406182</c:v>
                      </c:pt>
                      <c:pt idx="143">
                        <c:v>93.260230906211234</c:v>
                      </c:pt>
                      <c:pt idx="144">
                        <c:v>93.246285509127276</c:v>
                      </c:pt>
                      <c:pt idx="145">
                        <c:v>93.23236616059576</c:v>
                      </c:pt>
                      <c:pt idx="146">
                        <c:v>93.218472726313394</c:v>
                      </c:pt>
                      <c:pt idx="147">
                        <c:v>93.204605072253472</c:v>
                      </c:pt>
                      <c:pt idx="148">
                        <c:v>93.190763064686479</c:v>
                      </c:pt>
                      <c:pt idx="149">
                        <c:v>93.176946570199775</c:v>
                      </c:pt>
                      <c:pt idx="150">
                        <c:v>93.163155455716378</c:v>
                      </c:pt>
                      <c:pt idx="151">
                        <c:v>93.14938958851296</c:v>
                      </c:pt>
                      <c:pt idx="152">
                        <c:v>93.135648836236882</c:v>
                      </c:pt>
                      <c:pt idx="153">
                        <c:v>93.121933066922693</c:v>
                      </c:pt>
                      <c:pt idx="154">
                        <c:v>93.108242149007651</c:v>
                      </c:pt>
                      <c:pt idx="155">
                        <c:v>93.094575951346641</c:v>
                      </c:pt>
                      <c:pt idx="156">
                        <c:v>93.080934343226374</c:v>
                      </c:pt>
                      <c:pt idx="157">
                        <c:v>93.06731719437883</c:v>
                      </c:pt>
                      <c:pt idx="158">
                        <c:v>93.053724374994232</c:v>
                      </c:pt>
                      <c:pt idx="159">
                        <c:v>93.040155755733153</c:v>
                      </c:pt>
                      <c:pt idx="160">
                        <c:v>93.026611207738256</c:v>
                      </c:pt>
                      <c:pt idx="161">
                        <c:v>93.013090602645221</c:v>
                      </c:pt>
                      <c:pt idx="162">
                        <c:v>92.999593812593289</c:v>
                      </c:pt>
                      <c:pt idx="163">
                        <c:v>92.986120710235198</c:v>
                      </c:pt>
                      <c:pt idx="164">
                        <c:v>92.97267116874653</c:v>
                      </c:pt>
                      <c:pt idx="165">
                        <c:v>92.959245061834693</c:v>
                      </c:pt>
                      <c:pt idx="166">
                        <c:v>92.945842263747238</c:v>
                      </c:pt>
                      <c:pt idx="167">
                        <c:v>92.932462649279884</c:v>
                      </c:pt>
                      <c:pt idx="168">
                        <c:v>92.919106093784023</c:v>
                      </c:pt>
                      <c:pt idx="169">
                        <c:v>92.905772473173627</c:v>
                      </c:pt>
                      <c:pt idx="170">
                        <c:v>92.892461663932096</c:v>
                      </c:pt>
                      <c:pt idx="171">
                        <c:v>92.879173543118284</c:v>
                      </c:pt>
                      <c:pt idx="172">
                        <c:v>92.86590798837247</c:v>
                      </c:pt>
                      <c:pt idx="173">
                        <c:v>92.852664877921754</c:v>
                      </c:pt>
                      <c:pt idx="174">
                        <c:v>92.839444090585204</c:v>
                      </c:pt>
                      <c:pt idx="175">
                        <c:v>92.826245505778488</c:v>
                      </c:pt>
                      <c:pt idx="176">
                        <c:v>92.813069003518436</c:v>
                      </c:pt>
                      <c:pt idx="177">
                        <c:v>92.799914464427019</c:v>
                      </c:pt>
                      <c:pt idx="178">
                        <c:v>92.786781769735157</c:v>
                      </c:pt>
                      <c:pt idx="179">
                        <c:v>92.773670801286173</c:v>
                      </c:pt>
                      <c:pt idx="180">
                        <c:v>92.76058144153896</c:v>
                      </c:pt>
                      <c:pt idx="181">
                        <c:v>92.747513573570956</c:v>
                      </c:pt>
                      <c:pt idx="182">
                        <c:v>92.73446708108068</c:v>
                      </c:pt>
                      <c:pt idx="183">
                        <c:v>92.721441848390143</c:v>
                      </c:pt>
                      <c:pt idx="184">
                        <c:v>92.708437760446998</c:v>
                      </c:pt>
                      <c:pt idx="185">
                        <c:v>92.695454702826368</c:v>
                      </c:pt>
                      <c:pt idx="186">
                        <c:v>92.682492561732573</c:v>
                      </c:pt>
                      <c:pt idx="187">
                        <c:v>92.669551224000486</c:v>
                      </c:pt>
                      <c:pt idx="188">
                        <c:v>92.656630577096749</c:v>
                      </c:pt>
                      <c:pt idx="189">
                        <c:v>92.6437305091209</c:v>
                      </c:pt>
                      <c:pt idx="190">
                        <c:v>92.630850908806082</c:v>
                      </c:pt>
                      <c:pt idx="191">
                        <c:v>92.617991665519611</c:v>
                      </c:pt>
                      <c:pt idx="192">
                        <c:v>92.605152669263575</c:v>
                      </c:pt>
                      <c:pt idx="193">
                        <c:v>92.592333810675029</c:v>
                      </c:pt>
                      <c:pt idx="194">
                        <c:v>92.579534981026043</c:v>
                      </c:pt>
                      <c:pt idx="195">
                        <c:v>92.56675607222374</c:v>
                      </c:pt>
                      <c:pt idx="196">
                        <c:v>92.553996976809941</c:v>
                      </c:pt>
                      <c:pt idx="197">
                        <c:v>92.541257587960942</c:v>
                      </c:pt>
                      <c:pt idx="198">
                        <c:v>92.528537799486955</c:v>
                      </c:pt>
                      <c:pt idx="199">
                        <c:v>92.515837505831371</c:v>
                      </c:pt>
                      <c:pt idx="200">
                        <c:v>92.503156602070149</c:v>
                      </c:pt>
                    </c:numCache>
                  </c:numRef>
                </c:val>
                <c:smooth val="0"/>
                <c:extLst>
                  <c:ext xmlns:c16="http://schemas.microsoft.com/office/drawing/2014/chart" uri="{C3380CC4-5D6E-409C-BE32-E72D297353CC}">
                    <c16:uniqueId val="{00000003-39DF-4DF9-9D5A-11C17911BDDC}"/>
                  </c:ext>
                </c:extLst>
              </c15:ser>
            </c15:filteredLineSeries>
          </c:ext>
        </c:extLst>
      </c:lineChart>
      <c:lineChart>
        <c:grouping val="standard"/>
        <c:varyColors val="0"/>
        <c:ser>
          <c:idx val="13"/>
          <c:order val="1"/>
          <c:tx>
            <c:strRef>
              <c:f>'Efficiency vs VIN Calculations'!$BE$7</c:f>
              <c:strCache>
                <c:ptCount val="1"/>
                <c:pt idx="0">
                  <c:v>Controller IC Losses</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Calculations'!$BH$9:$BH$209</c:f>
              <c:numCache>
                <c:formatCode>0.000</c:formatCode>
                <c:ptCount val="201"/>
                <c:pt idx="0">
                  <c:v>0.51683999999999997</c:v>
                </c:pt>
                <c:pt idx="1">
                  <c:v>0.51683999999999997</c:v>
                </c:pt>
                <c:pt idx="2">
                  <c:v>0.51683999999999997</c:v>
                </c:pt>
                <c:pt idx="3">
                  <c:v>0.51683999999999997</c:v>
                </c:pt>
                <c:pt idx="4">
                  <c:v>0.51683999999999997</c:v>
                </c:pt>
                <c:pt idx="5">
                  <c:v>0.51683999999999997</c:v>
                </c:pt>
                <c:pt idx="6">
                  <c:v>0.51683999999999997</c:v>
                </c:pt>
                <c:pt idx="7">
                  <c:v>0.51683999999999997</c:v>
                </c:pt>
                <c:pt idx="8">
                  <c:v>0.51683999999999997</c:v>
                </c:pt>
                <c:pt idx="9">
                  <c:v>0.51683999999999997</c:v>
                </c:pt>
                <c:pt idx="10">
                  <c:v>0.51683999999999997</c:v>
                </c:pt>
                <c:pt idx="11">
                  <c:v>0.51683999999999997</c:v>
                </c:pt>
                <c:pt idx="12">
                  <c:v>0.51683999999999997</c:v>
                </c:pt>
                <c:pt idx="13">
                  <c:v>0.51683999999999997</c:v>
                </c:pt>
                <c:pt idx="14">
                  <c:v>0.51683999999999997</c:v>
                </c:pt>
                <c:pt idx="15">
                  <c:v>0.51683999999999997</c:v>
                </c:pt>
                <c:pt idx="16">
                  <c:v>0.51683999999999997</c:v>
                </c:pt>
                <c:pt idx="17">
                  <c:v>0.51683999999999997</c:v>
                </c:pt>
                <c:pt idx="18">
                  <c:v>0.51683999999999997</c:v>
                </c:pt>
                <c:pt idx="19">
                  <c:v>0.51683999999999997</c:v>
                </c:pt>
                <c:pt idx="20">
                  <c:v>0.51683999999999997</c:v>
                </c:pt>
                <c:pt idx="21">
                  <c:v>0.51683999999999997</c:v>
                </c:pt>
                <c:pt idx="22">
                  <c:v>0.51683999999999997</c:v>
                </c:pt>
                <c:pt idx="23">
                  <c:v>0.51683999999999997</c:v>
                </c:pt>
                <c:pt idx="24">
                  <c:v>0.51683999999999997</c:v>
                </c:pt>
                <c:pt idx="25">
                  <c:v>0.51683999999999997</c:v>
                </c:pt>
                <c:pt idx="26">
                  <c:v>0.51683999999999997</c:v>
                </c:pt>
                <c:pt idx="27">
                  <c:v>0.51683999999999997</c:v>
                </c:pt>
                <c:pt idx="28">
                  <c:v>0.51683999999999997</c:v>
                </c:pt>
                <c:pt idx="29">
                  <c:v>0.51683999999999997</c:v>
                </c:pt>
                <c:pt idx="30">
                  <c:v>0.51683999999999997</c:v>
                </c:pt>
                <c:pt idx="31">
                  <c:v>0.51683999999999997</c:v>
                </c:pt>
                <c:pt idx="32">
                  <c:v>0.51683999999999997</c:v>
                </c:pt>
                <c:pt idx="33">
                  <c:v>0.51683999999999997</c:v>
                </c:pt>
                <c:pt idx="34">
                  <c:v>0.51683999999999997</c:v>
                </c:pt>
                <c:pt idx="35">
                  <c:v>0.51683999999999997</c:v>
                </c:pt>
                <c:pt idx="36">
                  <c:v>0.51683999999999997</c:v>
                </c:pt>
                <c:pt idx="37">
                  <c:v>0.51683999999999997</c:v>
                </c:pt>
                <c:pt idx="38">
                  <c:v>0.51683999999999997</c:v>
                </c:pt>
                <c:pt idx="39">
                  <c:v>0.51683999999999997</c:v>
                </c:pt>
                <c:pt idx="40">
                  <c:v>0.51683999999999997</c:v>
                </c:pt>
                <c:pt idx="41">
                  <c:v>0.51683999999999997</c:v>
                </c:pt>
                <c:pt idx="42">
                  <c:v>0.51683999999999997</c:v>
                </c:pt>
                <c:pt idx="43">
                  <c:v>0.51683999999999997</c:v>
                </c:pt>
                <c:pt idx="44">
                  <c:v>0.51683999999999997</c:v>
                </c:pt>
                <c:pt idx="45">
                  <c:v>0.51683999999999997</c:v>
                </c:pt>
                <c:pt idx="46">
                  <c:v>0.51683999999999997</c:v>
                </c:pt>
                <c:pt idx="47">
                  <c:v>0.51683999999999997</c:v>
                </c:pt>
                <c:pt idx="48">
                  <c:v>0.51683999999999997</c:v>
                </c:pt>
                <c:pt idx="49">
                  <c:v>0.51683999999999997</c:v>
                </c:pt>
                <c:pt idx="50">
                  <c:v>0.51683999999999997</c:v>
                </c:pt>
                <c:pt idx="51">
                  <c:v>0.51683999999999997</c:v>
                </c:pt>
                <c:pt idx="52">
                  <c:v>0.51683999999999997</c:v>
                </c:pt>
                <c:pt idx="53">
                  <c:v>0.51683999999999997</c:v>
                </c:pt>
                <c:pt idx="54">
                  <c:v>0.51683999999999997</c:v>
                </c:pt>
                <c:pt idx="55">
                  <c:v>0.51683999999999997</c:v>
                </c:pt>
                <c:pt idx="56">
                  <c:v>0.51683999999999997</c:v>
                </c:pt>
                <c:pt idx="57">
                  <c:v>0.51683999999999997</c:v>
                </c:pt>
                <c:pt idx="58">
                  <c:v>0.51683999999999997</c:v>
                </c:pt>
                <c:pt idx="59">
                  <c:v>0.51683999999999997</c:v>
                </c:pt>
                <c:pt idx="60">
                  <c:v>0.51683999999999997</c:v>
                </c:pt>
                <c:pt idx="61">
                  <c:v>0.51683999999999997</c:v>
                </c:pt>
                <c:pt idx="62">
                  <c:v>0.51683999999999997</c:v>
                </c:pt>
                <c:pt idx="63">
                  <c:v>0.51683999999999997</c:v>
                </c:pt>
                <c:pt idx="64">
                  <c:v>0.51683999999999997</c:v>
                </c:pt>
                <c:pt idx="65">
                  <c:v>0.51683999999999997</c:v>
                </c:pt>
                <c:pt idx="66">
                  <c:v>0.51683999999999997</c:v>
                </c:pt>
                <c:pt idx="67">
                  <c:v>0.51683999999999997</c:v>
                </c:pt>
                <c:pt idx="68">
                  <c:v>0.51683999999999997</c:v>
                </c:pt>
                <c:pt idx="69">
                  <c:v>0.51683999999999997</c:v>
                </c:pt>
                <c:pt idx="70">
                  <c:v>0.51683999999999997</c:v>
                </c:pt>
                <c:pt idx="71">
                  <c:v>0.51683999999999997</c:v>
                </c:pt>
                <c:pt idx="72">
                  <c:v>0.51683999999999997</c:v>
                </c:pt>
                <c:pt idx="73">
                  <c:v>0.51683999999999997</c:v>
                </c:pt>
                <c:pt idx="74">
                  <c:v>0.51683999999999997</c:v>
                </c:pt>
                <c:pt idx="75">
                  <c:v>0.51683999999999997</c:v>
                </c:pt>
                <c:pt idx="76">
                  <c:v>0.51683999999999997</c:v>
                </c:pt>
                <c:pt idx="77">
                  <c:v>0.51683999999999997</c:v>
                </c:pt>
                <c:pt idx="78">
                  <c:v>0.51683999999999997</c:v>
                </c:pt>
                <c:pt idx="79">
                  <c:v>0.51683999999999997</c:v>
                </c:pt>
                <c:pt idx="80">
                  <c:v>0.51683999999999997</c:v>
                </c:pt>
                <c:pt idx="81">
                  <c:v>0.51683999999999997</c:v>
                </c:pt>
                <c:pt idx="82">
                  <c:v>0.51683999999999997</c:v>
                </c:pt>
                <c:pt idx="83">
                  <c:v>0.51683999999999997</c:v>
                </c:pt>
                <c:pt idx="84">
                  <c:v>0.51683999999999997</c:v>
                </c:pt>
                <c:pt idx="85">
                  <c:v>0.51683999999999997</c:v>
                </c:pt>
                <c:pt idx="86">
                  <c:v>0.51683999999999997</c:v>
                </c:pt>
                <c:pt idx="87">
                  <c:v>0.51683999999999997</c:v>
                </c:pt>
                <c:pt idx="88">
                  <c:v>0.51683999999999997</c:v>
                </c:pt>
                <c:pt idx="89">
                  <c:v>0.51683999999999997</c:v>
                </c:pt>
                <c:pt idx="90">
                  <c:v>0.51683999999999997</c:v>
                </c:pt>
                <c:pt idx="91">
                  <c:v>0.51683999999999997</c:v>
                </c:pt>
                <c:pt idx="92">
                  <c:v>0.51683999999999997</c:v>
                </c:pt>
                <c:pt idx="93">
                  <c:v>0.51683999999999997</c:v>
                </c:pt>
                <c:pt idx="94">
                  <c:v>0.51683999999999997</c:v>
                </c:pt>
                <c:pt idx="95">
                  <c:v>0.51683999999999997</c:v>
                </c:pt>
                <c:pt idx="96">
                  <c:v>0.51683999999999997</c:v>
                </c:pt>
                <c:pt idx="97">
                  <c:v>0.51683999999999997</c:v>
                </c:pt>
                <c:pt idx="98">
                  <c:v>0.51683999999999997</c:v>
                </c:pt>
                <c:pt idx="99">
                  <c:v>0.51683999999999997</c:v>
                </c:pt>
                <c:pt idx="100">
                  <c:v>0.51683999999999997</c:v>
                </c:pt>
                <c:pt idx="101">
                  <c:v>0.51683999999999997</c:v>
                </c:pt>
                <c:pt idx="102">
                  <c:v>0.51683999999999997</c:v>
                </c:pt>
                <c:pt idx="103">
                  <c:v>0.51683999999999997</c:v>
                </c:pt>
                <c:pt idx="104">
                  <c:v>0.51683999999999997</c:v>
                </c:pt>
                <c:pt idx="105">
                  <c:v>0.51683999999999997</c:v>
                </c:pt>
                <c:pt idx="106">
                  <c:v>0.51683999999999997</c:v>
                </c:pt>
                <c:pt idx="107">
                  <c:v>0.51683999999999997</c:v>
                </c:pt>
                <c:pt idx="108">
                  <c:v>0.51683999999999997</c:v>
                </c:pt>
                <c:pt idx="109">
                  <c:v>0.51683999999999997</c:v>
                </c:pt>
                <c:pt idx="110">
                  <c:v>0.51683999999999997</c:v>
                </c:pt>
                <c:pt idx="111">
                  <c:v>0.51683999999999997</c:v>
                </c:pt>
                <c:pt idx="112">
                  <c:v>0.51683999999999997</c:v>
                </c:pt>
                <c:pt idx="113">
                  <c:v>0.51683999999999997</c:v>
                </c:pt>
                <c:pt idx="114">
                  <c:v>0.51683999999999997</c:v>
                </c:pt>
                <c:pt idx="115">
                  <c:v>0.51683999999999997</c:v>
                </c:pt>
                <c:pt idx="116">
                  <c:v>0.51683999999999997</c:v>
                </c:pt>
                <c:pt idx="117">
                  <c:v>0.51683999999999997</c:v>
                </c:pt>
                <c:pt idx="118">
                  <c:v>0.51683999999999997</c:v>
                </c:pt>
                <c:pt idx="119">
                  <c:v>0.51683999999999997</c:v>
                </c:pt>
                <c:pt idx="120">
                  <c:v>0.51683999999999997</c:v>
                </c:pt>
                <c:pt idx="121">
                  <c:v>0.51683999999999997</c:v>
                </c:pt>
                <c:pt idx="122">
                  <c:v>0.51683999999999997</c:v>
                </c:pt>
                <c:pt idx="123">
                  <c:v>0.51683999999999997</c:v>
                </c:pt>
                <c:pt idx="124">
                  <c:v>0.51683999999999997</c:v>
                </c:pt>
                <c:pt idx="125">
                  <c:v>0.51683999999999997</c:v>
                </c:pt>
                <c:pt idx="126">
                  <c:v>0.51683999999999997</c:v>
                </c:pt>
                <c:pt idx="127">
                  <c:v>0.51683999999999997</c:v>
                </c:pt>
                <c:pt idx="128">
                  <c:v>0.51683999999999997</c:v>
                </c:pt>
                <c:pt idx="129">
                  <c:v>0.51683999999999997</c:v>
                </c:pt>
                <c:pt idx="130">
                  <c:v>0.51683999999999997</c:v>
                </c:pt>
                <c:pt idx="131">
                  <c:v>0.51683999999999997</c:v>
                </c:pt>
                <c:pt idx="132">
                  <c:v>0.51683999999999997</c:v>
                </c:pt>
                <c:pt idx="133">
                  <c:v>0.51683999999999997</c:v>
                </c:pt>
                <c:pt idx="134">
                  <c:v>0.51683999999999997</c:v>
                </c:pt>
                <c:pt idx="135">
                  <c:v>0.51683999999999997</c:v>
                </c:pt>
                <c:pt idx="136">
                  <c:v>0.51683999999999997</c:v>
                </c:pt>
                <c:pt idx="137">
                  <c:v>0.51683999999999997</c:v>
                </c:pt>
                <c:pt idx="138">
                  <c:v>0.51683999999999997</c:v>
                </c:pt>
                <c:pt idx="139">
                  <c:v>0.51683999999999997</c:v>
                </c:pt>
                <c:pt idx="140">
                  <c:v>0.51683999999999997</c:v>
                </c:pt>
                <c:pt idx="141">
                  <c:v>0.51683999999999997</c:v>
                </c:pt>
                <c:pt idx="142">
                  <c:v>0.51683999999999997</c:v>
                </c:pt>
                <c:pt idx="143">
                  <c:v>0.51683999999999997</c:v>
                </c:pt>
                <c:pt idx="144">
                  <c:v>0.51683999999999997</c:v>
                </c:pt>
                <c:pt idx="145">
                  <c:v>0.51683999999999997</c:v>
                </c:pt>
                <c:pt idx="146">
                  <c:v>0.51683999999999997</c:v>
                </c:pt>
                <c:pt idx="147">
                  <c:v>0.51683999999999997</c:v>
                </c:pt>
                <c:pt idx="148">
                  <c:v>0.51683999999999997</c:v>
                </c:pt>
                <c:pt idx="149">
                  <c:v>0.51683999999999997</c:v>
                </c:pt>
                <c:pt idx="150">
                  <c:v>0.51683999999999997</c:v>
                </c:pt>
                <c:pt idx="151">
                  <c:v>0.51683999999999997</c:v>
                </c:pt>
                <c:pt idx="152">
                  <c:v>0.51683999999999997</c:v>
                </c:pt>
                <c:pt idx="153">
                  <c:v>0.51683999999999997</c:v>
                </c:pt>
                <c:pt idx="154">
                  <c:v>0.51683999999999997</c:v>
                </c:pt>
                <c:pt idx="155">
                  <c:v>0.51683999999999997</c:v>
                </c:pt>
                <c:pt idx="156">
                  <c:v>0.51683999999999997</c:v>
                </c:pt>
                <c:pt idx="157">
                  <c:v>0.51683999999999997</c:v>
                </c:pt>
                <c:pt idx="158">
                  <c:v>0.51683999999999997</c:v>
                </c:pt>
                <c:pt idx="159">
                  <c:v>0.51683999999999997</c:v>
                </c:pt>
                <c:pt idx="160">
                  <c:v>0.51683999999999997</c:v>
                </c:pt>
                <c:pt idx="161">
                  <c:v>0.51683999999999997</c:v>
                </c:pt>
                <c:pt idx="162">
                  <c:v>0.51683999999999997</c:v>
                </c:pt>
                <c:pt idx="163">
                  <c:v>0.51683999999999997</c:v>
                </c:pt>
                <c:pt idx="164">
                  <c:v>0.51683999999999997</c:v>
                </c:pt>
                <c:pt idx="165">
                  <c:v>0.51683999999999997</c:v>
                </c:pt>
                <c:pt idx="166">
                  <c:v>0.51683999999999997</c:v>
                </c:pt>
                <c:pt idx="167">
                  <c:v>0.51683999999999997</c:v>
                </c:pt>
                <c:pt idx="168">
                  <c:v>0.51683999999999997</c:v>
                </c:pt>
                <c:pt idx="169">
                  <c:v>0.51683999999999997</c:v>
                </c:pt>
                <c:pt idx="170">
                  <c:v>0.51683999999999997</c:v>
                </c:pt>
                <c:pt idx="171">
                  <c:v>0.51683999999999997</c:v>
                </c:pt>
                <c:pt idx="172">
                  <c:v>0.51683999999999997</c:v>
                </c:pt>
                <c:pt idx="173">
                  <c:v>0.51683999999999997</c:v>
                </c:pt>
                <c:pt idx="174">
                  <c:v>0.51683999999999997</c:v>
                </c:pt>
                <c:pt idx="175">
                  <c:v>0.51683999999999997</c:v>
                </c:pt>
                <c:pt idx="176">
                  <c:v>0.51683999999999997</c:v>
                </c:pt>
                <c:pt idx="177">
                  <c:v>0.51683999999999997</c:v>
                </c:pt>
                <c:pt idx="178">
                  <c:v>0.51683999999999997</c:v>
                </c:pt>
                <c:pt idx="179">
                  <c:v>0.51683999999999997</c:v>
                </c:pt>
                <c:pt idx="180">
                  <c:v>0.51683999999999997</c:v>
                </c:pt>
                <c:pt idx="181">
                  <c:v>0.51683999999999997</c:v>
                </c:pt>
                <c:pt idx="182">
                  <c:v>0.51683999999999997</c:v>
                </c:pt>
                <c:pt idx="183">
                  <c:v>0.51683999999999997</c:v>
                </c:pt>
                <c:pt idx="184">
                  <c:v>0.51683999999999997</c:v>
                </c:pt>
                <c:pt idx="185">
                  <c:v>0.51683999999999997</c:v>
                </c:pt>
                <c:pt idx="186">
                  <c:v>0.51683999999999997</c:v>
                </c:pt>
                <c:pt idx="187">
                  <c:v>0.51683999999999997</c:v>
                </c:pt>
                <c:pt idx="188">
                  <c:v>0.51683999999999997</c:v>
                </c:pt>
                <c:pt idx="189">
                  <c:v>0.51683999999999997</c:v>
                </c:pt>
                <c:pt idx="190">
                  <c:v>0.51683999999999997</c:v>
                </c:pt>
                <c:pt idx="191">
                  <c:v>0.51683999999999997</c:v>
                </c:pt>
                <c:pt idx="192">
                  <c:v>0.51683999999999997</c:v>
                </c:pt>
                <c:pt idx="193">
                  <c:v>0.51683999999999997</c:v>
                </c:pt>
                <c:pt idx="194">
                  <c:v>0.51683999999999997</c:v>
                </c:pt>
                <c:pt idx="195">
                  <c:v>0.51683999999999997</c:v>
                </c:pt>
                <c:pt idx="196">
                  <c:v>0.51683999999999997</c:v>
                </c:pt>
                <c:pt idx="197">
                  <c:v>0.51683999999999997</c:v>
                </c:pt>
                <c:pt idx="198">
                  <c:v>0.51683999999999997</c:v>
                </c:pt>
                <c:pt idx="199">
                  <c:v>0.51683999999999997</c:v>
                </c:pt>
                <c:pt idx="200">
                  <c:v>0.51683999999999997</c:v>
                </c:pt>
              </c:numCache>
            </c:numRef>
          </c:val>
          <c:smooth val="0"/>
          <c:extLst>
            <c:ext xmlns:c16="http://schemas.microsoft.com/office/drawing/2014/chart" uri="{C3380CC4-5D6E-409C-BE32-E72D297353CC}">
              <c16:uniqueId val="{00000000-39DF-4DF9-9D5A-11C17911BDDC}"/>
            </c:ext>
          </c:extLst>
        </c:ser>
        <c:ser>
          <c:idx val="5"/>
          <c:order val="9"/>
          <c:tx>
            <c:strRef>
              <c:f>'Efficiency vs VIN Calculations'!$X$8</c:f>
              <c:strCache>
                <c:ptCount val="1"/>
                <c:pt idx="0">
                  <c:v>DCR    Loss</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Calculations'!$X$9:$X$209</c:f>
              <c:numCache>
                <c:formatCode>0.000</c:formatCode>
                <c:ptCount val="201"/>
                <c:pt idx="0">
                  <c:v>0.89849918959212216</c:v>
                </c:pt>
                <c:pt idx="1">
                  <c:v>0.89863205432339699</c:v>
                </c:pt>
                <c:pt idx="2">
                  <c:v>0.89876551428543616</c:v>
                </c:pt>
                <c:pt idx="3">
                  <c:v>0.89889950789134287</c:v>
                </c:pt>
                <c:pt idx="4">
                  <c:v>0.89903397656129536</c:v>
                </c:pt>
                <c:pt idx="5">
                  <c:v>0.89916886457629241</c:v>
                </c:pt>
                <c:pt idx="6">
                  <c:v>0.89930411893958162</c:v>
                </c:pt>
                <c:pt idx="7">
                  <c:v>0.89943968924531881</c:v>
                </c:pt>
                <c:pt idx="8">
                  <c:v>0.89957552755405856</c:v>
                </c:pt>
                <c:pt idx="9">
                  <c:v>0.8997115882746729</c:v>
                </c:pt>
                <c:pt idx="10">
                  <c:v>0.89984782805234487</c:v>
                </c:pt>
                <c:pt idx="11">
                  <c:v>0.89998420566229376</c:v>
                </c:pt>
                <c:pt idx="12">
                  <c:v>0.90012068190890759</c:v>
                </c:pt>
                <c:pt idx="13">
                  <c:v>0.90025721952998705</c:v>
                </c:pt>
                <c:pt idx="14">
                  <c:v>0.90039378310581708</c:v>
                </c:pt>
                <c:pt idx="15">
                  <c:v>0.90053033897279733</c:v>
                </c:pt>
                <c:pt idx="16">
                  <c:v>0.90066685514138678</c:v>
                </c:pt>
                <c:pt idx="17">
                  <c:v>0.90080330121812735</c:v>
                </c:pt>
                <c:pt idx="18">
                  <c:v>0.90093964833151963</c:v>
                </c:pt>
                <c:pt idx="19">
                  <c:v>0.9010758690615549</c:v>
                </c:pt>
                <c:pt idx="20">
                  <c:v>0.90121193737269489</c:v>
                </c:pt>
                <c:pt idx="21">
                  <c:v>0.90134782855012718</c:v>
                </c:pt>
                <c:pt idx="22">
                  <c:v>0.9014835191391104</c:v>
                </c:pt>
                <c:pt idx="23">
                  <c:v>0.90161898688726194</c:v>
                </c:pt>
                <c:pt idx="24">
                  <c:v>0.90175421068961614</c:v>
                </c:pt>
                <c:pt idx="25">
                  <c:v>0.90188917053632423</c:v>
                </c:pt>
                <c:pt idx="26">
                  <c:v>0.90202384746284803</c:v>
                </c:pt>
                <c:pt idx="27">
                  <c:v>0.90215822350252062</c:v>
                </c:pt>
                <c:pt idx="28">
                  <c:v>0.90229228164136199</c:v>
                </c:pt>
                <c:pt idx="29">
                  <c:v>0.9024260057750142</c:v>
                </c:pt>
                <c:pt idx="30">
                  <c:v>0.90255938066770958</c:v>
                </c:pt>
                <c:pt idx="31">
                  <c:v>0.90269239191315509</c:v>
                </c:pt>
                <c:pt idx="32">
                  <c:v>0.90282502589724067</c:v>
                </c:pt>
                <c:pt idx="33">
                  <c:v>0.90295726976247914</c:v>
                </c:pt>
                <c:pt idx="34">
                  <c:v>0.90308911137409276</c:v>
                </c:pt>
                <c:pt idx="35">
                  <c:v>0.90322053928766133</c:v>
                </c:pt>
                <c:pt idx="36">
                  <c:v>0.9033515427182589</c:v>
                </c:pt>
                <c:pt idx="37">
                  <c:v>0.90348211151099878</c:v>
                </c:pt>
                <c:pt idx="38">
                  <c:v>0.9036122361129254</c:v>
                </c:pt>
                <c:pt idx="39">
                  <c:v>0.90374190754618289</c:v>
                </c:pt>
                <c:pt idx="40">
                  <c:v>0.903871117382397</c:v>
                </c:pt>
                <c:pt idx="41">
                  <c:v>0.90399985771821534</c:v>
                </c:pt>
                <c:pt idx="42">
                  <c:v>0.90412812115194829</c:v>
                </c:pt>
                <c:pt idx="43">
                  <c:v>0.90425590076125451</c:v>
                </c:pt>
                <c:pt idx="44">
                  <c:v>0.90438319008182821</c:v>
                </c:pt>
                <c:pt idx="45">
                  <c:v>0.90450998308703079</c:v>
                </c:pt>
                <c:pt idx="46">
                  <c:v>0.90463627416843462</c:v>
                </c:pt>
                <c:pt idx="47">
                  <c:v>0.90476205811722044</c:v>
                </c:pt>
                <c:pt idx="48">
                  <c:v>0.90488733010640154</c:v>
                </c:pt>
                <c:pt idx="49">
                  <c:v>0.90501208567383118</c:v>
                </c:pt>
                <c:pt idx="50">
                  <c:v>0.90513632070594985</c:v>
                </c:pt>
                <c:pt idx="51">
                  <c:v>0.9052600314222522</c:v>
                </c:pt>
                <c:pt idx="52">
                  <c:v>0.90538321436042657</c:v>
                </c:pt>
                <c:pt idx="53">
                  <c:v>0.90550586636214447</c:v>
                </c:pt>
                <c:pt idx="54">
                  <c:v>0.90562798455946569</c:v>
                </c:pt>
                <c:pt idx="55">
                  <c:v>0.90574956636183279</c:v>
                </c:pt>
                <c:pt idx="56">
                  <c:v>0.90587060944362929</c:v>
                </c:pt>
                <c:pt idx="57">
                  <c:v>0.90599111173227231</c:v>
                </c:pt>
                <c:pt idx="58">
                  <c:v>0.90611107139681746</c:v>
                </c:pt>
                <c:pt idx="59">
                  <c:v>0.90623048683705509</c:v>
                </c:pt>
                <c:pt idx="60">
                  <c:v>0.9063493566730686</c:v>
                </c:pt>
                <c:pt idx="61">
                  <c:v>0.90646767973524711</c:v>
                </c:pt>
                <c:pt idx="62">
                  <c:v>0.90658545505471211</c:v>
                </c:pt>
                <c:pt idx="63">
                  <c:v>0.90670268185416492</c:v>
                </c:pt>
                <c:pt idx="64">
                  <c:v>0.90681935953911053</c:v>
                </c:pt>
                <c:pt idx="65">
                  <c:v>0.90693548768946364</c:v>
                </c:pt>
                <c:pt idx="66">
                  <c:v>0.90705106605150099</c:v>
                </c:pt>
                <c:pt idx="67">
                  <c:v>0.90716609453016228</c:v>
                </c:pt>
                <c:pt idx="68">
                  <c:v>0.9072805731816671</c:v>
                </c:pt>
                <c:pt idx="69">
                  <c:v>0.90739450220644968</c:v>
                </c:pt>
                <c:pt idx="70">
                  <c:v>0.90750788194238563</c:v>
                </c:pt>
                <c:pt idx="71">
                  <c:v>0.90762071285830781</c:v>
                </c:pt>
                <c:pt idx="72">
                  <c:v>0.90773299554778808</c:v>
                </c:pt>
                <c:pt idx="73">
                  <c:v>0.90784473072318472</c:v>
                </c:pt>
                <c:pt idx="74">
                  <c:v>0.90795591920993557</c:v>
                </c:pt>
                <c:pt idx="75">
                  <c:v>0.9080665619410907</c:v>
                </c:pt>
                <c:pt idx="76">
                  <c:v>0.90817665995207131</c:v>
                </c:pt>
                <c:pt idx="77">
                  <c:v>0.90828621437565005</c:v>
                </c:pt>
                <c:pt idx="78">
                  <c:v>0.90839522643713844</c:v>
                </c:pt>
                <c:pt idx="79">
                  <c:v>0.90850369744977333</c:v>
                </c:pt>
                <c:pt idx="80">
                  <c:v>0.90861162881029922</c:v>
                </c:pt>
                <c:pt idx="81">
                  <c:v>0.90871902199472798</c:v>
                </c:pt>
                <c:pt idx="82">
                  <c:v>0.90882587855427921</c:v>
                </c:pt>
                <c:pt idx="83">
                  <c:v>0.90893220011148934</c:v>
                </c:pt>
                <c:pt idx="84">
                  <c:v>0.90903798835647809</c:v>
                </c:pt>
                <c:pt idx="85">
                  <c:v>0.9091432450433734</c:v>
                </c:pt>
                <c:pt idx="86">
                  <c:v>0.90924797198688168</c:v>
                </c:pt>
                <c:pt idx="87">
                  <c:v>0.90935217105900479</c:v>
                </c:pt>
                <c:pt idx="88">
                  <c:v>0.90945584418588699</c:v>
                </c:pt>
                <c:pt idx="89">
                  <c:v>0.90955899334479684</c:v>
                </c:pt>
                <c:pt idx="90">
                  <c:v>0.90966162056123279</c:v>
                </c:pt>
                <c:pt idx="91">
                  <c:v>0.90976372790614879</c:v>
                </c:pt>
                <c:pt idx="92">
                  <c:v>0.90986531749329647</c:v>
                </c:pt>
                <c:pt idx="93">
                  <c:v>0.90996639147667346</c:v>
                </c:pt>
                <c:pt idx="94">
                  <c:v>0.91006695204808385</c:v>
                </c:pt>
                <c:pt idx="95">
                  <c:v>0.91016700143479434</c:v>
                </c:pt>
                <c:pt idx="96">
                  <c:v>0.91026654189728984</c:v>
                </c:pt>
                <c:pt idx="97">
                  <c:v>0.91036557572712662</c:v>
                </c:pt>
                <c:pt idx="98">
                  <c:v>0.91046410524486598</c:v>
                </c:pt>
                <c:pt idx="99">
                  <c:v>0.91056213279810372</c:v>
                </c:pt>
                <c:pt idx="100">
                  <c:v>0.9106596607595755</c:v>
                </c:pt>
                <c:pt idx="101">
                  <c:v>0.91075669152534211</c:v>
                </c:pt>
                <c:pt idx="102">
                  <c:v>0.91085322751305653</c:v>
                </c:pt>
                <c:pt idx="103">
                  <c:v>0.91094927116029567</c:v>
                </c:pt>
                <c:pt idx="104">
                  <c:v>0.91104482492296812</c:v>
                </c:pt>
                <c:pt idx="105">
                  <c:v>0.91113989127378592</c:v>
                </c:pt>
                <c:pt idx="106">
                  <c:v>0.91123447270080138</c:v>
                </c:pt>
                <c:pt idx="107">
                  <c:v>0.91132857170600912</c:v>
                </c:pt>
                <c:pt idx="108">
                  <c:v>0.91142219080400344</c:v>
                </c:pt>
                <c:pt idx="109">
                  <c:v>0.91151533252069183</c:v>
                </c:pt>
                <c:pt idx="110">
                  <c:v>0.91160799939206982</c:v>
                </c:pt>
                <c:pt idx="111">
                  <c:v>0.91170019396304114</c:v>
                </c:pt>
                <c:pt idx="112">
                  <c:v>0.91179191878629473</c:v>
                </c:pt>
                <c:pt idx="113">
                  <c:v>0.91188317642122385</c:v>
                </c:pt>
                <c:pt idx="114">
                  <c:v>0.91197396943289744</c:v>
                </c:pt>
                <c:pt idx="115">
                  <c:v>0.91206430039107367</c:v>
                </c:pt>
                <c:pt idx="116">
                  <c:v>0.91215417186925585</c:v>
                </c:pt>
                <c:pt idx="117">
                  <c:v>0.91224358644379278</c:v>
                </c:pt>
                <c:pt idx="118">
                  <c:v>0.91233254669301422</c:v>
                </c:pt>
                <c:pt idx="119">
                  <c:v>0.91242105519640926</c:v>
                </c:pt>
                <c:pt idx="120">
                  <c:v>0.9125091145338361</c:v>
                </c:pt>
                <c:pt idx="121">
                  <c:v>0.91259672728477459</c:v>
                </c:pt>
                <c:pt idx="122">
                  <c:v>0.91268389602760158</c:v>
                </c:pt>
                <c:pt idx="123">
                  <c:v>0.91277062333891146</c:v>
                </c:pt>
                <c:pt idx="124">
                  <c:v>0.91285691179285711</c:v>
                </c:pt>
                <c:pt idx="125">
                  <c:v>0.91294276396052643</c:v>
                </c:pt>
                <c:pt idx="126">
                  <c:v>0.91302818240934758</c:v>
                </c:pt>
                <c:pt idx="127">
                  <c:v>0.9131131697025191</c:v>
                </c:pt>
                <c:pt idx="128">
                  <c:v>0.91319772839846913</c:v>
                </c:pt>
                <c:pt idx="129">
                  <c:v>0.91328186105033926</c:v>
                </c:pt>
                <c:pt idx="130">
                  <c:v>0.9133655702054928</c:v>
                </c:pt>
                <c:pt idx="131">
                  <c:v>0.91344885840504619</c:v>
                </c:pt>
                <c:pt idx="132">
                  <c:v>0.91353172818342476</c:v>
                </c:pt>
                <c:pt idx="133">
                  <c:v>0.91361418206793865</c:v>
                </c:pt>
                <c:pt idx="134">
                  <c:v>0.91369622257838023</c:v>
                </c:pt>
                <c:pt idx="135">
                  <c:v>0.91377785222663954</c:v>
                </c:pt>
                <c:pt idx="136">
                  <c:v>0.91385907351634588</c:v>
                </c:pt>
                <c:pt idx="137">
                  <c:v>0.91393988894251621</c:v>
                </c:pt>
                <c:pt idx="138">
                  <c:v>0.91402030099123499</c:v>
                </c:pt>
                <c:pt idx="139">
                  <c:v>0.91410031213933918</c:v>
                </c:pt>
                <c:pt idx="140">
                  <c:v>0.91417992485412802</c:v>
                </c:pt>
                <c:pt idx="141">
                  <c:v>0.91425914159308297</c:v>
                </c:pt>
                <c:pt idx="142">
                  <c:v>0.91433796480360829</c:v>
                </c:pt>
                <c:pt idx="143">
                  <c:v>0.91441639692277987</c:v>
                </c:pt>
                <c:pt idx="144">
                  <c:v>0.91449444037711392</c:v>
                </c:pt>
                <c:pt idx="145">
                  <c:v>0.9145720975823447</c:v>
                </c:pt>
                <c:pt idx="146">
                  <c:v>0.91464937094321852</c:v>
                </c:pt>
                <c:pt idx="147">
                  <c:v>0.91472626285329639</c:v>
                </c:pt>
                <c:pt idx="148">
                  <c:v>0.91480277569477508</c:v>
                </c:pt>
                <c:pt idx="149">
                  <c:v>0.91487891183830972</c:v>
                </c:pt>
                <c:pt idx="150">
                  <c:v>0.91495467364285721</c:v>
                </c:pt>
                <c:pt idx="151">
                  <c:v>0.91503006345552462</c:v>
                </c:pt>
                <c:pt idx="152">
                  <c:v>0.91510508361142839</c:v>
                </c:pt>
                <c:pt idx="153">
                  <c:v>0.91517973643356543</c:v>
                </c:pt>
                <c:pt idx="154">
                  <c:v>0.91525402423268942</c:v>
                </c:pt>
                <c:pt idx="155">
                  <c:v>0.91532794930720207</c:v>
                </c:pt>
                <c:pt idx="156">
                  <c:v>0.91540151394304725</c:v>
                </c:pt>
                <c:pt idx="157">
                  <c:v>0.91547472041361577</c:v>
                </c:pt>
                <c:pt idx="158">
                  <c:v>0.91554757097965744</c:v>
                </c:pt>
                <c:pt idx="159">
                  <c:v>0.91562006788920414</c:v>
                </c:pt>
                <c:pt idx="160">
                  <c:v>0.91569221337749451</c:v>
                </c:pt>
                <c:pt idx="161">
                  <c:v>0.91576400966690774</c:v>
                </c:pt>
                <c:pt idx="162">
                  <c:v>0.9158354589669081</c:v>
                </c:pt>
                <c:pt idx="163">
                  <c:v>0.91590656347398802</c:v>
                </c:pt>
                <c:pt idx="164">
                  <c:v>0.91597732537162613</c:v>
                </c:pt>
                <c:pt idx="165">
                  <c:v>0.91604774683024359</c:v>
                </c:pt>
                <c:pt idx="166">
                  <c:v>0.91611783000717062</c:v>
                </c:pt>
                <c:pt idx="167">
                  <c:v>0.91618757704661669</c:v>
                </c:pt>
                <c:pt idx="168">
                  <c:v>0.91625699007964734</c:v>
                </c:pt>
                <c:pt idx="169">
                  <c:v>0.91632607122416176</c:v>
                </c:pt>
                <c:pt idx="170">
                  <c:v>0.91639482258488369</c:v>
                </c:pt>
                <c:pt idx="171">
                  <c:v>0.9164632462533463</c:v>
                </c:pt>
                <c:pt idx="172">
                  <c:v>0.91653134430788941</c:v>
                </c:pt>
                <c:pt idx="173">
                  <c:v>0.91659911881365697</c:v>
                </c:pt>
                <c:pt idx="174">
                  <c:v>0.9166665718225997</c:v>
                </c:pt>
                <c:pt idx="175">
                  <c:v>0.91673370537348242</c:v>
                </c:pt>
                <c:pt idx="176">
                  <c:v>0.91680052149189284</c:v>
                </c:pt>
                <c:pt idx="177">
                  <c:v>0.91686702219025507</c:v>
                </c:pt>
                <c:pt idx="178">
                  <c:v>0.91693320946784784</c:v>
                </c:pt>
                <c:pt idx="179">
                  <c:v>0.91699908531082186</c:v>
                </c:pt>
                <c:pt idx="180">
                  <c:v>0.91706465169222695</c:v>
                </c:pt>
                <c:pt idx="181">
                  <c:v>0.91712991057203241</c:v>
                </c:pt>
                <c:pt idx="182">
                  <c:v>0.91719486389716143</c:v>
                </c:pt>
                <c:pt idx="183">
                  <c:v>0.91725951360151736</c:v>
                </c:pt>
                <c:pt idx="184">
                  <c:v>0.91732386160602186</c:v>
                </c:pt>
                <c:pt idx="185">
                  <c:v>0.91738790981864693</c:v>
                </c:pt>
                <c:pt idx="186">
                  <c:v>0.91745166013445734</c:v>
                </c:pt>
                <c:pt idx="187">
                  <c:v>0.91751511443564815</c:v>
                </c:pt>
                <c:pt idx="188">
                  <c:v>0.91757827459158914</c:v>
                </c:pt>
                <c:pt idx="189">
                  <c:v>0.9176411424588683</c:v>
                </c:pt>
                <c:pt idx="190">
                  <c:v>0.91770371988133947</c:v>
                </c:pt>
                <c:pt idx="191">
                  <c:v>0.91776600869017055</c:v>
                </c:pt>
                <c:pt idx="192">
                  <c:v>0.91782801070389086</c:v>
                </c:pt>
                <c:pt idx="193">
                  <c:v>0.91788972772844757</c:v>
                </c:pt>
                <c:pt idx="194">
                  <c:v>0.9179511615572532</c:v>
                </c:pt>
                <c:pt idx="195">
                  <c:v>0.91801231397124439</c:v>
                </c:pt>
                <c:pt idx="196">
                  <c:v>0.91807318673893579</c:v>
                </c:pt>
                <c:pt idx="197">
                  <c:v>0.91813378161647596</c:v>
                </c:pt>
                <c:pt idx="198">
                  <c:v>0.9181941003477091</c:v>
                </c:pt>
                <c:pt idx="199">
                  <c:v>0.9182541446642305</c:v>
                </c:pt>
                <c:pt idx="200">
                  <c:v>0.91831391628544901</c:v>
                </c:pt>
              </c:numCache>
            </c:numRef>
          </c:val>
          <c:smooth val="0"/>
          <c:extLst>
            <c:ext xmlns:c16="http://schemas.microsoft.com/office/drawing/2014/chart" uri="{C3380CC4-5D6E-409C-BE32-E72D297353CC}">
              <c16:uniqueId val="{00000001-39DF-4DF9-9D5A-11C17911BDDC}"/>
            </c:ext>
          </c:extLst>
        </c:ser>
        <c:ser>
          <c:idx val="4"/>
          <c:order val="10"/>
          <c:tx>
            <c:strRef>
              <c:f>'Efficiency vs VIN Calculations'!$Y$8</c:f>
              <c:strCache>
                <c:ptCount val="1"/>
                <c:pt idx="0">
                  <c:v>Core Loss</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Calculations'!$Y$9:$Y$209</c:f>
              <c:numCache>
                <c:formatCode>0.000</c:formatCode>
                <c:ptCount val="201"/>
                <c:pt idx="0">
                  <c:v>0.26799715872171348</c:v>
                </c:pt>
                <c:pt idx="1">
                  <c:v>0.27975121583219742</c:v>
                </c:pt>
                <c:pt idx="2">
                  <c:v>0.29162367340451267</c:v>
                </c:pt>
                <c:pt idx="3">
                  <c:v>0.3036078799742758</c:v>
                </c:pt>
                <c:pt idx="4">
                  <c:v>0.31569742101438547</c:v>
                </c:pt>
                <c:pt idx="5">
                  <c:v>0.32788611206096679</c:v>
                </c:pt>
                <c:pt idx="6">
                  <c:v>0.34016799186917956</c:v>
                </c:pt>
                <c:pt idx="7">
                  <c:v>0.35253731562590362</c:v>
                </c:pt>
                <c:pt idx="8">
                  <c:v>0.36498854824165494</c:v>
                </c:pt>
                <c:pt idx="9">
                  <c:v>0.377516357740108</c:v>
                </c:pt>
                <c:pt idx="10">
                  <c:v>0.39011560876017426</c:v>
                </c:pt>
                <c:pt idx="11">
                  <c:v>0.40278135618269306</c:v>
                </c:pt>
                <c:pt idx="12">
                  <c:v>0.41550883889127527</c:v>
                </c:pt>
                <c:pt idx="13">
                  <c:v>0.42829347367472315</c:v>
                </c:pt>
                <c:pt idx="14">
                  <c:v>0.44113084927661728</c:v>
                </c:pt>
                <c:pt idx="15">
                  <c:v>0.45401672059610781</c:v>
                </c:pt>
                <c:pt idx="16">
                  <c:v>0.46694700304263459</c:v>
                </c:pt>
                <c:pt idx="17">
                  <c:v>0.47991776704614708</c:v>
                </c:pt>
                <c:pt idx="18">
                  <c:v>0.49292523272347771</c:v>
                </c:pt>
                <c:pt idx="19">
                  <c:v>0.50596576470067733</c:v>
                </c:pt>
                <c:pt idx="20">
                  <c:v>0.51903586709046623</c:v>
                </c:pt>
                <c:pt idx="21">
                  <c:v>0.53213217862338946</c:v>
                </c:pt>
                <c:pt idx="22">
                  <c:v>0.54525146793074053</c:v>
                </c:pt>
                <c:pt idx="23">
                  <c:v>0.55839062897701663</c:v>
                </c:pt>
                <c:pt idx="24">
                  <c:v>0.57154667663924841</c:v>
                </c:pt>
                <c:pt idx="25">
                  <c:v>0.5847167424303612</c:v>
                </c:pt>
                <c:pt idx="26">
                  <c:v>0.59789807036348053</c:v>
                </c:pt>
                <c:pt idx="27">
                  <c:v>0.61108801295394122</c:v>
                </c:pt>
                <c:pt idx="28">
                  <c:v>0.62428402735565114</c:v>
                </c:pt>
                <c:pt idx="29">
                  <c:v>0.63748367162834119</c:v>
                </c:pt>
                <c:pt idx="30">
                  <c:v>0.65068460113222704</c:v>
                </c:pt>
                <c:pt idx="31">
                  <c:v>0.66388456504649618</c:v>
                </c:pt>
                <c:pt idx="32">
                  <c:v>0.67708140300810482</c:v>
                </c:pt>
                <c:pt idx="33">
                  <c:v>0.69027304186731098</c:v>
                </c:pt>
                <c:pt idx="34">
                  <c:v>0.70345749255641965</c:v>
                </c:pt>
                <c:pt idx="35">
                  <c:v>0.71663284706823749</c:v>
                </c:pt>
                <c:pt idx="36">
                  <c:v>0.72979727554078666</c:v>
                </c:pt>
                <c:pt idx="37">
                  <c:v>0.74294902344486846</c:v>
                </c:pt>
                <c:pt idx="38">
                  <c:v>0.75608640887113621</c:v>
                </c:pt>
                <c:pt idx="39">
                  <c:v>0.76920781991339493</c:v>
                </c:pt>
                <c:pt idx="40">
                  <c:v>0.78231171214492201</c:v>
                </c:pt>
                <c:pt idx="41">
                  <c:v>0.79539660618467223</c:v>
                </c:pt>
                <c:pt idx="42">
                  <c:v>0.80846108535031147</c:v>
                </c:pt>
                <c:pt idx="43">
                  <c:v>0.82150379339508517</c:v>
                </c:pt>
                <c:pt idx="44">
                  <c:v>0.83452343232565696</c:v>
                </c:pt>
                <c:pt idx="45">
                  <c:v>0.84751876029804463</c:v>
                </c:pt>
                <c:pt idx="46">
                  <c:v>0.86048858958897401</c:v>
                </c:pt>
                <c:pt idx="47">
                  <c:v>0.87343178463995752</c:v>
                </c:pt>
                <c:pt idx="48">
                  <c:v>0.88634726017152954</c:v>
                </c:pt>
                <c:pt idx="49">
                  <c:v>0.89923397936515903</c:v>
                </c:pt>
                <c:pt idx="50">
                  <c:v>0.91209095211039881</c:v>
                </c:pt>
                <c:pt idx="51">
                  <c:v>0.92491723331496545</c:v>
                </c:pt>
                <c:pt idx="52">
                  <c:v>0.9377119212754581</c:v>
                </c:pt>
                <c:pt idx="53">
                  <c:v>0.9504741561065615</c:v>
                </c:pt>
                <c:pt idx="54">
                  <c:v>0.96320311822659066</c:v>
                </c:pt>
                <c:pt idx="55">
                  <c:v>0.97589802689736338</c:v>
                </c:pt>
                <c:pt idx="56">
                  <c:v>0.98855813881642973</c:v>
                </c:pt>
                <c:pt idx="57">
                  <c:v>1.0011827467597332</c:v>
                </c:pt>
                <c:pt idx="58">
                  <c:v>1.0137711782729055</c:v>
                </c:pt>
                <c:pt idx="59">
                  <c:v>1.0263227944094</c:v>
                </c:pt>
                <c:pt idx="60">
                  <c:v>1.0388369885137649</c:v>
                </c:pt>
                <c:pt idx="61">
                  <c:v>1.0513131850484214</c:v>
                </c:pt>
                <c:pt idx="62">
                  <c:v>1.063750838462346</c:v>
                </c:pt>
                <c:pt idx="63">
                  <c:v>1.0761494321001326</c:v>
                </c:pt>
                <c:pt idx="64">
                  <c:v>1.0885084771499767</c:v>
                </c:pt>
                <c:pt idx="65">
                  <c:v>1.1008275116291375</c:v>
                </c:pt>
                <c:pt idx="66">
                  <c:v>1.1131060994055222</c:v>
                </c:pt>
                <c:pt idx="67">
                  <c:v>1.1253438292540945</c:v>
                </c:pt>
                <c:pt idx="68">
                  <c:v>1.1375403139467981</c:v>
                </c:pt>
                <c:pt idx="69">
                  <c:v>1.1496951893747975</c:v>
                </c:pt>
                <c:pt idx="70">
                  <c:v>1.1618081137018799</c:v>
                </c:pt>
                <c:pt idx="71">
                  <c:v>1.1738787665478341</c:v>
                </c:pt>
                <c:pt idx="72">
                  <c:v>1.1859068482007642</c:v>
                </c:pt>
                <c:pt idx="73">
                  <c:v>1.1978920788572409</c:v>
                </c:pt>
                <c:pt idx="74">
                  <c:v>1.2098341978893403</c:v>
                </c:pt>
                <c:pt idx="75">
                  <c:v>1.2217329631375229</c:v>
                </c:pt>
                <c:pt idx="76">
                  <c:v>1.2335881502284738</c:v>
                </c:pt>
                <c:pt idx="77">
                  <c:v>1.2453995519169752</c:v>
                </c:pt>
                <c:pt idx="78">
                  <c:v>1.2571669774509338</c:v>
                </c:pt>
                <c:pt idx="79">
                  <c:v>1.2688902519587593</c:v>
                </c:pt>
                <c:pt idx="80">
                  <c:v>1.2805692158582445</c:v>
                </c:pt>
                <c:pt idx="81">
                  <c:v>1.2922037242862072</c:v>
                </c:pt>
                <c:pt idx="82">
                  <c:v>1.3037936465481208</c:v>
                </c:pt>
                <c:pt idx="83">
                  <c:v>1.3153388655870493</c:v>
                </c:pt>
                <c:pt idx="84">
                  <c:v>1.3268392774711459</c:v>
                </c:pt>
                <c:pt idx="85">
                  <c:v>1.338294790899089</c:v>
                </c:pt>
                <c:pt idx="86">
                  <c:v>1.3497053267227892</c:v>
                </c:pt>
                <c:pt idx="87">
                  <c:v>1.3610708174867785</c:v>
                </c:pt>
                <c:pt idx="88">
                  <c:v>1.3723912069836433</c:v>
                </c:pt>
                <c:pt idx="89">
                  <c:v>1.3836664498249645</c:v>
                </c:pt>
                <c:pt idx="90">
                  <c:v>1.3948965110272082</c:v>
                </c:pt>
                <c:pt idx="91">
                  <c:v>1.406081365612009</c:v>
                </c:pt>
                <c:pt idx="92">
                  <c:v>1.4172209982203678</c:v>
                </c:pt>
                <c:pt idx="93">
                  <c:v>1.4283154027402558</c:v>
                </c:pt>
                <c:pt idx="94">
                  <c:v>1.4393645819471474</c:v>
                </c:pt>
                <c:pt idx="95">
                  <c:v>1.4503685471570169</c:v>
                </c:pt>
                <c:pt idx="96">
                  <c:v>1.4613273178914032</c:v>
                </c:pt>
                <c:pt idx="97">
                  <c:v>1.4722409215540488</c:v>
                </c:pt>
                <c:pt idx="98">
                  <c:v>1.4831093931187649</c:v>
                </c:pt>
                <c:pt idx="99">
                  <c:v>1.4939327748280891</c:v>
                </c:pt>
                <c:pt idx="100">
                  <c:v>1.5047111159023929</c:v>
                </c:pt>
                <c:pt idx="101">
                  <c:v>1.5154444722590306</c:v>
                </c:pt>
                <c:pt idx="102">
                  <c:v>1.5261329062412188</c:v>
                </c:pt>
                <c:pt idx="103">
                  <c:v>1.5367764863562781</c:v>
                </c:pt>
                <c:pt idx="104">
                  <c:v>1.5473752870229227</c:v>
                </c:pt>
                <c:pt idx="105">
                  <c:v>1.5579293883272816</c:v>
                </c:pt>
                <c:pt idx="106">
                  <c:v>1.5684388757873593</c:v>
                </c:pt>
                <c:pt idx="107">
                  <c:v>1.5789038401256104</c:v>
                </c:pt>
                <c:pt idx="108">
                  <c:v>1.5893243770493826</c:v>
                </c:pt>
                <c:pt idx="109">
                  <c:v>1.5997005870389305</c:v>
                </c:pt>
                <c:pt idx="110">
                  <c:v>1.6100325751427651</c:v>
                </c:pt>
                <c:pt idx="111">
                  <c:v>1.6203204507800486</c:v>
                </c:pt>
                <c:pt idx="112">
                  <c:v>1.6305643275498383</c:v>
                </c:pt>
                <c:pt idx="113">
                  <c:v>1.6407643230468827</c:v>
                </c:pt>
                <c:pt idx="114">
                  <c:v>1.6509205586838285</c:v>
                </c:pt>
                <c:pt idx="115">
                  <c:v>1.6610331595195171</c:v>
                </c:pt>
                <c:pt idx="116">
                  <c:v>1.6711022540932623</c:v>
                </c:pt>
                <c:pt idx="117">
                  <c:v>1.6811279742648246</c:v>
                </c:pt>
                <c:pt idx="118">
                  <c:v>1.6911104550599416</c:v>
                </c:pt>
                <c:pt idx="119">
                  <c:v>1.7010498345211906</c:v>
                </c:pt>
                <c:pt idx="120">
                  <c:v>1.7109462535640192</c:v>
                </c:pt>
                <c:pt idx="121">
                  <c:v>1.7207998558377715</c:v>
                </c:pt>
                <c:pt idx="122">
                  <c:v>1.7306107875915167</c:v>
                </c:pt>
                <c:pt idx="123">
                  <c:v>1.7403791975445417</c:v>
                </c:pt>
                <c:pt idx="124">
                  <c:v>1.7501052367613519</c:v>
                </c:pt>
                <c:pt idx="125">
                  <c:v>1.7597890585309821</c:v>
                </c:pt>
                <c:pt idx="126">
                  <c:v>1.7694308182505534</c:v>
                </c:pt>
                <c:pt idx="127">
                  <c:v>1.7790306733128414</c:v>
                </c:pt>
                <c:pt idx="128">
                  <c:v>1.7885887829978027</c:v>
                </c:pt>
                <c:pt idx="129">
                  <c:v>1.7981053083678384</c:v>
                </c:pt>
                <c:pt idx="130">
                  <c:v>1.807580412166784</c:v>
                </c:pt>
                <c:pt idx="131">
                  <c:v>1.8170142587223681</c:v>
                </c:pt>
                <c:pt idx="132">
                  <c:v>1.8264070138521469</c:v>
                </c:pt>
                <c:pt idx="133">
                  <c:v>1.8357588447726958</c:v>
                </c:pt>
                <c:pt idx="134">
                  <c:v>1.8450699200120226</c:v>
                </c:pt>
                <c:pt idx="135">
                  <c:v>1.8543404093250533</c:v>
                </c:pt>
                <c:pt idx="136">
                  <c:v>1.8635704836121214</c:v>
                </c:pt>
                <c:pt idx="137">
                  <c:v>1.8727603148402887</c:v>
                </c:pt>
                <c:pt idx="138">
                  <c:v>1.8819100759675256</c:v>
                </c:pt>
                <c:pt idx="139">
                  <c:v>1.8910199408695274</c:v>
                </c:pt>
                <c:pt idx="140">
                  <c:v>1.9000900842691455</c:v>
                </c:pt>
                <c:pt idx="141">
                  <c:v>1.9091206816683641</c:v>
                </c:pt>
                <c:pt idx="142">
                  <c:v>1.9181119092826875</c:v>
                </c:pt>
                <c:pt idx="143">
                  <c:v>1.9270639439778665</c:v>
                </c:pt>
                <c:pt idx="144">
                  <c:v>1.935976963208939</c:v>
                </c:pt>
                <c:pt idx="145">
                  <c:v>1.9448511449614361</c:v>
                </c:pt>
                <c:pt idx="146">
                  <c:v>1.9536866676947284</c:v>
                </c:pt>
                <c:pt idx="147">
                  <c:v>1.9624837102874186</c:v>
                </c:pt>
                <c:pt idx="148">
                  <c:v>1.9712424519847418</c:v>
                </c:pt>
                <c:pt idx="149">
                  <c:v>1.9799630723478683</c:v>
                </c:pt>
                <c:pt idx="150">
                  <c:v>1.9886457512050664</c:v>
                </c:pt>
                <c:pt idx="151">
                  <c:v>1.9972906686046701</c:v>
                </c:pt>
                <c:pt idx="152">
                  <c:v>2.0058980047697932</c:v>
                </c:pt>
                <c:pt idx="153">
                  <c:v>2.0144679400546828</c:v>
                </c:pt>
                <c:pt idx="154">
                  <c:v>2.0230006549027637</c:v>
                </c:pt>
                <c:pt idx="155">
                  <c:v>2.0314963298061808</c:v>
                </c:pt>
                <c:pt idx="156">
                  <c:v>2.0399551452669282</c:v>
                </c:pt>
                <c:pt idx="157">
                  <c:v>2.0483772817593882</c:v>
                </c:pt>
                <c:pt idx="158">
                  <c:v>2.0567629196943362</c:v>
                </c:pt>
                <c:pt idx="159">
                  <c:v>2.0651122393842938</c:v>
                </c:pt>
                <c:pt idx="160">
                  <c:v>2.0734254210102345</c:v>
                </c:pt>
                <c:pt idx="161">
                  <c:v>2.0817026445895292</c:v>
                </c:pt>
                <c:pt idx="162">
                  <c:v>2.0899440899451922</c:v>
                </c:pt>
                <c:pt idx="163">
                  <c:v>2.0981499366762812</c:v>
                </c:pt>
                <c:pt idx="164">
                  <c:v>2.1063203641294961</c:v>
                </c:pt>
                <c:pt idx="165">
                  <c:v>2.1144555513718681</c:v>
                </c:pt>
                <c:pt idx="166">
                  <c:v>2.1225556771645553</c:v>
                </c:pt>
                <c:pt idx="167">
                  <c:v>2.1306209199376975</c:v>
                </c:pt>
                <c:pt idx="168">
                  <c:v>2.1386514577662528</c:v>
                </c:pt>
                <c:pt idx="169">
                  <c:v>2.1466474683468624</c:v>
                </c:pt>
                <c:pt idx="170">
                  <c:v>2.1546091289756295</c:v>
                </c:pt>
                <c:pt idx="171">
                  <c:v>2.1625366165268334</c:v>
                </c:pt>
                <c:pt idx="172">
                  <c:v>2.170430107432531</c:v>
                </c:pt>
                <c:pt idx="173">
                  <c:v>2.1782897776630139</c:v>
                </c:pt>
                <c:pt idx="174">
                  <c:v>2.1861158027081062</c:v>
                </c:pt>
                <c:pt idx="175">
                  <c:v>2.1939083575592488</c:v>
                </c:pt>
                <c:pt idx="176">
                  <c:v>2.2016676166923763</c:v>
                </c:pt>
                <c:pt idx="177">
                  <c:v>2.2093937540515354</c:v>
                </c:pt>
                <c:pt idx="178">
                  <c:v>2.2170869430332401</c:v>
                </c:pt>
                <c:pt idx="179">
                  <c:v>2.224747356471525</c:v>
                </c:pt>
                <c:pt idx="180">
                  <c:v>2.2323751666236595</c:v>
                </c:pt>
                <c:pt idx="181">
                  <c:v>2.2399705451565497</c:v>
                </c:pt>
                <c:pt idx="182">
                  <c:v>2.2475336631337632</c:v>
                </c:pt>
                <c:pt idx="183">
                  <c:v>2.2550646910031511</c:v>
                </c:pt>
                <c:pt idx="184">
                  <c:v>2.2625637985850808</c:v>
                </c:pt>
                <c:pt idx="185">
                  <c:v>2.2700311550612415</c:v>
                </c:pt>
                <c:pt idx="186">
                  <c:v>2.277466928964003</c:v>
                </c:pt>
                <c:pt idx="187">
                  <c:v>2.284871288166304</c:v>
                </c:pt>
                <c:pt idx="188">
                  <c:v>2.2922443998720481</c:v>
                </c:pt>
                <c:pt idx="189">
                  <c:v>2.2995864306070457</c:v>
                </c:pt>
                <c:pt idx="190">
                  <c:v>2.3068975462103771</c:v>
                </c:pt>
                <c:pt idx="191">
                  <c:v>2.3141779118262691</c:v>
                </c:pt>
                <c:pt idx="192">
                  <c:v>2.3214276918964045</c:v>
                </c:pt>
                <c:pt idx="193">
                  <c:v>2.328647050152679</c:v>
                </c:pt>
                <c:pt idx="194">
                  <c:v>2.3358361496103468</c:v>
                </c:pt>
                <c:pt idx="195">
                  <c:v>2.3429951525616373</c:v>
                </c:pt>
                <c:pt idx="196">
                  <c:v>2.3501242205697004</c:v>
                </c:pt>
                <c:pt idx="197">
                  <c:v>2.357223514462957</c:v>
                </c:pt>
                <c:pt idx="198">
                  <c:v>2.3642931943298415</c:v>
                </c:pt>
                <c:pt idx="199">
                  <c:v>2.3713334195138445</c:v>
                </c:pt>
                <c:pt idx="200">
                  <c:v>2.3783443486089562</c:v>
                </c:pt>
              </c:numCache>
            </c:numRef>
          </c:val>
          <c:smooth val="0"/>
          <c:extLst>
            <c:ext xmlns:c16="http://schemas.microsoft.com/office/drawing/2014/chart" uri="{C3380CC4-5D6E-409C-BE32-E72D297353CC}">
              <c16:uniqueId val="{00000002-39DF-4DF9-9D5A-11C17911BDDC}"/>
            </c:ext>
          </c:extLst>
        </c:ser>
        <c:dLbls>
          <c:showLegendKey val="0"/>
          <c:showVal val="0"/>
          <c:showCatName val="0"/>
          <c:showSerName val="0"/>
          <c:showPercent val="0"/>
          <c:showBubbleSize val="0"/>
        </c:dLbls>
        <c:marker val="1"/>
        <c:smooth val="0"/>
        <c:axId val="196432256"/>
        <c:axId val="196421888"/>
        <c:extLst>
          <c:ext xmlns:c15="http://schemas.microsoft.com/office/drawing/2012/chart" uri="{02D57815-91ED-43cb-92C2-25804820EDAC}">
            <c15:filteredLineSeries>
              <c15:ser>
                <c:idx val="12"/>
                <c:order val="2"/>
                <c:tx>
                  <c:strRef>
                    <c:extLst>
                      <c:ext uri="{02D57815-91ED-43cb-92C2-25804820EDAC}">
                        <c15:formulaRef>
                          <c15:sqref>'Efficiency vs VIN Calculations'!$BB$8</c15:sqref>
                        </c15:formulaRef>
                      </c:ext>
                    </c:extLst>
                    <c:strCache>
                      <c:ptCount val="1"/>
                      <c:pt idx="0">
                        <c:v>Reverse Recovery Loss MOSFET D BOOST</c:v>
                      </c:pt>
                    </c:strCache>
                  </c:strRef>
                </c:tx>
                <c:marker>
                  <c:symbol val="none"/>
                </c:marker>
                <c:cat>
                  <c:numRef>
                    <c:extLst>
                      <c:ex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c:ext uri="{02D57815-91ED-43cb-92C2-25804820EDAC}">
                        <c15:formulaRef>
                          <c15:sqref>'Efficiency vs VIN Calculations'!$BB$9:$BB$209</c15:sqref>
                        </c15:formulaRef>
                      </c:ext>
                    </c:extLst>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4-39DF-4DF9-9D5A-11C17911BDDC}"/>
                  </c:ext>
                </c:extLst>
              </c15:ser>
            </c15:filteredLineSeries>
            <c15:filteredLineSeries>
              <c15:ser>
                <c:idx val="11"/>
                <c:order val="3"/>
                <c:tx>
                  <c:strRef>
                    <c:extLst xmlns:c15="http://schemas.microsoft.com/office/drawing/2012/chart">
                      <c:ext xmlns:c15="http://schemas.microsoft.com/office/drawing/2012/chart" uri="{02D57815-91ED-43cb-92C2-25804820EDAC}">
                        <c15:formulaRef>
                          <c15:sqref>'Efficiency vs VIN Calculations'!$AU$7</c15:sqref>
                        </c15:formulaRef>
                      </c:ext>
                    </c:extLst>
                    <c:strCache>
                      <c:ptCount val="1"/>
                      <c:pt idx="0">
                        <c:v>High-side BOOST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Calculations'!$AX$9:$AX$209</c15:sqref>
                        </c15:formulaRef>
                      </c:ext>
                    </c:extLst>
                    <c:numCache>
                      <c:formatCode>0.000</c:formatCode>
                      <c:ptCount val="201"/>
                      <c:pt idx="0">
                        <c:v>0.71051455693915033</c:v>
                      </c:pt>
                      <c:pt idx="1">
                        <c:v>0.71062929431359978</c:v>
                      </c:pt>
                      <c:pt idx="2">
                        <c:v>0.7107445488526366</c:v>
                      </c:pt>
                      <c:pt idx="3">
                        <c:v>0.71086026741060471</c:v>
                      </c:pt>
                      <c:pt idx="4">
                        <c:v>0.71097639943322877</c:v>
                      </c:pt>
                      <c:pt idx="5">
                        <c:v>0.71109289683160382</c:v>
                      </c:pt>
                      <c:pt idx="6">
                        <c:v>0.71120971386280474</c:v>
                      </c:pt>
                      <c:pt idx="7">
                        <c:v>0.71132680701673412</c:v>
                      </c:pt>
                      <c:pt idx="8">
                        <c:v>0.71144413490885572</c:v>
                      </c:pt>
                      <c:pt idx="9">
                        <c:v>0.71156165817847028</c:v>
                      </c:pt>
                      <c:pt idx="10">
                        <c:v>0.71167933939222783</c:v>
                      </c:pt>
                      <c:pt idx="11">
                        <c:v>0.71179714295257812</c:v>
                      </c:pt>
                      <c:pt idx="12">
                        <c:v>0.71191503501088294</c:v>
                      </c:pt>
                      <c:pt idx="13">
                        <c:v>0.71203298338493093</c:v>
                      </c:pt>
                      <c:pt idx="14">
                        <c:v>0.7121509574806143</c:v>
                      </c:pt>
                      <c:pt idx="15">
                        <c:v>0.71226892821753163</c:v>
                      </c:pt>
                      <c:pt idx="16">
                        <c:v>0.71238686795830952</c:v>
                      </c:pt>
                      <c:pt idx="17">
                        <c:v>0.71250475044143669</c:v>
                      </c:pt>
                      <c:pt idx="18">
                        <c:v>0.71262255071741665</c:v>
                      </c:pt>
                      <c:pt idx="19">
                        <c:v>0.71274024508807221</c:v>
                      </c:pt>
                      <c:pt idx="20">
                        <c:v>0.7128578110488154</c:v>
                      </c:pt>
                      <c:pt idx="21">
                        <c:v>0.71297522723374396</c:v>
                      </c:pt>
                      <c:pt idx="22">
                        <c:v>0.71309247336339565</c:v>
                      </c:pt>
                      <c:pt idx="23">
                        <c:v>0.71320953019503774</c:v>
                      </c:pt>
                      <c:pt idx="24">
                        <c:v>0.71332637947534305</c:v>
                      </c:pt>
                      <c:pt idx="25">
                        <c:v>0.71344300389534065</c:v>
                      </c:pt>
                      <c:pt idx="26">
                        <c:v>0.71355938704751409</c:v>
                      </c:pt>
                      <c:pt idx="27">
                        <c:v>0.71367551338493884</c:v>
                      </c:pt>
                      <c:pt idx="28">
                        <c:v>0.71379136818235966</c:v>
                      </c:pt>
                      <c:pt idx="29">
                        <c:v>0.71390693749909595</c:v>
                      </c:pt>
                      <c:pt idx="30">
                        <c:v>0.71402220814369499</c:v>
                      </c:pt>
                      <c:pt idx="31">
                        <c:v>0.71413716764023671</c:v>
                      </c:pt>
                      <c:pt idx="32">
                        <c:v>0.71425180419620959</c:v>
                      </c:pt>
                      <c:pt idx="33">
                        <c:v>0.71436610667187483</c:v>
                      </c:pt>
                      <c:pt idx="34">
                        <c:v>0.7144800645510524</c:v>
                      </c:pt>
                      <c:pt idx="35">
                        <c:v>0.71459366791324774</c:v>
                      </c:pt>
                      <c:pt idx="36">
                        <c:v>0.71470690740706289</c:v>
                      </c:pt>
                      <c:pt idx="37">
                        <c:v>0.71481977422481846</c:v>
                      </c:pt>
                      <c:pt idx="38">
                        <c:v>0.7149322600783371</c:v>
                      </c:pt>
                      <c:pt idx="39">
                        <c:v>0.71504435717582426</c:v>
                      </c:pt>
                      <c:pt idx="40">
                        <c:v>0.71515605819979522</c:v>
                      </c:pt>
                      <c:pt idx="41">
                        <c:v>0.71526735628599858</c:v>
                      </c:pt>
                      <c:pt idx="42">
                        <c:v>0.71537824500328751</c:v>
                      </c:pt>
                      <c:pt idx="43">
                        <c:v>0.71548871833439087</c:v>
                      </c:pt>
                      <c:pt idx="44">
                        <c:v>0.71559877065754696</c:v>
                      </c:pt>
                      <c:pt idx="45">
                        <c:v>0.7157083967289497</c:v>
                      </c:pt>
                      <c:pt idx="46">
                        <c:v>0.71581759166598036</c:v>
                      </c:pt>
                      <c:pt idx="47">
                        <c:v>0.71592635093117518</c:v>
                      </c:pt>
                      <c:pt idx="48">
                        <c:v>0.71603467031690382</c:v>
                      </c:pt>
                      <c:pt idx="49">
                        <c:v>0.71614254593072213</c:v>
                      </c:pt>
                      <c:pt idx="50">
                        <c:v>0.71624997418136394</c:v>
                      </c:pt>
                      <c:pt idx="51">
                        <c:v>0.71635695176534997</c:v>
                      </c:pt>
                      <c:pt idx="52">
                        <c:v>0.71646347565417712</c:v>
                      </c:pt>
                      <c:pt idx="53">
                        <c:v>0.71656954308206799</c:v>
                      </c:pt>
                      <c:pt idx="54">
                        <c:v>0.71667515153424932</c:v>
                      </c:pt>
                      <c:pt idx="55">
                        <c:v>0.71678029873573956</c:v>
                      </c:pt>
                      <c:pt idx="56">
                        <c:v>0.71688498264061973</c:v>
                      </c:pt>
                      <c:pt idx="57">
                        <c:v>0.71698920142176636</c:v>
                      </c:pt>
                      <c:pt idx="58">
                        <c:v>0.71709295346102542</c:v>
                      </c:pt>
                      <c:pt idx="59">
                        <c:v>0.71719623733980808</c:v>
                      </c:pt>
                      <c:pt idx="60">
                        <c:v>0.71729905183008602</c:v>
                      </c:pt>
                      <c:pt idx="61">
                        <c:v>0.71740139588577734</c:v>
                      </c:pt>
                      <c:pt idx="62">
                        <c:v>0.71750326863448888</c:v>
                      </c:pt>
                      <c:pt idx="63">
                        <c:v>0.71760466936962075</c:v>
                      </c:pt>
                      <c:pt idx="64">
                        <c:v>0.71770559754279717</c:v>
                      </c:pt>
                      <c:pt idx="65">
                        <c:v>0.71780605275662246</c:v>
                      </c:pt>
                      <c:pt idx="66">
                        <c:v>0.71790603475773995</c:v>
                      </c:pt>
                      <c:pt idx="67">
                        <c:v>0.71800554343018774</c:v>
                      </c:pt>
                      <c:pt idx="68">
                        <c:v>0.71810457878902823</c:v>
                      </c:pt>
                      <c:pt idx="69">
                        <c:v>0.7182031409742512</c:v>
                      </c:pt>
                      <c:pt idx="70">
                        <c:v>0.71830123024492853</c:v>
                      </c:pt>
                      <c:pt idx="71">
                        <c:v>0.71839884697361778</c:v>
                      </c:pt>
                      <c:pt idx="72">
                        <c:v>0.71849599164099476</c:v>
                      </c:pt>
                      <c:pt idx="73">
                        <c:v>0.71859266483071604</c:v>
                      </c:pt>
                      <c:pt idx="74">
                        <c:v>0.71868886722449099</c:v>
                      </c:pt>
                      <c:pt idx="75">
                        <c:v>0.71878459959736318</c:v>
                      </c:pt>
                      <c:pt idx="76">
                        <c:v>0.71887986281318372</c:v>
                      </c:pt>
                      <c:pt idx="77">
                        <c:v>0.71897465782027836</c:v>
                      </c:pt>
                      <c:pt idx="78">
                        <c:v>0.71906898564729005</c:v>
                      </c:pt>
                      <c:pt idx="79">
                        <c:v>0.719162847399196</c:v>
                      </c:pt>
                      <c:pt idx="80">
                        <c:v>0.71925624425349088</c:v>
                      </c:pt>
                      <c:pt idx="81">
                        <c:v>0.71934917745652505</c:v>
                      </c:pt>
                      <c:pt idx="82">
                        <c:v>0.71944164831999735</c:v>
                      </c:pt>
                      <c:pt idx="83">
                        <c:v>0.71953365821759319</c:v>
                      </c:pt>
                      <c:pt idx="84">
                        <c:v>0.7196252085817596</c:v>
                      </c:pt>
                      <c:pt idx="85">
                        <c:v>0.71971630090061556</c:v>
                      </c:pt>
                      <c:pt idx="86">
                        <c:v>0.71980693671498774</c:v>
                      </c:pt>
                      <c:pt idx="87">
                        <c:v>0.71989711761557373</c:v>
                      </c:pt>
                      <c:pt idx="88">
                        <c:v>0.71998684524021606</c:v>
                      </c:pt>
                      <c:pt idx="89">
                        <c:v>0.72007612127129417</c:v>
                      </c:pt>
                      <c:pt idx="90">
                        <c:v>0.72016494743322113</c:v>
                      </c:pt>
                      <c:pt idx="91">
                        <c:v>0.72025332549004506</c:v>
                      </c:pt>
                      <c:pt idx="92">
                        <c:v>0.72034125724315157</c:v>
                      </c:pt>
                      <c:pt idx="93">
                        <c:v>0.72042874452905614</c:v>
                      </c:pt>
                      <c:pt idx="94">
                        <c:v>0.72051578921729431</c:v>
                      </c:pt>
                      <c:pt idx="95">
                        <c:v>0.7206023932083947</c:v>
                      </c:pt>
                      <c:pt idx="96">
                        <c:v>0.72068855843193713</c:v>
                      </c:pt>
                      <c:pt idx="97">
                        <c:v>0.72077428684469491</c:v>
                      </c:pt>
                      <c:pt idx="98">
                        <c:v>0.72085958042884679</c:v>
                      </c:pt>
                      <c:pt idx="99">
                        <c:v>0.72094444119027157</c:v>
                      </c:pt>
                      <c:pt idx="100">
                        <c:v>0.7210288711569085</c:v>
                      </c:pt>
                      <c:pt idx="101">
                        <c:v>0.72111287237718669</c:v>
                      </c:pt>
                      <c:pt idx="102">
                        <c:v>0.72119644691852336</c:v>
                      </c:pt>
                      <c:pt idx="103">
                        <c:v>0.72127959686588061</c:v>
                      </c:pt>
                      <c:pt idx="104">
                        <c:v>0.72136232432038594</c:v>
                      </c:pt>
                      <c:pt idx="105">
                        <c:v>0.72144463139800885</c:v>
                      </c:pt>
                      <c:pt idx="106">
                        <c:v>0.72152652022829278</c:v>
                      </c:pt>
                      <c:pt idx="107">
                        <c:v>0.72160799295314437</c:v>
                      </c:pt>
                      <c:pt idx="108">
                        <c:v>0.72168905172567044</c:v>
                      </c:pt>
                      <c:pt idx="109">
                        <c:v>0.72176969870906138</c:v>
                      </c:pt>
                      <c:pt idx="110">
                        <c:v>0.72184993607553116</c:v>
                      </c:pt>
                      <c:pt idx="111">
                        <c:v>0.72192976600529313</c:v>
                      </c:pt>
                      <c:pt idx="112">
                        <c:v>0.72200919068558667</c:v>
                      </c:pt>
                      <c:pt idx="113">
                        <c:v>0.7220882123097393</c:v>
                      </c:pt>
                      <c:pt idx="114">
                        <c:v>0.72216683307627494</c:v>
                      </c:pt>
                      <c:pt idx="115">
                        <c:v>0.72224505518805848</c:v>
                      </c:pt>
                      <c:pt idx="116">
                        <c:v>0.72232288085147489</c:v>
                      </c:pt>
                      <c:pt idx="117">
                        <c:v>0.72240031227564994</c:v>
                      </c:pt>
                      <c:pt idx="118">
                        <c:v>0.72247735167169913</c:v>
                      </c:pt>
                      <c:pt idx="119">
                        <c:v>0.72255400125201374</c:v>
                      </c:pt>
                      <c:pt idx="120">
                        <c:v>0.72263026322957558</c:v>
                      </c:pt>
                      <c:pt idx="121">
                        <c:v>0.72270613981730636</c:v>
                      </c:pt>
                      <c:pt idx="122">
                        <c:v>0.72278163322743916</c:v>
                      </c:pt>
                      <c:pt idx="123">
                        <c:v>0.72285674567092728</c:v>
                      </c:pt>
                      <c:pt idx="124">
                        <c:v>0.7229314793568713</c:v>
                      </c:pt>
                      <c:pt idx="125">
                        <c:v>0.72300583649197769</c:v>
                      </c:pt>
                      <c:pt idx="126">
                        <c:v>0.7230798192800395</c:v>
                      </c:pt>
                      <c:pt idx="127">
                        <c:v>0.72315342992144316</c:v>
                      </c:pt>
                      <c:pt idx="128">
                        <c:v>0.72322667061269541</c:v>
                      </c:pt>
                      <c:pt idx="129">
                        <c:v>0.72329954354597548</c:v>
                      </c:pt>
                      <c:pt idx="130">
                        <c:v>0.72337205090870649</c:v>
                      </c:pt>
                      <c:pt idx="131">
                        <c:v>0.72344419488314715</c:v>
                      </c:pt>
                      <c:pt idx="132">
                        <c:v>0.72351597764600373</c:v>
                      </c:pt>
                      <c:pt idx="133">
                        <c:v>0.72358740136806232</c:v>
                      </c:pt>
                      <c:pt idx="134">
                        <c:v>0.7236584682138355</c:v>
                      </c:pt>
                      <c:pt idx="135">
                        <c:v>0.72372918034122879</c:v>
                      </c:pt>
                      <c:pt idx="136">
                        <c:v>0.72379953990122581</c:v>
                      </c:pt>
                      <c:pt idx="137">
                        <c:v>0.7238695490375836</c:v>
                      </c:pt>
                      <c:pt idx="138">
                        <c:v>0.72393920988655047</c:v>
                      </c:pt>
                      <c:pt idx="139">
                        <c:v>0.72400852457659237</c:v>
                      </c:pt>
                      <c:pt idx="140">
                        <c:v>0.72407749522813869</c:v>
                      </c:pt>
                      <c:pt idx="141">
                        <c:v>0.72414612395333677</c:v>
                      </c:pt>
                      <c:pt idx="142">
                        <c:v>0.72421441285582466</c:v>
                      </c:pt>
                      <c:pt idx="143">
                        <c:v>0.72428236403051205</c:v>
                      </c:pt>
                      <c:pt idx="144">
                        <c:v>0.72434997956337643</c:v>
                      </c:pt>
                      <c:pt idx="145">
                        <c:v>0.72441726153126862</c:v>
                      </c:pt>
                      <c:pt idx="146">
                        <c:v>0.72448421200173219</c:v>
                      </c:pt>
                      <c:pt idx="147">
                        <c:v>0.72455083303282952</c:v>
                      </c:pt>
                      <c:pt idx="148">
                        <c:v>0.72461712667298406</c:v>
                      </c:pt>
                      <c:pt idx="149">
                        <c:v>0.72468309496082528</c:v>
                      </c:pt>
                      <c:pt idx="150">
                        <c:v>0.7247487399250504</c:v>
                      </c:pt>
                      <c:pt idx="151">
                        <c:v>0.72481406358428946</c:v>
                      </c:pt>
                      <c:pt idx="152">
                        <c:v>0.72487906794698231</c:v>
                      </c:pt>
                      <c:pt idx="153">
                        <c:v>0.72494375501126473</c:v>
                      </c:pt>
                      <c:pt idx="154">
                        <c:v>0.72500812676485804</c:v>
                      </c:pt>
                      <c:pt idx="155">
                        <c:v>0.72507218518497207</c:v>
                      </c:pt>
                      <c:pt idx="156">
                        <c:v>0.72513593223821315</c:v>
                      </c:pt>
                      <c:pt idx="157">
                        <c:v>0.72519936988049805</c:v>
                      </c:pt>
                      <c:pt idx="158">
                        <c:v>0.72526250005697446</c:v>
                      </c:pt>
                      <c:pt idx="159">
                        <c:v>0.72532532470195432</c:v>
                      </c:pt>
                      <c:pt idx="160">
                        <c:v>0.72538784573884518</c:v>
                      </c:pt>
                      <c:pt idx="161">
                        <c:v>0.72545006508009025</c:v>
                      </c:pt>
                      <c:pt idx="162">
                        <c:v>0.7255119846271183</c:v>
                      </c:pt>
                      <c:pt idx="163">
                        <c:v>0.72557360627029333</c:v>
                      </c:pt>
                      <c:pt idx="164">
                        <c:v>0.72563493188887418</c:v>
                      </c:pt>
                      <c:pt idx="165">
                        <c:v>0.72569596335097608</c:v>
                      </c:pt>
                      <c:pt idx="166">
                        <c:v>0.72575670251353852</c:v>
                      </c:pt>
                      <c:pt idx="167">
                        <c:v>0.72581715122229762</c:v>
                      </c:pt>
                      <c:pt idx="168">
                        <c:v>0.72587731131176469</c:v>
                      </c:pt>
                      <c:pt idx="169">
                        <c:v>0.7259371846052034</c:v>
                      </c:pt>
                      <c:pt idx="170">
                        <c:v>0.7259967729146205</c:v>
                      </c:pt>
                      <c:pt idx="171">
                        <c:v>0.72605607804075101</c:v>
                      </c:pt>
                      <c:pt idx="172">
                        <c:v>0.72611510177305316</c:v>
                      </c:pt>
                      <c:pt idx="173">
                        <c:v>0.72617384588970457</c:v>
                      </c:pt>
                      <c:pt idx="174">
                        <c:v>0.72623231215760287</c:v>
                      </c:pt>
                      <c:pt idx="175">
                        <c:v>0.7262905023323688</c:v>
                      </c:pt>
                      <c:pt idx="176">
                        <c:v>0.72634841815835371</c:v>
                      </c:pt>
                      <c:pt idx="177">
                        <c:v>0.72640606136864783</c:v>
                      </c:pt>
                      <c:pt idx="178">
                        <c:v>0.72646343368509503</c:v>
                      </c:pt>
                      <c:pt idx="179">
                        <c:v>0.72652053681830564</c:v>
                      </c:pt>
                      <c:pt idx="180">
                        <c:v>0.7265773724676784</c:v>
                      </c:pt>
                      <c:pt idx="181">
                        <c:v>0.72663394232141587</c:v>
                      </c:pt>
                      <c:pt idx="182">
                        <c:v>0.72669024805655202</c:v>
                      </c:pt>
                      <c:pt idx="183">
                        <c:v>0.72674629133897484</c:v>
                      </c:pt>
                      <c:pt idx="184">
                        <c:v>0.72680207382345574</c:v>
                      </c:pt>
                      <c:pt idx="185">
                        <c:v>0.7268575971536767</c:v>
                      </c:pt>
                      <c:pt idx="186">
                        <c:v>0.72691286296226487</c:v>
                      </c:pt>
                      <c:pt idx="187">
                        <c:v>0.72696787287082365</c:v>
                      </c:pt>
                      <c:pt idx="188">
                        <c:v>0.7270226284899689</c:v>
                      </c:pt>
                      <c:pt idx="189">
                        <c:v>0.7270771314193657</c:v>
                      </c:pt>
                      <c:pt idx="190">
                        <c:v>0.72713138324776716</c:v>
                      </c:pt>
                      <c:pt idx="191">
                        <c:v>0.7271853855530559</c:v>
                      </c:pt>
                      <c:pt idx="192">
                        <c:v>0.72723913990228151</c:v>
                      </c:pt>
                      <c:pt idx="193">
                        <c:v>0.72729264785170977</c:v>
                      </c:pt>
                      <c:pt idx="194">
                        <c:v>0.72734591094686085</c:v>
                      </c:pt>
                      <c:pt idx="195">
                        <c:v>0.72739893072255946</c:v>
                      </c:pt>
                      <c:pt idx="196">
                        <c:v>0.72745170870297959</c:v>
                      </c:pt>
                      <c:pt idx="197">
                        <c:v>0.72750424640169165</c:v>
                      </c:pt>
                      <c:pt idx="198">
                        <c:v>0.72755654532171454</c:v>
                      </c:pt>
                      <c:pt idx="199">
                        <c:v>0.72760860695556173</c:v>
                      </c:pt>
                      <c:pt idx="200">
                        <c:v>0.7276604327852948</c:v>
                      </c:pt>
                    </c:numCache>
                  </c:numRef>
                </c:val>
                <c:smooth val="0"/>
                <c:extLst xmlns:c15="http://schemas.microsoft.com/office/drawing/2012/chart">
                  <c:ext xmlns:c16="http://schemas.microsoft.com/office/drawing/2014/chart" uri="{C3380CC4-5D6E-409C-BE32-E72D297353CC}">
                    <c16:uniqueId val="{00000005-39DF-4DF9-9D5A-11C17911BDDC}"/>
                  </c:ext>
                </c:extLst>
              </c15:ser>
            </c15:filteredLineSeries>
            <c15:filteredLineSeries>
              <c15:ser>
                <c:idx val="10"/>
                <c:order val="4"/>
                <c:tx>
                  <c:strRef>
                    <c:extLst xmlns:c15="http://schemas.microsoft.com/office/drawing/2012/chart">
                      <c:ext xmlns:c15="http://schemas.microsoft.com/office/drawing/2012/chart" uri="{02D57815-91ED-43cb-92C2-25804820EDAC}">
                        <c15:formulaRef>
                          <c15:sqref>'Efficiency vs VIN Calculations'!$AP$7</c15:sqref>
                        </c15:formulaRef>
                      </c:ext>
                    </c:extLst>
                    <c:strCache>
                      <c:ptCount val="1"/>
                      <c:pt idx="0">
                        <c:v>Low-side BOOST "Control"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Calculations'!$AT$9:$AT$209</c15:sqref>
                        </c15:formulaRef>
                      </c:ext>
                    </c:extLst>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xmlns:c15="http://schemas.microsoft.com/office/drawing/2012/chart">
                  <c:ext xmlns:c16="http://schemas.microsoft.com/office/drawing/2014/chart" uri="{C3380CC4-5D6E-409C-BE32-E72D297353CC}">
                    <c16:uniqueId val="{00000006-39DF-4DF9-9D5A-11C17911BDDC}"/>
                  </c:ext>
                </c:extLst>
              </c15:ser>
            </c15:filteredLineSeries>
            <c15:filteredLineSeries>
              <c15:ser>
                <c:idx val="9"/>
                <c:order val="5"/>
                <c:tx>
                  <c:strRef>
                    <c:extLst xmlns:c15="http://schemas.microsoft.com/office/drawing/2012/chart">
                      <c:ext xmlns:c15="http://schemas.microsoft.com/office/drawing/2012/chart" uri="{02D57815-91ED-43cb-92C2-25804820EDAC}">
                        <c15:formulaRef>
                          <c15:sqref>'Efficiency vs VIN Calculations'!$AL$7</c15:sqref>
                        </c15:formulaRef>
                      </c:ext>
                    </c:extLst>
                    <c:strCache>
                      <c:ptCount val="1"/>
                      <c:pt idx="0">
                        <c:v>Low-side BUCK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Calculations'!$AO$9:$AO$209</c15:sqref>
                        </c15:formulaRef>
                      </c:ext>
                    </c:extLst>
                    <c:numCache>
                      <c:formatCode>0.000</c:formatCode>
                      <c:ptCount val="201"/>
                      <c:pt idx="0">
                        <c:v>0.76682892981848416</c:v>
                      </c:pt>
                      <c:pt idx="1">
                        <c:v>0.77067995133071665</c:v>
                      </c:pt>
                      <c:pt idx="2">
                        <c:v>0.77448532657974101</c:v>
                      </c:pt>
                      <c:pt idx="3">
                        <c:v>0.77824588924239702</c:v>
                      </c:pt>
                      <c:pt idx="4">
                        <c:v>0.78196245207250448</c:v>
                      </c:pt>
                      <c:pt idx="5">
                        <c:v>0.78563580757727103</c:v>
                      </c:pt>
                      <c:pt idx="6">
                        <c:v>0.78926672866675163</c:v>
                      </c:pt>
                      <c:pt idx="7">
                        <c:v>0.7928559692776449</c:v>
                      </c:pt>
                      <c:pt idx="8">
                        <c:v>0.79640426497262817</c:v>
                      </c:pt>
                      <c:pt idx="9">
                        <c:v>0.79991233351637692</c:v>
                      </c:pt>
                      <c:pt idx="10">
                        <c:v>0.80338087542934766</c:v>
                      </c:pt>
                      <c:pt idx="11">
                        <c:v>0.80681057452034755</c:v>
                      </c:pt>
                      <c:pt idx="12">
                        <c:v>0.81020209839885504</c:v>
                      </c:pt>
                      <c:pt idx="13">
                        <c:v>0.81355609896801429</c:v>
                      </c:pt>
                      <c:pt idx="14">
                        <c:v>0.81687321289916603</c:v>
                      </c:pt>
                      <c:pt idx="15">
                        <c:v>0.82015406208874098</c:v>
                      </c:pt>
                      <c:pt idx="16">
                        <c:v>0.82339925409829551</c:v>
                      </c:pt>
                      <c:pt idx="17">
                        <c:v>0.82660938257843231</c:v>
                      </c:pt>
                      <c:pt idx="18">
                        <c:v>0.82978502767730455</c:v>
                      </c:pt>
                      <c:pt idx="19">
                        <c:v>0.83292675643437541</c:v>
                      </c:pt>
                      <c:pt idx="20">
                        <c:v>0.83603512316006456</c:v>
                      </c:pt>
                      <c:pt idx="21">
                        <c:v>0.8391106698018832</c:v>
                      </c:pt>
                      <c:pt idx="22">
                        <c:v>0.84215392629763086</c:v>
                      </c:pt>
                      <c:pt idx="23">
                        <c:v>0.84516541091620023</c:v>
                      </c:pt>
                      <c:pt idx="24">
                        <c:v>0.8481456305865015</c:v>
                      </c:pt>
                      <c:pt idx="25">
                        <c:v>0.85109508121500776</c:v>
                      </c:pt>
                      <c:pt idx="26">
                        <c:v>0.8540142479923819</c:v>
                      </c:pt>
                      <c:pt idx="27">
                        <c:v>0.85690360568963519</c:v>
                      </c:pt>
                      <c:pt idx="28">
                        <c:v>0.85976361894424647</c:v>
                      </c:pt>
                      <c:pt idx="29">
                        <c:v>0.86259474253663693</c:v>
                      </c:pt>
                      <c:pt idx="30">
                        <c:v>0.86539742165739941</c:v>
                      </c:pt>
                      <c:pt idx="31">
                        <c:v>0.86817209216563918</c:v>
                      </c:pt>
                      <c:pt idx="32">
                        <c:v>0.87091918083878606</c:v>
                      </c:pt>
                      <c:pt idx="33">
                        <c:v>0.87363910561420688</c:v>
                      </c:pt>
                      <c:pt idx="34">
                        <c:v>0.87633227582294171</c:v>
                      </c:pt>
                      <c:pt idx="35">
                        <c:v>0.87899909241586827</c:v>
                      </c:pt>
                      <c:pt idx="36">
                        <c:v>0.8816399481825854</c:v>
                      </c:pt>
                      <c:pt idx="37">
                        <c:v>0.88425522796329536</c:v>
                      </c:pt>
                      <c:pt idx="38">
                        <c:v>0.88684530885394941</c:v>
                      </c:pt>
                      <c:pt idx="39">
                        <c:v>0.88941056040491417</c:v>
                      </c:pt>
                      <c:pt idx="40">
                        <c:v>0.89195134481339899</c:v>
                      </c:pt>
                      <c:pt idx="41">
                        <c:v>0.89446801710987722</c:v>
                      </c:pt>
                      <c:pt idx="42">
                        <c:v>0.89696092533872873</c:v>
                      </c:pt>
                      <c:pt idx="43">
                        <c:v>0.89943041073330832</c:v>
                      </c:pt>
                      <c:pt idx="44">
                        <c:v>0.90187680788565172</c:v>
                      </c:pt>
                      <c:pt idx="45">
                        <c:v>0.9043004449110108</c:v>
                      </c:pt>
                      <c:pt idx="46">
                        <c:v>0.90670164360740579</c:v>
                      </c:pt>
                      <c:pt idx="47">
                        <c:v>0.90908071961037218</c:v>
                      </c:pt>
                      <c:pt idx="48">
                        <c:v>0.91143798254307751</c:v>
                      </c:pt>
                      <c:pt idx="49">
                        <c:v>0.91377373616196889</c:v>
                      </c:pt>
                      <c:pt idx="50">
                        <c:v>0.91608827849811103</c:v>
                      </c:pt>
                      <c:pt idx="51">
                        <c:v>0.91838190199436642</c:v>
                      </c:pt>
                      <c:pt idx="52">
                        <c:v>0.92065489363856057</c:v>
                      </c:pt>
                      <c:pt idx="53">
                        <c:v>0.92290753509277534</c:v>
                      </c:pt>
                      <c:pt idx="54">
                        <c:v>0.92514010281889936</c:v>
                      </c:pt>
                      <c:pt idx="55">
                        <c:v>0.92735286820056895</c:v>
                      </c:pt>
                      <c:pt idx="56">
                        <c:v>0.92954609766161789</c:v>
                      </c:pt>
                      <c:pt idx="57">
                        <c:v>0.9317200527811591</c:v>
                      </c:pt>
                      <c:pt idx="58">
                        <c:v>0.933874990405406</c:v>
                      </c:pt>
                      <c:pt idx="59">
                        <c:v>0.93601116275635154</c:v>
                      </c:pt>
                      <c:pt idx="60">
                        <c:v>0.93812881753739774</c:v>
                      </c:pt>
                      <c:pt idx="61">
                        <c:v>0.94022819803605207</c:v>
                      </c:pt>
                      <c:pt idx="62">
                        <c:v>0.94230954322377058</c:v>
                      </c:pt>
                      <c:pt idx="63">
                        <c:v>0.94437308785305663</c:v>
                      </c:pt>
                      <c:pt idx="64">
                        <c:v>0.9464190625518949</c:v>
                      </c:pt>
                      <c:pt idx="65">
                        <c:v>0.94844769391561101</c:v>
                      </c:pt>
                      <c:pt idx="66">
                        <c:v>0.95045920459623856</c:v>
                      </c:pt>
                      <c:pt idx="67">
                        <c:v>0.95245381338947666</c:v>
                      </c:pt>
                      <c:pt idx="68">
                        <c:v>0.95443173531931014</c:v>
                      </c:pt>
                      <c:pt idx="69">
                        <c:v>0.95639318172037024</c:v>
                      </c:pt>
                      <c:pt idx="70">
                        <c:v>0.95833836031810749</c:v>
                      </c:pt>
                      <c:pt idx="71">
                        <c:v>0.96026747530684109</c:v>
                      </c:pt>
                      <c:pt idx="72">
                        <c:v>0.962180727425758</c:v>
                      </c:pt>
                      <c:pt idx="73">
                        <c:v>0.96407831403291944</c:v>
                      </c:pt>
                      <c:pt idx="74">
                        <c:v>0.96596042917734182</c:v>
                      </c:pt>
                      <c:pt idx="75">
                        <c:v>0.96782726366920513</c:v>
                      </c:pt>
                      <c:pt idx="76">
                        <c:v>0.96967900514825323</c:v>
                      </c:pt>
                      <c:pt idx="77">
                        <c:v>0.97151583815043518</c:v>
                      </c:pt>
                      <c:pt idx="78">
                        <c:v>0.9733379441728468</c:v>
                      </c:pt>
                      <c:pt idx="79">
                        <c:v>0.97514550173701653</c:v>
                      </c:pt>
                      <c:pt idx="80">
                        <c:v>0.97693868645059367</c:v>
                      </c:pt>
                      <c:pt idx="81">
                        <c:v>0.97871767106747887</c:v>
                      </c:pt>
                      <c:pt idx="82">
                        <c:v>0.9804826255464496</c:v>
                      </c:pt>
                      <c:pt idx="83">
                        <c:v>0.98223371710832152</c:v>
                      </c:pt>
                      <c:pt idx="84">
                        <c:v>0.98397111029169038</c:v>
                      </c:pt>
                      <c:pt idx="85">
                        <c:v>0.98569496700729542</c:v>
                      </c:pt>
                      <c:pt idx="86">
                        <c:v>0.9874054465910439</c:v>
                      </c:pt>
                      <c:pt idx="87">
                        <c:v>0.98910270585573901</c:v>
                      </c:pt>
                      <c:pt idx="88">
                        <c:v>0.99078689914154328</c:v>
                      </c:pt>
                      <c:pt idx="89">
                        <c:v>0.99245817836521943</c:v>
                      </c:pt>
                      <c:pt idx="90">
                        <c:v>0.99411669306817918</c:v>
                      </c:pt>
                      <c:pt idx="91">
                        <c:v>0.99576259046337701</c:v>
                      </c:pt>
                      <c:pt idx="92">
                        <c:v>0.9973960154810807</c:v>
                      </c:pt>
                      <c:pt idx="93">
                        <c:v>0.99901711081355027</c:v>
                      </c:pt>
                      <c:pt idx="94">
                        <c:v>1.0006260169586552</c:v>
                      </c:pt>
                      <c:pt idx="95">
                        <c:v>1.0022228722624618</c:v>
                      </c:pt>
                      <c:pt idx="96">
                        <c:v>1.0038078129608174</c:v>
                      </c:pt>
                      <c:pt idx="97">
                        <c:v>1.0053809732199614</c:v>
                      </c:pt>
                      <c:pt idx="98">
                        <c:v>1.0069424851761863</c:v>
                      </c:pt>
                      <c:pt idx="99">
                        <c:v>1.0084924789745804</c:v>
                      </c:pt>
                      <c:pt idx="100">
                        <c:v>1.010031082806871</c:v>
                      </c:pt>
                      <c:pt idx="101">
                        <c:v>1.011558422948398</c:v>
                      </c:pt>
                      <c:pt idx="102">
                        <c:v>1.0130746237942396</c:v>
                      </c:pt>
                      <c:pt idx="103">
                        <c:v>1.0145798078945107</c:v>
                      </c:pt>
                      <c:pt idx="104">
                        <c:v>1.0160740959888612</c:v>
                      </c:pt>
                      <c:pt idx="105">
                        <c:v>1.0175576070401895</c:v>
                      </c:pt>
                      <c:pt idx="106">
                        <c:v>1.0190304582675984</c:v>
                      </c:pt>
                      <c:pt idx="107">
                        <c:v>1.0204927651786095</c:v>
                      </c:pt>
                      <c:pt idx="108">
                        <c:v>1.0219446416006575</c:v>
                      </c:pt>
                      <c:pt idx="109">
                        <c:v>1.0233861997118798</c:v>
                      </c:pt>
                      <c:pt idx="110">
                        <c:v>1.0248175500712282</c:v>
                      </c:pt>
                      <c:pt idx="111">
                        <c:v>1.0262388016479096</c:v>
                      </c:pt>
                      <c:pt idx="112">
                        <c:v>1.027650061850182</c:v>
                      </c:pt>
                      <c:pt idx="113">
                        <c:v>1.0290514365535188</c:v>
                      </c:pt>
                      <c:pt idx="114">
                        <c:v>1.0304430301281553</c:v>
                      </c:pt>
                      <c:pt idx="115">
                        <c:v>1.0318249454660404</c:v>
                      </c:pt>
                      <c:pt idx="116">
                        <c:v>1.0331972840072012</c:v>
                      </c:pt>
                      <c:pt idx="117">
                        <c:v>1.0345601457655385</c:v>
                      </c:pt>
                      <c:pt idx="118">
                        <c:v>1.0359136293540712</c:v>
                      </c:pt>
                      <c:pt idx="119">
                        <c:v>1.0372578320096353</c:v>
                      </c:pt>
                      <c:pt idx="120">
                        <c:v>1.0385928496170584</c:v>
                      </c:pt>
                      <c:pt idx="121">
                        <c:v>1.0399187767328253</c:v>
                      </c:pt>
                      <c:pt idx="122">
                        <c:v>1.0412357066082309</c:v>
                      </c:pt>
                      <c:pt idx="123">
                        <c:v>1.0425437312120578</c:v>
                      </c:pt>
                      <c:pt idx="124">
                        <c:v>1.043842941252769</c:v>
                      </c:pt>
                      <c:pt idx="125">
                        <c:v>1.0451334262002403</c:v>
                      </c:pt>
                      <c:pt idx="126">
                        <c:v>1.0464152743070376</c:v>
                      </c:pt>
                      <c:pt idx="127">
                        <c:v>1.0476885726292535</c:v>
                      </c:pt>
                      <c:pt idx="128">
                        <c:v>1.0489534070469129</c:v>
                      </c:pt>
                      <c:pt idx="129">
                        <c:v>1.0502098622839555</c:v>
                      </c:pt>
                      <c:pt idx="130">
                        <c:v>1.0514580219278122</c:v>
                      </c:pt>
                      <c:pt idx="131">
                        <c:v>1.0526979684485769</c:v>
                      </c:pt>
                      <c:pt idx="132">
                        <c:v>1.0539297832177901</c:v>
                      </c:pt>
                      <c:pt idx="133">
                        <c:v>1.05515354652684</c:v>
                      </c:pt>
                      <c:pt idx="134">
                        <c:v>1.0563693376049894</c:v>
                      </c:pt>
                      <c:pt idx="135">
                        <c:v>1.0575772346370429</c:v>
                      </c:pt>
                      <c:pt idx="136">
                        <c:v>1.0587773147806565</c:v>
                      </c:pt>
                      <c:pt idx="137">
                        <c:v>1.0599696541833008</c:v>
                      </c:pt>
                      <c:pt idx="138">
                        <c:v>1.0611543279988866</c:v>
                      </c:pt>
                      <c:pt idx="139">
                        <c:v>1.06233141040406</c:v>
                      </c:pt>
                      <c:pt idx="140">
                        <c:v>1.0635009746141726</c:v>
                      </c:pt>
                      <c:pt idx="141">
                        <c:v>1.0646630928989416</c:v>
                      </c:pt>
                      <c:pt idx="142">
                        <c:v>1.0658178365977951</c:v>
                      </c:pt>
                      <c:pt idx="143">
                        <c:v>1.0669652761349229</c:v>
                      </c:pt>
                      <c:pt idx="144">
                        <c:v>1.0681054810340289</c:v>
                      </c:pt>
                      <c:pt idx="145">
                        <c:v>1.0692385199327992</c:v>
                      </c:pt>
                      <c:pt idx="146">
                        <c:v>1.0703644605970881</c:v>
                      </c:pt>
                      <c:pt idx="147">
                        <c:v>1.0714833699348296</c:v>
                      </c:pt>
                      <c:pt idx="148">
                        <c:v>1.0725953140096836</c:v>
                      </c:pt>
                      <c:pt idx="149">
                        <c:v>1.0737003580544169</c:v>
                      </c:pt>
                      <c:pt idx="150">
                        <c:v>1.0747985664840289</c:v>
                      </c:pt>
                      <c:pt idx="151">
                        <c:v>1.0758900029086298</c:v>
                      </c:pt>
                      <c:pt idx="152">
                        <c:v>1.0769747301460695</c:v>
                      </c:pt>
                      <c:pt idx="153">
                        <c:v>1.0780528102343332</c:v>
                      </c:pt>
                      <c:pt idx="154">
                        <c:v>1.0791243044436958</c:v>
                      </c:pt>
                      <c:pt idx="155">
                        <c:v>1.0801892732886553</c:v>
                      </c:pt>
                      <c:pt idx="156">
                        <c:v>1.081247776539636</c:v>
                      </c:pt>
                      <c:pt idx="157">
                        <c:v>1.0822998732344777</c:v>
                      </c:pt>
                      <c:pt idx="158">
                        <c:v>1.0833456216897084</c:v>
                      </c:pt>
                      <c:pt idx="159">
                        <c:v>1.0843850795116077</c:v>
                      </c:pt>
                      <c:pt idx="160">
                        <c:v>1.0854183036070688</c:v>
                      </c:pt>
                      <c:pt idx="161">
                        <c:v>1.0864453501942528</c:v>
                      </c:pt>
                      <c:pt idx="162">
                        <c:v>1.0874662748130592</c:v>
                      </c:pt>
                      <c:pt idx="163">
                        <c:v>1.0884811323353889</c:v>
                      </c:pt>
                      <c:pt idx="164">
                        <c:v>1.0894899769752358</c:v>
                      </c:pt>
                      <c:pt idx="165">
                        <c:v>1.090492862298583</c:v>
                      </c:pt>
                      <c:pt idx="166">
                        <c:v>1.0914898412331246</c:v>
                      </c:pt>
                      <c:pt idx="167">
                        <c:v>1.0924809660778108</c:v>
                      </c:pt>
                      <c:pt idx="168">
                        <c:v>1.0934662885122206</c:v>
                      </c:pt>
                      <c:pt idx="169">
                        <c:v>1.0944458596057665</c:v>
                      </c:pt>
                      <c:pt idx="170">
                        <c:v>1.0954197298267341</c:v>
                      </c:pt>
                      <c:pt idx="171">
                        <c:v>1.0963879490511599</c:v>
                      </c:pt>
                      <c:pt idx="172">
                        <c:v>1.0973505665715522</c:v>
                      </c:pt>
                      <c:pt idx="173">
                        <c:v>1.0983076311054543</c:v>
                      </c:pt>
                      <c:pt idx="174">
                        <c:v>1.0992591908038609</c:v>
                      </c:pt>
                      <c:pt idx="175">
                        <c:v>1.1002052932594828</c:v>
                      </c:pt>
                      <c:pt idx="176">
                        <c:v>1.1011459855148649</c:v>
                      </c:pt>
                      <c:pt idx="177">
                        <c:v>1.1020813140703669</c:v>
                      </c:pt>
                      <c:pt idx="178">
                        <c:v>1.1030113248920004</c:v>
                      </c:pt>
                      <c:pt idx="179">
                        <c:v>1.1039360634191298</c:v>
                      </c:pt>
                      <c:pt idx="180">
                        <c:v>1.1048555745720428</c:v>
                      </c:pt>
                      <c:pt idx="181">
                        <c:v>1.1057699027593837</c:v>
                      </c:pt>
                      <c:pt idx="182">
                        <c:v>1.1066790918854659</c:v>
                      </c:pt>
                      <c:pt idx="183">
                        <c:v>1.1075831853574523</c:v>
                      </c:pt>
                      <c:pt idx="184">
                        <c:v>1.1084822260924161</c:v>
                      </c:pt>
                      <c:pt idx="185">
                        <c:v>1.1093762565242786</c:v>
                      </c:pt>
                      <c:pt idx="186">
                        <c:v>1.110265318610631</c:v>
                      </c:pt>
                      <c:pt idx="187">
                        <c:v>1.1111494538394386</c:v>
                      </c:pt>
                      <c:pt idx="188">
                        <c:v>1.1120287032356302</c:v>
                      </c:pt>
                      <c:pt idx="189">
                        <c:v>1.1129031073675799</c:v>
                      </c:pt>
                      <c:pt idx="190">
                        <c:v>1.1137727063534753</c:v>
                      </c:pt>
                      <c:pt idx="191">
                        <c:v>1.1146375398675825</c:v>
                      </c:pt>
                      <c:pt idx="192">
                        <c:v>1.1154976471464033</c:v>
                      </c:pt>
                      <c:pt idx="193">
                        <c:v>1.1163530669947295</c:v>
                      </c:pt>
                      <c:pt idx="194">
                        <c:v>1.1172038377916007</c:v>
                      </c:pt>
                      <c:pt idx="195">
                        <c:v>1.1180499974961573</c:v>
                      </c:pt>
                      <c:pt idx="196">
                        <c:v>1.1188915836533992</c:v>
                      </c:pt>
                      <c:pt idx="197">
                        <c:v>1.11972863339985</c:v>
                      </c:pt>
                      <c:pt idx="198">
                        <c:v>1.1205611834691289</c:v>
                      </c:pt>
                      <c:pt idx="199">
                        <c:v>1.1213892701974255</c:v>
                      </c:pt>
                      <c:pt idx="200">
                        <c:v>1.1222129295288936</c:v>
                      </c:pt>
                    </c:numCache>
                  </c:numRef>
                </c:val>
                <c:smooth val="0"/>
                <c:extLst xmlns:c15="http://schemas.microsoft.com/office/drawing/2012/chart">
                  <c:ext xmlns:c16="http://schemas.microsoft.com/office/drawing/2014/chart" uri="{C3380CC4-5D6E-409C-BE32-E72D297353CC}">
                    <c16:uniqueId val="{00000007-39DF-4DF9-9D5A-11C17911BDDC}"/>
                  </c:ext>
                </c:extLst>
              </c15:ser>
            </c15:filteredLineSeries>
            <c15:filteredLineSeries>
              <c15:ser>
                <c:idx val="8"/>
                <c:order val="6"/>
                <c:tx>
                  <c:strRef>
                    <c:extLst xmlns:c15="http://schemas.microsoft.com/office/drawing/2012/chart">
                      <c:ext xmlns:c15="http://schemas.microsoft.com/office/drawing/2012/chart" uri="{02D57815-91ED-43cb-92C2-25804820EDAC}">
                        <c15:formulaRef>
                          <c15:sqref>'Efficiency vs VIN Calculations'!$AG$7</c15:sqref>
                        </c15:formulaRef>
                      </c:ext>
                    </c:extLst>
                    <c:strCache>
                      <c:ptCount val="1"/>
                      <c:pt idx="0">
                        <c:v>High-side BUCK "Control"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Calculations'!$AK$9:$AK$209</c15:sqref>
                        </c15:formulaRef>
                      </c:ext>
                    </c:extLst>
                    <c:numCache>
                      <c:formatCode>0.000</c:formatCode>
                      <c:ptCount val="201"/>
                      <c:pt idx="0">
                        <c:v>3.1666385121192331</c:v>
                      </c:pt>
                      <c:pt idx="1">
                        <c:v>3.1792936199445592</c:v>
                      </c:pt>
                      <c:pt idx="2">
                        <c:v>3.1920114162546822</c:v>
                      </c:pt>
                      <c:pt idx="3">
                        <c:v>3.2047904127596665</c:v>
                      </c:pt>
                      <c:pt idx="4">
                        <c:v>3.2176291686049869</c:v>
                      </c:pt>
                      <c:pt idx="5">
                        <c:v>3.2305262884760442</c:v>
                      </c:pt>
                      <c:pt idx="6">
                        <c:v>3.2434804207935253</c:v>
                      </c:pt>
                      <c:pt idx="7">
                        <c:v>3.2564902559945779</c:v>
                      </c:pt>
                      <c:pt idx="8">
                        <c:v>3.2695545248950224</c:v>
                      </c:pt>
                      <c:pt idx="9">
                        <c:v>3.282671997128169</c:v>
                      </c:pt>
                      <c:pt idx="10">
                        <c:v>3.2958414796560689</c:v>
                      </c:pt>
                      <c:pt idx="11">
                        <c:v>3.3090618153492928</c:v>
                      </c:pt>
                      <c:pt idx="12">
                        <c:v>3.3223318816315497</c:v>
                      </c:pt>
                      <c:pt idx="13">
                        <c:v>3.3356505891857298</c:v>
                      </c:pt>
                      <c:pt idx="14">
                        <c:v>3.3490168807180889</c:v>
                      </c:pt>
                      <c:pt idx="15">
                        <c:v>3.3624297297775882</c:v>
                      </c:pt>
                      <c:pt idx="16">
                        <c:v>3.3758881396274552</c:v>
                      </c:pt>
                      <c:pt idx="17">
                        <c:v>3.3893911421663523</c:v>
                      </c:pt>
                      <c:pt idx="18">
                        <c:v>3.4029377968965386</c:v>
                      </c:pt>
                      <c:pt idx="19">
                        <c:v>3.4165271899367062</c:v>
                      </c:pt>
                      <c:pt idx="20">
                        <c:v>3.4301584330771866</c:v>
                      </c:pt>
                      <c:pt idx="21">
                        <c:v>3.4438306628754507</c:v>
                      </c:pt>
                      <c:pt idx="22">
                        <c:v>3.4575430397898574</c:v>
                      </c:pt>
                      <c:pt idx="23">
                        <c:v>3.4712947473498188</c:v>
                      </c:pt>
                      <c:pt idx="24">
                        <c:v>3.4850849913605462</c:v>
                      </c:pt>
                      <c:pt idx="25">
                        <c:v>3.4989129991407326</c:v>
                      </c:pt>
                      <c:pt idx="26">
                        <c:v>3.5127780187915696</c:v>
                      </c:pt>
                      <c:pt idx="27">
                        <c:v>3.5266793184955949</c:v>
                      </c:pt>
                      <c:pt idx="28">
                        <c:v>3.5406161858439678</c:v>
                      </c:pt>
                      <c:pt idx="29">
                        <c:v>3.5545879271908016</c:v>
                      </c:pt>
                      <c:pt idx="30">
                        <c:v>3.5685938670333135</c:v>
                      </c:pt>
                      <c:pt idx="31">
                        <c:v>3.5826333474165679</c:v>
                      </c:pt>
                      <c:pt idx="32">
                        <c:v>3.5967057273616909</c:v>
                      </c:pt>
                      <c:pt idx="33">
                        <c:v>3.6108103823164601</c:v>
                      </c:pt>
                      <c:pt idx="34">
                        <c:v>3.6249467036272716</c:v>
                      </c:pt>
                      <c:pt idx="35">
                        <c:v>3.639114098031488</c:v>
                      </c:pt>
                      <c:pt idx="36">
                        <c:v>3.6533119871692743</c:v>
                      </c:pt>
                      <c:pt idx="37">
                        <c:v>3.667539807114029</c:v>
                      </c:pt>
                      <c:pt idx="38">
                        <c:v>3.681797007920609</c:v>
                      </c:pt>
                      <c:pt idx="39">
                        <c:v>3.6960830531905251</c:v>
                      </c:pt>
                      <c:pt idx="40">
                        <c:v>3.710397419653416</c:v>
                      </c:pt>
                      <c:pt idx="41">
                        <c:v>3.724739596764028</c:v>
                      </c:pt>
                      <c:pt idx="42">
                        <c:v>3.7391090863140954</c:v>
                      </c:pt>
                      <c:pt idx="43">
                        <c:v>3.7535054020584204</c:v>
                      </c:pt>
                      <c:pt idx="44">
                        <c:v>3.7679280693545913</c:v>
                      </c:pt>
                      <c:pt idx="45">
                        <c:v>3.782376624815734</c:v>
                      </c:pt>
                      <c:pt idx="46">
                        <c:v>3.7968506159757478</c:v>
                      </c:pt>
                      <c:pt idx="47">
                        <c:v>3.8113496009665213</c:v>
                      </c:pt>
                      <c:pt idx="48">
                        <c:v>3.8258731482066044</c:v>
                      </c:pt>
                      <c:pt idx="49">
                        <c:v>3.8404208361008707</c:v>
                      </c:pt>
                      <c:pt idx="50">
                        <c:v>3.8549922527507312</c:v>
                      </c:pt>
                      <c:pt idx="51">
                        <c:v>3.8695869956744389</c:v>
                      </c:pt>
                      <c:pt idx="52">
                        <c:v>3.8842046715371072</c:v>
                      </c:pt>
                      <c:pt idx="53">
                        <c:v>3.8988448958900173</c:v>
                      </c:pt>
                      <c:pt idx="54">
                        <c:v>3.9135072929188652</c:v>
                      </c:pt>
                      <c:pt idx="55">
                        <c:v>3.9281914952005765</c:v>
                      </c:pt>
                      <c:pt idx="56">
                        <c:v>3.9428971434683557</c:v>
                      </c:pt>
                      <c:pt idx="57">
                        <c:v>3.9576238863846478</c:v>
                      </c:pt>
                      <c:pt idx="58">
                        <c:v>3.9723713803216838</c:v>
                      </c:pt>
                      <c:pt idx="59">
                        <c:v>3.9871392891493405</c:v>
                      </c:pt>
                      <c:pt idx="60">
                        <c:v>4.0019272840300033</c:v>
                      </c:pt>
                      <c:pt idx="61">
                        <c:v>4.0167350432201943</c:v>
                      </c:pt>
                      <c:pt idx="62">
                        <c:v>4.0315622518786576</c:v>
                      </c:pt>
                      <c:pt idx="63">
                        <c:v>4.0464086018807217</c:v>
                      </c:pt>
                      <c:pt idx="64">
                        <c:v>4.0612737916386248</c:v>
                      </c:pt>
                      <c:pt idx="65">
                        <c:v>4.0761575259276572</c:v>
                      </c:pt>
                      <c:pt idx="66">
                        <c:v>4.0910595157178191</c:v>
                      </c:pt>
                      <c:pt idx="67">
                        <c:v>4.1059794780108732</c:v>
                      </c:pt>
                      <c:pt idx="68">
                        <c:v>4.1209171356825163</c:v>
                      </c:pt>
                      <c:pt idx="69">
                        <c:v>4.1358722173295401</c:v>
                      </c:pt>
                      <c:pt idx="70">
                        <c:v>4.1508444571217513</c:v>
                      </c:pt>
                      <c:pt idx="71">
                        <c:v>4.1658335946585154</c:v>
                      </c:pt>
                      <c:pt idx="72">
                        <c:v>4.1808393748297306</c:v>
                      </c:pt>
                      <c:pt idx="73">
                        <c:v>4.1958615476810754</c:v>
                      </c:pt>
                      <c:pt idx="74">
                        <c:v>4.2108998682834038</c:v>
                      </c:pt>
                      <c:pt idx="75">
                        <c:v>4.2259540966060865</c:v>
                      </c:pt>
                      <c:pt idx="76">
                        <c:v>4.2410239973942145</c:v>
                      </c:pt>
                      <c:pt idx="77">
                        <c:v>4.2561093400494903</c:v>
                      </c:pt>
                      <c:pt idx="78">
                        <c:v>4.2712098985146936</c:v>
                      </c:pt>
                      <c:pt idx="79">
                        <c:v>4.2863254511615922</c:v>
                      </c:pt>
                      <c:pt idx="80">
                        <c:v>4.3014557806821747</c:v>
                      </c:pt>
                      <c:pt idx="81">
                        <c:v>4.3166006739831015</c:v>
                      </c:pt>
                      <c:pt idx="82">
                        <c:v>4.3317599220832506</c:v>
                      </c:pt>
                      <c:pt idx="83">
                        <c:v>4.3469333200142533</c:v>
                      </c:pt>
                      <c:pt idx="84">
                        <c:v>4.3621206667239312</c:v>
                      </c:pt>
                      <c:pt idx="85">
                        <c:v>4.3773217649825149</c:v>
                      </c:pt>
                      <c:pt idx="86">
                        <c:v>4.3925364212915738</c:v>
                      </c:pt>
                      <c:pt idx="87">
                        <c:v>4.4077644457955403</c:v>
                      </c:pt>
                      <c:pt idx="88">
                        <c:v>4.4230056521957737</c:v>
                      </c:pt>
                      <c:pt idx="89">
                        <c:v>4.4382598576670347</c:v>
                      </c:pt>
                      <c:pt idx="90">
                        <c:v>4.4535268827763517</c:v>
                      </c:pt>
                      <c:pt idx="91">
                        <c:v>4.4688065514041266</c:v>
                      </c:pt>
                      <c:pt idx="92">
                        <c:v>4.48409869066748</c:v>
                      </c:pt>
                      <c:pt idx="93">
                        <c:v>4.499403130845705</c:v>
                      </c:pt>
                      <c:pt idx="94">
                        <c:v>4.5147197053077956</c:v>
                      </c:pt>
                      <c:pt idx="95">
                        <c:v>4.5300482504419648</c:v>
                      </c:pt>
                      <c:pt idx="96">
                        <c:v>4.545388605587104</c:v>
                      </c:pt>
                      <c:pt idx="97">
                        <c:v>4.5607406129661037</c:v>
                      </c:pt>
                      <c:pt idx="98">
                        <c:v>4.5761041176209867</c:v>
                      </c:pt>
                      <c:pt idx="99">
                        <c:v>4.591478967349798</c:v>
                      </c:pt>
                      <c:pt idx="100">
                        <c:v>4.6068650126451924</c:v>
                      </c:pt>
                      <c:pt idx="101">
                        <c:v>4.6222621066346665</c:v>
                      </c:pt>
                      <c:pt idx="102">
                        <c:v>4.6376701050223774</c:v>
                      </c:pt>
                      <c:pt idx="103">
                        <c:v>4.6530888660325154</c:v>
                      </c:pt>
                      <c:pt idx="104">
                        <c:v>4.6685182503541647</c:v>
                      </c:pt>
                      <c:pt idx="105">
                        <c:v>4.6839581210876222</c:v>
                      </c:pt>
                      <c:pt idx="106">
                        <c:v>4.6994083436921086</c:v>
                      </c:pt>
                      <c:pt idx="107">
                        <c:v>4.714868785934855</c:v>
                      </c:pt>
                      <c:pt idx="108">
                        <c:v>4.730339317841505</c:v>
                      </c:pt>
                      <c:pt idx="109">
                        <c:v>4.7458198116477925</c:v>
                      </c:pt>
                      <c:pt idx="110">
                        <c:v>4.7613101417524719</c:v>
                      </c:pt>
                      <c:pt idx="111">
                        <c:v>4.7768101846714428</c:v>
                      </c:pt>
                      <c:pt idx="112">
                        <c:v>4.7923198189930547</c:v>
                      </c:pt>
                      <c:pt idx="113">
                        <c:v>4.8078389253345382</c:v>
                      </c:pt>
                      <c:pt idx="114">
                        <c:v>4.8233673862995339</c:v>
                      </c:pt>
                      <c:pt idx="115">
                        <c:v>4.8389050864366983</c:v>
                      </c:pt>
                      <c:pt idx="116">
                        <c:v>4.8544519121993428</c:v>
                      </c:pt>
                      <c:pt idx="117">
                        <c:v>4.8700077519060789</c:v>
                      </c:pt>
                      <c:pt idx="118">
                        <c:v>4.8855724957024345</c:v>
                      </c:pt>
                      <c:pt idx="119">
                        <c:v>4.9011460355234302</c:v>
                      </c:pt>
                      <c:pt idx="120">
                        <c:v>4.9167282650570714</c:v>
                      </c:pt>
                      <c:pt idx="121">
                        <c:v>4.9323190797087335</c:v>
                      </c:pt>
                      <c:pt idx="122">
                        <c:v>4.9479183765664159</c:v>
                      </c:pt>
                      <c:pt idx="123">
                        <c:v>4.9635260543668487</c:v>
                      </c:pt>
                      <c:pt idx="124">
                        <c:v>4.9791420134624138</c:v>
                      </c:pt>
                      <c:pt idx="125">
                        <c:v>4.994766155788855</c:v>
                      </c:pt>
                      <c:pt idx="126">
                        <c:v>5.0103983848337839</c:v>
                      </c:pt>
                      <c:pt idx="127">
                        <c:v>5.0260386056059225</c:v>
                      </c:pt>
                      <c:pt idx="128">
                        <c:v>5.0416867246050758</c:v>
                      </c:pt>
                      <c:pt idx="129">
                        <c:v>5.0573426497928375</c:v>
                      </c:pt>
                      <c:pt idx="130">
                        <c:v>5.0730062905639581</c:v>
                      </c:pt>
                      <c:pt idx="131">
                        <c:v>5.0886775577184107</c:v>
                      </c:pt>
                      <c:pt idx="132">
                        <c:v>5.1043563634341016</c:v>
                      </c:pt>
                      <c:pt idx="133">
                        <c:v>5.1200426212402128</c:v>
                      </c:pt>
                      <c:pt idx="134">
                        <c:v>5.1357362459911782</c:v>
                      </c:pt>
                      <c:pt idx="135">
                        <c:v>5.1514371538412389</c:v>
                      </c:pt>
                      <c:pt idx="136">
                        <c:v>5.1671452622196163</c:v>
                      </c:pt>
                      <c:pt idx="137">
                        <c:v>5.1828604898062229</c:v>
                      </c:pt>
                      <c:pt idx="138">
                        <c:v>5.1985827565079603</c:v>
                      </c:pt>
                      <c:pt idx="139">
                        <c:v>5.2143119834355218</c:v>
                      </c:pt>
                      <c:pt idx="140">
                        <c:v>5.2300480928807591</c:v>
                      </c:pt>
                      <c:pt idx="141">
                        <c:v>5.2457910082945265</c:v>
                      </c:pt>
                      <c:pt idx="142">
                        <c:v>5.2615406542650494</c:v>
                      </c:pt>
                      <c:pt idx="143">
                        <c:v>5.2772969564967696</c:v>
                      </c:pt>
                      <c:pt idx="144">
                        <c:v>5.2930598417896526</c:v>
                      </c:pt>
                      <c:pt idx="145">
                        <c:v>5.3088292380189737</c:v>
                      </c:pt>
                      <c:pt idx="146">
                        <c:v>5.3246050741155377</c:v>
                      </c:pt>
                      <c:pt idx="147">
                        <c:v>5.3403872800463441</c:v>
                      </c:pt>
                      <c:pt idx="148">
                        <c:v>5.356175786795677</c:v>
                      </c:pt>
                      <c:pt idx="149">
                        <c:v>5.3719705263466038</c:v>
                      </c:pt>
                      <c:pt idx="150">
                        <c:v>5.3877714316628849</c:v>
                      </c:pt>
                      <c:pt idx="151">
                        <c:v>5.4035784366712702</c:v>
                      </c:pt>
                      <c:pt idx="152">
                        <c:v>5.419391476244189</c:v>
                      </c:pt>
                      <c:pt idx="153">
                        <c:v>5.4352104861828012</c:v>
                      </c:pt>
                      <c:pt idx="154">
                        <c:v>5.4510354032004251</c:v>
                      </c:pt>
                      <c:pt idx="155">
                        <c:v>5.4668661649063148</c:v>
                      </c:pt>
                      <c:pt idx="156">
                        <c:v>5.4827027097897849</c:v>
                      </c:pt>
                      <c:pt idx="157">
                        <c:v>5.4985449772046664</c:v>
                      </c:pt>
                      <c:pt idx="158">
                        <c:v>5.5143929073541109</c:v>
                      </c:pt>
                      <c:pt idx="159">
                        <c:v>5.5302464412756924</c:v>
                      </c:pt>
                      <c:pt idx="160">
                        <c:v>5.5461055208268428</c:v>
                      </c:pt>
                      <c:pt idx="161">
                        <c:v>5.5619700886705772</c:v>
                      </c:pt>
                      <c:pt idx="162">
                        <c:v>5.5778400882615262</c:v>
                      </c:pt>
                      <c:pt idx="163">
                        <c:v>5.5937154638322673</c:v>
                      </c:pt>
                      <c:pt idx="164">
                        <c:v>5.6095961603799127</c:v>
                      </c:pt>
                      <c:pt idx="165">
                        <c:v>5.625482123653005</c:v>
                      </c:pt>
                      <c:pt idx="166">
                        <c:v>5.6413733001386666</c:v>
                      </c:pt>
                      <c:pt idx="167">
                        <c:v>5.6572696370500175</c:v>
                      </c:pt>
                      <c:pt idx="168">
                        <c:v>5.6731710823138402</c:v>
                      </c:pt>
                      <c:pt idx="169">
                        <c:v>5.68907758455852</c:v>
                      </c:pt>
                      <c:pt idx="170">
                        <c:v>5.7049890931022018</c:v>
                      </c:pt>
                      <c:pt idx="171">
                        <c:v>5.720905557941216</c:v>
                      </c:pt>
                      <c:pt idx="172">
                        <c:v>5.7368269297387027</c:v>
                      </c:pt>
                      <c:pt idx="173">
                        <c:v>5.7527531598135013</c:v>
                      </c:pt>
                      <c:pt idx="174">
                        <c:v>5.7686842001292371</c:v>
                      </c:pt>
                      <c:pt idx="175">
                        <c:v>5.7846200032836395</c:v>
                      </c:pt>
                      <c:pt idx="176">
                        <c:v>5.8005605224980643</c:v>
                      </c:pt>
                      <c:pt idx="177">
                        <c:v>5.8165057116072241</c:v>
                      </c:pt>
                      <c:pt idx="178">
                        <c:v>5.8324555250491361</c:v>
                      </c:pt>
                      <c:pt idx="179">
                        <c:v>5.8484099178552462</c:v>
                      </c:pt>
                      <c:pt idx="180">
                        <c:v>5.8643688456407688</c:v>
                      </c:pt>
                      <c:pt idx="181">
                        <c:v>5.8803322645951868</c:v>
                      </c:pt>
                      <c:pt idx="182">
                        <c:v>5.8963001314729748</c:v>
                      </c:pt>
                      <c:pt idx="183">
                        <c:v>5.9122724035844731</c:v>
                      </c:pt>
                      <c:pt idx="184">
                        <c:v>5.9282490387869435</c:v>
                      </c:pt>
                      <c:pt idx="185">
                        <c:v>5.9442299954758111</c:v>
                      </c:pt>
                      <c:pt idx="186">
                        <c:v>5.9602152325760605</c:v>
                      </c:pt>
                      <c:pt idx="187">
                        <c:v>5.9762047095338078</c:v>
                      </c:pt>
                      <c:pt idx="188">
                        <c:v>5.992198386308023</c:v>
                      </c:pt>
                      <c:pt idx="189">
                        <c:v>6.0081962233624155</c:v>
                      </c:pt>
                      <c:pt idx="190">
                        <c:v>6.0241981816574759</c:v>
                      </c:pt>
                      <c:pt idx="191">
                        <c:v>6.0402042226426733</c:v>
                      </c:pt>
                      <c:pt idx="192">
                        <c:v>6.0562143082487809</c:v>
                      </c:pt>
                      <c:pt idx="193">
                        <c:v>6.0722284008803644</c:v>
                      </c:pt>
                      <c:pt idx="194">
                        <c:v>6.0882464634084013</c:v>
                      </c:pt>
                      <c:pt idx="195">
                        <c:v>6.1042684591630518</c:v>
                      </c:pt>
                      <c:pt idx="196">
                        <c:v>6.120294351926546</c:v>
                      </c:pt>
                      <c:pt idx="197">
                        <c:v>6.1363241059262092</c:v>
                      </c:pt>
                      <c:pt idx="198">
                        <c:v>6.1523576858276297</c:v>
                      </c:pt>
                      <c:pt idx="199">
                        <c:v>6.1683950567279311</c:v>
                      </c:pt>
                      <c:pt idx="200">
                        <c:v>6.1844361841491873</c:v>
                      </c:pt>
                    </c:numCache>
                  </c:numRef>
                </c:val>
                <c:smooth val="0"/>
                <c:extLst xmlns:c15="http://schemas.microsoft.com/office/drawing/2012/chart">
                  <c:ext xmlns:c16="http://schemas.microsoft.com/office/drawing/2014/chart" uri="{C3380CC4-5D6E-409C-BE32-E72D297353CC}">
                    <c16:uniqueId val="{00000008-39DF-4DF9-9D5A-11C17911BDDC}"/>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'Efficiency vs VIN Calculations'!$AF$8</c15:sqref>
                        </c15:formulaRef>
                      </c:ext>
                    </c:extLst>
                    <c:strCache>
                      <c:ptCount val="1"/>
                      <c:pt idx="0">
                        <c:v>Total Cin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Calculations'!$AF$9:$AF$209</c15:sqref>
                        </c15:formulaRef>
                      </c:ext>
                    </c:extLst>
                    <c:numCache>
                      <c:formatCode>0.000</c:formatCode>
                      <c:ptCount val="201"/>
                      <c:pt idx="0">
                        <c:v>5.6109654535195889E-2</c:v>
                      </c:pt>
                      <c:pt idx="1">
                        <c:v>5.6808454005512085E-2</c:v>
                      </c:pt>
                      <c:pt idx="2">
                        <c:v>5.7483154589628063E-2</c:v>
                      </c:pt>
                      <c:pt idx="3">
                        <c:v>5.8134545191856318E-2</c:v>
                      </c:pt>
                      <c:pt idx="4">
                        <c:v>5.8763385142715681E-2</c:v>
                      </c:pt>
                      <c:pt idx="5">
                        <c:v>5.9370405482510616E-2</c:v>
                      </c:pt>
                      <c:pt idx="6">
                        <c:v>5.9956310181083286E-2</c:v>
                      </c:pt>
                      <c:pt idx="7">
                        <c:v>6.052177729732662E-2</c:v>
                      </c:pt>
                      <c:pt idx="8">
                        <c:v>6.1067460081822192E-2</c:v>
                      </c:pt>
                      <c:pt idx="9">
                        <c:v>6.1593988025755587E-2</c:v>
                      </c:pt>
                      <c:pt idx="10">
                        <c:v>6.2101967859069067E-2</c:v>
                      </c:pt>
                      <c:pt idx="11">
                        <c:v>6.2591984500626266E-2</c:v>
                      </c:pt>
                      <c:pt idx="12">
                        <c:v>6.3064601962997346E-2</c:v>
                      </c:pt>
                      <c:pt idx="13">
                        <c:v>6.3520364214312189E-2</c:v>
                      </c:pt>
                      <c:pt idx="14">
                        <c:v>6.3959795999483773E-2</c:v>
                      </c:pt>
                      <c:pt idx="15">
                        <c:v>6.4383403622964644E-2</c:v>
                      </c:pt>
                      <c:pt idx="16">
                        <c:v>6.4791675695071854E-2</c:v>
                      </c:pt>
                      <c:pt idx="17">
                        <c:v>6.5185083843794997E-2</c:v>
                      </c:pt>
                      <c:pt idx="18">
                        <c:v>6.5564083393889708E-2</c:v>
                      </c:pt>
                      <c:pt idx="19">
                        <c:v>6.5929114014954243E-2</c:v>
                      </c:pt>
                      <c:pt idx="20">
                        <c:v>6.6280600340088272E-2</c:v>
                      </c:pt>
                      <c:pt idx="21">
                        <c:v>6.6618952556640965E-2</c:v>
                      </c:pt>
                      <c:pt idx="22">
                        <c:v>6.6944566970469174E-2</c:v>
                      </c:pt>
                      <c:pt idx="23">
                        <c:v>6.7257826545046584E-2</c:v>
                      </c:pt>
                      <c:pt idx="24">
                        <c:v>6.7559101416687611E-2</c:v>
                      </c:pt>
                      <c:pt idx="25">
                        <c:v>6.7848749387080742E-2</c:v>
                      </c:pt>
                      <c:pt idx="26">
                        <c:v>6.8127116394257226E-2</c:v>
                      </c:pt>
                      <c:pt idx="27">
                        <c:v>6.8394536963061275E-2</c:v>
                      </c:pt>
                      <c:pt idx="28">
                        <c:v>6.8651334636126521E-2</c:v>
                      </c:pt>
                      <c:pt idx="29">
                        <c:v>6.889782238631055E-2</c:v>
                      </c:pt>
                      <c:pt idx="30">
                        <c:v>6.9134303011486667E-2</c:v>
                      </c:pt>
                      <c:pt idx="31">
                        <c:v>6.9361069512543047E-2</c:v>
                      </c:pt>
                      <c:pt idx="32">
                        <c:v>6.9578405455394912E-2</c:v>
                      </c:pt>
                      <c:pt idx="33">
                        <c:v>6.9786585317771252E-2</c:v>
                      </c:pt>
                      <c:pt idx="34">
                        <c:v>6.9985874821497374E-2</c:v>
                      </c:pt>
                      <c:pt idx="35">
                        <c:v>7.0176531250957103E-2</c:v>
                      </c:pt>
                      <c:pt idx="36">
                        <c:v>7.0358803758381494E-2</c:v>
                      </c:pt>
                      <c:pt idx="37">
                        <c:v>7.0532933656578214E-2</c:v>
                      </c:pt>
                      <c:pt idx="38">
                        <c:v>7.0699154699683103E-2</c:v>
                      </c:pt>
                      <c:pt idx="39">
                        <c:v>7.0857693352485707E-2</c:v>
                      </c:pt>
                      <c:pt idx="40">
                        <c:v>7.1008769048852477E-2</c:v>
                      </c:pt>
                      <c:pt idx="41">
                        <c:v>7.1152594439743741E-2</c:v>
                      </c:pt>
                      <c:pt idx="42">
                        <c:v>7.1289375631296961E-2</c:v>
                      </c:pt>
                      <c:pt idx="43">
                        <c:v>7.1419312413423003E-2</c:v>
                      </c:pt>
                      <c:pt idx="44">
                        <c:v>7.1542598479341177E-2</c:v>
                      </c:pt>
                      <c:pt idx="45">
                        <c:v>7.1659421636457124E-2</c:v>
                      </c:pt>
                      <c:pt idx="46">
                        <c:v>7.1769964008967277E-2</c:v>
                      </c:pt>
                      <c:pt idx="47">
                        <c:v>7.1874402232554951E-2</c:v>
                      </c:pt>
                      <c:pt idx="48">
                        <c:v>7.1972907641525183E-2</c:v>
                      </c:pt>
                      <c:pt idx="49">
                        <c:v>7.2065646448708623E-2</c:v>
                      </c:pt>
                      <c:pt idx="50">
                        <c:v>7.2152779918447887E-2</c:v>
                      </c:pt>
                      <c:pt idx="51">
                        <c:v>7.2234464532966211E-2</c:v>
                      </c:pt>
                      <c:pt idx="52">
                        <c:v>7.2310852152402114E-2</c:v>
                      </c:pt>
                      <c:pt idx="53">
                        <c:v>7.2382090168781402E-2</c:v>
                      </c:pt>
                      <c:pt idx="54">
                        <c:v>7.2448321654184286E-2</c:v>
                      </c:pt>
                      <c:pt idx="55">
                        <c:v>7.2509685503353599E-2</c:v>
                      </c:pt>
                      <c:pt idx="56">
                        <c:v>7.2566316570978312E-2</c:v>
                      </c:pt>
                      <c:pt idx="57">
                        <c:v>7.2618345803875287E-2</c:v>
                      </c:pt>
                      <c:pt idx="58">
                        <c:v>7.2665900368282452E-2</c:v>
                      </c:pt>
                      <c:pt idx="59">
                        <c:v>7.270910377246631E-2</c:v>
                      </c:pt>
                      <c:pt idx="60">
                        <c:v>7.2748075984836943E-2</c:v>
                      </c:pt>
                      <c:pt idx="61">
                        <c:v>7.2782933547755904E-2</c:v>
                      </c:pt>
                      <c:pt idx="62">
                        <c:v>7.281378968721243E-2</c:v>
                      </c:pt>
                      <c:pt idx="63">
                        <c:v>7.2840754418537018E-2</c:v>
                      </c:pt>
                      <c:pt idx="64">
                        <c:v>7.2863934648312173E-2</c:v>
                      </c:pt>
                      <c:pt idx="65">
                        <c:v>7.2883434272634426E-2</c:v>
                      </c:pt>
                      <c:pt idx="66">
                        <c:v>7.2899354271873537E-2</c:v>
                      </c:pt>
                      <c:pt idx="67">
                        <c:v>7.2911792802069414E-2</c:v>
                      </c:pt>
                      <c:pt idx="68">
                        <c:v>7.2920845283099722E-2</c:v>
                      </c:pt>
                      <c:pt idx="69">
                        <c:v>7.2926604483746812E-2</c:v>
                      </c:pt>
                      <c:pt idx="70">
                        <c:v>7.2929160603785737E-2</c:v>
                      </c:pt>
                      <c:pt idx="71">
                        <c:v>7.2928601353210346E-2</c:v>
                      </c:pt>
                      <c:pt idx="72">
                        <c:v>7.2925012028709046E-2</c:v>
                      </c:pt>
                      <c:pt idx="73">
                        <c:v>7.2918475587497478E-2</c:v>
                      </c:pt>
                      <c:pt idx="74">
                        <c:v>7.2909072718610135E-2</c:v>
                      </c:pt>
                      <c:pt idx="75">
                        <c:v>7.2896881911748826E-2</c:v>
                      </c:pt>
                      <c:pt idx="76">
                        <c:v>7.288197952378199E-2</c:v>
                      </c:pt>
                      <c:pt idx="77">
                        <c:v>7.2864439842984241E-2</c:v>
                      </c:pt>
                      <c:pt idx="78">
                        <c:v>7.2844335151102099E-2</c:v>
                      </c:pt>
                      <c:pt idx="79">
                        <c:v>7.2821735783328775E-2</c:v>
                      </c:pt>
                      <c:pt idx="80">
                        <c:v>7.2796710186265642E-2</c:v>
                      </c:pt>
                      <c:pt idx="81">
                        <c:v>7.2769324973947266E-2</c:v>
                      </c:pt>
                      <c:pt idx="82">
                        <c:v>7.2739644982001514E-2</c:v>
                      </c:pt>
                      <c:pt idx="83">
                        <c:v>7.2707733320014567E-2</c:v>
                      </c:pt>
                      <c:pt idx="84">
                        <c:v>7.2673651422166891E-2</c:v>
                      </c:pt>
                      <c:pt idx="85">
                        <c:v>7.263745909620449E-2</c:v>
                      </c:pt>
                      <c:pt idx="86">
                        <c:v>7.2599214570806342E-2</c:v>
                      </c:pt>
                      <c:pt idx="87">
                        <c:v>7.2558974541406723E-2</c:v>
                      </c:pt>
                      <c:pt idx="88">
                        <c:v>7.2516794214528613E-2</c:v>
                      </c:pt>
                      <c:pt idx="89">
                        <c:v>7.2472727350682511E-2</c:v>
                      </c:pt>
                      <c:pt idx="90">
                        <c:v>7.2426826305882278E-2</c:v>
                      </c:pt>
                      <c:pt idx="91">
                        <c:v>7.2379142071827621E-2</c:v>
                      </c:pt>
                      <c:pt idx="92">
                        <c:v>7.2329724314801724E-2</c:v>
                      </c:pt>
                      <c:pt idx="93">
                        <c:v>7.2278621413328803E-2</c:v>
                      </c:pt>
                      <c:pt idx="94">
                        <c:v>7.2225880494636713E-2</c:v>
                      </c:pt>
                      <c:pt idx="95">
                        <c:v>7.2171547469966249E-2</c:v>
                      </c:pt>
                      <c:pt idx="96">
                        <c:v>7.2115667068768249E-2</c:v>
                      </c:pt>
                      <c:pt idx="97">
                        <c:v>7.2058282871827237E-2</c:v>
                      </c:pt>
                      <c:pt idx="98">
                        <c:v>7.1999437343349404E-2</c:v>
                      </c:pt>
                      <c:pt idx="99">
                        <c:v>7.1939171862050996E-2</c:v>
                      </c:pt>
                      <c:pt idx="100">
                        <c:v>7.1877526751281617E-2</c:v>
                      </c:pt>
                      <c:pt idx="101">
                        <c:v>7.1814541308216365E-2</c:v>
                      </c:pt>
                      <c:pt idx="102">
                        <c:v>7.175025383214792E-2</c:v>
                      </c:pt>
                      <c:pt idx="103">
                        <c:v>7.1684701651910723E-2</c:v>
                      </c:pt>
                      <c:pt idx="104">
                        <c:v>7.161792115246586E-2</c:v>
                      </c:pt>
                      <c:pt idx="105">
                        <c:v>7.1549947800675778E-2</c:v>
                      </c:pt>
                      <c:pt idx="106">
                        <c:v>7.1480816170296169E-2</c:v>
                      </c:pt>
                      <c:pt idx="107">
                        <c:v>7.1410559966211651E-2</c:v>
                      </c:pt>
                      <c:pt idx="108">
                        <c:v>7.1339212047940428E-2</c:v>
                      </c:pt>
                      <c:pt idx="109">
                        <c:v>7.1266804452432705E-2</c:v>
                      </c:pt>
                      <c:pt idx="110">
                        <c:v>7.1193368416186481E-2</c:v>
                      </c:pt>
                      <c:pt idx="111">
                        <c:v>7.1118934396702999E-2</c:v>
                      </c:pt>
                      <c:pt idx="112">
                        <c:v>7.1043532093304759E-2</c:v>
                      </c:pt>
                      <c:pt idx="113">
                        <c:v>7.0967190467335864E-2</c:v>
                      </c:pt>
                      <c:pt idx="114">
                        <c:v>7.0889937761766234E-2</c:v>
                      </c:pt>
                      <c:pt idx="115">
                        <c:v>7.0811801520218529E-2</c:v>
                      </c:pt>
                      <c:pt idx="116">
                        <c:v>7.0732808605436931E-2</c:v>
                      </c:pt>
                      <c:pt idx="117">
                        <c:v>7.0652985217215886E-2</c:v>
                      </c:pt>
                      <c:pt idx="118">
                        <c:v>7.0572356909806469E-2</c:v>
                      </c:pt>
                      <c:pt idx="119">
                        <c:v>7.0490948608817369E-2</c:v>
                      </c:pt>
                      <c:pt idx="120">
                        <c:v>7.0408784627626078E-2</c:v>
                      </c:pt>
                      <c:pt idx="121">
                        <c:v>7.0325888683317198E-2</c:v>
                      </c:pt>
                      <c:pt idx="122">
                        <c:v>7.0242283912162071E-2</c:v>
                      </c:pt>
                      <c:pt idx="123">
                        <c:v>7.0157992884654602E-2</c:v>
                      </c:pt>
                      <c:pt idx="124">
                        <c:v>7.007303762011774E-2</c:v>
                      </c:pt>
                      <c:pt idx="125">
                        <c:v>6.9987439600893694E-2</c:v>
                      </c:pt>
                      <c:pt idx="126">
                        <c:v>6.9901219786131355E-2</c:v>
                      </c:pt>
                      <c:pt idx="127">
                        <c:v>6.9814398625183655E-2</c:v>
                      </c:pt>
                      <c:pt idx="128">
                        <c:v>6.972699607062692E-2</c:v>
                      </c:pt>
                      <c:pt idx="129">
                        <c:v>6.9639031590913905E-2</c:v>
                      </c:pt>
                      <c:pt idx="130">
                        <c:v>6.955052418267238E-2</c:v>
                      </c:pt>
                      <c:pt idx="131">
                        <c:v>6.9461492382659862E-2</c:v>
                      </c:pt>
                      <c:pt idx="132">
                        <c:v>6.937195427938532E-2</c:v>
                      </c:pt>
                      <c:pt idx="133">
                        <c:v>6.9281927524408121E-2</c:v>
                      </c:pt>
                      <c:pt idx="134">
                        <c:v>6.9191429343324035E-2</c:v>
                      </c:pt>
                      <c:pt idx="135">
                        <c:v>6.9100476546447881E-2</c:v>
                      </c:pt>
                      <c:pt idx="136">
                        <c:v>6.9009085539202472E-2</c:v>
                      </c:pt>
                      <c:pt idx="137">
                        <c:v>6.8917272332222154E-2</c:v>
                      </c:pt>
                      <c:pt idx="138">
                        <c:v>6.8825052551180085E-2</c:v>
                      </c:pt>
                      <c:pt idx="139">
                        <c:v>6.8732441446347464E-2</c:v>
                      </c:pt>
                      <c:pt idx="140">
                        <c:v>6.8639453901892827E-2</c:v>
                      </c:pt>
                      <c:pt idx="141">
                        <c:v>6.8546104444929007E-2</c:v>
                      </c:pt>
                      <c:pt idx="142">
                        <c:v>6.84524072543157E-2</c:v>
                      </c:pt>
                      <c:pt idx="143">
                        <c:v>6.8358376169224688E-2</c:v>
                      </c:pt>
                      <c:pt idx="144">
                        <c:v>6.8264024697474793E-2</c:v>
                      </c:pt>
                      <c:pt idx="145">
                        <c:v>6.8169366023643319E-2</c:v>
                      </c:pt>
                      <c:pt idx="146">
                        <c:v>6.807441301696103E-2</c:v>
                      </c:pt>
                      <c:pt idx="147">
                        <c:v>6.7979178238996338E-2</c:v>
                      </c:pt>
                      <c:pt idx="148">
                        <c:v>6.7883673951135787E-2</c:v>
                      </c:pt>
                      <c:pt idx="149">
                        <c:v>6.7787912121865607E-2</c:v>
                      </c:pt>
                      <c:pt idx="150">
                        <c:v>6.7691904433861569E-2</c:v>
                      </c:pt>
                      <c:pt idx="151">
                        <c:v>6.7595662290891645E-2</c:v>
                      </c:pt>
                      <c:pt idx="152">
                        <c:v>6.7499196824537241E-2</c:v>
                      </c:pt>
                      <c:pt idx="153">
                        <c:v>6.7402518900738395E-2</c:v>
                      </c:pt>
                      <c:pt idx="154">
                        <c:v>6.7305639126168187E-2</c:v>
                      </c:pt>
                      <c:pt idx="155">
                        <c:v>6.7208567854440182E-2</c:v>
                      </c:pt>
                      <c:pt idx="156">
                        <c:v>6.7111315192155629E-2</c:v>
                      </c:pt>
                      <c:pt idx="157">
                        <c:v>6.7013891004793089E-2</c:v>
                      </c:pt>
                      <c:pt idx="158">
                        <c:v>6.691630492244606E-2</c:v>
                      </c:pt>
                      <c:pt idx="159">
                        <c:v>6.6818566345412667E-2</c:v>
                      </c:pt>
                      <c:pt idx="160">
                        <c:v>6.6720684449641743E-2</c:v>
                      </c:pt>
                      <c:pt idx="161">
                        <c:v>6.6622668192038853E-2</c:v>
                      </c:pt>
                      <c:pt idx="162">
                        <c:v>6.6524526315637003E-2</c:v>
                      </c:pt>
                      <c:pt idx="163">
                        <c:v>6.6426267354635193E-2</c:v>
                      </c:pt>
                      <c:pt idx="164">
                        <c:v>6.6327899639308671E-2</c:v>
                      </c:pt>
                      <c:pt idx="165">
                        <c:v>6.6229431300794825E-2</c:v>
                      </c:pt>
                      <c:pt idx="166">
                        <c:v>6.6130870275757661E-2</c:v>
                      </c:pt>
                      <c:pt idx="167">
                        <c:v>6.603222431093464E-2</c:v>
                      </c:pt>
                      <c:pt idx="168">
                        <c:v>6.5933500967568767E-2</c:v>
                      </c:pt>
                      <c:pt idx="169">
                        <c:v>6.5834707625729669E-2</c:v>
                      </c:pt>
                      <c:pt idx="170">
                        <c:v>6.5735851488525968E-2</c:v>
                      </c:pt>
                      <c:pt idx="171">
                        <c:v>6.5636939586212764E-2</c:v>
                      </c:pt>
                      <c:pt idx="172">
                        <c:v>6.5537978780196252E-2</c:v>
                      </c:pt>
                      <c:pt idx="173">
                        <c:v>6.5438975766939037E-2</c:v>
                      </c:pt>
                      <c:pt idx="174">
                        <c:v>6.5339937081768398E-2</c:v>
                      </c:pt>
                      <c:pt idx="175">
                        <c:v>6.5240869102590235E-2</c:v>
                      </c:pt>
                      <c:pt idx="176">
                        <c:v>6.5141778053511415E-2</c:v>
                      </c:pt>
                      <c:pt idx="177">
                        <c:v>6.5042670008372827E-2</c:v>
                      </c:pt>
                      <c:pt idx="178">
                        <c:v>6.4943550894195526E-2</c:v>
                      </c:pt>
                      <c:pt idx="179">
                        <c:v>6.4844426494542265E-2</c:v>
                      </c:pt>
                      <c:pt idx="180">
                        <c:v>6.4745302452797415E-2</c:v>
                      </c:pt>
                      <c:pt idx="181">
                        <c:v>6.4646184275365892E-2</c:v>
                      </c:pt>
                      <c:pt idx="182">
                        <c:v>6.4547077334794964E-2</c:v>
                      </c:pt>
                      <c:pt idx="183">
                        <c:v>6.4447986872819885E-2</c:v>
                      </c:pt>
                      <c:pt idx="184">
                        <c:v>6.4348918003335767E-2</c:v>
                      </c:pt>
                      <c:pt idx="185">
                        <c:v>6.4249875715297694E-2</c:v>
                      </c:pt>
                      <c:pt idx="186">
                        <c:v>6.4150864875550551E-2</c:v>
                      </c:pt>
                      <c:pt idx="187">
                        <c:v>6.405189023159126E-2</c:v>
                      </c:pt>
                      <c:pt idx="188">
                        <c:v>6.3952956414264184E-2</c:v>
                      </c:pt>
                      <c:pt idx="189">
                        <c:v>6.3854067940392306E-2</c:v>
                      </c:pt>
                      <c:pt idx="190">
                        <c:v>6.3755229215345141E-2</c:v>
                      </c:pt>
                      <c:pt idx="191">
                        <c:v>6.3656444535545753E-2</c:v>
                      </c:pt>
                      <c:pt idx="192">
                        <c:v>6.3557718090917883E-2</c:v>
                      </c:pt>
                      <c:pt idx="193">
                        <c:v>6.3459053967275039E-2</c:v>
                      </c:pt>
                      <c:pt idx="194">
                        <c:v>6.3360456148652711E-2</c:v>
                      </c:pt>
                      <c:pt idx="195">
                        <c:v>6.3261928519585939E-2</c:v>
                      </c:pt>
                      <c:pt idx="196">
                        <c:v>6.3163474867332661E-2</c:v>
                      </c:pt>
                      <c:pt idx="197">
                        <c:v>6.3065098884044907E-2</c:v>
                      </c:pt>
                      <c:pt idx="198">
                        <c:v>6.2966804168888946E-2</c:v>
                      </c:pt>
                      <c:pt idx="199">
                        <c:v>6.2868594230115746E-2</c:v>
                      </c:pt>
                      <c:pt idx="200">
                        <c:v>6.2770472487082923E-2</c:v>
                      </c:pt>
                    </c:numCache>
                  </c:numRef>
                </c:val>
                <c:smooth val="0"/>
                <c:extLst xmlns:c15="http://schemas.microsoft.com/office/drawing/2012/chart">
                  <c:ext xmlns:c16="http://schemas.microsoft.com/office/drawing/2014/chart" uri="{C3380CC4-5D6E-409C-BE32-E72D297353CC}">
                    <c16:uniqueId val="{00000009-39DF-4DF9-9D5A-11C17911BDDC}"/>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'Efficiency vs VIN Calculations'!$AC$8</c15:sqref>
                        </c15:formulaRef>
                      </c:ext>
                    </c:extLst>
                    <c:strCache>
                      <c:ptCount val="1"/>
                      <c:pt idx="0">
                        <c:v>Total Cout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Calculations'!$AC$9:$AC$209</c15:sqref>
                        </c15:formulaRef>
                      </c:ext>
                    </c:extLst>
                    <c:numCache>
                      <c:formatCode>0.000</c:formatCode>
                      <c:ptCount val="201"/>
                      <c:pt idx="0">
                        <c:v>2.6259597524932012E-3</c:v>
                      </c:pt>
                      <c:pt idx="1">
                        <c:v>2.7256505648593898E-3</c:v>
                      </c:pt>
                      <c:pt idx="2">
                        <c:v>2.8257859992278141E-3</c:v>
                      </c:pt>
                      <c:pt idx="3">
                        <c:v>2.9263198215073011E-3</c:v>
                      </c:pt>
                      <c:pt idx="4">
                        <c:v>3.0272080573061017E-3</c:v>
                      </c:pt>
                      <c:pt idx="5">
                        <c:v>3.1284088820129879E-3</c:v>
                      </c:pt>
                      <c:pt idx="6">
                        <c:v>3.2298825166463029E-3</c:v>
                      </c:pt>
                      <c:pt idx="7">
                        <c:v>3.3315911291397992E-3</c:v>
                      </c:pt>
                      <c:pt idx="8">
                        <c:v>3.4334987407546452E-3</c:v>
                      </c:pt>
                      <c:pt idx="9">
                        <c:v>3.5355711373265971E-3</c:v>
                      </c:pt>
                      <c:pt idx="10">
                        <c:v>3.6377757850752142E-3</c:v>
                      </c:pt>
                      <c:pt idx="11">
                        <c:v>3.7400817507190821E-3</c:v>
                      </c:pt>
                      <c:pt idx="12">
                        <c:v>3.842459625656458E-3</c:v>
                      </c:pt>
                      <c:pt idx="13">
                        <c:v>3.9448814539856693E-3</c:v>
                      </c:pt>
                      <c:pt idx="14">
                        <c:v>4.0473206641531388E-3</c:v>
                      </c:pt>
                      <c:pt idx="15">
                        <c:v>4.1497520040297518E-3</c:v>
                      </c:pt>
                      <c:pt idx="16">
                        <c:v>4.2521514792282838E-3</c:v>
                      </c:pt>
                      <c:pt idx="17">
                        <c:v>4.3544962944856401E-3</c:v>
                      </c:pt>
                      <c:pt idx="18">
                        <c:v>4.456764797944289E-3</c:v>
                      </c:pt>
                      <c:pt idx="19">
                        <c:v>4.5589364281769266E-3</c:v>
                      </c:pt>
                      <c:pt idx="20">
                        <c:v>4.6609916638075182E-3</c:v>
                      </c:pt>
                      <c:pt idx="21">
                        <c:v>4.7629119755906472E-3</c:v>
                      </c:pt>
                      <c:pt idx="22">
                        <c:v>4.8646797808187649E-3</c:v>
                      </c:pt>
                      <c:pt idx="23">
                        <c:v>4.9662783999348814E-3</c:v>
                      </c:pt>
                      <c:pt idx="24">
                        <c:v>5.0676920152348389E-3</c:v>
                      </c:pt>
                      <c:pt idx="25">
                        <c:v>5.1689056315502814E-3</c:v>
                      </c:pt>
                      <c:pt idx="26">
                        <c:v>5.2699050388094219E-3</c:v>
                      </c:pt>
                      <c:pt idx="27">
                        <c:v>5.3706767763785556E-3</c:v>
                      </c:pt>
                      <c:pt idx="28">
                        <c:v>5.4712080990927947E-3</c:v>
                      </c:pt>
                      <c:pt idx="29">
                        <c:v>5.5714869448894866E-3</c:v>
                      </c:pt>
                      <c:pt idx="30">
                        <c:v>5.6715019039628098E-3</c:v>
                      </c:pt>
                      <c:pt idx="31">
                        <c:v>5.7712421893622431E-3</c:v>
                      </c:pt>
                      <c:pt idx="32">
                        <c:v>5.8706976089622264E-3</c:v>
                      </c:pt>
                      <c:pt idx="33">
                        <c:v>5.9698585387339799E-3</c:v>
                      </c:pt>
                      <c:pt idx="34">
                        <c:v>6.0687158972544397E-3</c:v>
                      </c:pt>
                      <c:pt idx="35">
                        <c:v>6.1672611213907328E-3</c:v>
                      </c:pt>
                      <c:pt idx="36">
                        <c:v>6.2654861431018687E-3</c:v>
                      </c:pt>
                      <c:pt idx="37">
                        <c:v>6.3633833673025879E-3</c:v>
                      </c:pt>
                      <c:pt idx="38">
                        <c:v>6.4609456507371604E-3</c:v>
                      </c:pt>
                      <c:pt idx="39">
                        <c:v>6.5581662818137015E-3</c:v>
                      </c:pt>
                      <c:pt idx="40">
                        <c:v>6.6550389613523313E-3</c:v>
                      </c:pt>
                      <c:pt idx="41">
                        <c:v>6.7515577842026907E-3</c:v>
                      </c:pt>
                      <c:pt idx="42">
                        <c:v>6.847717221689067E-3</c:v>
                      </c:pt>
                      <c:pt idx="43">
                        <c:v>6.9435121048430125E-3</c:v>
                      </c:pt>
                      <c:pt idx="44">
                        <c:v>7.0389376083861352E-3</c:v>
                      </c:pt>
                      <c:pt idx="45">
                        <c:v>7.1339892354268805E-3</c:v>
                      </c:pt>
                      <c:pt idx="46">
                        <c:v>7.2286628028377219E-3</c:v>
                      </c:pt>
                      <c:pt idx="47">
                        <c:v>7.3229544272803565E-3</c:v>
                      </c:pt>
                      <c:pt idx="48">
                        <c:v>7.4168605118484603E-3</c:v>
                      </c:pt>
                      <c:pt idx="49">
                        <c:v>7.51037773329902E-3</c:v>
                      </c:pt>
                      <c:pt idx="50">
                        <c:v>7.6035030298446729E-3</c:v>
                      </c:pt>
                      <c:pt idx="51">
                        <c:v>7.6962335894809695E-3</c:v>
                      </c:pt>
                      <c:pt idx="52">
                        <c:v>7.7885668388237433E-3</c:v>
                      </c:pt>
                      <c:pt idx="53">
                        <c:v>7.8805004324329873E-3</c:v>
                      </c:pt>
                      <c:pt idx="54">
                        <c:v>7.9720322426008444E-3</c:v>
                      </c:pt>
                      <c:pt idx="55">
                        <c:v>8.0631603495823888E-3</c:v>
                      </c:pt>
                      <c:pt idx="56">
                        <c:v>8.1538830322490582E-3</c:v>
                      </c:pt>
                      <c:pt idx="57">
                        <c:v>8.2441987591453519E-3</c:v>
                      </c:pt>
                      <c:pt idx="58">
                        <c:v>8.3341061799305904E-3</c:v>
                      </c:pt>
                      <c:pt idx="59">
                        <c:v>8.4236041171883089E-3</c:v>
                      </c:pt>
                      <c:pt idx="60">
                        <c:v>8.5126915585866433E-3</c:v>
                      </c:pt>
                      <c:pt idx="61">
                        <c:v>8.6013676493741139E-3</c:v>
                      </c:pt>
                      <c:pt idx="62">
                        <c:v>8.6896316851955823E-3</c:v>
                      </c:pt>
                      <c:pt idx="63">
                        <c:v>8.7774831052142756E-3</c:v>
                      </c:pt>
                      <c:pt idx="64">
                        <c:v>8.86492148552619E-3</c:v>
                      </c:pt>
                      <c:pt idx="65">
                        <c:v>8.9519465328539698E-3</c:v>
                      </c:pt>
                      <c:pt idx="66">
                        <c:v>9.03855807850781E-3</c:v>
                      </c:pt>
                      <c:pt idx="67">
                        <c:v>9.1247560726018338E-3</c:v>
                      </c:pt>
                      <c:pt idx="68">
                        <c:v>9.2105405785144947E-3</c:v>
                      </c:pt>
                      <c:pt idx="69">
                        <c:v>9.2959117675824737E-3</c:v>
                      </c:pt>
                      <c:pt idx="70">
                        <c:v>9.3808699140179395E-3</c:v>
                      </c:pt>
                      <c:pt idx="71">
                        <c:v>9.465415390039339E-3</c:v>
                      </c:pt>
                      <c:pt idx="72">
                        <c:v>9.5495486612064556E-3</c:v>
                      </c:pt>
                      <c:pt idx="73">
                        <c:v>9.6332702819510452E-3</c:v>
                      </c:pt>
                      <c:pt idx="74">
                        <c:v>9.7165808912945649E-3</c:v>
                      </c:pt>
                      <c:pt idx="75">
                        <c:v>9.7994812087448483E-3</c:v>
                      </c:pt>
                      <c:pt idx="76">
                        <c:v>9.8819720303642312E-3</c:v>
                      </c:pt>
                      <c:pt idx="77">
                        <c:v>9.9640542250017203E-3</c:v>
                      </c:pt>
                      <c:pt idx="78">
                        <c:v>1.004572873068219E-2</c:v>
                      </c:pt>
                      <c:pt idx="79">
                        <c:v>1.0126996551146064E-2</c:v>
                      </c:pt>
                      <c:pt idx="80">
                        <c:v>1.0207858752532889E-2</c:v>
                      </c:pt>
                      <c:pt idx="81">
                        <c:v>1.0288316460202982E-2</c:v>
                      </c:pt>
                      <c:pt idx="82">
                        <c:v>1.036837085569111E-2</c:v>
                      </c:pt>
                      <c:pt idx="83">
                        <c:v>1.0448023173786864E-2</c:v>
                      </c:pt>
                      <c:pt idx="84">
                        <c:v>1.0527274699736154E-2</c:v>
                      </c:pt>
                      <c:pt idx="85">
                        <c:v>1.0606126766559029E-2</c:v>
                      </c:pt>
                      <c:pt idx="86">
                        <c:v>1.0684580752478806E-2</c:v>
                      </c:pt>
                      <c:pt idx="87">
                        <c:v>1.076263807845791E-2</c:v>
                      </c:pt>
                      <c:pt idx="88">
                        <c:v>1.0840300205836054E-2</c:v>
                      </c:pt>
                      <c:pt idx="89">
                        <c:v>1.0917568634066411E-2</c:v>
                      </c:pt>
                      <c:pt idx="90">
                        <c:v>1.0994444898545848E-2</c:v>
                      </c:pt>
                      <c:pt idx="91">
                        <c:v>1.1070930568535258E-2</c:v>
                      </c:pt>
                      <c:pt idx="92">
                        <c:v>1.1147027245166344E-2</c:v>
                      </c:pt>
                      <c:pt idx="93">
                        <c:v>1.1222736559531222E-2</c:v>
                      </c:pt>
                      <c:pt idx="94">
                        <c:v>1.1298060170851615E-2</c:v>
                      </c:pt>
                      <c:pt idx="95">
                        <c:v>1.1372999764724103E-2</c:v>
                      </c:pt>
                      <c:pt idx="96">
                        <c:v>1.1447557051438722E-2</c:v>
                      </c:pt>
                      <c:pt idx="97">
                        <c:v>1.1521733764367515E-2</c:v>
                      </c:pt>
                      <c:pt idx="98">
                        <c:v>1.1595531658420494E-2</c:v>
                      </c:pt>
                      <c:pt idx="99">
                        <c:v>1.1668952508566081E-2</c:v>
                      </c:pt>
                      <c:pt idx="100">
                        <c:v>1.1741998108413641E-2</c:v>
                      </c:pt>
                      <c:pt idx="101">
                        <c:v>1.1814670268855297E-2</c:v>
                      </c:pt>
                      <c:pt idx="102">
                        <c:v>1.1886970816764939E-2</c:v>
                      </c:pt>
                      <c:pt idx="103">
                        <c:v>1.195890159375192E-2</c:v>
                      </c:pt>
                      <c:pt idx="104">
                        <c:v>1.203046445496728E-2</c:v>
                      </c:pt>
                      <c:pt idx="105">
                        <c:v>1.2101661267960487E-2</c:v>
                      </c:pt>
                      <c:pt idx="106">
                        <c:v>1.2172493911584585E-2</c:v>
                      </c:pt>
                      <c:pt idx="107">
                        <c:v>1.2242964274947761E-2</c:v>
                      </c:pt>
                      <c:pt idx="108">
                        <c:v>1.231307425640964E-2</c:v>
                      </c:pt>
                      <c:pt idx="109">
                        <c:v>1.2382825762620328E-2</c:v>
                      </c:pt>
                      <c:pt idx="110">
                        <c:v>1.2452220707600704E-2</c:v>
                      </c:pt>
                      <c:pt idx="111">
                        <c:v>1.2521261011862059E-2</c:v>
                      </c:pt>
                      <c:pt idx="112">
                        <c:v>1.2589948601563917E-2</c:v>
                      </c:pt>
                      <c:pt idx="113">
                        <c:v>1.2658285407707939E-2</c:v>
                      </c:pt>
                      <c:pt idx="114">
                        <c:v>1.2726273365367205E-2</c:v>
                      </c:pt>
                      <c:pt idx="115">
                        <c:v>1.2793914412948693E-2</c:v>
                      </c:pt>
                      <c:pt idx="116">
                        <c:v>1.2861210491488367E-2</c:v>
                      </c:pt>
                      <c:pt idx="117">
                        <c:v>1.2928163543977016E-2</c:v>
                      </c:pt>
                      <c:pt idx="118">
                        <c:v>1.2994775514716022E-2</c:v>
                      </c:pt>
                      <c:pt idx="119">
                        <c:v>1.3061048348701577E-2</c:v>
                      </c:pt>
                      <c:pt idx="120">
                        <c:v>1.3126983991036487E-2</c:v>
                      </c:pt>
                      <c:pt idx="121">
                        <c:v>1.3192584386368326E-2</c:v>
                      </c:pt>
                      <c:pt idx="122">
                        <c:v>1.3257851478352827E-2</c:v>
                      </c:pt>
                      <c:pt idx="123">
                        <c:v>1.3322787209141811E-2</c:v>
                      </c:pt>
                      <c:pt idx="124">
                        <c:v>1.3387393518894349E-2</c:v>
                      </c:pt>
                      <c:pt idx="125">
                        <c:v>1.3451672345310375E-2</c:v>
                      </c:pt>
                      <c:pt idx="126">
                        <c:v>1.3515625623186067E-2</c:v>
                      </c:pt>
                      <c:pt idx="127">
                        <c:v>1.3579255283989785E-2</c:v>
                      </c:pt>
                      <c:pt idx="128">
                        <c:v>1.3642563255457978E-2</c:v>
                      </c:pt>
                      <c:pt idx="129">
                        <c:v>1.3705551461210259E-2</c:v>
                      </c:pt>
                      <c:pt idx="130">
                        <c:v>1.3768221820382847E-2</c:v>
                      </c:pt>
                      <c:pt idx="131">
                        <c:v>1.3830576247279654E-2</c:v>
                      </c:pt>
                      <c:pt idx="132">
                        <c:v>1.3892616651040414E-2</c:v>
                      </c:pt>
                      <c:pt idx="133">
                        <c:v>1.3954344935325005E-2</c:v>
                      </c:pt>
                      <c:pt idx="134">
                        <c:v>1.4015762998013537E-2</c:v>
                      </c:pt>
                      <c:pt idx="135">
                        <c:v>1.4076872730921406E-2</c:v>
                      </c:pt>
                      <c:pt idx="136">
                        <c:v>1.4137676019528889E-2</c:v>
                      </c:pt>
                      <c:pt idx="137">
                        <c:v>1.4198174742724523E-2</c:v>
                      </c:pt>
                      <c:pt idx="138">
                        <c:v>1.4258370772561932E-2</c:v>
                      </c:pt>
                      <c:pt idx="139">
                        <c:v>1.4318265974029383E-2</c:v>
                      </c:pt>
                      <c:pt idx="140">
                        <c:v>1.4377862204831695E-2</c:v>
                      </c:pt>
                      <c:pt idx="141">
                        <c:v>1.4437161315183923E-2</c:v>
                      </c:pt>
                      <c:pt idx="142">
                        <c:v>1.4496165147616522E-2</c:v>
                      </c:pt>
                      <c:pt idx="143">
                        <c:v>1.4554875536791235E-2</c:v>
                      </c:pt>
                      <c:pt idx="144">
                        <c:v>1.4613294309327625E-2</c:v>
                      </c:pt>
                      <c:pt idx="145">
                        <c:v>1.4671423283639575E-2</c:v>
                      </c:pt>
                      <c:pt idx="146">
                        <c:v>1.4729264269781472E-2</c:v>
                      </c:pt>
                      <c:pt idx="147">
                        <c:v>1.4786819069303641E-2</c:v>
                      </c:pt>
                      <c:pt idx="148">
                        <c:v>1.4844089475116775E-2</c:v>
                      </c:pt>
                      <c:pt idx="149">
                        <c:v>1.4901077271364836E-2</c:v>
                      </c:pt>
                      <c:pt idx="150">
                        <c:v>1.4957784233306171E-2</c:v>
                      </c:pt>
                      <c:pt idx="151">
                        <c:v>1.5014212127202518E-2</c:v>
                      </c:pt>
                      <c:pt idx="152">
                        <c:v>1.5070362710215692E-2</c:v>
                      </c:pt>
                      <c:pt idx="153">
                        <c:v>1.51262377303113E-2</c:v>
                      </c:pt>
                      <c:pt idx="154">
                        <c:v>1.5181838926169689E-2</c:v>
                      </c:pt>
                      <c:pt idx="155">
                        <c:v>1.5237168027103334E-2</c:v>
                      </c:pt>
                      <c:pt idx="156">
                        <c:v>1.5292226752980882E-2</c:v>
                      </c:pt>
                      <c:pt idx="157">
                        <c:v>1.5347016814157186E-2</c:v>
                      </c:pt>
                      <c:pt idx="158">
                        <c:v>1.5401539911409261E-2</c:v>
                      </c:pt>
                      <c:pt idx="159">
                        <c:v>1.5455797735878036E-2</c:v>
                      </c:pt>
                      <c:pt idx="160">
                        <c:v>1.5509791969015391E-2</c:v>
                      </c:pt>
                      <c:pt idx="161">
                        <c:v>1.5563524282536455E-2</c:v>
                      </c:pt>
                      <c:pt idx="162">
                        <c:v>1.561699633837694E-2</c:v>
                      </c:pt>
                      <c:pt idx="163">
                        <c:v>1.5670209788655246E-2</c:v>
                      </c:pt>
                      <c:pt idx="164">
                        <c:v>1.5723166275639099E-2</c:v>
                      </c:pt>
                      <c:pt idx="165">
                        <c:v>1.5775867431716651E-2</c:v>
                      </c:pt>
                      <c:pt idx="166">
                        <c:v>1.5828314879371773E-2</c:v>
                      </c:pt>
                      <c:pt idx="167">
                        <c:v>1.5880510231163446E-2</c:v>
                      </c:pt>
                      <c:pt idx="168">
                        <c:v>1.5932455089708857E-2</c:v>
                      </c:pt>
                      <c:pt idx="169">
                        <c:v>1.5984151047670366E-2</c:v>
                      </c:pt>
                      <c:pt idx="170">
                        <c:v>1.6035599687745938E-2</c:v>
                      </c:pt>
                      <c:pt idx="171">
                        <c:v>1.6086802582663023E-2</c:v>
                      </c:pt>
                      <c:pt idx="172">
                        <c:v>1.6137761295175555E-2</c:v>
                      </c:pt>
                      <c:pt idx="173">
                        <c:v>1.6188477378064219E-2</c:v>
                      </c:pt>
                      <c:pt idx="174">
                        <c:v>1.6238952374139554E-2</c:v>
                      </c:pt>
                      <c:pt idx="175">
                        <c:v>1.6289187816248007E-2</c:v>
                      </c:pt>
                      <c:pt idx="176">
                        <c:v>1.6339185227280579E-2</c:v>
                      </c:pt>
                      <c:pt idx="177">
                        <c:v>1.638894612018417E-2</c:v>
                      </c:pt>
                      <c:pt idx="178">
                        <c:v>1.6438471997975324E-2</c:v>
                      </c:pt>
                      <c:pt idx="179">
                        <c:v>1.6487764353756418E-2</c:v>
                      </c:pt>
                      <c:pt idx="180">
                        <c:v>1.6536824670733991E-2</c:v>
                      </c:pt>
                      <c:pt idx="181">
                        <c:v>1.6585654422239332E-2</c:v>
                      </c:pt>
                      <c:pt idx="182">
                        <c:v>1.6634255071751113E-2</c:v>
                      </c:pt>
                      <c:pt idx="183">
                        <c:v>1.668262807291988E-2</c:v>
                      </c:pt>
                      <c:pt idx="184">
                        <c:v>1.6730774869594452E-2</c:v>
                      </c:pt>
                      <c:pt idx="185">
                        <c:v>1.6778696895850227E-2</c:v>
                      </c:pt>
                      <c:pt idx="186">
                        <c:v>1.6826395576018963E-2</c:v>
                      </c:pt>
                      <c:pt idx="187">
                        <c:v>1.6873872324720318E-2</c:v>
                      </c:pt>
                      <c:pt idx="188">
                        <c:v>1.6921128546894842E-2</c:v>
                      </c:pt>
                      <c:pt idx="189">
                        <c:v>1.6968165637838449E-2</c:v>
                      </c:pt>
                      <c:pt idx="190">
                        <c:v>1.7014984983238259E-2</c:v>
                      </c:pt>
                      <c:pt idx="191">
                        <c:v>1.7061587959209774E-2</c:v>
                      </c:pt>
                      <c:pt idx="192">
                        <c:v>1.7107975932335231E-2</c:v>
                      </c:pt>
                      <c:pt idx="193">
                        <c:v>1.7154150259703186E-2</c:v>
                      </c:pt>
                      <c:pt idx="194">
                        <c:v>1.7200112288949205E-2</c:v>
                      </c:pt>
                      <c:pt idx="195">
                        <c:v>1.7245863358297534E-2</c:v>
                      </c:pt>
                      <c:pt idx="196">
                        <c:v>1.7291404796603918E-2</c:v>
                      </c:pt>
                      <c:pt idx="197">
                        <c:v>1.7336737923399115E-2</c:v>
                      </c:pt>
                      <c:pt idx="198">
                        <c:v>1.7381864048933576E-2</c:v>
                      </c:pt>
                      <c:pt idx="199">
                        <c:v>1.7426784474222707E-2</c:v>
                      </c:pt>
                      <c:pt idx="200">
                        <c:v>1.7471500491093049E-2</c:v>
                      </c:pt>
                    </c:numCache>
                  </c:numRef>
                </c:val>
                <c:smooth val="0"/>
                <c:extLst xmlns:c15="http://schemas.microsoft.com/office/drawing/2012/chart">
                  <c:ext xmlns:c16="http://schemas.microsoft.com/office/drawing/2014/chart" uri="{C3380CC4-5D6E-409C-BE32-E72D297353CC}">
                    <c16:uniqueId val="{0000000A-39DF-4DF9-9D5A-11C17911BDDC}"/>
                  </c:ext>
                </c:extLst>
              </c15:ser>
            </c15:filteredLineSeries>
            <c15:filteredLineSeries>
              <c15:ser>
                <c:idx val="3"/>
                <c:order val="11"/>
                <c:tx>
                  <c:v>Inductor Loss</c:v>
                </c:tx>
                <c:spPr>
                  <a:ln w="38100">
                    <a:solidFill>
                      <a:srgbClr val="800080"/>
                    </a:solidFill>
                    <a:prstDash val="dash"/>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Calculations'!$BP$9:$BP$209</c15:sqref>
                        </c15:formulaRef>
                      </c:ext>
                    </c:extLst>
                    <c:numCache>
                      <c:formatCode>0.000</c:formatCode>
                      <c:ptCount val="201"/>
                      <c:pt idx="0">
                        <c:v>1.1664963483138355</c:v>
                      </c:pt>
                      <c:pt idx="1">
                        <c:v>1.1783832701555945</c:v>
                      </c:pt>
                      <c:pt idx="2">
                        <c:v>1.1903891876899488</c:v>
                      </c:pt>
                      <c:pt idx="3">
                        <c:v>1.2025073878656187</c:v>
                      </c:pt>
                      <c:pt idx="4">
                        <c:v>1.2147313975756808</c:v>
                      </c:pt>
                      <c:pt idx="5">
                        <c:v>1.2270549766372592</c:v>
                      </c:pt>
                      <c:pt idx="6">
                        <c:v>1.2394721108087612</c:v>
                      </c:pt>
                      <c:pt idx="7">
                        <c:v>1.2519770048712224</c:v>
                      </c:pt>
                      <c:pt idx="8">
                        <c:v>1.2645640757957135</c:v>
                      </c:pt>
                      <c:pt idx="9">
                        <c:v>1.2772279460147808</c:v>
                      </c:pt>
                      <c:pt idx="10">
                        <c:v>1.2899634368125192</c:v>
                      </c:pt>
                      <c:pt idx="11">
                        <c:v>1.3027655618449869</c:v>
                      </c:pt>
                      <c:pt idx="12">
                        <c:v>1.3156295208001829</c:v>
                      </c:pt>
                      <c:pt idx="13">
                        <c:v>1.3285506932047102</c:v>
                      </c:pt>
                      <c:pt idx="14">
                        <c:v>1.3415246323824344</c:v>
                      </c:pt>
                      <c:pt idx="15">
                        <c:v>1.3545470595689051</c:v>
                      </c:pt>
                      <c:pt idx="16">
                        <c:v>1.3676138581840214</c:v>
                      </c:pt>
                      <c:pt idx="17">
                        <c:v>1.3807210682642745</c:v>
                      </c:pt>
                      <c:pt idx="18">
                        <c:v>1.3938648810549974</c:v>
                      </c:pt>
                      <c:pt idx="19">
                        <c:v>1.4070416337622322</c:v>
                      </c:pt>
                      <c:pt idx="20">
                        <c:v>1.4202478044631612</c:v>
                      </c:pt>
                      <c:pt idx="21">
                        <c:v>1.4334800071735168</c:v>
                      </c:pt>
                      <c:pt idx="22">
                        <c:v>1.4467349870698509</c:v>
                      </c:pt>
                      <c:pt idx="23">
                        <c:v>1.4600096158642786</c:v>
                      </c:pt>
                      <c:pt idx="24">
                        <c:v>1.4733008873288647</c:v>
                      </c:pt>
                      <c:pt idx="25">
                        <c:v>1.4866059129666853</c:v>
                      </c:pt>
                      <c:pt idx="26">
                        <c:v>1.4999219178263286</c:v>
                      </c:pt>
                      <c:pt idx="27">
                        <c:v>1.5132462364564618</c:v>
                      </c:pt>
                      <c:pt idx="28">
                        <c:v>1.5265763089970132</c:v>
                      </c:pt>
                      <c:pt idx="29">
                        <c:v>1.5399096774033554</c:v>
                      </c:pt>
                      <c:pt idx="30">
                        <c:v>1.5532439817999366</c:v>
                      </c:pt>
                      <c:pt idx="31">
                        <c:v>1.5665769569596513</c:v>
                      </c:pt>
                      <c:pt idx="32">
                        <c:v>1.5799064289053455</c:v>
                      </c:pt>
                      <c:pt idx="33">
                        <c:v>1.5932303116297901</c:v>
                      </c:pt>
                      <c:pt idx="34">
                        <c:v>1.6065466039305125</c:v>
                      </c:pt>
                      <c:pt idx="35">
                        <c:v>1.6198533863558988</c:v>
                      </c:pt>
                      <c:pt idx="36">
                        <c:v>1.6331488182590457</c:v>
                      </c:pt>
                      <c:pt idx="37">
                        <c:v>1.6464311349558671</c:v>
                      </c:pt>
                      <c:pt idx="38">
                        <c:v>1.6596986449840616</c:v>
                      </c:pt>
                      <c:pt idx="39">
                        <c:v>1.6729497274595779</c:v>
                      </c:pt>
                      <c:pt idx="40">
                        <c:v>1.6861828295273189</c:v>
                      </c:pt>
                      <c:pt idx="41">
                        <c:v>1.6993964639028876</c:v>
                      </c:pt>
                      <c:pt idx="42">
                        <c:v>1.7125892065022597</c:v>
                      </c:pt>
                      <c:pt idx="43">
                        <c:v>1.7257596941563396</c:v>
                      </c:pt>
                      <c:pt idx="44">
                        <c:v>1.7389066224074852</c:v>
                      </c:pt>
                      <c:pt idx="45">
                        <c:v>1.7520287433850754</c:v>
                      </c:pt>
                      <c:pt idx="46">
                        <c:v>1.7651248637574086</c:v>
                      </c:pt>
                      <c:pt idx="47">
                        <c:v>1.778193842757178</c:v>
                      </c:pt>
                      <c:pt idx="48">
                        <c:v>1.7912345902779312</c:v>
                      </c:pt>
                      <c:pt idx="49">
                        <c:v>1.8042460650389902</c:v>
                      </c:pt>
                      <c:pt idx="50">
                        <c:v>1.8172272728163485</c:v>
                      </c:pt>
                      <c:pt idx="51">
                        <c:v>1.8301772647372176</c:v>
                      </c:pt>
                      <c:pt idx="52">
                        <c:v>1.8430951356358847</c:v>
                      </c:pt>
                      <c:pt idx="53">
                        <c:v>1.855980022468706</c:v>
                      </c:pt>
                      <c:pt idx="54">
                        <c:v>1.8688311027860562</c:v>
                      </c:pt>
                      <c:pt idx="55">
                        <c:v>1.8816475932591961</c:v>
                      </c:pt>
                      <c:pt idx="56">
                        <c:v>1.894428748260059</c:v>
                      </c:pt>
                      <c:pt idx="57">
                        <c:v>1.9071738584920055</c:v>
                      </c:pt>
                      <c:pt idx="58">
                        <c:v>1.919882249669723</c:v>
                      </c:pt>
                      <c:pt idx="59">
                        <c:v>1.932553281246455</c:v>
                      </c:pt>
                      <c:pt idx="60">
                        <c:v>1.9451863451868334</c:v>
                      </c:pt>
                      <c:pt idx="61">
                        <c:v>1.9577808647836685</c:v>
                      </c:pt>
                      <c:pt idx="62">
                        <c:v>1.9703362935170581</c:v>
                      </c:pt>
                      <c:pt idx="63">
                        <c:v>1.9828521139542974</c:v>
                      </c:pt>
                      <c:pt idx="64">
                        <c:v>1.9953278366890872</c:v>
                      </c:pt>
                      <c:pt idx="65">
                        <c:v>2.0077629993186012</c:v>
                      </c:pt>
                      <c:pt idx="66">
                        <c:v>2.0201571654570234</c:v>
                      </c:pt>
                      <c:pt idx="67">
                        <c:v>2.0325099237842568</c:v>
                      </c:pt>
                      <c:pt idx="68">
                        <c:v>2.0448208871284654</c:v>
                      </c:pt>
                      <c:pt idx="69">
                        <c:v>2.0570896915812473</c:v>
                      </c:pt>
                      <c:pt idx="70">
                        <c:v>2.0693159956442653</c:v>
                      </c:pt>
                      <c:pt idx="71">
                        <c:v>2.0814994794061419</c:v>
                      </c:pt>
                      <c:pt idx="72">
                        <c:v>2.0936398437485524</c:v>
                      </c:pt>
                      <c:pt idx="73">
                        <c:v>2.1057368095804256</c:v>
                      </c:pt>
                      <c:pt idx="74">
                        <c:v>2.1177901170992759</c:v>
                      </c:pt>
                      <c:pt idx="75">
                        <c:v>2.1297995250786137</c:v>
                      </c:pt>
                      <c:pt idx="76">
                        <c:v>2.1417648101805451</c:v>
                      </c:pt>
                      <c:pt idx="77">
                        <c:v>2.1536857662926252</c:v>
                      </c:pt>
                      <c:pt idx="78">
                        <c:v>2.1655622038880722</c:v>
                      </c:pt>
                      <c:pt idx="79">
                        <c:v>2.1773939494085326</c:v>
                      </c:pt>
                      <c:pt idx="80">
                        <c:v>2.1891808446685435</c:v>
                      </c:pt>
                      <c:pt idx="81">
                        <c:v>2.2009227462809351</c:v>
                      </c:pt>
                      <c:pt idx="82">
                        <c:v>2.2126195251023999</c:v>
                      </c:pt>
                      <c:pt idx="83">
                        <c:v>2.2242710656985385</c:v>
                      </c:pt>
                      <c:pt idx="84">
                        <c:v>2.2358772658276242</c:v>
                      </c:pt>
                      <c:pt idx="85">
                        <c:v>2.2474380359424622</c:v>
                      </c:pt>
                      <c:pt idx="86">
                        <c:v>2.2589532987096708</c:v>
                      </c:pt>
                      <c:pt idx="87">
                        <c:v>2.2704229885457834</c:v>
                      </c:pt>
                      <c:pt idx="88">
                        <c:v>2.2818470511695303</c:v>
                      </c:pt>
                      <c:pt idx="89">
                        <c:v>2.2932254431697614</c:v>
                      </c:pt>
                      <c:pt idx="90">
                        <c:v>2.3045581315884411</c:v>
                      </c:pt>
                      <c:pt idx="91">
                        <c:v>2.315845093518158</c:v>
                      </c:pt>
                      <c:pt idx="92">
                        <c:v>2.3270863157136645</c:v>
                      </c:pt>
                      <c:pt idx="93">
                        <c:v>2.3382817942169294</c:v>
                      </c:pt>
                      <c:pt idx="94">
                        <c:v>2.3494315339952312</c:v>
                      </c:pt>
                      <c:pt idx="95">
                        <c:v>2.3605355485918111</c:v>
                      </c:pt>
                      <c:pt idx="96">
                        <c:v>2.371593859788693</c:v>
                      </c:pt>
                      <c:pt idx="97">
                        <c:v>2.3826064972811754</c:v>
                      </c:pt>
                      <c:pt idx="98">
                        <c:v>2.3935734983636308</c:v>
                      </c:pt>
                      <c:pt idx="99">
                        <c:v>2.4044949076261926</c:v>
                      </c:pt>
                      <c:pt idx="100">
                        <c:v>2.4153707766619683</c:v>
                      </c:pt>
                      <c:pt idx="101">
                        <c:v>2.4262011637843726</c:v>
                      </c:pt>
                      <c:pt idx="102">
                        <c:v>2.4369861337542753</c:v>
                      </c:pt>
                      <c:pt idx="103">
                        <c:v>2.4477257575165736</c:v>
                      </c:pt>
                      <c:pt idx="104">
                        <c:v>2.4584201119458911</c:v>
                      </c:pt>
                      <c:pt idx="105">
                        <c:v>2.4690692796010674</c:v>
                      </c:pt>
                      <c:pt idx="106">
                        <c:v>2.4796733484881606</c:v>
                      </c:pt>
                      <c:pt idx="107">
                        <c:v>2.4902324118316193</c:v>
                      </c:pt>
                      <c:pt idx="108">
                        <c:v>2.500746567853386</c:v>
                      </c:pt>
                      <c:pt idx="109">
                        <c:v>2.5112159195596222</c:v>
                      </c:pt>
                      <c:pt idx="110">
                        <c:v>2.5216405745348349</c:v>
                      </c:pt>
                      <c:pt idx="111">
                        <c:v>2.5320206447430897</c:v>
                      </c:pt>
                      <c:pt idx="112">
                        <c:v>2.5423562463361331</c:v>
                      </c:pt>
                      <c:pt idx="113">
                        <c:v>2.5526474994681063</c:v>
                      </c:pt>
                      <c:pt idx="114">
                        <c:v>2.5628945281167259</c:v>
                      </c:pt>
                      <c:pt idx="115">
                        <c:v>2.5730974599105907</c:v>
                      </c:pt>
                      <c:pt idx="116">
                        <c:v>2.5832564259625181</c:v>
                      </c:pt>
                      <c:pt idx="117">
                        <c:v>2.5933715607086176</c:v>
                      </c:pt>
                      <c:pt idx="118">
                        <c:v>2.603443001752956</c:v>
                      </c:pt>
                      <c:pt idx="119">
                        <c:v>2.6134708897176</c:v>
                      </c:pt>
                      <c:pt idx="120">
                        <c:v>2.6234553680978552</c:v>
                      </c:pt>
                      <c:pt idx="121">
                        <c:v>2.6333965831225461</c:v>
                      </c:pt>
                      <c:pt idx="122">
                        <c:v>2.6432946836191182</c:v>
                      </c:pt>
                      <c:pt idx="123">
                        <c:v>2.6531498208834532</c:v>
                      </c:pt>
                      <c:pt idx="124">
                        <c:v>2.6629621485542092</c:v>
                      </c:pt>
                      <c:pt idx="125">
                        <c:v>2.6727318224915084</c:v>
                      </c:pt>
                      <c:pt idx="126">
                        <c:v>2.6824590006599012</c:v>
                      </c:pt>
                      <c:pt idx="127">
                        <c:v>2.6921438430153604</c:v>
                      </c:pt>
                      <c:pt idx="128">
                        <c:v>2.7017865113962718</c:v>
                      </c:pt>
                      <c:pt idx="129">
                        <c:v>2.7113871694181775</c:v>
                      </c:pt>
                      <c:pt idx="130">
                        <c:v>2.7209459823722768</c:v>
                      </c:pt>
                      <c:pt idx="131">
                        <c:v>2.7304631171274143</c:v>
                      </c:pt>
                      <c:pt idx="132">
                        <c:v>2.7399387420355716</c:v>
                      </c:pt>
                      <c:pt idx="133">
                        <c:v>2.7493730268406344</c:v>
                      </c:pt>
                      <c:pt idx="134">
                        <c:v>2.7587661425904031</c:v>
                      </c:pt>
                      <c:pt idx="135">
                        <c:v>2.7681182615516926</c:v>
                      </c:pt>
                      <c:pt idx="136">
                        <c:v>2.7774295571284675</c:v>
                      </c:pt>
                      <c:pt idx="137">
                        <c:v>2.786700203782805</c:v>
                      </c:pt>
                      <c:pt idx="138">
                        <c:v>2.7959303769587605</c:v>
                      </c:pt>
                      <c:pt idx="139">
                        <c:v>2.8051202530088668</c:v>
                      </c:pt>
                      <c:pt idx="140">
                        <c:v>2.8142700091232733</c:v>
                      </c:pt>
                      <c:pt idx="141">
                        <c:v>2.8233798232614471</c:v>
                      </c:pt>
                      <c:pt idx="142">
                        <c:v>2.8324498740862958</c:v>
                      </c:pt>
                      <c:pt idx="143">
                        <c:v>2.8414803409006462</c:v>
                      </c:pt>
                      <c:pt idx="144">
                        <c:v>2.8504714035860528</c:v>
                      </c:pt>
                      <c:pt idx="145">
                        <c:v>2.8594232425437807</c:v>
                      </c:pt>
                      <c:pt idx="146">
                        <c:v>2.8683360386379468</c:v>
                      </c:pt>
                      <c:pt idx="147">
                        <c:v>2.8772099731407152</c:v>
                      </c:pt>
                      <c:pt idx="148">
                        <c:v>2.8860452276795168</c:v>
                      </c:pt>
                      <c:pt idx="149">
                        <c:v>2.8948419841861779</c:v>
                      </c:pt>
                      <c:pt idx="150">
                        <c:v>2.9036004248479235</c:v>
                      </c:pt>
                      <c:pt idx="151">
                        <c:v>2.9123207320601949</c:v>
                      </c:pt>
                      <c:pt idx="152">
                        <c:v>2.9210030883812217</c:v>
                      </c:pt>
                      <c:pt idx="153">
                        <c:v>2.9296476764882482</c:v>
                      </c:pt>
                      <c:pt idx="154">
                        <c:v>2.9382546791354534</c:v>
                      </c:pt>
                      <c:pt idx="155">
                        <c:v>2.946824279113383</c:v>
                      </c:pt>
                      <c:pt idx="156">
                        <c:v>2.9553566592099756</c:v>
                      </c:pt>
                      <c:pt idx="157">
                        <c:v>2.9638520021730042</c:v>
                      </c:pt>
                      <c:pt idx="158">
                        <c:v>2.9723104906739937</c:v>
                      </c:pt>
                      <c:pt idx="159">
                        <c:v>2.9807323072734979</c:v>
                      </c:pt>
                      <c:pt idx="160">
                        <c:v>2.9891176343877293</c:v>
                      </c:pt>
                      <c:pt idx="161">
                        <c:v>2.9974666542564368</c:v>
                      </c:pt>
                      <c:pt idx="162">
                        <c:v>3.0057795489121002</c:v>
                      </c:pt>
                      <c:pt idx="163">
                        <c:v>3.0140565001502693</c:v>
                      </c:pt>
                      <c:pt idx="164">
                        <c:v>3.022297689501122</c:v>
                      </c:pt>
                      <c:pt idx="165">
                        <c:v>3.0305032982021118</c:v>
                      </c:pt>
                      <c:pt idx="166">
                        <c:v>3.0386735071717261</c:v>
                      </c:pt>
                      <c:pt idx="167">
                        <c:v>3.0468084969843141</c:v>
                      </c:pt>
                      <c:pt idx="168">
                        <c:v>3.0549084478459001</c:v>
                      </c:pt>
                      <c:pt idx="169">
                        <c:v>3.0629735395710243</c:v>
                      </c:pt>
                      <c:pt idx="170">
                        <c:v>3.0710039515605132</c:v>
                      </c:pt>
                      <c:pt idx="171">
                        <c:v>3.0789998627801798</c:v>
                      </c:pt>
                      <c:pt idx="172">
                        <c:v>3.0869614517404202</c:v>
                      </c:pt>
                      <c:pt idx="173">
                        <c:v>3.0948888964766708</c:v>
                      </c:pt>
                      <c:pt idx="174">
                        <c:v>3.1027823745307059</c:v>
                      </c:pt>
                      <c:pt idx="175">
                        <c:v>3.1106420629327314</c:v>
                      </c:pt>
                      <c:pt idx="176">
                        <c:v>3.1184681381842694</c:v>
                      </c:pt>
                      <c:pt idx="177">
                        <c:v>3.1262607762417902</c:v>
                      </c:pt>
                      <c:pt idx="178">
                        <c:v>3.1340201525010878</c:v>
                      </c:pt>
                      <c:pt idx="179">
                        <c:v>3.1417464417823471</c:v>
                      </c:pt>
                      <c:pt idx="180">
                        <c:v>3.1494398183158863</c:v>
                      </c:pt>
                      <c:pt idx="181">
                        <c:v>3.1571004557285822</c:v>
                      </c:pt>
                      <c:pt idx="182">
                        <c:v>3.1647285270309249</c:v>
                      </c:pt>
                      <c:pt idx="183">
                        <c:v>3.1723242046046685</c:v>
                      </c:pt>
                      <c:pt idx="184">
                        <c:v>3.1798876601911026</c:v>
                      </c:pt>
                      <c:pt idx="185">
                        <c:v>3.1874190648798884</c:v>
                      </c:pt>
                      <c:pt idx="186">
                        <c:v>3.1949185890984602</c:v>
                      </c:pt>
                      <c:pt idx="187">
                        <c:v>3.2023864026019524</c:v>
                      </c:pt>
                      <c:pt idx="188">
                        <c:v>3.2098226744636373</c:v>
                      </c:pt>
                      <c:pt idx="189">
                        <c:v>3.2172275730659141</c:v>
                      </c:pt>
                      <c:pt idx="190">
                        <c:v>3.2246012660917165</c:v>
                      </c:pt>
                      <c:pt idx="191">
                        <c:v>3.2319439205164397</c:v>
                      </c:pt>
                      <c:pt idx="192">
                        <c:v>3.2392557026002953</c:v>
                      </c:pt>
                      <c:pt idx="193">
                        <c:v>3.2465367778811265</c:v>
                      </c:pt>
                      <c:pt idx="194">
                        <c:v>3.2537873111676001</c:v>
                      </c:pt>
                      <c:pt idx="195">
                        <c:v>3.2610074665328819</c:v>
                      </c:pt>
                      <c:pt idx="196">
                        <c:v>3.2681974073086364</c:v>
                      </c:pt>
                      <c:pt idx="197">
                        <c:v>3.275357296079433</c:v>
                      </c:pt>
                      <c:pt idx="198">
                        <c:v>3.2824872946775505</c:v>
                      </c:pt>
                      <c:pt idx="199">
                        <c:v>3.289587564178075</c:v>
                      </c:pt>
                      <c:pt idx="200">
                        <c:v>3.2966582648944049</c:v>
                      </c:pt>
                    </c:numCache>
                  </c:numRef>
                </c:val>
                <c:smooth val="0"/>
                <c:extLst xmlns:c15="http://schemas.microsoft.com/office/drawing/2012/chart">
                  <c:ext xmlns:c16="http://schemas.microsoft.com/office/drawing/2014/chart" uri="{C3380CC4-5D6E-409C-BE32-E72D297353CC}">
                    <c16:uniqueId val="{0000000B-39DF-4DF9-9D5A-11C17911BDDC}"/>
                  </c:ext>
                </c:extLst>
              </c15:ser>
            </c15:filteredLineSeries>
            <c15:filteredLineSeries>
              <c15:ser>
                <c:idx val="2"/>
                <c:order val="12"/>
                <c:tx>
                  <c:v>Total MOSFET Loss</c:v>
                </c:tx>
                <c:spPr>
                  <a:ln w="38100">
                    <a:solidFill>
                      <a:srgbClr val="808000"/>
                    </a:solidFill>
                    <a:prstDash val="sysDash"/>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Calculations'!$BQ$9:$BQ$209</c15:sqref>
                        </c15:formulaRef>
                      </c:ext>
                    </c:extLst>
                    <c:numCache>
                      <c:formatCode>0.000</c:formatCode>
                      <c:ptCount val="201"/>
                      <c:pt idx="0">
                        <c:v>4.8833771988768673</c:v>
                      </c:pt>
                      <c:pt idx="1">
                        <c:v>4.9016780655888761</c:v>
                      </c:pt>
                      <c:pt idx="2">
                        <c:v>4.9199964916870602</c:v>
                      </c:pt>
                      <c:pt idx="3">
                        <c:v>4.9383317694126685</c:v>
                      </c:pt>
                      <c:pt idx="4">
                        <c:v>4.9566832201107207</c:v>
                      </c:pt>
                      <c:pt idx="5">
                        <c:v>4.9750501928849182</c:v>
                      </c:pt>
                      <c:pt idx="6">
                        <c:v>4.9934320633230813</c:v>
                      </c:pt>
                      <c:pt idx="7">
                        <c:v>5.0118282322889574</c:v>
                      </c:pt>
                      <c:pt idx="8">
                        <c:v>5.0302381247765062</c:v>
                      </c:pt>
                      <c:pt idx="9">
                        <c:v>5.0486611888230168</c:v>
                      </c:pt>
                      <c:pt idx="10">
                        <c:v>5.0670968944776442</c:v>
                      </c:pt>
                      <c:pt idx="11">
                        <c:v>5.0855447328222185</c:v>
                      </c:pt>
                      <c:pt idx="12">
                        <c:v>5.1040042150412885</c:v>
                      </c:pt>
                      <c:pt idx="13">
                        <c:v>5.1224748715386745</c:v>
                      </c:pt>
                      <c:pt idx="14">
                        <c:v>5.1409562510978697</c:v>
                      </c:pt>
                      <c:pt idx="15">
                        <c:v>5.1594479200838617</c:v>
                      </c:pt>
                      <c:pt idx="16">
                        <c:v>5.1779494616840598</c:v>
                      </c:pt>
                      <c:pt idx="17">
                        <c:v>5.196460475186222</c:v>
                      </c:pt>
                      <c:pt idx="18">
                        <c:v>5.2149805752912588</c:v>
                      </c:pt>
                      <c:pt idx="19">
                        <c:v>5.2335093914591546</c:v>
                      </c:pt>
                      <c:pt idx="20">
                        <c:v>5.252046567286067</c:v>
                      </c:pt>
                      <c:pt idx="21">
                        <c:v>5.2705917599110776</c:v>
                      </c:pt>
                      <c:pt idx="22">
                        <c:v>5.2891446394508845</c:v>
                      </c:pt>
                      <c:pt idx="23">
                        <c:v>5.3077048884610569</c:v>
                      </c:pt>
                      <c:pt idx="24">
                        <c:v>5.3262722014223911</c:v>
                      </c:pt>
                      <c:pt idx="25">
                        <c:v>5.3448462842510818</c:v>
                      </c:pt>
                      <c:pt idx="26">
                        <c:v>5.3634268538314656</c:v>
                      </c:pt>
                      <c:pt idx="27">
                        <c:v>5.3820136375701688</c:v>
                      </c:pt>
                      <c:pt idx="28">
                        <c:v>5.4006063729705733</c:v>
                      </c:pt>
                      <c:pt idx="29">
                        <c:v>5.4192048072265342</c:v>
                      </c:pt>
                      <c:pt idx="30">
                        <c:v>5.4378086968344084</c:v>
                      </c:pt>
                      <c:pt idx="31">
                        <c:v>5.4564178072224436</c:v>
                      </c:pt>
                      <c:pt idx="32">
                        <c:v>5.4750319123966866</c:v>
                      </c:pt>
                      <c:pt idx="33">
                        <c:v>5.4936507946025417</c:v>
                      </c:pt>
                      <c:pt idx="34">
                        <c:v>5.512274244001266</c:v>
                      </c:pt>
                      <c:pt idx="35">
                        <c:v>5.5309020583606046</c:v>
                      </c:pt>
                      <c:pt idx="36">
                        <c:v>5.5495340427589221</c:v>
                      </c:pt>
                      <c:pt idx="37">
                        <c:v>5.5681700093021433</c:v>
                      </c:pt>
                      <c:pt idx="38">
                        <c:v>5.5868097768528955</c:v>
                      </c:pt>
                      <c:pt idx="39">
                        <c:v>5.6054531707712627</c:v>
                      </c:pt>
                      <c:pt idx="40">
                        <c:v>5.6241000226666111</c:v>
                      </c:pt>
                      <c:pt idx="41">
                        <c:v>5.6427501701599034</c:v>
                      </c:pt>
                      <c:pt idx="42">
                        <c:v>5.661403456656112</c:v>
                      </c:pt>
                      <c:pt idx="43">
                        <c:v>5.6800597311261196</c:v>
                      </c:pt>
                      <c:pt idx="44">
                        <c:v>5.6987188478977897</c:v>
                      </c:pt>
                      <c:pt idx="45">
                        <c:v>5.7173806664556945</c:v>
                      </c:pt>
                      <c:pt idx="46">
                        <c:v>5.7360450512491337</c:v>
                      </c:pt>
                      <c:pt idx="47">
                        <c:v>5.7547118715080687</c:v>
                      </c:pt>
                      <c:pt idx="48">
                        <c:v>5.7733810010665865</c:v>
                      </c:pt>
                      <c:pt idx="49">
                        <c:v>5.7920523181935621</c:v>
                      </c:pt>
                      <c:pt idx="50">
                        <c:v>5.8107257054302064</c:v>
                      </c:pt>
                      <c:pt idx="51">
                        <c:v>5.8294010494341553</c:v>
                      </c:pt>
                      <c:pt idx="52">
                        <c:v>5.8480782408298451</c:v>
                      </c:pt>
                      <c:pt idx="53">
                        <c:v>5.866757174064861</c:v>
                      </c:pt>
                      <c:pt idx="54">
                        <c:v>5.8854377472720136</c:v>
                      </c:pt>
                      <c:pt idx="55">
                        <c:v>5.9041198621368851</c:v>
                      </c:pt>
                      <c:pt idx="56">
                        <c:v>5.9228034237705929</c:v>
                      </c:pt>
                      <c:pt idx="57">
                        <c:v>5.9414883405875729</c:v>
                      </c:pt>
                      <c:pt idx="58">
                        <c:v>5.9601745241881154</c:v>
                      </c:pt>
                      <c:pt idx="59">
                        <c:v>5.9788618892454997</c:v>
                      </c:pt>
                      <c:pt idx="60">
                        <c:v>5.9975503533974868</c:v>
                      </c:pt>
                      <c:pt idx="61">
                        <c:v>6.0162398371420229</c:v>
                      </c:pt>
                      <c:pt idx="62">
                        <c:v>6.0349302637369169</c:v>
                      </c:pt>
                      <c:pt idx="63">
                        <c:v>6.0536215591033997</c:v>
                      </c:pt>
                      <c:pt idx="64">
                        <c:v>6.0723136517333165</c:v>
                      </c:pt>
                      <c:pt idx="65">
                        <c:v>6.0910064725998909</c:v>
                      </c:pt>
                      <c:pt idx="66">
                        <c:v>6.1096999550717968</c:v>
                      </c:pt>
                      <c:pt idx="67">
                        <c:v>6.1283940348305377</c:v>
                      </c:pt>
                      <c:pt idx="68">
                        <c:v>6.147088649790855</c:v>
                      </c:pt>
                      <c:pt idx="69">
                        <c:v>6.1657837400241613</c:v>
                      </c:pt>
                      <c:pt idx="70">
                        <c:v>6.184479247684787</c:v>
                      </c:pt>
                      <c:pt idx="71">
                        <c:v>6.2031751169389739</c:v>
                      </c:pt>
                      <c:pt idx="72">
                        <c:v>6.2218712938964833</c:v>
                      </c:pt>
                      <c:pt idx="73">
                        <c:v>6.240567726544711</c:v>
                      </c:pt>
                      <c:pt idx="74">
                        <c:v>6.2592643646852357</c:v>
                      </c:pt>
                      <c:pt idx="75">
                        <c:v>6.277961159872655</c:v>
                      </c:pt>
                      <c:pt idx="76">
                        <c:v>6.2966580653556523</c:v>
                      </c:pt>
                      <c:pt idx="77">
                        <c:v>6.315355036020204</c:v>
                      </c:pt>
                      <c:pt idx="78">
                        <c:v>6.3340520283348303</c:v>
                      </c:pt>
                      <c:pt idx="79">
                        <c:v>6.3527490002978046</c:v>
                      </c:pt>
                      <c:pt idx="80">
                        <c:v>6.3714459113862594</c:v>
                      </c:pt>
                      <c:pt idx="81">
                        <c:v>6.3901427225071057</c:v>
                      </c:pt>
                      <c:pt idx="82">
                        <c:v>6.4088393959496974</c:v>
                      </c:pt>
                      <c:pt idx="83">
                        <c:v>6.4275358953401689</c:v>
                      </c:pt>
                      <c:pt idx="84">
                        <c:v>6.4462321855973803</c:v>
                      </c:pt>
                      <c:pt idx="85">
                        <c:v>6.4649282328904256</c:v>
                      </c:pt>
                      <c:pt idx="86">
                        <c:v>6.4836240045976057</c:v>
                      </c:pt>
                      <c:pt idx="87">
                        <c:v>6.5023194692668529</c:v>
                      </c:pt>
                      <c:pt idx="88">
                        <c:v>6.5210145965775332</c:v>
                      </c:pt>
                      <c:pt idx="89">
                        <c:v>6.5397093573035479</c:v>
                      </c:pt>
                      <c:pt idx="90">
                        <c:v>6.5584037232777517</c:v>
                      </c:pt>
                      <c:pt idx="91">
                        <c:v>6.577097667357549</c:v>
                      </c:pt>
                      <c:pt idx="92">
                        <c:v>6.5957911633917119</c:v>
                      </c:pt>
                      <c:pt idx="93">
                        <c:v>6.6144841861883119</c:v>
                      </c:pt>
                      <c:pt idx="94">
                        <c:v>6.6331767114837445</c:v>
                      </c:pt>
                      <c:pt idx="95">
                        <c:v>6.6518687159128209</c:v>
                      </c:pt>
                      <c:pt idx="96">
                        <c:v>6.6705601769798593</c:v>
                      </c:pt>
                      <c:pt idx="97">
                        <c:v>6.6892510730307597</c:v>
                      </c:pt>
                      <c:pt idx="98">
                        <c:v>6.7079413832260206</c:v>
                      </c:pt>
                      <c:pt idx="99">
                        <c:v>6.7266310875146491</c:v>
                      </c:pt>
                      <c:pt idx="100">
                        <c:v>6.7453201666089724</c:v>
                      </c:pt>
                      <c:pt idx="101">
                        <c:v>6.764008601960251</c:v>
                      </c:pt>
                      <c:pt idx="102">
                        <c:v>6.7826963757351404</c:v>
                      </c:pt>
                      <c:pt idx="103">
                        <c:v>6.8013834707929064</c:v>
                      </c:pt>
                      <c:pt idx="104">
                        <c:v>6.8200698706634117</c:v>
                      </c:pt>
                      <c:pt idx="105">
                        <c:v>6.8387555595258203</c:v>
                      </c:pt>
                      <c:pt idx="106">
                        <c:v>6.8574405221879999</c:v>
                      </c:pt>
                      <c:pt idx="107">
                        <c:v>6.8761247440666082</c:v>
                      </c:pt>
                      <c:pt idx="108">
                        <c:v>6.8948082111678328</c:v>
                      </c:pt>
                      <c:pt idx="109">
                        <c:v>6.9134909100687345</c:v>
                      </c:pt>
                      <c:pt idx="110">
                        <c:v>6.9321728278992314</c:v>
                      </c:pt>
                      <c:pt idx="111">
                        <c:v>6.9508539523246453</c:v>
                      </c:pt>
                      <c:pt idx="112">
                        <c:v>6.9695342715288229</c:v>
                      </c:pt>
                      <c:pt idx="113">
                        <c:v>6.9882137741977957</c:v>
                      </c:pt>
                      <c:pt idx="114">
                        <c:v>7.0068924495039644</c:v>
                      </c:pt>
                      <c:pt idx="115">
                        <c:v>7.0255702870907966</c:v>
                      </c:pt>
                      <c:pt idx="116">
                        <c:v>7.0442472770580187</c:v>
                      </c:pt>
                      <c:pt idx="117">
                        <c:v>7.0629234099472669</c:v>
                      </c:pt>
                      <c:pt idx="118">
                        <c:v>7.0815986767282046</c:v>
                      </c:pt>
                      <c:pt idx="119">
                        <c:v>7.1002730687850795</c:v>
                      </c:pt>
                      <c:pt idx="120">
                        <c:v>7.1189465779037047</c:v>
                      </c:pt>
                      <c:pt idx="121">
                        <c:v>7.137619196258866</c:v>
                      </c:pt>
                      <c:pt idx="122">
                        <c:v>7.1562909164020851</c:v>
                      </c:pt>
                      <c:pt idx="123">
                        <c:v>7.1749617312498337</c:v>
                      </c:pt>
                      <c:pt idx="124">
                        <c:v>7.1936316340720543</c:v>
                      </c:pt>
                      <c:pt idx="125">
                        <c:v>7.2123006184810725</c:v>
                      </c:pt>
                      <c:pt idx="126">
                        <c:v>7.2309686784208616</c:v>
                      </c:pt>
                      <c:pt idx="127">
                        <c:v>7.2496358081566195</c:v>
                      </c:pt>
                      <c:pt idx="128">
                        <c:v>7.2683020022646838</c:v>
                      </c:pt>
                      <c:pt idx="129">
                        <c:v>7.2869672556227689</c:v>
                      </c:pt>
                      <c:pt idx="130">
                        <c:v>7.3056315634004765</c:v>
                      </c:pt>
                      <c:pt idx="131">
                        <c:v>7.324294921050134</c:v>
                      </c:pt>
                      <c:pt idx="132">
                        <c:v>7.3429573242978963</c:v>
                      </c:pt>
                      <c:pt idx="133">
                        <c:v>7.3616187691351156</c:v>
                      </c:pt>
                      <c:pt idx="134">
                        <c:v>7.3802792518100029</c:v>
                      </c:pt>
                      <c:pt idx="135">
                        <c:v>7.3989387688195105</c:v>
                      </c:pt>
                      <c:pt idx="136">
                        <c:v>7.4175973169014986</c:v>
                      </c:pt>
                      <c:pt idx="137">
                        <c:v>7.4362548930271082</c:v>
                      </c:pt>
                      <c:pt idx="138">
                        <c:v>7.4549114943933974</c:v>
                      </c:pt>
                      <c:pt idx="139">
                        <c:v>7.4735671184161738</c:v>
                      </c:pt>
                      <c:pt idx="140">
                        <c:v>7.4922217627230703</c:v>
                      </c:pt>
                      <c:pt idx="141">
                        <c:v>7.5108754251468044</c:v>
                      </c:pt>
                      <c:pt idx="142">
                        <c:v>7.5295281037186692</c:v>
                      </c:pt>
                      <c:pt idx="143">
                        <c:v>7.548179796662204</c:v>
                      </c:pt>
                      <c:pt idx="144">
                        <c:v>7.5668305023870577</c:v>
                      </c:pt>
                      <c:pt idx="145">
                        <c:v>7.585480219483042</c:v>
                      </c:pt>
                      <c:pt idx="146">
                        <c:v>7.6041289467143578</c:v>
                      </c:pt>
                      <c:pt idx="147">
                        <c:v>7.6227766830140027</c:v>
                      </c:pt>
                      <c:pt idx="148">
                        <c:v>7.6414234274783448</c:v>
                      </c:pt>
                      <c:pt idx="149">
                        <c:v>7.6600691793618463</c:v>
                      </c:pt>
                      <c:pt idx="150">
                        <c:v>7.6787139380719642</c:v>
                      </c:pt>
                      <c:pt idx="151">
                        <c:v>7.6973577031641893</c:v>
                      </c:pt>
                      <c:pt idx="152">
                        <c:v>7.7160004743372408</c:v>
                      </c:pt>
                      <c:pt idx="153">
                        <c:v>7.734642251428399</c:v>
                      </c:pt>
                      <c:pt idx="154">
                        <c:v>7.7532830344089785</c:v>
                      </c:pt>
                      <c:pt idx="155">
                        <c:v>7.7719228233799429</c:v>
                      </c:pt>
                      <c:pt idx="156">
                        <c:v>7.7905616185676347</c:v>
                      </c:pt>
                      <c:pt idx="157">
                        <c:v>7.8091994203196418</c:v>
                      </c:pt>
                      <c:pt idx="158">
                        <c:v>7.827836229100793</c:v>
                      </c:pt>
                      <c:pt idx="159">
                        <c:v>7.8464720454892545</c:v>
                      </c:pt>
                      <c:pt idx="160">
                        <c:v>7.8651068701727569</c:v>
                      </c:pt>
                      <c:pt idx="161">
                        <c:v>7.8837407039449197</c:v>
                      </c:pt>
                      <c:pt idx="162">
                        <c:v>7.9023735477017043</c:v>
                      </c:pt>
                      <c:pt idx="163">
                        <c:v>7.9210054024379488</c:v>
                      </c:pt>
                      <c:pt idx="164">
                        <c:v>7.9396362692440228</c:v>
                      </c:pt>
                      <c:pt idx="165">
                        <c:v>7.9582661493025642</c:v>
                      </c:pt>
                      <c:pt idx="166">
                        <c:v>7.976895043885329</c:v>
                      </c:pt>
                      <c:pt idx="167">
                        <c:v>7.9955229543501263</c:v>
                      </c:pt>
                      <c:pt idx="168">
                        <c:v>8.0141498821378256</c:v>
                      </c:pt>
                      <c:pt idx="169">
                        <c:v>8.0327758287694895</c:v>
                      </c:pt>
                      <c:pt idx="170">
                        <c:v>8.0514007958435556</c:v>
                      </c:pt>
                      <c:pt idx="171">
                        <c:v>8.0700247850331266</c:v>
                      </c:pt>
                      <c:pt idx="172">
                        <c:v>8.0886477980833078</c:v>
                      </c:pt>
                      <c:pt idx="173">
                        <c:v>8.1072698368086602</c:v>
                      </c:pt>
                      <c:pt idx="174">
                        <c:v>8.1258909030907009</c:v>
                      </c:pt>
                      <c:pt idx="175">
                        <c:v>8.1445109988754911</c:v>
                      </c:pt>
                      <c:pt idx="176">
                        <c:v>8.1631301261712839</c:v>
                      </c:pt>
                      <c:pt idx="177">
                        <c:v>8.1817482870462399</c:v>
                      </c:pt>
                      <c:pt idx="178">
                        <c:v>8.2003654836262303</c:v>
                      </c:pt>
                      <c:pt idx="179">
                        <c:v>8.2189817180926816</c:v>
                      </c:pt>
                      <c:pt idx="180">
                        <c:v>8.2375969926804906</c:v>
                      </c:pt>
                      <c:pt idx="181">
                        <c:v>8.2562113096759866</c:v>
                      </c:pt>
                      <c:pt idx="182">
                        <c:v>8.2748246714149936</c:v>
                      </c:pt>
                      <c:pt idx="183">
                        <c:v>8.2934370802808992</c:v>
                      </c:pt>
                      <c:pt idx="184">
                        <c:v>8.3120485387028165</c:v>
                      </c:pt>
                      <c:pt idx="185">
                        <c:v>8.3306590491537662</c:v>
                      </c:pt>
                      <c:pt idx="186">
                        <c:v>8.349268614148956</c:v>
                      </c:pt>
                      <c:pt idx="187">
                        <c:v>8.3678772362440696</c:v>
                      </c:pt>
                      <c:pt idx="188">
                        <c:v>8.3864849180336218</c:v>
                      </c:pt>
                      <c:pt idx="189">
                        <c:v>8.4050916621493617</c:v>
                      </c:pt>
                      <c:pt idx="190">
                        <c:v>8.423697471258718</c:v>
                      </c:pt>
                      <c:pt idx="191">
                        <c:v>8.4423023480633113</c:v>
                      </c:pt>
                      <c:pt idx="192">
                        <c:v>8.4609062952974661</c:v>
                      </c:pt>
                      <c:pt idx="193">
                        <c:v>8.4795093157268031</c:v>
                      </c:pt>
                      <c:pt idx="194">
                        <c:v>8.4981114121468622</c:v>
                      </c:pt>
                      <c:pt idx="195">
                        <c:v>8.5167125873817682</c:v>
                      </c:pt>
                      <c:pt idx="196">
                        <c:v>8.5353128442829238</c:v>
                      </c:pt>
                      <c:pt idx="197">
                        <c:v>8.5539121857277518</c:v>
                      </c:pt>
                      <c:pt idx="198">
                        <c:v>8.5725106146184729</c:v>
                      </c:pt>
                      <c:pt idx="199">
                        <c:v>8.591108133880919</c:v>
                      </c:pt>
                      <c:pt idx="200">
                        <c:v>8.6097047464633754</c:v>
                      </c:pt>
                    </c:numCache>
                  </c:numRef>
                </c:val>
                <c:smooth val="0"/>
                <c:extLst xmlns:c15="http://schemas.microsoft.com/office/drawing/2012/chart">
                  <c:ext xmlns:c16="http://schemas.microsoft.com/office/drawing/2014/chart" uri="{C3380CC4-5D6E-409C-BE32-E72D297353CC}">
                    <c16:uniqueId val="{0000000C-39DF-4DF9-9D5A-11C17911BDDC}"/>
                  </c:ext>
                </c:extLst>
              </c15:ser>
            </c15:filteredLineSeries>
            <c15:filteredLineSeries>
              <c15:ser>
                <c:idx val="1"/>
                <c:order val="13"/>
                <c:tx>
                  <c:v>Shunt Loss</c:v>
                </c:tx>
                <c:spPr>
                  <a:ln w="38100">
                    <a:solidFill>
                      <a:srgbClr val="002060"/>
                    </a:solidFill>
                    <a:prstDash val="sysDot"/>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xmlns:c15="http://schemas.microsoft.com/office/drawing/2012/chart">
                      <c:ext xmlns:c15="http://schemas.microsoft.com/office/drawing/2012/chart" uri="{02D57815-91ED-43cb-92C2-25804820EDAC}">
                        <c15:formulaRef>
                          <c15:sqref>'Efficiency vs VIN Calculations'!$BV$9:$BV$209</c15:sqref>
                        </c15:formulaRef>
                      </c:ext>
                    </c:extLst>
                    <c:numCache>
                      <c:formatCode>0.000</c:formatCode>
                      <c:ptCount val="201"/>
                      <c:pt idx="0">
                        <c:v>9.5243761045760475E-2</c:v>
                      </c:pt>
                      <c:pt idx="1">
                        <c:v>9.7103942143320229E-2</c:v>
                      </c:pt>
                      <c:pt idx="2">
                        <c:v>9.8939226247063222E-2</c:v>
                      </c:pt>
                      <c:pt idx="3">
                        <c:v>0.10075012281131032</c:v>
                      </c:pt>
                      <c:pt idx="4">
                        <c:v>0.10253712712614538</c:v>
                      </c:pt>
                      <c:pt idx="5">
                        <c:v>0.10430072081800383</c:v>
                      </c:pt>
                      <c:pt idx="6">
                        <c:v>0.10604137232874646</c:v>
                      </c:pt>
                      <c:pt idx="7">
                        <c:v>0.10775953737430781</c:v>
                      </c:pt>
                      <c:pt idx="8">
                        <c:v>0.10945565938394397</c:v>
                      </c:pt>
                      <c:pt idx="9">
                        <c:v>0.11113016992104552</c:v>
                      </c:pt>
                      <c:pt idx="10">
                        <c:v>0.11278348908642792</c:v>
                      </c:pt>
                      <c:pt idx="11">
                        <c:v>0.11441602590495836</c:v>
                      </c:pt>
                      <c:pt idx="12">
                        <c:v>0.11602817869632817</c:v>
                      </c:pt>
                      <c:pt idx="13">
                        <c:v>0.11762033543073909</c:v>
                      </c:pt>
                      <c:pt idx="14">
                        <c:v>0.11919287407022439</c:v>
                      </c:pt>
                      <c:pt idx="15">
                        <c:v>0.1207461628962888</c:v>
                      </c:pt>
                      <c:pt idx="16">
                        <c:v>0.12228056082451272</c:v>
                      </c:pt>
                      <c:pt idx="17">
                        <c:v>0.12379641770673275</c:v>
                      </c:pt>
                      <c:pt idx="18">
                        <c:v>0.12529407462137399</c:v>
                      </c:pt>
                      <c:pt idx="19">
                        <c:v>0.12677386415248401</c:v>
                      </c:pt>
                      <c:pt idx="20">
                        <c:v>0.12823611065798432</c:v>
                      </c:pt>
                      <c:pt idx="21">
                        <c:v>0.12968113052763078</c:v>
                      </c:pt>
                      <c:pt idx="22">
                        <c:v>0.13110923243114761</c:v>
                      </c:pt>
                      <c:pt idx="23">
                        <c:v>0.13252071755697739</c:v>
                      </c:pt>
                      <c:pt idx="24">
                        <c:v>0.13391587984206133</c:v>
                      </c:pt>
                      <c:pt idx="25">
                        <c:v>0.13529500619305165</c:v>
                      </c:pt>
                      <c:pt idx="26">
                        <c:v>0.13665837669932793</c:v>
                      </c:pt>
                      <c:pt idx="27">
                        <c:v>0.13800626483817699</c:v>
                      </c:pt>
                      <c:pt idx="28">
                        <c:v>0.1393389376724771</c:v>
                      </c:pt>
                      <c:pt idx="29">
                        <c:v>0.1406566560412052</c:v>
                      </c:pt>
                      <c:pt idx="30">
                        <c:v>0.14195967474307819</c:v>
                      </c:pt>
                      <c:pt idx="31">
                        <c:v>0.14324824271361644</c:v>
                      </c:pt>
                      <c:pt idx="32">
                        <c:v>0.14452260319590926</c:v>
                      </c:pt>
                      <c:pt idx="33">
                        <c:v>0.14578299390534422</c:v>
                      </c:pt>
                      <c:pt idx="34">
                        <c:v>0.14702964718855258</c:v>
                      </c:pt>
                      <c:pt idx="35">
                        <c:v>0.14826279017681024</c:v>
                      </c:pt>
                      <c:pt idx="36">
                        <c:v>0.1494826449341207</c:v>
                      </c:pt>
                      <c:pt idx="37">
                        <c:v>0.15068942860019804</c:v>
                      </c:pt>
                      <c:pt idx="38">
                        <c:v>0.1518833535285565</c:v>
                      </c:pt>
                      <c:pt idx="39">
                        <c:v>0.15306462741990351</c:v>
                      </c:pt>
                      <c:pt idx="40">
                        <c:v>0.15423345345102449</c:v>
                      </c:pt>
                      <c:pt idx="41">
                        <c:v>0.15539003039933866</c:v>
                      </c:pt>
                      <c:pt idx="42">
                        <c:v>0.15653455276329697</c:v>
                      </c:pt>
                      <c:pt idx="43">
                        <c:v>0.15766721087878552</c:v>
                      </c:pt>
                      <c:pt idx="44">
                        <c:v>0.15878819103169034</c:v>
                      </c:pt>
                      <c:pt idx="45">
                        <c:v>0.15989767556677256</c:v>
                      </c:pt>
                      <c:pt idx="46">
                        <c:v>0.16099584299299696</c:v>
                      </c:pt>
                      <c:pt idx="47">
                        <c:v>0.16208286808544808</c:v>
                      </c:pt>
                      <c:pt idx="48">
                        <c:v>0.163158921983966</c:v>
                      </c:pt>
                      <c:pt idx="49">
                        <c:v>0.16422417228862493</c:v>
                      </c:pt>
                      <c:pt idx="50">
                        <c:v>0.1652787831521734</c:v>
                      </c:pt>
                      <c:pt idx="51">
                        <c:v>0.1663229153695501</c:v>
                      </c:pt>
                      <c:pt idx="52">
                        <c:v>0.16735672646458483</c:v>
                      </c:pt>
                      <c:pt idx="53">
                        <c:v>0.16838037077398726</c:v>
                      </c:pt>
                      <c:pt idx="54">
                        <c:v>0.16939399952872411</c:v>
                      </c:pt>
                      <c:pt idx="55">
                        <c:v>0.17039776093288103</c:v>
                      </c:pt>
                      <c:pt idx="56">
                        <c:v>0.17139180024009879</c:v>
                      </c:pt>
                      <c:pt idx="57">
                        <c:v>0.17237625982767349</c:v>
                      </c:pt>
                      <c:pt idx="58">
                        <c:v>0.17335127926840257</c:v>
                      </c:pt>
                      <c:pt idx="59">
                        <c:v>0.17431699540026038</c:v>
                      </c:pt>
                      <c:pt idx="60">
                        <c:v>0.17527354239397575</c:v>
                      </c:pt>
                      <c:pt idx="61">
                        <c:v>0.17622105181859207</c:v>
                      </c:pt>
                      <c:pt idx="62">
                        <c:v>0.17715965270507372</c:v>
                      </c:pt>
                      <c:pt idx="63">
                        <c:v>0.17808947160803332</c:v>
                      </c:pt>
                      <c:pt idx="64">
                        <c:v>0.17901063266564149</c:v>
                      </c:pt>
                      <c:pt idx="65">
                        <c:v>0.17992325765778311</c:v>
                      </c:pt>
                      <c:pt idx="66">
                        <c:v>0.18082746606252023</c:v>
                      </c:pt>
                      <c:pt idx="67">
                        <c:v>0.18172337511092054</c:v>
                      </c:pt>
                      <c:pt idx="68">
                        <c:v>0.18261109984030491</c:v>
                      </c:pt>
                      <c:pt idx="69">
                        <c:v>0.18349075314596974</c:v>
                      </c:pt>
                      <c:pt idx="70">
                        <c:v>0.18436244583143466</c:v>
                      </c:pt>
                      <c:pt idx="71">
                        <c:v>0.18522628665726396</c:v>
                      </c:pt>
                      <c:pt idx="72">
                        <c:v>0.18608238238851102</c:v>
                      </c:pt>
                      <c:pt idx="73">
                        <c:v>0.18693083784083039</c:v>
                      </c:pt>
                      <c:pt idx="74">
                        <c:v>0.18777175592530185</c:v>
                      </c:pt>
                      <c:pt idx="75">
                        <c:v>0.18860523769200777</c:v>
                      </c:pt>
                      <c:pt idx="76">
                        <c:v>0.18943138237240628</c:v>
                      </c:pt>
                      <c:pt idx="77">
                        <c:v>0.19025028742053757</c:v>
                      </c:pt>
                      <c:pt idx="78">
                        <c:v>0.19106204855310263</c:v>
                      </c:pt>
                      <c:pt idx="79">
                        <c:v>0.19186675978844844</c:v>
                      </c:pt>
                      <c:pt idx="80">
                        <c:v>0.19266451348449792</c:v>
                      </c:pt>
                      <c:pt idx="81">
                        <c:v>0.19345540037565465</c:v>
                      </c:pt>
                      <c:pt idx="82">
                        <c:v>0.19423950960871764</c:v>
                      </c:pt>
                      <c:pt idx="83">
                        <c:v>0.19501692877783569</c:v>
                      </c:pt>
                      <c:pt idx="84">
                        <c:v>0.19578774395853263</c:v>
                      </c:pt>
                      <c:pt idx="85">
                        <c:v>0.1965520397408313</c:v>
                      </c:pt>
                      <c:pt idx="86">
                        <c:v>0.197309899261505</c:v>
                      </c:pt>
                      <c:pt idx="87">
                        <c:v>0.19806140423548393</c:v>
                      </c:pt>
                      <c:pt idx="88">
                        <c:v>0.19880663498644066</c:v>
                      </c:pt>
                      <c:pt idx="89">
                        <c:v>0.19954567047658259</c:v>
                      </c:pt>
                      <c:pt idx="90">
                        <c:v>0.20027858833567269</c:v>
                      </c:pt>
                      <c:pt idx="91">
                        <c:v>0.20100546488930435</c:v>
                      </c:pt>
                      <c:pt idx="92">
                        <c:v>0.20172637518645123</c:v>
                      </c:pt>
                      <c:pt idx="93">
                        <c:v>0.202441393026315</c:v>
                      </c:pt>
                      <c:pt idx="94">
                        <c:v>0.20315059098449087</c:v>
                      </c:pt>
                      <c:pt idx="95">
                        <c:v>0.20385404043847249</c:v>
                      </c:pt>
                      <c:pt idx="96">
                        <c:v>0.2045518115925147</c:v>
                      </c:pt>
                      <c:pt idx="97">
                        <c:v>0.20524397350187404</c:v>
                      </c:pt>
                      <c:pt idx="98">
                        <c:v>0.20593059409644426</c:v>
                      </c:pt>
                      <c:pt idx="99">
                        <c:v>0.20661174020380574</c:v>
                      </c:pt>
                      <c:pt idx="100">
                        <c:v>0.20728747757170468</c:v>
                      </c:pt>
                      <c:pt idx="101">
                        <c:v>0.20795787088997914</c:v>
                      </c:pt>
                      <c:pt idx="102">
                        <c:v>0.20862298381194871</c:v>
                      </c:pt>
                      <c:pt idx="103">
                        <c:v>0.20928287897528172</c:v>
                      </c:pt>
                      <c:pt idx="104">
                        <c:v>0.20993761802235544</c:v>
                      </c:pt>
                      <c:pt idx="105">
                        <c:v>0.21058726162012459</c:v>
                      </c:pt>
                      <c:pt idx="106">
                        <c:v>0.21123186947951084</c:v>
                      </c:pt>
                      <c:pt idx="107">
                        <c:v>0.21187150037432789</c:v>
                      </c:pt>
                      <c:pt idx="108">
                        <c:v>0.21250621215975474</c:v>
                      </c:pt>
                      <c:pt idx="109">
                        <c:v>0.21313606179036876</c:v>
                      </c:pt>
                      <c:pt idx="110">
                        <c:v>0.21376110533775314</c:v>
                      </c:pt>
                      <c:pt idx="111">
                        <c:v>0.21438139800768866</c:v>
                      </c:pt>
                      <c:pt idx="112">
                        <c:v>0.21499699415694171</c:v>
                      </c:pt>
                      <c:pt idx="113">
                        <c:v>0.21560794730966026</c:v>
                      </c:pt>
                      <c:pt idx="114">
                        <c:v>0.2162143101733871</c:v>
                      </c:pt>
                      <c:pt idx="115">
                        <c:v>0.21681613465470315</c:v>
                      </c:pt>
                      <c:pt idx="116">
                        <c:v>0.21741347187450827</c:v>
                      </c:pt>
                      <c:pt idx="117">
                        <c:v>0.21800637218295166</c:v>
                      </c:pt>
                      <c:pt idx="118">
                        <c:v>0.21859488517401926</c:v>
                      </c:pt>
                      <c:pt idx="119">
                        <c:v>0.21917905969978904</c:v>
                      </c:pt>
                      <c:pt idx="120">
                        <c:v>0.21975894388436168</c:v>
                      </c:pt>
                      <c:pt idx="121">
                        <c:v>0.22033458513747775</c:v>
                      </c:pt>
                      <c:pt idx="122">
                        <c:v>0.22090603016782495</c:v>
                      </c:pt>
                      <c:pt idx="123">
                        <c:v>0.2214733249960496</c:v>
                      </c:pt>
                      <c:pt idx="124">
                        <c:v>0.22203651496747479</c:v>
                      </c:pt>
                      <c:pt idx="125">
                        <c:v>0.22259564476453733</c:v>
                      </c:pt>
                      <c:pt idx="126">
                        <c:v>0.22315075841894647</c:v>
                      </c:pt>
                      <c:pt idx="127">
                        <c:v>0.22370189932357584</c:v>
                      </c:pt>
                      <c:pt idx="128">
                        <c:v>0.22424911024409255</c:v>
                      </c:pt>
                      <c:pt idx="129">
                        <c:v>0.22479243333033139</c:v>
                      </c:pt>
                      <c:pt idx="130">
                        <c:v>0.22533191012742079</c:v>
                      </c:pt>
                      <c:pt idx="131">
                        <c:v>0.22586758158666595</c:v>
                      </c:pt>
                      <c:pt idx="132">
                        <c:v>0.22639948807619728</c:v>
                      </c:pt>
                      <c:pt idx="133">
                        <c:v>0.22692766939138773</c:v>
                      </c:pt>
                      <c:pt idx="134">
                        <c:v>0.22745216476504573</c:v>
                      </c:pt>
                      <c:pt idx="135">
                        <c:v>0.22797301287739116</c:v>
                      </c:pt>
                      <c:pt idx="136">
                        <c:v>0.22849025186581715</c:v>
                      </c:pt>
                      <c:pt idx="137">
                        <c:v>0.22900391933444325</c:v>
                      </c:pt>
                      <c:pt idx="138">
                        <c:v>0.22951405236346914</c:v>
                      </c:pt>
                      <c:pt idx="139">
                        <c:v>0.23002068751832727</c:v>
                      </c:pt>
                      <c:pt idx="140">
                        <c:v>0.23052386085864507</c:v>
                      </c:pt>
                      <c:pt idx="141">
                        <c:v>0.23102360794701915</c:v>
                      </c:pt>
                      <c:pt idx="142">
                        <c:v>0.23151996385760495</c:v>
                      </c:pt>
                      <c:pt idx="143">
                        <c:v>0.23201296318452952</c:v>
                      </c:pt>
                      <c:pt idx="144">
                        <c:v>0.23250264005012811</c:v>
                      </c:pt>
                      <c:pt idx="145">
                        <c:v>0.23298902811301139</c:v>
                      </c:pt>
                      <c:pt idx="146">
                        <c:v>0.23347216057596715</c:v>
                      </c:pt>
                      <c:pt idx="147">
                        <c:v>0.23395207019369849</c:v>
                      </c:pt>
                      <c:pt idx="148">
                        <c:v>0.23442878928040528</c:v>
                      </c:pt>
                      <c:pt idx="149">
                        <c:v>0.23490234971721058</c:v>
                      </c:pt>
                      <c:pt idx="150">
                        <c:v>0.23537278295943564</c:v>
                      </c:pt>
                      <c:pt idx="151">
                        <c:v>0.23584012004372967</c:v>
                      </c:pt>
                      <c:pt idx="152">
                        <c:v>0.23630439159505356</c:v>
                      </c:pt>
                      <c:pt idx="153">
                        <c:v>0.23676562783352612</c:v>
                      </c:pt>
                      <c:pt idx="154">
                        <c:v>0.23722385858113001</c:v>
                      </c:pt>
                      <c:pt idx="155">
                        <c:v>0.23767911326828725</c:v>
                      </c:pt>
                      <c:pt idx="156">
                        <c:v>0.2381314209403014</c:v>
                      </c:pt>
                      <c:pt idx="157">
                        <c:v>0.23858081026367448</c:v>
                      </c:pt>
                      <c:pt idx="158">
                        <c:v>0.23902730953229676</c:v>
                      </c:pt>
                      <c:pt idx="159">
                        <c:v>0.23947094667351709</c:v>
                      </c:pt>
                      <c:pt idx="160">
                        <c:v>0.23991174925409328</c:v>
                      </c:pt>
                      <c:pt idx="161">
                        <c:v>0.24034974448602492</c:v>
                      </c:pt>
                      <c:pt idx="162">
                        <c:v>0.24078495923227614</c:v>
                      </c:pt>
                      <c:pt idx="163">
                        <c:v>0.24121742001238292</c:v>
                      </c:pt>
                      <c:pt idx="164">
                        <c:v>0.24164715300795586</c:v>
                      </c:pt>
                      <c:pt idx="165">
                        <c:v>0.24207418406807468</c:v>
                      </c:pt>
                      <c:pt idx="166">
                        <c:v>0.24249853871457924</c:v>
                      </c:pt>
                      <c:pt idx="167">
                        <c:v>0.24292024214726035</c:v>
                      </c:pt>
                      <c:pt idx="168">
                        <c:v>0.2433393192489508</c:v>
                      </c:pt>
                      <c:pt idx="169">
                        <c:v>0.24375579459051933</c:v>
                      </c:pt>
                      <c:pt idx="170">
                        <c:v>0.24416969243577061</c:v>
                      </c:pt>
                      <c:pt idx="171">
                        <c:v>0.24458103674625206</c:v>
                      </c:pt>
                      <c:pt idx="172">
                        <c:v>0.24498985118597091</c:v>
                      </c:pt>
                      <c:pt idx="173">
                        <c:v>0.24539615912602142</c:v>
                      </c:pt>
                      <c:pt idx="174">
                        <c:v>0.245799983649127</c:v>
                      </c:pt>
                      <c:pt idx="175">
                        <c:v>0.24620134755409687</c:v>
                      </c:pt>
                      <c:pt idx="176">
                        <c:v>0.24660027336019974</c:v>
                      </c:pt>
                      <c:pt idx="177">
                        <c:v>0.24699678331145661</c:v>
                      </c:pt>
                      <c:pt idx="178">
                        <c:v>0.2473908993808549</c:v>
                      </c:pt>
                      <c:pt idx="179">
                        <c:v>0.24778264327448393</c:v>
                      </c:pt>
                      <c:pt idx="180">
                        <c:v>0.2481720364355956</c:v>
                      </c:pt>
                      <c:pt idx="181">
                        <c:v>0.24855910004858903</c:v>
                      </c:pt>
                      <c:pt idx="182">
                        <c:v>0.24894385504292538</c:v>
                      </c:pt>
                      <c:pt idx="183">
                        <c:v>0.24932632209696848</c:v>
                      </c:pt>
                      <c:pt idx="184">
                        <c:v>0.24970652164175824</c:v>
                      </c:pt>
                      <c:pt idx="185">
                        <c:v>0.25008447386471383</c:v>
                      </c:pt>
                      <c:pt idx="186">
                        <c:v>0.2504601987132723</c:v>
                      </c:pt>
                      <c:pt idx="187">
                        <c:v>0.25083371589846032</c:v>
                      </c:pt>
                      <c:pt idx="188">
                        <c:v>0.25120504489840212</c:v>
                      </c:pt>
                      <c:pt idx="189">
                        <c:v>0.25157420496176591</c:v>
                      </c:pt>
                      <c:pt idx="190">
                        <c:v>0.25194121511114775</c:v>
                      </c:pt>
                      <c:pt idx="191">
                        <c:v>0.25230609414639615</c:v>
                      </c:pt>
                      <c:pt idx="192">
                        <c:v>0.25266886064787791</c:v>
                      </c:pt>
                      <c:pt idx="193">
                        <c:v>0.25302953297968561</c:v>
                      </c:pt>
                      <c:pt idx="194">
                        <c:v>0.25338812929278987</c:v>
                      </c:pt>
                      <c:pt idx="195">
                        <c:v>0.25374466752813574</c:v>
                      </c:pt>
                      <c:pt idx="196">
                        <c:v>0.25409916541968491</c:v>
                      </c:pt>
                      <c:pt idx="197">
                        <c:v>0.25445164049740482</c:v>
                      </c:pt>
                      <c:pt idx="198">
                        <c:v>0.25480211009020742</c:v>
                      </c:pt>
                      <c:pt idx="199">
                        <c:v>0.25515059132883422</c:v>
                      </c:pt>
                      <c:pt idx="200">
                        <c:v>0.25549710114869434</c:v>
                      </c:pt>
                    </c:numCache>
                  </c:numRef>
                </c:val>
                <c:smooth val="0"/>
                <c:extLst xmlns:c15="http://schemas.microsoft.com/office/drawing/2012/chart">
                  <c:ext xmlns:c16="http://schemas.microsoft.com/office/drawing/2014/chart" uri="{C3380CC4-5D6E-409C-BE32-E72D297353CC}">
                    <c16:uniqueId val="{0000000D-39DF-4DF9-9D5A-11C17911BDDC}"/>
                  </c:ext>
                </c:extLst>
              </c15:ser>
            </c15:filteredLineSeries>
          </c:ext>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61442800306468137"/>
          <c:y val="2.0343390532745328E-3"/>
          <c:w val="0.27928047681026974"/>
          <c:h val="0.18156267435147316"/>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High-side BUCK "Control" MOSFET Losses </a:t>
            </a:r>
          </a:p>
        </c:rich>
      </c:tx>
      <c:overlay val="0"/>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417792"/>
        <c:axId val="196419968"/>
        <c:extLst>
          <c:ext xmlns:c15="http://schemas.microsoft.com/office/drawing/2012/chart" uri="{02D57815-91ED-43cb-92C2-25804820EDAC}">
            <c15:filteredLineSeries>
              <c15:ser>
                <c:idx val="0"/>
                <c:order val="0"/>
                <c:tx>
                  <c:v>Efficiency</c:v>
                </c:tx>
                <c:spPr>
                  <a:ln w="31750">
                    <a:solidFill>
                      <a:srgbClr val="FF0000"/>
                    </a:solidFill>
                    <a:prstDash val="solid"/>
                  </a:ln>
                </c:spPr>
                <c:marker>
                  <c:symbol val="none"/>
                </c:marker>
                <c:cat>
                  <c:numRef>
                    <c:extLst>
                      <c:ex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c:ext uri="{02D57815-91ED-43cb-92C2-25804820EDAC}">
                        <c15:formulaRef>
                          <c15:sqref>'Efficiency vs VIN Calculations'!$BO$9:$BO$209</c15:sqref>
                        </c15:formulaRef>
                      </c:ext>
                    </c:extLst>
                    <c:numCache>
                      <c:formatCode>0.00</c:formatCode>
                      <c:ptCount val="201"/>
                      <c:pt idx="0">
                        <c:v>95.549377136149715</c:v>
                      </c:pt>
                      <c:pt idx="1">
                        <c:v>95.532263889966728</c:v>
                      </c:pt>
                      <c:pt idx="2">
                        <c:v>95.515110946792703</c:v>
                      </c:pt>
                      <c:pt idx="3">
                        <c:v>95.497921563735773</c:v>
                      </c:pt>
                      <c:pt idx="4">
                        <c:v>95.480698874935015</c:v>
                      </c:pt>
                      <c:pt idx="5">
                        <c:v>95.46344589523342</c:v>
                      </c:pt>
                      <c:pt idx="6">
                        <c:v>95.446165523831439</c:v>
                      </c:pt>
                      <c:pt idx="7">
                        <c:v>95.428860547907206</c:v>
                      </c:pt>
                      <c:pt idx="8">
                        <c:v>95.411533646191657</c:v>
                      </c:pt>
                      <c:pt idx="9">
                        <c:v>95.394187392488902</c:v>
                      </c:pt>
                      <c:pt idx="10">
                        <c:v>95.37682425913394</c:v>
                      </c:pt>
                      <c:pt idx="11">
                        <c:v>95.359446620381874</c:v>
                      </c:pt>
                      <c:pt idx="12">
                        <c:v>95.342056755723192</c:v>
                      </c:pt>
                      <c:pt idx="13">
                        <c:v>95.324656853121752</c:v>
                      </c:pt>
                      <c:pt idx="14">
                        <c:v>95.307249012172193</c:v>
                      </c:pt>
                      <c:pt idx="15">
                        <c:v>95.289835247175219</c:v>
                      </c:pt>
                      <c:pt idx="16">
                        <c:v>95.272417490129016</c:v>
                      </c:pt>
                      <c:pt idx="17">
                        <c:v>95.254997593636375</c:v>
                      </c:pt>
                      <c:pt idx="18">
                        <c:v>95.237577333727103</c:v>
                      </c:pt>
                      <c:pt idx="19">
                        <c:v>95.220158412596007</c:v>
                      </c:pt>
                      <c:pt idx="20">
                        <c:v>95.202742461257046</c:v>
                      </c:pt>
                      <c:pt idx="21">
                        <c:v>95.185331042114257</c:v>
                      </c:pt>
                      <c:pt idx="22">
                        <c:v>95.167925651451057</c:v>
                      </c:pt>
                      <c:pt idx="23">
                        <c:v>95.150527721838614</c:v>
                      </c:pt>
                      <c:pt idx="24">
                        <c:v>95.133138624465204</c:v>
                      </c:pt>
                      <c:pt idx="25">
                        <c:v>95.11575967138802</c:v>
                      </c:pt>
                      <c:pt idx="26">
                        <c:v>95.09839211770911</c:v>
                      </c:pt>
                      <c:pt idx="27">
                        <c:v>95.081037163677209</c:v>
                      </c:pt>
                      <c:pt idx="28">
                        <c:v>95.063695956717481</c:v>
                      </c:pt>
                      <c:pt idx="29">
                        <c:v>95.046369593390949</c:v>
                      </c:pt>
                      <c:pt idx="30">
                        <c:v>95.029059121285471</c:v>
                      </c:pt>
                      <c:pt idx="31">
                        <c:v>95.011765540840386</c:v>
                      </c:pt>
                      <c:pt idx="32">
                        <c:v>94.99448980710666</c:v>
                      </c:pt>
                      <c:pt idx="33">
                        <c:v>94.977232831444454</c:v>
                      </c:pt>
                      <c:pt idx="34">
                        <c:v>94.959995483160171</c:v>
                      </c:pt>
                      <c:pt idx="35">
                        <c:v>94.942778591084732</c:v>
                      </c:pt>
                      <c:pt idx="36">
                        <c:v>94.925582945095016</c:v>
                      </c:pt>
                      <c:pt idx="37">
                        <c:v>94.908409297580505</c:v>
                      </c:pt>
                      <c:pt idx="38">
                        <c:v>94.89125836485654</c:v>
                      </c:pt>
                      <c:pt idx="39">
                        <c:v>94.874130828526404</c:v>
                      </c:pt>
                      <c:pt idx="40">
                        <c:v>94.85702733679372</c:v>
                      </c:pt>
                      <c:pt idx="41">
                        <c:v>94.839948505726966</c:v>
                      </c:pt>
                      <c:pt idx="42">
                        <c:v>94.822894920477651</c:v>
                      </c:pt>
                      <c:pt idx="43">
                        <c:v>94.805867136453983</c:v>
                      </c:pt>
                      <c:pt idx="44">
                        <c:v>94.788865680451295</c:v>
                      </c:pt>
                      <c:pt idx="45">
                        <c:v>94.771891051741136</c:v>
                      </c:pt>
                      <c:pt idx="46">
                        <c:v>94.754943723120022</c:v>
                      </c:pt>
                      <c:pt idx="47">
                        <c:v>94.738024141919936</c:v>
                      </c:pt>
                      <c:pt idx="48">
                        <c:v>94.721132730981111</c:v>
                      </c:pt>
                      <c:pt idx="49">
                        <c:v>94.704269889589369</c:v>
                      </c:pt>
                      <c:pt idx="50">
                        <c:v>94.687435994378674</c:v>
                      </c:pt>
                      <c:pt idx="51">
                        <c:v>94.670631400200222</c:v>
                      </c:pt>
                      <c:pt idx="52">
                        <c:v>94.653856440959743</c:v>
                      </c:pt>
                      <c:pt idx="53">
                        <c:v>94.637111430423587</c:v>
                      </c:pt>
                      <c:pt idx="54">
                        <c:v>94.620396662995148</c:v>
                      </c:pt>
                      <c:pt idx="55">
                        <c:v>94.603712414462677</c:v>
                      </c:pt>
                      <c:pt idx="56">
                        <c:v>94.587058942719167</c:v>
                      </c:pt>
                      <c:pt idx="57">
                        <c:v>94.570436488455982</c:v>
                      </c:pt>
                      <c:pt idx="58">
                        <c:v>94.553845275830568</c:v>
                      </c:pt>
                      <c:pt idx="59">
                        <c:v>94.537285513109723</c:v>
                      </c:pt>
                      <c:pt idx="60">
                        <c:v>94.520757393288861</c:v>
                      </c:pt>
                      <c:pt idx="61">
                        <c:v>94.504261094688616</c:v>
                      </c:pt>
                      <c:pt idx="62">
                        <c:v>94.487796781529269</c:v>
                      </c:pt>
                      <c:pt idx="63">
                        <c:v>94.471364604484052</c:v>
                      </c:pt>
                      <c:pt idx="64">
                        <c:v>94.454964701211992</c:v>
                      </c:pt>
                      <c:pt idx="65">
                        <c:v>94.438597196871086</c:v>
                      </c:pt>
                      <c:pt idx="66">
                        <c:v>94.422262204612551</c:v>
                      </c:pt>
                      <c:pt idx="67">
                        <c:v>94.405959826056929</c:v>
                      </c:pt>
                      <c:pt idx="68">
                        <c:v>94.38969015175249</c:v>
                      </c:pt>
                      <c:pt idx="69">
                        <c:v>94.373453261616874</c:v>
                      </c:pt>
                      <c:pt idx="70">
                        <c:v>94.357249225362452</c:v>
                      </c:pt>
                      <c:pt idx="71">
                        <c:v>94.341078102905968</c:v>
                      </c:pt>
                      <c:pt idx="72">
                        <c:v>94.324939944763088</c:v>
                      </c:pt>
                      <c:pt idx="73">
                        <c:v>94.308834792428613</c:v>
                      </c:pt>
                      <c:pt idx="74">
                        <c:v>94.292762678742449</c:v>
                      </c:pt>
                      <c:pt idx="75">
                        <c:v>94.276723628242337</c:v>
                      </c:pt>
                      <c:pt idx="76">
                        <c:v>94.260717657503506</c:v>
                      </c:pt>
                      <c:pt idx="77">
                        <c:v>94.244744775465847</c:v>
                      </c:pt>
                      <c:pt idx="78">
                        <c:v>94.228804983749185</c:v>
                      </c:pt>
                      <c:pt idx="79">
                        <c:v>94.212898276956778</c:v>
                      </c:pt>
                      <c:pt idx="80">
                        <c:v>94.197024642967918</c:v>
                      </c:pt>
                      <c:pt idx="81">
                        <c:v>94.181184063219547</c:v>
                      </c:pt>
                      <c:pt idx="82">
                        <c:v>94.165376512977744</c:v>
                      </c:pt>
                      <c:pt idx="83">
                        <c:v>94.149601961599117</c:v>
                      </c:pt>
                      <c:pt idx="84">
                        <c:v>94.133860372782678</c:v>
                      </c:pt>
                      <c:pt idx="85">
                        <c:v>94.118151704812476</c:v>
                      </c:pt>
                      <c:pt idx="86">
                        <c:v>94.102475910791313</c:v>
                      </c:pt>
                      <c:pt idx="87">
                        <c:v>94.086832938865825</c:v>
                      </c:pt>
                      <c:pt idx="88">
                        <c:v>94.071222732443502</c:v>
                      </c:pt>
                      <c:pt idx="89">
                        <c:v>94.055645230401524</c:v>
                      </c:pt>
                      <c:pt idx="90">
                        <c:v>94.040100367288105</c:v>
                      </c:pt>
                      <c:pt idx="91">
                        <c:v>94.024588073516355</c:v>
                      </c:pt>
                      <c:pt idx="92">
                        <c:v>94.009108275551071</c:v>
                      </c:pt>
                      <c:pt idx="93">
                        <c:v>93.993660896088684</c:v>
                      </c:pt>
                      <c:pt idx="94">
                        <c:v>93.978245854230579</c:v>
                      </c:pt>
                      <c:pt idx="95">
                        <c:v>93.962863065650055</c:v>
                      </c:pt>
                      <c:pt idx="96">
                        <c:v>93.947512442753165</c:v>
                      </c:pt>
                      <c:pt idx="97">
                        <c:v>93.932193894833617</c:v>
                      </c:pt>
                      <c:pt idx="98">
                        <c:v>93.916907328222067</c:v>
                      </c:pt>
                      <c:pt idx="99">
                        <c:v>93.901652646429781</c:v>
                      </c:pt>
                      <c:pt idx="100">
                        <c:v>93.886429750287149</c:v>
                      </c:pt>
                      <c:pt idx="101">
                        <c:v>93.871238538076966</c:v>
                      </c:pt>
                      <c:pt idx="102">
                        <c:v>93.856078905662983</c:v>
                      </c:pt>
                      <c:pt idx="103">
                        <c:v>93.840950746613487</c:v>
                      </c:pt>
                      <c:pt idx="104">
                        <c:v>93.825853952320529</c:v>
                      </c:pt>
                      <c:pt idx="105">
                        <c:v>93.810788412114604</c:v>
                      </c:pt>
                      <c:pt idx="106">
                        <c:v>93.795754013375131</c:v>
                      </c:pt>
                      <c:pt idx="107">
                        <c:v>93.780750641636914</c:v>
                      </c:pt>
                      <c:pt idx="108">
                        <c:v>93.765778180692536</c:v>
                      </c:pt>
                      <c:pt idx="109">
                        <c:v>93.750836512691038</c:v>
                      </c:pt>
                      <c:pt idx="110">
                        <c:v>93.735925518232875</c:v>
                      </c:pt>
                      <c:pt idx="111">
                        <c:v>93.721045076461408</c:v>
                      </c:pt>
                      <c:pt idx="112">
                        <c:v>93.706195065150894</c:v>
                      </c:pt>
                      <c:pt idx="113">
                        <c:v>93.691375360791255</c:v>
                      </c:pt>
                      <c:pt idx="114">
                        <c:v>93.676585838669695</c:v>
                      </c:pt>
                      <c:pt idx="115">
                        <c:v>93.661826372949122</c:v>
                      </c:pt>
                      <c:pt idx="116">
                        <c:v>93.647096836743856</c:v>
                      </c:pt>
                      <c:pt idx="117">
                        <c:v>93.632397102192272</c:v>
                      </c:pt>
                      <c:pt idx="118">
                        <c:v>93.617727040526759</c:v>
                      </c:pt>
                      <c:pt idx="119">
                        <c:v>93.60308652214114</c:v>
                      </c:pt>
                      <c:pt idx="120">
                        <c:v>93.588475416655456</c:v>
                      </c:pt>
                      <c:pt idx="121">
                        <c:v>93.573893592978251</c:v>
                      </c:pt>
                      <c:pt idx="122">
                        <c:v>93.559340919366534</c:v>
                      </c:pt>
                      <c:pt idx="123">
                        <c:v>93.54481726348348</c:v>
                      </c:pt>
                      <c:pt idx="124">
                        <c:v>93.530322492453863</c:v>
                      </c:pt>
                      <c:pt idx="125">
                        <c:v>93.515856472917392</c:v>
                      </c:pt>
                      <c:pt idx="126">
                        <c:v>93.501419071079965</c:v>
                      </c:pt>
                      <c:pt idx="127">
                        <c:v>93.48701015276302</c:v>
                      </c:pt>
                      <c:pt idx="128">
                        <c:v>93.472629583450811</c:v>
                      </c:pt>
                      <c:pt idx="129">
                        <c:v>93.458277228336087</c:v>
                      </c:pt>
                      <c:pt idx="130">
                        <c:v>93.443952952363645</c:v>
                      </c:pt>
                      <c:pt idx="131">
                        <c:v>93.429656620272553</c:v>
                      </c:pt>
                      <c:pt idx="132">
                        <c:v>93.415388096636448</c:v>
                      </c:pt>
                      <c:pt idx="133">
                        <c:v>93.401147245902294</c:v>
                      </c:pt>
                      <c:pt idx="134">
                        <c:v>93.386933932427667</c:v>
                      </c:pt>
                      <c:pt idx="135">
                        <c:v>93.372748020516511</c:v>
                      </c:pt>
                      <c:pt idx="136">
                        <c:v>93.358589374453373</c:v>
                      </c:pt>
                      <c:pt idx="137">
                        <c:v>93.34445785853643</c:v>
                      </c:pt>
                      <c:pt idx="138">
                        <c:v>93.330353337109045</c:v>
                      </c:pt>
                      <c:pt idx="139">
                        <c:v>93.316275674590059</c:v>
                      </c:pt>
                      <c:pt idx="140">
                        <c:v>93.302224735502875</c:v>
                      </c:pt>
                      <c:pt idx="141">
                        <c:v>93.288200384503256</c:v>
                      </c:pt>
                      <c:pt idx="142">
                        <c:v>93.274202486406182</c:v>
                      </c:pt>
                      <c:pt idx="143">
                        <c:v>93.260230906211234</c:v>
                      </c:pt>
                      <c:pt idx="144">
                        <c:v>93.246285509127276</c:v>
                      </c:pt>
                      <c:pt idx="145">
                        <c:v>93.23236616059576</c:v>
                      </c:pt>
                      <c:pt idx="146">
                        <c:v>93.218472726313394</c:v>
                      </c:pt>
                      <c:pt idx="147">
                        <c:v>93.204605072253472</c:v>
                      </c:pt>
                      <c:pt idx="148">
                        <c:v>93.190763064686479</c:v>
                      </c:pt>
                      <c:pt idx="149">
                        <c:v>93.176946570199775</c:v>
                      </c:pt>
                      <c:pt idx="150">
                        <c:v>93.163155455716378</c:v>
                      </c:pt>
                      <c:pt idx="151">
                        <c:v>93.14938958851296</c:v>
                      </c:pt>
                      <c:pt idx="152">
                        <c:v>93.135648836236882</c:v>
                      </c:pt>
                      <c:pt idx="153">
                        <c:v>93.121933066922693</c:v>
                      </c:pt>
                      <c:pt idx="154">
                        <c:v>93.108242149007651</c:v>
                      </c:pt>
                      <c:pt idx="155">
                        <c:v>93.094575951346641</c:v>
                      </c:pt>
                      <c:pt idx="156">
                        <c:v>93.080934343226374</c:v>
                      </c:pt>
                      <c:pt idx="157">
                        <c:v>93.06731719437883</c:v>
                      </c:pt>
                      <c:pt idx="158">
                        <c:v>93.053724374994232</c:v>
                      </c:pt>
                      <c:pt idx="159">
                        <c:v>93.040155755733153</c:v>
                      </c:pt>
                      <c:pt idx="160">
                        <c:v>93.026611207738256</c:v>
                      </c:pt>
                      <c:pt idx="161">
                        <c:v>93.013090602645221</c:v>
                      </c:pt>
                      <c:pt idx="162">
                        <c:v>92.999593812593289</c:v>
                      </c:pt>
                      <c:pt idx="163">
                        <c:v>92.986120710235198</c:v>
                      </c:pt>
                      <c:pt idx="164">
                        <c:v>92.97267116874653</c:v>
                      </c:pt>
                      <c:pt idx="165">
                        <c:v>92.959245061834693</c:v>
                      </c:pt>
                      <c:pt idx="166">
                        <c:v>92.945842263747238</c:v>
                      </c:pt>
                      <c:pt idx="167">
                        <c:v>92.932462649279884</c:v>
                      </c:pt>
                      <c:pt idx="168">
                        <c:v>92.919106093784023</c:v>
                      </c:pt>
                      <c:pt idx="169">
                        <c:v>92.905772473173627</c:v>
                      </c:pt>
                      <c:pt idx="170">
                        <c:v>92.892461663932096</c:v>
                      </c:pt>
                      <c:pt idx="171">
                        <c:v>92.879173543118284</c:v>
                      </c:pt>
                      <c:pt idx="172">
                        <c:v>92.86590798837247</c:v>
                      </c:pt>
                      <c:pt idx="173">
                        <c:v>92.852664877921754</c:v>
                      </c:pt>
                      <c:pt idx="174">
                        <c:v>92.839444090585204</c:v>
                      </c:pt>
                      <c:pt idx="175">
                        <c:v>92.826245505778488</c:v>
                      </c:pt>
                      <c:pt idx="176">
                        <c:v>92.813069003518436</c:v>
                      </c:pt>
                      <c:pt idx="177">
                        <c:v>92.799914464427019</c:v>
                      </c:pt>
                      <c:pt idx="178">
                        <c:v>92.786781769735157</c:v>
                      </c:pt>
                      <c:pt idx="179">
                        <c:v>92.773670801286173</c:v>
                      </c:pt>
                      <c:pt idx="180">
                        <c:v>92.76058144153896</c:v>
                      </c:pt>
                      <c:pt idx="181">
                        <c:v>92.747513573570956</c:v>
                      </c:pt>
                      <c:pt idx="182">
                        <c:v>92.73446708108068</c:v>
                      </c:pt>
                      <c:pt idx="183">
                        <c:v>92.721441848390143</c:v>
                      </c:pt>
                      <c:pt idx="184">
                        <c:v>92.708437760446998</c:v>
                      </c:pt>
                      <c:pt idx="185">
                        <c:v>92.695454702826368</c:v>
                      </c:pt>
                      <c:pt idx="186">
                        <c:v>92.682492561732573</c:v>
                      </c:pt>
                      <c:pt idx="187">
                        <c:v>92.669551224000486</c:v>
                      </c:pt>
                      <c:pt idx="188">
                        <c:v>92.656630577096749</c:v>
                      </c:pt>
                      <c:pt idx="189">
                        <c:v>92.6437305091209</c:v>
                      </c:pt>
                      <c:pt idx="190">
                        <c:v>92.630850908806082</c:v>
                      </c:pt>
                      <c:pt idx="191">
                        <c:v>92.617991665519611</c:v>
                      </c:pt>
                      <c:pt idx="192">
                        <c:v>92.605152669263575</c:v>
                      </c:pt>
                      <c:pt idx="193">
                        <c:v>92.592333810675029</c:v>
                      </c:pt>
                      <c:pt idx="194">
                        <c:v>92.579534981026043</c:v>
                      </c:pt>
                      <c:pt idx="195">
                        <c:v>92.56675607222374</c:v>
                      </c:pt>
                      <c:pt idx="196">
                        <c:v>92.553996976809941</c:v>
                      </c:pt>
                      <c:pt idx="197">
                        <c:v>92.541257587960942</c:v>
                      </c:pt>
                      <c:pt idx="198">
                        <c:v>92.528537799486955</c:v>
                      </c:pt>
                      <c:pt idx="199">
                        <c:v>92.515837505831371</c:v>
                      </c:pt>
                      <c:pt idx="200">
                        <c:v>92.503156602070149</c:v>
                      </c:pt>
                    </c:numCache>
                  </c:numRef>
                </c:val>
                <c:smooth val="0"/>
                <c:extLst>
                  <c:ext xmlns:c16="http://schemas.microsoft.com/office/drawing/2014/chart" uri="{C3380CC4-5D6E-409C-BE32-E72D297353CC}">
                    <c16:uniqueId val="{00000003-437A-4BD3-B446-8D6D037309A4}"/>
                  </c:ext>
                </c:extLst>
              </c15:ser>
            </c15:filteredLineSeries>
          </c:ext>
        </c:extLst>
      </c:lineChart>
      <c:lineChart>
        <c:grouping val="standard"/>
        <c:varyColors val="0"/>
        <c:ser>
          <c:idx val="2"/>
          <c:order val="1"/>
          <c:tx>
            <c:strRef>
              <c:f>'Efficiency vs VIN Calculations'!$AJ$8</c:f>
              <c:strCache>
                <c:ptCount val="1"/>
                <c:pt idx="0">
                  <c:v>Dead Time Loss BuCtrl</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Calculations'!$AJ$9:$AJ$209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437A-4BD3-B446-8D6D037309A4}"/>
            </c:ext>
          </c:extLst>
        </c:ser>
        <c:ser>
          <c:idx val="1"/>
          <c:order val="2"/>
          <c:tx>
            <c:strRef>
              <c:f>'Efficiency vs VIN Calculations'!$AI$8</c:f>
              <c:strCache>
                <c:ptCount val="1"/>
                <c:pt idx="0">
                  <c:v>Transition Loss BuCtrl</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Calculations'!$AI$9:$AI$209</c:f>
              <c:numCache>
                <c:formatCode>0.000</c:formatCode>
                <c:ptCount val="201"/>
                <c:pt idx="0">
                  <c:v>2.3799280662760158</c:v>
                </c:pt>
                <c:pt idx="1">
                  <c:v>2.3965875627399478</c:v>
                </c:pt>
                <c:pt idx="2">
                  <c:v>2.4132470592038802</c:v>
                </c:pt>
                <c:pt idx="3">
                  <c:v>2.4299065556678121</c:v>
                </c:pt>
                <c:pt idx="4">
                  <c:v>2.4465660521317436</c:v>
                </c:pt>
                <c:pt idx="5">
                  <c:v>2.4632255485956764</c:v>
                </c:pt>
                <c:pt idx="6">
                  <c:v>2.4798850450596084</c:v>
                </c:pt>
                <c:pt idx="7">
                  <c:v>2.4965445415235403</c:v>
                </c:pt>
                <c:pt idx="8">
                  <c:v>2.5132040379874727</c:v>
                </c:pt>
                <c:pt idx="9">
                  <c:v>2.5298635344514047</c:v>
                </c:pt>
                <c:pt idx="10">
                  <c:v>2.5465230309153366</c:v>
                </c:pt>
                <c:pt idx="11">
                  <c:v>2.563182527379269</c:v>
                </c:pt>
                <c:pt idx="12">
                  <c:v>2.5798420238432005</c:v>
                </c:pt>
                <c:pt idx="13">
                  <c:v>2.5965015203071338</c:v>
                </c:pt>
                <c:pt idx="14">
                  <c:v>2.6131610167710653</c:v>
                </c:pt>
                <c:pt idx="15">
                  <c:v>2.6298205132349981</c:v>
                </c:pt>
                <c:pt idx="16">
                  <c:v>2.6464800096989296</c:v>
                </c:pt>
                <c:pt idx="17">
                  <c:v>2.6631395061628615</c:v>
                </c:pt>
                <c:pt idx="18">
                  <c:v>2.6797990026267939</c:v>
                </c:pt>
                <c:pt idx="19">
                  <c:v>2.6964584990907259</c:v>
                </c:pt>
                <c:pt idx="20">
                  <c:v>2.7131179955546578</c:v>
                </c:pt>
                <c:pt idx="21">
                  <c:v>2.7297774920185907</c:v>
                </c:pt>
                <c:pt idx="22">
                  <c:v>2.7464369884825222</c:v>
                </c:pt>
                <c:pt idx="23">
                  <c:v>2.7630964849464541</c:v>
                </c:pt>
                <c:pt idx="24">
                  <c:v>2.7797559814103865</c:v>
                </c:pt>
                <c:pt idx="25">
                  <c:v>2.7964154778743184</c:v>
                </c:pt>
                <c:pt idx="26">
                  <c:v>2.8130749743382508</c:v>
                </c:pt>
                <c:pt idx="27">
                  <c:v>2.8297344708021828</c:v>
                </c:pt>
                <c:pt idx="28">
                  <c:v>2.8463939672661147</c:v>
                </c:pt>
                <c:pt idx="29">
                  <c:v>2.8630534637300467</c:v>
                </c:pt>
                <c:pt idx="30">
                  <c:v>2.879712960193979</c:v>
                </c:pt>
                <c:pt idx="31">
                  <c:v>2.896372456657911</c:v>
                </c:pt>
                <c:pt idx="32">
                  <c:v>2.9130319531218434</c:v>
                </c:pt>
                <c:pt idx="33">
                  <c:v>2.9296914495857753</c:v>
                </c:pt>
                <c:pt idx="34">
                  <c:v>2.9463509460497077</c:v>
                </c:pt>
                <c:pt idx="35">
                  <c:v>2.9630104425136392</c:v>
                </c:pt>
                <c:pt idx="36">
                  <c:v>2.9796699389775716</c:v>
                </c:pt>
                <c:pt idx="37">
                  <c:v>2.9963294354415035</c:v>
                </c:pt>
                <c:pt idx="38">
                  <c:v>3.0129889319054364</c:v>
                </c:pt>
                <c:pt idx="39">
                  <c:v>3.0296484283693679</c:v>
                </c:pt>
                <c:pt idx="40">
                  <c:v>3.0463079248333007</c:v>
                </c:pt>
                <c:pt idx="41">
                  <c:v>3.0629674212972322</c:v>
                </c:pt>
                <c:pt idx="42">
                  <c:v>3.0796269177611646</c:v>
                </c:pt>
                <c:pt idx="43">
                  <c:v>3.0962864142250965</c:v>
                </c:pt>
                <c:pt idx="44">
                  <c:v>3.1129459106890285</c:v>
                </c:pt>
                <c:pt idx="45">
                  <c:v>3.1296054071529609</c:v>
                </c:pt>
                <c:pt idx="46">
                  <c:v>3.1462649036168933</c:v>
                </c:pt>
                <c:pt idx="47">
                  <c:v>3.1629244000808248</c:v>
                </c:pt>
                <c:pt idx="48">
                  <c:v>3.1795838965447571</c:v>
                </c:pt>
                <c:pt idx="49">
                  <c:v>3.1962433930086891</c:v>
                </c:pt>
                <c:pt idx="50">
                  <c:v>3.2129028894726215</c:v>
                </c:pt>
                <c:pt idx="51">
                  <c:v>3.2295623859365534</c:v>
                </c:pt>
                <c:pt idx="52">
                  <c:v>3.2462218824004854</c:v>
                </c:pt>
                <c:pt idx="53">
                  <c:v>3.2628813788644178</c:v>
                </c:pt>
                <c:pt idx="54">
                  <c:v>3.2795408753283501</c:v>
                </c:pt>
                <c:pt idx="55">
                  <c:v>3.2962003717922825</c:v>
                </c:pt>
                <c:pt idx="56">
                  <c:v>3.312859868256214</c:v>
                </c:pt>
                <c:pt idx="57">
                  <c:v>3.329519364720146</c:v>
                </c:pt>
                <c:pt idx="58">
                  <c:v>3.3461788611840775</c:v>
                </c:pt>
                <c:pt idx="59">
                  <c:v>3.3628383576480103</c:v>
                </c:pt>
                <c:pt idx="60">
                  <c:v>3.3794978541119418</c:v>
                </c:pt>
                <c:pt idx="61">
                  <c:v>3.3961573505758746</c:v>
                </c:pt>
                <c:pt idx="62">
                  <c:v>3.4128168470398061</c:v>
                </c:pt>
                <c:pt idx="63">
                  <c:v>3.4294763435037394</c:v>
                </c:pt>
                <c:pt idx="64">
                  <c:v>3.4461358399676709</c:v>
                </c:pt>
                <c:pt idx="65">
                  <c:v>3.4627953364316033</c:v>
                </c:pt>
                <c:pt idx="66">
                  <c:v>3.4794548328955353</c:v>
                </c:pt>
                <c:pt idx="67">
                  <c:v>3.4961143293594676</c:v>
                </c:pt>
                <c:pt idx="68">
                  <c:v>3.5127738258233991</c:v>
                </c:pt>
                <c:pt idx="69">
                  <c:v>3.5294333222873315</c:v>
                </c:pt>
                <c:pt idx="70">
                  <c:v>3.546092818751263</c:v>
                </c:pt>
                <c:pt idx="71">
                  <c:v>3.562752315215195</c:v>
                </c:pt>
                <c:pt idx="72">
                  <c:v>3.5794118116791278</c:v>
                </c:pt>
                <c:pt idx="73">
                  <c:v>3.5960713081430598</c:v>
                </c:pt>
                <c:pt idx="74">
                  <c:v>3.6127308046069921</c:v>
                </c:pt>
                <c:pt idx="75">
                  <c:v>3.6293903010709241</c:v>
                </c:pt>
                <c:pt idx="76">
                  <c:v>3.646049797534856</c:v>
                </c:pt>
                <c:pt idx="77">
                  <c:v>3.6627092939987884</c:v>
                </c:pt>
                <c:pt idx="78">
                  <c:v>3.6793687904627204</c:v>
                </c:pt>
                <c:pt idx="79">
                  <c:v>3.6960282869266532</c:v>
                </c:pt>
                <c:pt idx="80">
                  <c:v>3.7126877833905851</c:v>
                </c:pt>
                <c:pt idx="81">
                  <c:v>3.7293472798545166</c:v>
                </c:pt>
                <c:pt idx="82">
                  <c:v>3.746006776318449</c:v>
                </c:pt>
                <c:pt idx="83">
                  <c:v>3.7626662727823805</c:v>
                </c:pt>
                <c:pt idx="84">
                  <c:v>3.7793257692463129</c:v>
                </c:pt>
                <c:pt idx="85">
                  <c:v>3.7959852657102449</c:v>
                </c:pt>
                <c:pt idx="86">
                  <c:v>3.8126447621741772</c:v>
                </c:pt>
                <c:pt idx="87">
                  <c:v>3.8293042586381087</c:v>
                </c:pt>
                <c:pt idx="88">
                  <c:v>3.845963755102042</c:v>
                </c:pt>
                <c:pt idx="89">
                  <c:v>3.8626232515659735</c:v>
                </c:pt>
                <c:pt idx="90">
                  <c:v>3.8792827480299064</c:v>
                </c:pt>
                <c:pt idx="91">
                  <c:v>3.8959422444938379</c:v>
                </c:pt>
                <c:pt idx="92">
                  <c:v>3.9126017409577702</c:v>
                </c:pt>
                <c:pt idx="93">
                  <c:v>3.9292612374217022</c:v>
                </c:pt>
                <c:pt idx="94">
                  <c:v>3.9459207338856337</c:v>
                </c:pt>
                <c:pt idx="95">
                  <c:v>3.9625802303495656</c:v>
                </c:pt>
                <c:pt idx="96">
                  <c:v>3.979239726813498</c:v>
                </c:pt>
                <c:pt idx="97">
                  <c:v>3.9958992232774304</c:v>
                </c:pt>
                <c:pt idx="98">
                  <c:v>4.0125587197413628</c:v>
                </c:pt>
                <c:pt idx="99">
                  <c:v>4.0292182162052947</c:v>
                </c:pt>
                <c:pt idx="100">
                  <c:v>4.0458777126692267</c:v>
                </c:pt>
                <c:pt idx="101">
                  <c:v>4.0625372091331586</c:v>
                </c:pt>
                <c:pt idx="102">
                  <c:v>4.0791967055970915</c:v>
                </c:pt>
                <c:pt idx="103">
                  <c:v>4.0958562020610234</c:v>
                </c:pt>
                <c:pt idx="104">
                  <c:v>4.1125156985249554</c:v>
                </c:pt>
                <c:pt idx="105">
                  <c:v>4.1291751949888882</c:v>
                </c:pt>
                <c:pt idx="106">
                  <c:v>4.1458346914528201</c:v>
                </c:pt>
                <c:pt idx="107">
                  <c:v>4.1624941879167521</c:v>
                </c:pt>
                <c:pt idx="108">
                  <c:v>4.179153684380684</c:v>
                </c:pt>
                <c:pt idx="109">
                  <c:v>4.195813180844616</c:v>
                </c:pt>
                <c:pt idx="110">
                  <c:v>4.2124726773085488</c:v>
                </c:pt>
                <c:pt idx="111">
                  <c:v>4.2291321737724799</c:v>
                </c:pt>
                <c:pt idx="112">
                  <c:v>4.2457916702364118</c:v>
                </c:pt>
                <c:pt idx="113">
                  <c:v>4.2624511667003446</c:v>
                </c:pt>
                <c:pt idx="114">
                  <c:v>4.2791106631642766</c:v>
                </c:pt>
                <c:pt idx="115">
                  <c:v>4.2957701596282076</c:v>
                </c:pt>
                <c:pt idx="116">
                  <c:v>4.3124296560921405</c:v>
                </c:pt>
                <c:pt idx="117">
                  <c:v>4.3290891525560724</c:v>
                </c:pt>
                <c:pt idx="118">
                  <c:v>4.3457486490200044</c:v>
                </c:pt>
                <c:pt idx="119">
                  <c:v>4.3624081454839363</c:v>
                </c:pt>
                <c:pt idx="120">
                  <c:v>4.3790676419478682</c:v>
                </c:pt>
                <c:pt idx="121">
                  <c:v>4.3957271384118011</c:v>
                </c:pt>
                <c:pt idx="122">
                  <c:v>4.412386634875733</c:v>
                </c:pt>
                <c:pt idx="123">
                  <c:v>4.429046131339665</c:v>
                </c:pt>
                <c:pt idx="124">
                  <c:v>4.4457056278035978</c:v>
                </c:pt>
                <c:pt idx="125">
                  <c:v>4.4623651242675297</c:v>
                </c:pt>
                <c:pt idx="126">
                  <c:v>4.4790246207314617</c:v>
                </c:pt>
                <c:pt idx="127">
                  <c:v>4.4956841171953936</c:v>
                </c:pt>
                <c:pt idx="128">
                  <c:v>4.5123436136593256</c:v>
                </c:pt>
                <c:pt idx="129">
                  <c:v>4.5290031101232584</c:v>
                </c:pt>
                <c:pt idx="130">
                  <c:v>4.5456626065871903</c:v>
                </c:pt>
                <c:pt idx="131">
                  <c:v>4.5623221030511223</c:v>
                </c:pt>
                <c:pt idx="132">
                  <c:v>4.5789815995150542</c:v>
                </c:pt>
                <c:pt idx="133">
                  <c:v>4.5956410959789871</c:v>
                </c:pt>
                <c:pt idx="134">
                  <c:v>4.6123005924429199</c:v>
                </c:pt>
                <c:pt idx="135">
                  <c:v>4.6289600889068518</c:v>
                </c:pt>
                <c:pt idx="136">
                  <c:v>4.6456195853707838</c:v>
                </c:pt>
                <c:pt idx="137">
                  <c:v>4.6622790818347148</c:v>
                </c:pt>
                <c:pt idx="138">
                  <c:v>4.6789385782986468</c:v>
                </c:pt>
                <c:pt idx="139">
                  <c:v>4.6955980747625778</c:v>
                </c:pt>
                <c:pt idx="140">
                  <c:v>4.7122575712265107</c:v>
                </c:pt>
                <c:pt idx="141">
                  <c:v>4.7289170676904426</c:v>
                </c:pt>
                <c:pt idx="142">
                  <c:v>4.7455765641543746</c:v>
                </c:pt>
                <c:pt idx="143">
                  <c:v>4.7622360606183074</c:v>
                </c:pt>
                <c:pt idx="144">
                  <c:v>4.7788955570822393</c:v>
                </c:pt>
                <c:pt idx="145">
                  <c:v>4.7955550535461722</c:v>
                </c:pt>
                <c:pt idx="146">
                  <c:v>4.8122145500101041</c:v>
                </c:pt>
                <c:pt idx="147">
                  <c:v>4.8288740464740361</c:v>
                </c:pt>
                <c:pt idx="148">
                  <c:v>4.845533542937968</c:v>
                </c:pt>
                <c:pt idx="149">
                  <c:v>4.8621930394019</c:v>
                </c:pt>
                <c:pt idx="150">
                  <c:v>4.8788525358658319</c:v>
                </c:pt>
                <c:pt idx="151">
                  <c:v>4.8955120323297647</c:v>
                </c:pt>
                <c:pt idx="152">
                  <c:v>4.9121715287936967</c:v>
                </c:pt>
                <c:pt idx="153">
                  <c:v>4.9288310252576286</c:v>
                </c:pt>
                <c:pt idx="154">
                  <c:v>4.9454905217215606</c:v>
                </c:pt>
                <c:pt idx="155">
                  <c:v>4.9621500181854925</c:v>
                </c:pt>
                <c:pt idx="156">
                  <c:v>4.9788095146494253</c:v>
                </c:pt>
                <c:pt idx="157">
                  <c:v>4.9954690111133573</c:v>
                </c:pt>
                <c:pt idx="158">
                  <c:v>5.0121285075772901</c:v>
                </c:pt>
                <c:pt idx="159">
                  <c:v>5.0287880040412221</c:v>
                </c:pt>
                <c:pt idx="160">
                  <c:v>5.045447500505154</c:v>
                </c:pt>
                <c:pt idx="161">
                  <c:v>5.0621069969690868</c:v>
                </c:pt>
                <c:pt idx="162">
                  <c:v>5.0787664934330179</c:v>
                </c:pt>
                <c:pt idx="163">
                  <c:v>5.0954259898969498</c:v>
                </c:pt>
                <c:pt idx="164">
                  <c:v>5.1120854863608818</c:v>
                </c:pt>
                <c:pt idx="165">
                  <c:v>5.1287449828248128</c:v>
                </c:pt>
                <c:pt idx="166">
                  <c:v>5.1454044792887448</c:v>
                </c:pt>
                <c:pt idx="167">
                  <c:v>5.1620639757526776</c:v>
                </c:pt>
                <c:pt idx="168">
                  <c:v>5.1787234722166104</c:v>
                </c:pt>
                <c:pt idx="169">
                  <c:v>5.1953829686805424</c:v>
                </c:pt>
                <c:pt idx="170">
                  <c:v>5.2120424651444734</c:v>
                </c:pt>
                <c:pt idx="171">
                  <c:v>5.2287019616084063</c:v>
                </c:pt>
                <c:pt idx="172">
                  <c:v>5.2453614580723391</c:v>
                </c:pt>
                <c:pt idx="173">
                  <c:v>5.2620209545362711</c:v>
                </c:pt>
                <c:pt idx="174">
                  <c:v>5.2786804510002021</c:v>
                </c:pt>
                <c:pt idx="175">
                  <c:v>5.2953399474641349</c:v>
                </c:pt>
                <c:pt idx="176">
                  <c:v>5.3119994439280678</c:v>
                </c:pt>
                <c:pt idx="177">
                  <c:v>5.3286589403919997</c:v>
                </c:pt>
                <c:pt idx="178">
                  <c:v>5.3453184368559317</c:v>
                </c:pt>
                <c:pt idx="179">
                  <c:v>5.3619779333198636</c:v>
                </c:pt>
                <c:pt idx="180">
                  <c:v>5.3786374297837964</c:v>
                </c:pt>
                <c:pt idx="181">
                  <c:v>5.3952969262477275</c:v>
                </c:pt>
                <c:pt idx="182">
                  <c:v>5.4119564227116594</c:v>
                </c:pt>
                <c:pt idx="183">
                  <c:v>5.4286159191755932</c:v>
                </c:pt>
                <c:pt idx="184">
                  <c:v>5.4452754156395251</c:v>
                </c:pt>
                <c:pt idx="185">
                  <c:v>5.4619349121034571</c:v>
                </c:pt>
                <c:pt idx="186">
                  <c:v>5.4785944085673881</c:v>
                </c:pt>
                <c:pt idx="187">
                  <c:v>5.4952539050313201</c:v>
                </c:pt>
                <c:pt idx="188">
                  <c:v>5.5119134014952529</c:v>
                </c:pt>
                <c:pt idx="189">
                  <c:v>5.5285728979591848</c:v>
                </c:pt>
                <c:pt idx="190">
                  <c:v>5.5452323944231159</c:v>
                </c:pt>
                <c:pt idx="191">
                  <c:v>5.5618918908870478</c:v>
                </c:pt>
                <c:pt idx="192">
                  <c:v>5.5785513873509798</c:v>
                </c:pt>
                <c:pt idx="193">
                  <c:v>5.5952108838149135</c:v>
                </c:pt>
                <c:pt idx="194">
                  <c:v>5.6118703802788454</c:v>
                </c:pt>
                <c:pt idx="195">
                  <c:v>5.6285298767427765</c:v>
                </c:pt>
                <c:pt idx="196">
                  <c:v>5.6451893732067093</c:v>
                </c:pt>
                <c:pt idx="197">
                  <c:v>5.6618488696706413</c:v>
                </c:pt>
                <c:pt idx="198">
                  <c:v>5.6785083661345732</c:v>
                </c:pt>
                <c:pt idx="199">
                  <c:v>5.6951678625985052</c:v>
                </c:pt>
                <c:pt idx="200">
                  <c:v>5.711827359062438</c:v>
                </c:pt>
              </c:numCache>
            </c:numRef>
          </c:val>
          <c:smooth val="0"/>
          <c:extLst>
            <c:ext xmlns:c16="http://schemas.microsoft.com/office/drawing/2014/chart" uri="{C3380CC4-5D6E-409C-BE32-E72D297353CC}">
              <c16:uniqueId val="{00000001-437A-4BD3-B446-8D6D037309A4}"/>
            </c:ext>
          </c:extLst>
        </c:ser>
        <c:ser>
          <c:idx val="9"/>
          <c:order val="3"/>
          <c:tx>
            <c:strRef>
              <c:f>'Efficiency vs VIN Calculations'!$AH$8</c:f>
              <c:strCache>
                <c:ptCount val="1"/>
                <c:pt idx="0">
                  <c:v>RDS(on) Loss BuCtrl</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Calculations'!$AH$9:$AH$209</c:f>
              <c:numCache>
                <c:formatCode>0.000</c:formatCode>
                <c:ptCount val="201"/>
                <c:pt idx="0">
                  <c:v>0.44699628763521665</c:v>
                </c:pt>
                <c:pt idx="1">
                  <c:v>0.44395492367370382</c:v>
                </c:pt>
                <c:pt idx="2">
                  <c:v>0.44095576014428511</c:v>
                </c:pt>
                <c:pt idx="3">
                  <c:v>0.43799790232706487</c:v>
                </c:pt>
                <c:pt idx="4">
                  <c:v>0.43508048119621284</c:v>
                </c:pt>
                <c:pt idx="5">
                  <c:v>0.43220265248664452</c:v>
                </c:pt>
                <c:pt idx="6">
                  <c:v>0.42936359580168904</c:v>
                </c:pt>
                <c:pt idx="7">
                  <c:v>0.42656251375964027</c:v>
                </c:pt>
                <c:pt idx="8">
                  <c:v>0.42379863117720801</c:v>
                </c:pt>
                <c:pt idx="9">
                  <c:v>0.421071194287998</c:v>
                </c:pt>
                <c:pt idx="10">
                  <c:v>0.41837946999426417</c:v>
                </c:pt>
                <c:pt idx="11">
                  <c:v>0.41572274515027402</c:v>
                </c:pt>
                <c:pt idx="12">
                  <c:v>0.4131003258757201</c:v>
                </c:pt>
                <c:pt idx="13">
                  <c:v>0.41051153689770631</c:v>
                </c:pt>
                <c:pt idx="14">
                  <c:v>0.40795572091991167</c:v>
                </c:pt>
                <c:pt idx="15">
                  <c:v>0.40543223801761991</c:v>
                </c:pt>
                <c:pt idx="16">
                  <c:v>0.40294046505737041</c:v>
                </c:pt>
                <c:pt idx="17">
                  <c:v>0.4004797951400571</c:v>
                </c:pt>
                <c:pt idx="18">
                  <c:v>0.39804963706636504</c:v>
                </c:pt>
                <c:pt idx="19">
                  <c:v>0.39564941482349558</c:v>
                </c:pt>
                <c:pt idx="20">
                  <c:v>0.39327856709218456</c:v>
                </c:pt>
                <c:pt idx="21">
                  <c:v>0.3909365467730766</c:v>
                </c:pt>
                <c:pt idx="22">
                  <c:v>0.38862282053155978</c:v>
                </c:pt>
                <c:pt idx="23">
                  <c:v>0.38633686836022346</c:v>
                </c:pt>
                <c:pt idx="24">
                  <c:v>0.38407818315813419</c:v>
                </c:pt>
                <c:pt idx="25">
                  <c:v>0.38184627032617541</c:v>
                </c:pt>
                <c:pt idx="26">
                  <c:v>0.37964064737772923</c:v>
                </c:pt>
                <c:pt idx="27">
                  <c:v>0.37746084356402043</c:v>
                </c:pt>
                <c:pt idx="28">
                  <c:v>0.37530639951347644</c:v>
                </c:pt>
                <c:pt idx="29">
                  <c:v>0.37317686688448243</c:v>
                </c:pt>
                <c:pt idx="30">
                  <c:v>0.37107180803095752</c:v>
                </c:pt>
                <c:pt idx="31">
                  <c:v>0.36899079568018878</c:v>
                </c:pt>
                <c:pt idx="32">
                  <c:v>0.36693341262240087</c:v>
                </c:pt>
                <c:pt idx="33">
                  <c:v>0.36489925141155843</c:v>
                </c:pt>
                <c:pt idx="34">
                  <c:v>0.36288791407692544</c:v>
                </c:pt>
                <c:pt idx="35">
                  <c:v>0.36089901184492701</c:v>
                </c:pt>
                <c:pt idx="36">
                  <c:v>0.35893216487088281</c:v>
                </c:pt>
                <c:pt idx="37">
                  <c:v>0.35698700198020145</c:v>
                </c:pt>
                <c:pt idx="38">
                  <c:v>0.3550631604186445</c:v>
                </c:pt>
                <c:pt idx="39">
                  <c:v>0.35316028561128571</c:v>
                </c:pt>
                <c:pt idx="40">
                  <c:v>0.35127803092981491</c:v>
                </c:pt>
                <c:pt idx="41">
                  <c:v>0.34941605746784127</c:v>
                </c:pt>
                <c:pt idx="42">
                  <c:v>0.34757403382387991</c:v>
                </c:pt>
                <c:pt idx="43">
                  <c:v>0.34575163589170843</c:v>
                </c:pt>
                <c:pt idx="44">
                  <c:v>0.34394854665780461</c:v>
                </c:pt>
                <c:pt idx="45">
                  <c:v>0.34216445600558071</c:v>
                </c:pt>
                <c:pt idx="46">
                  <c:v>0.34039906052614888</c:v>
                </c:pt>
                <c:pt idx="47">
                  <c:v>0.33865206333536285</c:v>
                </c:pt>
                <c:pt idx="48">
                  <c:v>0.33692317389688992</c:v>
                </c:pt>
                <c:pt idx="49">
                  <c:v>0.33521210785108124</c:v>
                </c:pt>
                <c:pt idx="50">
                  <c:v>0.33351858684941837</c:v>
                </c:pt>
                <c:pt idx="51">
                  <c:v>0.33184233839431992</c:v>
                </c:pt>
                <c:pt idx="52">
                  <c:v>0.33018309568410942</c:v>
                </c:pt>
                <c:pt idx="53">
                  <c:v>0.32854059746294528</c:v>
                </c:pt>
                <c:pt idx="54">
                  <c:v>0.32691458787552818</c:v>
                </c:pt>
                <c:pt idx="55">
                  <c:v>0.32530481632640917</c:v>
                </c:pt>
                <c:pt idx="56">
                  <c:v>0.32371103734372331</c:v>
                </c:pt>
                <c:pt idx="57">
                  <c:v>0.32213301044719078</c:v>
                </c:pt>
                <c:pt idx="58">
                  <c:v>0.32057050002022536</c:v>
                </c:pt>
                <c:pt idx="59">
                  <c:v>0.31902327518600088</c:v>
                </c:pt>
                <c:pt idx="60">
                  <c:v>0.31749110968733329</c:v>
                </c:pt>
                <c:pt idx="61">
                  <c:v>0.31597378177023966</c:v>
                </c:pt>
                <c:pt idx="62">
                  <c:v>0.31447107407104058</c:v>
                </c:pt>
                <c:pt idx="63">
                  <c:v>0.31298277350688419</c:v>
                </c:pt>
                <c:pt idx="64">
                  <c:v>0.31150867116956427</c:v>
                </c:pt>
                <c:pt idx="65">
                  <c:v>0.31004856222252192</c:v>
                </c:pt>
                <c:pt idx="66">
                  <c:v>0.30860224580091261</c:v>
                </c:pt>
                <c:pt idx="67">
                  <c:v>0.30716952491463922</c:v>
                </c:pt>
                <c:pt idx="68">
                  <c:v>0.30575020635424016</c:v>
                </c:pt>
                <c:pt idx="69">
                  <c:v>0.30434410059954037</c:v>
                </c:pt>
                <c:pt idx="70">
                  <c:v>0.30295102173096494</c:v>
                </c:pt>
                <c:pt idx="71">
                  <c:v>0.30157078734342968</c:v>
                </c:pt>
                <c:pt idx="72">
                  <c:v>0.30020321846271503</c:v>
                </c:pt>
                <c:pt idx="73">
                  <c:v>0.29884813946424382</c:v>
                </c:pt>
                <c:pt idx="74">
                  <c:v>0.29750537799418036</c:v>
                </c:pt>
                <c:pt idx="75">
                  <c:v>0.29617476489277272</c:v>
                </c:pt>
                <c:pt idx="76">
                  <c:v>0.2948561341198635</c:v>
                </c:pt>
                <c:pt idx="77">
                  <c:v>0.29354932268249834</c:v>
                </c:pt>
                <c:pt idx="78">
                  <c:v>0.29225417056456071</c:v>
                </c:pt>
                <c:pt idx="79">
                  <c:v>0.29097052065836915</c:v>
                </c:pt>
                <c:pt idx="80">
                  <c:v>0.28969821869817103</c:v>
                </c:pt>
                <c:pt idx="81">
                  <c:v>0.28843711319547077</c:v>
                </c:pt>
                <c:pt idx="82">
                  <c:v>0.28718705537613504</c:v>
                </c:pt>
                <c:pt idx="83">
                  <c:v>0.28594789911921698</c:v>
                </c:pt>
                <c:pt idx="84">
                  <c:v>0.28471950089744369</c:v>
                </c:pt>
                <c:pt idx="85">
                  <c:v>0.28350171971931315</c:v>
                </c:pt>
                <c:pt idx="86">
                  <c:v>0.28229441707275377</c:v>
                </c:pt>
                <c:pt idx="87">
                  <c:v>0.28109745687029153</c:v>
                </c:pt>
                <c:pt idx="88">
                  <c:v>0.27991070539568191</c:v>
                </c:pt>
                <c:pt idx="89">
                  <c:v>0.278734031251957</c:v>
                </c:pt>
                <c:pt idx="90">
                  <c:v>0.27756730531084833</c:v>
                </c:pt>
                <c:pt idx="91">
                  <c:v>0.27641040066353828</c:v>
                </c:pt>
                <c:pt idx="92">
                  <c:v>0.2752631925727016</c:v>
                </c:pt>
                <c:pt idx="93">
                  <c:v>0.27412555842579694</c:v>
                </c:pt>
                <c:pt idx="94">
                  <c:v>0.27299737768957089</c:v>
                </c:pt>
                <c:pt idx="95">
                  <c:v>0.27187853186573463</c:v>
                </c:pt>
                <c:pt idx="96">
                  <c:v>0.27076890444778384</c:v>
                </c:pt>
                <c:pt idx="97">
                  <c:v>0.26966838087892042</c:v>
                </c:pt>
                <c:pt idx="98">
                  <c:v>0.26857684851104696</c:v>
                </c:pt>
                <c:pt idx="99">
                  <c:v>0.26749419656480183</c:v>
                </c:pt>
                <c:pt idx="100">
                  <c:v>0.26642031609060385</c:v>
                </c:pt>
                <c:pt idx="101">
                  <c:v>0.26535509993067363</c:v>
                </c:pt>
                <c:pt idx="102">
                  <c:v>0.26429844268200869</c:v>
                </c:pt>
                <c:pt idx="103">
                  <c:v>0.26325024066027825</c:v>
                </c:pt>
                <c:pt idx="104">
                  <c:v>0.26221039186461531</c:v>
                </c:pt>
                <c:pt idx="105">
                  <c:v>0.26117879594327764</c:v>
                </c:pt>
                <c:pt idx="106">
                  <c:v>0.26015535416015295</c:v>
                </c:pt>
                <c:pt idx="107">
                  <c:v>0.25913996936208517</c:v>
                </c:pt>
                <c:pt idx="108">
                  <c:v>0.25813254594699619</c:v>
                </c:pt>
                <c:pt idx="109">
                  <c:v>0.25713298983278177</c:v>
                </c:pt>
                <c:pt idx="110">
                  <c:v>0.25614120842695953</c:v>
                </c:pt>
                <c:pt idx="111">
                  <c:v>0.25515711059704732</c:v>
                </c:pt>
                <c:pt idx="112">
                  <c:v>0.25418060664165165</c:v>
                </c:pt>
                <c:pt idx="113">
                  <c:v>0.25321160826224554</c:v>
                </c:pt>
                <c:pt idx="114">
                  <c:v>0.25225002853561823</c:v>
                </c:pt>
                <c:pt idx="115">
                  <c:v>0.25129578188697588</c:v>
                </c:pt>
                <c:pt idx="116">
                  <c:v>0.25034878406367639</c:v>
                </c:pt>
                <c:pt idx="117">
                  <c:v>0.24940895210958189</c:v>
                </c:pt>
                <c:pt idx="118">
                  <c:v>0.24847620434000908</c:v>
                </c:pt>
                <c:pt idx="119">
                  <c:v>0.24755046031726399</c:v>
                </c:pt>
                <c:pt idx="120">
                  <c:v>0.24663164082674291</c:v>
                </c:pt>
                <c:pt idx="121">
                  <c:v>0.24571966785358684</c:v>
                </c:pt>
                <c:pt idx="122">
                  <c:v>0.24481446455987049</c:v>
                </c:pt>
                <c:pt idx="123">
                  <c:v>0.24391595526231591</c:v>
                </c:pt>
                <c:pt idx="124">
                  <c:v>0.24302406541051352</c:v>
                </c:pt>
                <c:pt idx="125">
                  <c:v>0.24213872156563809</c:v>
                </c:pt>
                <c:pt idx="126">
                  <c:v>0.24125985137964626</c:v>
                </c:pt>
                <c:pt idx="127">
                  <c:v>0.24038738357494405</c:v>
                </c:pt>
                <c:pt idx="128">
                  <c:v>0.23952124792450924</c:v>
                </c:pt>
                <c:pt idx="129">
                  <c:v>0.23866137523245981</c:v>
                </c:pt>
                <c:pt idx="130">
                  <c:v>0.2378076973150548</c:v>
                </c:pt>
                <c:pt idx="131">
                  <c:v>0.23696014698211609</c:v>
                </c:pt>
                <c:pt idx="132">
                  <c:v>0.23611865801886234</c:v>
                </c:pt>
                <c:pt idx="133">
                  <c:v>0.23528316516814168</c:v>
                </c:pt>
                <c:pt idx="134">
                  <c:v>0.23445360411305463</c:v>
                </c:pt>
                <c:pt idx="135">
                  <c:v>0.23362991145995671</c:v>
                </c:pt>
                <c:pt idx="136">
                  <c:v>0.23281202472183163</c:v>
                </c:pt>
                <c:pt idx="137">
                  <c:v>0.2319998823020239</c:v>
                </c:pt>
                <c:pt idx="138">
                  <c:v>0.23119342347832383</c:v>
                </c:pt>
                <c:pt idx="139">
                  <c:v>0.23039258838739496</c:v>
                </c:pt>
                <c:pt idx="140">
                  <c:v>0.22959731800953487</c:v>
                </c:pt>
                <c:pt idx="141">
                  <c:v>0.22880755415376242</c:v>
                </c:pt>
                <c:pt idx="142">
                  <c:v>0.2280232394432215</c:v>
                </c:pt>
                <c:pt idx="143">
                  <c:v>0.22724431730089495</c:v>
                </c:pt>
                <c:pt idx="144">
                  <c:v>0.22647073193562003</c:v>
                </c:pt>
                <c:pt idx="145">
                  <c:v>0.22570242832839812</c:v>
                </c:pt>
                <c:pt idx="146">
                  <c:v>0.22493935221899169</c:v>
                </c:pt>
                <c:pt idx="147">
                  <c:v>0.22418145009280158</c:v>
                </c:pt>
                <c:pt idx="148">
                  <c:v>0.22342866916801718</c:v>
                </c:pt>
                <c:pt idx="149">
                  <c:v>0.22268095738303287</c:v>
                </c:pt>
                <c:pt idx="150">
                  <c:v>0.22193826338412539</c:v>
                </c:pt>
                <c:pt idx="151">
                  <c:v>0.22120053651338448</c:v>
                </c:pt>
                <c:pt idx="152">
                  <c:v>0.22046772679689114</c:v>
                </c:pt>
                <c:pt idx="153">
                  <c:v>0.21973978493313773</c:v>
                </c:pt>
                <c:pt idx="154">
                  <c:v>0.21901666228168409</c:v>
                </c:pt>
                <c:pt idx="155">
                  <c:v>0.21829831085204435</c:v>
                </c:pt>
                <c:pt idx="156">
                  <c:v>0.21758468329279754</c:v>
                </c:pt>
                <c:pt idx="157">
                  <c:v>0.21687573288091902</c:v>
                </c:pt>
                <c:pt idx="158">
                  <c:v>0.21617141351132527</c:v>
                </c:pt>
                <c:pt idx="159">
                  <c:v>0.21547167968662867</c:v>
                </c:pt>
                <c:pt idx="160">
                  <c:v>0.21477648650709644</c:v>
                </c:pt>
                <c:pt idx="161">
                  <c:v>0.21408578966080871</c:v>
                </c:pt>
                <c:pt idx="162">
                  <c:v>0.21339954541401293</c:v>
                </c:pt>
                <c:pt idx="163">
                  <c:v>0.21271771060166722</c:v>
                </c:pt>
                <c:pt idx="164">
                  <c:v>0.21204024261817103</c:v>
                </c:pt>
                <c:pt idx="165">
                  <c:v>0.21136709940827664</c:v>
                </c:pt>
                <c:pt idx="166">
                  <c:v>0.21069823945817931</c:v>
                </c:pt>
                <c:pt idx="167">
                  <c:v>0.21003362178678001</c:v>
                </c:pt>
                <c:pt idx="168">
                  <c:v>0.2093732059371182</c:v>
                </c:pt>
                <c:pt idx="169">
                  <c:v>0.20871695196797066</c:v>
                </c:pt>
                <c:pt idx="170">
                  <c:v>0.208064820445612</c:v>
                </c:pt>
                <c:pt idx="171">
                  <c:v>0.20741677243573337</c:v>
                </c:pt>
                <c:pt idx="172">
                  <c:v>0.2067727694955164</c:v>
                </c:pt>
                <c:pt idx="173">
                  <c:v>0.20613277366585803</c:v>
                </c:pt>
                <c:pt idx="174">
                  <c:v>0.20549674746374386</c:v>
                </c:pt>
                <c:pt idx="175">
                  <c:v>0.20486465387476563</c:v>
                </c:pt>
                <c:pt idx="176">
                  <c:v>0.20423645634578039</c:v>
                </c:pt>
                <c:pt idx="177">
                  <c:v>0.20361211877770768</c:v>
                </c:pt>
                <c:pt idx="178">
                  <c:v>0.20299160551846307</c:v>
                </c:pt>
                <c:pt idx="179">
                  <c:v>0.20237488135602219</c:v>
                </c:pt>
                <c:pt idx="180">
                  <c:v>0.2017619115116161</c:v>
                </c:pt>
                <c:pt idx="181">
                  <c:v>0.20115266163305148</c:v>
                </c:pt>
                <c:pt idx="182">
                  <c:v>0.20054709778815638</c:v>
                </c:pt>
                <c:pt idx="183">
                  <c:v>0.19994518645834561</c:v>
                </c:pt>
                <c:pt idx="184">
                  <c:v>0.19934689453230567</c:v>
                </c:pt>
                <c:pt idx="185">
                  <c:v>0.19875218929979499</c:v>
                </c:pt>
                <c:pt idx="186">
                  <c:v>0.19816103844555835</c:v>
                </c:pt>
                <c:pt idx="187">
                  <c:v>0.19757341004335183</c:v>
                </c:pt>
                <c:pt idx="188">
                  <c:v>0.19698927255007609</c:v>
                </c:pt>
                <c:pt idx="189">
                  <c:v>0.19640859480001768</c:v>
                </c:pt>
                <c:pt idx="190">
                  <c:v>0.19583134599919197</c:v>
                </c:pt>
                <c:pt idx="191">
                  <c:v>0.19525749571979067</c:v>
                </c:pt>
                <c:pt idx="192">
                  <c:v>0.19468701389472681</c:v>
                </c:pt>
                <c:pt idx="193">
                  <c:v>0.19411987081227902</c:v>
                </c:pt>
                <c:pt idx="194">
                  <c:v>0.1935560371108303</c:v>
                </c:pt>
                <c:pt idx="195">
                  <c:v>0.19299548377370182</c:v>
                </c:pt>
                <c:pt idx="196">
                  <c:v>0.19243818212407679</c:v>
                </c:pt>
                <c:pt idx="197">
                  <c:v>0.191884103820015</c:v>
                </c:pt>
                <c:pt idx="198">
                  <c:v>0.19133322084955573</c:v>
                </c:pt>
                <c:pt idx="199">
                  <c:v>0.19078550552590565</c:v>
                </c:pt>
                <c:pt idx="200">
                  <c:v>0.19024093048271176</c:v>
                </c:pt>
              </c:numCache>
            </c:numRef>
          </c:val>
          <c:smooth val="0"/>
          <c:extLst>
            <c:ext xmlns:c16="http://schemas.microsoft.com/office/drawing/2014/chart" uri="{C3380CC4-5D6E-409C-BE32-E72D297353CC}">
              <c16:uniqueId val="{00000002-437A-4BD3-B446-8D6D037309A4}"/>
            </c:ext>
          </c:extLst>
        </c:ser>
        <c:dLbls>
          <c:showLegendKey val="0"/>
          <c:showVal val="0"/>
          <c:showCatName val="0"/>
          <c:showSerName val="0"/>
          <c:showPercent val="0"/>
          <c:showBubbleSize val="0"/>
        </c:dLbls>
        <c:marker val="1"/>
        <c:smooth val="0"/>
        <c:axId val="196432256"/>
        <c:axId val="196421888"/>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70196219610883936"/>
          <c:y val="3.9002915763071203E-2"/>
          <c:w val="0.19856895379285092"/>
          <c:h val="0.10885276124218299"/>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Low-side BUCK "Sync" MOSFET Losses </a:t>
            </a:r>
          </a:p>
          <a:p>
            <a:pPr>
              <a:defRPr/>
            </a:pPr>
            <a:endParaRPr lang="en-US"/>
          </a:p>
        </c:rich>
      </c:tx>
      <c:overlay val="0"/>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417792"/>
        <c:axId val="196419968"/>
        <c:extLst>
          <c:ext xmlns:c15="http://schemas.microsoft.com/office/drawing/2012/chart" uri="{02D57815-91ED-43cb-92C2-25804820EDAC}">
            <c15:filteredLineSeries>
              <c15:ser>
                <c:idx val="0"/>
                <c:order val="0"/>
                <c:tx>
                  <c:v>Efficiency</c:v>
                </c:tx>
                <c:spPr>
                  <a:ln w="31750">
                    <a:solidFill>
                      <a:srgbClr val="FF0000"/>
                    </a:solidFill>
                    <a:prstDash val="solid"/>
                  </a:ln>
                </c:spPr>
                <c:marker>
                  <c:symbol val="none"/>
                </c:marker>
                <c:cat>
                  <c:numRef>
                    <c:extLst>
                      <c:ex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c:ext uri="{02D57815-91ED-43cb-92C2-25804820EDAC}">
                        <c15:formulaRef>
                          <c15:sqref>'Efficiency vs VIN Calculations'!$BO$9:$BO$209</c15:sqref>
                        </c15:formulaRef>
                      </c:ext>
                    </c:extLst>
                    <c:numCache>
                      <c:formatCode>0.00</c:formatCode>
                      <c:ptCount val="201"/>
                      <c:pt idx="0">
                        <c:v>95.549377136149715</c:v>
                      </c:pt>
                      <c:pt idx="1">
                        <c:v>95.532263889966728</c:v>
                      </c:pt>
                      <c:pt idx="2">
                        <c:v>95.515110946792703</c:v>
                      </c:pt>
                      <c:pt idx="3">
                        <c:v>95.497921563735773</c:v>
                      </c:pt>
                      <c:pt idx="4">
                        <c:v>95.480698874935015</c:v>
                      </c:pt>
                      <c:pt idx="5">
                        <c:v>95.46344589523342</c:v>
                      </c:pt>
                      <c:pt idx="6">
                        <c:v>95.446165523831439</c:v>
                      </c:pt>
                      <c:pt idx="7">
                        <c:v>95.428860547907206</c:v>
                      </c:pt>
                      <c:pt idx="8">
                        <c:v>95.411533646191657</c:v>
                      </c:pt>
                      <c:pt idx="9">
                        <c:v>95.394187392488902</c:v>
                      </c:pt>
                      <c:pt idx="10">
                        <c:v>95.37682425913394</c:v>
                      </c:pt>
                      <c:pt idx="11">
                        <c:v>95.359446620381874</c:v>
                      </c:pt>
                      <c:pt idx="12">
                        <c:v>95.342056755723192</c:v>
                      </c:pt>
                      <c:pt idx="13">
                        <c:v>95.324656853121752</c:v>
                      </c:pt>
                      <c:pt idx="14">
                        <c:v>95.307249012172193</c:v>
                      </c:pt>
                      <c:pt idx="15">
                        <c:v>95.289835247175219</c:v>
                      </c:pt>
                      <c:pt idx="16">
                        <c:v>95.272417490129016</c:v>
                      </c:pt>
                      <c:pt idx="17">
                        <c:v>95.254997593636375</c:v>
                      </c:pt>
                      <c:pt idx="18">
                        <c:v>95.237577333727103</c:v>
                      </c:pt>
                      <c:pt idx="19">
                        <c:v>95.220158412596007</c:v>
                      </c:pt>
                      <c:pt idx="20">
                        <c:v>95.202742461257046</c:v>
                      </c:pt>
                      <c:pt idx="21">
                        <c:v>95.185331042114257</c:v>
                      </c:pt>
                      <c:pt idx="22">
                        <c:v>95.167925651451057</c:v>
                      </c:pt>
                      <c:pt idx="23">
                        <c:v>95.150527721838614</c:v>
                      </c:pt>
                      <c:pt idx="24">
                        <c:v>95.133138624465204</c:v>
                      </c:pt>
                      <c:pt idx="25">
                        <c:v>95.11575967138802</c:v>
                      </c:pt>
                      <c:pt idx="26">
                        <c:v>95.09839211770911</c:v>
                      </c:pt>
                      <c:pt idx="27">
                        <c:v>95.081037163677209</c:v>
                      </c:pt>
                      <c:pt idx="28">
                        <c:v>95.063695956717481</c:v>
                      </c:pt>
                      <c:pt idx="29">
                        <c:v>95.046369593390949</c:v>
                      </c:pt>
                      <c:pt idx="30">
                        <c:v>95.029059121285471</c:v>
                      </c:pt>
                      <c:pt idx="31">
                        <c:v>95.011765540840386</c:v>
                      </c:pt>
                      <c:pt idx="32">
                        <c:v>94.99448980710666</c:v>
                      </c:pt>
                      <c:pt idx="33">
                        <c:v>94.977232831444454</c:v>
                      </c:pt>
                      <c:pt idx="34">
                        <c:v>94.959995483160171</c:v>
                      </c:pt>
                      <c:pt idx="35">
                        <c:v>94.942778591084732</c:v>
                      </c:pt>
                      <c:pt idx="36">
                        <c:v>94.925582945095016</c:v>
                      </c:pt>
                      <c:pt idx="37">
                        <c:v>94.908409297580505</c:v>
                      </c:pt>
                      <c:pt idx="38">
                        <c:v>94.89125836485654</c:v>
                      </c:pt>
                      <c:pt idx="39">
                        <c:v>94.874130828526404</c:v>
                      </c:pt>
                      <c:pt idx="40">
                        <c:v>94.85702733679372</c:v>
                      </c:pt>
                      <c:pt idx="41">
                        <c:v>94.839948505726966</c:v>
                      </c:pt>
                      <c:pt idx="42">
                        <c:v>94.822894920477651</c:v>
                      </c:pt>
                      <c:pt idx="43">
                        <c:v>94.805867136453983</c:v>
                      </c:pt>
                      <c:pt idx="44">
                        <c:v>94.788865680451295</c:v>
                      </c:pt>
                      <c:pt idx="45">
                        <c:v>94.771891051741136</c:v>
                      </c:pt>
                      <c:pt idx="46">
                        <c:v>94.754943723120022</c:v>
                      </c:pt>
                      <c:pt idx="47">
                        <c:v>94.738024141919936</c:v>
                      </c:pt>
                      <c:pt idx="48">
                        <c:v>94.721132730981111</c:v>
                      </c:pt>
                      <c:pt idx="49">
                        <c:v>94.704269889589369</c:v>
                      </c:pt>
                      <c:pt idx="50">
                        <c:v>94.687435994378674</c:v>
                      </c:pt>
                      <c:pt idx="51">
                        <c:v>94.670631400200222</c:v>
                      </c:pt>
                      <c:pt idx="52">
                        <c:v>94.653856440959743</c:v>
                      </c:pt>
                      <c:pt idx="53">
                        <c:v>94.637111430423587</c:v>
                      </c:pt>
                      <c:pt idx="54">
                        <c:v>94.620396662995148</c:v>
                      </c:pt>
                      <c:pt idx="55">
                        <c:v>94.603712414462677</c:v>
                      </c:pt>
                      <c:pt idx="56">
                        <c:v>94.587058942719167</c:v>
                      </c:pt>
                      <c:pt idx="57">
                        <c:v>94.570436488455982</c:v>
                      </c:pt>
                      <c:pt idx="58">
                        <c:v>94.553845275830568</c:v>
                      </c:pt>
                      <c:pt idx="59">
                        <c:v>94.537285513109723</c:v>
                      </c:pt>
                      <c:pt idx="60">
                        <c:v>94.520757393288861</c:v>
                      </c:pt>
                      <c:pt idx="61">
                        <c:v>94.504261094688616</c:v>
                      </c:pt>
                      <c:pt idx="62">
                        <c:v>94.487796781529269</c:v>
                      </c:pt>
                      <c:pt idx="63">
                        <c:v>94.471364604484052</c:v>
                      </c:pt>
                      <c:pt idx="64">
                        <c:v>94.454964701211992</c:v>
                      </c:pt>
                      <c:pt idx="65">
                        <c:v>94.438597196871086</c:v>
                      </c:pt>
                      <c:pt idx="66">
                        <c:v>94.422262204612551</c:v>
                      </c:pt>
                      <c:pt idx="67">
                        <c:v>94.405959826056929</c:v>
                      </c:pt>
                      <c:pt idx="68">
                        <c:v>94.38969015175249</c:v>
                      </c:pt>
                      <c:pt idx="69">
                        <c:v>94.373453261616874</c:v>
                      </c:pt>
                      <c:pt idx="70">
                        <c:v>94.357249225362452</c:v>
                      </c:pt>
                      <c:pt idx="71">
                        <c:v>94.341078102905968</c:v>
                      </c:pt>
                      <c:pt idx="72">
                        <c:v>94.324939944763088</c:v>
                      </c:pt>
                      <c:pt idx="73">
                        <c:v>94.308834792428613</c:v>
                      </c:pt>
                      <c:pt idx="74">
                        <c:v>94.292762678742449</c:v>
                      </c:pt>
                      <c:pt idx="75">
                        <c:v>94.276723628242337</c:v>
                      </c:pt>
                      <c:pt idx="76">
                        <c:v>94.260717657503506</c:v>
                      </c:pt>
                      <c:pt idx="77">
                        <c:v>94.244744775465847</c:v>
                      </c:pt>
                      <c:pt idx="78">
                        <c:v>94.228804983749185</c:v>
                      </c:pt>
                      <c:pt idx="79">
                        <c:v>94.212898276956778</c:v>
                      </c:pt>
                      <c:pt idx="80">
                        <c:v>94.197024642967918</c:v>
                      </c:pt>
                      <c:pt idx="81">
                        <c:v>94.181184063219547</c:v>
                      </c:pt>
                      <c:pt idx="82">
                        <c:v>94.165376512977744</c:v>
                      </c:pt>
                      <c:pt idx="83">
                        <c:v>94.149601961599117</c:v>
                      </c:pt>
                      <c:pt idx="84">
                        <c:v>94.133860372782678</c:v>
                      </c:pt>
                      <c:pt idx="85">
                        <c:v>94.118151704812476</c:v>
                      </c:pt>
                      <c:pt idx="86">
                        <c:v>94.102475910791313</c:v>
                      </c:pt>
                      <c:pt idx="87">
                        <c:v>94.086832938865825</c:v>
                      </c:pt>
                      <c:pt idx="88">
                        <c:v>94.071222732443502</c:v>
                      </c:pt>
                      <c:pt idx="89">
                        <c:v>94.055645230401524</c:v>
                      </c:pt>
                      <c:pt idx="90">
                        <c:v>94.040100367288105</c:v>
                      </c:pt>
                      <c:pt idx="91">
                        <c:v>94.024588073516355</c:v>
                      </c:pt>
                      <c:pt idx="92">
                        <c:v>94.009108275551071</c:v>
                      </c:pt>
                      <c:pt idx="93">
                        <c:v>93.993660896088684</c:v>
                      </c:pt>
                      <c:pt idx="94">
                        <c:v>93.978245854230579</c:v>
                      </c:pt>
                      <c:pt idx="95">
                        <c:v>93.962863065650055</c:v>
                      </c:pt>
                      <c:pt idx="96">
                        <c:v>93.947512442753165</c:v>
                      </c:pt>
                      <c:pt idx="97">
                        <c:v>93.932193894833617</c:v>
                      </c:pt>
                      <c:pt idx="98">
                        <c:v>93.916907328222067</c:v>
                      </c:pt>
                      <c:pt idx="99">
                        <c:v>93.901652646429781</c:v>
                      </c:pt>
                      <c:pt idx="100">
                        <c:v>93.886429750287149</c:v>
                      </c:pt>
                      <c:pt idx="101">
                        <c:v>93.871238538076966</c:v>
                      </c:pt>
                      <c:pt idx="102">
                        <c:v>93.856078905662983</c:v>
                      </c:pt>
                      <c:pt idx="103">
                        <c:v>93.840950746613487</c:v>
                      </c:pt>
                      <c:pt idx="104">
                        <c:v>93.825853952320529</c:v>
                      </c:pt>
                      <c:pt idx="105">
                        <c:v>93.810788412114604</c:v>
                      </c:pt>
                      <c:pt idx="106">
                        <c:v>93.795754013375131</c:v>
                      </c:pt>
                      <c:pt idx="107">
                        <c:v>93.780750641636914</c:v>
                      </c:pt>
                      <c:pt idx="108">
                        <c:v>93.765778180692536</c:v>
                      </c:pt>
                      <c:pt idx="109">
                        <c:v>93.750836512691038</c:v>
                      </c:pt>
                      <c:pt idx="110">
                        <c:v>93.735925518232875</c:v>
                      </c:pt>
                      <c:pt idx="111">
                        <c:v>93.721045076461408</c:v>
                      </c:pt>
                      <c:pt idx="112">
                        <c:v>93.706195065150894</c:v>
                      </c:pt>
                      <c:pt idx="113">
                        <c:v>93.691375360791255</c:v>
                      </c:pt>
                      <c:pt idx="114">
                        <c:v>93.676585838669695</c:v>
                      </c:pt>
                      <c:pt idx="115">
                        <c:v>93.661826372949122</c:v>
                      </c:pt>
                      <c:pt idx="116">
                        <c:v>93.647096836743856</c:v>
                      </c:pt>
                      <c:pt idx="117">
                        <c:v>93.632397102192272</c:v>
                      </c:pt>
                      <c:pt idx="118">
                        <c:v>93.617727040526759</c:v>
                      </c:pt>
                      <c:pt idx="119">
                        <c:v>93.60308652214114</c:v>
                      </c:pt>
                      <c:pt idx="120">
                        <c:v>93.588475416655456</c:v>
                      </c:pt>
                      <c:pt idx="121">
                        <c:v>93.573893592978251</c:v>
                      </c:pt>
                      <c:pt idx="122">
                        <c:v>93.559340919366534</c:v>
                      </c:pt>
                      <c:pt idx="123">
                        <c:v>93.54481726348348</c:v>
                      </c:pt>
                      <c:pt idx="124">
                        <c:v>93.530322492453863</c:v>
                      </c:pt>
                      <c:pt idx="125">
                        <c:v>93.515856472917392</c:v>
                      </c:pt>
                      <c:pt idx="126">
                        <c:v>93.501419071079965</c:v>
                      </c:pt>
                      <c:pt idx="127">
                        <c:v>93.48701015276302</c:v>
                      </c:pt>
                      <c:pt idx="128">
                        <c:v>93.472629583450811</c:v>
                      </c:pt>
                      <c:pt idx="129">
                        <c:v>93.458277228336087</c:v>
                      </c:pt>
                      <c:pt idx="130">
                        <c:v>93.443952952363645</c:v>
                      </c:pt>
                      <c:pt idx="131">
                        <c:v>93.429656620272553</c:v>
                      </c:pt>
                      <c:pt idx="132">
                        <c:v>93.415388096636448</c:v>
                      </c:pt>
                      <c:pt idx="133">
                        <c:v>93.401147245902294</c:v>
                      </c:pt>
                      <c:pt idx="134">
                        <c:v>93.386933932427667</c:v>
                      </c:pt>
                      <c:pt idx="135">
                        <c:v>93.372748020516511</c:v>
                      </c:pt>
                      <c:pt idx="136">
                        <c:v>93.358589374453373</c:v>
                      </c:pt>
                      <c:pt idx="137">
                        <c:v>93.34445785853643</c:v>
                      </c:pt>
                      <c:pt idx="138">
                        <c:v>93.330353337109045</c:v>
                      </c:pt>
                      <c:pt idx="139">
                        <c:v>93.316275674590059</c:v>
                      </c:pt>
                      <c:pt idx="140">
                        <c:v>93.302224735502875</c:v>
                      </c:pt>
                      <c:pt idx="141">
                        <c:v>93.288200384503256</c:v>
                      </c:pt>
                      <c:pt idx="142">
                        <c:v>93.274202486406182</c:v>
                      </c:pt>
                      <c:pt idx="143">
                        <c:v>93.260230906211234</c:v>
                      </c:pt>
                      <c:pt idx="144">
                        <c:v>93.246285509127276</c:v>
                      </c:pt>
                      <c:pt idx="145">
                        <c:v>93.23236616059576</c:v>
                      </c:pt>
                      <c:pt idx="146">
                        <c:v>93.218472726313394</c:v>
                      </c:pt>
                      <c:pt idx="147">
                        <c:v>93.204605072253472</c:v>
                      </c:pt>
                      <c:pt idx="148">
                        <c:v>93.190763064686479</c:v>
                      </c:pt>
                      <c:pt idx="149">
                        <c:v>93.176946570199775</c:v>
                      </c:pt>
                      <c:pt idx="150">
                        <c:v>93.163155455716378</c:v>
                      </c:pt>
                      <c:pt idx="151">
                        <c:v>93.14938958851296</c:v>
                      </c:pt>
                      <c:pt idx="152">
                        <c:v>93.135648836236882</c:v>
                      </c:pt>
                      <c:pt idx="153">
                        <c:v>93.121933066922693</c:v>
                      </c:pt>
                      <c:pt idx="154">
                        <c:v>93.108242149007651</c:v>
                      </c:pt>
                      <c:pt idx="155">
                        <c:v>93.094575951346641</c:v>
                      </c:pt>
                      <c:pt idx="156">
                        <c:v>93.080934343226374</c:v>
                      </c:pt>
                      <c:pt idx="157">
                        <c:v>93.06731719437883</c:v>
                      </c:pt>
                      <c:pt idx="158">
                        <c:v>93.053724374994232</c:v>
                      </c:pt>
                      <c:pt idx="159">
                        <c:v>93.040155755733153</c:v>
                      </c:pt>
                      <c:pt idx="160">
                        <c:v>93.026611207738256</c:v>
                      </c:pt>
                      <c:pt idx="161">
                        <c:v>93.013090602645221</c:v>
                      </c:pt>
                      <c:pt idx="162">
                        <c:v>92.999593812593289</c:v>
                      </c:pt>
                      <c:pt idx="163">
                        <c:v>92.986120710235198</c:v>
                      </c:pt>
                      <c:pt idx="164">
                        <c:v>92.97267116874653</c:v>
                      </c:pt>
                      <c:pt idx="165">
                        <c:v>92.959245061834693</c:v>
                      </c:pt>
                      <c:pt idx="166">
                        <c:v>92.945842263747238</c:v>
                      </c:pt>
                      <c:pt idx="167">
                        <c:v>92.932462649279884</c:v>
                      </c:pt>
                      <c:pt idx="168">
                        <c:v>92.919106093784023</c:v>
                      </c:pt>
                      <c:pt idx="169">
                        <c:v>92.905772473173627</c:v>
                      </c:pt>
                      <c:pt idx="170">
                        <c:v>92.892461663932096</c:v>
                      </c:pt>
                      <c:pt idx="171">
                        <c:v>92.879173543118284</c:v>
                      </c:pt>
                      <c:pt idx="172">
                        <c:v>92.86590798837247</c:v>
                      </c:pt>
                      <c:pt idx="173">
                        <c:v>92.852664877921754</c:v>
                      </c:pt>
                      <c:pt idx="174">
                        <c:v>92.839444090585204</c:v>
                      </c:pt>
                      <c:pt idx="175">
                        <c:v>92.826245505778488</c:v>
                      </c:pt>
                      <c:pt idx="176">
                        <c:v>92.813069003518436</c:v>
                      </c:pt>
                      <c:pt idx="177">
                        <c:v>92.799914464427019</c:v>
                      </c:pt>
                      <c:pt idx="178">
                        <c:v>92.786781769735157</c:v>
                      </c:pt>
                      <c:pt idx="179">
                        <c:v>92.773670801286173</c:v>
                      </c:pt>
                      <c:pt idx="180">
                        <c:v>92.76058144153896</c:v>
                      </c:pt>
                      <c:pt idx="181">
                        <c:v>92.747513573570956</c:v>
                      </c:pt>
                      <c:pt idx="182">
                        <c:v>92.73446708108068</c:v>
                      </c:pt>
                      <c:pt idx="183">
                        <c:v>92.721441848390143</c:v>
                      </c:pt>
                      <c:pt idx="184">
                        <c:v>92.708437760446998</c:v>
                      </c:pt>
                      <c:pt idx="185">
                        <c:v>92.695454702826368</c:v>
                      </c:pt>
                      <c:pt idx="186">
                        <c:v>92.682492561732573</c:v>
                      </c:pt>
                      <c:pt idx="187">
                        <c:v>92.669551224000486</c:v>
                      </c:pt>
                      <c:pt idx="188">
                        <c:v>92.656630577096749</c:v>
                      </c:pt>
                      <c:pt idx="189">
                        <c:v>92.6437305091209</c:v>
                      </c:pt>
                      <c:pt idx="190">
                        <c:v>92.630850908806082</c:v>
                      </c:pt>
                      <c:pt idx="191">
                        <c:v>92.617991665519611</c:v>
                      </c:pt>
                      <c:pt idx="192">
                        <c:v>92.605152669263575</c:v>
                      </c:pt>
                      <c:pt idx="193">
                        <c:v>92.592333810675029</c:v>
                      </c:pt>
                      <c:pt idx="194">
                        <c:v>92.579534981026043</c:v>
                      </c:pt>
                      <c:pt idx="195">
                        <c:v>92.56675607222374</c:v>
                      </c:pt>
                      <c:pt idx="196">
                        <c:v>92.553996976809941</c:v>
                      </c:pt>
                      <c:pt idx="197">
                        <c:v>92.541257587960942</c:v>
                      </c:pt>
                      <c:pt idx="198">
                        <c:v>92.528537799486955</c:v>
                      </c:pt>
                      <c:pt idx="199">
                        <c:v>92.515837505831371</c:v>
                      </c:pt>
                      <c:pt idx="200">
                        <c:v>92.503156602070149</c:v>
                      </c:pt>
                    </c:numCache>
                  </c:numRef>
                </c:val>
                <c:smooth val="0"/>
                <c:extLst>
                  <c:ext xmlns:c16="http://schemas.microsoft.com/office/drawing/2014/chart" uri="{C3380CC4-5D6E-409C-BE32-E72D297353CC}">
                    <c16:uniqueId val="{00000002-FE6A-49A6-BE9D-8B73A0F1094D}"/>
                  </c:ext>
                </c:extLst>
              </c15:ser>
            </c15:filteredLineSeries>
          </c:ext>
        </c:extLst>
      </c:lineChart>
      <c:lineChart>
        <c:grouping val="standard"/>
        <c:varyColors val="0"/>
        <c:ser>
          <c:idx val="2"/>
          <c:order val="1"/>
          <c:tx>
            <c:strRef>
              <c:f>'Efficiency vs VIN Calculations'!$AN$8</c:f>
              <c:strCache>
                <c:ptCount val="1"/>
                <c:pt idx="0">
                  <c:v>Deadtime Loss BuSync</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Calculations'!$AN$9:$AN$209</c:f>
              <c:numCache>
                <c:formatCode>0.000</c:formatCode>
                <c:ptCount val="201"/>
                <c:pt idx="0">
                  <c:v>0.57737142857142854</c:v>
                </c:pt>
                <c:pt idx="1">
                  <c:v>0.57737142857142854</c:v>
                </c:pt>
                <c:pt idx="2">
                  <c:v>0.57737142857142854</c:v>
                </c:pt>
                <c:pt idx="3">
                  <c:v>0.57737142857142854</c:v>
                </c:pt>
                <c:pt idx="4">
                  <c:v>0.57737142857142854</c:v>
                </c:pt>
                <c:pt idx="5">
                  <c:v>0.57737142857142854</c:v>
                </c:pt>
                <c:pt idx="6">
                  <c:v>0.57737142857142854</c:v>
                </c:pt>
                <c:pt idx="7">
                  <c:v>0.57737142857142854</c:v>
                </c:pt>
                <c:pt idx="8">
                  <c:v>0.57737142857142854</c:v>
                </c:pt>
                <c:pt idx="9">
                  <c:v>0.57737142857142854</c:v>
                </c:pt>
                <c:pt idx="10">
                  <c:v>0.57737142857142854</c:v>
                </c:pt>
                <c:pt idx="11">
                  <c:v>0.57737142857142854</c:v>
                </c:pt>
                <c:pt idx="12">
                  <c:v>0.57737142857142854</c:v>
                </c:pt>
                <c:pt idx="13">
                  <c:v>0.57737142857142854</c:v>
                </c:pt>
                <c:pt idx="14">
                  <c:v>0.57737142857142854</c:v>
                </c:pt>
                <c:pt idx="15">
                  <c:v>0.57737142857142854</c:v>
                </c:pt>
                <c:pt idx="16">
                  <c:v>0.57737142857142854</c:v>
                </c:pt>
                <c:pt idx="17">
                  <c:v>0.57737142857142854</c:v>
                </c:pt>
                <c:pt idx="18">
                  <c:v>0.57737142857142854</c:v>
                </c:pt>
                <c:pt idx="19">
                  <c:v>0.57737142857142854</c:v>
                </c:pt>
                <c:pt idx="20">
                  <c:v>0.57737142857142854</c:v>
                </c:pt>
                <c:pt idx="21">
                  <c:v>0.57737142857142854</c:v>
                </c:pt>
                <c:pt idx="22">
                  <c:v>0.57737142857142854</c:v>
                </c:pt>
                <c:pt idx="23">
                  <c:v>0.57737142857142854</c:v>
                </c:pt>
                <c:pt idx="24">
                  <c:v>0.57737142857142854</c:v>
                </c:pt>
                <c:pt idx="25">
                  <c:v>0.57737142857142854</c:v>
                </c:pt>
                <c:pt idx="26">
                  <c:v>0.57737142857142854</c:v>
                </c:pt>
                <c:pt idx="27">
                  <c:v>0.57737142857142854</c:v>
                </c:pt>
                <c:pt idx="28">
                  <c:v>0.57737142857142854</c:v>
                </c:pt>
                <c:pt idx="29">
                  <c:v>0.57737142857142854</c:v>
                </c:pt>
                <c:pt idx="30">
                  <c:v>0.57737142857142854</c:v>
                </c:pt>
                <c:pt idx="31">
                  <c:v>0.57737142857142854</c:v>
                </c:pt>
                <c:pt idx="32">
                  <c:v>0.57737142857142854</c:v>
                </c:pt>
                <c:pt idx="33">
                  <c:v>0.57737142857142854</c:v>
                </c:pt>
                <c:pt idx="34">
                  <c:v>0.57737142857142854</c:v>
                </c:pt>
                <c:pt idx="35">
                  <c:v>0.57737142857142854</c:v>
                </c:pt>
                <c:pt idx="36">
                  <c:v>0.57737142857142854</c:v>
                </c:pt>
                <c:pt idx="37">
                  <c:v>0.57737142857142854</c:v>
                </c:pt>
                <c:pt idx="38">
                  <c:v>0.57737142857142854</c:v>
                </c:pt>
                <c:pt idx="39">
                  <c:v>0.57737142857142854</c:v>
                </c:pt>
                <c:pt idx="40">
                  <c:v>0.57737142857142854</c:v>
                </c:pt>
                <c:pt idx="41">
                  <c:v>0.57737142857142854</c:v>
                </c:pt>
                <c:pt idx="42">
                  <c:v>0.57737142857142854</c:v>
                </c:pt>
                <c:pt idx="43">
                  <c:v>0.57737142857142854</c:v>
                </c:pt>
                <c:pt idx="44">
                  <c:v>0.57737142857142854</c:v>
                </c:pt>
                <c:pt idx="45">
                  <c:v>0.57737142857142854</c:v>
                </c:pt>
                <c:pt idx="46">
                  <c:v>0.57737142857142854</c:v>
                </c:pt>
                <c:pt idx="47">
                  <c:v>0.57737142857142854</c:v>
                </c:pt>
                <c:pt idx="48">
                  <c:v>0.57737142857142854</c:v>
                </c:pt>
                <c:pt idx="49">
                  <c:v>0.57737142857142854</c:v>
                </c:pt>
                <c:pt idx="50">
                  <c:v>0.57737142857142854</c:v>
                </c:pt>
                <c:pt idx="51">
                  <c:v>0.57737142857142854</c:v>
                </c:pt>
                <c:pt idx="52">
                  <c:v>0.57737142857142854</c:v>
                </c:pt>
                <c:pt idx="53">
                  <c:v>0.57737142857142854</c:v>
                </c:pt>
                <c:pt idx="54">
                  <c:v>0.57737142857142854</c:v>
                </c:pt>
                <c:pt idx="55">
                  <c:v>0.57737142857142854</c:v>
                </c:pt>
                <c:pt idx="56">
                  <c:v>0.57737142857142854</c:v>
                </c:pt>
                <c:pt idx="57">
                  <c:v>0.57737142857142854</c:v>
                </c:pt>
                <c:pt idx="58">
                  <c:v>0.57737142857142854</c:v>
                </c:pt>
                <c:pt idx="59">
                  <c:v>0.57737142857142854</c:v>
                </c:pt>
                <c:pt idx="60">
                  <c:v>0.57737142857142854</c:v>
                </c:pt>
                <c:pt idx="61">
                  <c:v>0.57737142857142854</c:v>
                </c:pt>
                <c:pt idx="62">
                  <c:v>0.57737142857142854</c:v>
                </c:pt>
                <c:pt idx="63">
                  <c:v>0.57737142857142854</c:v>
                </c:pt>
                <c:pt idx="64">
                  <c:v>0.57737142857142854</c:v>
                </c:pt>
                <c:pt idx="65">
                  <c:v>0.57737142857142854</c:v>
                </c:pt>
                <c:pt idx="66">
                  <c:v>0.57737142857142854</c:v>
                </c:pt>
                <c:pt idx="67">
                  <c:v>0.57737142857142854</c:v>
                </c:pt>
                <c:pt idx="68">
                  <c:v>0.57737142857142854</c:v>
                </c:pt>
                <c:pt idx="69">
                  <c:v>0.57737142857142854</c:v>
                </c:pt>
                <c:pt idx="70">
                  <c:v>0.57737142857142854</c:v>
                </c:pt>
                <c:pt idx="71">
                  <c:v>0.57737142857142854</c:v>
                </c:pt>
                <c:pt idx="72">
                  <c:v>0.57737142857142854</c:v>
                </c:pt>
                <c:pt idx="73">
                  <c:v>0.57737142857142854</c:v>
                </c:pt>
                <c:pt idx="74">
                  <c:v>0.57737142857142854</c:v>
                </c:pt>
                <c:pt idx="75">
                  <c:v>0.57737142857142854</c:v>
                </c:pt>
                <c:pt idx="76">
                  <c:v>0.57737142857142854</c:v>
                </c:pt>
                <c:pt idx="77">
                  <c:v>0.57737142857142854</c:v>
                </c:pt>
                <c:pt idx="78">
                  <c:v>0.57737142857142854</c:v>
                </c:pt>
                <c:pt idx="79">
                  <c:v>0.57737142857142854</c:v>
                </c:pt>
                <c:pt idx="80">
                  <c:v>0.57737142857142854</c:v>
                </c:pt>
                <c:pt idx="81">
                  <c:v>0.57737142857142854</c:v>
                </c:pt>
                <c:pt idx="82">
                  <c:v>0.57737142857142854</c:v>
                </c:pt>
                <c:pt idx="83">
                  <c:v>0.57737142857142854</c:v>
                </c:pt>
                <c:pt idx="84">
                  <c:v>0.57737142857142854</c:v>
                </c:pt>
                <c:pt idx="85">
                  <c:v>0.57737142857142854</c:v>
                </c:pt>
                <c:pt idx="86">
                  <c:v>0.57737142857142854</c:v>
                </c:pt>
                <c:pt idx="87">
                  <c:v>0.57737142857142854</c:v>
                </c:pt>
                <c:pt idx="88">
                  <c:v>0.57737142857142854</c:v>
                </c:pt>
                <c:pt idx="89">
                  <c:v>0.57737142857142854</c:v>
                </c:pt>
                <c:pt idx="90">
                  <c:v>0.57737142857142854</c:v>
                </c:pt>
                <c:pt idx="91">
                  <c:v>0.57737142857142854</c:v>
                </c:pt>
                <c:pt idx="92">
                  <c:v>0.57737142857142854</c:v>
                </c:pt>
                <c:pt idx="93">
                  <c:v>0.57737142857142854</c:v>
                </c:pt>
                <c:pt idx="94">
                  <c:v>0.57737142857142854</c:v>
                </c:pt>
                <c:pt idx="95">
                  <c:v>0.57737142857142854</c:v>
                </c:pt>
                <c:pt idx="96">
                  <c:v>0.57737142857142854</c:v>
                </c:pt>
                <c:pt idx="97">
                  <c:v>0.57737142857142854</c:v>
                </c:pt>
                <c:pt idx="98">
                  <c:v>0.57737142857142854</c:v>
                </c:pt>
                <c:pt idx="99">
                  <c:v>0.57737142857142854</c:v>
                </c:pt>
                <c:pt idx="100">
                  <c:v>0.57737142857142854</c:v>
                </c:pt>
                <c:pt idx="101">
                  <c:v>0.57737142857142854</c:v>
                </c:pt>
                <c:pt idx="102">
                  <c:v>0.57737142857142854</c:v>
                </c:pt>
                <c:pt idx="103">
                  <c:v>0.57737142857142854</c:v>
                </c:pt>
                <c:pt idx="104">
                  <c:v>0.57737142857142854</c:v>
                </c:pt>
                <c:pt idx="105">
                  <c:v>0.57737142857142854</c:v>
                </c:pt>
                <c:pt idx="106">
                  <c:v>0.57737142857142854</c:v>
                </c:pt>
                <c:pt idx="107">
                  <c:v>0.57737142857142854</c:v>
                </c:pt>
                <c:pt idx="108">
                  <c:v>0.57737142857142854</c:v>
                </c:pt>
                <c:pt idx="109">
                  <c:v>0.57737142857142854</c:v>
                </c:pt>
                <c:pt idx="110">
                  <c:v>0.57737142857142854</c:v>
                </c:pt>
                <c:pt idx="111">
                  <c:v>0.57737142857142854</c:v>
                </c:pt>
                <c:pt idx="112">
                  <c:v>0.57737142857142854</c:v>
                </c:pt>
                <c:pt idx="113">
                  <c:v>0.57737142857142854</c:v>
                </c:pt>
                <c:pt idx="114">
                  <c:v>0.57737142857142854</c:v>
                </c:pt>
                <c:pt idx="115">
                  <c:v>0.57737142857142854</c:v>
                </c:pt>
                <c:pt idx="116">
                  <c:v>0.57737142857142854</c:v>
                </c:pt>
                <c:pt idx="117">
                  <c:v>0.57737142857142854</c:v>
                </c:pt>
                <c:pt idx="118">
                  <c:v>0.57737142857142854</c:v>
                </c:pt>
                <c:pt idx="119">
                  <c:v>0.57737142857142854</c:v>
                </c:pt>
                <c:pt idx="120">
                  <c:v>0.57737142857142854</c:v>
                </c:pt>
                <c:pt idx="121">
                  <c:v>0.57737142857142854</c:v>
                </c:pt>
                <c:pt idx="122">
                  <c:v>0.57737142857142854</c:v>
                </c:pt>
                <c:pt idx="123">
                  <c:v>0.57737142857142854</c:v>
                </c:pt>
                <c:pt idx="124">
                  <c:v>0.57737142857142854</c:v>
                </c:pt>
                <c:pt idx="125">
                  <c:v>0.57737142857142854</c:v>
                </c:pt>
                <c:pt idx="126">
                  <c:v>0.57737142857142854</c:v>
                </c:pt>
                <c:pt idx="127">
                  <c:v>0.57737142857142854</c:v>
                </c:pt>
                <c:pt idx="128">
                  <c:v>0.57737142857142854</c:v>
                </c:pt>
                <c:pt idx="129">
                  <c:v>0.57737142857142854</c:v>
                </c:pt>
                <c:pt idx="130">
                  <c:v>0.57737142857142854</c:v>
                </c:pt>
                <c:pt idx="131">
                  <c:v>0.57737142857142854</c:v>
                </c:pt>
                <c:pt idx="132">
                  <c:v>0.57737142857142854</c:v>
                </c:pt>
                <c:pt idx="133">
                  <c:v>0.57737142857142854</c:v>
                </c:pt>
                <c:pt idx="134">
                  <c:v>0.57737142857142854</c:v>
                </c:pt>
                <c:pt idx="135">
                  <c:v>0.57737142857142854</c:v>
                </c:pt>
                <c:pt idx="136">
                  <c:v>0.57737142857142854</c:v>
                </c:pt>
                <c:pt idx="137">
                  <c:v>0.57737142857142854</c:v>
                </c:pt>
                <c:pt idx="138">
                  <c:v>0.57737142857142854</c:v>
                </c:pt>
                <c:pt idx="139">
                  <c:v>0.57737142857142854</c:v>
                </c:pt>
                <c:pt idx="140">
                  <c:v>0.57737142857142854</c:v>
                </c:pt>
                <c:pt idx="141">
                  <c:v>0.57737142857142854</c:v>
                </c:pt>
                <c:pt idx="142">
                  <c:v>0.57737142857142854</c:v>
                </c:pt>
                <c:pt idx="143">
                  <c:v>0.57737142857142854</c:v>
                </c:pt>
                <c:pt idx="144">
                  <c:v>0.57737142857142854</c:v>
                </c:pt>
                <c:pt idx="145">
                  <c:v>0.57737142857142854</c:v>
                </c:pt>
                <c:pt idx="146">
                  <c:v>0.57737142857142854</c:v>
                </c:pt>
                <c:pt idx="147">
                  <c:v>0.57737142857142854</c:v>
                </c:pt>
                <c:pt idx="148">
                  <c:v>0.57737142857142854</c:v>
                </c:pt>
                <c:pt idx="149">
                  <c:v>0.57737142857142854</c:v>
                </c:pt>
                <c:pt idx="150">
                  <c:v>0.57737142857142854</c:v>
                </c:pt>
                <c:pt idx="151">
                  <c:v>0.57737142857142854</c:v>
                </c:pt>
                <c:pt idx="152">
                  <c:v>0.57737142857142854</c:v>
                </c:pt>
                <c:pt idx="153">
                  <c:v>0.57737142857142854</c:v>
                </c:pt>
                <c:pt idx="154">
                  <c:v>0.57737142857142854</c:v>
                </c:pt>
                <c:pt idx="155">
                  <c:v>0.57737142857142854</c:v>
                </c:pt>
                <c:pt idx="156">
                  <c:v>0.57737142857142854</c:v>
                </c:pt>
                <c:pt idx="157">
                  <c:v>0.57737142857142854</c:v>
                </c:pt>
                <c:pt idx="158">
                  <c:v>0.57737142857142854</c:v>
                </c:pt>
                <c:pt idx="159">
                  <c:v>0.57737142857142854</c:v>
                </c:pt>
                <c:pt idx="160">
                  <c:v>0.57737142857142854</c:v>
                </c:pt>
                <c:pt idx="161">
                  <c:v>0.57737142857142854</c:v>
                </c:pt>
                <c:pt idx="162">
                  <c:v>0.57737142857142854</c:v>
                </c:pt>
                <c:pt idx="163">
                  <c:v>0.57737142857142854</c:v>
                </c:pt>
                <c:pt idx="164">
                  <c:v>0.57737142857142854</c:v>
                </c:pt>
                <c:pt idx="165">
                  <c:v>0.57737142857142854</c:v>
                </c:pt>
                <c:pt idx="166">
                  <c:v>0.57737142857142854</c:v>
                </c:pt>
                <c:pt idx="167">
                  <c:v>0.57737142857142854</c:v>
                </c:pt>
                <c:pt idx="168">
                  <c:v>0.57737142857142854</c:v>
                </c:pt>
                <c:pt idx="169">
                  <c:v>0.57737142857142854</c:v>
                </c:pt>
                <c:pt idx="170">
                  <c:v>0.57737142857142854</c:v>
                </c:pt>
                <c:pt idx="171">
                  <c:v>0.57737142857142854</c:v>
                </c:pt>
                <c:pt idx="172">
                  <c:v>0.57737142857142854</c:v>
                </c:pt>
                <c:pt idx="173">
                  <c:v>0.57737142857142854</c:v>
                </c:pt>
                <c:pt idx="174">
                  <c:v>0.57737142857142854</c:v>
                </c:pt>
                <c:pt idx="175">
                  <c:v>0.57737142857142854</c:v>
                </c:pt>
                <c:pt idx="176">
                  <c:v>0.57737142857142854</c:v>
                </c:pt>
                <c:pt idx="177">
                  <c:v>0.57737142857142854</c:v>
                </c:pt>
                <c:pt idx="178">
                  <c:v>0.57737142857142854</c:v>
                </c:pt>
                <c:pt idx="179">
                  <c:v>0.57737142857142854</c:v>
                </c:pt>
                <c:pt idx="180">
                  <c:v>0.57737142857142854</c:v>
                </c:pt>
                <c:pt idx="181">
                  <c:v>0.57737142857142854</c:v>
                </c:pt>
                <c:pt idx="182">
                  <c:v>0.57737142857142854</c:v>
                </c:pt>
                <c:pt idx="183">
                  <c:v>0.57737142857142854</c:v>
                </c:pt>
                <c:pt idx="184">
                  <c:v>0.57737142857142854</c:v>
                </c:pt>
                <c:pt idx="185">
                  <c:v>0.57737142857142854</c:v>
                </c:pt>
                <c:pt idx="186">
                  <c:v>0.57737142857142854</c:v>
                </c:pt>
                <c:pt idx="187">
                  <c:v>0.57737142857142854</c:v>
                </c:pt>
                <c:pt idx="188">
                  <c:v>0.57737142857142854</c:v>
                </c:pt>
                <c:pt idx="189">
                  <c:v>0.57737142857142854</c:v>
                </c:pt>
                <c:pt idx="190">
                  <c:v>0.57737142857142854</c:v>
                </c:pt>
                <c:pt idx="191">
                  <c:v>0.57737142857142854</c:v>
                </c:pt>
                <c:pt idx="192">
                  <c:v>0.57737142857142854</c:v>
                </c:pt>
                <c:pt idx="193">
                  <c:v>0.57737142857142854</c:v>
                </c:pt>
                <c:pt idx="194">
                  <c:v>0.57737142857142854</c:v>
                </c:pt>
                <c:pt idx="195">
                  <c:v>0.57737142857142854</c:v>
                </c:pt>
                <c:pt idx="196">
                  <c:v>0.57737142857142854</c:v>
                </c:pt>
                <c:pt idx="197">
                  <c:v>0.57737142857142854</c:v>
                </c:pt>
                <c:pt idx="198">
                  <c:v>0.57737142857142854</c:v>
                </c:pt>
                <c:pt idx="199">
                  <c:v>0.57737142857142854</c:v>
                </c:pt>
                <c:pt idx="200">
                  <c:v>0.57737142857142854</c:v>
                </c:pt>
              </c:numCache>
            </c:numRef>
          </c:val>
          <c:smooth val="0"/>
          <c:extLst>
            <c:ext xmlns:c16="http://schemas.microsoft.com/office/drawing/2014/chart" uri="{C3380CC4-5D6E-409C-BE32-E72D297353CC}">
              <c16:uniqueId val="{00000000-FE6A-49A6-BE9D-8B73A0F1094D}"/>
            </c:ext>
          </c:extLst>
        </c:ser>
        <c:ser>
          <c:idx val="9"/>
          <c:order val="2"/>
          <c:tx>
            <c:strRef>
              <c:f>'Efficiency vs VIN Calculations'!$AM$8</c:f>
              <c:strCache>
                <c:ptCount val="1"/>
                <c:pt idx="0">
                  <c:v>RDS(on) Loss BuSync</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Calculations'!$AM$9:$AM$209</c:f>
              <c:numCache>
                <c:formatCode>0.000</c:formatCode>
                <c:ptCount val="201"/>
                <c:pt idx="0">
                  <c:v>0.16000951855687762</c:v>
                </c:pt>
                <c:pt idx="1">
                  <c:v>0.16313462280077801</c:v>
                </c:pt>
                <c:pt idx="2">
                  <c:v>0.16621790009506623</c:v>
                </c:pt>
                <c:pt idx="3">
                  <c:v>0.16926020632300137</c:v>
                </c:pt>
                <c:pt idx="4">
                  <c:v>0.17226237357192425</c:v>
                </c:pt>
                <c:pt idx="5">
                  <c:v>0.17522521097424645</c:v>
                </c:pt>
                <c:pt idx="6">
                  <c:v>0.17814950551229408</c:v>
                </c:pt>
                <c:pt idx="7">
                  <c:v>0.18103602278883715</c:v>
                </c:pt>
                <c:pt idx="8">
                  <c:v>0.18388550776502591</c:v>
                </c:pt>
                <c:pt idx="9">
                  <c:v>0.18669868546735649</c:v>
                </c:pt>
                <c:pt idx="10">
                  <c:v>0.18947626166519893</c:v>
                </c:pt>
                <c:pt idx="11">
                  <c:v>0.1922189235203301</c:v>
                </c:pt>
                <c:pt idx="12">
                  <c:v>0.19492734020983135</c:v>
                </c:pt>
                <c:pt idx="13">
                  <c:v>0.19760216352364168</c:v>
                </c:pt>
                <c:pt idx="14">
                  <c:v>0.20024402843797698</c:v>
                </c:pt>
                <c:pt idx="15">
                  <c:v>0.20285355366576521</c:v>
                </c:pt>
                <c:pt idx="16">
                  <c:v>0.20543134218518139</c:v>
                </c:pt>
                <c:pt idx="17">
                  <c:v>0.20797798174731102</c:v>
                </c:pt>
                <c:pt idx="18">
                  <c:v>0.21049404536390834</c:v>
                </c:pt>
                <c:pt idx="19">
                  <c:v>0.21298009177617316</c:v>
                </c:pt>
                <c:pt idx="20">
                  <c:v>0.21543666590541372</c:v>
                </c:pt>
                <c:pt idx="21">
                  <c:v>0.2178642992864197</c:v>
                </c:pt>
                <c:pt idx="22">
                  <c:v>0.22026351048432802</c:v>
                </c:pt>
                <c:pt idx="23">
                  <c:v>0.22263480549572204</c:v>
                </c:pt>
                <c:pt idx="24">
                  <c:v>0.22497867813466307</c:v>
                </c:pt>
                <c:pt idx="25">
                  <c:v>0.2272956104043268</c:v>
                </c:pt>
                <c:pt idx="26">
                  <c:v>0.22958607285487093</c:v>
                </c:pt>
                <c:pt idx="27">
                  <c:v>0.2318505249281374</c:v>
                </c:pt>
                <c:pt idx="28">
                  <c:v>0.23408941528976157</c:v>
                </c:pt>
                <c:pt idx="29">
                  <c:v>0.23630318214922474</c:v>
                </c:pt>
                <c:pt idx="30">
                  <c:v>0.23849225356837137</c:v>
                </c:pt>
                <c:pt idx="31">
                  <c:v>0.24065704775887564</c:v>
                </c:pt>
                <c:pt idx="32">
                  <c:v>0.24279797336912762</c:v>
                </c:pt>
                <c:pt idx="33">
                  <c:v>0.2449154297609783</c:v>
                </c:pt>
                <c:pt idx="34">
                  <c:v>0.24700980727676836</c:v>
                </c:pt>
                <c:pt idx="35">
                  <c:v>0.2490814874970412</c:v>
                </c:pt>
                <c:pt idx="36">
                  <c:v>0.2511308434893228</c:v>
                </c:pt>
                <c:pt idx="37">
                  <c:v>0.25315824004833276</c:v>
                </c:pt>
                <c:pt idx="38">
                  <c:v>0.25516403392797493</c:v>
                </c:pt>
                <c:pt idx="39">
                  <c:v>0.2571485740654379</c:v>
                </c:pt>
                <c:pt idx="40">
                  <c:v>0.25911220179772121</c:v>
                </c:pt>
                <c:pt idx="41">
                  <c:v>0.26105525107088895</c:v>
                </c:pt>
                <c:pt idx="42">
                  <c:v>0.26297804864233892</c:v>
                </c:pt>
                <c:pt idx="43">
                  <c:v>0.26488091427635968</c:v>
                </c:pt>
                <c:pt idx="44">
                  <c:v>0.26676416093323979</c:v>
                </c:pt>
                <c:pt idx="45">
                  <c:v>0.26862809495217793</c:v>
                </c:pt>
                <c:pt idx="46">
                  <c:v>0.27047301622823494</c:v>
                </c:pt>
                <c:pt idx="47">
                  <c:v>0.27229921838355281</c:v>
                </c:pt>
                <c:pt idx="48">
                  <c:v>0.2741069889330629</c:v>
                </c:pt>
                <c:pt idx="49">
                  <c:v>0.27589660944488992</c:v>
                </c:pt>
                <c:pt idx="50">
                  <c:v>0.27766835569565135</c:v>
                </c:pt>
                <c:pt idx="51">
                  <c:v>0.27942249782084416</c:v>
                </c:pt>
                <c:pt idx="52">
                  <c:v>0.28115930046050253</c:v>
                </c:pt>
                <c:pt idx="53">
                  <c:v>0.28287902290029865</c:v>
                </c:pt>
                <c:pt idx="54">
                  <c:v>0.28458191920825654</c:v>
                </c:pt>
                <c:pt idx="55">
                  <c:v>0.28626823836724019</c:v>
                </c:pt>
                <c:pt idx="56">
                  <c:v>0.28793822440336597</c:v>
                </c:pt>
                <c:pt idx="57">
                  <c:v>0.28959211651049149</c:v>
                </c:pt>
                <c:pt idx="58">
                  <c:v>0.29123014917091639</c:v>
                </c:pt>
                <c:pt idx="59">
                  <c:v>0.29285255227243751</c:v>
                </c:pt>
                <c:pt idx="60">
                  <c:v>0.29445955122187928</c:v>
                </c:pt>
                <c:pt idx="61">
                  <c:v>0.29605136705523472</c:v>
                </c:pt>
                <c:pt idx="62">
                  <c:v>0.29762821654452387</c:v>
                </c:pt>
                <c:pt idx="63">
                  <c:v>0.29919031230149601</c:v>
                </c:pt>
                <c:pt idx="64">
                  <c:v>0.3007378628782777</c:v>
                </c:pt>
                <c:pt idx="65">
                  <c:v>0.30227107286507565</c:v>
                </c:pt>
                <c:pt idx="66">
                  <c:v>0.30379014298503404</c:v>
                </c:pt>
                <c:pt idx="67">
                  <c:v>0.30529527018634656</c:v>
                </c:pt>
                <c:pt idx="68">
                  <c:v>0.30678664773171227</c:v>
                </c:pt>
                <c:pt idx="69">
                  <c:v>0.30826446528522922</c:v>
                </c:pt>
                <c:pt idx="70">
                  <c:v>0.30972890899681027</c:v>
                </c:pt>
                <c:pt idx="71">
                  <c:v>0.31118016158420347</c:v>
                </c:pt>
                <c:pt idx="72">
                  <c:v>0.31261840241269856</c:v>
                </c:pt>
                <c:pt idx="73">
                  <c:v>0.31404380757259509</c:v>
                </c:pt>
                <c:pt idx="74">
                  <c:v>0.31545654995450717</c:v>
                </c:pt>
                <c:pt idx="75">
                  <c:v>0.31685679932257305</c:v>
                </c:pt>
                <c:pt idx="76">
                  <c:v>0.31824472238564261</c:v>
                </c:pt>
                <c:pt idx="77">
                  <c:v>0.31962048286650313</c:v>
                </c:pt>
                <c:pt idx="78">
                  <c:v>0.32098424156921246</c:v>
                </c:pt>
                <c:pt idx="79">
                  <c:v>0.3223361564445934</c:v>
                </c:pt>
                <c:pt idx="80">
                  <c:v>0.32367638265395654</c:v>
                </c:pt>
                <c:pt idx="81">
                  <c:v>0.32500507263109985</c:v>
                </c:pt>
                <c:pt idx="82">
                  <c:v>0.3263223761426457</c:v>
                </c:pt>
                <c:pt idx="83">
                  <c:v>0.32762844034676403</c:v>
                </c:pt>
                <c:pt idx="84">
                  <c:v>0.32892340985033486</c:v>
                </c:pt>
                <c:pt idx="85">
                  <c:v>0.33020742676459663</c:v>
                </c:pt>
                <c:pt idx="86">
                  <c:v>0.33148063075932843</c:v>
                </c:pt>
                <c:pt idx="87">
                  <c:v>0.33274315911561303</c:v>
                </c:pt>
                <c:pt idx="88">
                  <c:v>0.33399514677722036</c:v>
                </c:pt>
                <c:pt idx="89">
                  <c:v>0.33523672640065877</c:v>
                </c:pt>
                <c:pt idx="90">
                  <c:v>0.33646802840393014</c:v>
                </c:pt>
                <c:pt idx="91">
                  <c:v>0.33768918101403134</c:v>
                </c:pt>
                <c:pt idx="92">
                  <c:v>0.33890031031323808</c:v>
                </c:pt>
                <c:pt idx="93">
                  <c:v>0.34010154028420925</c:v>
                </c:pt>
                <c:pt idx="94">
                  <c:v>0.34129299285394471</c:v>
                </c:pt>
                <c:pt idx="95">
                  <c:v>0.34247478793663383</c:v>
                </c:pt>
                <c:pt idx="96">
                  <c:v>0.34364704347542474</c:v>
                </c:pt>
                <c:pt idx="97">
                  <c:v>0.3448098754831484</c:v>
                </c:pt>
                <c:pt idx="98">
                  <c:v>0.34596339808202642</c:v>
                </c:pt>
                <c:pt idx="99">
                  <c:v>0.34710772354239372</c:v>
                </c:pt>
                <c:pt idx="100">
                  <c:v>0.34824296232046392</c:v>
                </c:pt>
                <c:pt idx="101">
                  <c:v>0.34936922309516499</c:v>
                </c:pt>
                <c:pt idx="102">
                  <c:v>0.35048661280407389</c:v>
                </c:pt>
                <c:pt idx="103">
                  <c:v>0.35159523667847331</c:v>
                </c:pt>
                <c:pt idx="104">
                  <c:v>0.35269519827755719</c:v>
                </c:pt>
                <c:pt idx="105">
                  <c:v>0.35378659952180935</c:v>
                </c:pt>
                <c:pt idx="106">
                  <c:v>0.35486954072557825</c:v>
                </c:pt>
                <c:pt idx="107">
                  <c:v>0.35594412062887093</c:v>
                </c:pt>
                <c:pt idx="108">
                  <c:v>0.35701043642838803</c:v>
                </c:pt>
                <c:pt idx="109">
                  <c:v>0.35806858380781953</c:v>
                </c:pt>
                <c:pt idx="110">
                  <c:v>0.35911865696742534</c:v>
                </c:pt>
                <c:pt idx="111">
                  <c:v>0.36016074865291697</c:v>
                </c:pt>
                <c:pt idx="112">
                  <c:v>0.3611949501836621</c:v>
                </c:pt>
                <c:pt idx="113">
                  <c:v>0.36222135148022933</c:v>
                </c:pt>
                <c:pt idx="114">
                  <c:v>0.36324004109129038</c:v>
                </c:pt>
                <c:pt idx="115">
                  <c:v>0.36425110621990131</c:v>
                </c:pt>
                <c:pt idx="116">
                  <c:v>0.36525463274917397</c:v>
                </c:pt>
                <c:pt idx="117">
                  <c:v>0.36625070526735881</c:v>
                </c:pt>
                <c:pt idx="118">
                  <c:v>0.36723940709235237</c:v>
                </c:pt>
                <c:pt idx="119">
                  <c:v>0.36822082029564562</c:v>
                </c:pt>
                <c:pt idx="120">
                  <c:v>0.36919502572572765</c:v>
                </c:pt>
                <c:pt idx="121">
                  <c:v>0.37016210303096264</c:v>
                </c:pt>
                <c:pt idx="122">
                  <c:v>0.37112213068194599</c:v>
                </c:pt>
                <c:pt idx="123">
                  <c:v>0.37207518599336337</c:v>
                </c:pt>
                <c:pt idx="124">
                  <c:v>0.37302134514535773</c:v>
                </c:pt>
                <c:pt idx="125">
                  <c:v>0.37396068320442277</c:v>
                </c:pt>
                <c:pt idx="126">
                  <c:v>0.37489327414383011</c:v>
                </c:pt>
                <c:pt idx="127">
                  <c:v>0.37581919086360743</c:v>
                </c:pt>
                <c:pt idx="128">
                  <c:v>0.37673850521007551</c:v>
                </c:pt>
                <c:pt idx="129">
                  <c:v>0.37765128799495679</c:v>
                </c:pt>
                <c:pt idx="130">
                  <c:v>0.37855760901406699</c:v>
                </c:pt>
                <c:pt idx="131">
                  <c:v>0.37945753706559882</c:v>
                </c:pt>
                <c:pt idx="132">
                  <c:v>0.38035113996801151</c:v>
                </c:pt>
                <c:pt idx="133">
                  <c:v>0.3812384845775314</c:v>
                </c:pt>
                <c:pt idx="134">
                  <c:v>0.38211963680527689</c:v>
                </c:pt>
                <c:pt idx="135">
                  <c:v>0.38299466163401724</c:v>
                </c:pt>
                <c:pt idx="136">
                  <c:v>0.38386362313457284</c:v>
                </c:pt>
                <c:pt idx="137">
                  <c:v>0.3847265844818647</c:v>
                </c:pt>
                <c:pt idx="138">
                  <c:v>0.38558360797062824</c:v>
                </c:pt>
                <c:pt idx="139">
                  <c:v>0.38643475503078989</c:v>
                </c:pt>
                <c:pt idx="140">
                  <c:v>0.38728008624252375</c:v>
                </c:pt>
                <c:pt idx="141">
                  <c:v>0.38811966135099224</c:v>
                </c:pt>
                <c:pt idx="142">
                  <c:v>0.38895353928077636</c:v>
                </c:pt>
                <c:pt idx="143">
                  <c:v>0.38978177815000964</c:v>
                </c:pt>
                <c:pt idx="144">
                  <c:v>0.39060443528421523</c:v>
                </c:pt>
                <c:pt idx="145">
                  <c:v>0.39142156722985921</c:v>
                </c:pt>
                <c:pt idx="146">
                  <c:v>0.39223322976762487</c:v>
                </c:pt>
                <c:pt idx="147">
                  <c:v>0.39303947792541349</c:v>
                </c:pt>
                <c:pt idx="148">
                  <c:v>0.39384036599108091</c:v>
                </c:pt>
                <c:pt idx="149">
                  <c:v>0.39463594752491382</c:v>
                </c:pt>
                <c:pt idx="150">
                  <c:v>0.39542627537185193</c:v>
                </c:pt>
                <c:pt idx="151">
                  <c:v>0.39621140167346586</c:v>
                </c:pt>
                <c:pt idx="152">
                  <c:v>0.39699137787969008</c:v>
                </c:pt>
                <c:pt idx="153">
                  <c:v>0.39776625476032396</c:v>
                </c:pt>
                <c:pt idx="154">
                  <c:v>0.39853608241629845</c:v>
                </c:pt>
                <c:pt idx="155">
                  <c:v>0.39930091029072262</c:v>
                </c:pt>
                <c:pt idx="156">
                  <c:v>0.40006078717970645</c:v>
                </c:pt>
                <c:pt idx="157">
                  <c:v>0.40081576124297319</c:v>
                </c:pt>
                <c:pt idx="158">
                  <c:v>0.40156588001425858</c:v>
                </c:pt>
                <c:pt idx="159">
                  <c:v>0.40231119041150876</c:v>
                </c:pt>
                <c:pt idx="160">
                  <c:v>0.40305173874687678</c:v>
                </c:pt>
                <c:pt idx="161">
                  <c:v>0.40378757073652188</c:v>
                </c:pt>
                <c:pt idx="162">
                  <c:v>0.40451873151022399</c:v>
                </c:pt>
                <c:pt idx="163">
                  <c:v>0.40524526562080337</c:v>
                </c:pt>
                <c:pt idx="164">
                  <c:v>0.40596721705336591</c:v>
                </c:pt>
                <c:pt idx="165">
                  <c:v>0.40668462923436549</c:v>
                </c:pt>
                <c:pt idx="166">
                  <c:v>0.40739754504049314</c:v>
                </c:pt>
                <c:pt idx="167">
                  <c:v>0.40810600680739745</c:v>
                </c:pt>
                <c:pt idx="168">
                  <c:v>0.40881005633823742</c:v>
                </c:pt>
                <c:pt idx="169">
                  <c:v>0.40950973491207249</c:v>
                </c:pt>
                <c:pt idx="170">
                  <c:v>0.41020508329209465</c:v>
                </c:pt>
                <c:pt idx="171">
                  <c:v>0.41089614173370353</c:v>
                </c:pt>
                <c:pt idx="172">
                  <c:v>0.41158294999243117</c:v>
                </c:pt>
                <c:pt idx="173">
                  <c:v>0.41226554733171605</c:v>
                </c:pt>
                <c:pt idx="174">
                  <c:v>0.41294397253053344</c:v>
                </c:pt>
                <c:pt idx="175">
                  <c:v>0.4136182638908828</c:v>
                </c:pt>
                <c:pt idx="176">
                  <c:v>0.41428845924513558</c:v>
                </c:pt>
                <c:pt idx="177">
                  <c:v>0.41495459596324713</c:v>
                </c:pt>
                <c:pt idx="178">
                  <c:v>0.41561671095983627</c:v>
                </c:pt>
                <c:pt idx="179">
                  <c:v>0.41627484070113308</c:v>
                </c:pt>
                <c:pt idx="180">
                  <c:v>0.41692902121180064</c:v>
                </c:pt>
                <c:pt idx="181">
                  <c:v>0.41757928808162964</c:v>
                </c:pt>
                <c:pt idx="182">
                  <c:v>0.41822567647211467</c:v>
                </c:pt>
                <c:pt idx="183">
                  <c:v>0.41886822112290711</c:v>
                </c:pt>
                <c:pt idx="184">
                  <c:v>0.41950695635815394</c:v>
                </c:pt>
                <c:pt idx="185">
                  <c:v>0.42014191609271934</c:v>
                </c:pt>
                <c:pt idx="186">
                  <c:v>0.42077313383829756</c:v>
                </c:pt>
                <c:pt idx="187">
                  <c:v>0.42140064270941341</c:v>
                </c:pt>
                <c:pt idx="188">
                  <c:v>0.42202447542931559</c:v>
                </c:pt>
                <c:pt idx="189">
                  <c:v>0.42264466433576681</c:v>
                </c:pt>
                <c:pt idx="190">
                  <c:v>0.42326124138672822</c:v>
                </c:pt>
                <c:pt idx="191">
                  <c:v>0.42387423816594555</c:v>
                </c:pt>
                <c:pt idx="192">
                  <c:v>0.42448368588843494</c:v>
                </c:pt>
                <c:pt idx="193">
                  <c:v>0.42508961540587187</c:v>
                </c:pt>
                <c:pt idx="194">
                  <c:v>0.42569205721188702</c:v>
                </c:pt>
                <c:pt idx="195">
                  <c:v>0.42629104144726815</c:v>
                </c:pt>
                <c:pt idx="196">
                  <c:v>0.42688659790507066</c:v>
                </c:pt>
                <c:pt idx="197">
                  <c:v>0.42747875603564017</c:v>
                </c:pt>
                <c:pt idx="198">
                  <c:v>0.42806754495154853</c:v>
                </c:pt>
                <c:pt idx="199">
                  <c:v>0.42865299343244156</c:v>
                </c:pt>
                <c:pt idx="200">
                  <c:v>0.42923512992980656</c:v>
                </c:pt>
              </c:numCache>
            </c:numRef>
          </c:val>
          <c:smooth val="0"/>
          <c:extLst>
            <c:ext xmlns:c16="http://schemas.microsoft.com/office/drawing/2014/chart" uri="{C3380CC4-5D6E-409C-BE32-E72D297353CC}">
              <c16:uniqueId val="{00000001-FE6A-49A6-BE9D-8B73A0F1094D}"/>
            </c:ext>
          </c:extLst>
        </c:ser>
        <c:dLbls>
          <c:showLegendKey val="0"/>
          <c:showVal val="0"/>
          <c:showCatName val="0"/>
          <c:showSerName val="0"/>
          <c:showPercent val="0"/>
          <c:showBubbleSize val="0"/>
        </c:dLbls>
        <c:marker val="1"/>
        <c:smooth val="0"/>
        <c:axId val="196432256"/>
        <c:axId val="196421888"/>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70196219610883936"/>
          <c:y val="3.9002915763071203E-2"/>
          <c:w val="0.19856895379285092"/>
          <c:h val="0.10885276124218299"/>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Low-side BOOST "Control" MOSFET Losses </a:t>
            </a:r>
          </a:p>
        </c:rich>
      </c:tx>
      <c:overlay val="0"/>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417792"/>
        <c:axId val="196419968"/>
        <c:extLst>
          <c:ext xmlns:c15="http://schemas.microsoft.com/office/drawing/2012/chart" uri="{02D57815-91ED-43cb-92C2-25804820EDAC}">
            <c15:filteredLineSeries>
              <c15:ser>
                <c:idx val="0"/>
                <c:order val="0"/>
                <c:tx>
                  <c:v>Efficiency</c:v>
                </c:tx>
                <c:spPr>
                  <a:ln w="31750">
                    <a:solidFill>
                      <a:srgbClr val="FF0000"/>
                    </a:solidFill>
                    <a:prstDash val="solid"/>
                  </a:ln>
                </c:spPr>
                <c:marker>
                  <c:symbol val="none"/>
                </c:marker>
                <c:cat>
                  <c:numRef>
                    <c:extLst>
                      <c:ex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c:ext uri="{02D57815-91ED-43cb-92C2-25804820EDAC}">
                        <c15:formulaRef>
                          <c15:sqref>'Efficiency vs VIN Calculations'!$BO$9:$BO$209</c15:sqref>
                        </c15:formulaRef>
                      </c:ext>
                    </c:extLst>
                    <c:numCache>
                      <c:formatCode>0.00</c:formatCode>
                      <c:ptCount val="201"/>
                      <c:pt idx="0">
                        <c:v>95.549377136149715</c:v>
                      </c:pt>
                      <c:pt idx="1">
                        <c:v>95.532263889966728</c:v>
                      </c:pt>
                      <c:pt idx="2">
                        <c:v>95.515110946792703</c:v>
                      </c:pt>
                      <c:pt idx="3">
                        <c:v>95.497921563735773</c:v>
                      </c:pt>
                      <c:pt idx="4">
                        <c:v>95.480698874935015</c:v>
                      </c:pt>
                      <c:pt idx="5">
                        <c:v>95.46344589523342</c:v>
                      </c:pt>
                      <c:pt idx="6">
                        <c:v>95.446165523831439</c:v>
                      </c:pt>
                      <c:pt idx="7">
                        <c:v>95.428860547907206</c:v>
                      </c:pt>
                      <c:pt idx="8">
                        <c:v>95.411533646191657</c:v>
                      </c:pt>
                      <c:pt idx="9">
                        <c:v>95.394187392488902</c:v>
                      </c:pt>
                      <c:pt idx="10">
                        <c:v>95.37682425913394</c:v>
                      </c:pt>
                      <c:pt idx="11">
                        <c:v>95.359446620381874</c:v>
                      </c:pt>
                      <c:pt idx="12">
                        <c:v>95.342056755723192</c:v>
                      </c:pt>
                      <c:pt idx="13">
                        <c:v>95.324656853121752</c:v>
                      </c:pt>
                      <c:pt idx="14">
                        <c:v>95.307249012172193</c:v>
                      </c:pt>
                      <c:pt idx="15">
                        <c:v>95.289835247175219</c:v>
                      </c:pt>
                      <c:pt idx="16">
                        <c:v>95.272417490129016</c:v>
                      </c:pt>
                      <c:pt idx="17">
                        <c:v>95.254997593636375</c:v>
                      </c:pt>
                      <c:pt idx="18">
                        <c:v>95.237577333727103</c:v>
                      </c:pt>
                      <c:pt idx="19">
                        <c:v>95.220158412596007</c:v>
                      </c:pt>
                      <c:pt idx="20">
                        <c:v>95.202742461257046</c:v>
                      </c:pt>
                      <c:pt idx="21">
                        <c:v>95.185331042114257</c:v>
                      </c:pt>
                      <c:pt idx="22">
                        <c:v>95.167925651451057</c:v>
                      </c:pt>
                      <c:pt idx="23">
                        <c:v>95.150527721838614</c:v>
                      </c:pt>
                      <c:pt idx="24">
                        <c:v>95.133138624465204</c:v>
                      </c:pt>
                      <c:pt idx="25">
                        <c:v>95.11575967138802</c:v>
                      </c:pt>
                      <c:pt idx="26">
                        <c:v>95.09839211770911</c:v>
                      </c:pt>
                      <c:pt idx="27">
                        <c:v>95.081037163677209</c:v>
                      </c:pt>
                      <c:pt idx="28">
                        <c:v>95.063695956717481</c:v>
                      </c:pt>
                      <c:pt idx="29">
                        <c:v>95.046369593390949</c:v>
                      </c:pt>
                      <c:pt idx="30">
                        <c:v>95.029059121285471</c:v>
                      </c:pt>
                      <c:pt idx="31">
                        <c:v>95.011765540840386</c:v>
                      </c:pt>
                      <c:pt idx="32">
                        <c:v>94.99448980710666</c:v>
                      </c:pt>
                      <c:pt idx="33">
                        <c:v>94.977232831444454</c:v>
                      </c:pt>
                      <c:pt idx="34">
                        <c:v>94.959995483160171</c:v>
                      </c:pt>
                      <c:pt idx="35">
                        <c:v>94.942778591084732</c:v>
                      </c:pt>
                      <c:pt idx="36">
                        <c:v>94.925582945095016</c:v>
                      </c:pt>
                      <c:pt idx="37">
                        <c:v>94.908409297580505</c:v>
                      </c:pt>
                      <c:pt idx="38">
                        <c:v>94.89125836485654</c:v>
                      </c:pt>
                      <c:pt idx="39">
                        <c:v>94.874130828526404</c:v>
                      </c:pt>
                      <c:pt idx="40">
                        <c:v>94.85702733679372</c:v>
                      </c:pt>
                      <c:pt idx="41">
                        <c:v>94.839948505726966</c:v>
                      </c:pt>
                      <c:pt idx="42">
                        <c:v>94.822894920477651</c:v>
                      </c:pt>
                      <c:pt idx="43">
                        <c:v>94.805867136453983</c:v>
                      </c:pt>
                      <c:pt idx="44">
                        <c:v>94.788865680451295</c:v>
                      </c:pt>
                      <c:pt idx="45">
                        <c:v>94.771891051741136</c:v>
                      </c:pt>
                      <c:pt idx="46">
                        <c:v>94.754943723120022</c:v>
                      </c:pt>
                      <c:pt idx="47">
                        <c:v>94.738024141919936</c:v>
                      </c:pt>
                      <c:pt idx="48">
                        <c:v>94.721132730981111</c:v>
                      </c:pt>
                      <c:pt idx="49">
                        <c:v>94.704269889589369</c:v>
                      </c:pt>
                      <c:pt idx="50">
                        <c:v>94.687435994378674</c:v>
                      </c:pt>
                      <c:pt idx="51">
                        <c:v>94.670631400200222</c:v>
                      </c:pt>
                      <c:pt idx="52">
                        <c:v>94.653856440959743</c:v>
                      </c:pt>
                      <c:pt idx="53">
                        <c:v>94.637111430423587</c:v>
                      </c:pt>
                      <c:pt idx="54">
                        <c:v>94.620396662995148</c:v>
                      </c:pt>
                      <c:pt idx="55">
                        <c:v>94.603712414462677</c:v>
                      </c:pt>
                      <c:pt idx="56">
                        <c:v>94.587058942719167</c:v>
                      </c:pt>
                      <c:pt idx="57">
                        <c:v>94.570436488455982</c:v>
                      </c:pt>
                      <c:pt idx="58">
                        <c:v>94.553845275830568</c:v>
                      </c:pt>
                      <c:pt idx="59">
                        <c:v>94.537285513109723</c:v>
                      </c:pt>
                      <c:pt idx="60">
                        <c:v>94.520757393288861</c:v>
                      </c:pt>
                      <c:pt idx="61">
                        <c:v>94.504261094688616</c:v>
                      </c:pt>
                      <c:pt idx="62">
                        <c:v>94.487796781529269</c:v>
                      </c:pt>
                      <c:pt idx="63">
                        <c:v>94.471364604484052</c:v>
                      </c:pt>
                      <c:pt idx="64">
                        <c:v>94.454964701211992</c:v>
                      </c:pt>
                      <c:pt idx="65">
                        <c:v>94.438597196871086</c:v>
                      </c:pt>
                      <c:pt idx="66">
                        <c:v>94.422262204612551</c:v>
                      </c:pt>
                      <c:pt idx="67">
                        <c:v>94.405959826056929</c:v>
                      </c:pt>
                      <c:pt idx="68">
                        <c:v>94.38969015175249</c:v>
                      </c:pt>
                      <c:pt idx="69">
                        <c:v>94.373453261616874</c:v>
                      </c:pt>
                      <c:pt idx="70">
                        <c:v>94.357249225362452</c:v>
                      </c:pt>
                      <c:pt idx="71">
                        <c:v>94.341078102905968</c:v>
                      </c:pt>
                      <c:pt idx="72">
                        <c:v>94.324939944763088</c:v>
                      </c:pt>
                      <c:pt idx="73">
                        <c:v>94.308834792428613</c:v>
                      </c:pt>
                      <c:pt idx="74">
                        <c:v>94.292762678742449</c:v>
                      </c:pt>
                      <c:pt idx="75">
                        <c:v>94.276723628242337</c:v>
                      </c:pt>
                      <c:pt idx="76">
                        <c:v>94.260717657503506</c:v>
                      </c:pt>
                      <c:pt idx="77">
                        <c:v>94.244744775465847</c:v>
                      </c:pt>
                      <c:pt idx="78">
                        <c:v>94.228804983749185</c:v>
                      </c:pt>
                      <c:pt idx="79">
                        <c:v>94.212898276956778</c:v>
                      </c:pt>
                      <c:pt idx="80">
                        <c:v>94.197024642967918</c:v>
                      </c:pt>
                      <c:pt idx="81">
                        <c:v>94.181184063219547</c:v>
                      </c:pt>
                      <c:pt idx="82">
                        <c:v>94.165376512977744</c:v>
                      </c:pt>
                      <c:pt idx="83">
                        <c:v>94.149601961599117</c:v>
                      </c:pt>
                      <c:pt idx="84">
                        <c:v>94.133860372782678</c:v>
                      </c:pt>
                      <c:pt idx="85">
                        <c:v>94.118151704812476</c:v>
                      </c:pt>
                      <c:pt idx="86">
                        <c:v>94.102475910791313</c:v>
                      </c:pt>
                      <c:pt idx="87">
                        <c:v>94.086832938865825</c:v>
                      </c:pt>
                      <c:pt idx="88">
                        <c:v>94.071222732443502</c:v>
                      </c:pt>
                      <c:pt idx="89">
                        <c:v>94.055645230401524</c:v>
                      </c:pt>
                      <c:pt idx="90">
                        <c:v>94.040100367288105</c:v>
                      </c:pt>
                      <c:pt idx="91">
                        <c:v>94.024588073516355</c:v>
                      </c:pt>
                      <c:pt idx="92">
                        <c:v>94.009108275551071</c:v>
                      </c:pt>
                      <c:pt idx="93">
                        <c:v>93.993660896088684</c:v>
                      </c:pt>
                      <c:pt idx="94">
                        <c:v>93.978245854230579</c:v>
                      </c:pt>
                      <c:pt idx="95">
                        <c:v>93.962863065650055</c:v>
                      </c:pt>
                      <c:pt idx="96">
                        <c:v>93.947512442753165</c:v>
                      </c:pt>
                      <c:pt idx="97">
                        <c:v>93.932193894833617</c:v>
                      </c:pt>
                      <c:pt idx="98">
                        <c:v>93.916907328222067</c:v>
                      </c:pt>
                      <c:pt idx="99">
                        <c:v>93.901652646429781</c:v>
                      </c:pt>
                      <c:pt idx="100">
                        <c:v>93.886429750287149</c:v>
                      </c:pt>
                      <c:pt idx="101">
                        <c:v>93.871238538076966</c:v>
                      </c:pt>
                      <c:pt idx="102">
                        <c:v>93.856078905662983</c:v>
                      </c:pt>
                      <c:pt idx="103">
                        <c:v>93.840950746613487</c:v>
                      </c:pt>
                      <c:pt idx="104">
                        <c:v>93.825853952320529</c:v>
                      </c:pt>
                      <c:pt idx="105">
                        <c:v>93.810788412114604</c:v>
                      </c:pt>
                      <c:pt idx="106">
                        <c:v>93.795754013375131</c:v>
                      </c:pt>
                      <c:pt idx="107">
                        <c:v>93.780750641636914</c:v>
                      </c:pt>
                      <c:pt idx="108">
                        <c:v>93.765778180692536</c:v>
                      </c:pt>
                      <c:pt idx="109">
                        <c:v>93.750836512691038</c:v>
                      </c:pt>
                      <c:pt idx="110">
                        <c:v>93.735925518232875</c:v>
                      </c:pt>
                      <c:pt idx="111">
                        <c:v>93.721045076461408</c:v>
                      </c:pt>
                      <c:pt idx="112">
                        <c:v>93.706195065150894</c:v>
                      </c:pt>
                      <c:pt idx="113">
                        <c:v>93.691375360791255</c:v>
                      </c:pt>
                      <c:pt idx="114">
                        <c:v>93.676585838669695</c:v>
                      </c:pt>
                      <c:pt idx="115">
                        <c:v>93.661826372949122</c:v>
                      </c:pt>
                      <c:pt idx="116">
                        <c:v>93.647096836743856</c:v>
                      </c:pt>
                      <c:pt idx="117">
                        <c:v>93.632397102192272</c:v>
                      </c:pt>
                      <c:pt idx="118">
                        <c:v>93.617727040526759</c:v>
                      </c:pt>
                      <c:pt idx="119">
                        <c:v>93.60308652214114</c:v>
                      </c:pt>
                      <c:pt idx="120">
                        <c:v>93.588475416655456</c:v>
                      </c:pt>
                      <c:pt idx="121">
                        <c:v>93.573893592978251</c:v>
                      </c:pt>
                      <c:pt idx="122">
                        <c:v>93.559340919366534</c:v>
                      </c:pt>
                      <c:pt idx="123">
                        <c:v>93.54481726348348</c:v>
                      </c:pt>
                      <c:pt idx="124">
                        <c:v>93.530322492453863</c:v>
                      </c:pt>
                      <c:pt idx="125">
                        <c:v>93.515856472917392</c:v>
                      </c:pt>
                      <c:pt idx="126">
                        <c:v>93.501419071079965</c:v>
                      </c:pt>
                      <c:pt idx="127">
                        <c:v>93.48701015276302</c:v>
                      </c:pt>
                      <c:pt idx="128">
                        <c:v>93.472629583450811</c:v>
                      </c:pt>
                      <c:pt idx="129">
                        <c:v>93.458277228336087</c:v>
                      </c:pt>
                      <c:pt idx="130">
                        <c:v>93.443952952363645</c:v>
                      </c:pt>
                      <c:pt idx="131">
                        <c:v>93.429656620272553</c:v>
                      </c:pt>
                      <c:pt idx="132">
                        <c:v>93.415388096636448</c:v>
                      </c:pt>
                      <c:pt idx="133">
                        <c:v>93.401147245902294</c:v>
                      </c:pt>
                      <c:pt idx="134">
                        <c:v>93.386933932427667</c:v>
                      </c:pt>
                      <c:pt idx="135">
                        <c:v>93.372748020516511</c:v>
                      </c:pt>
                      <c:pt idx="136">
                        <c:v>93.358589374453373</c:v>
                      </c:pt>
                      <c:pt idx="137">
                        <c:v>93.34445785853643</c:v>
                      </c:pt>
                      <c:pt idx="138">
                        <c:v>93.330353337109045</c:v>
                      </c:pt>
                      <c:pt idx="139">
                        <c:v>93.316275674590059</c:v>
                      </c:pt>
                      <c:pt idx="140">
                        <c:v>93.302224735502875</c:v>
                      </c:pt>
                      <c:pt idx="141">
                        <c:v>93.288200384503256</c:v>
                      </c:pt>
                      <c:pt idx="142">
                        <c:v>93.274202486406182</c:v>
                      </c:pt>
                      <c:pt idx="143">
                        <c:v>93.260230906211234</c:v>
                      </c:pt>
                      <c:pt idx="144">
                        <c:v>93.246285509127276</c:v>
                      </c:pt>
                      <c:pt idx="145">
                        <c:v>93.23236616059576</c:v>
                      </c:pt>
                      <c:pt idx="146">
                        <c:v>93.218472726313394</c:v>
                      </c:pt>
                      <c:pt idx="147">
                        <c:v>93.204605072253472</c:v>
                      </c:pt>
                      <c:pt idx="148">
                        <c:v>93.190763064686479</c:v>
                      </c:pt>
                      <c:pt idx="149">
                        <c:v>93.176946570199775</c:v>
                      </c:pt>
                      <c:pt idx="150">
                        <c:v>93.163155455716378</c:v>
                      </c:pt>
                      <c:pt idx="151">
                        <c:v>93.14938958851296</c:v>
                      </c:pt>
                      <c:pt idx="152">
                        <c:v>93.135648836236882</c:v>
                      </c:pt>
                      <c:pt idx="153">
                        <c:v>93.121933066922693</c:v>
                      </c:pt>
                      <c:pt idx="154">
                        <c:v>93.108242149007651</c:v>
                      </c:pt>
                      <c:pt idx="155">
                        <c:v>93.094575951346641</c:v>
                      </c:pt>
                      <c:pt idx="156">
                        <c:v>93.080934343226374</c:v>
                      </c:pt>
                      <c:pt idx="157">
                        <c:v>93.06731719437883</c:v>
                      </c:pt>
                      <c:pt idx="158">
                        <c:v>93.053724374994232</c:v>
                      </c:pt>
                      <c:pt idx="159">
                        <c:v>93.040155755733153</c:v>
                      </c:pt>
                      <c:pt idx="160">
                        <c:v>93.026611207738256</c:v>
                      </c:pt>
                      <c:pt idx="161">
                        <c:v>93.013090602645221</c:v>
                      </c:pt>
                      <c:pt idx="162">
                        <c:v>92.999593812593289</c:v>
                      </c:pt>
                      <c:pt idx="163">
                        <c:v>92.986120710235198</c:v>
                      </c:pt>
                      <c:pt idx="164">
                        <c:v>92.97267116874653</c:v>
                      </c:pt>
                      <c:pt idx="165">
                        <c:v>92.959245061834693</c:v>
                      </c:pt>
                      <c:pt idx="166">
                        <c:v>92.945842263747238</c:v>
                      </c:pt>
                      <c:pt idx="167">
                        <c:v>92.932462649279884</c:v>
                      </c:pt>
                      <c:pt idx="168">
                        <c:v>92.919106093784023</c:v>
                      </c:pt>
                      <c:pt idx="169">
                        <c:v>92.905772473173627</c:v>
                      </c:pt>
                      <c:pt idx="170">
                        <c:v>92.892461663932096</c:v>
                      </c:pt>
                      <c:pt idx="171">
                        <c:v>92.879173543118284</c:v>
                      </c:pt>
                      <c:pt idx="172">
                        <c:v>92.86590798837247</c:v>
                      </c:pt>
                      <c:pt idx="173">
                        <c:v>92.852664877921754</c:v>
                      </c:pt>
                      <c:pt idx="174">
                        <c:v>92.839444090585204</c:v>
                      </c:pt>
                      <c:pt idx="175">
                        <c:v>92.826245505778488</c:v>
                      </c:pt>
                      <c:pt idx="176">
                        <c:v>92.813069003518436</c:v>
                      </c:pt>
                      <c:pt idx="177">
                        <c:v>92.799914464427019</c:v>
                      </c:pt>
                      <c:pt idx="178">
                        <c:v>92.786781769735157</c:v>
                      </c:pt>
                      <c:pt idx="179">
                        <c:v>92.773670801286173</c:v>
                      </c:pt>
                      <c:pt idx="180">
                        <c:v>92.76058144153896</c:v>
                      </c:pt>
                      <c:pt idx="181">
                        <c:v>92.747513573570956</c:v>
                      </c:pt>
                      <c:pt idx="182">
                        <c:v>92.73446708108068</c:v>
                      </c:pt>
                      <c:pt idx="183">
                        <c:v>92.721441848390143</c:v>
                      </c:pt>
                      <c:pt idx="184">
                        <c:v>92.708437760446998</c:v>
                      </c:pt>
                      <c:pt idx="185">
                        <c:v>92.695454702826368</c:v>
                      </c:pt>
                      <c:pt idx="186">
                        <c:v>92.682492561732573</c:v>
                      </c:pt>
                      <c:pt idx="187">
                        <c:v>92.669551224000486</c:v>
                      </c:pt>
                      <c:pt idx="188">
                        <c:v>92.656630577096749</c:v>
                      </c:pt>
                      <c:pt idx="189">
                        <c:v>92.6437305091209</c:v>
                      </c:pt>
                      <c:pt idx="190">
                        <c:v>92.630850908806082</c:v>
                      </c:pt>
                      <c:pt idx="191">
                        <c:v>92.617991665519611</c:v>
                      </c:pt>
                      <c:pt idx="192">
                        <c:v>92.605152669263575</c:v>
                      </c:pt>
                      <c:pt idx="193">
                        <c:v>92.592333810675029</c:v>
                      </c:pt>
                      <c:pt idx="194">
                        <c:v>92.579534981026043</c:v>
                      </c:pt>
                      <c:pt idx="195">
                        <c:v>92.56675607222374</c:v>
                      </c:pt>
                      <c:pt idx="196">
                        <c:v>92.553996976809941</c:v>
                      </c:pt>
                      <c:pt idx="197">
                        <c:v>92.541257587960942</c:v>
                      </c:pt>
                      <c:pt idx="198">
                        <c:v>92.528537799486955</c:v>
                      </c:pt>
                      <c:pt idx="199">
                        <c:v>92.515837505831371</c:v>
                      </c:pt>
                      <c:pt idx="200">
                        <c:v>92.503156602070149</c:v>
                      </c:pt>
                    </c:numCache>
                  </c:numRef>
                </c:val>
                <c:smooth val="0"/>
                <c:extLst>
                  <c:ext xmlns:c16="http://schemas.microsoft.com/office/drawing/2014/chart" uri="{C3380CC4-5D6E-409C-BE32-E72D297353CC}">
                    <c16:uniqueId val="{00000003-3C23-4391-B2C6-43C19F35BBF1}"/>
                  </c:ext>
                </c:extLst>
              </c15:ser>
            </c15:filteredLineSeries>
          </c:ext>
        </c:extLst>
      </c:lineChart>
      <c:lineChart>
        <c:grouping val="standard"/>
        <c:varyColors val="0"/>
        <c:ser>
          <c:idx val="2"/>
          <c:order val="1"/>
          <c:tx>
            <c:strRef>
              <c:f>'Efficiency vs VIN Calculations'!$AR$8</c:f>
              <c:strCache>
                <c:ptCount val="1"/>
                <c:pt idx="0">
                  <c:v>Transition Loss BoCtlr</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Calculations'!$AR$9:$AR$209</c:f>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3C23-4391-B2C6-43C19F35BBF1}"/>
            </c:ext>
          </c:extLst>
        </c:ser>
        <c:ser>
          <c:idx val="1"/>
          <c:order val="2"/>
          <c:tx>
            <c:strRef>
              <c:f>'Efficiency vs VIN Calculations'!$AS$8</c:f>
              <c:strCache>
                <c:ptCount val="1"/>
                <c:pt idx="0">
                  <c:v>Dead Time Loss BoCtlr</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Calculations'!$AS$9:$AS$209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1-3C23-4391-B2C6-43C19F35BBF1}"/>
            </c:ext>
          </c:extLst>
        </c:ser>
        <c:ser>
          <c:idx val="9"/>
          <c:order val="3"/>
          <c:tx>
            <c:strRef>
              <c:f>'Efficiency vs VIN Calculations'!$AQ$8</c:f>
              <c:strCache>
                <c:ptCount val="1"/>
                <c:pt idx="0">
                  <c:v>RDS(on) Loss BoCtlr</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Calculations'!$AQ$9:$AQ$209</c:f>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2-3C23-4391-B2C6-43C19F35BBF1}"/>
            </c:ext>
          </c:extLst>
        </c:ser>
        <c:dLbls>
          <c:showLegendKey val="0"/>
          <c:showVal val="0"/>
          <c:showCatName val="0"/>
          <c:showSerName val="0"/>
          <c:showPercent val="0"/>
          <c:showBubbleSize val="0"/>
        </c:dLbls>
        <c:marker val="1"/>
        <c:smooth val="0"/>
        <c:axId val="196432256"/>
        <c:axId val="196421888"/>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65663198899668607"/>
          <c:y val="7.5971492472867871E-2"/>
          <c:w val="0.23290347792106295"/>
          <c:h val="0.17786077110047011"/>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High-side BOOST "Sync" MOSFET Losses </a:t>
            </a:r>
          </a:p>
        </c:rich>
      </c:tx>
      <c:overlay val="0"/>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417792"/>
        <c:axId val="196419968"/>
        <c:extLst>
          <c:ext xmlns:c15="http://schemas.microsoft.com/office/drawing/2012/chart" uri="{02D57815-91ED-43cb-92C2-25804820EDAC}">
            <c15:filteredLineSeries>
              <c15:ser>
                <c:idx val="0"/>
                <c:order val="0"/>
                <c:tx>
                  <c:v>Efficiency</c:v>
                </c:tx>
                <c:spPr>
                  <a:ln w="31750">
                    <a:solidFill>
                      <a:srgbClr val="FF0000"/>
                    </a:solidFill>
                    <a:prstDash val="solid"/>
                  </a:ln>
                </c:spPr>
                <c:marker>
                  <c:symbol val="none"/>
                </c:marker>
                <c:cat>
                  <c:numRef>
                    <c:extLst>
                      <c:ex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c:ext uri="{02D57815-91ED-43cb-92C2-25804820EDAC}">
                        <c15:formulaRef>
                          <c15:sqref>'Efficiency vs VIN Calculations'!$BO$9:$BO$209</c15:sqref>
                        </c15:formulaRef>
                      </c:ext>
                    </c:extLst>
                    <c:numCache>
                      <c:formatCode>0.00</c:formatCode>
                      <c:ptCount val="201"/>
                      <c:pt idx="0">
                        <c:v>95.549377136149715</c:v>
                      </c:pt>
                      <c:pt idx="1">
                        <c:v>95.532263889966728</c:v>
                      </c:pt>
                      <c:pt idx="2">
                        <c:v>95.515110946792703</c:v>
                      </c:pt>
                      <c:pt idx="3">
                        <c:v>95.497921563735773</c:v>
                      </c:pt>
                      <c:pt idx="4">
                        <c:v>95.480698874935015</c:v>
                      </c:pt>
                      <c:pt idx="5">
                        <c:v>95.46344589523342</c:v>
                      </c:pt>
                      <c:pt idx="6">
                        <c:v>95.446165523831439</c:v>
                      </c:pt>
                      <c:pt idx="7">
                        <c:v>95.428860547907206</c:v>
                      </c:pt>
                      <c:pt idx="8">
                        <c:v>95.411533646191657</c:v>
                      </c:pt>
                      <c:pt idx="9">
                        <c:v>95.394187392488902</c:v>
                      </c:pt>
                      <c:pt idx="10">
                        <c:v>95.37682425913394</c:v>
                      </c:pt>
                      <c:pt idx="11">
                        <c:v>95.359446620381874</c:v>
                      </c:pt>
                      <c:pt idx="12">
                        <c:v>95.342056755723192</c:v>
                      </c:pt>
                      <c:pt idx="13">
                        <c:v>95.324656853121752</c:v>
                      </c:pt>
                      <c:pt idx="14">
                        <c:v>95.307249012172193</c:v>
                      </c:pt>
                      <c:pt idx="15">
                        <c:v>95.289835247175219</c:v>
                      </c:pt>
                      <c:pt idx="16">
                        <c:v>95.272417490129016</c:v>
                      </c:pt>
                      <c:pt idx="17">
                        <c:v>95.254997593636375</c:v>
                      </c:pt>
                      <c:pt idx="18">
                        <c:v>95.237577333727103</c:v>
                      </c:pt>
                      <c:pt idx="19">
                        <c:v>95.220158412596007</c:v>
                      </c:pt>
                      <c:pt idx="20">
                        <c:v>95.202742461257046</c:v>
                      </c:pt>
                      <c:pt idx="21">
                        <c:v>95.185331042114257</c:v>
                      </c:pt>
                      <c:pt idx="22">
                        <c:v>95.167925651451057</c:v>
                      </c:pt>
                      <c:pt idx="23">
                        <c:v>95.150527721838614</c:v>
                      </c:pt>
                      <c:pt idx="24">
                        <c:v>95.133138624465204</c:v>
                      </c:pt>
                      <c:pt idx="25">
                        <c:v>95.11575967138802</c:v>
                      </c:pt>
                      <c:pt idx="26">
                        <c:v>95.09839211770911</c:v>
                      </c:pt>
                      <c:pt idx="27">
                        <c:v>95.081037163677209</c:v>
                      </c:pt>
                      <c:pt idx="28">
                        <c:v>95.063695956717481</c:v>
                      </c:pt>
                      <c:pt idx="29">
                        <c:v>95.046369593390949</c:v>
                      </c:pt>
                      <c:pt idx="30">
                        <c:v>95.029059121285471</c:v>
                      </c:pt>
                      <c:pt idx="31">
                        <c:v>95.011765540840386</c:v>
                      </c:pt>
                      <c:pt idx="32">
                        <c:v>94.99448980710666</c:v>
                      </c:pt>
                      <c:pt idx="33">
                        <c:v>94.977232831444454</c:v>
                      </c:pt>
                      <c:pt idx="34">
                        <c:v>94.959995483160171</c:v>
                      </c:pt>
                      <c:pt idx="35">
                        <c:v>94.942778591084732</c:v>
                      </c:pt>
                      <c:pt idx="36">
                        <c:v>94.925582945095016</c:v>
                      </c:pt>
                      <c:pt idx="37">
                        <c:v>94.908409297580505</c:v>
                      </c:pt>
                      <c:pt idx="38">
                        <c:v>94.89125836485654</c:v>
                      </c:pt>
                      <c:pt idx="39">
                        <c:v>94.874130828526404</c:v>
                      </c:pt>
                      <c:pt idx="40">
                        <c:v>94.85702733679372</c:v>
                      </c:pt>
                      <c:pt idx="41">
                        <c:v>94.839948505726966</c:v>
                      </c:pt>
                      <c:pt idx="42">
                        <c:v>94.822894920477651</c:v>
                      </c:pt>
                      <c:pt idx="43">
                        <c:v>94.805867136453983</c:v>
                      </c:pt>
                      <c:pt idx="44">
                        <c:v>94.788865680451295</c:v>
                      </c:pt>
                      <c:pt idx="45">
                        <c:v>94.771891051741136</c:v>
                      </c:pt>
                      <c:pt idx="46">
                        <c:v>94.754943723120022</c:v>
                      </c:pt>
                      <c:pt idx="47">
                        <c:v>94.738024141919936</c:v>
                      </c:pt>
                      <c:pt idx="48">
                        <c:v>94.721132730981111</c:v>
                      </c:pt>
                      <c:pt idx="49">
                        <c:v>94.704269889589369</c:v>
                      </c:pt>
                      <c:pt idx="50">
                        <c:v>94.687435994378674</c:v>
                      </c:pt>
                      <c:pt idx="51">
                        <c:v>94.670631400200222</c:v>
                      </c:pt>
                      <c:pt idx="52">
                        <c:v>94.653856440959743</c:v>
                      </c:pt>
                      <c:pt idx="53">
                        <c:v>94.637111430423587</c:v>
                      </c:pt>
                      <c:pt idx="54">
                        <c:v>94.620396662995148</c:v>
                      </c:pt>
                      <c:pt idx="55">
                        <c:v>94.603712414462677</c:v>
                      </c:pt>
                      <c:pt idx="56">
                        <c:v>94.587058942719167</c:v>
                      </c:pt>
                      <c:pt idx="57">
                        <c:v>94.570436488455982</c:v>
                      </c:pt>
                      <c:pt idx="58">
                        <c:v>94.553845275830568</c:v>
                      </c:pt>
                      <c:pt idx="59">
                        <c:v>94.537285513109723</c:v>
                      </c:pt>
                      <c:pt idx="60">
                        <c:v>94.520757393288861</c:v>
                      </c:pt>
                      <c:pt idx="61">
                        <c:v>94.504261094688616</c:v>
                      </c:pt>
                      <c:pt idx="62">
                        <c:v>94.487796781529269</c:v>
                      </c:pt>
                      <c:pt idx="63">
                        <c:v>94.471364604484052</c:v>
                      </c:pt>
                      <c:pt idx="64">
                        <c:v>94.454964701211992</c:v>
                      </c:pt>
                      <c:pt idx="65">
                        <c:v>94.438597196871086</c:v>
                      </c:pt>
                      <c:pt idx="66">
                        <c:v>94.422262204612551</c:v>
                      </c:pt>
                      <c:pt idx="67">
                        <c:v>94.405959826056929</c:v>
                      </c:pt>
                      <c:pt idx="68">
                        <c:v>94.38969015175249</c:v>
                      </c:pt>
                      <c:pt idx="69">
                        <c:v>94.373453261616874</c:v>
                      </c:pt>
                      <c:pt idx="70">
                        <c:v>94.357249225362452</c:v>
                      </c:pt>
                      <c:pt idx="71">
                        <c:v>94.341078102905968</c:v>
                      </c:pt>
                      <c:pt idx="72">
                        <c:v>94.324939944763088</c:v>
                      </c:pt>
                      <c:pt idx="73">
                        <c:v>94.308834792428613</c:v>
                      </c:pt>
                      <c:pt idx="74">
                        <c:v>94.292762678742449</c:v>
                      </c:pt>
                      <c:pt idx="75">
                        <c:v>94.276723628242337</c:v>
                      </c:pt>
                      <c:pt idx="76">
                        <c:v>94.260717657503506</c:v>
                      </c:pt>
                      <c:pt idx="77">
                        <c:v>94.244744775465847</c:v>
                      </c:pt>
                      <c:pt idx="78">
                        <c:v>94.228804983749185</c:v>
                      </c:pt>
                      <c:pt idx="79">
                        <c:v>94.212898276956778</c:v>
                      </c:pt>
                      <c:pt idx="80">
                        <c:v>94.197024642967918</c:v>
                      </c:pt>
                      <c:pt idx="81">
                        <c:v>94.181184063219547</c:v>
                      </c:pt>
                      <c:pt idx="82">
                        <c:v>94.165376512977744</c:v>
                      </c:pt>
                      <c:pt idx="83">
                        <c:v>94.149601961599117</c:v>
                      </c:pt>
                      <c:pt idx="84">
                        <c:v>94.133860372782678</c:v>
                      </c:pt>
                      <c:pt idx="85">
                        <c:v>94.118151704812476</c:v>
                      </c:pt>
                      <c:pt idx="86">
                        <c:v>94.102475910791313</c:v>
                      </c:pt>
                      <c:pt idx="87">
                        <c:v>94.086832938865825</c:v>
                      </c:pt>
                      <c:pt idx="88">
                        <c:v>94.071222732443502</c:v>
                      </c:pt>
                      <c:pt idx="89">
                        <c:v>94.055645230401524</c:v>
                      </c:pt>
                      <c:pt idx="90">
                        <c:v>94.040100367288105</c:v>
                      </c:pt>
                      <c:pt idx="91">
                        <c:v>94.024588073516355</c:v>
                      </c:pt>
                      <c:pt idx="92">
                        <c:v>94.009108275551071</c:v>
                      </c:pt>
                      <c:pt idx="93">
                        <c:v>93.993660896088684</c:v>
                      </c:pt>
                      <c:pt idx="94">
                        <c:v>93.978245854230579</c:v>
                      </c:pt>
                      <c:pt idx="95">
                        <c:v>93.962863065650055</c:v>
                      </c:pt>
                      <c:pt idx="96">
                        <c:v>93.947512442753165</c:v>
                      </c:pt>
                      <c:pt idx="97">
                        <c:v>93.932193894833617</c:v>
                      </c:pt>
                      <c:pt idx="98">
                        <c:v>93.916907328222067</c:v>
                      </c:pt>
                      <c:pt idx="99">
                        <c:v>93.901652646429781</c:v>
                      </c:pt>
                      <c:pt idx="100">
                        <c:v>93.886429750287149</c:v>
                      </c:pt>
                      <c:pt idx="101">
                        <c:v>93.871238538076966</c:v>
                      </c:pt>
                      <c:pt idx="102">
                        <c:v>93.856078905662983</c:v>
                      </c:pt>
                      <c:pt idx="103">
                        <c:v>93.840950746613487</c:v>
                      </c:pt>
                      <c:pt idx="104">
                        <c:v>93.825853952320529</c:v>
                      </c:pt>
                      <c:pt idx="105">
                        <c:v>93.810788412114604</c:v>
                      </c:pt>
                      <c:pt idx="106">
                        <c:v>93.795754013375131</c:v>
                      </c:pt>
                      <c:pt idx="107">
                        <c:v>93.780750641636914</c:v>
                      </c:pt>
                      <c:pt idx="108">
                        <c:v>93.765778180692536</c:v>
                      </c:pt>
                      <c:pt idx="109">
                        <c:v>93.750836512691038</c:v>
                      </c:pt>
                      <c:pt idx="110">
                        <c:v>93.735925518232875</c:v>
                      </c:pt>
                      <c:pt idx="111">
                        <c:v>93.721045076461408</c:v>
                      </c:pt>
                      <c:pt idx="112">
                        <c:v>93.706195065150894</c:v>
                      </c:pt>
                      <c:pt idx="113">
                        <c:v>93.691375360791255</c:v>
                      </c:pt>
                      <c:pt idx="114">
                        <c:v>93.676585838669695</c:v>
                      </c:pt>
                      <c:pt idx="115">
                        <c:v>93.661826372949122</c:v>
                      </c:pt>
                      <c:pt idx="116">
                        <c:v>93.647096836743856</c:v>
                      </c:pt>
                      <c:pt idx="117">
                        <c:v>93.632397102192272</c:v>
                      </c:pt>
                      <c:pt idx="118">
                        <c:v>93.617727040526759</c:v>
                      </c:pt>
                      <c:pt idx="119">
                        <c:v>93.60308652214114</c:v>
                      </c:pt>
                      <c:pt idx="120">
                        <c:v>93.588475416655456</c:v>
                      </c:pt>
                      <c:pt idx="121">
                        <c:v>93.573893592978251</c:v>
                      </c:pt>
                      <c:pt idx="122">
                        <c:v>93.559340919366534</c:v>
                      </c:pt>
                      <c:pt idx="123">
                        <c:v>93.54481726348348</c:v>
                      </c:pt>
                      <c:pt idx="124">
                        <c:v>93.530322492453863</c:v>
                      </c:pt>
                      <c:pt idx="125">
                        <c:v>93.515856472917392</c:v>
                      </c:pt>
                      <c:pt idx="126">
                        <c:v>93.501419071079965</c:v>
                      </c:pt>
                      <c:pt idx="127">
                        <c:v>93.48701015276302</c:v>
                      </c:pt>
                      <c:pt idx="128">
                        <c:v>93.472629583450811</c:v>
                      </c:pt>
                      <c:pt idx="129">
                        <c:v>93.458277228336087</c:v>
                      </c:pt>
                      <c:pt idx="130">
                        <c:v>93.443952952363645</c:v>
                      </c:pt>
                      <c:pt idx="131">
                        <c:v>93.429656620272553</c:v>
                      </c:pt>
                      <c:pt idx="132">
                        <c:v>93.415388096636448</c:v>
                      </c:pt>
                      <c:pt idx="133">
                        <c:v>93.401147245902294</c:v>
                      </c:pt>
                      <c:pt idx="134">
                        <c:v>93.386933932427667</c:v>
                      </c:pt>
                      <c:pt idx="135">
                        <c:v>93.372748020516511</c:v>
                      </c:pt>
                      <c:pt idx="136">
                        <c:v>93.358589374453373</c:v>
                      </c:pt>
                      <c:pt idx="137">
                        <c:v>93.34445785853643</c:v>
                      </c:pt>
                      <c:pt idx="138">
                        <c:v>93.330353337109045</c:v>
                      </c:pt>
                      <c:pt idx="139">
                        <c:v>93.316275674590059</c:v>
                      </c:pt>
                      <c:pt idx="140">
                        <c:v>93.302224735502875</c:v>
                      </c:pt>
                      <c:pt idx="141">
                        <c:v>93.288200384503256</c:v>
                      </c:pt>
                      <c:pt idx="142">
                        <c:v>93.274202486406182</c:v>
                      </c:pt>
                      <c:pt idx="143">
                        <c:v>93.260230906211234</c:v>
                      </c:pt>
                      <c:pt idx="144">
                        <c:v>93.246285509127276</c:v>
                      </c:pt>
                      <c:pt idx="145">
                        <c:v>93.23236616059576</c:v>
                      </c:pt>
                      <c:pt idx="146">
                        <c:v>93.218472726313394</c:v>
                      </c:pt>
                      <c:pt idx="147">
                        <c:v>93.204605072253472</c:v>
                      </c:pt>
                      <c:pt idx="148">
                        <c:v>93.190763064686479</c:v>
                      </c:pt>
                      <c:pt idx="149">
                        <c:v>93.176946570199775</c:v>
                      </c:pt>
                      <c:pt idx="150">
                        <c:v>93.163155455716378</c:v>
                      </c:pt>
                      <c:pt idx="151">
                        <c:v>93.14938958851296</c:v>
                      </c:pt>
                      <c:pt idx="152">
                        <c:v>93.135648836236882</c:v>
                      </c:pt>
                      <c:pt idx="153">
                        <c:v>93.121933066922693</c:v>
                      </c:pt>
                      <c:pt idx="154">
                        <c:v>93.108242149007651</c:v>
                      </c:pt>
                      <c:pt idx="155">
                        <c:v>93.094575951346641</c:v>
                      </c:pt>
                      <c:pt idx="156">
                        <c:v>93.080934343226374</c:v>
                      </c:pt>
                      <c:pt idx="157">
                        <c:v>93.06731719437883</c:v>
                      </c:pt>
                      <c:pt idx="158">
                        <c:v>93.053724374994232</c:v>
                      </c:pt>
                      <c:pt idx="159">
                        <c:v>93.040155755733153</c:v>
                      </c:pt>
                      <c:pt idx="160">
                        <c:v>93.026611207738256</c:v>
                      </c:pt>
                      <c:pt idx="161">
                        <c:v>93.013090602645221</c:v>
                      </c:pt>
                      <c:pt idx="162">
                        <c:v>92.999593812593289</c:v>
                      </c:pt>
                      <c:pt idx="163">
                        <c:v>92.986120710235198</c:v>
                      </c:pt>
                      <c:pt idx="164">
                        <c:v>92.97267116874653</c:v>
                      </c:pt>
                      <c:pt idx="165">
                        <c:v>92.959245061834693</c:v>
                      </c:pt>
                      <c:pt idx="166">
                        <c:v>92.945842263747238</c:v>
                      </c:pt>
                      <c:pt idx="167">
                        <c:v>92.932462649279884</c:v>
                      </c:pt>
                      <c:pt idx="168">
                        <c:v>92.919106093784023</c:v>
                      </c:pt>
                      <c:pt idx="169">
                        <c:v>92.905772473173627</c:v>
                      </c:pt>
                      <c:pt idx="170">
                        <c:v>92.892461663932096</c:v>
                      </c:pt>
                      <c:pt idx="171">
                        <c:v>92.879173543118284</c:v>
                      </c:pt>
                      <c:pt idx="172">
                        <c:v>92.86590798837247</c:v>
                      </c:pt>
                      <c:pt idx="173">
                        <c:v>92.852664877921754</c:v>
                      </c:pt>
                      <c:pt idx="174">
                        <c:v>92.839444090585204</c:v>
                      </c:pt>
                      <c:pt idx="175">
                        <c:v>92.826245505778488</c:v>
                      </c:pt>
                      <c:pt idx="176">
                        <c:v>92.813069003518436</c:v>
                      </c:pt>
                      <c:pt idx="177">
                        <c:v>92.799914464427019</c:v>
                      </c:pt>
                      <c:pt idx="178">
                        <c:v>92.786781769735157</c:v>
                      </c:pt>
                      <c:pt idx="179">
                        <c:v>92.773670801286173</c:v>
                      </c:pt>
                      <c:pt idx="180">
                        <c:v>92.76058144153896</c:v>
                      </c:pt>
                      <c:pt idx="181">
                        <c:v>92.747513573570956</c:v>
                      </c:pt>
                      <c:pt idx="182">
                        <c:v>92.73446708108068</c:v>
                      </c:pt>
                      <c:pt idx="183">
                        <c:v>92.721441848390143</c:v>
                      </c:pt>
                      <c:pt idx="184">
                        <c:v>92.708437760446998</c:v>
                      </c:pt>
                      <c:pt idx="185">
                        <c:v>92.695454702826368</c:v>
                      </c:pt>
                      <c:pt idx="186">
                        <c:v>92.682492561732573</c:v>
                      </c:pt>
                      <c:pt idx="187">
                        <c:v>92.669551224000486</c:v>
                      </c:pt>
                      <c:pt idx="188">
                        <c:v>92.656630577096749</c:v>
                      </c:pt>
                      <c:pt idx="189">
                        <c:v>92.6437305091209</c:v>
                      </c:pt>
                      <c:pt idx="190">
                        <c:v>92.630850908806082</c:v>
                      </c:pt>
                      <c:pt idx="191">
                        <c:v>92.617991665519611</c:v>
                      </c:pt>
                      <c:pt idx="192">
                        <c:v>92.605152669263575</c:v>
                      </c:pt>
                      <c:pt idx="193">
                        <c:v>92.592333810675029</c:v>
                      </c:pt>
                      <c:pt idx="194">
                        <c:v>92.579534981026043</c:v>
                      </c:pt>
                      <c:pt idx="195">
                        <c:v>92.56675607222374</c:v>
                      </c:pt>
                      <c:pt idx="196">
                        <c:v>92.553996976809941</c:v>
                      </c:pt>
                      <c:pt idx="197">
                        <c:v>92.541257587960942</c:v>
                      </c:pt>
                      <c:pt idx="198">
                        <c:v>92.528537799486955</c:v>
                      </c:pt>
                      <c:pt idx="199">
                        <c:v>92.515837505831371</c:v>
                      </c:pt>
                      <c:pt idx="200">
                        <c:v>92.503156602070149</c:v>
                      </c:pt>
                    </c:numCache>
                  </c:numRef>
                </c:val>
                <c:smooth val="0"/>
                <c:extLst>
                  <c:ext xmlns:c16="http://schemas.microsoft.com/office/drawing/2014/chart" uri="{C3380CC4-5D6E-409C-BE32-E72D297353CC}">
                    <c16:uniqueId val="{00000002-A14E-48BD-BFE8-75720359AA8F}"/>
                  </c:ext>
                </c:extLst>
              </c15:ser>
            </c15:filteredLineSeries>
          </c:ext>
        </c:extLst>
      </c:lineChart>
      <c:lineChart>
        <c:grouping val="standard"/>
        <c:varyColors val="0"/>
        <c:ser>
          <c:idx val="2"/>
          <c:order val="1"/>
          <c:tx>
            <c:strRef>
              <c:f>'Efficiency vs VIN Calculations'!$AV$8</c:f>
              <c:strCache>
                <c:ptCount val="1"/>
                <c:pt idx="0">
                  <c:v>RDS(on) Loss BoSync</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Calculations'!$AV$9:$AV$209</c:f>
              <c:numCache>
                <c:formatCode>0.000</c:formatCode>
                <c:ptCount val="201"/>
                <c:pt idx="0">
                  <c:v>0.60700580619209421</c:v>
                </c:pt>
                <c:pt idx="1">
                  <c:v>0.60708954647448188</c:v>
                </c:pt>
                <c:pt idx="2">
                  <c:v>0.60717366023935138</c:v>
                </c:pt>
                <c:pt idx="3">
                  <c:v>0.60725810865006613</c:v>
                </c:pt>
                <c:pt idx="4">
                  <c:v>0.6073428547681371</c:v>
                </c:pt>
                <c:pt idx="5">
                  <c:v>0.60742786346089095</c:v>
                </c:pt>
                <c:pt idx="6">
                  <c:v>0.60751310131398317</c:v>
                </c:pt>
                <c:pt idx="7">
                  <c:v>0.60759853654847751</c:v>
                </c:pt>
                <c:pt idx="8">
                  <c:v>0.60768413894223394</c:v>
                </c:pt>
                <c:pt idx="9">
                  <c:v>0.60776987975535446</c:v>
                </c:pt>
                <c:pt idx="10">
                  <c:v>0.60785573165946316</c:v>
                </c:pt>
                <c:pt idx="11">
                  <c:v>0.60794166867060406</c:v>
                </c:pt>
                <c:pt idx="12">
                  <c:v>0.60802766608555159</c:v>
                </c:pt>
                <c:pt idx="13">
                  <c:v>0.60811370042134794</c:v>
                </c:pt>
                <c:pt idx="14">
                  <c:v>0.60819974935788867</c:v>
                </c:pt>
                <c:pt idx="15">
                  <c:v>0.60828579168338504</c:v>
                </c:pt>
                <c:pt idx="16">
                  <c:v>0.60837180724255169</c:v>
                </c:pt>
                <c:pt idx="17">
                  <c:v>0.60845777688736813</c:v>
                </c:pt>
                <c:pt idx="18">
                  <c:v>0.60854368243027324</c:v>
                </c:pt>
                <c:pt idx="19">
                  <c:v>0.60862950659966886</c:v>
                </c:pt>
                <c:pt idx="20">
                  <c:v>0.60871523299759833</c:v>
                </c:pt>
                <c:pt idx="21">
                  <c:v>0.60880084605949636</c:v>
                </c:pt>
                <c:pt idx="22">
                  <c:v>0.60888633101588774</c:v>
                </c:pt>
                <c:pt idx="23">
                  <c:v>0.60897167385594542</c:v>
                </c:pt>
                <c:pt idx="24">
                  <c:v>0.60905686129279735</c:v>
                </c:pt>
                <c:pt idx="25">
                  <c:v>0.60914188073050224</c:v>
                </c:pt>
                <c:pt idx="26">
                  <c:v>0.60922672023260016</c:v>
                </c:pt>
                <c:pt idx="27">
                  <c:v>0.60931136849215795</c:v>
                </c:pt>
                <c:pt idx="28">
                  <c:v>0.60939581480323801</c:v>
                </c:pt>
                <c:pt idx="29">
                  <c:v>0.60948004903370723</c:v>
                </c:pt>
                <c:pt idx="30">
                  <c:v>0.60956406159932885</c:v>
                </c:pt>
                <c:pt idx="31">
                  <c:v>0.60964784343906431</c:v>
                </c:pt>
                <c:pt idx="32">
                  <c:v>0.60973138599152843</c:v>
                </c:pt>
                <c:pt idx="33">
                  <c:v>0.60981468117253668</c:v>
                </c:pt>
                <c:pt idx="34">
                  <c:v>0.60989772135369391</c:v>
                </c:pt>
                <c:pt idx="35">
                  <c:v>0.60998049934196819</c:v>
                </c:pt>
                <c:pt idx="36">
                  <c:v>0.61006300836020566</c:v>
                </c:pt>
                <c:pt idx="37">
                  <c:v>0.61014524202853426</c:v>
                </c:pt>
                <c:pt idx="38">
                  <c:v>0.61022719434661921</c:v>
                </c:pt>
                <c:pt idx="39">
                  <c:v>0.61030885967672355</c:v>
                </c:pt>
                <c:pt idx="40">
                  <c:v>0.61039023272753601</c:v>
                </c:pt>
                <c:pt idx="41">
                  <c:v>0.61047130853873022</c:v>
                </c:pt>
                <c:pt idx="42">
                  <c:v>0.61055208246621884</c:v>
                </c:pt>
                <c:pt idx="43">
                  <c:v>0.61063255016806806</c:v>
                </c:pt>
                <c:pt idx="44">
                  <c:v>0.61071270759104457</c:v>
                </c:pt>
                <c:pt idx="45">
                  <c:v>0.61079255095775864</c:v>
                </c:pt>
                <c:pt idx="46">
                  <c:v>0.61087207675438382</c:v>
                </c:pt>
                <c:pt idx="47">
                  <c:v>0.61095128171891577</c:v>
                </c:pt>
                <c:pt idx="48">
                  <c:v>0.61103016282995282</c:v>
                </c:pt>
                <c:pt idx="49">
                  <c:v>0.61110871729597138</c:v>
                </c:pt>
                <c:pt idx="50">
                  <c:v>0.61118694254506967</c:v>
                </c:pt>
                <c:pt idx="51">
                  <c:v>0.61126483621516414</c:v>
                </c:pt>
                <c:pt idx="52">
                  <c:v>0.61134239614461194</c:v>
                </c:pt>
                <c:pt idx="53">
                  <c:v>0.61141962036324371</c:v>
                </c:pt>
                <c:pt idx="54">
                  <c:v>0.61149650708378478</c:v>
                </c:pt>
                <c:pt idx="55">
                  <c:v>0.61157305469364931</c:v>
                </c:pt>
                <c:pt idx="56">
                  <c:v>0.61164926174708933</c:v>
                </c:pt>
                <c:pt idx="57">
                  <c:v>0.61172512695768222</c:v>
                </c:pt>
                <c:pt idx="58">
                  <c:v>0.61180064919114174</c:v>
                </c:pt>
                <c:pt idx="59">
                  <c:v>0.61187582745843838</c:v>
                </c:pt>
                <c:pt idx="60">
                  <c:v>0.61195066090921257</c:v>
                </c:pt>
                <c:pt idx="61">
                  <c:v>0.61202514882547432</c:v>
                </c:pt>
                <c:pt idx="62">
                  <c:v>0.61209929061556423</c:v>
                </c:pt>
                <c:pt idx="63">
                  <c:v>0.61217308580838004</c:v>
                </c:pt>
                <c:pt idx="64">
                  <c:v>0.61224653404784202</c:v>
                </c:pt>
                <c:pt idx="65">
                  <c:v>0.61231963508759757</c:v>
                </c:pt>
                <c:pt idx="66">
                  <c:v>0.6123923887859466</c:v>
                </c:pt>
                <c:pt idx="67">
                  <c:v>0.61246479510098573</c:v>
                </c:pt>
                <c:pt idx="68">
                  <c:v>0.61253685408595238</c:v>
                </c:pt>
                <c:pt idx="69">
                  <c:v>0.61260856588476964</c:v>
                </c:pt>
                <c:pt idx="70">
                  <c:v>0.61267993072777527</c:v>
                </c:pt>
                <c:pt idx="71">
                  <c:v>0.61275094892763327</c:v>
                </c:pt>
                <c:pt idx="72">
                  <c:v>0.61282162087541348</c:v>
                </c:pt>
                <c:pt idx="73">
                  <c:v>0.61289194703683891</c:v>
                </c:pt>
                <c:pt idx="74">
                  <c:v>0.61296192794868731</c:v>
                </c:pt>
                <c:pt idx="75">
                  <c:v>0.61303156421534577</c:v>
                </c:pt>
                <c:pt idx="76">
                  <c:v>0.61310085650550605</c:v>
                </c:pt>
                <c:pt idx="77">
                  <c:v>0.61316980554900158</c:v>
                </c:pt>
                <c:pt idx="78">
                  <c:v>0.61323841213377317</c:v>
                </c:pt>
                <c:pt idx="79">
                  <c:v>0.61330667710296261</c:v>
                </c:pt>
                <c:pt idx="80">
                  <c:v>0.61337460135212762</c:v>
                </c:pt>
                <c:pt idx="81">
                  <c:v>0.61344218582657062</c:v>
                </c:pt>
                <c:pt idx="82">
                  <c:v>0.61350943151878068</c:v>
                </c:pt>
                <c:pt idx="83">
                  <c:v>0.613576339465981</c:v>
                </c:pt>
                <c:pt idx="84">
                  <c:v>0.61364291074777844</c:v>
                </c:pt>
                <c:pt idx="85">
                  <c:v>0.61370914648390984</c:v>
                </c:pt>
                <c:pt idx="86">
                  <c:v>0.61377504783208225</c:v>
                </c:pt>
                <c:pt idx="87">
                  <c:v>0.61384061598590467</c:v>
                </c:pt>
                <c:pt idx="88">
                  <c:v>0.61390585217290217</c:v>
                </c:pt>
                <c:pt idx="89">
                  <c:v>0.61397075765261577</c:v>
                </c:pt>
                <c:pt idx="90">
                  <c:v>0.61403533371477859</c:v>
                </c:pt>
                <c:pt idx="91">
                  <c:v>0.61409958167756951</c:v>
                </c:pt>
                <c:pt idx="92">
                  <c:v>0.61416350288593979</c:v>
                </c:pt>
                <c:pt idx="93">
                  <c:v>0.61422709871000625</c:v>
                </c:pt>
                <c:pt idx="94">
                  <c:v>0.61429037054351543</c:v>
                </c:pt>
                <c:pt idx="95">
                  <c:v>0.61435331980236851</c:v>
                </c:pt>
                <c:pt idx="96">
                  <c:v>0.61441594792320853</c:v>
                </c:pt>
                <c:pt idx="97">
                  <c:v>0.61447825636206888</c:v>
                </c:pt>
                <c:pt idx="98">
                  <c:v>0.61454024659307327</c:v>
                </c:pt>
                <c:pt idx="99">
                  <c:v>0.6146019201071955</c:v>
                </c:pt>
                <c:pt idx="100">
                  <c:v>0.61466327841106772</c:v>
                </c:pt>
                <c:pt idx="101">
                  <c:v>0.61472432302583857</c:v>
                </c:pt>
                <c:pt idx="102">
                  <c:v>0.61478505548608253</c:v>
                </c:pt>
                <c:pt idx="103">
                  <c:v>0.6148454773387515</c:v>
                </c:pt>
                <c:pt idx="104">
                  <c:v>0.6149055901421725</c:v>
                </c:pt>
                <c:pt idx="105">
                  <c:v>0.61496539546508711</c:v>
                </c:pt>
                <c:pt idx="106">
                  <c:v>0.6150248948857312</c:v>
                </c:pt>
                <c:pt idx="107">
                  <c:v>0.61508408999095598</c:v>
                </c:pt>
                <c:pt idx="108">
                  <c:v>0.61514298237538434</c:v>
                </c:pt>
                <c:pt idx="109">
                  <c:v>0.61520157364060124</c:v>
                </c:pt>
                <c:pt idx="110">
                  <c:v>0.61525986539438482</c:v>
                </c:pt>
                <c:pt idx="111">
                  <c:v>0.61531785924996407</c:v>
                </c:pt>
                <c:pt idx="112">
                  <c:v>0.61537555682531375</c:v>
                </c:pt>
                <c:pt idx="113">
                  <c:v>0.61543295974247481</c:v>
                </c:pt>
                <c:pt idx="114">
                  <c:v>0.61549006962690844</c:v>
                </c:pt>
                <c:pt idx="115">
                  <c:v>0.61554688810687708</c:v>
                </c:pt>
                <c:pt idx="116">
                  <c:v>0.61560341681285025</c:v>
                </c:pt>
                <c:pt idx="117">
                  <c:v>0.61565965737694073</c:v>
                </c:pt>
                <c:pt idx="118">
                  <c:v>0.61571561143236153</c:v>
                </c:pt>
                <c:pt idx="119">
                  <c:v>0.61577128061290953</c:v>
                </c:pt>
                <c:pt idx="120">
                  <c:v>0.61582666655247065</c:v>
                </c:pt>
                <c:pt idx="121">
                  <c:v>0.61588177088454965</c:v>
                </c:pt>
                <c:pt idx="122">
                  <c:v>0.61593659524181643</c:v>
                </c:pt>
                <c:pt idx="123">
                  <c:v>0.61599114125567911</c:v>
                </c:pt>
                <c:pt idx="124">
                  <c:v>0.61604541055587125</c:v>
                </c:pt>
                <c:pt idx="125">
                  <c:v>0.61609940477006075</c:v>
                </c:pt>
                <c:pt idx="126">
                  <c:v>0.61615312552347634</c:v>
                </c:pt>
                <c:pt idx="127">
                  <c:v>0.61620657443855154</c:v>
                </c:pt>
                <c:pt idx="128">
                  <c:v>0.61625975313458481</c:v>
                </c:pt>
                <c:pt idx="129">
                  <c:v>0.61631266322741662</c:v>
                </c:pt>
                <c:pt idx="130">
                  <c:v>0.61636530632912179</c:v>
                </c:pt>
                <c:pt idx="131">
                  <c:v>0.61641768404771513</c:v>
                </c:pt>
                <c:pt idx="132">
                  <c:v>0.61646979798687396</c:v>
                </c:pt>
                <c:pt idx="133">
                  <c:v>0.61652164974567303</c:v>
                </c:pt>
                <c:pt idx="134">
                  <c:v>0.61657324091833154</c:v>
                </c:pt>
                <c:pt idx="135">
                  <c:v>0.61662457309397389</c:v>
                </c:pt>
                <c:pt idx="136">
                  <c:v>0.61667564785640439</c:v>
                </c:pt>
                <c:pt idx="137">
                  <c:v>0.61672646678388865</c:v>
                </c:pt>
                <c:pt idx="138">
                  <c:v>0.61677703144895213</c:v>
                </c:pt>
                <c:pt idx="139">
                  <c:v>0.61682734341818468</c:v>
                </c:pt>
                <c:pt idx="140">
                  <c:v>0.61687740425205873</c:v>
                </c:pt>
                <c:pt idx="141">
                  <c:v>0.61692721550475449</c:v>
                </c:pt>
                <c:pt idx="142">
                  <c:v>0.61697677872399792</c:v>
                </c:pt>
                <c:pt idx="143">
                  <c:v>0.61702609545090459</c:v>
                </c:pt>
                <c:pt idx="144">
                  <c:v>0.61707516721983524</c:v>
                </c:pt>
                <c:pt idx="145">
                  <c:v>0.61712399555825725</c:v>
                </c:pt>
                <c:pt idx="146">
                  <c:v>0.61717258198661662</c:v>
                </c:pt>
                <c:pt idx="147">
                  <c:v>0.61722092801821504</c:v>
                </c:pt>
                <c:pt idx="148">
                  <c:v>0.61726903515909826</c:v>
                </c:pt>
                <c:pt idx="149">
                  <c:v>0.61731690490794655</c:v>
                </c:pt>
                <c:pt idx="150">
                  <c:v>0.6173645387559773</c:v>
                </c:pt>
                <c:pt idx="151">
                  <c:v>0.61741193818685025</c:v>
                </c:pt>
                <c:pt idx="152">
                  <c:v>0.61745910467658116</c:v>
                </c:pt>
                <c:pt idx="153">
                  <c:v>0.61750603969346163</c:v>
                </c:pt>
                <c:pt idx="154">
                  <c:v>0.6175527446979826</c:v>
                </c:pt>
                <c:pt idx="155">
                  <c:v>0.61759922114276666</c:v>
                </c:pt>
                <c:pt idx="156">
                  <c:v>0.61764547047250384</c:v>
                </c:pt>
                <c:pt idx="157">
                  <c:v>0.61769149412389235</c:v>
                </c:pt>
                <c:pt idx="158">
                  <c:v>0.61773729352558382</c:v>
                </c:pt>
                <c:pt idx="159">
                  <c:v>0.61778287009813748</c:v>
                </c:pt>
                <c:pt idx="160">
                  <c:v>0.61782822525397307</c:v>
                </c:pt>
                <c:pt idx="161">
                  <c:v>0.61787336039733076</c:v>
                </c:pt>
                <c:pt idx="162">
                  <c:v>0.61791827692423695</c:v>
                </c:pt>
                <c:pt idx="163">
                  <c:v>0.61796297622247054</c:v>
                </c:pt>
                <c:pt idx="164">
                  <c:v>0.61800745967153692</c:v>
                </c:pt>
                <c:pt idx="165">
                  <c:v>0.61805172864264213</c:v>
                </c:pt>
                <c:pt idx="166">
                  <c:v>0.61809578449867242</c:v>
                </c:pt>
                <c:pt idx="167">
                  <c:v>0.61813962859417726</c:v>
                </c:pt>
                <c:pt idx="168">
                  <c:v>0.61818326227535569</c:v>
                </c:pt>
                <c:pt idx="169">
                  <c:v>0.61822668688004312</c:v>
                </c:pt>
                <c:pt idx="170">
                  <c:v>0.61826990373770663</c:v>
                </c:pt>
                <c:pt idx="171">
                  <c:v>0.6183129141694369</c:v>
                </c:pt>
                <c:pt idx="172">
                  <c:v>0.61835571948794743</c:v>
                </c:pt>
                <c:pt idx="173">
                  <c:v>0.61839832099757397</c:v>
                </c:pt>
                <c:pt idx="174">
                  <c:v>0.6184407199942773</c:v>
                </c:pt>
                <c:pt idx="175">
                  <c:v>0.61848291776564834</c:v>
                </c:pt>
                <c:pt idx="176">
                  <c:v>0.61852491559091582</c:v>
                </c:pt>
                <c:pt idx="177">
                  <c:v>0.61856671474095481</c:v>
                </c:pt>
                <c:pt idx="178">
                  <c:v>0.6186083164782995</c:v>
                </c:pt>
                <c:pt idx="179">
                  <c:v>0.61864972205715529</c:v>
                </c:pt>
                <c:pt idx="180">
                  <c:v>0.61869093272341669</c:v>
                </c:pt>
                <c:pt idx="181">
                  <c:v>0.61873194971468115</c:v>
                </c:pt>
                <c:pt idx="182">
                  <c:v>0.61877277426027111</c:v>
                </c:pt>
                <c:pt idx="183">
                  <c:v>0.61881340758125269</c:v>
                </c:pt>
                <c:pt idx="184">
                  <c:v>0.61885385089045952</c:v>
                </c:pt>
                <c:pt idx="185">
                  <c:v>0.61889410539251422</c:v>
                </c:pt>
                <c:pt idx="186">
                  <c:v>0.61893417228385594</c:v>
                </c:pt>
                <c:pt idx="187">
                  <c:v>0.61897405275276507</c:v>
                </c:pt>
                <c:pt idx="188">
                  <c:v>0.61901374797939179</c:v>
                </c:pt>
                <c:pt idx="189">
                  <c:v>0.61905325913578435</c:v>
                </c:pt>
                <c:pt idx="190">
                  <c:v>0.61909258738591999</c:v>
                </c:pt>
                <c:pt idx="191">
                  <c:v>0.61913173388573639</c:v>
                </c:pt>
                <c:pt idx="192">
                  <c:v>0.61917069978316153</c:v>
                </c:pt>
                <c:pt idx="193">
                  <c:v>0.61920948621815086</c:v>
                </c:pt>
                <c:pt idx="194">
                  <c:v>0.61924809432271744</c:v>
                </c:pt>
                <c:pt idx="195">
                  <c:v>0.61928652522096994</c:v>
                </c:pt>
                <c:pt idx="196">
                  <c:v>0.61932478002914748</c:v>
                </c:pt>
                <c:pt idx="197">
                  <c:v>0.6193628598556552</c:v>
                </c:pt>
                <c:pt idx="198">
                  <c:v>0.61940076580110426</c:v>
                </c:pt>
                <c:pt idx="199">
                  <c:v>0.61943849895834724</c:v>
                </c:pt>
                <c:pt idx="200">
                  <c:v>0.61947606041251824</c:v>
                </c:pt>
              </c:numCache>
            </c:numRef>
          </c:val>
          <c:smooth val="0"/>
          <c:extLst>
            <c:ext xmlns:c16="http://schemas.microsoft.com/office/drawing/2014/chart" uri="{C3380CC4-5D6E-409C-BE32-E72D297353CC}">
              <c16:uniqueId val="{00000000-A14E-48BD-BFE8-75720359AA8F}"/>
            </c:ext>
          </c:extLst>
        </c:ser>
        <c:ser>
          <c:idx val="1"/>
          <c:order val="2"/>
          <c:tx>
            <c:strRef>
              <c:f>'Efficiency vs VIN Calculations'!$AW$8</c:f>
              <c:strCache>
                <c:ptCount val="1"/>
                <c:pt idx="0">
                  <c:v>Deadtime Loss BoSync</c:v>
                </c:pt>
              </c:strCache>
            </c:strRef>
          </c:tx>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Calculations'!$AW$9:$AW$209</c:f>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1-A14E-48BD-BFE8-75720359AA8F}"/>
            </c:ext>
          </c:extLst>
        </c:ser>
        <c:dLbls>
          <c:showLegendKey val="0"/>
          <c:showVal val="0"/>
          <c:showCatName val="0"/>
          <c:showSerName val="0"/>
          <c:showPercent val="0"/>
          <c:showBubbleSize val="0"/>
        </c:dLbls>
        <c:marker val="1"/>
        <c:smooth val="0"/>
        <c:axId val="196432256"/>
        <c:axId val="196421888"/>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65663198899668607"/>
          <c:y val="7.5971492472867871E-2"/>
          <c:w val="0.23290347792106295"/>
          <c:h val="0.10885276124218299"/>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Inductor</a:t>
            </a:r>
            <a:r>
              <a:rPr lang="en-US" baseline="0"/>
              <a:t> Ripple Ratio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602559055118109"/>
          <c:y val="0.17171296296296296"/>
          <c:w val="0.76593285214348206"/>
          <c:h val="0.60940543890347043"/>
        </c:manualLayout>
      </c:layout>
      <c:scatterChart>
        <c:scatterStyle val="smoothMarker"/>
        <c:varyColors val="0"/>
        <c:ser>
          <c:idx val="0"/>
          <c:order val="0"/>
          <c:tx>
            <c:strRef>
              <c:f>'Inductor Current'!$AC$81</c:f>
              <c:strCache>
                <c:ptCount val="1"/>
                <c:pt idx="0">
                  <c:v>Vin = 20 V</c:v>
                </c:pt>
              </c:strCache>
            </c:strRef>
          </c:tx>
          <c:spPr>
            <a:ln w="19050" cap="rnd">
              <a:solidFill>
                <a:schemeClr val="accent1"/>
              </a:solidFill>
              <a:round/>
            </a:ln>
            <a:effectLst/>
          </c:spPr>
          <c:marker>
            <c:symbol val="none"/>
          </c:marker>
          <c:xVal>
            <c:numRef>
              <c:f>'Inductor Current'!$AB$82:$AB$102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Current'!$AC$82:$AC$102</c:f>
              <c:numCache>
                <c:formatCode>0%</c:formatCode>
                <c:ptCount val="21"/>
                <c:pt idx="0">
                  <c:v>0.90478255219909853</c:v>
                </c:pt>
                <c:pt idx="1">
                  <c:v>0.33984628922322718</c:v>
                </c:pt>
                <c:pt idx="2">
                  <c:v>0.20921484418921188</c:v>
                </c:pt>
                <c:pt idx="3">
                  <c:v>0.15112487429478139</c:v>
                </c:pt>
                <c:pt idx="4">
                  <c:v>0.11828281932402258</c:v>
                </c:pt>
                <c:pt idx="5">
                  <c:v>9.7166791188722623E-2</c:v>
                </c:pt>
                <c:pt idx="6">
                  <c:v>8.2448041830650604E-2</c:v>
                </c:pt>
                <c:pt idx="7">
                  <c:v>7.1601849759373629E-2</c:v>
                </c:pt>
                <c:pt idx="8">
                  <c:v>6.3277568797216133E-2</c:v>
                </c:pt>
                <c:pt idx="9">
                  <c:v>5.6687230236908727E-2</c:v>
                </c:pt>
                <c:pt idx="10">
                  <c:v>5.1340168138775129E-2</c:v>
                </c:pt>
                <c:pt idx="11">
                  <c:v>4.6914888880586862E-2</c:v>
                </c:pt>
                <c:pt idx="12">
                  <c:v>4.3191947626559112E-2</c:v>
                </c:pt>
                <c:pt idx="13">
                  <c:v>4.0016434709965888E-2</c:v>
                </c:pt>
                <c:pt idx="14">
                  <c:v>3.7275876917734749E-2</c:v>
                </c:pt>
                <c:pt idx="15">
                  <c:v>3.4886637427985846E-2</c:v>
                </c:pt>
                <c:pt idx="16">
                  <c:v>3.2785230969191996E-2</c:v>
                </c:pt>
                <c:pt idx="17">
                  <c:v>3.0922599457166227E-2</c:v>
                </c:pt>
                <c:pt idx="18">
                  <c:v>2.9260234045334784E-2</c:v>
                </c:pt>
                <c:pt idx="19">
                  <c:v>2.7767484207653167E-2</c:v>
                </c:pt>
                <c:pt idx="20">
                  <c:v>2.6419650524213679E-2</c:v>
                </c:pt>
              </c:numCache>
            </c:numRef>
          </c:yVal>
          <c:smooth val="1"/>
          <c:extLst>
            <c:ext xmlns:c16="http://schemas.microsoft.com/office/drawing/2014/chart" uri="{C3380CC4-5D6E-409C-BE32-E72D297353CC}">
              <c16:uniqueId val="{00000000-0699-4CCA-B939-D7CD0415B9D6}"/>
            </c:ext>
          </c:extLst>
        </c:ser>
        <c:ser>
          <c:idx val="1"/>
          <c:order val="1"/>
          <c:tx>
            <c:strRef>
              <c:f>'Inductor Current'!$AD$81</c:f>
              <c:strCache>
                <c:ptCount val="1"/>
                <c:pt idx="0">
                  <c:v>Vin = 20 V</c:v>
                </c:pt>
              </c:strCache>
            </c:strRef>
          </c:tx>
          <c:spPr>
            <a:ln w="19050" cap="rnd">
              <a:solidFill>
                <a:schemeClr val="accent2"/>
              </a:solidFill>
              <a:round/>
            </a:ln>
            <a:effectLst/>
          </c:spPr>
          <c:marker>
            <c:symbol val="none"/>
          </c:marker>
          <c:xVal>
            <c:numRef>
              <c:f>'Inductor Current'!$AB$82:$AB$102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Current'!$AD$82:$AD$102</c:f>
              <c:numCache>
                <c:formatCode>0%</c:formatCode>
                <c:ptCount val="21"/>
                <c:pt idx="0">
                  <c:v>0.90478255219909853</c:v>
                </c:pt>
                <c:pt idx="1">
                  <c:v>0.33984628922322718</c:v>
                </c:pt>
                <c:pt idx="2">
                  <c:v>0.20921484418921188</c:v>
                </c:pt>
                <c:pt idx="3">
                  <c:v>0.15112487429478139</c:v>
                </c:pt>
                <c:pt idx="4">
                  <c:v>0.11828281932402258</c:v>
                </c:pt>
                <c:pt idx="5">
                  <c:v>9.7166791188722623E-2</c:v>
                </c:pt>
                <c:pt idx="6">
                  <c:v>8.2448041830650604E-2</c:v>
                </c:pt>
                <c:pt idx="7">
                  <c:v>7.1601849759373629E-2</c:v>
                </c:pt>
                <c:pt idx="8">
                  <c:v>6.3277568797216133E-2</c:v>
                </c:pt>
                <c:pt idx="9">
                  <c:v>5.6687230236908727E-2</c:v>
                </c:pt>
                <c:pt idx="10">
                  <c:v>5.1340168138775129E-2</c:v>
                </c:pt>
                <c:pt idx="11">
                  <c:v>4.6914888880586862E-2</c:v>
                </c:pt>
                <c:pt idx="12">
                  <c:v>4.3191947626559112E-2</c:v>
                </c:pt>
                <c:pt idx="13">
                  <c:v>4.0016434709965888E-2</c:v>
                </c:pt>
                <c:pt idx="14">
                  <c:v>3.7275876917734749E-2</c:v>
                </c:pt>
                <c:pt idx="15">
                  <c:v>3.4886637427985846E-2</c:v>
                </c:pt>
                <c:pt idx="16">
                  <c:v>3.2785230969191996E-2</c:v>
                </c:pt>
                <c:pt idx="17">
                  <c:v>3.0922599457166227E-2</c:v>
                </c:pt>
                <c:pt idx="18">
                  <c:v>2.9260234045334784E-2</c:v>
                </c:pt>
                <c:pt idx="19">
                  <c:v>2.7767484207653167E-2</c:v>
                </c:pt>
                <c:pt idx="20">
                  <c:v>2.6419650524213679E-2</c:v>
                </c:pt>
              </c:numCache>
            </c:numRef>
          </c:yVal>
          <c:smooth val="1"/>
          <c:extLst>
            <c:ext xmlns:c16="http://schemas.microsoft.com/office/drawing/2014/chart" uri="{C3380CC4-5D6E-409C-BE32-E72D297353CC}">
              <c16:uniqueId val="{00000001-0699-4CCA-B939-D7CD0415B9D6}"/>
            </c:ext>
          </c:extLst>
        </c:ser>
        <c:ser>
          <c:idx val="2"/>
          <c:order val="2"/>
          <c:tx>
            <c:strRef>
              <c:f>'Inductor Current'!$AE$81</c:f>
              <c:strCache>
                <c:ptCount val="1"/>
                <c:pt idx="0">
                  <c:v>Vin = 48 V</c:v>
                </c:pt>
              </c:strCache>
            </c:strRef>
          </c:tx>
          <c:spPr>
            <a:ln w="19050" cap="rnd">
              <a:solidFill>
                <a:schemeClr val="accent3"/>
              </a:solidFill>
              <a:round/>
            </a:ln>
            <a:effectLst/>
          </c:spPr>
          <c:marker>
            <c:symbol val="none"/>
          </c:marker>
          <c:xVal>
            <c:numRef>
              <c:f>'Inductor Current'!$AB$82:$AB$102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Current'!$AE$82:$AE$102</c:f>
              <c:numCache>
                <c:formatCode>0%</c:formatCode>
                <c:ptCount val="21"/>
                <c:pt idx="0">
                  <c:v>2.3338088732593874</c:v>
                </c:pt>
                <c:pt idx="1">
                  <c:v>0.87660431051163001</c:v>
                </c:pt>
                <c:pt idx="2">
                  <c:v>0.53965171918889854</c:v>
                </c:pt>
                <c:pt idx="3">
                  <c:v>0.38981363173077521</c:v>
                </c:pt>
                <c:pt idx="4">
                  <c:v>0.30510037204143142</c:v>
                </c:pt>
                <c:pt idx="5">
                  <c:v>0.25063339131730089</c:v>
                </c:pt>
                <c:pt idx="6">
                  <c:v>0.2126676416776124</c:v>
                </c:pt>
                <c:pt idx="7">
                  <c:v>0.18469082090946423</c:v>
                </c:pt>
                <c:pt idx="8">
                  <c:v>0.1632190532170294</c:v>
                </c:pt>
                <c:pt idx="9">
                  <c:v>0.14621984100582353</c:v>
                </c:pt>
                <c:pt idx="10">
                  <c:v>0.13242755363228551</c:v>
                </c:pt>
                <c:pt idx="11">
                  <c:v>0.12101292591393635</c:v>
                </c:pt>
                <c:pt idx="12">
                  <c:v>0.11140991874701495</c:v>
                </c:pt>
                <c:pt idx="13">
                  <c:v>0.10321895595282499</c:v>
                </c:pt>
                <c:pt idx="14">
                  <c:v>9.6149922539610189E-2</c:v>
                </c:pt>
                <c:pt idx="15">
                  <c:v>8.9987084509671356E-2</c:v>
                </c:pt>
                <c:pt idx="16">
                  <c:v>8.4566687058441017E-2</c:v>
                </c:pt>
                <c:pt idx="17">
                  <c:v>7.9762189071811276E-2</c:v>
                </c:pt>
                <c:pt idx="18">
                  <c:v>7.5474260287925962E-2</c:v>
                </c:pt>
                <c:pt idx="19">
                  <c:v>7.1623840307710379E-2</c:v>
                </c:pt>
                <c:pt idx="20">
                  <c:v>6.8147219099174122E-2</c:v>
                </c:pt>
              </c:numCache>
            </c:numRef>
          </c:yVal>
          <c:smooth val="1"/>
          <c:extLst>
            <c:ext xmlns:c16="http://schemas.microsoft.com/office/drawing/2014/chart" uri="{C3380CC4-5D6E-409C-BE32-E72D297353CC}">
              <c16:uniqueId val="{00000002-0699-4CCA-B939-D7CD0415B9D6}"/>
            </c:ext>
          </c:extLst>
        </c:ser>
        <c:dLbls>
          <c:showLegendKey val="0"/>
          <c:showVal val="0"/>
          <c:showCatName val="0"/>
          <c:showSerName val="0"/>
          <c:showPercent val="0"/>
          <c:showBubbleSize val="0"/>
        </c:dLbls>
        <c:axId val="1531255152"/>
        <c:axId val="1959075888"/>
      </c:scatterChart>
      <c:valAx>
        <c:axId val="1531255152"/>
        <c:scaling>
          <c:orientation val="minMax"/>
          <c:min val="0.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Inductor</a:t>
                </a:r>
                <a:r>
                  <a:rPr lang="en-US" baseline="0"/>
                  <a:t> [uH]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9075888"/>
        <c:crosses val="autoZero"/>
        <c:crossBetween val="midCat"/>
      </c:valAx>
      <c:valAx>
        <c:axId val="1959075888"/>
        <c:scaling>
          <c:orientation val="minMax"/>
          <c:max val="2"/>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Inductor Ripple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1255152"/>
        <c:crossesAt val="0.5"/>
        <c:crossBetween val="midCat"/>
      </c:valAx>
      <c:spPr>
        <a:noFill/>
        <a:ln>
          <a:noFill/>
        </a:ln>
        <a:effectLst/>
      </c:spPr>
    </c:plotArea>
    <c:legend>
      <c:legendPos val="b"/>
      <c:layout>
        <c:manualLayout>
          <c:xMode val="edge"/>
          <c:yMode val="edge"/>
          <c:x val="0.69293766404199475"/>
          <c:y val="0.17187445319335082"/>
          <c:w val="0.22523556430446195"/>
          <c:h val="0.25405147273257511"/>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IL Peak,Peak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548381452318461"/>
          <c:y val="0.17171296296296296"/>
          <c:w val="0.80982174103237092"/>
          <c:h val="0.70199803149606288"/>
        </c:manualLayout>
      </c:layout>
      <c:scatterChart>
        <c:scatterStyle val="smoothMarker"/>
        <c:varyColors val="0"/>
        <c:ser>
          <c:idx val="0"/>
          <c:order val="0"/>
          <c:tx>
            <c:strRef>
              <c:f>'Inductor Current'!$S$81</c:f>
              <c:strCache>
                <c:ptCount val="1"/>
                <c:pt idx="0">
                  <c:v>Vin = 20 V</c:v>
                </c:pt>
              </c:strCache>
            </c:strRef>
          </c:tx>
          <c:spPr>
            <a:ln w="19050" cap="rnd">
              <a:solidFill>
                <a:schemeClr val="accent1"/>
              </a:solidFill>
              <a:round/>
            </a:ln>
            <a:effectLst/>
          </c:spPr>
          <c:marker>
            <c:symbol val="none"/>
          </c:marker>
          <c:xVal>
            <c:numRef>
              <c:f>'Inductor Current'!$R$82:$R$102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Current'!$S$82:$S$102</c:f>
              <c:numCache>
                <c:formatCode>General</c:formatCode>
                <c:ptCount val="21"/>
                <c:pt idx="0">
                  <c:v>10.857390626389183</c:v>
                </c:pt>
                <c:pt idx="1">
                  <c:v>4.078155470678726</c:v>
                </c:pt>
                <c:pt idx="2">
                  <c:v>2.5105781302705426</c:v>
                </c:pt>
                <c:pt idx="3">
                  <c:v>1.8134984915373766</c:v>
                </c:pt>
                <c:pt idx="4">
                  <c:v>1.4193938318882711</c:v>
                </c:pt>
                <c:pt idx="5">
                  <c:v>1.1660014942646715</c:v>
                </c:pt>
                <c:pt idx="6">
                  <c:v>0.98937650196780724</c:v>
                </c:pt>
                <c:pt idx="7">
                  <c:v>0.85922219711248349</c:v>
                </c:pt>
                <c:pt idx="8">
                  <c:v>0.75933082556659359</c:v>
                </c:pt>
                <c:pt idx="9">
                  <c:v>0.68024676284290475</c:v>
                </c:pt>
                <c:pt idx="10">
                  <c:v>0.61608201766530157</c:v>
                </c:pt>
                <c:pt idx="11">
                  <c:v>0.56297866656704232</c:v>
                </c:pt>
                <c:pt idx="12">
                  <c:v>0.51830337151870931</c:v>
                </c:pt>
                <c:pt idx="13">
                  <c:v>0.48019721651959069</c:v>
                </c:pt>
                <c:pt idx="14">
                  <c:v>0.44731052301281699</c:v>
                </c:pt>
                <c:pt idx="15">
                  <c:v>0.41863964913583013</c:v>
                </c:pt>
                <c:pt idx="16">
                  <c:v>0.39342277163030398</c:v>
                </c:pt>
                <c:pt idx="17">
                  <c:v>0.37107119348599471</c:v>
                </c:pt>
                <c:pt idx="18">
                  <c:v>0.3511228085440174</c:v>
                </c:pt>
                <c:pt idx="19">
                  <c:v>0.33320981049183801</c:v>
                </c:pt>
                <c:pt idx="20">
                  <c:v>0.31703580629056416</c:v>
                </c:pt>
              </c:numCache>
            </c:numRef>
          </c:yVal>
          <c:smooth val="1"/>
          <c:extLst>
            <c:ext xmlns:c16="http://schemas.microsoft.com/office/drawing/2014/chart" uri="{C3380CC4-5D6E-409C-BE32-E72D297353CC}">
              <c16:uniqueId val="{00000000-3913-4DED-B871-C0D99F35D2FB}"/>
            </c:ext>
          </c:extLst>
        </c:ser>
        <c:ser>
          <c:idx val="1"/>
          <c:order val="1"/>
          <c:tx>
            <c:strRef>
              <c:f>'Inductor Current'!$T$81</c:f>
              <c:strCache>
                <c:ptCount val="1"/>
                <c:pt idx="0">
                  <c:v>Vin = 20 V</c:v>
                </c:pt>
              </c:strCache>
            </c:strRef>
          </c:tx>
          <c:spPr>
            <a:ln w="19050" cap="rnd">
              <a:solidFill>
                <a:schemeClr val="accent2"/>
              </a:solidFill>
              <a:round/>
            </a:ln>
            <a:effectLst/>
          </c:spPr>
          <c:marker>
            <c:symbol val="none"/>
          </c:marker>
          <c:xVal>
            <c:numRef>
              <c:f>'Inductor Current'!$R$82:$R$102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Current'!$T$82:$T$102</c:f>
              <c:numCache>
                <c:formatCode>General</c:formatCode>
                <c:ptCount val="21"/>
                <c:pt idx="0">
                  <c:v>10.857390626389183</c:v>
                </c:pt>
                <c:pt idx="1">
                  <c:v>4.078155470678726</c:v>
                </c:pt>
                <c:pt idx="2">
                  <c:v>2.5105781302705426</c:v>
                </c:pt>
                <c:pt idx="3">
                  <c:v>1.8134984915373766</c:v>
                </c:pt>
                <c:pt idx="4">
                  <c:v>1.4193938318882711</c:v>
                </c:pt>
                <c:pt idx="5">
                  <c:v>1.1660014942646715</c:v>
                </c:pt>
                <c:pt idx="6">
                  <c:v>0.98937650196780724</c:v>
                </c:pt>
                <c:pt idx="7">
                  <c:v>0.85922219711248349</c:v>
                </c:pt>
                <c:pt idx="8">
                  <c:v>0.75933082556659359</c:v>
                </c:pt>
                <c:pt idx="9">
                  <c:v>0.68024676284290475</c:v>
                </c:pt>
                <c:pt idx="10">
                  <c:v>0.61608201766530157</c:v>
                </c:pt>
                <c:pt idx="11">
                  <c:v>0.56297866656704232</c:v>
                </c:pt>
                <c:pt idx="12">
                  <c:v>0.51830337151870931</c:v>
                </c:pt>
                <c:pt idx="13">
                  <c:v>0.48019721651959069</c:v>
                </c:pt>
                <c:pt idx="14">
                  <c:v>0.44731052301281699</c:v>
                </c:pt>
                <c:pt idx="15">
                  <c:v>0.41863964913583013</c:v>
                </c:pt>
                <c:pt idx="16">
                  <c:v>0.39342277163030398</c:v>
                </c:pt>
                <c:pt idx="17">
                  <c:v>0.37107119348599471</c:v>
                </c:pt>
                <c:pt idx="18">
                  <c:v>0.3511228085440174</c:v>
                </c:pt>
                <c:pt idx="19">
                  <c:v>0.33320981049183801</c:v>
                </c:pt>
                <c:pt idx="20">
                  <c:v>0.31703580629056416</c:v>
                </c:pt>
              </c:numCache>
            </c:numRef>
          </c:yVal>
          <c:smooth val="1"/>
          <c:extLst>
            <c:ext xmlns:c16="http://schemas.microsoft.com/office/drawing/2014/chart" uri="{C3380CC4-5D6E-409C-BE32-E72D297353CC}">
              <c16:uniqueId val="{00000001-3913-4DED-B871-C0D99F35D2FB}"/>
            </c:ext>
          </c:extLst>
        </c:ser>
        <c:ser>
          <c:idx val="2"/>
          <c:order val="2"/>
          <c:tx>
            <c:strRef>
              <c:f>'Inductor Current'!$U$81</c:f>
              <c:strCache>
                <c:ptCount val="1"/>
                <c:pt idx="0">
                  <c:v>Vin = 48 V</c:v>
                </c:pt>
              </c:strCache>
            </c:strRef>
          </c:tx>
          <c:spPr>
            <a:ln w="19050" cap="rnd">
              <a:solidFill>
                <a:schemeClr val="accent3"/>
              </a:solidFill>
              <a:round/>
            </a:ln>
            <a:effectLst/>
          </c:spPr>
          <c:marker>
            <c:symbol val="none"/>
          </c:marker>
          <c:xVal>
            <c:numRef>
              <c:f>'Inductor Current'!$R$82:$R$102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Current'!$U$82:$U$102</c:f>
              <c:numCache>
                <c:formatCode>General</c:formatCode>
                <c:ptCount val="21"/>
                <c:pt idx="0">
                  <c:v>28.005706479112646</c:v>
                </c:pt>
                <c:pt idx="1">
                  <c:v>10.51925172613956</c:v>
                </c:pt>
                <c:pt idx="2">
                  <c:v>6.4758206302667825</c:v>
                </c:pt>
                <c:pt idx="3">
                  <c:v>4.6777635807693025</c:v>
                </c:pt>
                <c:pt idx="4">
                  <c:v>3.6612044644971773</c:v>
                </c:pt>
                <c:pt idx="5">
                  <c:v>3.0076006958076107</c:v>
                </c:pt>
                <c:pt idx="6">
                  <c:v>2.5520117001313487</c:v>
                </c:pt>
                <c:pt idx="7">
                  <c:v>2.2162898509135709</c:v>
                </c:pt>
                <c:pt idx="8">
                  <c:v>1.9586286386043528</c:v>
                </c:pt>
                <c:pt idx="9">
                  <c:v>1.7546380920698823</c:v>
                </c:pt>
                <c:pt idx="10">
                  <c:v>1.589130643587426</c:v>
                </c:pt>
                <c:pt idx="11">
                  <c:v>1.4521551109672362</c:v>
                </c:pt>
                <c:pt idx="12">
                  <c:v>1.3369190249641794</c:v>
                </c:pt>
                <c:pt idx="13">
                  <c:v>1.2386274714338998</c:v>
                </c:pt>
                <c:pt idx="14">
                  <c:v>1.1537990704753223</c:v>
                </c:pt>
                <c:pt idx="15">
                  <c:v>1.0798450141160563</c:v>
                </c:pt>
                <c:pt idx="16">
                  <c:v>1.0148002447012923</c:v>
                </c:pt>
                <c:pt idx="17">
                  <c:v>0.95714626886173526</c:v>
                </c:pt>
                <c:pt idx="18">
                  <c:v>0.9056911234551116</c:v>
                </c:pt>
                <c:pt idx="19">
                  <c:v>0.85948608369252455</c:v>
                </c:pt>
                <c:pt idx="20">
                  <c:v>0.81776662919008947</c:v>
                </c:pt>
              </c:numCache>
            </c:numRef>
          </c:yVal>
          <c:smooth val="1"/>
          <c:extLst>
            <c:ext xmlns:c16="http://schemas.microsoft.com/office/drawing/2014/chart" uri="{C3380CC4-5D6E-409C-BE32-E72D297353CC}">
              <c16:uniqueId val="{00000002-3913-4DED-B871-C0D99F35D2FB}"/>
            </c:ext>
          </c:extLst>
        </c:ser>
        <c:dLbls>
          <c:showLegendKey val="0"/>
          <c:showVal val="0"/>
          <c:showCatName val="0"/>
          <c:showSerName val="0"/>
          <c:showPercent val="0"/>
          <c:showBubbleSize val="0"/>
        </c:dLbls>
        <c:axId val="2084845216"/>
        <c:axId val="2023289856"/>
      </c:scatterChart>
      <c:valAx>
        <c:axId val="2084845216"/>
        <c:scaling>
          <c:logBase val="10"/>
          <c:orientation val="minMax"/>
          <c:min val="0.5"/>
        </c:scaling>
        <c:delete val="0"/>
        <c:axPos val="b"/>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Inductor</a:t>
                </a:r>
                <a:r>
                  <a:rPr lang="en-US" baseline="0"/>
                  <a:t> [uH]</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3289856"/>
        <c:crossesAt val="0.1"/>
        <c:crossBetween val="midCat"/>
      </c:valAx>
      <c:valAx>
        <c:axId val="2023289856"/>
        <c:scaling>
          <c:logBase val="10"/>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IL Peak,Peak [A]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4845216"/>
        <c:crossesAt val="0.5"/>
        <c:crossBetween val="midCat"/>
      </c:valAx>
      <c:spPr>
        <a:noFill/>
        <a:ln>
          <a:noFill/>
        </a:ln>
        <a:effectLst/>
      </c:spPr>
    </c:plotArea>
    <c:legend>
      <c:legendPos val="b"/>
      <c:layout>
        <c:manualLayout>
          <c:xMode val="edge"/>
          <c:yMode val="edge"/>
          <c:x val="0.70593766404199476"/>
          <c:y val="0.2042818606007582"/>
          <c:w val="0.21868000874890639"/>
          <c:h val="0.32349591717701953"/>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Inductor</a:t>
            </a:r>
            <a:r>
              <a:rPr lang="en-US" baseline="0"/>
              <a:t> Ripple Ratio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602559055118109"/>
          <c:y val="0.17171296296296296"/>
          <c:w val="0.76593285214348206"/>
          <c:h val="0.60940543890347043"/>
        </c:manualLayout>
      </c:layout>
      <c:scatterChart>
        <c:scatterStyle val="smoothMarker"/>
        <c:varyColors val="0"/>
        <c:ser>
          <c:idx val="0"/>
          <c:order val="0"/>
          <c:tx>
            <c:strRef>
              <c:f>'Inductor Current'!$AC$81</c:f>
              <c:strCache>
                <c:ptCount val="1"/>
                <c:pt idx="0">
                  <c:v>Vin = 20 V</c:v>
                </c:pt>
              </c:strCache>
            </c:strRef>
          </c:tx>
          <c:spPr>
            <a:ln w="19050" cap="rnd">
              <a:solidFill>
                <a:schemeClr val="accent1"/>
              </a:solidFill>
              <a:round/>
            </a:ln>
            <a:effectLst/>
          </c:spPr>
          <c:marker>
            <c:symbol val="none"/>
          </c:marker>
          <c:xVal>
            <c:numRef>
              <c:f>'Inductor Current'!$AB$82:$AB$102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Current'!$AC$82:$AC$102</c:f>
              <c:numCache>
                <c:formatCode>0%</c:formatCode>
                <c:ptCount val="21"/>
                <c:pt idx="0">
                  <c:v>0.90478255219909853</c:v>
                </c:pt>
                <c:pt idx="1">
                  <c:v>0.33984628922322718</c:v>
                </c:pt>
                <c:pt idx="2">
                  <c:v>0.20921484418921188</c:v>
                </c:pt>
                <c:pt idx="3">
                  <c:v>0.15112487429478139</c:v>
                </c:pt>
                <c:pt idx="4">
                  <c:v>0.11828281932402258</c:v>
                </c:pt>
                <c:pt idx="5">
                  <c:v>9.7166791188722623E-2</c:v>
                </c:pt>
                <c:pt idx="6">
                  <c:v>8.2448041830650604E-2</c:v>
                </c:pt>
                <c:pt idx="7">
                  <c:v>7.1601849759373629E-2</c:v>
                </c:pt>
                <c:pt idx="8">
                  <c:v>6.3277568797216133E-2</c:v>
                </c:pt>
                <c:pt idx="9">
                  <c:v>5.6687230236908727E-2</c:v>
                </c:pt>
                <c:pt idx="10">
                  <c:v>5.1340168138775129E-2</c:v>
                </c:pt>
                <c:pt idx="11">
                  <c:v>4.6914888880586862E-2</c:v>
                </c:pt>
                <c:pt idx="12">
                  <c:v>4.3191947626559112E-2</c:v>
                </c:pt>
                <c:pt idx="13">
                  <c:v>4.0016434709965888E-2</c:v>
                </c:pt>
                <c:pt idx="14">
                  <c:v>3.7275876917734749E-2</c:v>
                </c:pt>
                <c:pt idx="15">
                  <c:v>3.4886637427985846E-2</c:v>
                </c:pt>
                <c:pt idx="16">
                  <c:v>3.2785230969191996E-2</c:v>
                </c:pt>
                <c:pt idx="17">
                  <c:v>3.0922599457166227E-2</c:v>
                </c:pt>
                <c:pt idx="18">
                  <c:v>2.9260234045334784E-2</c:v>
                </c:pt>
                <c:pt idx="19">
                  <c:v>2.7767484207653167E-2</c:v>
                </c:pt>
                <c:pt idx="20">
                  <c:v>2.6419650524213679E-2</c:v>
                </c:pt>
              </c:numCache>
            </c:numRef>
          </c:yVal>
          <c:smooth val="1"/>
          <c:extLst>
            <c:ext xmlns:c16="http://schemas.microsoft.com/office/drawing/2014/chart" uri="{C3380CC4-5D6E-409C-BE32-E72D297353CC}">
              <c16:uniqueId val="{00000000-3935-40BB-B18A-C477C7E496EF}"/>
            </c:ext>
          </c:extLst>
        </c:ser>
        <c:ser>
          <c:idx val="1"/>
          <c:order val="1"/>
          <c:tx>
            <c:strRef>
              <c:f>'Inductor Current'!$AD$81</c:f>
              <c:strCache>
                <c:ptCount val="1"/>
                <c:pt idx="0">
                  <c:v>Vin = 20 V</c:v>
                </c:pt>
              </c:strCache>
            </c:strRef>
          </c:tx>
          <c:spPr>
            <a:ln w="19050" cap="rnd">
              <a:solidFill>
                <a:schemeClr val="accent2"/>
              </a:solidFill>
              <a:round/>
            </a:ln>
            <a:effectLst/>
          </c:spPr>
          <c:marker>
            <c:symbol val="none"/>
          </c:marker>
          <c:xVal>
            <c:numRef>
              <c:f>'Inductor Current'!$AB$82:$AB$102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Current'!$AD$82:$AD$102</c:f>
              <c:numCache>
                <c:formatCode>0%</c:formatCode>
                <c:ptCount val="21"/>
                <c:pt idx="0">
                  <c:v>0.90478255219909853</c:v>
                </c:pt>
                <c:pt idx="1">
                  <c:v>0.33984628922322718</c:v>
                </c:pt>
                <c:pt idx="2">
                  <c:v>0.20921484418921188</c:v>
                </c:pt>
                <c:pt idx="3">
                  <c:v>0.15112487429478139</c:v>
                </c:pt>
                <c:pt idx="4">
                  <c:v>0.11828281932402258</c:v>
                </c:pt>
                <c:pt idx="5">
                  <c:v>9.7166791188722623E-2</c:v>
                </c:pt>
                <c:pt idx="6">
                  <c:v>8.2448041830650604E-2</c:v>
                </c:pt>
                <c:pt idx="7">
                  <c:v>7.1601849759373629E-2</c:v>
                </c:pt>
                <c:pt idx="8">
                  <c:v>6.3277568797216133E-2</c:v>
                </c:pt>
                <c:pt idx="9">
                  <c:v>5.6687230236908727E-2</c:v>
                </c:pt>
                <c:pt idx="10">
                  <c:v>5.1340168138775129E-2</c:v>
                </c:pt>
                <c:pt idx="11">
                  <c:v>4.6914888880586862E-2</c:v>
                </c:pt>
                <c:pt idx="12">
                  <c:v>4.3191947626559112E-2</c:v>
                </c:pt>
                <c:pt idx="13">
                  <c:v>4.0016434709965888E-2</c:v>
                </c:pt>
                <c:pt idx="14">
                  <c:v>3.7275876917734749E-2</c:v>
                </c:pt>
                <c:pt idx="15">
                  <c:v>3.4886637427985846E-2</c:v>
                </c:pt>
                <c:pt idx="16">
                  <c:v>3.2785230969191996E-2</c:v>
                </c:pt>
                <c:pt idx="17">
                  <c:v>3.0922599457166227E-2</c:v>
                </c:pt>
                <c:pt idx="18">
                  <c:v>2.9260234045334784E-2</c:v>
                </c:pt>
                <c:pt idx="19">
                  <c:v>2.7767484207653167E-2</c:v>
                </c:pt>
                <c:pt idx="20">
                  <c:v>2.6419650524213679E-2</c:v>
                </c:pt>
              </c:numCache>
            </c:numRef>
          </c:yVal>
          <c:smooth val="1"/>
          <c:extLst>
            <c:ext xmlns:c16="http://schemas.microsoft.com/office/drawing/2014/chart" uri="{C3380CC4-5D6E-409C-BE32-E72D297353CC}">
              <c16:uniqueId val="{00000001-3935-40BB-B18A-C477C7E496EF}"/>
            </c:ext>
          </c:extLst>
        </c:ser>
        <c:ser>
          <c:idx val="2"/>
          <c:order val="2"/>
          <c:tx>
            <c:strRef>
              <c:f>'Inductor Current'!$AE$81</c:f>
              <c:strCache>
                <c:ptCount val="1"/>
                <c:pt idx="0">
                  <c:v>Vin = 48 V</c:v>
                </c:pt>
              </c:strCache>
            </c:strRef>
          </c:tx>
          <c:spPr>
            <a:ln w="19050" cap="rnd">
              <a:solidFill>
                <a:schemeClr val="accent3"/>
              </a:solidFill>
              <a:round/>
            </a:ln>
            <a:effectLst/>
          </c:spPr>
          <c:marker>
            <c:symbol val="none"/>
          </c:marker>
          <c:xVal>
            <c:numRef>
              <c:f>'Inductor Current'!$AB$82:$AB$102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Current'!$AE$82:$AE$102</c:f>
              <c:numCache>
                <c:formatCode>0%</c:formatCode>
                <c:ptCount val="21"/>
                <c:pt idx="0">
                  <c:v>2.3338088732593874</c:v>
                </c:pt>
                <c:pt idx="1">
                  <c:v>0.87660431051163001</c:v>
                </c:pt>
                <c:pt idx="2">
                  <c:v>0.53965171918889854</c:v>
                </c:pt>
                <c:pt idx="3">
                  <c:v>0.38981363173077521</c:v>
                </c:pt>
                <c:pt idx="4">
                  <c:v>0.30510037204143142</c:v>
                </c:pt>
                <c:pt idx="5">
                  <c:v>0.25063339131730089</c:v>
                </c:pt>
                <c:pt idx="6">
                  <c:v>0.2126676416776124</c:v>
                </c:pt>
                <c:pt idx="7">
                  <c:v>0.18469082090946423</c:v>
                </c:pt>
                <c:pt idx="8">
                  <c:v>0.1632190532170294</c:v>
                </c:pt>
                <c:pt idx="9">
                  <c:v>0.14621984100582353</c:v>
                </c:pt>
                <c:pt idx="10">
                  <c:v>0.13242755363228551</c:v>
                </c:pt>
                <c:pt idx="11">
                  <c:v>0.12101292591393635</c:v>
                </c:pt>
                <c:pt idx="12">
                  <c:v>0.11140991874701495</c:v>
                </c:pt>
                <c:pt idx="13">
                  <c:v>0.10321895595282499</c:v>
                </c:pt>
                <c:pt idx="14">
                  <c:v>9.6149922539610189E-2</c:v>
                </c:pt>
                <c:pt idx="15">
                  <c:v>8.9987084509671356E-2</c:v>
                </c:pt>
                <c:pt idx="16">
                  <c:v>8.4566687058441017E-2</c:v>
                </c:pt>
                <c:pt idx="17">
                  <c:v>7.9762189071811276E-2</c:v>
                </c:pt>
                <c:pt idx="18">
                  <c:v>7.5474260287925962E-2</c:v>
                </c:pt>
                <c:pt idx="19">
                  <c:v>7.1623840307710379E-2</c:v>
                </c:pt>
                <c:pt idx="20">
                  <c:v>6.8147219099174122E-2</c:v>
                </c:pt>
              </c:numCache>
            </c:numRef>
          </c:yVal>
          <c:smooth val="1"/>
          <c:extLst>
            <c:ext xmlns:c16="http://schemas.microsoft.com/office/drawing/2014/chart" uri="{C3380CC4-5D6E-409C-BE32-E72D297353CC}">
              <c16:uniqueId val="{00000002-3935-40BB-B18A-C477C7E496EF}"/>
            </c:ext>
          </c:extLst>
        </c:ser>
        <c:dLbls>
          <c:showLegendKey val="0"/>
          <c:showVal val="0"/>
          <c:showCatName val="0"/>
          <c:showSerName val="0"/>
          <c:showPercent val="0"/>
          <c:showBubbleSize val="0"/>
        </c:dLbls>
        <c:axId val="1531255152"/>
        <c:axId val="1959075888"/>
      </c:scatterChart>
      <c:valAx>
        <c:axId val="1531255152"/>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Inductor</a:t>
                </a:r>
                <a:r>
                  <a:rPr lang="en-US" baseline="0"/>
                  <a:t> [uH]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9075888"/>
        <c:crosses val="autoZero"/>
        <c:crossBetween val="midCat"/>
      </c:valAx>
      <c:valAx>
        <c:axId val="1959075888"/>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Inductor Ripple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1255152"/>
        <c:crossesAt val="0.1"/>
        <c:crossBetween val="midCat"/>
      </c:valAx>
      <c:spPr>
        <a:noFill/>
        <a:ln>
          <a:noFill/>
        </a:ln>
        <a:effectLst/>
      </c:spPr>
    </c:plotArea>
    <c:legend>
      <c:legendPos val="b"/>
      <c:layout>
        <c:manualLayout>
          <c:xMode val="edge"/>
          <c:yMode val="edge"/>
          <c:x val="0.69293766404199475"/>
          <c:y val="0.17187445319335082"/>
          <c:w val="0.22523556430446195"/>
          <c:h val="0.25405147273257511"/>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IL Peak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548381452318461"/>
          <c:y val="0.17171296296296296"/>
          <c:w val="0.80982174103237092"/>
          <c:h val="0.70199803149606288"/>
        </c:manualLayout>
      </c:layout>
      <c:scatterChart>
        <c:scatterStyle val="smoothMarker"/>
        <c:varyColors val="0"/>
        <c:ser>
          <c:idx val="0"/>
          <c:order val="0"/>
          <c:tx>
            <c:strRef>
              <c:f>'Inductor Current'!$X$81</c:f>
              <c:strCache>
                <c:ptCount val="1"/>
                <c:pt idx="0">
                  <c:v>Vin = 20 V</c:v>
                </c:pt>
              </c:strCache>
            </c:strRef>
          </c:tx>
          <c:spPr>
            <a:ln w="19050" cap="rnd">
              <a:solidFill>
                <a:schemeClr val="accent1"/>
              </a:solidFill>
              <a:round/>
            </a:ln>
            <a:effectLst/>
          </c:spPr>
          <c:marker>
            <c:symbol val="none"/>
          </c:marker>
          <c:xVal>
            <c:numRef>
              <c:f>'Inductor Current'!$R$82:$R$102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Current'!$X$82:$X$102</c:f>
              <c:numCache>
                <c:formatCode>General</c:formatCode>
                <c:ptCount val="21"/>
                <c:pt idx="0">
                  <c:v>17.428695313194591</c:v>
                </c:pt>
                <c:pt idx="1">
                  <c:v>14.039077735339363</c:v>
                </c:pt>
                <c:pt idx="2">
                  <c:v>13.255289065135271</c:v>
                </c:pt>
                <c:pt idx="3">
                  <c:v>12.906749245768689</c:v>
                </c:pt>
                <c:pt idx="4">
                  <c:v>12.709696915944136</c:v>
                </c:pt>
                <c:pt idx="5">
                  <c:v>12.583000747132335</c:v>
                </c:pt>
                <c:pt idx="6">
                  <c:v>12.494688250983904</c:v>
                </c:pt>
                <c:pt idx="7">
                  <c:v>12.429611098556242</c:v>
                </c:pt>
                <c:pt idx="8">
                  <c:v>12.379665412783297</c:v>
                </c:pt>
                <c:pt idx="9">
                  <c:v>12.340123381421453</c:v>
                </c:pt>
                <c:pt idx="10">
                  <c:v>12.308041008832651</c:v>
                </c:pt>
                <c:pt idx="11">
                  <c:v>12.28148933328352</c:v>
                </c:pt>
                <c:pt idx="12">
                  <c:v>12.259151685759354</c:v>
                </c:pt>
                <c:pt idx="13">
                  <c:v>12.240098608259796</c:v>
                </c:pt>
                <c:pt idx="14">
                  <c:v>12.223655261506408</c:v>
                </c:pt>
                <c:pt idx="15">
                  <c:v>12.209319824567915</c:v>
                </c:pt>
                <c:pt idx="16">
                  <c:v>12.196711385815153</c:v>
                </c:pt>
                <c:pt idx="17">
                  <c:v>12.185535596742998</c:v>
                </c:pt>
                <c:pt idx="18">
                  <c:v>12.175561404272008</c:v>
                </c:pt>
                <c:pt idx="19">
                  <c:v>12.166604905245919</c:v>
                </c:pt>
                <c:pt idx="20">
                  <c:v>12.158517903145283</c:v>
                </c:pt>
              </c:numCache>
            </c:numRef>
          </c:yVal>
          <c:smooth val="1"/>
          <c:extLst>
            <c:ext xmlns:c16="http://schemas.microsoft.com/office/drawing/2014/chart" uri="{C3380CC4-5D6E-409C-BE32-E72D297353CC}">
              <c16:uniqueId val="{00000000-45E3-439B-AA14-CE324DA121FD}"/>
            </c:ext>
          </c:extLst>
        </c:ser>
        <c:ser>
          <c:idx val="1"/>
          <c:order val="1"/>
          <c:tx>
            <c:strRef>
              <c:f>'Inductor Current'!$Y$81</c:f>
              <c:strCache>
                <c:ptCount val="1"/>
                <c:pt idx="0">
                  <c:v>Vin = 20 V</c:v>
                </c:pt>
              </c:strCache>
            </c:strRef>
          </c:tx>
          <c:spPr>
            <a:ln w="19050" cap="rnd">
              <a:solidFill>
                <a:schemeClr val="accent2"/>
              </a:solidFill>
              <a:round/>
            </a:ln>
            <a:effectLst/>
          </c:spPr>
          <c:marker>
            <c:symbol val="none"/>
          </c:marker>
          <c:xVal>
            <c:numRef>
              <c:f>'Inductor Current'!$R$82:$R$102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Current'!$Y$82:$Y$102</c:f>
              <c:numCache>
                <c:formatCode>General</c:formatCode>
                <c:ptCount val="21"/>
                <c:pt idx="0">
                  <c:v>17.428695313194591</c:v>
                </c:pt>
                <c:pt idx="1">
                  <c:v>14.039077735339363</c:v>
                </c:pt>
                <c:pt idx="2">
                  <c:v>13.255289065135271</c:v>
                </c:pt>
                <c:pt idx="3">
                  <c:v>12.906749245768689</c:v>
                </c:pt>
                <c:pt idx="4">
                  <c:v>12.709696915944136</c:v>
                </c:pt>
                <c:pt idx="5">
                  <c:v>12.583000747132335</c:v>
                </c:pt>
                <c:pt idx="6">
                  <c:v>12.494688250983904</c:v>
                </c:pt>
                <c:pt idx="7">
                  <c:v>12.429611098556242</c:v>
                </c:pt>
                <c:pt idx="8">
                  <c:v>12.379665412783297</c:v>
                </c:pt>
                <c:pt idx="9">
                  <c:v>12.340123381421453</c:v>
                </c:pt>
                <c:pt idx="10">
                  <c:v>12.308041008832651</c:v>
                </c:pt>
                <c:pt idx="11">
                  <c:v>12.28148933328352</c:v>
                </c:pt>
                <c:pt idx="12">
                  <c:v>12.259151685759354</c:v>
                </c:pt>
                <c:pt idx="13">
                  <c:v>12.240098608259796</c:v>
                </c:pt>
                <c:pt idx="14">
                  <c:v>12.223655261506408</c:v>
                </c:pt>
                <c:pt idx="15">
                  <c:v>12.209319824567915</c:v>
                </c:pt>
                <c:pt idx="16">
                  <c:v>12.196711385815153</c:v>
                </c:pt>
                <c:pt idx="17">
                  <c:v>12.185535596742998</c:v>
                </c:pt>
                <c:pt idx="18">
                  <c:v>12.175561404272008</c:v>
                </c:pt>
                <c:pt idx="19">
                  <c:v>12.166604905245919</c:v>
                </c:pt>
                <c:pt idx="20">
                  <c:v>12.158517903145283</c:v>
                </c:pt>
              </c:numCache>
            </c:numRef>
          </c:yVal>
          <c:smooth val="1"/>
          <c:extLst>
            <c:ext xmlns:c16="http://schemas.microsoft.com/office/drawing/2014/chart" uri="{C3380CC4-5D6E-409C-BE32-E72D297353CC}">
              <c16:uniqueId val="{00000001-45E3-439B-AA14-CE324DA121FD}"/>
            </c:ext>
          </c:extLst>
        </c:ser>
        <c:ser>
          <c:idx val="2"/>
          <c:order val="2"/>
          <c:tx>
            <c:strRef>
              <c:f>'Inductor Current'!$Z$81</c:f>
              <c:strCache>
                <c:ptCount val="1"/>
                <c:pt idx="0">
                  <c:v>Vin = 48 V</c:v>
                </c:pt>
              </c:strCache>
            </c:strRef>
          </c:tx>
          <c:spPr>
            <a:ln w="19050" cap="rnd">
              <a:solidFill>
                <a:schemeClr val="accent3"/>
              </a:solidFill>
              <a:round/>
            </a:ln>
            <a:effectLst/>
          </c:spPr>
          <c:marker>
            <c:symbol val="none"/>
          </c:marker>
          <c:xVal>
            <c:numRef>
              <c:f>'Inductor Current'!$R$82:$R$102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Current'!$Z$82:$Z$102</c:f>
              <c:numCache>
                <c:formatCode>General</c:formatCode>
                <c:ptCount val="21"/>
                <c:pt idx="0">
                  <c:v>26.002853239556323</c:v>
                </c:pt>
                <c:pt idx="1">
                  <c:v>17.259625863069779</c:v>
                </c:pt>
                <c:pt idx="2">
                  <c:v>15.237910315133391</c:v>
                </c:pt>
                <c:pt idx="3">
                  <c:v>14.338881790384651</c:v>
                </c:pt>
                <c:pt idx="4">
                  <c:v>13.830602232248589</c:v>
                </c:pt>
                <c:pt idx="5">
                  <c:v>13.503800347903805</c:v>
                </c:pt>
                <c:pt idx="6">
                  <c:v>13.276005850065674</c:v>
                </c:pt>
                <c:pt idx="7">
                  <c:v>13.108144925456786</c:v>
                </c:pt>
                <c:pt idx="8">
                  <c:v>12.979314319302176</c:v>
                </c:pt>
                <c:pt idx="9">
                  <c:v>12.877319046034941</c:v>
                </c:pt>
                <c:pt idx="10">
                  <c:v>12.794565321793712</c:v>
                </c:pt>
                <c:pt idx="11">
                  <c:v>12.726077555483618</c:v>
                </c:pt>
                <c:pt idx="12">
                  <c:v>12.668459512482089</c:v>
                </c:pt>
                <c:pt idx="13">
                  <c:v>12.61931373571695</c:v>
                </c:pt>
                <c:pt idx="14">
                  <c:v>12.576899535237661</c:v>
                </c:pt>
                <c:pt idx="15">
                  <c:v>12.539922507058028</c:v>
                </c:pt>
                <c:pt idx="16">
                  <c:v>12.507400122350646</c:v>
                </c:pt>
                <c:pt idx="17">
                  <c:v>12.478573134430867</c:v>
                </c:pt>
                <c:pt idx="18">
                  <c:v>12.452845561727555</c:v>
                </c:pt>
                <c:pt idx="19">
                  <c:v>12.429743041846262</c:v>
                </c:pt>
                <c:pt idx="20">
                  <c:v>12.408883314595045</c:v>
                </c:pt>
              </c:numCache>
            </c:numRef>
          </c:yVal>
          <c:smooth val="1"/>
          <c:extLst>
            <c:ext xmlns:c16="http://schemas.microsoft.com/office/drawing/2014/chart" uri="{C3380CC4-5D6E-409C-BE32-E72D297353CC}">
              <c16:uniqueId val="{00000002-45E3-439B-AA14-CE324DA121FD}"/>
            </c:ext>
          </c:extLst>
        </c:ser>
        <c:dLbls>
          <c:showLegendKey val="0"/>
          <c:showVal val="0"/>
          <c:showCatName val="0"/>
          <c:showSerName val="0"/>
          <c:showPercent val="0"/>
          <c:showBubbleSize val="0"/>
        </c:dLbls>
        <c:axId val="2084845216"/>
        <c:axId val="2023289856"/>
      </c:scatterChart>
      <c:valAx>
        <c:axId val="2084845216"/>
        <c:scaling>
          <c:logBase val="10"/>
          <c:orientation val="minMax"/>
          <c:min val="0.5"/>
        </c:scaling>
        <c:delete val="0"/>
        <c:axPos val="b"/>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Inductor</a:t>
                </a:r>
                <a:r>
                  <a:rPr lang="en-US" baseline="0"/>
                  <a:t> [uH]</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3289856"/>
        <c:crossesAt val="0.1"/>
        <c:crossBetween val="midCat"/>
      </c:valAx>
      <c:valAx>
        <c:axId val="202328985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IL Peak,Peak [A]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4845216"/>
        <c:crossesAt val="0.5"/>
        <c:crossBetween val="midCat"/>
      </c:valAx>
      <c:spPr>
        <a:noFill/>
        <a:ln>
          <a:noFill/>
        </a:ln>
        <a:effectLst/>
      </c:spPr>
    </c:plotArea>
    <c:legend>
      <c:legendPos val="b"/>
      <c:layout>
        <c:manualLayout>
          <c:xMode val="edge"/>
          <c:yMode val="edge"/>
          <c:x val="0.70593766404199476"/>
          <c:y val="0.2042818606007582"/>
          <c:w val="0.21868000874890639"/>
          <c:h val="0.32349591717701953"/>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Operation</a:t>
            </a:r>
            <a:r>
              <a:rPr lang="en-US" baseline="0"/>
              <a:t> mode ranges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2909755951004E-2"/>
          <c:y val="0.18218325343399555"/>
          <c:w val="0.81902831704763235"/>
          <c:h val="0.72842824240150528"/>
        </c:manualLayout>
      </c:layout>
      <c:barChart>
        <c:barDir val="bar"/>
        <c:grouping val="stacked"/>
        <c:varyColors val="0"/>
        <c:ser>
          <c:idx val="0"/>
          <c:order val="0"/>
          <c:spPr>
            <a:solidFill>
              <a:schemeClr val="accent1"/>
            </a:solidFill>
            <a:ln>
              <a:noFill/>
            </a:ln>
            <a:effectLst/>
          </c:spPr>
          <c:invertIfNegative val="0"/>
          <c:dPt>
            <c:idx val="0"/>
            <c:invertIfNegative val="0"/>
            <c:bubble3D val="0"/>
            <c:spPr>
              <a:noFill/>
              <a:ln>
                <a:noFill/>
              </a:ln>
              <a:effectLst/>
            </c:spPr>
            <c:extLst>
              <c:ext xmlns:c16="http://schemas.microsoft.com/office/drawing/2014/chart" uri="{C3380CC4-5D6E-409C-BE32-E72D297353CC}">
                <c16:uniqueId val="{00000006-F2A7-4A9C-86AB-B7194BED70CA}"/>
              </c:ext>
            </c:extLst>
          </c:dPt>
          <c:val>
            <c:numRef>
              <c:f>Timings!$AB$26</c:f>
              <c:numCache>
                <c:formatCode>General</c:formatCode>
                <c:ptCount val="1"/>
                <c:pt idx="0">
                  <c:v>20</c:v>
                </c:pt>
              </c:numCache>
            </c:numRef>
          </c:val>
          <c:extLst>
            <c:ext xmlns:c16="http://schemas.microsoft.com/office/drawing/2014/chart" uri="{C3380CC4-5D6E-409C-BE32-E72D297353CC}">
              <c16:uniqueId val="{00000000-F2A7-4A9C-86AB-B7194BED70CA}"/>
            </c:ext>
          </c:extLst>
        </c:ser>
        <c:ser>
          <c:idx val="1"/>
          <c:order val="1"/>
          <c:tx>
            <c:strRef>
              <c:f>Timings!$AC$24</c:f>
              <c:strCache>
                <c:ptCount val="1"/>
                <c:pt idx="0">
                  <c:v>Boost</c:v>
                </c:pt>
              </c:strCache>
            </c:strRef>
          </c:tx>
          <c:spPr>
            <a:solidFill>
              <a:schemeClr val="accent2"/>
            </a:solidFill>
            <a:ln>
              <a:noFill/>
            </a:ln>
            <a:effectLst/>
          </c:spPr>
          <c:invertIfNegative val="0"/>
          <c:val>
            <c:numRef>
              <c:f>Timings!$AC$26</c:f>
              <c:numCache>
                <c:formatCode>General</c:formatCode>
                <c:ptCount val="1"/>
                <c:pt idx="0">
                  <c:v>-9.3035985925633806</c:v>
                </c:pt>
              </c:numCache>
            </c:numRef>
          </c:val>
          <c:extLst>
            <c:ext xmlns:c16="http://schemas.microsoft.com/office/drawing/2014/chart" uri="{C3380CC4-5D6E-409C-BE32-E72D297353CC}">
              <c16:uniqueId val="{00000001-F2A7-4A9C-86AB-B7194BED70CA}"/>
            </c:ext>
          </c:extLst>
        </c:ser>
        <c:ser>
          <c:idx val="2"/>
          <c:order val="2"/>
          <c:spPr>
            <a:solidFill>
              <a:schemeClr val="accent3"/>
            </a:solidFill>
            <a:ln>
              <a:noFill/>
            </a:ln>
            <a:effectLst/>
          </c:spPr>
          <c:invertIfNegative val="0"/>
          <c:val>
            <c:numRef>
              <c:f>Timings!$AD$26</c:f>
              <c:numCache>
                <c:formatCode>General</c:formatCode>
                <c:ptCount val="1"/>
                <c:pt idx="0">
                  <c:v>2.0701097429104713</c:v>
                </c:pt>
              </c:numCache>
            </c:numRef>
          </c:val>
          <c:extLst>
            <c:ext xmlns:c16="http://schemas.microsoft.com/office/drawing/2014/chart" uri="{C3380CC4-5D6E-409C-BE32-E72D297353CC}">
              <c16:uniqueId val="{00000002-F2A7-4A9C-86AB-B7194BED70CA}"/>
            </c:ext>
          </c:extLst>
        </c:ser>
        <c:ser>
          <c:idx val="3"/>
          <c:order val="3"/>
          <c:tx>
            <c:strRef>
              <c:f>Timings!$AE$24</c:f>
              <c:strCache>
                <c:ptCount val="1"/>
                <c:pt idx="0">
                  <c:v>BuckBoost</c:v>
                </c:pt>
              </c:strCache>
            </c:strRef>
          </c:tx>
          <c:spPr>
            <a:solidFill>
              <a:schemeClr val="accent4"/>
            </a:solidFill>
            <a:ln>
              <a:noFill/>
            </a:ln>
            <a:effectLst/>
          </c:spPr>
          <c:invertIfNegative val="0"/>
          <c:val>
            <c:numRef>
              <c:f>Timings!$AE$26</c:f>
              <c:numCache>
                <c:formatCode>General</c:formatCode>
                <c:ptCount val="1"/>
                <c:pt idx="0">
                  <c:v>3.9302979848726505</c:v>
                </c:pt>
              </c:numCache>
            </c:numRef>
          </c:val>
          <c:extLst>
            <c:ext xmlns:c16="http://schemas.microsoft.com/office/drawing/2014/chart" uri="{C3380CC4-5D6E-409C-BE32-E72D297353CC}">
              <c16:uniqueId val="{00000003-F2A7-4A9C-86AB-B7194BED70CA}"/>
            </c:ext>
          </c:extLst>
        </c:ser>
        <c:ser>
          <c:idx val="4"/>
          <c:order val="4"/>
          <c:spPr>
            <a:solidFill>
              <a:schemeClr val="accent5"/>
            </a:solidFill>
            <a:ln>
              <a:noFill/>
            </a:ln>
            <a:effectLst/>
          </c:spPr>
          <c:invertIfNegative val="0"/>
          <c:val>
            <c:numRef>
              <c:f>Timings!$AF$26</c:f>
              <c:numCache>
                <c:formatCode>General</c:formatCode>
                <c:ptCount val="1"/>
                <c:pt idx="0">
                  <c:v>3.2313883847238891</c:v>
                </c:pt>
              </c:numCache>
            </c:numRef>
          </c:val>
          <c:extLst>
            <c:ext xmlns:c16="http://schemas.microsoft.com/office/drawing/2014/chart" uri="{C3380CC4-5D6E-409C-BE32-E72D297353CC}">
              <c16:uniqueId val="{00000004-F2A7-4A9C-86AB-B7194BED70CA}"/>
            </c:ext>
          </c:extLst>
        </c:ser>
        <c:ser>
          <c:idx val="5"/>
          <c:order val="5"/>
          <c:tx>
            <c:strRef>
              <c:f>Timings!$AG$24</c:f>
              <c:strCache>
                <c:ptCount val="1"/>
                <c:pt idx="0">
                  <c:v>Boost</c:v>
                </c:pt>
              </c:strCache>
            </c:strRef>
          </c:tx>
          <c:spPr>
            <a:solidFill>
              <a:schemeClr val="accent6"/>
            </a:solidFill>
            <a:ln>
              <a:noFill/>
            </a:ln>
            <a:effectLst/>
          </c:spPr>
          <c:invertIfNegative val="0"/>
          <c:val>
            <c:numRef>
              <c:f>Timings!$AG$26</c:f>
              <c:numCache>
                <c:formatCode>General</c:formatCode>
                <c:ptCount val="1"/>
                <c:pt idx="0">
                  <c:v>28.07180248005637</c:v>
                </c:pt>
              </c:numCache>
            </c:numRef>
          </c:val>
          <c:extLst>
            <c:ext xmlns:c16="http://schemas.microsoft.com/office/drawing/2014/chart" uri="{C3380CC4-5D6E-409C-BE32-E72D297353CC}">
              <c16:uniqueId val="{00000005-F2A7-4A9C-86AB-B7194BED70CA}"/>
            </c:ext>
          </c:extLst>
        </c:ser>
        <c:dLbls>
          <c:showLegendKey val="0"/>
          <c:showVal val="0"/>
          <c:showCatName val="0"/>
          <c:showSerName val="0"/>
          <c:showPercent val="0"/>
          <c:showBubbleSize val="0"/>
        </c:dLbls>
        <c:gapWidth val="50"/>
        <c:overlap val="100"/>
        <c:axId val="258381679"/>
        <c:axId val="148475023"/>
      </c:barChart>
      <c:catAx>
        <c:axId val="258381679"/>
        <c:scaling>
          <c:orientation val="minMax"/>
        </c:scaling>
        <c:delete val="1"/>
        <c:axPos val="l"/>
        <c:majorTickMark val="none"/>
        <c:minorTickMark val="none"/>
        <c:tickLblPos val="nextTo"/>
        <c:crossAx val="148475023"/>
        <c:crosses val="autoZero"/>
        <c:auto val="1"/>
        <c:lblAlgn val="ctr"/>
        <c:lblOffset val="100"/>
        <c:noMultiLvlLbl val="0"/>
      </c:catAx>
      <c:valAx>
        <c:axId val="14847502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381679"/>
        <c:crosses val="autoZero"/>
        <c:crossBetween val="between"/>
      </c:valAx>
      <c:spPr>
        <a:noFill/>
        <a:ln>
          <a:noFill/>
        </a:ln>
        <a:effectLst/>
      </c:spPr>
    </c:plotArea>
    <c:legend>
      <c:legendPos val="r"/>
      <c:legendEntry>
        <c:idx val="0"/>
        <c:delete val="1"/>
      </c:legendEntry>
      <c:legendEntry>
        <c:idx val="2"/>
        <c:delete val="1"/>
      </c:legendEntry>
      <c:legendEntry>
        <c:idx val="4"/>
        <c:delete val="1"/>
      </c:legendEntry>
      <c:layout>
        <c:manualLayout>
          <c:xMode val="edge"/>
          <c:yMode val="edge"/>
          <c:x val="0.15096959903040097"/>
          <c:y val="0.14660668796843018"/>
          <c:w val="0.53444448137830347"/>
          <c:h val="7.057728836327925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LM5177 Bode Plot</a:t>
            </a:r>
          </a:p>
        </c:rich>
      </c:tx>
      <c:layout>
        <c:manualLayout>
          <c:xMode val="edge"/>
          <c:yMode val="edge"/>
          <c:x val="0.40864917395529671"/>
          <c:y val="2.1377650374348366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4"/>
          <c:order val="0"/>
          <c:tx>
            <c:strRef>
              <c:f>'Stability Calculations'!$AG$12</c:f>
              <c:strCache>
                <c:ptCount val="1"/>
                <c:pt idx="0">
                  <c:v>Gain(dB)</c:v>
                </c:pt>
              </c:strCache>
            </c:strRef>
          </c:tx>
          <c:spPr>
            <a:ln w="25400">
              <a:solidFill>
                <a:srgbClr val="FF0000"/>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Calculations'!$AG$13:$AG$617</c:f>
              <c:numCache>
                <c:formatCode>0.0000</c:formatCode>
                <c:ptCount val="605"/>
                <c:pt idx="0">
                  <c:v>66.378592305129189</c:v>
                </c:pt>
                <c:pt idx="1">
                  <c:v>65.599615164032357</c:v>
                </c:pt>
                <c:pt idx="2">
                  <c:v>64.818489294626332</c:v>
                </c:pt>
                <c:pt idx="3">
                  <c:v>64.035798657376347</c:v>
                </c:pt>
                <c:pt idx="4">
                  <c:v>63.252596925249307</c:v>
                </c:pt>
                <c:pt idx="5">
                  <c:v>62.468094646744355</c:v>
                </c:pt>
                <c:pt idx="6">
                  <c:v>61.683907856543158</c:v>
                </c:pt>
                <c:pt idx="7">
                  <c:v>60.900025687194528</c:v>
                </c:pt>
                <c:pt idx="8">
                  <c:v>60.117543407135429</c:v>
                </c:pt>
                <c:pt idx="9">
                  <c:v>59.336426419361182</c:v>
                </c:pt>
                <c:pt idx="10">
                  <c:v>58.557731714645023</c:v>
                </c:pt>
                <c:pt idx="11">
                  <c:v>57.782021266522428</c:v>
                </c:pt>
                <c:pt idx="12">
                  <c:v>57.009644782386616</c:v>
                </c:pt>
                <c:pt idx="13">
                  <c:v>56.242204482658877</c:v>
                </c:pt>
                <c:pt idx="14">
                  <c:v>55.480068663630959</c:v>
                </c:pt>
                <c:pt idx="15">
                  <c:v>54.724655384889971</c:v>
                </c:pt>
                <c:pt idx="16">
                  <c:v>53.977185828655642</c:v>
                </c:pt>
                <c:pt idx="17">
                  <c:v>53.239224152006919</c:v>
                </c:pt>
                <c:pt idx="18">
                  <c:v>52.512207163650174</c:v>
                </c:pt>
                <c:pt idx="19">
                  <c:v>51.798181610793677</c:v>
                </c:pt>
                <c:pt idx="20">
                  <c:v>51.099056738458977</c:v>
                </c:pt>
                <c:pt idx="21">
                  <c:v>50.417217698677888</c:v>
                </c:pt>
                <c:pt idx="22">
                  <c:v>49.754929487390164</c:v>
                </c:pt>
                <c:pt idx="23">
                  <c:v>49.114891658165746</c:v>
                </c:pt>
                <c:pt idx="24">
                  <c:v>48.499543620088716</c:v>
                </c:pt>
                <c:pt idx="25">
                  <c:v>47.911572459746949</c:v>
                </c:pt>
                <c:pt idx="26">
                  <c:v>47.353325390018469</c:v>
                </c:pt>
                <c:pt idx="27">
                  <c:v>46.827238015286866</c:v>
                </c:pt>
                <c:pt idx="28">
                  <c:v>46.335196058725565</c:v>
                </c:pt>
                <c:pt idx="29">
                  <c:v>45.878932321817928</c:v>
                </c:pt>
                <c:pt idx="30">
                  <c:v>45.458622608634784</c:v>
                </c:pt>
                <c:pt idx="31">
                  <c:v>45.0752208349829</c:v>
                </c:pt>
                <c:pt idx="32">
                  <c:v>44.728174511899311</c:v>
                </c:pt>
                <c:pt idx="33">
                  <c:v>44.416835767774792</c:v>
                </c:pt>
                <c:pt idx="34">
                  <c:v>44.1395277260306</c:v>
                </c:pt>
                <c:pt idx="35">
                  <c:v>43.894523800296056</c:v>
                </c:pt>
                <c:pt idx="36">
                  <c:v>43.679534083810019</c:v>
                </c:pt>
                <c:pt idx="37">
                  <c:v>43.491985315962467</c:v>
                </c:pt>
                <c:pt idx="38">
                  <c:v>43.329457004762972</c:v>
                </c:pt>
                <c:pt idx="39">
                  <c:v>43.189187444451179</c:v>
                </c:pt>
                <c:pt idx="40">
                  <c:v>43.068669993982283</c:v>
                </c:pt>
                <c:pt idx="41">
                  <c:v>42.965442436460108</c:v>
                </c:pt>
                <c:pt idx="42">
                  <c:v>42.877226242227209</c:v>
                </c:pt>
                <c:pt idx="43">
                  <c:v>42.801890319210408</c:v>
                </c:pt>
                <c:pt idx="44">
                  <c:v>42.737544100023399</c:v>
                </c:pt>
                <c:pt idx="45">
                  <c:v>42.682454826727337</c:v>
                </c:pt>
                <c:pt idx="46">
                  <c:v>42.63509636409438</c:v>
                </c:pt>
                <c:pt idx="47">
                  <c:v>42.594087624663182</c:v>
                </c:pt>
                <c:pt idx="48">
                  <c:v>42.5582146006927</c:v>
                </c:pt>
                <c:pt idx="49">
                  <c:v>42.526369111189446</c:v>
                </c:pt>
                <c:pt idx="50">
                  <c:v>42.497560035769979</c:v>
                </c:pt>
                <c:pt idx="51">
                  <c:v>42.470863612038379</c:v>
                </c:pt>
                <c:pt idx="52">
                  <c:v>42.445426625510201</c:v>
                </c:pt>
                <c:pt idx="53">
                  <c:v>42.42041826471484</c:v>
                </c:pt>
                <c:pt idx="54">
                  <c:v>42.395034081800986</c:v>
                </c:pt>
                <c:pt idx="55">
                  <c:v>42.368395416347468</c:v>
                </c:pt>
                <c:pt idx="56">
                  <c:v>42.339663273912606</c:v>
                </c:pt>
                <c:pt idx="57">
                  <c:v>42.307877595681312</c:v>
                </c:pt>
                <c:pt idx="58">
                  <c:v>42.272028987012433</c:v>
                </c:pt>
                <c:pt idx="59">
                  <c:v>42.230935930503328</c:v>
                </c:pt>
                <c:pt idx="60">
                  <c:v>42.183314390721982</c:v>
                </c:pt>
                <c:pt idx="61">
                  <c:v>42.127669028222883</c:v>
                </c:pt>
                <c:pt idx="62">
                  <c:v>42.062253223175816</c:v>
                </c:pt>
                <c:pt idx="63">
                  <c:v>41.985162746966324</c:v>
                </c:pt>
                <c:pt idx="64">
                  <c:v>41.894078607006676</c:v>
                </c:pt>
                <c:pt idx="65">
                  <c:v>41.786442485669603</c:v>
                </c:pt>
                <c:pt idx="66">
                  <c:v>41.65929935474103</c:v>
                </c:pt>
                <c:pt idx="67">
                  <c:v>41.509339888495575</c:v>
                </c:pt>
                <c:pt idx="68">
                  <c:v>41.332790931918012</c:v>
                </c:pt>
                <c:pt idx="69">
                  <c:v>41.125576096386276</c:v>
                </c:pt>
                <c:pt idx="70">
                  <c:v>40.883164913823499</c:v>
                </c:pt>
                <c:pt idx="71">
                  <c:v>40.600805763687937</c:v>
                </c:pt>
                <c:pt idx="72">
                  <c:v>40.273411637560685</c:v>
                </c:pt>
                <c:pt idx="73">
                  <c:v>39.895941193191959</c:v>
                </c:pt>
                <c:pt idx="74">
                  <c:v>39.463238257283855</c:v>
                </c:pt>
                <c:pt idx="75">
                  <c:v>38.970558598996526</c:v>
                </c:pt>
                <c:pt idx="76">
                  <c:v>38.413438201067549</c:v>
                </c:pt>
                <c:pt idx="77">
                  <c:v>37.788402484349646</c:v>
                </c:pt>
                <c:pt idx="78">
                  <c:v>37.092695421449427</c:v>
                </c:pt>
                <c:pt idx="79">
                  <c:v>36.32513693619822</c:v>
                </c:pt>
                <c:pt idx="80">
                  <c:v>35.483860276887206</c:v>
                </c:pt>
                <c:pt idx="81">
                  <c:v>34.570632910513112</c:v>
                </c:pt>
                <c:pt idx="82">
                  <c:v>33.586657265663646</c:v>
                </c:pt>
                <c:pt idx="83">
                  <c:v>32.535495974876611</c:v>
                </c:pt>
                <c:pt idx="84">
                  <c:v>31.420063065973803</c:v>
                </c:pt>
                <c:pt idx="85">
                  <c:v>30.245352677309544</c:v>
                </c:pt>
                <c:pt idx="86">
                  <c:v>29.016031323077556</c:v>
                </c:pt>
                <c:pt idx="87">
                  <c:v>27.736458228913314</c:v>
                </c:pt>
                <c:pt idx="88">
                  <c:v>26.412942901047266</c:v>
                </c:pt>
                <c:pt idx="89">
                  <c:v>25.049400385619993</c:v>
                </c:pt>
                <c:pt idx="90">
                  <c:v>23.651057044714562</c:v>
                </c:pt>
                <c:pt idx="91">
                  <c:v>22.22219032182808</c:v>
                </c:pt>
                <c:pt idx="92">
                  <c:v>20.767012172575612</c:v>
                </c:pt>
                <c:pt idx="93">
                  <c:v>19.288694512215237</c:v>
                </c:pt>
                <c:pt idx="94">
                  <c:v>18.916071237541729</c:v>
                </c:pt>
                <c:pt idx="95">
                  <c:v>18.72815571736384</c:v>
                </c:pt>
                <c:pt idx="96">
                  <c:v>18.542102460750193</c:v>
                </c:pt>
                <c:pt idx="97">
                  <c:v>18.353628692764477</c:v>
                </c:pt>
                <c:pt idx="98">
                  <c:v>18.167034214000807</c:v>
                </c:pt>
                <c:pt idx="99">
                  <c:v>17.977976520554755</c:v>
                </c:pt>
                <c:pt idx="100">
                  <c:v>17.790815455998136</c:v>
                </c:pt>
                <c:pt idx="101">
                  <c:v>17.601294068117106</c:v>
                </c:pt>
                <c:pt idx="102">
                  <c:v>17.413684048762711</c:v>
                </c:pt>
                <c:pt idx="103">
                  <c:v>17.223536991456342</c:v>
                </c:pt>
                <c:pt idx="104">
                  <c:v>17.035319106013656</c:v>
                </c:pt>
                <c:pt idx="105">
                  <c:v>16.844670617120279</c:v>
                </c:pt>
                <c:pt idx="106">
                  <c:v>16.655966419610703</c:v>
                </c:pt>
                <c:pt idx="107">
                  <c:v>16.464934057863793</c:v>
                </c:pt>
                <c:pt idx="108">
                  <c:v>16.275858524199414</c:v>
                </c:pt>
                <c:pt idx="109">
                  <c:v>16.084423677758338</c:v>
                </c:pt>
                <c:pt idx="110">
                  <c:v>15.89495837467264</c:v>
                </c:pt>
                <c:pt idx="111">
                  <c:v>15.702979726873741</c:v>
                </c:pt>
                <c:pt idx="112">
                  <c:v>15.512986053522429</c:v>
                </c:pt>
                <c:pt idx="113">
                  <c:v>15.320585495496399</c:v>
                </c:pt>
                <c:pt idx="114">
                  <c:v>15.130182666150931</c:v>
                </c:pt>
                <c:pt idx="115">
                  <c:v>14.937353481917764</c:v>
                </c:pt>
                <c:pt idx="116">
                  <c:v>14.746534743632543</c:v>
                </c:pt>
                <c:pt idx="117">
                  <c:v>14.553273704392129</c:v>
                </c:pt>
                <c:pt idx="118">
                  <c:v>14.362035725990637</c:v>
                </c:pt>
                <c:pt idx="119">
                  <c:v>14.168459609809926</c:v>
                </c:pt>
                <c:pt idx="120">
                  <c:v>13.976916563449384</c:v>
                </c:pt>
                <c:pt idx="121">
                  <c:v>13.783021037251611</c:v>
                </c:pt>
                <c:pt idx="122">
                  <c:v>13.591168502463324</c:v>
                </c:pt>
                <c:pt idx="123">
                  <c:v>13.396840328706825</c:v>
                </c:pt>
                <c:pt idx="124">
                  <c:v>13.204567278176963</c:v>
                </c:pt>
                <c:pt idx="125">
                  <c:v>13.009924578482746</c:v>
                </c:pt>
                <c:pt idx="126">
                  <c:v>12.817346489203686</c:v>
                </c:pt>
                <c:pt idx="127">
                  <c:v>12.622393183564933</c:v>
                </c:pt>
                <c:pt idx="128">
                  <c:v>12.4295137282691</c:v>
                </c:pt>
                <c:pt idx="129">
                  <c:v>12.234256095756857</c:v>
                </c:pt>
                <c:pt idx="130">
                  <c:v>12.041081259529037</c:v>
                </c:pt>
                <c:pt idx="131">
                  <c:v>11.845527733812581</c:v>
                </c:pt>
                <c:pt idx="132">
                  <c:v>11.748537977865476</c:v>
                </c:pt>
                <c:pt idx="133">
                  <c:v>11.652065613109073</c:v>
                </c:pt>
                <c:pt idx="134">
                  <c:v>11.553830319254113</c:v>
                </c:pt>
                <c:pt idx="135">
                  <c:v>11.45612602805484</c:v>
                </c:pt>
                <c:pt idx="136">
                  <c:v>11.358947161497055</c:v>
                </c:pt>
                <c:pt idx="137">
                  <c:v>11.262288225504165</c:v>
                </c:pt>
                <c:pt idx="138">
                  <c:v>11.163966894450841</c:v>
                </c:pt>
                <c:pt idx="139">
                  <c:v>11.066178009441202</c:v>
                </c:pt>
                <c:pt idx="140">
                  <c:v>10.968915955724217</c:v>
                </c:pt>
                <c:pt idx="141">
                  <c:v>10.872175203533736</c:v>
                </c:pt>
                <c:pt idx="142">
                  <c:v>10.773674702277567</c:v>
                </c:pt>
                <c:pt idx="143">
                  <c:v>10.675709057527724</c:v>
                </c:pt>
                <c:pt idx="144">
                  <c:v>10.578272602915039</c:v>
                </c:pt>
                <c:pt idx="145">
                  <c:v>10.481359758392511</c:v>
                </c:pt>
                <c:pt idx="146">
                  <c:v>10.382738225872609</c:v>
                </c:pt>
                <c:pt idx="147">
                  <c:v>10.284653293456497</c:v>
                </c:pt>
                <c:pt idx="148">
                  <c:v>10.187099254049709</c:v>
                </c:pt>
                <c:pt idx="149">
                  <c:v>10.090070487989857</c:v>
                </c:pt>
                <c:pt idx="150">
                  <c:v>9.9913361425955731</c:v>
                </c:pt>
                <c:pt idx="151">
                  <c:v>9.8931400132901253</c:v>
                </c:pt>
                <c:pt idx="152">
                  <c:v>9.7954763546392911</c:v>
                </c:pt>
                <c:pt idx="153">
                  <c:v>9.6983395096927367</c:v>
                </c:pt>
                <c:pt idx="154">
                  <c:v>9.5994557645238316</c:v>
                </c:pt>
                <c:pt idx="155">
                  <c:v>9.5011122120235587</c:v>
                </c:pt>
                <c:pt idx="156">
                  <c:v>9.4033030629727108</c:v>
                </c:pt>
                <c:pt idx="157">
                  <c:v>9.3060226177921184</c:v>
                </c:pt>
                <c:pt idx="158">
                  <c:v>9.2070016627062081</c:v>
                </c:pt>
                <c:pt idx="159">
                  <c:v>9.1085227078952578</c:v>
                </c:pt>
                <c:pt idx="160">
                  <c:v>9.0105799233395683</c:v>
                </c:pt>
                <c:pt idx="161">
                  <c:v>8.9131675697469319</c:v>
                </c:pt>
                <c:pt idx="162">
                  <c:v>8.8140653109815332</c:v>
                </c:pt>
                <c:pt idx="163">
                  <c:v>8.7155062126464973</c:v>
                </c:pt>
                <c:pt idx="164">
                  <c:v>8.6174844146400549</c:v>
                </c:pt>
                <c:pt idx="165">
                  <c:v>8.5199941484457291</c:v>
                </c:pt>
                <c:pt idx="166">
                  <c:v>8.4207355138229971</c:v>
                </c:pt>
                <c:pt idx="167">
                  <c:v>8.3220219840316929</c:v>
                </c:pt>
                <c:pt idx="168">
                  <c:v>8.2238476564993128</c:v>
                </c:pt>
                <c:pt idx="169">
                  <c:v>8.1262067213477387</c:v>
                </c:pt>
                <c:pt idx="170">
                  <c:v>8.0270152254293841</c:v>
                </c:pt>
                <c:pt idx="171">
                  <c:v>7.9283682937154314</c:v>
                </c:pt>
                <c:pt idx="172">
                  <c:v>7.8302600217246567</c:v>
                </c:pt>
                <c:pt idx="173">
                  <c:v>7.7326845979222689</c:v>
                </c:pt>
                <c:pt idx="174">
                  <c:v>7.6331964687911613</c:v>
                </c:pt>
                <c:pt idx="175">
                  <c:v>7.5342563138509639</c:v>
                </c:pt>
                <c:pt idx="176">
                  <c:v>7.4358581628184215</c:v>
                </c:pt>
                <c:pt idx="177">
                  <c:v>7.3379961399416826</c:v>
                </c:pt>
                <c:pt idx="178">
                  <c:v>7.2382776925467232</c:v>
                </c:pt>
                <c:pt idx="179">
                  <c:v>7.1391098721501489</c:v>
                </c:pt>
                <c:pt idx="180">
                  <c:v>7.040486655012109</c:v>
                </c:pt>
                <c:pt idx="181">
                  <c:v>6.9424021132478755</c:v>
                </c:pt>
                <c:pt idx="182">
                  <c:v>6.8429047742364251</c:v>
                </c:pt>
                <c:pt idx="183">
                  <c:v>6.7439557111482209</c:v>
                </c:pt>
                <c:pt idx="184">
                  <c:v>6.6455489288824152</c:v>
                </c:pt>
                <c:pt idx="185">
                  <c:v>6.5476785277734422</c:v>
                </c:pt>
                <c:pt idx="186">
                  <c:v>6.4476740555978216</c:v>
                </c:pt>
                <c:pt idx="187">
                  <c:v>6.3482234912683477</c:v>
                </c:pt>
                <c:pt idx="188">
                  <c:v>6.2493207376751609</c:v>
                </c:pt>
                <c:pt idx="189">
                  <c:v>6.1509597954892286</c:v>
                </c:pt>
                <c:pt idx="190">
                  <c:v>6.0512730441976972</c:v>
                </c:pt>
                <c:pt idx="191">
                  <c:v>5.9521367028024441</c:v>
                </c:pt>
                <c:pt idx="192">
                  <c:v>5.8535447223881363</c:v>
                </c:pt>
                <c:pt idx="193">
                  <c:v>5.755491150962893</c:v>
                </c:pt>
                <c:pt idx="194">
                  <c:v>5.6554205120557688</c:v>
                </c:pt>
                <c:pt idx="195">
                  <c:v>5.5559044873852113</c:v>
                </c:pt>
                <c:pt idx="196">
                  <c:v>5.4569369496263578</c:v>
                </c:pt>
                <c:pt idx="197">
                  <c:v>5.3585118702159482</c:v>
                </c:pt>
                <c:pt idx="198">
                  <c:v>5.2584857311491371</c:v>
                </c:pt>
                <c:pt idx="199">
                  <c:v>5.1590136456573585</c:v>
                </c:pt>
                <c:pt idx="200">
                  <c:v>5.0600894867411323</c:v>
                </c:pt>
                <c:pt idx="201">
                  <c:v>4.9617072263109883</c:v>
                </c:pt>
                <c:pt idx="202">
                  <c:v>4.8617700491766893</c:v>
                </c:pt>
                <c:pt idx="203">
                  <c:v>4.7623858370607852</c:v>
                </c:pt>
                <c:pt idx="204">
                  <c:v>4.663548472264508</c:v>
                </c:pt>
                <c:pt idx="205">
                  <c:v>4.5652519359470967</c:v>
                </c:pt>
                <c:pt idx="206">
                  <c:v>4.465104195658272</c:v>
                </c:pt>
                <c:pt idx="207">
                  <c:v>4.3655116023203391</c:v>
                </c:pt>
                <c:pt idx="208">
                  <c:v>4.2664679935295382</c:v>
                </c:pt>
                <c:pt idx="209">
                  <c:v>4.167967306844135</c:v>
                </c:pt>
                <c:pt idx="210">
                  <c:v>4.0673362748677553</c:v>
                </c:pt>
                <c:pt idx="211">
                  <c:v>3.9672655616848544</c:v>
                </c:pt>
                <c:pt idx="212">
                  <c:v>3.8677489102861067</c:v>
                </c:pt>
                <c:pt idx="213">
                  <c:v>3.7687801658084856</c:v>
                </c:pt>
                <c:pt idx="214">
                  <c:v>3.6683967427353368</c:v>
                </c:pt>
                <c:pt idx="215">
                  <c:v>3.5685706699853821</c:v>
                </c:pt>
                <c:pt idx="216">
                  <c:v>3.4692957317420152</c:v>
                </c:pt>
                <c:pt idx="217">
                  <c:v>3.3705658135720915</c:v>
                </c:pt>
                <c:pt idx="218">
                  <c:v>3.270142257910662</c:v>
                </c:pt>
                <c:pt idx="219">
                  <c:v>3.1702762366983501</c:v>
                </c:pt>
                <c:pt idx="220">
                  <c:v>3.0709615228644811</c:v>
                </c:pt>
                <c:pt idx="221">
                  <c:v>2.9721919910906722</c:v>
                </c:pt>
                <c:pt idx="222">
                  <c:v>2.8717778644625258</c:v>
                </c:pt>
                <c:pt idx="223">
                  <c:v>2.771920868773595</c:v>
                </c:pt>
                <c:pt idx="224">
                  <c:v>2.6726147756378626</c:v>
                </c:pt>
                <c:pt idx="225">
                  <c:v>2.5738534585694968</c:v>
                </c:pt>
                <c:pt idx="226">
                  <c:v>2.473189805722956</c:v>
                </c:pt>
                <c:pt idx="227">
                  <c:v>2.3730857084413768</c:v>
                </c:pt>
                <c:pt idx="228">
                  <c:v>2.2735348897393597</c:v>
                </c:pt>
                <c:pt idx="229">
                  <c:v>2.1745311757050709</c:v>
                </c:pt>
                <c:pt idx="230">
                  <c:v>1.9733919709213574</c:v>
                </c:pt>
                <c:pt idx="231">
                  <c:v>1.8736579210756248</c:v>
                </c:pt>
                <c:pt idx="232">
                  <c:v>1.7744725924894935</c:v>
                </c:pt>
                <c:pt idx="233">
                  <c:v>1.6734947547050187</c:v>
                </c:pt>
                <c:pt idx="234">
                  <c:v>1.5730791539326008</c:v>
                </c:pt>
                <c:pt idx="235">
                  <c:v>1.4732194522049826</c:v>
                </c:pt>
                <c:pt idx="236">
                  <c:v>1.3739094161814538</c:v>
                </c:pt>
                <c:pt idx="237">
                  <c:v>1.2731445406789161</c:v>
                </c:pt>
                <c:pt idx="238">
                  <c:v>1.1729390761400278</c:v>
                </c:pt>
                <c:pt idx="239">
                  <c:v>1.0732867243690738</c:v>
                </c:pt>
                <c:pt idx="240">
                  <c:v>0.97418129102603856</c:v>
                </c:pt>
                <c:pt idx="241">
                  <c:v>0.87310360304560863</c:v>
                </c:pt>
                <c:pt idx="242">
                  <c:v>0.77258828709009753</c:v>
                </c:pt>
                <c:pt idx="243">
                  <c:v>0.67262898719422703</c:v>
                </c:pt>
                <c:pt idx="244">
                  <c:v>0.5732194526153449</c:v>
                </c:pt>
                <c:pt idx="245">
                  <c:v>0.4721687116929596</c:v>
                </c:pt>
                <c:pt idx="246">
                  <c:v>0.37167949256507882</c:v>
                </c:pt>
                <c:pt idx="247">
                  <c:v>0.27174544582740051</c:v>
                </c:pt>
                <c:pt idx="248">
                  <c:v>0.17236032724785386</c:v>
                </c:pt>
                <c:pt idx="249">
                  <c:v>7.1113936572484604E-2</c:v>
                </c:pt>
                <c:pt idx="250">
                  <c:v>-2.9569358822296499E-2</c:v>
                </c:pt>
                <c:pt idx="251">
                  <c:v>-0.12969594280284022</c:v>
                </c:pt>
                <c:pt idx="252">
                  <c:v>-0.22927209320991371</c:v>
                </c:pt>
                <c:pt idx="253">
                  <c:v>-0.33039406034957952</c:v>
                </c:pt>
                <c:pt idx="254">
                  <c:v>-0.4309549517872025</c:v>
                </c:pt>
                <c:pt idx="255">
                  <c:v>-0.53096112496522285</c:v>
                </c:pt>
                <c:pt idx="256">
                  <c:v>-0.63041883179741509</c:v>
                </c:pt>
                <c:pt idx="257">
                  <c:v>-0.73188964347916874</c:v>
                </c:pt>
                <c:pt idx="258">
                  <c:v>-0.83279620232446949</c:v>
                </c:pt>
                <c:pt idx="259">
                  <c:v>-0.93314492757371226</c:v>
                </c:pt>
                <c:pt idx="260">
                  <c:v>-1.0329421314860507</c:v>
                </c:pt>
                <c:pt idx="261">
                  <c:v>-1.1344434569136159</c:v>
                </c:pt>
                <c:pt idx="262">
                  <c:v>-1.235380929409071</c:v>
                </c:pt>
                <c:pt idx="263">
                  <c:v>-1.3357609693195893</c:v>
                </c:pt>
                <c:pt idx="264">
                  <c:v>-1.4355898899046391</c:v>
                </c:pt>
                <c:pt idx="265">
                  <c:v>-1.5370740688397877</c:v>
                </c:pt>
                <c:pt idx="266">
                  <c:v>-1.6379953702786554</c:v>
                </c:pt>
                <c:pt idx="267">
                  <c:v>-1.7383602058920522</c:v>
                </c:pt>
                <c:pt idx="268">
                  <c:v>-1.8381748803753937</c:v>
                </c:pt>
                <c:pt idx="269">
                  <c:v>-1.9398367599459634</c:v>
                </c:pt>
                <c:pt idx="270">
                  <c:v>-2.0409346313792747</c:v>
                </c:pt>
                <c:pt idx="271">
                  <c:v>-2.1414749336275305</c:v>
                </c:pt>
                <c:pt idx="272">
                  <c:v>-2.2414639979830575</c:v>
                </c:pt>
                <c:pt idx="273">
                  <c:v>-2.3432469004894383</c:v>
                </c:pt>
                <c:pt idx="274">
                  <c:v>-2.4444653446735849</c:v>
                </c:pt>
                <c:pt idx="275">
                  <c:v>-2.5451257852684432</c:v>
                </c:pt>
                <c:pt idx="276">
                  <c:v>-2.6452345689195016</c:v>
                </c:pt>
                <c:pt idx="277">
                  <c:v>-2.7468568861200096</c:v>
                </c:pt>
                <c:pt idx="278">
                  <c:v>-2.8479174576891348</c:v>
                </c:pt>
                <c:pt idx="279">
                  <c:v>-2.9484227001252306</c:v>
                </c:pt>
                <c:pt idx="280">
                  <c:v>-3.0483789226163331</c:v>
                </c:pt>
                <c:pt idx="281">
                  <c:v>-3.1504777498834793</c:v>
                </c:pt>
                <c:pt idx="282">
                  <c:v>-3.2520105645354196</c:v>
                </c:pt>
                <c:pt idx="283">
                  <c:v>-3.3529838643988166</c:v>
                </c:pt>
                <c:pt idx="284">
                  <c:v>-3.4534040381033231</c:v>
                </c:pt>
                <c:pt idx="285">
                  <c:v>-3.5552474106924929</c:v>
                </c:pt>
                <c:pt idx="286">
                  <c:v>-3.6565286414675398</c:v>
                </c:pt>
                <c:pt idx="287">
                  <c:v>-3.7572541702207434</c:v>
                </c:pt>
                <c:pt idx="288">
                  <c:v>-3.8574303287703509</c:v>
                </c:pt>
                <c:pt idx="289">
                  <c:v>-3.9596329092574294</c:v>
                </c:pt>
                <c:pt idx="290">
                  <c:v>-4.0612704973566762</c:v>
                </c:pt>
                <c:pt idx="291">
                  <c:v>-4.1623495902473993</c:v>
                </c:pt>
                <c:pt idx="292">
                  <c:v>-4.2628765757827516</c:v>
                </c:pt>
                <c:pt idx="293">
                  <c:v>-4.3651618207609122</c:v>
                </c:pt>
                <c:pt idx="294">
                  <c:v>-4.4668823334485435</c:v>
                </c:pt>
                <c:pt idx="295">
                  <c:v>-4.5680446151644007</c:v>
                </c:pt>
                <c:pt idx="296">
                  <c:v>-4.668655057738162</c:v>
                </c:pt>
                <c:pt idx="297">
                  <c:v>-4.7709738863420519</c:v>
                </c:pt>
                <c:pt idx="298">
                  <c:v>-4.8727288437913927</c:v>
                </c:pt>
                <c:pt idx="299">
                  <c:v>-4.973926425303782</c:v>
                </c:pt>
                <c:pt idx="300">
                  <c:v>-5.0745730166752185</c:v>
                </c:pt>
                <c:pt idx="301">
                  <c:v>-5.1768798808098886</c:v>
                </c:pt>
                <c:pt idx="302">
                  <c:v>-5.2786242950789033</c:v>
                </c:pt>
                <c:pt idx="303">
                  <c:v>-5.3798127390493686</c:v>
                </c:pt>
                <c:pt idx="304">
                  <c:v>-5.4804515831471265</c:v>
                </c:pt>
                <c:pt idx="305">
                  <c:v>-5.5830964968793833</c:v>
                </c:pt>
                <c:pt idx="306">
                  <c:v>-5.6851766076664942</c:v>
                </c:pt>
                <c:pt idx="307">
                  <c:v>-5.7866984446868699</c:v>
                </c:pt>
                <c:pt idx="308">
                  <c:v>-5.887668426796858</c:v>
                </c:pt>
                <c:pt idx="309">
                  <c:v>-5.9902032647429877</c:v>
                </c:pt>
                <c:pt idx="310">
                  <c:v>-6.0921759288261335</c:v>
                </c:pt>
                <c:pt idx="311">
                  <c:v>-6.1935929119425275</c:v>
                </c:pt>
                <c:pt idx="312">
                  <c:v>-6.2944605974114607</c:v>
                </c:pt>
                <c:pt idx="313">
                  <c:v>-6.3972254729403835</c:v>
                </c:pt>
                <c:pt idx="314">
                  <c:v>-6.499427147387868</c:v>
                </c:pt>
                <c:pt idx="315">
                  <c:v>-6.6010721407031809</c:v>
                </c:pt>
                <c:pt idx="316">
                  <c:v>-6.7021668625812545</c:v>
                </c:pt>
                <c:pt idx="317">
                  <c:v>-6.8051051015912236</c:v>
                </c:pt>
                <c:pt idx="318">
                  <c:v>-6.9074798073233765</c:v>
                </c:pt>
                <c:pt idx="319">
                  <c:v>-7.0092975149641497</c:v>
                </c:pt>
                <c:pt idx="320">
                  <c:v>-7.1105646490315646</c:v>
                </c:pt>
                <c:pt idx="321">
                  <c:v>-7.2136234926184777</c:v>
                </c:pt>
                <c:pt idx="322">
                  <c:v>-7.3161191225438751</c:v>
                </c:pt>
                <c:pt idx="323">
                  <c:v>-7.4180580781037904</c:v>
                </c:pt>
                <c:pt idx="324">
                  <c:v>-7.5194467877610585</c:v>
                </c:pt>
                <c:pt idx="325">
                  <c:v>-7.622577225966217</c:v>
                </c:pt>
                <c:pt idx="326">
                  <c:v>-7.7251453793741707</c:v>
                </c:pt>
                <c:pt idx="327">
                  <c:v>-7.8271577809600279</c:v>
                </c:pt>
                <c:pt idx="328">
                  <c:v>-7.9286208529345039</c:v>
                </c:pt>
                <c:pt idx="329">
                  <c:v>-8.0319494884527742</c:v>
                </c:pt>
                <c:pt idx="330">
                  <c:v>-8.1347154694936528</c:v>
                </c:pt>
                <c:pt idx="331">
                  <c:v>-8.236925345447581</c:v>
                </c:pt>
                <c:pt idx="332">
                  <c:v>-8.3385855544950722</c:v>
                </c:pt>
                <c:pt idx="333">
                  <c:v>-8.4418909719280357</c:v>
                </c:pt>
                <c:pt idx="334">
                  <c:v>-8.5446358476390376</c:v>
                </c:pt>
                <c:pt idx="335">
                  <c:v>-8.6468267043828426</c:v>
                </c:pt>
                <c:pt idx="336">
                  <c:v>-8.748469954229348</c:v>
                </c:pt>
                <c:pt idx="337">
                  <c:v>-8.8520431464518765</c:v>
                </c:pt>
                <c:pt idx="338">
                  <c:v>-8.9550548392141707</c:v>
                </c:pt>
                <c:pt idx="339">
                  <c:v>-9.0575115822606627</c:v>
                </c:pt>
                <c:pt idx="340">
                  <c:v>-9.1594198139612431</c:v>
                </c:pt>
                <c:pt idx="341">
                  <c:v>-9.2632042999685176</c:v>
                </c:pt>
                <c:pt idx="342">
                  <c:v>-9.36642703073246</c:v>
                </c:pt>
                <c:pt idx="343">
                  <c:v>-9.4690945709709897</c:v>
                </c:pt>
                <c:pt idx="344">
                  <c:v>-9.5712133736070975</c:v>
                </c:pt>
                <c:pt idx="345">
                  <c:v>-9.6749988482479594</c:v>
                </c:pt>
                <c:pt idx="346">
                  <c:v>-9.7782246673007656</c:v>
                </c:pt>
                <c:pt idx="347">
                  <c:v>-9.8808973694472151</c:v>
                </c:pt>
                <c:pt idx="348">
                  <c:v>-9.9830233820777607</c:v>
                </c:pt>
                <c:pt idx="349">
                  <c:v>-10.087080024326308</c:v>
                </c:pt>
                <c:pt idx="350">
                  <c:v>-10.190576290749769</c:v>
                </c:pt>
                <c:pt idx="351">
                  <c:v>-10.293518743433538</c:v>
                </c:pt>
                <c:pt idx="352">
                  <c:v>-10.395913832553667</c:v>
                </c:pt>
                <c:pt idx="353">
                  <c:v>-10.500186453070878</c:v>
                </c:pt>
                <c:pt idx="354">
                  <c:v>-10.603898669090004</c:v>
                </c:pt>
                <c:pt idx="355">
                  <c:v>-10.707057054190468</c:v>
                </c:pt>
                <c:pt idx="356">
                  <c:v>-10.809668069688064</c:v>
                </c:pt>
                <c:pt idx="357">
                  <c:v>-10.913957451230885</c:v>
                </c:pt>
                <c:pt idx="358">
                  <c:v>-11.01768862670408</c:v>
                </c:pt>
                <c:pt idx="359">
                  <c:v>-11.120868142238491</c:v>
                </c:pt>
                <c:pt idx="360">
                  <c:v>-11.223502432227836</c:v>
                </c:pt>
                <c:pt idx="361">
                  <c:v>-11.328060079126699</c:v>
                </c:pt>
                <c:pt idx="362">
                  <c:v>-11.432059125713216</c:v>
                </c:pt>
                <c:pt idx="363">
                  <c:v>-11.535506136268516</c:v>
                </c:pt>
                <c:pt idx="364">
                  <c:v>-11.638407562823339</c:v>
                </c:pt>
                <c:pt idx="365">
                  <c:v>-11.743038386110214</c:v>
                </c:pt>
                <c:pt idx="366">
                  <c:v>-11.847112393433044</c:v>
                </c:pt>
                <c:pt idx="367">
                  <c:v>-11.950636129054606</c:v>
                </c:pt>
                <c:pt idx="368">
                  <c:v>-12.053616025335733</c:v>
                </c:pt>
                <c:pt idx="369">
                  <c:v>-12.158557108662574</c:v>
                </c:pt>
                <c:pt idx="370">
                  <c:v>-12.262940744048681</c:v>
                </c:pt>
                <c:pt idx="371">
                  <c:v>-12.36677349832126</c:v>
                </c:pt>
                <c:pt idx="372">
                  <c:v>-12.470061825780331</c:v>
                </c:pt>
                <c:pt idx="373">
                  <c:v>-12.575122566800918</c:v>
                </c:pt>
                <c:pt idx="374">
                  <c:v>-12.67962735461011</c:v>
                </c:pt>
                <c:pt idx="375">
                  <c:v>-12.783582741230253</c:v>
                </c:pt>
                <c:pt idx="376">
                  <c:v>-12.886995166376154</c:v>
                </c:pt>
                <c:pt idx="377">
                  <c:v>-12.992399439218854</c:v>
                </c:pt>
                <c:pt idx="378">
                  <c:v>-13.097246998061667</c:v>
                </c:pt>
                <c:pt idx="379">
                  <c:v>-13.201544419957198</c:v>
                </c:pt>
                <c:pt idx="380">
                  <c:v>-13.305298168954824</c:v>
                </c:pt>
                <c:pt idx="381">
                  <c:v>-13.410729852444545</c:v>
                </c:pt>
                <c:pt idx="382">
                  <c:v>-13.515607498590033</c:v>
                </c:pt>
                <c:pt idx="383">
                  <c:v>-13.619937648797048</c:v>
                </c:pt>
                <c:pt idx="384">
                  <c:v>-13.723726732150752</c:v>
                </c:pt>
                <c:pt idx="385">
                  <c:v>-13.829533298243931</c:v>
                </c:pt>
                <c:pt idx="386">
                  <c:v>-13.934784966340221</c:v>
                </c:pt>
                <c:pt idx="387">
                  <c:v>-14.03948830468684</c:v>
                </c:pt>
                <c:pt idx="388">
                  <c:v>-14.143649768457776</c:v>
                </c:pt>
                <c:pt idx="389">
                  <c:v>-14.24965022390117</c:v>
                </c:pt>
                <c:pt idx="390">
                  <c:v>-14.355096934221475</c:v>
                </c:pt>
                <c:pt idx="391">
                  <c:v>-14.459996458875304</c:v>
                </c:pt>
                <c:pt idx="392">
                  <c:v>-14.564355244299225</c:v>
                </c:pt>
                <c:pt idx="393">
                  <c:v>-14.670505292370164</c:v>
                </c:pt>
                <c:pt idx="394">
                  <c:v>-14.776103319070078</c:v>
                </c:pt>
                <c:pt idx="395">
                  <c:v>-14.88115586485007</c:v>
                </c:pt>
                <c:pt idx="396">
                  <c:v>-14.985669357421756</c:v>
                </c:pt>
                <c:pt idx="397">
                  <c:v>-15.092167931195776</c:v>
                </c:pt>
                <c:pt idx="398">
                  <c:v>-15.198114259619956</c:v>
                </c:pt>
                <c:pt idx="399">
                  <c:v>-15.303514898550453</c:v>
                </c:pt>
                <c:pt idx="400">
                  <c:v>-15.408376290585226</c:v>
                </c:pt>
                <c:pt idx="401">
                  <c:v>-15.515053710258302</c:v>
                </c:pt>
                <c:pt idx="402">
                  <c:v>-15.621180537023145</c:v>
                </c:pt>
                <c:pt idx="403">
                  <c:v>-15.726763308686532</c:v>
                </c:pt>
                <c:pt idx="404">
                  <c:v>-15.831808450037403</c:v>
                </c:pt>
                <c:pt idx="405">
                  <c:v>-15.938738530756194</c:v>
                </c:pt>
                <c:pt idx="406">
                  <c:v>-16.045119025698277</c:v>
                </c:pt>
                <c:pt idx="407">
                  <c:v>-16.150956465853405</c:v>
                </c:pt>
                <c:pt idx="408">
                  <c:v>-16.256257269166614</c:v>
                </c:pt>
                <c:pt idx="409">
                  <c:v>-16.363507813902448</c:v>
                </c:pt>
                <c:pt idx="410">
                  <c:v>-16.470209208062556</c:v>
                </c:pt>
                <c:pt idx="411">
                  <c:v>-16.576367985728758</c:v>
                </c:pt>
                <c:pt idx="412">
                  <c:v>-16.681990567671463</c:v>
                </c:pt>
                <c:pt idx="413">
                  <c:v>-16.78951331946072</c:v>
                </c:pt>
                <c:pt idx="414">
                  <c:v>-16.896487974209332</c:v>
                </c:pt>
                <c:pt idx="415">
                  <c:v>-17.002921057775712</c:v>
                </c:pt>
                <c:pt idx="416">
                  <c:v>-17.108818982690238</c:v>
                </c:pt>
                <c:pt idx="417">
                  <c:v>-17.216677558477787</c:v>
                </c:pt>
                <c:pt idx="418">
                  <c:v>-17.323988568960026</c:v>
                </c:pt>
                <c:pt idx="419">
                  <c:v>-17.430758540685073</c:v>
                </c:pt>
                <c:pt idx="420">
                  <c:v>-17.53699388663842</c:v>
                </c:pt>
                <c:pt idx="421">
                  <c:v>-17.645034572224539</c:v>
                </c:pt>
                <c:pt idx="422">
                  <c:v>-17.752529900868371</c:v>
                </c:pt>
                <c:pt idx="423">
                  <c:v>-17.859486369472389</c:v>
                </c:pt>
                <c:pt idx="424">
                  <c:v>-17.965910361832652</c:v>
                </c:pt>
                <c:pt idx="425">
                  <c:v>-18.074407323297599</c:v>
                </c:pt>
                <c:pt idx="426">
                  <c:v>-18.182358497040291</c:v>
                </c:pt>
                <c:pt idx="427">
                  <c:v>-18.289770396841277</c:v>
                </c:pt>
                <c:pt idx="428">
                  <c:v>-18.396649422740985</c:v>
                </c:pt>
                <c:pt idx="429">
                  <c:v>-18.505447632350261</c:v>
                </c:pt>
                <c:pt idx="430">
                  <c:v>-18.613701312287795</c:v>
                </c:pt>
                <c:pt idx="431">
                  <c:v>-18.721416962502005</c:v>
                </c:pt>
                <c:pt idx="432">
                  <c:v>-18.828600969265004</c:v>
                </c:pt>
                <c:pt idx="433">
                  <c:v>-18.93765717775516</c:v>
                </c:pt>
                <c:pt idx="434">
                  <c:v>-19.046170663800183</c:v>
                </c:pt>
                <c:pt idx="435">
                  <c:v>-19.154147903023862</c:v>
                </c:pt>
                <c:pt idx="436">
                  <c:v>-19.261595257670049</c:v>
                </c:pt>
                <c:pt idx="437">
                  <c:v>-19.371065446017358</c:v>
                </c:pt>
                <c:pt idx="438">
                  <c:v>-19.479993291010604</c:v>
                </c:pt>
                <c:pt idx="439">
                  <c:v>-19.58838526866705</c:v>
                </c:pt>
                <c:pt idx="440">
                  <c:v>-19.696247741331543</c:v>
                </c:pt>
                <c:pt idx="441">
                  <c:v>-19.806083744216053</c:v>
                </c:pt>
                <c:pt idx="442">
                  <c:v>-19.915378386655068</c:v>
                </c:pt>
                <c:pt idx="443">
                  <c:v>-20.024138133420344</c:v>
                </c:pt>
                <c:pt idx="444">
                  <c:v>-20.132369335575746</c:v>
                </c:pt>
                <c:pt idx="445">
                  <c:v>-20.242526560707766</c:v>
                </c:pt>
                <c:pt idx="446">
                  <c:v>-20.352143964753125</c:v>
                </c:pt>
                <c:pt idx="447">
                  <c:v>-20.461227990340312</c:v>
                </c:pt>
                <c:pt idx="448">
                  <c:v>-20.569784966595677</c:v>
                </c:pt>
                <c:pt idx="449">
                  <c:v>-20.680406891342461</c:v>
                </c:pt>
                <c:pt idx="450">
                  <c:v>-20.790489250730229</c:v>
                </c:pt>
                <c:pt idx="451">
                  <c:v>-20.900038487095266</c:v>
                </c:pt>
                <c:pt idx="452">
                  <c:v>-21.009060928952291</c:v>
                </c:pt>
                <c:pt idx="453">
                  <c:v>-21.12000833404894</c:v>
                </c:pt>
                <c:pt idx="454">
                  <c:v>-21.230417902480344</c:v>
                </c:pt>
                <c:pt idx="455">
                  <c:v>-21.34029604882716</c:v>
                </c:pt>
                <c:pt idx="456">
                  <c:v>-21.449649074159428</c:v>
                </c:pt>
                <c:pt idx="457">
                  <c:v>-21.561059720850203</c:v>
                </c:pt>
                <c:pt idx="458">
                  <c:v>-21.671933037545628</c:v>
                </c:pt>
                <c:pt idx="459">
                  <c:v>-21.78227543159047</c:v>
                </c:pt>
                <c:pt idx="460">
                  <c:v>-21.892093196632519</c:v>
                </c:pt>
                <c:pt idx="461">
                  <c:v>-22.003920132740976</c:v>
                </c:pt>
                <c:pt idx="462">
                  <c:v>-22.115210811546739</c:v>
                </c:pt>
                <c:pt idx="463">
                  <c:v>-22.225971621660833</c:v>
                </c:pt>
                <c:pt idx="464">
                  <c:v>-22.336208838069677</c:v>
                </c:pt>
                <c:pt idx="465">
                  <c:v>-22.44849402567008</c:v>
                </c:pt>
                <c:pt idx="466">
                  <c:v>-22.56024373423157</c:v>
                </c:pt>
                <c:pt idx="467">
                  <c:v>-22.6714643373546</c:v>
                </c:pt>
                <c:pt idx="468">
                  <c:v>-22.782162094985576</c:v>
                </c:pt>
                <c:pt idx="469">
                  <c:v>-22.894860382461388</c:v>
                </c:pt>
                <c:pt idx="470">
                  <c:v>-23.007024500015085</c:v>
                </c:pt>
                <c:pt idx="471">
                  <c:v>-23.118660795148777</c:v>
                </c:pt>
                <c:pt idx="472">
                  <c:v>-23.229775501931389</c:v>
                </c:pt>
                <c:pt idx="473">
                  <c:v>-23.343009667542471</c:v>
                </c:pt>
                <c:pt idx="474">
                  <c:v>-23.45570990920594</c:v>
                </c:pt>
                <c:pt idx="475">
                  <c:v>-23.567882565445263</c:v>
                </c:pt>
                <c:pt idx="476">
                  <c:v>-23.679533861152933</c:v>
                </c:pt>
                <c:pt idx="477">
                  <c:v>-23.793255904319089</c:v>
                </c:pt>
                <c:pt idx="478">
                  <c:v>-23.90644481934789</c:v>
                </c:pt>
                <c:pt idx="479">
                  <c:v>-24.019106924102683</c:v>
                </c:pt>
                <c:pt idx="480">
                  <c:v>-24.131248422883985</c:v>
                </c:pt>
                <c:pt idx="481">
                  <c:v>-24.245413664052784</c:v>
                </c:pt>
                <c:pt idx="482">
                  <c:v>-24.359047073539102</c:v>
                </c:pt>
                <c:pt idx="483">
                  <c:v>-24.472154937660846</c:v>
                </c:pt>
                <c:pt idx="484">
                  <c:v>-24.584743429492313</c:v>
                </c:pt>
                <c:pt idx="485">
                  <c:v>-24.699388169137734</c:v>
                </c:pt>
                <c:pt idx="486">
                  <c:v>-24.813502108171704</c:v>
                </c:pt>
                <c:pt idx="487">
                  <c:v>-24.927091503937714</c:v>
                </c:pt>
                <c:pt idx="488">
                  <c:v>-25.040162500785193</c:v>
                </c:pt>
                <c:pt idx="489">
                  <c:v>-25.155396724249741</c:v>
                </c:pt>
                <c:pt idx="490">
                  <c:v>-25.2701002349745</c:v>
                </c:pt>
                <c:pt idx="491">
                  <c:v>-25.384279275660042</c:v>
                </c:pt>
                <c:pt idx="492">
                  <c:v>-25.497939975910647</c:v>
                </c:pt>
                <c:pt idx="493">
                  <c:v>-25.613715409825339</c:v>
                </c:pt>
                <c:pt idx="494">
                  <c:v>-25.728960731974727</c:v>
                </c:pt>
                <c:pt idx="495">
                  <c:v>-25.84368215894181</c:v>
                </c:pt>
                <c:pt idx="496">
                  <c:v>-25.957885794381244</c:v>
                </c:pt>
                <c:pt idx="497">
                  <c:v>-26.074231011562915</c:v>
                </c:pt>
                <c:pt idx="498">
                  <c:v>-26.190046513261194</c:v>
                </c:pt>
                <c:pt idx="499">
                  <c:v>-26.305338490979317</c:v>
                </c:pt>
                <c:pt idx="500">
                  <c:v>-26.420113023430964</c:v>
                </c:pt>
                <c:pt idx="501">
                  <c:v>-26.537054252884946</c:v>
                </c:pt>
                <c:pt idx="502">
                  <c:v>-26.653465973992617</c:v>
                </c:pt>
                <c:pt idx="503">
                  <c:v>-26.769354353792231</c:v>
                </c:pt>
                <c:pt idx="504">
                  <c:v>-26.884725446653853</c:v>
                </c:pt>
                <c:pt idx="505">
                  <c:v>-27.00221559925275</c:v>
                </c:pt>
                <c:pt idx="506">
                  <c:v>-27.119176912574648</c:v>
                </c:pt>
                <c:pt idx="507">
                  <c:v>-27.235615518369659</c:v>
                </c:pt>
                <c:pt idx="508">
                  <c:v>-27.351537436105762</c:v>
                </c:pt>
                <c:pt idx="509">
                  <c:v>-27.469602166404528</c:v>
                </c:pt>
                <c:pt idx="510">
                  <c:v>-27.587138517576722</c:v>
                </c:pt>
                <c:pt idx="511">
                  <c:v>-27.704152586865419</c:v>
                </c:pt>
                <c:pt idx="512">
                  <c:v>-27.820650359602329</c:v>
                </c:pt>
                <c:pt idx="513">
                  <c:v>-27.939381709246188</c:v>
                </c:pt>
                <c:pt idx="514">
                  <c:v>-28.057584334197678</c:v>
                </c:pt>
                <c:pt idx="515">
                  <c:v>-28.175264308087137</c:v>
                </c:pt>
                <c:pt idx="516">
                  <c:v>-28.292427592744581</c:v>
                </c:pt>
                <c:pt idx="517">
                  <c:v>-28.411775885751148</c:v>
                </c:pt>
                <c:pt idx="518">
                  <c:v>-28.53059555744171</c:v>
                </c:pt>
                <c:pt idx="519">
                  <c:v>-28.648892646997311</c:v>
                </c:pt>
                <c:pt idx="520">
                  <c:v>-28.766673082183672</c:v>
                </c:pt>
                <c:pt idx="521">
                  <c:v>-28.88665769025803</c:v>
                </c:pt>
                <c:pt idx="522">
                  <c:v>-29.006113599836137</c:v>
                </c:pt>
                <c:pt idx="523">
                  <c:v>-29.125046815584849</c:v>
                </c:pt>
                <c:pt idx="524">
                  <c:v>-29.243463231156362</c:v>
                </c:pt>
                <c:pt idx="525">
                  <c:v>-29.364101557075802</c:v>
                </c:pt>
                <c:pt idx="526">
                  <c:v>-29.484210933193317</c:v>
                </c:pt>
                <c:pt idx="527">
                  <c:v>-29.603797329394492</c:v>
                </c:pt>
                <c:pt idx="528">
                  <c:v>-29.722866604973358</c:v>
                </c:pt>
                <c:pt idx="529">
                  <c:v>-29.844174145908209</c:v>
                </c:pt>
                <c:pt idx="530">
                  <c:v>-29.964952316573964</c:v>
                </c:pt>
                <c:pt idx="531">
                  <c:v>-30.085207051645536</c:v>
                </c:pt>
                <c:pt idx="532">
                  <c:v>-30.204944175661225</c:v>
                </c:pt>
                <c:pt idx="533">
                  <c:v>-30.326997420180177</c:v>
                </c:pt>
                <c:pt idx="534">
                  <c:v>-30.448520164198349</c:v>
                </c:pt>
                <c:pt idx="535">
                  <c:v>-30.569518315685073</c:v>
                </c:pt>
                <c:pt idx="536">
                  <c:v>-30.689997672741455</c:v>
                </c:pt>
                <c:pt idx="537">
                  <c:v>-30.812681705221621</c:v>
                </c:pt>
                <c:pt idx="538">
                  <c:v>-30.934835044477396</c:v>
                </c:pt>
                <c:pt idx="539">
                  <c:v>-31.056463552806093</c:v>
                </c:pt>
                <c:pt idx="540">
                  <c:v>-31.177572983403429</c:v>
                </c:pt>
                <c:pt idx="541">
                  <c:v>-31.301022540280616</c:v>
                </c:pt>
                <c:pt idx="542">
                  <c:v>-31.423939971749611</c:v>
                </c:pt>
                <c:pt idx="543">
                  <c:v>-31.546331111582898</c:v>
                </c:pt>
                <c:pt idx="544">
                  <c:v>-31.668201684826734</c:v>
                </c:pt>
                <c:pt idx="545">
                  <c:v>-31.792362348683817</c:v>
                </c:pt>
                <c:pt idx="546">
                  <c:v>-31.91598983784845</c:v>
                </c:pt>
                <c:pt idx="547">
                  <c:v>-32.039089947883049</c:v>
                </c:pt>
                <c:pt idx="548">
                  <c:v>-32.161668366277468</c:v>
                </c:pt>
                <c:pt idx="549">
                  <c:v>-32.286546864328038</c:v>
                </c:pt>
                <c:pt idx="550">
                  <c:v>-32.410890976836541</c:v>
                </c:pt>
                <c:pt idx="551">
                  <c:v>-32.534706460514712</c:v>
                </c:pt>
                <c:pt idx="552">
                  <c:v>-32.657998964712249</c:v>
                </c:pt>
                <c:pt idx="553">
                  <c:v>-32.783658029984508</c:v>
                </c:pt>
                <c:pt idx="554">
                  <c:v>-32.908780846415084</c:v>
                </c:pt>
                <c:pt idx="555">
                  <c:v>-33.033373139104491</c:v>
                </c:pt>
                <c:pt idx="556">
                  <c:v>-33.15744052637119</c:v>
                </c:pt>
                <c:pt idx="557">
                  <c:v>-33.409782530945847</c:v>
                </c:pt>
                <c:pt idx="558">
                  <c:v>-33.659994217747283</c:v>
                </c:pt>
                <c:pt idx="559">
                  <c:v>-33.913783126974593</c:v>
                </c:pt>
                <c:pt idx="560">
                  <c:v>-34.165434913927903</c:v>
                </c:pt>
                <c:pt idx="561">
                  <c:v>-34.420889458348732</c:v>
                </c:pt>
                <c:pt idx="562">
                  <c:v>-34.674195762968402</c:v>
                </c:pt>
                <c:pt idx="563">
                  <c:v>-34.93076542885926</c:v>
                </c:pt>
                <c:pt idx="564">
                  <c:v>-35.185184231565586</c:v>
                </c:pt>
                <c:pt idx="565">
                  <c:v>-35.443829358853463</c:v>
                </c:pt>
                <c:pt idx="566">
                  <c:v>-35.700304197213882</c:v>
                </c:pt>
                <c:pt idx="567">
                  <c:v>-35.960880033526543</c:v>
                </c:pt>
                <c:pt idx="568">
                  <c:v>-36.219267787025146</c:v>
                </c:pt>
                <c:pt idx="569">
                  <c:v>-36.480613923153022</c:v>
                </c:pt>
                <c:pt idx="570">
                  <c:v>-36.739772686531083</c:v>
                </c:pt>
                <c:pt idx="571">
                  <c:v>-37.003812078499585</c:v>
                </c:pt>
                <c:pt idx="572">
                  <c:v>-37.265631784462734</c:v>
                </c:pt>
                <c:pt idx="573">
                  <c:v>-37.53020881009089</c:v>
                </c:pt>
                <c:pt idx="574">
                  <c:v>-37.792568898419397</c:v>
                </c:pt>
                <c:pt idx="575">
                  <c:v>-38.059546682216677</c:v>
                </c:pt>
                <c:pt idx="576">
                  <c:v>-38.324278120918528</c:v>
                </c:pt>
                <c:pt idx="577">
                  <c:v>-39.421101420270091</c:v>
                </c:pt>
                <c:pt idx="578">
                  <c:v>-40.481326401924413</c:v>
                </c:pt>
                <c:pt idx="579">
                  <c:v>-42.688703096101335</c:v>
                </c:pt>
                <c:pt idx="580">
                  <c:v>-44.948672426571086</c:v>
                </c:pt>
                <c:pt idx="581">
                  <c:v>-47.255442668427669</c:v>
                </c:pt>
                <c:pt idx="582">
                  <c:v>-49.606778020282761</c:v>
                </c:pt>
                <c:pt idx="583">
                  <c:v>-51.996248629827832</c:v>
                </c:pt>
                <c:pt idx="584">
                  <c:v>-54.420215934504519</c:v>
                </c:pt>
                <c:pt idx="585">
                  <c:v>-56.871393112295145</c:v>
                </c:pt>
                <c:pt idx="586">
                  <c:v>-59.344061450250791</c:v>
                </c:pt>
                <c:pt idx="587">
                  <c:v>-61.833619840559024</c:v>
                </c:pt>
                <c:pt idx="588">
                  <c:v>-64.332157902981578</c:v>
                </c:pt>
                <c:pt idx="589">
                  <c:v>-66.836757134269959</c:v>
                </c:pt>
                <c:pt idx="590">
                  <c:v>-69.342296071346993</c:v>
                </c:pt>
                <c:pt idx="591">
                  <c:v>-71.84563432810431</c:v>
                </c:pt>
                <c:pt idx="592">
                  <c:v>-74.343893636514451</c:v>
                </c:pt>
                <c:pt idx="593">
                  <c:v>-76.83604112968888</c:v>
                </c:pt>
                <c:pt idx="594">
                  <c:v>-79.320321374165829</c:v>
                </c:pt>
                <c:pt idx="595">
                  <c:v>-81.796703446040965</c:v>
                </c:pt>
                <c:pt idx="596">
                  <c:v>-84.264594754146614</c:v>
                </c:pt>
                <c:pt idx="597">
                  <c:v>-86.724758531340484</c:v>
                </c:pt>
                <c:pt idx="598">
                  <c:v>-89.177044253428818</c:v>
                </c:pt>
                <c:pt idx="599">
                  <c:v>-91.622671277779602</c:v>
                </c:pt>
                <c:pt idx="600">
                  <c:v>-94.061925673189378</c:v>
                </c:pt>
                <c:pt idx="604">
                  <c:v>7.1113936572484604E-2</c:v>
                </c:pt>
              </c:numCache>
            </c:numRef>
          </c:yVal>
          <c:smooth val="1"/>
          <c:extLst>
            <c:ext xmlns:c16="http://schemas.microsoft.com/office/drawing/2014/chart" uri="{C3380CC4-5D6E-409C-BE32-E72D297353CC}">
              <c16:uniqueId val="{00000000-4362-43AB-BDC1-536058DC7619}"/>
            </c:ext>
          </c:extLst>
        </c:ser>
        <c:ser>
          <c:idx val="6"/>
          <c:order val="1"/>
          <c:tx>
            <c:strRef>
              <c:f>'Stability Calculations'!$AG$12</c:f>
              <c:strCache>
                <c:ptCount val="1"/>
                <c:pt idx="0">
                  <c:v>Gain(dB)</c:v>
                </c:pt>
              </c:strCache>
            </c:strRef>
          </c:tx>
          <c:spPr>
            <a:ln w="25400">
              <a:solidFill>
                <a:srgbClr val="FF0000"/>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Calculations'!$AG$13:$AG$617</c:f>
              <c:numCache>
                <c:formatCode>0.0000</c:formatCode>
                <c:ptCount val="605"/>
                <c:pt idx="0">
                  <c:v>66.378592305129189</c:v>
                </c:pt>
                <c:pt idx="1">
                  <c:v>65.599615164032357</c:v>
                </c:pt>
                <c:pt idx="2">
                  <c:v>64.818489294626332</c:v>
                </c:pt>
                <c:pt idx="3">
                  <c:v>64.035798657376347</c:v>
                </c:pt>
                <c:pt idx="4">
                  <c:v>63.252596925249307</c:v>
                </c:pt>
                <c:pt idx="5">
                  <c:v>62.468094646744355</c:v>
                </c:pt>
                <c:pt idx="6">
                  <c:v>61.683907856543158</c:v>
                </c:pt>
                <c:pt idx="7">
                  <c:v>60.900025687194528</c:v>
                </c:pt>
                <c:pt idx="8">
                  <c:v>60.117543407135429</c:v>
                </c:pt>
                <c:pt idx="9">
                  <c:v>59.336426419361182</c:v>
                </c:pt>
                <c:pt idx="10">
                  <c:v>58.557731714645023</c:v>
                </c:pt>
                <c:pt idx="11">
                  <c:v>57.782021266522428</c:v>
                </c:pt>
                <c:pt idx="12">
                  <c:v>57.009644782386616</c:v>
                </c:pt>
                <c:pt idx="13">
                  <c:v>56.242204482658877</c:v>
                </c:pt>
                <c:pt idx="14">
                  <c:v>55.480068663630959</c:v>
                </c:pt>
                <c:pt idx="15">
                  <c:v>54.724655384889971</c:v>
                </c:pt>
                <c:pt idx="16">
                  <c:v>53.977185828655642</c:v>
                </c:pt>
                <c:pt idx="17">
                  <c:v>53.239224152006919</c:v>
                </c:pt>
                <c:pt idx="18">
                  <c:v>52.512207163650174</c:v>
                </c:pt>
                <c:pt idx="19">
                  <c:v>51.798181610793677</c:v>
                </c:pt>
                <c:pt idx="20">
                  <c:v>51.099056738458977</c:v>
                </c:pt>
                <c:pt idx="21">
                  <c:v>50.417217698677888</c:v>
                </c:pt>
                <c:pt idx="22">
                  <c:v>49.754929487390164</c:v>
                </c:pt>
                <c:pt idx="23">
                  <c:v>49.114891658165746</c:v>
                </c:pt>
                <c:pt idx="24">
                  <c:v>48.499543620088716</c:v>
                </c:pt>
                <c:pt idx="25">
                  <c:v>47.911572459746949</c:v>
                </c:pt>
                <c:pt idx="26">
                  <c:v>47.353325390018469</c:v>
                </c:pt>
                <c:pt idx="27">
                  <c:v>46.827238015286866</c:v>
                </c:pt>
                <c:pt idx="28">
                  <c:v>46.335196058725565</c:v>
                </c:pt>
                <c:pt idx="29">
                  <c:v>45.878932321817928</c:v>
                </c:pt>
                <c:pt idx="30">
                  <c:v>45.458622608634784</c:v>
                </c:pt>
                <c:pt idx="31">
                  <c:v>45.0752208349829</c:v>
                </c:pt>
                <c:pt idx="32">
                  <c:v>44.728174511899311</c:v>
                </c:pt>
                <c:pt idx="33">
                  <c:v>44.416835767774792</c:v>
                </c:pt>
                <c:pt idx="34">
                  <c:v>44.1395277260306</c:v>
                </c:pt>
                <c:pt idx="35">
                  <c:v>43.894523800296056</c:v>
                </c:pt>
                <c:pt idx="36">
                  <c:v>43.679534083810019</c:v>
                </c:pt>
                <c:pt idx="37">
                  <c:v>43.491985315962467</c:v>
                </c:pt>
                <c:pt idx="38">
                  <c:v>43.329457004762972</c:v>
                </c:pt>
                <c:pt idx="39">
                  <c:v>43.189187444451179</c:v>
                </c:pt>
                <c:pt idx="40">
                  <c:v>43.068669993982283</c:v>
                </c:pt>
                <c:pt idx="41">
                  <c:v>42.965442436460108</c:v>
                </c:pt>
                <c:pt idx="42">
                  <c:v>42.877226242227209</c:v>
                </c:pt>
                <c:pt idx="43">
                  <c:v>42.801890319210408</c:v>
                </c:pt>
                <c:pt idx="44">
                  <c:v>42.737544100023399</c:v>
                </c:pt>
                <c:pt idx="45">
                  <c:v>42.682454826727337</c:v>
                </c:pt>
                <c:pt idx="46">
                  <c:v>42.63509636409438</c:v>
                </c:pt>
                <c:pt idx="47">
                  <c:v>42.594087624663182</c:v>
                </c:pt>
                <c:pt idx="48">
                  <c:v>42.5582146006927</c:v>
                </c:pt>
                <c:pt idx="49">
                  <c:v>42.526369111189446</c:v>
                </c:pt>
                <c:pt idx="50">
                  <c:v>42.497560035769979</c:v>
                </c:pt>
                <c:pt idx="51">
                  <c:v>42.470863612038379</c:v>
                </c:pt>
                <c:pt idx="52">
                  <c:v>42.445426625510201</c:v>
                </c:pt>
                <c:pt idx="53">
                  <c:v>42.42041826471484</c:v>
                </c:pt>
                <c:pt idx="54">
                  <c:v>42.395034081800986</c:v>
                </c:pt>
                <c:pt idx="55">
                  <c:v>42.368395416347468</c:v>
                </c:pt>
                <c:pt idx="56">
                  <c:v>42.339663273912606</c:v>
                </c:pt>
                <c:pt idx="57">
                  <c:v>42.307877595681312</c:v>
                </c:pt>
                <c:pt idx="58">
                  <c:v>42.272028987012433</c:v>
                </c:pt>
                <c:pt idx="59">
                  <c:v>42.230935930503328</c:v>
                </c:pt>
                <c:pt idx="60">
                  <c:v>42.183314390721982</c:v>
                </c:pt>
                <c:pt idx="61">
                  <c:v>42.127669028222883</c:v>
                </c:pt>
                <c:pt idx="62">
                  <c:v>42.062253223175816</c:v>
                </c:pt>
                <c:pt idx="63">
                  <c:v>41.985162746966324</c:v>
                </c:pt>
                <c:pt idx="64">
                  <c:v>41.894078607006676</c:v>
                </c:pt>
                <c:pt idx="65">
                  <c:v>41.786442485669603</c:v>
                </c:pt>
                <c:pt idx="66">
                  <c:v>41.65929935474103</c:v>
                </c:pt>
                <c:pt idx="67">
                  <c:v>41.509339888495575</c:v>
                </c:pt>
                <c:pt idx="68">
                  <c:v>41.332790931918012</c:v>
                </c:pt>
                <c:pt idx="69">
                  <c:v>41.125576096386276</c:v>
                </c:pt>
                <c:pt idx="70">
                  <c:v>40.883164913823499</c:v>
                </c:pt>
                <c:pt idx="71">
                  <c:v>40.600805763687937</c:v>
                </c:pt>
                <c:pt idx="72">
                  <c:v>40.273411637560685</c:v>
                </c:pt>
                <c:pt idx="73">
                  <c:v>39.895941193191959</c:v>
                </c:pt>
                <c:pt idx="74">
                  <c:v>39.463238257283855</c:v>
                </c:pt>
                <c:pt idx="75">
                  <c:v>38.970558598996526</c:v>
                </c:pt>
                <c:pt idx="76">
                  <c:v>38.413438201067549</c:v>
                </c:pt>
                <c:pt idx="77">
                  <c:v>37.788402484349646</c:v>
                </c:pt>
                <c:pt idx="78">
                  <c:v>37.092695421449427</c:v>
                </c:pt>
                <c:pt idx="79">
                  <c:v>36.32513693619822</c:v>
                </c:pt>
                <c:pt idx="80">
                  <c:v>35.483860276887206</c:v>
                </c:pt>
                <c:pt idx="81">
                  <c:v>34.570632910513112</c:v>
                </c:pt>
                <c:pt idx="82">
                  <c:v>33.586657265663646</c:v>
                </c:pt>
                <c:pt idx="83">
                  <c:v>32.535495974876611</c:v>
                </c:pt>
                <c:pt idx="84">
                  <c:v>31.420063065973803</c:v>
                </c:pt>
                <c:pt idx="85">
                  <c:v>30.245352677309544</c:v>
                </c:pt>
                <c:pt idx="86">
                  <c:v>29.016031323077556</c:v>
                </c:pt>
                <c:pt idx="87">
                  <c:v>27.736458228913314</c:v>
                </c:pt>
                <c:pt idx="88">
                  <c:v>26.412942901047266</c:v>
                </c:pt>
                <c:pt idx="89">
                  <c:v>25.049400385619993</c:v>
                </c:pt>
                <c:pt idx="90">
                  <c:v>23.651057044714562</c:v>
                </c:pt>
                <c:pt idx="91">
                  <c:v>22.22219032182808</c:v>
                </c:pt>
                <c:pt idx="92">
                  <c:v>20.767012172575612</c:v>
                </c:pt>
                <c:pt idx="93">
                  <c:v>19.288694512215237</c:v>
                </c:pt>
                <c:pt idx="94">
                  <c:v>18.916071237541729</c:v>
                </c:pt>
                <c:pt idx="95">
                  <c:v>18.72815571736384</c:v>
                </c:pt>
                <c:pt idx="96">
                  <c:v>18.542102460750193</c:v>
                </c:pt>
                <c:pt idx="97">
                  <c:v>18.353628692764477</c:v>
                </c:pt>
                <c:pt idx="98">
                  <c:v>18.167034214000807</c:v>
                </c:pt>
                <c:pt idx="99">
                  <c:v>17.977976520554755</c:v>
                </c:pt>
                <c:pt idx="100">
                  <c:v>17.790815455998136</c:v>
                </c:pt>
                <c:pt idx="101">
                  <c:v>17.601294068117106</c:v>
                </c:pt>
                <c:pt idx="102">
                  <c:v>17.413684048762711</c:v>
                </c:pt>
                <c:pt idx="103">
                  <c:v>17.223536991456342</c:v>
                </c:pt>
                <c:pt idx="104">
                  <c:v>17.035319106013656</c:v>
                </c:pt>
                <c:pt idx="105">
                  <c:v>16.844670617120279</c:v>
                </c:pt>
                <c:pt idx="106">
                  <c:v>16.655966419610703</c:v>
                </c:pt>
                <c:pt idx="107">
                  <c:v>16.464934057863793</c:v>
                </c:pt>
                <c:pt idx="108">
                  <c:v>16.275858524199414</c:v>
                </c:pt>
                <c:pt idx="109">
                  <c:v>16.084423677758338</c:v>
                </c:pt>
                <c:pt idx="110">
                  <c:v>15.89495837467264</c:v>
                </c:pt>
                <c:pt idx="111">
                  <c:v>15.702979726873741</c:v>
                </c:pt>
                <c:pt idx="112">
                  <c:v>15.512986053522429</c:v>
                </c:pt>
                <c:pt idx="113">
                  <c:v>15.320585495496399</c:v>
                </c:pt>
                <c:pt idx="114">
                  <c:v>15.130182666150931</c:v>
                </c:pt>
                <c:pt idx="115">
                  <c:v>14.937353481917764</c:v>
                </c:pt>
                <c:pt idx="116">
                  <c:v>14.746534743632543</c:v>
                </c:pt>
                <c:pt idx="117">
                  <c:v>14.553273704392129</c:v>
                </c:pt>
                <c:pt idx="118">
                  <c:v>14.362035725990637</c:v>
                </c:pt>
                <c:pt idx="119">
                  <c:v>14.168459609809926</c:v>
                </c:pt>
                <c:pt idx="120">
                  <c:v>13.976916563449384</c:v>
                </c:pt>
                <c:pt idx="121">
                  <c:v>13.783021037251611</c:v>
                </c:pt>
                <c:pt idx="122">
                  <c:v>13.591168502463324</c:v>
                </c:pt>
                <c:pt idx="123">
                  <c:v>13.396840328706825</c:v>
                </c:pt>
                <c:pt idx="124">
                  <c:v>13.204567278176963</c:v>
                </c:pt>
                <c:pt idx="125">
                  <c:v>13.009924578482746</c:v>
                </c:pt>
                <c:pt idx="126">
                  <c:v>12.817346489203686</c:v>
                </c:pt>
                <c:pt idx="127">
                  <c:v>12.622393183564933</c:v>
                </c:pt>
                <c:pt idx="128">
                  <c:v>12.4295137282691</c:v>
                </c:pt>
                <c:pt idx="129">
                  <c:v>12.234256095756857</c:v>
                </c:pt>
                <c:pt idx="130">
                  <c:v>12.041081259529037</c:v>
                </c:pt>
                <c:pt idx="131">
                  <c:v>11.845527733812581</c:v>
                </c:pt>
                <c:pt idx="132">
                  <c:v>11.748537977865476</c:v>
                </c:pt>
                <c:pt idx="133">
                  <c:v>11.652065613109073</c:v>
                </c:pt>
                <c:pt idx="134">
                  <c:v>11.553830319254113</c:v>
                </c:pt>
                <c:pt idx="135">
                  <c:v>11.45612602805484</c:v>
                </c:pt>
                <c:pt idx="136">
                  <c:v>11.358947161497055</c:v>
                </c:pt>
                <c:pt idx="137">
                  <c:v>11.262288225504165</c:v>
                </c:pt>
                <c:pt idx="138">
                  <c:v>11.163966894450841</c:v>
                </c:pt>
                <c:pt idx="139">
                  <c:v>11.066178009441202</c:v>
                </c:pt>
                <c:pt idx="140">
                  <c:v>10.968915955724217</c:v>
                </c:pt>
                <c:pt idx="141">
                  <c:v>10.872175203533736</c:v>
                </c:pt>
                <c:pt idx="142">
                  <c:v>10.773674702277567</c:v>
                </c:pt>
                <c:pt idx="143">
                  <c:v>10.675709057527724</c:v>
                </c:pt>
                <c:pt idx="144">
                  <c:v>10.578272602915039</c:v>
                </c:pt>
                <c:pt idx="145">
                  <c:v>10.481359758392511</c:v>
                </c:pt>
                <c:pt idx="146">
                  <c:v>10.382738225872609</c:v>
                </c:pt>
                <c:pt idx="147">
                  <c:v>10.284653293456497</c:v>
                </c:pt>
                <c:pt idx="148">
                  <c:v>10.187099254049709</c:v>
                </c:pt>
                <c:pt idx="149">
                  <c:v>10.090070487989857</c:v>
                </c:pt>
                <c:pt idx="150">
                  <c:v>9.9913361425955731</c:v>
                </c:pt>
                <c:pt idx="151">
                  <c:v>9.8931400132901253</c:v>
                </c:pt>
                <c:pt idx="152">
                  <c:v>9.7954763546392911</c:v>
                </c:pt>
                <c:pt idx="153">
                  <c:v>9.6983395096927367</c:v>
                </c:pt>
                <c:pt idx="154">
                  <c:v>9.5994557645238316</c:v>
                </c:pt>
                <c:pt idx="155">
                  <c:v>9.5011122120235587</c:v>
                </c:pt>
                <c:pt idx="156">
                  <c:v>9.4033030629727108</c:v>
                </c:pt>
                <c:pt idx="157">
                  <c:v>9.3060226177921184</c:v>
                </c:pt>
                <c:pt idx="158">
                  <c:v>9.2070016627062081</c:v>
                </c:pt>
                <c:pt idx="159">
                  <c:v>9.1085227078952578</c:v>
                </c:pt>
                <c:pt idx="160">
                  <c:v>9.0105799233395683</c:v>
                </c:pt>
                <c:pt idx="161">
                  <c:v>8.9131675697469319</c:v>
                </c:pt>
                <c:pt idx="162">
                  <c:v>8.8140653109815332</c:v>
                </c:pt>
                <c:pt idx="163">
                  <c:v>8.7155062126464973</c:v>
                </c:pt>
                <c:pt idx="164">
                  <c:v>8.6174844146400549</c:v>
                </c:pt>
                <c:pt idx="165">
                  <c:v>8.5199941484457291</c:v>
                </c:pt>
                <c:pt idx="166">
                  <c:v>8.4207355138229971</c:v>
                </c:pt>
                <c:pt idx="167">
                  <c:v>8.3220219840316929</c:v>
                </c:pt>
                <c:pt idx="168">
                  <c:v>8.2238476564993128</c:v>
                </c:pt>
                <c:pt idx="169">
                  <c:v>8.1262067213477387</c:v>
                </c:pt>
                <c:pt idx="170">
                  <c:v>8.0270152254293841</c:v>
                </c:pt>
                <c:pt idx="171">
                  <c:v>7.9283682937154314</c:v>
                </c:pt>
                <c:pt idx="172">
                  <c:v>7.8302600217246567</c:v>
                </c:pt>
                <c:pt idx="173">
                  <c:v>7.7326845979222689</c:v>
                </c:pt>
                <c:pt idx="174">
                  <c:v>7.6331964687911613</c:v>
                </c:pt>
                <c:pt idx="175">
                  <c:v>7.5342563138509639</c:v>
                </c:pt>
                <c:pt idx="176">
                  <c:v>7.4358581628184215</c:v>
                </c:pt>
                <c:pt idx="177">
                  <c:v>7.3379961399416826</c:v>
                </c:pt>
                <c:pt idx="178">
                  <c:v>7.2382776925467232</c:v>
                </c:pt>
                <c:pt idx="179">
                  <c:v>7.1391098721501489</c:v>
                </c:pt>
                <c:pt idx="180">
                  <c:v>7.040486655012109</c:v>
                </c:pt>
                <c:pt idx="181">
                  <c:v>6.9424021132478755</c:v>
                </c:pt>
                <c:pt idx="182">
                  <c:v>6.8429047742364251</c:v>
                </c:pt>
                <c:pt idx="183">
                  <c:v>6.7439557111482209</c:v>
                </c:pt>
                <c:pt idx="184">
                  <c:v>6.6455489288824152</c:v>
                </c:pt>
                <c:pt idx="185">
                  <c:v>6.5476785277734422</c:v>
                </c:pt>
                <c:pt idx="186">
                  <c:v>6.4476740555978216</c:v>
                </c:pt>
                <c:pt idx="187">
                  <c:v>6.3482234912683477</c:v>
                </c:pt>
                <c:pt idx="188">
                  <c:v>6.2493207376751609</c:v>
                </c:pt>
                <c:pt idx="189">
                  <c:v>6.1509597954892286</c:v>
                </c:pt>
                <c:pt idx="190">
                  <c:v>6.0512730441976972</c:v>
                </c:pt>
                <c:pt idx="191">
                  <c:v>5.9521367028024441</c:v>
                </c:pt>
                <c:pt idx="192">
                  <c:v>5.8535447223881363</c:v>
                </c:pt>
                <c:pt idx="193">
                  <c:v>5.755491150962893</c:v>
                </c:pt>
                <c:pt idx="194">
                  <c:v>5.6554205120557688</c:v>
                </c:pt>
                <c:pt idx="195">
                  <c:v>5.5559044873852113</c:v>
                </c:pt>
                <c:pt idx="196">
                  <c:v>5.4569369496263578</c:v>
                </c:pt>
                <c:pt idx="197">
                  <c:v>5.3585118702159482</c:v>
                </c:pt>
                <c:pt idx="198">
                  <c:v>5.2584857311491371</c:v>
                </c:pt>
                <c:pt idx="199">
                  <c:v>5.1590136456573585</c:v>
                </c:pt>
                <c:pt idx="200">
                  <c:v>5.0600894867411323</c:v>
                </c:pt>
                <c:pt idx="201">
                  <c:v>4.9617072263109883</c:v>
                </c:pt>
                <c:pt idx="202">
                  <c:v>4.8617700491766893</c:v>
                </c:pt>
                <c:pt idx="203">
                  <c:v>4.7623858370607852</c:v>
                </c:pt>
                <c:pt idx="204">
                  <c:v>4.663548472264508</c:v>
                </c:pt>
                <c:pt idx="205">
                  <c:v>4.5652519359470967</c:v>
                </c:pt>
                <c:pt idx="206">
                  <c:v>4.465104195658272</c:v>
                </c:pt>
                <c:pt idx="207">
                  <c:v>4.3655116023203391</c:v>
                </c:pt>
                <c:pt idx="208">
                  <c:v>4.2664679935295382</c:v>
                </c:pt>
                <c:pt idx="209">
                  <c:v>4.167967306844135</c:v>
                </c:pt>
                <c:pt idx="210">
                  <c:v>4.0673362748677553</c:v>
                </c:pt>
                <c:pt idx="211">
                  <c:v>3.9672655616848544</c:v>
                </c:pt>
                <c:pt idx="212">
                  <c:v>3.8677489102861067</c:v>
                </c:pt>
                <c:pt idx="213">
                  <c:v>3.7687801658084856</c:v>
                </c:pt>
                <c:pt idx="214">
                  <c:v>3.6683967427353368</c:v>
                </c:pt>
                <c:pt idx="215">
                  <c:v>3.5685706699853821</c:v>
                </c:pt>
                <c:pt idx="216">
                  <c:v>3.4692957317420152</c:v>
                </c:pt>
                <c:pt idx="217">
                  <c:v>3.3705658135720915</c:v>
                </c:pt>
                <c:pt idx="218">
                  <c:v>3.270142257910662</c:v>
                </c:pt>
                <c:pt idx="219">
                  <c:v>3.1702762366983501</c:v>
                </c:pt>
                <c:pt idx="220">
                  <c:v>3.0709615228644811</c:v>
                </c:pt>
                <c:pt idx="221">
                  <c:v>2.9721919910906722</c:v>
                </c:pt>
                <c:pt idx="222">
                  <c:v>2.8717778644625258</c:v>
                </c:pt>
                <c:pt idx="223">
                  <c:v>2.771920868773595</c:v>
                </c:pt>
                <c:pt idx="224">
                  <c:v>2.6726147756378626</c:v>
                </c:pt>
                <c:pt idx="225">
                  <c:v>2.5738534585694968</c:v>
                </c:pt>
                <c:pt idx="226">
                  <c:v>2.473189805722956</c:v>
                </c:pt>
                <c:pt idx="227">
                  <c:v>2.3730857084413768</c:v>
                </c:pt>
                <c:pt idx="228">
                  <c:v>2.2735348897393597</c:v>
                </c:pt>
                <c:pt idx="229">
                  <c:v>2.1745311757050709</c:v>
                </c:pt>
                <c:pt idx="230">
                  <c:v>1.9733919709213574</c:v>
                </c:pt>
                <c:pt idx="231">
                  <c:v>1.8736579210756248</c:v>
                </c:pt>
                <c:pt idx="232">
                  <c:v>1.7744725924894935</c:v>
                </c:pt>
                <c:pt idx="233">
                  <c:v>1.6734947547050187</c:v>
                </c:pt>
                <c:pt idx="234">
                  <c:v>1.5730791539326008</c:v>
                </c:pt>
                <c:pt idx="235">
                  <c:v>1.4732194522049826</c:v>
                </c:pt>
                <c:pt idx="236">
                  <c:v>1.3739094161814538</c:v>
                </c:pt>
                <c:pt idx="237">
                  <c:v>1.2731445406789161</c:v>
                </c:pt>
                <c:pt idx="238">
                  <c:v>1.1729390761400278</c:v>
                </c:pt>
                <c:pt idx="239">
                  <c:v>1.0732867243690738</c:v>
                </c:pt>
                <c:pt idx="240">
                  <c:v>0.97418129102603856</c:v>
                </c:pt>
                <c:pt idx="241">
                  <c:v>0.87310360304560863</c:v>
                </c:pt>
                <c:pt idx="242">
                  <c:v>0.77258828709009753</c:v>
                </c:pt>
                <c:pt idx="243">
                  <c:v>0.67262898719422703</c:v>
                </c:pt>
                <c:pt idx="244">
                  <c:v>0.5732194526153449</c:v>
                </c:pt>
                <c:pt idx="245">
                  <c:v>0.4721687116929596</c:v>
                </c:pt>
                <c:pt idx="246">
                  <c:v>0.37167949256507882</c:v>
                </c:pt>
                <c:pt idx="247">
                  <c:v>0.27174544582740051</c:v>
                </c:pt>
                <c:pt idx="248">
                  <c:v>0.17236032724785386</c:v>
                </c:pt>
                <c:pt idx="249">
                  <c:v>7.1113936572484604E-2</c:v>
                </c:pt>
                <c:pt idx="250">
                  <c:v>-2.9569358822296499E-2</c:v>
                </c:pt>
                <c:pt idx="251">
                  <c:v>-0.12969594280284022</c:v>
                </c:pt>
                <c:pt idx="252">
                  <c:v>-0.22927209320991371</c:v>
                </c:pt>
                <c:pt idx="253">
                  <c:v>-0.33039406034957952</c:v>
                </c:pt>
                <c:pt idx="254">
                  <c:v>-0.4309549517872025</c:v>
                </c:pt>
                <c:pt idx="255">
                  <c:v>-0.53096112496522285</c:v>
                </c:pt>
                <c:pt idx="256">
                  <c:v>-0.63041883179741509</c:v>
                </c:pt>
                <c:pt idx="257">
                  <c:v>-0.73188964347916874</c:v>
                </c:pt>
                <c:pt idx="258">
                  <c:v>-0.83279620232446949</c:v>
                </c:pt>
                <c:pt idx="259">
                  <c:v>-0.93314492757371226</c:v>
                </c:pt>
                <c:pt idx="260">
                  <c:v>-1.0329421314860507</c:v>
                </c:pt>
                <c:pt idx="261">
                  <c:v>-1.1344434569136159</c:v>
                </c:pt>
                <c:pt idx="262">
                  <c:v>-1.235380929409071</c:v>
                </c:pt>
                <c:pt idx="263">
                  <c:v>-1.3357609693195893</c:v>
                </c:pt>
                <c:pt idx="264">
                  <c:v>-1.4355898899046391</c:v>
                </c:pt>
                <c:pt idx="265">
                  <c:v>-1.5370740688397877</c:v>
                </c:pt>
                <c:pt idx="266">
                  <c:v>-1.6379953702786554</c:v>
                </c:pt>
                <c:pt idx="267">
                  <c:v>-1.7383602058920522</c:v>
                </c:pt>
                <c:pt idx="268">
                  <c:v>-1.8381748803753937</c:v>
                </c:pt>
                <c:pt idx="269">
                  <c:v>-1.9398367599459634</c:v>
                </c:pt>
                <c:pt idx="270">
                  <c:v>-2.0409346313792747</c:v>
                </c:pt>
                <c:pt idx="271">
                  <c:v>-2.1414749336275305</c:v>
                </c:pt>
                <c:pt idx="272">
                  <c:v>-2.2414639979830575</c:v>
                </c:pt>
                <c:pt idx="273">
                  <c:v>-2.3432469004894383</c:v>
                </c:pt>
                <c:pt idx="274">
                  <c:v>-2.4444653446735849</c:v>
                </c:pt>
                <c:pt idx="275">
                  <c:v>-2.5451257852684432</c:v>
                </c:pt>
                <c:pt idx="276">
                  <c:v>-2.6452345689195016</c:v>
                </c:pt>
                <c:pt idx="277">
                  <c:v>-2.7468568861200096</c:v>
                </c:pt>
                <c:pt idx="278">
                  <c:v>-2.8479174576891348</c:v>
                </c:pt>
                <c:pt idx="279">
                  <c:v>-2.9484227001252306</c:v>
                </c:pt>
                <c:pt idx="280">
                  <c:v>-3.0483789226163331</c:v>
                </c:pt>
                <c:pt idx="281">
                  <c:v>-3.1504777498834793</c:v>
                </c:pt>
                <c:pt idx="282">
                  <c:v>-3.2520105645354196</c:v>
                </c:pt>
                <c:pt idx="283">
                  <c:v>-3.3529838643988166</c:v>
                </c:pt>
                <c:pt idx="284">
                  <c:v>-3.4534040381033231</c:v>
                </c:pt>
                <c:pt idx="285">
                  <c:v>-3.5552474106924929</c:v>
                </c:pt>
                <c:pt idx="286">
                  <c:v>-3.6565286414675398</c:v>
                </c:pt>
                <c:pt idx="287">
                  <c:v>-3.7572541702207434</c:v>
                </c:pt>
                <c:pt idx="288">
                  <c:v>-3.8574303287703509</c:v>
                </c:pt>
                <c:pt idx="289">
                  <c:v>-3.9596329092574294</c:v>
                </c:pt>
                <c:pt idx="290">
                  <c:v>-4.0612704973566762</c:v>
                </c:pt>
                <c:pt idx="291">
                  <c:v>-4.1623495902473993</c:v>
                </c:pt>
                <c:pt idx="292">
                  <c:v>-4.2628765757827516</c:v>
                </c:pt>
                <c:pt idx="293">
                  <c:v>-4.3651618207609122</c:v>
                </c:pt>
                <c:pt idx="294">
                  <c:v>-4.4668823334485435</c:v>
                </c:pt>
                <c:pt idx="295">
                  <c:v>-4.5680446151644007</c:v>
                </c:pt>
                <c:pt idx="296">
                  <c:v>-4.668655057738162</c:v>
                </c:pt>
                <c:pt idx="297">
                  <c:v>-4.7709738863420519</c:v>
                </c:pt>
                <c:pt idx="298">
                  <c:v>-4.8727288437913927</c:v>
                </c:pt>
                <c:pt idx="299">
                  <c:v>-4.973926425303782</c:v>
                </c:pt>
                <c:pt idx="300">
                  <c:v>-5.0745730166752185</c:v>
                </c:pt>
                <c:pt idx="301">
                  <c:v>-5.1768798808098886</c:v>
                </c:pt>
                <c:pt idx="302">
                  <c:v>-5.2786242950789033</c:v>
                </c:pt>
                <c:pt idx="303">
                  <c:v>-5.3798127390493686</c:v>
                </c:pt>
                <c:pt idx="304">
                  <c:v>-5.4804515831471265</c:v>
                </c:pt>
                <c:pt idx="305">
                  <c:v>-5.5830964968793833</c:v>
                </c:pt>
                <c:pt idx="306">
                  <c:v>-5.6851766076664942</c:v>
                </c:pt>
                <c:pt idx="307">
                  <c:v>-5.7866984446868699</c:v>
                </c:pt>
                <c:pt idx="308">
                  <c:v>-5.887668426796858</c:v>
                </c:pt>
                <c:pt idx="309">
                  <c:v>-5.9902032647429877</c:v>
                </c:pt>
                <c:pt idx="310">
                  <c:v>-6.0921759288261335</c:v>
                </c:pt>
                <c:pt idx="311">
                  <c:v>-6.1935929119425275</c:v>
                </c:pt>
                <c:pt idx="312">
                  <c:v>-6.2944605974114607</c:v>
                </c:pt>
                <c:pt idx="313">
                  <c:v>-6.3972254729403835</c:v>
                </c:pt>
                <c:pt idx="314">
                  <c:v>-6.499427147387868</c:v>
                </c:pt>
                <c:pt idx="315">
                  <c:v>-6.6010721407031809</c:v>
                </c:pt>
                <c:pt idx="316">
                  <c:v>-6.7021668625812545</c:v>
                </c:pt>
                <c:pt idx="317">
                  <c:v>-6.8051051015912236</c:v>
                </c:pt>
                <c:pt idx="318">
                  <c:v>-6.9074798073233765</c:v>
                </c:pt>
                <c:pt idx="319">
                  <c:v>-7.0092975149641497</c:v>
                </c:pt>
                <c:pt idx="320">
                  <c:v>-7.1105646490315646</c:v>
                </c:pt>
                <c:pt idx="321">
                  <c:v>-7.2136234926184777</c:v>
                </c:pt>
                <c:pt idx="322">
                  <c:v>-7.3161191225438751</c:v>
                </c:pt>
                <c:pt idx="323">
                  <c:v>-7.4180580781037904</c:v>
                </c:pt>
                <c:pt idx="324">
                  <c:v>-7.5194467877610585</c:v>
                </c:pt>
                <c:pt idx="325">
                  <c:v>-7.622577225966217</c:v>
                </c:pt>
                <c:pt idx="326">
                  <c:v>-7.7251453793741707</c:v>
                </c:pt>
                <c:pt idx="327">
                  <c:v>-7.8271577809600279</c:v>
                </c:pt>
                <c:pt idx="328">
                  <c:v>-7.9286208529345039</c:v>
                </c:pt>
                <c:pt idx="329">
                  <c:v>-8.0319494884527742</c:v>
                </c:pt>
                <c:pt idx="330">
                  <c:v>-8.1347154694936528</c:v>
                </c:pt>
                <c:pt idx="331">
                  <c:v>-8.236925345447581</c:v>
                </c:pt>
                <c:pt idx="332">
                  <c:v>-8.3385855544950722</c:v>
                </c:pt>
                <c:pt idx="333">
                  <c:v>-8.4418909719280357</c:v>
                </c:pt>
                <c:pt idx="334">
                  <c:v>-8.5446358476390376</c:v>
                </c:pt>
                <c:pt idx="335">
                  <c:v>-8.6468267043828426</c:v>
                </c:pt>
                <c:pt idx="336">
                  <c:v>-8.748469954229348</c:v>
                </c:pt>
                <c:pt idx="337">
                  <c:v>-8.8520431464518765</c:v>
                </c:pt>
                <c:pt idx="338">
                  <c:v>-8.9550548392141707</c:v>
                </c:pt>
                <c:pt idx="339">
                  <c:v>-9.0575115822606627</c:v>
                </c:pt>
                <c:pt idx="340">
                  <c:v>-9.1594198139612431</c:v>
                </c:pt>
                <c:pt idx="341">
                  <c:v>-9.2632042999685176</c:v>
                </c:pt>
                <c:pt idx="342">
                  <c:v>-9.36642703073246</c:v>
                </c:pt>
                <c:pt idx="343">
                  <c:v>-9.4690945709709897</c:v>
                </c:pt>
                <c:pt idx="344">
                  <c:v>-9.5712133736070975</c:v>
                </c:pt>
                <c:pt idx="345">
                  <c:v>-9.6749988482479594</c:v>
                </c:pt>
                <c:pt idx="346">
                  <c:v>-9.7782246673007656</c:v>
                </c:pt>
                <c:pt idx="347">
                  <c:v>-9.8808973694472151</c:v>
                </c:pt>
                <c:pt idx="348">
                  <c:v>-9.9830233820777607</c:v>
                </c:pt>
                <c:pt idx="349">
                  <c:v>-10.087080024326308</c:v>
                </c:pt>
                <c:pt idx="350">
                  <c:v>-10.190576290749769</c:v>
                </c:pt>
                <c:pt idx="351">
                  <c:v>-10.293518743433538</c:v>
                </c:pt>
                <c:pt idx="352">
                  <c:v>-10.395913832553667</c:v>
                </c:pt>
                <c:pt idx="353">
                  <c:v>-10.500186453070878</c:v>
                </c:pt>
                <c:pt idx="354">
                  <c:v>-10.603898669090004</c:v>
                </c:pt>
                <c:pt idx="355">
                  <c:v>-10.707057054190468</c:v>
                </c:pt>
                <c:pt idx="356">
                  <c:v>-10.809668069688064</c:v>
                </c:pt>
                <c:pt idx="357">
                  <c:v>-10.913957451230885</c:v>
                </c:pt>
                <c:pt idx="358">
                  <c:v>-11.01768862670408</c:v>
                </c:pt>
                <c:pt idx="359">
                  <c:v>-11.120868142238491</c:v>
                </c:pt>
                <c:pt idx="360">
                  <c:v>-11.223502432227836</c:v>
                </c:pt>
                <c:pt idx="361">
                  <c:v>-11.328060079126699</c:v>
                </c:pt>
                <c:pt idx="362">
                  <c:v>-11.432059125713216</c:v>
                </c:pt>
                <c:pt idx="363">
                  <c:v>-11.535506136268516</c:v>
                </c:pt>
                <c:pt idx="364">
                  <c:v>-11.638407562823339</c:v>
                </c:pt>
                <c:pt idx="365">
                  <c:v>-11.743038386110214</c:v>
                </c:pt>
                <c:pt idx="366">
                  <c:v>-11.847112393433044</c:v>
                </c:pt>
                <c:pt idx="367">
                  <c:v>-11.950636129054606</c:v>
                </c:pt>
                <c:pt idx="368">
                  <c:v>-12.053616025335733</c:v>
                </c:pt>
                <c:pt idx="369">
                  <c:v>-12.158557108662574</c:v>
                </c:pt>
                <c:pt idx="370">
                  <c:v>-12.262940744048681</c:v>
                </c:pt>
                <c:pt idx="371">
                  <c:v>-12.36677349832126</c:v>
                </c:pt>
                <c:pt idx="372">
                  <c:v>-12.470061825780331</c:v>
                </c:pt>
                <c:pt idx="373">
                  <c:v>-12.575122566800918</c:v>
                </c:pt>
                <c:pt idx="374">
                  <c:v>-12.67962735461011</c:v>
                </c:pt>
                <c:pt idx="375">
                  <c:v>-12.783582741230253</c:v>
                </c:pt>
                <c:pt idx="376">
                  <c:v>-12.886995166376154</c:v>
                </c:pt>
                <c:pt idx="377">
                  <c:v>-12.992399439218854</c:v>
                </c:pt>
                <c:pt idx="378">
                  <c:v>-13.097246998061667</c:v>
                </c:pt>
                <c:pt idx="379">
                  <c:v>-13.201544419957198</c:v>
                </c:pt>
                <c:pt idx="380">
                  <c:v>-13.305298168954824</c:v>
                </c:pt>
                <c:pt idx="381">
                  <c:v>-13.410729852444545</c:v>
                </c:pt>
                <c:pt idx="382">
                  <c:v>-13.515607498590033</c:v>
                </c:pt>
                <c:pt idx="383">
                  <c:v>-13.619937648797048</c:v>
                </c:pt>
                <c:pt idx="384">
                  <c:v>-13.723726732150752</c:v>
                </c:pt>
                <c:pt idx="385">
                  <c:v>-13.829533298243931</c:v>
                </c:pt>
                <c:pt idx="386">
                  <c:v>-13.934784966340221</c:v>
                </c:pt>
                <c:pt idx="387">
                  <c:v>-14.03948830468684</c:v>
                </c:pt>
                <c:pt idx="388">
                  <c:v>-14.143649768457776</c:v>
                </c:pt>
                <c:pt idx="389">
                  <c:v>-14.24965022390117</c:v>
                </c:pt>
                <c:pt idx="390">
                  <c:v>-14.355096934221475</c:v>
                </c:pt>
                <c:pt idx="391">
                  <c:v>-14.459996458875304</c:v>
                </c:pt>
                <c:pt idx="392">
                  <c:v>-14.564355244299225</c:v>
                </c:pt>
                <c:pt idx="393">
                  <c:v>-14.670505292370164</c:v>
                </c:pt>
                <c:pt idx="394">
                  <c:v>-14.776103319070078</c:v>
                </c:pt>
                <c:pt idx="395">
                  <c:v>-14.88115586485007</c:v>
                </c:pt>
                <c:pt idx="396">
                  <c:v>-14.985669357421756</c:v>
                </c:pt>
                <c:pt idx="397">
                  <c:v>-15.092167931195776</c:v>
                </c:pt>
                <c:pt idx="398">
                  <c:v>-15.198114259619956</c:v>
                </c:pt>
                <c:pt idx="399">
                  <c:v>-15.303514898550453</c:v>
                </c:pt>
                <c:pt idx="400">
                  <c:v>-15.408376290585226</c:v>
                </c:pt>
                <c:pt idx="401">
                  <c:v>-15.515053710258302</c:v>
                </c:pt>
                <c:pt idx="402">
                  <c:v>-15.621180537023145</c:v>
                </c:pt>
                <c:pt idx="403">
                  <c:v>-15.726763308686532</c:v>
                </c:pt>
                <c:pt idx="404">
                  <c:v>-15.831808450037403</c:v>
                </c:pt>
                <c:pt idx="405">
                  <c:v>-15.938738530756194</c:v>
                </c:pt>
                <c:pt idx="406">
                  <c:v>-16.045119025698277</c:v>
                </c:pt>
                <c:pt idx="407">
                  <c:v>-16.150956465853405</c:v>
                </c:pt>
                <c:pt idx="408">
                  <c:v>-16.256257269166614</c:v>
                </c:pt>
                <c:pt idx="409">
                  <c:v>-16.363507813902448</c:v>
                </c:pt>
                <c:pt idx="410">
                  <c:v>-16.470209208062556</c:v>
                </c:pt>
                <c:pt idx="411">
                  <c:v>-16.576367985728758</c:v>
                </c:pt>
                <c:pt idx="412">
                  <c:v>-16.681990567671463</c:v>
                </c:pt>
                <c:pt idx="413">
                  <c:v>-16.78951331946072</c:v>
                </c:pt>
                <c:pt idx="414">
                  <c:v>-16.896487974209332</c:v>
                </c:pt>
                <c:pt idx="415">
                  <c:v>-17.002921057775712</c:v>
                </c:pt>
                <c:pt idx="416">
                  <c:v>-17.108818982690238</c:v>
                </c:pt>
                <c:pt idx="417">
                  <c:v>-17.216677558477787</c:v>
                </c:pt>
                <c:pt idx="418">
                  <c:v>-17.323988568960026</c:v>
                </c:pt>
                <c:pt idx="419">
                  <c:v>-17.430758540685073</c:v>
                </c:pt>
                <c:pt idx="420">
                  <c:v>-17.53699388663842</c:v>
                </c:pt>
                <c:pt idx="421">
                  <c:v>-17.645034572224539</c:v>
                </c:pt>
                <c:pt idx="422">
                  <c:v>-17.752529900868371</c:v>
                </c:pt>
                <c:pt idx="423">
                  <c:v>-17.859486369472389</c:v>
                </c:pt>
                <c:pt idx="424">
                  <c:v>-17.965910361832652</c:v>
                </c:pt>
                <c:pt idx="425">
                  <c:v>-18.074407323297599</c:v>
                </c:pt>
                <c:pt idx="426">
                  <c:v>-18.182358497040291</c:v>
                </c:pt>
                <c:pt idx="427">
                  <c:v>-18.289770396841277</c:v>
                </c:pt>
                <c:pt idx="428">
                  <c:v>-18.396649422740985</c:v>
                </c:pt>
                <c:pt idx="429">
                  <c:v>-18.505447632350261</c:v>
                </c:pt>
                <c:pt idx="430">
                  <c:v>-18.613701312287795</c:v>
                </c:pt>
                <c:pt idx="431">
                  <c:v>-18.721416962502005</c:v>
                </c:pt>
                <c:pt idx="432">
                  <c:v>-18.828600969265004</c:v>
                </c:pt>
                <c:pt idx="433">
                  <c:v>-18.93765717775516</c:v>
                </c:pt>
                <c:pt idx="434">
                  <c:v>-19.046170663800183</c:v>
                </c:pt>
                <c:pt idx="435">
                  <c:v>-19.154147903023862</c:v>
                </c:pt>
                <c:pt idx="436">
                  <c:v>-19.261595257670049</c:v>
                </c:pt>
                <c:pt idx="437">
                  <c:v>-19.371065446017358</c:v>
                </c:pt>
                <c:pt idx="438">
                  <c:v>-19.479993291010604</c:v>
                </c:pt>
                <c:pt idx="439">
                  <c:v>-19.58838526866705</c:v>
                </c:pt>
                <c:pt idx="440">
                  <c:v>-19.696247741331543</c:v>
                </c:pt>
                <c:pt idx="441">
                  <c:v>-19.806083744216053</c:v>
                </c:pt>
                <c:pt idx="442">
                  <c:v>-19.915378386655068</c:v>
                </c:pt>
                <c:pt idx="443">
                  <c:v>-20.024138133420344</c:v>
                </c:pt>
                <c:pt idx="444">
                  <c:v>-20.132369335575746</c:v>
                </c:pt>
                <c:pt idx="445">
                  <c:v>-20.242526560707766</c:v>
                </c:pt>
                <c:pt idx="446">
                  <c:v>-20.352143964753125</c:v>
                </c:pt>
                <c:pt idx="447">
                  <c:v>-20.461227990340312</c:v>
                </c:pt>
                <c:pt idx="448">
                  <c:v>-20.569784966595677</c:v>
                </c:pt>
                <c:pt idx="449">
                  <c:v>-20.680406891342461</c:v>
                </c:pt>
                <c:pt idx="450">
                  <c:v>-20.790489250730229</c:v>
                </c:pt>
                <c:pt idx="451">
                  <c:v>-20.900038487095266</c:v>
                </c:pt>
                <c:pt idx="452">
                  <c:v>-21.009060928952291</c:v>
                </c:pt>
                <c:pt idx="453">
                  <c:v>-21.12000833404894</c:v>
                </c:pt>
                <c:pt idx="454">
                  <c:v>-21.230417902480344</c:v>
                </c:pt>
                <c:pt idx="455">
                  <c:v>-21.34029604882716</c:v>
                </c:pt>
                <c:pt idx="456">
                  <c:v>-21.449649074159428</c:v>
                </c:pt>
                <c:pt idx="457">
                  <c:v>-21.561059720850203</c:v>
                </c:pt>
                <c:pt idx="458">
                  <c:v>-21.671933037545628</c:v>
                </c:pt>
                <c:pt idx="459">
                  <c:v>-21.78227543159047</c:v>
                </c:pt>
                <c:pt idx="460">
                  <c:v>-21.892093196632519</c:v>
                </c:pt>
                <c:pt idx="461">
                  <c:v>-22.003920132740976</c:v>
                </c:pt>
                <c:pt idx="462">
                  <c:v>-22.115210811546739</c:v>
                </c:pt>
                <c:pt idx="463">
                  <c:v>-22.225971621660833</c:v>
                </c:pt>
                <c:pt idx="464">
                  <c:v>-22.336208838069677</c:v>
                </c:pt>
                <c:pt idx="465">
                  <c:v>-22.44849402567008</c:v>
                </c:pt>
                <c:pt idx="466">
                  <c:v>-22.56024373423157</c:v>
                </c:pt>
                <c:pt idx="467">
                  <c:v>-22.6714643373546</c:v>
                </c:pt>
                <c:pt idx="468">
                  <c:v>-22.782162094985576</c:v>
                </c:pt>
                <c:pt idx="469">
                  <c:v>-22.894860382461388</c:v>
                </c:pt>
                <c:pt idx="470">
                  <c:v>-23.007024500015085</c:v>
                </c:pt>
                <c:pt idx="471">
                  <c:v>-23.118660795148777</c:v>
                </c:pt>
                <c:pt idx="472">
                  <c:v>-23.229775501931389</c:v>
                </c:pt>
                <c:pt idx="473">
                  <c:v>-23.343009667542471</c:v>
                </c:pt>
                <c:pt idx="474">
                  <c:v>-23.45570990920594</c:v>
                </c:pt>
                <c:pt idx="475">
                  <c:v>-23.567882565445263</c:v>
                </c:pt>
                <c:pt idx="476">
                  <c:v>-23.679533861152933</c:v>
                </c:pt>
                <c:pt idx="477">
                  <c:v>-23.793255904319089</c:v>
                </c:pt>
                <c:pt idx="478">
                  <c:v>-23.90644481934789</c:v>
                </c:pt>
                <c:pt idx="479">
                  <c:v>-24.019106924102683</c:v>
                </c:pt>
                <c:pt idx="480">
                  <c:v>-24.131248422883985</c:v>
                </c:pt>
                <c:pt idx="481">
                  <c:v>-24.245413664052784</c:v>
                </c:pt>
                <c:pt idx="482">
                  <c:v>-24.359047073539102</c:v>
                </c:pt>
                <c:pt idx="483">
                  <c:v>-24.472154937660846</c:v>
                </c:pt>
                <c:pt idx="484">
                  <c:v>-24.584743429492313</c:v>
                </c:pt>
                <c:pt idx="485">
                  <c:v>-24.699388169137734</c:v>
                </c:pt>
                <c:pt idx="486">
                  <c:v>-24.813502108171704</c:v>
                </c:pt>
                <c:pt idx="487">
                  <c:v>-24.927091503937714</c:v>
                </c:pt>
                <c:pt idx="488">
                  <c:v>-25.040162500785193</c:v>
                </c:pt>
                <c:pt idx="489">
                  <c:v>-25.155396724249741</c:v>
                </c:pt>
                <c:pt idx="490">
                  <c:v>-25.2701002349745</c:v>
                </c:pt>
                <c:pt idx="491">
                  <c:v>-25.384279275660042</c:v>
                </c:pt>
                <c:pt idx="492">
                  <c:v>-25.497939975910647</c:v>
                </c:pt>
                <c:pt idx="493">
                  <c:v>-25.613715409825339</c:v>
                </c:pt>
                <c:pt idx="494">
                  <c:v>-25.728960731974727</c:v>
                </c:pt>
                <c:pt idx="495">
                  <c:v>-25.84368215894181</c:v>
                </c:pt>
                <c:pt idx="496">
                  <c:v>-25.957885794381244</c:v>
                </c:pt>
                <c:pt idx="497">
                  <c:v>-26.074231011562915</c:v>
                </c:pt>
                <c:pt idx="498">
                  <c:v>-26.190046513261194</c:v>
                </c:pt>
                <c:pt idx="499">
                  <c:v>-26.305338490979317</c:v>
                </c:pt>
                <c:pt idx="500">
                  <c:v>-26.420113023430964</c:v>
                </c:pt>
                <c:pt idx="501">
                  <c:v>-26.537054252884946</c:v>
                </c:pt>
                <c:pt idx="502">
                  <c:v>-26.653465973992617</c:v>
                </c:pt>
                <c:pt idx="503">
                  <c:v>-26.769354353792231</c:v>
                </c:pt>
                <c:pt idx="504">
                  <c:v>-26.884725446653853</c:v>
                </c:pt>
                <c:pt idx="505">
                  <c:v>-27.00221559925275</c:v>
                </c:pt>
                <c:pt idx="506">
                  <c:v>-27.119176912574648</c:v>
                </c:pt>
                <c:pt idx="507">
                  <c:v>-27.235615518369659</c:v>
                </c:pt>
                <c:pt idx="508">
                  <c:v>-27.351537436105762</c:v>
                </c:pt>
                <c:pt idx="509">
                  <c:v>-27.469602166404528</c:v>
                </c:pt>
                <c:pt idx="510">
                  <c:v>-27.587138517576722</c:v>
                </c:pt>
                <c:pt idx="511">
                  <c:v>-27.704152586865419</c:v>
                </c:pt>
                <c:pt idx="512">
                  <c:v>-27.820650359602329</c:v>
                </c:pt>
                <c:pt idx="513">
                  <c:v>-27.939381709246188</c:v>
                </c:pt>
                <c:pt idx="514">
                  <c:v>-28.057584334197678</c:v>
                </c:pt>
                <c:pt idx="515">
                  <c:v>-28.175264308087137</c:v>
                </c:pt>
                <c:pt idx="516">
                  <c:v>-28.292427592744581</c:v>
                </c:pt>
                <c:pt idx="517">
                  <c:v>-28.411775885751148</c:v>
                </c:pt>
                <c:pt idx="518">
                  <c:v>-28.53059555744171</c:v>
                </c:pt>
                <c:pt idx="519">
                  <c:v>-28.648892646997311</c:v>
                </c:pt>
                <c:pt idx="520">
                  <c:v>-28.766673082183672</c:v>
                </c:pt>
                <c:pt idx="521">
                  <c:v>-28.88665769025803</c:v>
                </c:pt>
                <c:pt idx="522">
                  <c:v>-29.006113599836137</c:v>
                </c:pt>
                <c:pt idx="523">
                  <c:v>-29.125046815584849</c:v>
                </c:pt>
                <c:pt idx="524">
                  <c:v>-29.243463231156362</c:v>
                </c:pt>
                <c:pt idx="525">
                  <c:v>-29.364101557075802</c:v>
                </c:pt>
                <c:pt idx="526">
                  <c:v>-29.484210933193317</c:v>
                </c:pt>
                <c:pt idx="527">
                  <c:v>-29.603797329394492</c:v>
                </c:pt>
                <c:pt idx="528">
                  <c:v>-29.722866604973358</c:v>
                </c:pt>
                <c:pt idx="529">
                  <c:v>-29.844174145908209</c:v>
                </c:pt>
                <c:pt idx="530">
                  <c:v>-29.964952316573964</c:v>
                </c:pt>
                <c:pt idx="531">
                  <c:v>-30.085207051645536</c:v>
                </c:pt>
                <c:pt idx="532">
                  <c:v>-30.204944175661225</c:v>
                </c:pt>
                <c:pt idx="533">
                  <c:v>-30.326997420180177</c:v>
                </c:pt>
                <c:pt idx="534">
                  <c:v>-30.448520164198349</c:v>
                </c:pt>
                <c:pt idx="535">
                  <c:v>-30.569518315685073</c:v>
                </c:pt>
                <c:pt idx="536">
                  <c:v>-30.689997672741455</c:v>
                </c:pt>
                <c:pt idx="537">
                  <c:v>-30.812681705221621</c:v>
                </c:pt>
                <c:pt idx="538">
                  <c:v>-30.934835044477396</c:v>
                </c:pt>
                <c:pt idx="539">
                  <c:v>-31.056463552806093</c:v>
                </c:pt>
                <c:pt idx="540">
                  <c:v>-31.177572983403429</c:v>
                </c:pt>
                <c:pt idx="541">
                  <c:v>-31.301022540280616</c:v>
                </c:pt>
                <c:pt idx="542">
                  <c:v>-31.423939971749611</c:v>
                </c:pt>
                <c:pt idx="543">
                  <c:v>-31.546331111582898</c:v>
                </c:pt>
                <c:pt idx="544">
                  <c:v>-31.668201684826734</c:v>
                </c:pt>
                <c:pt idx="545">
                  <c:v>-31.792362348683817</c:v>
                </c:pt>
                <c:pt idx="546">
                  <c:v>-31.91598983784845</c:v>
                </c:pt>
                <c:pt idx="547">
                  <c:v>-32.039089947883049</c:v>
                </c:pt>
                <c:pt idx="548">
                  <c:v>-32.161668366277468</c:v>
                </c:pt>
                <c:pt idx="549">
                  <c:v>-32.286546864328038</c:v>
                </c:pt>
                <c:pt idx="550">
                  <c:v>-32.410890976836541</c:v>
                </c:pt>
                <c:pt idx="551">
                  <c:v>-32.534706460514712</c:v>
                </c:pt>
                <c:pt idx="552">
                  <c:v>-32.657998964712249</c:v>
                </c:pt>
                <c:pt idx="553">
                  <c:v>-32.783658029984508</c:v>
                </c:pt>
                <c:pt idx="554">
                  <c:v>-32.908780846415084</c:v>
                </c:pt>
                <c:pt idx="555">
                  <c:v>-33.033373139104491</c:v>
                </c:pt>
                <c:pt idx="556">
                  <c:v>-33.15744052637119</c:v>
                </c:pt>
                <c:pt idx="557">
                  <c:v>-33.409782530945847</c:v>
                </c:pt>
                <c:pt idx="558">
                  <c:v>-33.659994217747283</c:v>
                </c:pt>
                <c:pt idx="559">
                  <c:v>-33.913783126974593</c:v>
                </c:pt>
                <c:pt idx="560">
                  <c:v>-34.165434913927903</c:v>
                </c:pt>
                <c:pt idx="561">
                  <c:v>-34.420889458348732</c:v>
                </c:pt>
                <c:pt idx="562">
                  <c:v>-34.674195762968402</c:v>
                </c:pt>
                <c:pt idx="563">
                  <c:v>-34.93076542885926</c:v>
                </c:pt>
                <c:pt idx="564">
                  <c:v>-35.185184231565586</c:v>
                </c:pt>
                <c:pt idx="565">
                  <c:v>-35.443829358853463</c:v>
                </c:pt>
                <c:pt idx="566">
                  <c:v>-35.700304197213882</c:v>
                </c:pt>
                <c:pt idx="567">
                  <c:v>-35.960880033526543</c:v>
                </c:pt>
                <c:pt idx="568">
                  <c:v>-36.219267787025146</c:v>
                </c:pt>
                <c:pt idx="569">
                  <c:v>-36.480613923153022</c:v>
                </c:pt>
                <c:pt idx="570">
                  <c:v>-36.739772686531083</c:v>
                </c:pt>
                <c:pt idx="571">
                  <c:v>-37.003812078499585</c:v>
                </c:pt>
                <c:pt idx="572">
                  <c:v>-37.265631784462734</c:v>
                </c:pt>
                <c:pt idx="573">
                  <c:v>-37.53020881009089</c:v>
                </c:pt>
                <c:pt idx="574">
                  <c:v>-37.792568898419397</c:v>
                </c:pt>
                <c:pt idx="575">
                  <c:v>-38.059546682216677</c:v>
                </c:pt>
                <c:pt idx="576">
                  <c:v>-38.324278120918528</c:v>
                </c:pt>
                <c:pt idx="577">
                  <c:v>-39.421101420270091</c:v>
                </c:pt>
                <c:pt idx="578">
                  <c:v>-40.481326401924413</c:v>
                </c:pt>
                <c:pt idx="579">
                  <c:v>-42.688703096101335</c:v>
                </c:pt>
                <c:pt idx="580">
                  <c:v>-44.948672426571086</c:v>
                </c:pt>
                <c:pt idx="581">
                  <c:v>-47.255442668427669</c:v>
                </c:pt>
                <c:pt idx="582">
                  <c:v>-49.606778020282761</c:v>
                </c:pt>
                <c:pt idx="583">
                  <c:v>-51.996248629827832</c:v>
                </c:pt>
                <c:pt idx="584">
                  <c:v>-54.420215934504519</c:v>
                </c:pt>
                <c:pt idx="585">
                  <c:v>-56.871393112295145</c:v>
                </c:pt>
                <c:pt idx="586">
                  <c:v>-59.344061450250791</c:v>
                </c:pt>
                <c:pt idx="587">
                  <c:v>-61.833619840559024</c:v>
                </c:pt>
                <c:pt idx="588">
                  <c:v>-64.332157902981578</c:v>
                </c:pt>
                <c:pt idx="589">
                  <c:v>-66.836757134269959</c:v>
                </c:pt>
                <c:pt idx="590">
                  <c:v>-69.342296071346993</c:v>
                </c:pt>
                <c:pt idx="591">
                  <c:v>-71.84563432810431</c:v>
                </c:pt>
                <c:pt idx="592">
                  <c:v>-74.343893636514451</c:v>
                </c:pt>
                <c:pt idx="593">
                  <c:v>-76.83604112968888</c:v>
                </c:pt>
                <c:pt idx="594">
                  <c:v>-79.320321374165829</c:v>
                </c:pt>
                <c:pt idx="595">
                  <c:v>-81.796703446040965</c:v>
                </c:pt>
                <c:pt idx="596">
                  <c:v>-84.264594754146614</c:v>
                </c:pt>
                <c:pt idx="597">
                  <c:v>-86.724758531340484</c:v>
                </c:pt>
                <c:pt idx="598">
                  <c:v>-89.177044253428818</c:v>
                </c:pt>
                <c:pt idx="599">
                  <c:v>-91.622671277779602</c:v>
                </c:pt>
                <c:pt idx="600">
                  <c:v>-94.061925673189378</c:v>
                </c:pt>
                <c:pt idx="604">
                  <c:v>7.1113936572484604E-2</c:v>
                </c:pt>
              </c:numCache>
            </c:numRef>
          </c:yVal>
          <c:smooth val="1"/>
          <c:extLst>
            <c:ext xmlns:c16="http://schemas.microsoft.com/office/drawing/2014/chart" uri="{C3380CC4-5D6E-409C-BE32-E72D297353CC}">
              <c16:uniqueId val="{00000001-4362-43AB-BDC1-536058DC7619}"/>
            </c:ext>
          </c:extLst>
        </c:ser>
        <c:ser>
          <c:idx val="2"/>
          <c:order val="2"/>
          <c:tx>
            <c:strRef>
              <c:f>'Stability Calculations'!$AG$12</c:f>
              <c:strCache>
                <c:ptCount val="1"/>
                <c:pt idx="0">
                  <c:v>Gain(dB)</c:v>
                </c:pt>
              </c:strCache>
            </c:strRef>
          </c:tx>
          <c:spPr>
            <a:ln w="25400">
              <a:solidFill>
                <a:srgbClr val="FF0000"/>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Calculations'!$AG$13:$AG$617</c:f>
              <c:numCache>
                <c:formatCode>0.0000</c:formatCode>
                <c:ptCount val="605"/>
                <c:pt idx="0">
                  <c:v>66.378592305129189</c:v>
                </c:pt>
                <c:pt idx="1">
                  <c:v>65.599615164032357</c:v>
                </c:pt>
                <c:pt idx="2">
                  <c:v>64.818489294626332</c:v>
                </c:pt>
                <c:pt idx="3">
                  <c:v>64.035798657376347</c:v>
                </c:pt>
                <c:pt idx="4">
                  <c:v>63.252596925249307</c:v>
                </c:pt>
                <c:pt idx="5">
                  <c:v>62.468094646744355</c:v>
                </c:pt>
                <c:pt idx="6">
                  <c:v>61.683907856543158</c:v>
                </c:pt>
                <c:pt idx="7">
                  <c:v>60.900025687194528</c:v>
                </c:pt>
                <c:pt idx="8">
                  <c:v>60.117543407135429</c:v>
                </c:pt>
                <c:pt idx="9">
                  <c:v>59.336426419361182</c:v>
                </c:pt>
                <c:pt idx="10">
                  <c:v>58.557731714645023</c:v>
                </c:pt>
                <c:pt idx="11">
                  <c:v>57.782021266522428</c:v>
                </c:pt>
                <c:pt idx="12">
                  <c:v>57.009644782386616</c:v>
                </c:pt>
                <c:pt idx="13">
                  <c:v>56.242204482658877</c:v>
                </c:pt>
                <c:pt idx="14">
                  <c:v>55.480068663630959</c:v>
                </c:pt>
                <c:pt idx="15">
                  <c:v>54.724655384889971</c:v>
                </c:pt>
                <c:pt idx="16">
                  <c:v>53.977185828655642</c:v>
                </c:pt>
                <c:pt idx="17">
                  <c:v>53.239224152006919</c:v>
                </c:pt>
                <c:pt idx="18">
                  <c:v>52.512207163650174</c:v>
                </c:pt>
                <c:pt idx="19">
                  <c:v>51.798181610793677</c:v>
                </c:pt>
                <c:pt idx="20">
                  <c:v>51.099056738458977</c:v>
                </c:pt>
                <c:pt idx="21">
                  <c:v>50.417217698677888</c:v>
                </c:pt>
                <c:pt idx="22">
                  <c:v>49.754929487390164</c:v>
                </c:pt>
                <c:pt idx="23">
                  <c:v>49.114891658165746</c:v>
                </c:pt>
                <c:pt idx="24">
                  <c:v>48.499543620088716</c:v>
                </c:pt>
                <c:pt idx="25">
                  <c:v>47.911572459746949</c:v>
                </c:pt>
                <c:pt idx="26">
                  <c:v>47.353325390018469</c:v>
                </c:pt>
                <c:pt idx="27">
                  <c:v>46.827238015286866</c:v>
                </c:pt>
                <c:pt idx="28">
                  <c:v>46.335196058725565</c:v>
                </c:pt>
                <c:pt idx="29">
                  <c:v>45.878932321817928</c:v>
                </c:pt>
                <c:pt idx="30">
                  <c:v>45.458622608634784</c:v>
                </c:pt>
                <c:pt idx="31">
                  <c:v>45.0752208349829</c:v>
                </c:pt>
                <c:pt idx="32">
                  <c:v>44.728174511899311</c:v>
                </c:pt>
                <c:pt idx="33">
                  <c:v>44.416835767774792</c:v>
                </c:pt>
                <c:pt idx="34">
                  <c:v>44.1395277260306</c:v>
                </c:pt>
                <c:pt idx="35">
                  <c:v>43.894523800296056</c:v>
                </c:pt>
                <c:pt idx="36">
                  <c:v>43.679534083810019</c:v>
                </c:pt>
                <c:pt idx="37">
                  <c:v>43.491985315962467</c:v>
                </c:pt>
                <c:pt idx="38">
                  <c:v>43.329457004762972</c:v>
                </c:pt>
                <c:pt idx="39">
                  <c:v>43.189187444451179</c:v>
                </c:pt>
                <c:pt idx="40">
                  <c:v>43.068669993982283</c:v>
                </c:pt>
                <c:pt idx="41">
                  <c:v>42.965442436460108</c:v>
                </c:pt>
                <c:pt idx="42">
                  <c:v>42.877226242227209</c:v>
                </c:pt>
                <c:pt idx="43">
                  <c:v>42.801890319210408</c:v>
                </c:pt>
                <c:pt idx="44">
                  <c:v>42.737544100023399</c:v>
                </c:pt>
                <c:pt idx="45">
                  <c:v>42.682454826727337</c:v>
                </c:pt>
                <c:pt idx="46">
                  <c:v>42.63509636409438</c:v>
                </c:pt>
                <c:pt idx="47">
                  <c:v>42.594087624663182</c:v>
                </c:pt>
                <c:pt idx="48">
                  <c:v>42.5582146006927</c:v>
                </c:pt>
                <c:pt idx="49">
                  <c:v>42.526369111189446</c:v>
                </c:pt>
                <c:pt idx="50">
                  <c:v>42.497560035769979</c:v>
                </c:pt>
                <c:pt idx="51">
                  <c:v>42.470863612038379</c:v>
                </c:pt>
                <c:pt idx="52">
                  <c:v>42.445426625510201</c:v>
                </c:pt>
                <c:pt idx="53">
                  <c:v>42.42041826471484</c:v>
                </c:pt>
                <c:pt idx="54">
                  <c:v>42.395034081800986</c:v>
                </c:pt>
                <c:pt idx="55">
                  <c:v>42.368395416347468</c:v>
                </c:pt>
                <c:pt idx="56">
                  <c:v>42.339663273912606</c:v>
                </c:pt>
                <c:pt idx="57">
                  <c:v>42.307877595681312</c:v>
                </c:pt>
                <c:pt idx="58">
                  <c:v>42.272028987012433</c:v>
                </c:pt>
                <c:pt idx="59">
                  <c:v>42.230935930503328</c:v>
                </c:pt>
                <c:pt idx="60">
                  <c:v>42.183314390721982</c:v>
                </c:pt>
                <c:pt idx="61">
                  <c:v>42.127669028222883</c:v>
                </c:pt>
                <c:pt idx="62">
                  <c:v>42.062253223175816</c:v>
                </c:pt>
                <c:pt idx="63">
                  <c:v>41.985162746966324</c:v>
                </c:pt>
                <c:pt idx="64">
                  <c:v>41.894078607006676</c:v>
                </c:pt>
                <c:pt idx="65">
                  <c:v>41.786442485669603</c:v>
                </c:pt>
                <c:pt idx="66">
                  <c:v>41.65929935474103</c:v>
                </c:pt>
                <c:pt idx="67">
                  <c:v>41.509339888495575</c:v>
                </c:pt>
                <c:pt idx="68">
                  <c:v>41.332790931918012</c:v>
                </c:pt>
                <c:pt idx="69">
                  <c:v>41.125576096386276</c:v>
                </c:pt>
                <c:pt idx="70">
                  <c:v>40.883164913823499</c:v>
                </c:pt>
                <c:pt idx="71">
                  <c:v>40.600805763687937</c:v>
                </c:pt>
                <c:pt idx="72">
                  <c:v>40.273411637560685</c:v>
                </c:pt>
                <c:pt idx="73">
                  <c:v>39.895941193191959</c:v>
                </c:pt>
                <c:pt idx="74">
                  <c:v>39.463238257283855</c:v>
                </c:pt>
                <c:pt idx="75">
                  <c:v>38.970558598996526</c:v>
                </c:pt>
                <c:pt idx="76">
                  <c:v>38.413438201067549</c:v>
                </c:pt>
                <c:pt idx="77">
                  <c:v>37.788402484349646</c:v>
                </c:pt>
                <c:pt idx="78">
                  <c:v>37.092695421449427</c:v>
                </c:pt>
                <c:pt idx="79">
                  <c:v>36.32513693619822</c:v>
                </c:pt>
                <c:pt idx="80">
                  <c:v>35.483860276887206</c:v>
                </c:pt>
                <c:pt idx="81">
                  <c:v>34.570632910513112</c:v>
                </c:pt>
                <c:pt idx="82">
                  <c:v>33.586657265663646</c:v>
                </c:pt>
                <c:pt idx="83">
                  <c:v>32.535495974876611</c:v>
                </c:pt>
                <c:pt idx="84">
                  <c:v>31.420063065973803</c:v>
                </c:pt>
                <c:pt idx="85">
                  <c:v>30.245352677309544</c:v>
                </c:pt>
                <c:pt idx="86">
                  <c:v>29.016031323077556</c:v>
                </c:pt>
                <c:pt idx="87">
                  <c:v>27.736458228913314</c:v>
                </c:pt>
                <c:pt idx="88">
                  <c:v>26.412942901047266</c:v>
                </c:pt>
                <c:pt idx="89">
                  <c:v>25.049400385619993</c:v>
                </c:pt>
                <c:pt idx="90">
                  <c:v>23.651057044714562</c:v>
                </c:pt>
                <c:pt idx="91">
                  <c:v>22.22219032182808</c:v>
                </c:pt>
                <c:pt idx="92">
                  <c:v>20.767012172575612</c:v>
                </c:pt>
                <c:pt idx="93">
                  <c:v>19.288694512215237</c:v>
                </c:pt>
                <c:pt idx="94">
                  <c:v>18.916071237541729</c:v>
                </c:pt>
                <c:pt idx="95">
                  <c:v>18.72815571736384</c:v>
                </c:pt>
                <c:pt idx="96">
                  <c:v>18.542102460750193</c:v>
                </c:pt>
                <c:pt idx="97">
                  <c:v>18.353628692764477</c:v>
                </c:pt>
                <c:pt idx="98">
                  <c:v>18.167034214000807</c:v>
                </c:pt>
                <c:pt idx="99">
                  <c:v>17.977976520554755</c:v>
                </c:pt>
                <c:pt idx="100">
                  <c:v>17.790815455998136</c:v>
                </c:pt>
                <c:pt idx="101">
                  <c:v>17.601294068117106</c:v>
                </c:pt>
                <c:pt idx="102">
                  <c:v>17.413684048762711</c:v>
                </c:pt>
                <c:pt idx="103">
                  <c:v>17.223536991456342</c:v>
                </c:pt>
                <c:pt idx="104">
                  <c:v>17.035319106013656</c:v>
                </c:pt>
                <c:pt idx="105">
                  <c:v>16.844670617120279</c:v>
                </c:pt>
                <c:pt idx="106">
                  <c:v>16.655966419610703</c:v>
                </c:pt>
                <c:pt idx="107">
                  <c:v>16.464934057863793</c:v>
                </c:pt>
                <c:pt idx="108">
                  <c:v>16.275858524199414</c:v>
                </c:pt>
                <c:pt idx="109">
                  <c:v>16.084423677758338</c:v>
                </c:pt>
                <c:pt idx="110">
                  <c:v>15.89495837467264</c:v>
                </c:pt>
                <c:pt idx="111">
                  <c:v>15.702979726873741</c:v>
                </c:pt>
                <c:pt idx="112">
                  <c:v>15.512986053522429</c:v>
                </c:pt>
                <c:pt idx="113">
                  <c:v>15.320585495496399</c:v>
                </c:pt>
                <c:pt idx="114">
                  <c:v>15.130182666150931</c:v>
                </c:pt>
                <c:pt idx="115">
                  <c:v>14.937353481917764</c:v>
                </c:pt>
                <c:pt idx="116">
                  <c:v>14.746534743632543</c:v>
                </c:pt>
                <c:pt idx="117">
                  <c:v>14.553273704392129</c:v>
                </c:pt>
                <c:pt idx="118">
                  <c:v>14.362035725990637</c:v>
                </c:pt>
                <c:pt idx="119">
                  <c:v>14.168459609809926</c:v>
                </c:pt>
                <c:pt idx="120">
                  <c:v>13.976916563449384</c:v>
                </c:pt>
                <c:pt idx="121">
                  <c:v>13.783021037251611</c:v>
                </c:pt>
                <c:pt idx="122">
                  <c:v>13.591168502463324</c:v>
                </c:pt>
                <c:pt idx="123">
                  <c:v>13.396840328706825</c:v>
                </c:pt>
                <c:pt idx="124">
                  <c:v>13.204567278176963</c:v>
                </c:pt>
                <c:pt idx="125">
                  <c:v>13.009924578482746</c:v>
                </c:pt>
                <c:pt idx="126">
                  <c:v>12.817346489203686</c:v>
                </c:pt>
                <c:pt idx="127">
                  <c:v>12.622393183564933</c:v>
                </c:pt>
                <c:pt idx="128">
                  <c:v>12.4295137282691</c:v>
                </c:pt>
                <c:pt idx="129">
                  <c:v>12.234256095756857</c:v>
                </c:pt>
                <c:pt idx="130">
                  <c:v>12.041081259529037</c:v>
                </c:pt>
                <c:pt idx="131">
                  <c:v>11.845527733812581</c:v>
                </c:pt>
                <c:pt idx="132">
                  <c:v>11.748537977865476</c:v>
                </c:pt>
                <c:pt idx="133">
                  <c:v>11.652065613109073</c:v>
                </c:pt>
                <c:pt idx="134">
                  <c:v>11.553830319254113</c:v>
                </c:pt>
                <c:pt idx="135">
                  <c:v>11.45612602805484</c:v>
                </c:pt>
                <c:pt idx="136">
                  <c:v>11.358947161497055</c:v>
                </c:pt>
                <c:pt idx="137">
                  <c:v>11.262288225504165</c:v>
                </c:pt>
                <c:pt idx="138">
                  <c:v>11.163966894450841</c:v>
                </c:pt>
                <c:pt idx="139">
                  <c:v>11.066178009441202</c:v>
                </c:pt>
                <c:pt idx="140">
                  <c:v>10.968915955724217</c:v>
                </c:pt>
                <c:pt idx="141">
                  <c:v>10.872175203533736</c:v>
                </c:pt>
                <c:pt idx="142">
                  <c:v>10.773674702277567</c:v>
                </c:pt>
                <c:pt idx="143">
                  <c:v>10.675709057527724</c:v>
                </c:pt>
                <c:pt idx="144">
                  <c:v>10.578272602915039</c:v>
                </c:pt>
                <c:pt idx="145">
                  <c:v>10.481359758392511</c:v>
                </c:pt>
                <c:pt idx="146">
                  <c:v>10.382738225872609</c:v>
                </c:pt>
                <c:pt idx="147">
                  <c:v>10.284653293456497</c:v>
                </c:pt>
                <c:pt idx="148">
                  <c:v>10.187099254049709</c:v>
                </c:pt>
                <c:pt idx="149">
                  <c:v>10.090070487989857</c:v>
                </c:pt>
                <c:pt idx="150">
                  <c:v>9.9913361425955731</c:v>
                </c:pt>
                <c:pt idx="151">
                  <c:v>9.8931400132901253</c:v>
                </c:pt>
                <c:pt idx="152">
                  <c:v>9.7954763546392911</c:v>
                </c:pt>
                <c:pt idx="153">
                  <c:v>9.6983395096927367</c:v>
                </c:pt>
                <c:pt idx="154">
                  <c:v>9.5994557645238316</c:v>
                </c:pt>
                <c:pt idx="155">
                  <c:v>9.5011122120235587</c:v>
                </c:pt>
                <c:pt idx="156">
                  <c:v>9.4033030629727108</c:v>
                </c:pt>
                <c:pt idx="157">
                  <c:v>9.3060226177921184</c:v>
                </c:pt>
                <c:pt idx="158">
                  <c:v>9.2070016627062081</c:v>
                </c:pt>
                <c:pt idx="159">
                  <c:v>9.1085227078952578</c:v>
                </c:pt>
                <c:pt idx="160">
                  <c:v>9.0105799233395683</c:v>
                </c:pt>
                <c:pt idx="161">
                  <c:v>8.9131675697469319</c:v>
                </c:pt>
                <c:pt idx="162">
                  <c:v>8.8140653109815332</c:v>
                </c:pt>
                <c:pt idx="163">
                  <c:v>8.7155062126464973</c:v>
                </c:pt>
                <c:pt idx="164">
                  <c:v>8.6174844146400549</c:v>
                </c:pt>
                <c:pt idx="165">
                  <c:v>8.5199941484457291</c:v>
                </c:pt>
                <c:pt idx="166">
                  <c:v>8.4207355138229971</c:v>
                </c:pt>
                <c:pt idx="167">
                  <c:v>8.3220219840316929</c:v>
                </c:pt>
                <c:pt idx="168">
                  <c:v>8.2238476564993128</c:v>
                </c:pt>
                <c:pt idx="169">
                  <c:v>8.1262067213477387</c:v>
                </c:pt>
                <c:pt idx="170">
                  <c:v>8.0270152254293841</c:v>
                </c:pt>
                <c:pt idx="171">
                  <c:v>7.9283682937154314</c:v>
                </c:pt>
                <c:pt idx="172">
                  <c:v>7.8302600217246567</c:v>
                </c:pt>
                <c:pt idx="173">
                  <c:v>7.7326845979222689</c:v>
                </c:pt>
                <c:pt idx="174">
                  <c:v>7.6331964687911613</c:v>
                </c:pt>
                <c:pt idx="175">
                  <c:v>7.5342563138509639</c:v>
                </c:pt>
                <c:pt idx="176">
                  <c:v>7.4358581628184215</c:v>
                </c:pt>
                <c:pt idx="177">
                  <c:v>7.3379961399416826</c:v>
                </c:pt>
                <c:pt idx="178">
                  <c:v>7.2382776925467232</c:v>
                </c:pt>
                <c:pt idx="179">
                  <c:v>7.1391098721501489</c:v>
                </c:pt>
                <c:pt idx="180">
                  <c:v>7.040486655012109</c:v>
                </c:pt>
                <c:pt idx="181">
                  <c:v>6.9424021132478755</c:v>
                </c:pt>
                <c:pt idx="182">
                  <c:v>6.8429047742364251</c:v>
                </c:pt>
                <c:pt idx="183">
                  <c:v>6.7439557111482209</c:v>
                </c:pt>
                <c:pt idx="184">
                  <c:v>6.6455489288824152</c:v>
                </c:pt>
                <c:pt idx="185">
                  <c:v>6.5476785277734422</c:v>
                </c:pt>
                <c:pt idx="186">
                  <c:v>6.4476740555978216</c:v>
                </c:pt>
                <c:pt idx="187">
                  <c:v>6.3482234912683477</c:v>
                </c:pt>
                <c:pt idx="188">
                  <c:v>6.2493207376751609</c:v>
                </c:pt>
                <c:pt idx="189">
                  <c:v>6.1509597954892286</c:v>
                </c:pt>
                <c:pt idx="190">
                  <c:v>6.0512730441976972</c:v>
                </c:pt>
                <c:pt idx="191">
                  <c:v>5.9521367028024441</c:v>
                </c:pt>
                <c:pt idx="192">
                  <c:v>5.8535447223881363</c:v>
                </c:pt>
                <c:pt idx="193">
                  <c:v>5.755491150962893</c:v>
                </c:pt>
                <c:pt idx="194">
                  <c:v>5.6554205120557688</c:v>
                </c:pt>
                <c:pt idx="195">
                  <c:v>5.5559044873852113</c:v>
                </c:pt>
                <c:pt idx="196">
                  <c:v>5.4569369496263578</c:v>
                </c:pt>
                <c:pt idx="197">
                  <c:v>5.3585118702159482</c:v>
                </c:pt>
                <c:pt idx="198">
                  <c:v>5.2584857311491371</c:v>
                </c:pt>
                <c:pt idx="199">
                  <c:v>5.1590136456573585</c:v>
                </c:pt>
                <c:pt idx="200">
                  <c:v>5.0600894867411323</c:v>
                </c:pt>
                <c:pt idx="201">
                  <c:v>4.9617072263109883</c:v>
                </c:pt>
                <c:pt idx="202">
                  <c:v>4.8617700491766893</c:v>
                </c:pt>
                <c:pt idx="203">
                  <c:v>4.7623858370607852</c:v>
                </c:pt>
                <c:pt idx="204">
                  <c:v>4.663548472264508</c:v>
                </c:pt>
                <c:pt idx="205">
                  <c:v>4.5652519359470967</c:v>
                </c:pt>
                <c:pt idx="206">
                  <c:v>4.465104195658272</c:v>
                </c:pt>
                <c:pt idx="207">
                  <c:v>4.3655116023203391</c:v>
                </c:pt>
                <c:pt idx="208">
                  <c:v>4.2664679935295382</c:v>
                </c:pt>
                <c:pt idx="209">
                  <c:v>4.167967306844135</c:v>
                </c:pt>
                <c:pt idx="210">
                  <c:v>4.0673362748677553</c:v>
                </c:pt>
                <c:pt idx="211">
                  <c:v>3.9672655616848544</c:v>
                </c:pt>
                <c:pt idx="212">
                  <c:v>3.8677489102861067</c:v>
                </c:pt>
                <c:pt idx="213">
                  <c:v>3.7687801658084856</c:v>
                </c:pt>
                <c:pt idx="214">
                  <c:v>3.6683967427353368</c:v>
                </c:pt>
                <c:pt idx="215">
                  <c:v>3.5685706699853821</c:v>
                </c:pt>
                <c:pt idx="216">
                  <c:v>3.4692957317420152</c:v>
                </c:pt>
                <c:pt idx="217">
                  <c:v>3.3705658135720915</c:v>
                </c:pt>
                <c:pt idx="218">
                  <c:v>3.270142257910662</c:v>
                </c:pt>
                <c:pt idx="219">
                  <c:v>3.1702762366983501</c:v>
                </c:pt>
                <c:pt idx="220">
                  <c:v>3.0709615228644811</c:v>
                </c:pt>
                <c:pt idx="221">
                  <c:v>2.9721919910906722</c:v>
                </c:pt>
                <c:pt idx="222">
                  <c:v>2.8717778644625258</c:v>
                </c:pt>
                <c:pt idx="223">
                  <c:v>2.771920868773595</c:v>
                </c:pt>
                <c:pt idx="224">
                  <c:v>2.6726147756378626</c:v>
                </c:pt>
                <c:pt idx="225">
                  <c:v>2.5738534585694968</c:v>
                </c:pt>
                <c:pt idx="226">
                  <c:v>2.473189805722956</c:v>
                </c:pt>
                <c:pt idx="227">
                  <c:v>2.3730857084413768</c:v>
                </c:pt>
                <c:pt idx="228">
                  <c:v>2.2735348897393597</c:v>
                </c:pt>
                <c:pt idx="229">
                  <c:v>2.1745311757050709</c:v>
                </c:pt>
                <c:pt idx="230">
                  <c:v>1.9733919709213574</c:v>
                </c:pt>
                <c:pt idx="231">
                  <c:v>1.8736579210756248</c:v>
                </c:pt>
                <c:pt idx="232">
                  <c:v>1.7744725924894935</c:v>
                </c:pt>
                <c:pt idx="233">
                  <c:v>1.6734947547050187</c:v>
                </c:pt>
                <c:pt idx="234">
                  <c:v>1.5730791539326008</c:v>
                </c:pt>
                <c:pt idx="235">
                  <c:v>1.4732194522049826</c:v>
                </c:pt>
                <c:pt idx="236">
                  <c:v>1.3739094161814538</c:v>
                </c:pt>
                <c:pt idx="237">
                  <c:v>1.2731445406789161</c:v>
                </c:pt>
                <c:pt idx="238">
                  <c:v>1.1729390761400278</c:v>
                </c:pt>
                <c:pt idx="239">
                  <c:v>1.0732867243690738</c:v>
                </c:pt>
                <c:pt idx="240">
                  <c:v>0.97418129102603856</c:v>
                </c:pt>
                <c:pt idx="241">
                  <c:v>0.87310360304560863</c:v>
                </c:pt>
                <c:pt idx="242">
                  <c:v>0.77258828709009753</c:v>
                </c:pt>
                <c:pt idx="243">
                  <c:v>0.67262898719422703</c:v>
                </c:pt>
                <c:pt idx="244">
                  <c:v>0.5732194526153449</c:v>
                </c:pt>
                <c:pt idx="245">
                  <c:v>0.4721687116929596</c:v>
                </c:pt>
                <c:pt idx="246">
                  <c:v>0.37167949256507882</c:v>
                </c:pt>
                <c:pt idx="247">
                  <c:v>0.27174544582740051</c:v>
                </c:pt>
                <c:pt idx="248">
                  <c:v>0.17236032724785386</c:v>
                </c:pt>
                <c:pt idx="249">
                  <c:v>7.1113936572484604E-2</c:v>
                </c:pt>
                <c:pt idx="250">
                  <c:v>-2.9569358822296499E-2</c:v>
                </c:pt>
                <c:pt idx="251">
                  <c:v>-0.12969594280284022</c:v>
                </c:pt>
                <c:pt idx="252">
                  <c:v>-0.22927209320991371</c:v>
                </c:pt>
                <c:pt idx="253">
                  <c:v>-0.33039406034957952</c:v>
                </c:pt>
                <c:pt idx="254">
                  <c:v>-0.4309549517872025</c:v>
                </c:pt>
                <c:pt idx="255">
                  <c:v>-0.53096112496522285</c:v>
                </c:pt>
                <c:pt idx="256">
                  <c:v>-0.63041883179741509</c:v>
                </c:pt>
                <c:pt idx="257">
                  <c:v>-0.73188964347916874</c:v>
                </c:pt>
                <c:pt idx="258">
                  <c:v>-0.83279620232446949</c:v>
                </c:pt>
                <c:pt idx="259">
                  <c:v>-0.93314492757371226</c:v>
                </c:pt>
                <c:pt idx="260">
                  <c:v>-1.0329421314860507</c:v>
                </c:pt>
                <c:pt idx="261">
                  <c:v>-1.1344434569136159</c:v>
                </c:pt>
                <c:pt idx="262">
                  <c:v>-1.235380929409071</c:v>
                </c:pt>
                <c:pt idx="263">
                  <c:v>-1.3357609693195893</c:v>
                </c:pt>
                <c:pt idx="264">
                  <c:v>-1.4355898899046391</c:v>
                </c:pt>
                <c:pt idx="265">
                  <c:v>-1.5370740688397877</c:v>
                </c:pt>
                <c:pt idx="266">
                  <c:v>-1.6379953702786554</c:v>
                </c:pt>
                <c:pt idx="267">
                  <c:v>-1.7383602058920522</c:v>
                </c:pt>
                <c:pt idx="268">
                  <c:v>-1.8381748803753937</c:v>
                </c:pt>
                <c:pt idx="269">
                  <c:v>-1.9398367599459634</c:v>
                </c:pt>
                <c:pt idx="270">
                  <c:v>-2.0409346313792747</c:v>
                </c:pt>
                <c:pt idx="271">
                  <c:v>-2.1414749336275305</c:v>
                </c:pt>
                <c:pt idx="272">
                  <c:v>-2.2414639979830575</c:v>
                </c:pt>
                <c:pt idx="273">
                  <c:v>-2.3432469004894383</c:v>
                </c:pt>
                <c:pt idx="274">
                  <c:v>-2.4444653446735849</c:v>
                </c:pt>
                <c:pt idx="275">
                  <c:v>-2.5451257852684432</c:v>
                </c:pt>
                <c:pt idx="276">
                  <c:v>-2.6452345689195016</c:v>
                </c:pt>
                <c:pt idx="277">
                  <c:v>-2.7468568861200096</c:v>
                </c:pt>
                <c:pt idx="278">
                  <c:v>-2.8479174576891348</c:v>
                </c:pt>
                <c:pt idx="279">
                  <c:v>-2.9484227001252306</c:v>
                </c:pt>
                <c:pt idx="280">
                  <c:v>-3.0483789226163331</c:v>
                </c:pt>
                <c:pt idx="281">
                  <c:v>-3.1504777498834793</c:v>
                </c:pt>
                <c:pt idx="282">
                  <c:v>-3.2520105645354196</c:v>
                </c:pt>
                <c:pt idx="283">
                  <c:v>-3.3529838643988166</c:v>
                </c:pt>
                <c:pt idx="284">
                  <c:v>-3.4534040381033231</c:v>
                </c:pt>
                <c:pt idx="285">
                  <c:v>-3.5552474106924929</c:v>
                </c:pt>
                <c:pt idx="286">
                  <c:v>-3.6565286414675398</c:v>
                </c:pt>
                <c:pt idx="287">
                  <c:v>-3.7572541702207434</c:v>
                </c:pt>
                <c:pt idx="288">
                  <c:v>-3.8574303287703509</c:v>
                </c:pt>
                <c:pt idx="289">
                  <c:v>-3.9596329092574294</c:v>
                </c:pt>
                <c:pt idx="290">
                  <c:v>-4.0612704973566762</c:v>
                </c:pt>
                <c:pt idx="291">
                  <c:v>-4.1623495902473993</c:v>
                </c:pt>
                <c:pt idx="292">
                  <c:v>-4.2628765757827516</c:v>
                </c:pt>
                <c:pt idx="293">
                  <c:v>-4.3651618207609122</c:v>
                </c:pt>
                <c:pt idx="294">
                  <c:v>-4.4668823334485435</c:v>
                </c:pt>
                <c:pt idx="295">
                  <c:v>-4.5680446151644007</c:v>
                </c:pt>
                <c:pt idx="296">
                  <c:v>-4.668655057738162</c:v>
                </c:pt>
                <c:pt idx="297">
                  <c:v>-4.7709738863420519</c:v>
                </c:pt>
                <c:pt idx="298">
                  <c:v>-4.8727288437913927</c:v>
                </c:pt>
                <c:pt idx="299">
                  <c:v>-4.973926425303782</c:v>
                </c:pt>
                <c:pt idx="300">
                  <c:v>-5.0745730166752185</c:v>
                </c:pt>
                <c:pt idx="301">
                  <c:v>-5.1768798808098886</c:v>
                </c:pt>
                <c:pt idx="302">
                  <c:v>-5.2786242950789033</c:v>
                </c:pt>
                <c:pt idx="303">
                  <c:v>-5.3798127390493686</c:v>
                </c:pt>
                <c:pt idx="304">
                  <c:v>-5.4804515831471265</c:v>
                </c:pt>
                <c:pt idx="305">
                  <c:v>-5.5830964968793833</c:v>
                </c:pt>
                <c:pt idx="306">
                  <c:v>-5.6851766076664942</c:v>
                </c:pt>
                <c:pt idx="307">
                  <c:v>-5.7866984446868699</c:v>
                </c:pt>
                <c:pt idx="308">
                  <c:v>-5.887668426796858</c:v>
                </c:pt>
                <c:pt idx="309">
                  <c:v>-5.9902032647429877</c:v>
                </c:pt>
                <c:pt idx="310">
                  <c:v>-6.0921759288261335</c:v>
                </c:pt>
                <c:pt idx="311">
                  <c:v>-6.1935929119425275</c:v>
                </c:pt>
                <c:pt idx="312">
                  <c:v>-6.2944605974114607</c:v>
                </c:pt>
                <c:pt idx="313">
                  <c:v>-6.3972254729403835</c:v>
                </c:pt>
                <c:pt idx="314">
                  <c:v>-6.499427147387868</c:v>
                </c:pt>
                <c:pt idx="315">
                  <c:v>-6.6010721407031809</c:v>
                </c:pt>
                <c:pt idx="316">
                  <c:v>-6.7021668625812545</c:v>
                </c:pt>
                <c:pt idx="317">
                  <c:v>-6.8051051015912236</c:v>
                </c:pt>
                <c:pt idx="318">
                  <c:v>-6.9074798073233765</c:v>
                </c:pt>
                <c:pt idx="319">
                  <c:v>-7.0092975149641497</c:v>
                </c:pt>
                <c:pt idx="320">
                  <c:v>-7.1105646490315646</c:v>
                </c:pt>
                <c:pt idx="321">
                  <c:v>-7.2136234926184777</c:v>
                </c:pt>
                <c:pt idx="322">
                  <c:v>-7.3161191225438751</c:v>
                </c:pt>
                <c:pt idx="323">
                  <c:v>-7.4180580781037904</c:v>
                </c:pt>
                <c:pt idx="324">
                  <c:v>-7.5194467877610585</c:v>
                </c:pt>
                <c:pt idx="325">
                  <c:v>-7.622577225966217</c:v>
                </c:pt>
                <c:pt idx="326">
                  <c:v>-7.7251453793741707</c:v>
                </c:pt>
                <c:pt idx="327">
                  <c:v>-7.8271577809600279</c:v>
                </c:pt>
                <c:pt idx="328">
                  <c:v>-7.9286208529345039</c:v>
                </c:pt>
                <c:pt idx="329">
                  <c:v>-8.0319494884527742</c:v>
                </c:pt>
                <c:pt idx="330">
                  <c:v>-8.1347154694936528</c:v>
                </c:pt>
                <c:pt idx="331">
                  <c:v>-8.236925345447581</c:v>
                </c:pt>
                <c:pt idx="332">
                  <c:v>-8.3385855544950722</c:v>
                </c:pt>
                <c:pt idx="333">
                  <c:v>-8.4418909719280357</c:v>
                </c:pt>
                <c:pt idx="334">
                  <c:v>-8.5446358476390376</c:v>
                </c:pt>
                <c:pt idx="335">
                  <c:v>-8.6468267043828426</c:v>
                </c:pt>
                <c:pt idx="336">
                  <c:v>-8.748469954229348</c:v>
                </c:pt>
                <c:pt idx="337">
                  <c:v>-8.8520431464518765</c:v>
                </c:pt>
                <c:pt idx="338">
                  <c:v>-8.9550548392141707</c:v>
                </c:pt>
                <c:pt idx="339">
                  <c:v>-9.0575115822606627</c:v>
                </c:pt>
                <c:pt idx="340">
                  <c:v>-9.1594198139612431</c:v>
                </c:pt>
                <c:pt idx="341">
                  <c:v>-9.2632042999685176</c:v>
                </c:pt>
                <c:pt idx="342">
                  <c:v>-9.36642703073246</c:v>
                </c:pt>
                <c:pt idx="343">
                  <c:v>-9.4690945709709897</c:v>
                </c:pt>
                <c:pt idx="344">
                  <c:v>-9.5712133736070975</c:v>
                </c:pt>
                <c:pt idx="345">
                  <c:v>-9.6749988482479594</c:v>
                </c:pt>
                <c:pt idx="346">
                  <c:v>-9.7782246673007656</c:v>
                </c:pt>
                <c:pt idx="347">
                  <c:v>-9.8808973694472151</c:v>
                </c:pt>
                <c:pt idx="348">
                  <c:v>-9.9830233820777607</c:v>
                </c:pt>
                <c:pt idx="349">
                  <c:v>-10.087080024326308</c:v>
                </c:pt>
                <c:pt idx="350">
                  <c:v>-10.190576290749769</c:v>
                </c:pt>
                <c:pt idx="351">
                  <c:v>-10.293518743433538</c:v>
                </c:pt>
                <c:pt idx="352">
                  <c:v>-10.395913832553667</c:v>
                </c:pt>
                <c:pt idx="353">
                  <c:v>-10.500186453070878</c:v>
                </c:pt>
                <c:pt idx="354">
                  <c:v>-10.603898669090004</c:v>
                </c:pt>
                <c:pt idx="355">
                  <c:v>-10.707057054190468</c:v>
                </c:pt>
                <c:pt idx="356">
                  <c:v>-10.809668069688064</c:v>
                </c:pt>
                <c:pt idx="357">
                  <c:v>-10.913957451230885</c:v>
                </c:pt>
                <c:pt idx="358">
                  <c:v>-11.01768862670408</c:v>
                </c:pt>
                <c:pt idx="359">
                  <c:v>-11.120868142238491</c:v>
                </c:pt>
                <c:pt idx="360">
                  <c:v>-11.223502432227836</c:v>
                </c:pt>
                <c:pt idx="361">
                  <c:v>-11.328060079126699</c:v>
                </c:pt>
                <c:pt idx="362">
                  <c:v>-11.432059125713216</c:v>
                </c:pt>
                <c:pt idx="363">
                  <c:v>-11.535506136268516</c:v>
                </c:pt>
                <c:pt idx="364">
                  <c:v>-11.638407562823339</c:v>
                </c:pt>
                <c:pt idx="365">
                  <c:v>-11.743038386110214</c:v>
                </c:pt>
                <c:pt idx="366">
                  <c:v>-11.847112393433044</c:v>
                </c:pt>
                <c:pt idx="367">
                  <c:v>-11.950636129054606</c:v>
                </c:pt>
                <c:pt idx="368">
                  <c:v>-12.053616025335733</c:v>
                </c:pt>
                <c:pt idx="369">
                  <c:v>-12.158557108662574</c:v>
                </c:pt>
                <c:pt idx="370">
                  <c:v>-12.262940744048681</c:v>
                </c:pt>
                <c:pt idx="371">
                  <c:v>-12.36677349832126</c:v>
                </c:pt>
                <c:pt idx="372">
                  <c:v>-12.470061825780331</c:v>
                </c:pt>
                <c:pt idx="373">
                  <c:v>-12.575122566800918</c:v>
                </c:pt>
                <c:pt idx="374">
                  <c:v>-12.67962735461011</c:v>
                </c:pt>
                <c:pt idx="375">
                  <c:v>-12.783582741230253</c:v>
                </c:pt>
                <c:pt idx="376">
                  <c:v>-12.886995166376154</c:v>
                </c:pt>
                <c:pt idx="377">
                  <c:v>-12.992399439218854</c:v>
                </c:pt>
                <c:pt idx="378">
                  <c:v>-13.097246998061667</c:v>
                </c:pt>
                <c:pt idx="379">
                  <c:v>-13.201544419957198</c:v>
                </c:pt>
                <c:pt idx="380">
                  <c:v>-13.305298168954824</c:v>
                </c:pt>
                <c:pt idx="381">
                  <c:v>-13.410729852444545</c:v>
                </c:pt>
                <c:pt idx="382">
                  <c:v>-13.515607498590033</c:v>
                </c:pt>
                <c:pt idx="383">
                  <c:v>-13.619937648797048</c:v>
                </c:pt>
                <c:pt idx="384">
                  <c:v>-13.723726732150752</c:v>
                </c:pt>
                <c:pt idx="385">
                  <c:v>-13.829533298243931</c:v>
                </c:pt>
                <c:pt idx="386">
                  <c:v>-13.934784966340221</c:v>
                </c:pt>
                <c:pt idx="387">
                  <c:v>-14.03948830468684</c:v>
                </c:pt>
                <c:pt idx="388">
                  <c:v>-14.143649768457776</c:v>
                </c:pt>
                <c:pt idx="389">
                  <c:v>-14.24965022390117</c:v>
                </c:pt>
                <c:pt idx="390">
                  <c:v>-14.355096934221475</c:v>
                </c:pt>
                <c:pt idx="391">
                  <c:v>-14.459996458875304</c:v>
                </c:pt>
                <c:pt idx="392">
                  <c:v>-14.564355244299225</c:v>
                </c:pt>
                <c:pt idx="393">
                  <c:v>-14.670505292370164</c:v>
                </c:pt>
                <c:pt idx="394">
                  <c:v>-14.776103319070078</c:v>
                </c:pt>
                <c:pt idx="395">
                  <c:v>-14.88115586485007</c:v>
                </c:pt>
                <c:pt idx="396">
                  <c:v>-14.985669357421756</c:v>
                </c:pt>
                <c:pt idx="397">
                  <c:v>-15.092167931195776</c:v>
                </c:pt>
                <c:pt idx="398">
                  <c:v>-15.198114259619956</c:v>
                </c:pt>
                <c:pt idx="399">
                  <c:v>-15.303514898550453</c:v>
                </c:pt>
                <c:pt idx="400">
                  <c:v>-15.408376290585226</c:v>
                </c:pt>
                <c:pt idx="401">
                  <c:v>-15.515053710258302</c:v>
                </c:pt>
                <c:pt idx="402">
                  <c:v>-15.621180537023145</c:v>
                </c:pt>
                <c:pt idx="403">
                  <c:v>-15.726763308686532</c:v>
                </c:pt>
                <c:pt idx="404">
                  <c:v>-15.831808450037403</c:v>
                </c:pt>
                <c:pt idx="405">
                  <c:v>-15.938738530756194</c:v>
                </c:pt>
                <c:pt idx="406">
                  <c:v>-16.045119025698277</c:v>
                </c:pt>
                <c:pt idx="407">
                  <c:v>-16.150956465853405</c:v>
                </c:pt>
                <c:pt idx="408">
                  <c:v>-16.256257269166614</c:v>
                </c:pt>
                <c:pt idx="409">
                  <c:v>-16.363507813902448</c:v>
                </c:pt>
                <c:pt idx="410">
                  <c:v>-16.470209208062556</c:v>
                </c:pt>
                <c:pt idx="411">
                  <c:v>-16.576367985728758</c:v>
                </c:pt>
                <c:pt idx="412">
                  <c:v>-16.681990567671463</c:v>
                </c:pt>
                <c:pt idx="413">
                  <c:v>-16.78951331946072</c:v>
                </c:pt>
                <c:pt idx="414">
                  <c:v>-16.896487974209332</c:v>
                </c:pt>
                <c:pt idx="415">
                  <c:v>-17.002921057775712</c:v>
                </c:pt>
                <c:pt idx="416">
                  <c:v>-17.108818982690238</c:v>
                </c:pt>
                <c:pt idx="417">
                  <c:v>-17.216677558477787</c:v>
                </c:pt>
                <c:pt idx="418">
                  <c:v>-17.323988568960026</c:v>
                </c:pt>
                <c:pt idx="419">
                  <c:v>-17.430758540685073</c:v>
                </c:pt>
                <c:pt idx="420">
                  <c:v>-17.53699388663842</c:v>
                </c:pt>
                <c:pt idx="421">
                  <c:v>-17.645034572224539</c:v>
                </c:pt>
                <c:pt idx="422">
                  <c:v>-17.752529900868371</c:v>
                </c:pt>
                <c:pt idx="423">
                  <c:v>-17.859486369472389</c:v>
                </c:pt>
                <c:pt idx="424">
                  <c:v>-17.965910361832652</c:v>
                </c:pt>
                <c:pt idx="425">
                  <c:v>-18.074407323297599</c:v>
                </c:pt>
                <c:pt idx="426">
                  <c:v>-18.182358497040291</c:v>
                </c:pt>
                <c:pt idx="427">
                  <c:v>-18.289770396841277</c:v>
                </c:pt>
                <c:pt idx="428">
                  <c:v>-18.396649422740985</c:v>
                </c:pt>
                <c:pt idx="429">
                  <c:v>-18.505447632350261</c:v>
                </c:pt>
                <c:pt idx="430">
                  <c:v>-18.613701312287795</c:v>
                </c:pt>
                <c:pt idx="431">
                  <c:v>-18.721416962502005</c:v>
                </c:pt>
                <c:pt idx="432">
                  <c:v>-18.828600969265004</c:v>
                </c:pt>
                <c:pt idx="433">
                  <c:v>-18.93765717775516</c:v>
                </c:pt>
                <c:pt idx="434">
                  <c:v>-19.046170663800183</c:v>
                </c:pt>
                <c:pt idx="435">
                  <c:v>-19.154147903023862</c:v>
                </c:pt>
                <c:pt idx="436">
                  <c:v>-19.261595257670049</c:v>
                </c:pt>
                <c:pt idx="437">
                  <c:v>-19.371065446017358</c:v>
                </c:pt>
                <c:pt idx="438">
                  <c:v>-19.479993291010604</c:v>
                </c:pt>
                <c:pt idx="439">
                  <c:v>-19.58838526866705</c:v>
                </c:pt>
                <c:pt idx="440">
                  <c:v>-19.696247741331543</c:v>
                </c:pt>
                <c:pt idx="441">
                  <c:v>-19.806083744216053</c:v>
                </c:pt>
                <c:pt idx="442">
                  <c:v>-19.915378386655068</c:v>
                </c:pt>
                <c:pt idx="443">
                  <c:v>-20.024138133420344</c:v>
                </c:pt>
                <c:pt idx="444">
                  <c:v>-20.132369335575746</c:v>
                </c:pt>
                <c:pt idx="445">
                  <c:v>-20.242526560707766</c:v>
                </c:pt>
                <c:pt idx="446">
                  <c:v>-20.352143964753125</c:v>
                </c:pt>
                <c:pt idx="447">
                  <c:v>-20.461227990340312</c:v>
                </c:pt>
                <c:pt idx="448">
                  <c:v>-20.569784966595677</c:v>
                </c:pt>
                <c:pt idx="449">
                  <c:v>-20.680406891342461</c:v>
                </c:pt>
                <c:pt idx="450">
                  <c:v>-20.790489250730229</c:v>
                </c:pt>
                <c:pt idx="451">
                  <c:v>-20.900038487095266</c:v>
                </c:pt>
                <c:pt idx="452">
                  <c:v>-21.009060928952291</c:v>
                </c:pt>
                <c:pt idx="453">
                  <c:v>-21.12000833404894</c:v>
                </c:pt>
                <c:pt idx="454">
                  <c:v>-21.230417902480344</c:v>
                </c:pt>
                <c:pt idx="455">
                  <c:v>-21.34029604882716</c:v>
                </c:pt>
                <c:pt idx="456">
                  <c:v>-21.449649074159428</c:v>
                </c:pt>
                <c:pt idx="457">
                  <c:v>-21.561059720850203</c:v>
                </c:pt>
                <c:pt idx="458">
                  <c:v>-21.671933037545628</c:v>
                </c:pt>
                <c:pt idx="459">
                  <c:v>-21.78227543159047</c:v>
                </c:pt>
                <c:pt idx="460">
                  <c:v>-21.892093196632519</c:v>
                </c:pt>
                <c:pt idx="461">
                  <c:v>-22.003920132740976</c:v>
                </c:pt>
                <c:pt idx="462">
                  <c:v>-22.115210811546739</c:v>
                </c:pt>
                <c:pt idx="463">
                  <c:v>-22.225971621660833</c:v>
                </c:pt>
                <c:pt idx="464">
                  <c:v>-22.336208838069677</c:v>
                </c:pt>
                <c:pt idx="465">
                  <c:v>-22.44849402567008</c:v>
                </c:pt>
                <c:pt idx="466">
                  <c:v>-22.56024373423157</c:v>
                </c:pt>
                <c:pt idx="467">
                  <c:v>-22.6714643373546</c:v>
                </c:pt>
                <c:pt idx="468">
                  <c:v>-22.782162094985576</c:v>
                </c:pt>
                <c:pt idx="469">
                  <c:v>-22.894860382461388</c:v>
                </c:pt>
                <c:pt idx="470">
                  <c:v>-23.007024500015085</c:v>
                </c:pt>
                <c:pt idx="471">
                  <c:v>-23.118660795148777</c:v>
                </c:pt>
                <c:pt idx="472">
                  <c:v>-23.229775501931389</c:v>
                </c:pt>
                <c:pt idx="473">
                  <c:v>-23.343009667542471</c:v>
                </c:pt>
                <c:pt idx="474">
                  <c:v>-23.45570990920594</c:v>
                </c:pt>
                <c:pt idx="475">
                  <c:v>-23.567882565445263</c:v>
                </c:pt>
                <c:pt idx="476">
                  <c:v>-23.679533861152933</c:v>
                </c:pt>
                <c:pt idx="477">
                  <c:v>-23.793255904319089</c:v>
                </c:pt>
                <c:pt idx="478">
                  <c:v>-23.90644481934789</c:v>
                </c:pt>
                <c:pt idx="479">
                  <c:v>-24.019106924102683</c:v>
                </c:pt>
                <c:pt idx="480">
                  <c:v>-24.131248422883985</c:v>
                </c:pt>
                <c:pt idx="481">
                  <c:v>-24.245413664052784</c:v>
                </c:pt>
                <c:pt idx="482">
                  <c:v>-24.359047073539102</c:v>
                </c:pt>
                <c:pt idx="483">
                  <c:v>-24.472154937660846</c:v>
                </c:pt>
                <c:pt idx="484">
                  <c:v>-24.584743429492313</c:v>
                </c:pt>
                <c:pt idx="485">
                  <c:v>-24.699388169137734</c:v>
                </c:pt>
                <c:pt idx="486">
                  <c:v>-24.813502108171704</c:v>
                </c:pt>
                <c:pt idx="487">
                  <c:v>-24.927091503937714</c:v>
                </c:pt>
                <c:pt idx="488">
                  <c:v>-25.040162500785193</c:v>
                </c:pt>
                <c:pt idx="489">
                  <c:v>-25.155396724249741</c:v>
                </c:pt>
                <c:pt idx="490">
                  <c:v>-25.2701002349745</c:v>
                </c:pt>
                <c:pt idx="491">
                  <c:v>-25.384279275660042</c:v>
                </c:pt>
                <c:pt idx="492">
                  <c:v>-25.497939975910647</c:v>
                </c:pt>
                <c:pt idx="493">
                  <c:v>-25.613715409825339</c:v>
                </c:pt>
                <c:pt idx="494">
                  <c:v>-25.728960731974727</c:v>
                </c:pt>
                <c:pt idx="495">
                  <c:v>-25.84368215894181</c:v>
                </c:pt>
                <c:pt idx="496">
                  <c:v>-25.957885794381244</c:v>
                </c:pt>
                <c:pt idx="497">
                  <c:v>-26.074231011562915</c:v>
                </c:pt>
                <c:pt idx="498">
                  <c:v>-26.190046513261194</c:v>
                </c:pt>
                <c:pt idx="499">
                  <c:v>-26.305338490979317</c:v>
                </c:pt>
                <c:pt idx="500">
                  <c:v>-26.420113023430964</c:v>
                </c:pt>
                <c:pt idx="501">
                  <c:v>-26.537054252884946</c:v>
                </c:pt>
                <c:pt idx="502">
                  <c:v>-26.653465973992617</c:v>
                </c:pt>
                <c:pt idx="503">
                  <c:v>-26.769354353792231</c:v>
                </c:pt>
                <c:pt idx="504">
                  <c:v>-26.884725446653853</c:v>
                </c:pt>
                <c:pt idx="505">
                  <c:v>-27.00221559925275</c:v>
                </c:pt>
                <c:pt idx="506">
                  <c:v>-27.119176912574648</c:v>
                </c:pt>
                <c:pt idx="507">
                  <c:v>-27.235615518369659</c:v>
                </c:pt>
                <c:pt idx="508">
                  <c:v>-27.351537436105762</c:v>
                </c:pt>
                <c:pt idx="509">
                  <c:v>-27.469602166404528</c:v>
                </c:pt>
                <c:pt idx="510">
                  <c:v>-27.587138517576722</c:v>
                </c:pt>
                <c:pt idx="511">
                  <c:v>-27.704152586865419</c:v>
                </c:pt>
                <c:pt idx="512">
                  <c:v>-27.820650359602329</c:v>
                </c:pt>
                <c:pt idx="513">
                  <c:v>-27.939381709246188</c:v>
                </c:pt>
                <c:pt idx="514">
                  <c:v>-28.057584334197678</c:v>
                </c:pt>
                <c:pt idx="515">
                  <c:v>-28.175264308087137</c:v>
                </c:pt>
                <c:pt idx="516">
                  <c:v>-28.292427592744581</c:v>
                </c:pt>
                <c:pt idx="517">
                  <c:v>-28.411775885751148</c:v>
                </c:pt>
                <c:pt idx="518">
                  <c:v>-28.53059555744171</c:v>
                </c:pt>
                <c:pt idx="519">
                  <c:v>-28.648892646997311</c:v>
                </c:pt>
                <c:pt idx="520">
                  <c:v>-28.766673082183672</c:v>
                </c:pt>
                <c:pt idx="521">
                  <c:v>-28.88665769025803</c:v>
                </c:pt>
                <c:pt idx="522">
                  <c:v>-29.006113599836137</c:v>
                </c:pt>
                <c:pt idx="523">
                  <c:v>-29.125046815584849</c:v>
                </c:pt>
                <c:pt idx="524">
                  <c:v>-29.243463231156362</c:v>
                </c:pt>
                <c:pt idx="525">
                  <c:v>-29.364101557075802</c:v>
                </c:pt>
                <c:pt idx="526">
                  <c:v>-29.484210933193317</c:v>
                </c:pt>
                <c:pt idx="527">
                  <c:v>-29.603797329394492</c:v>
                </c:pt>
                <c:pt idx="528">
                  <c:v>-29.722866604973358</c:v>
                </c:pt>
                <c:pt idx="529">
                  <c:v>-29.844174145908209</c:v>
                </c:pt>
                <c:pt idx="530">
                  <c:v>-29.964952316573964</c:v>
                </c:pt>
                <c:pt idx="531">
                  <c:v>-30.085207051645536</c:v>
                </c:pt>
                <c:pt idx="532">
                  <c:v>-30.204944175661225</c:v>
                </c:pt>
                <c:pt idx="533">
                  <c:v>-30.326997420180177</c:v>
                </c:pt>
                <c:pt idx="534">
                  <c:v>-30.448520164198349</c:v>
                </c:pt>
                <c:pt idx="535">
                  <c:v>-30.569518315685073</c:v>
                </c:pt>
                <c:pt idx="536">
                  <c:v>-30.689997672741455</c:v>
                </c:pt>
                <c:pt idx="537">
                  <c:v>-30.812681705221621</c:v>
                </c:pt>
                <c:pt idx="538">
                  <c:v>-30.934835044477396</c:v>
                </c:pt>
                <c:pt idx="539">
                  <c:v>-31.056463552806093</c:v>
                </c:pt>
                <c:pt idx="540">
                  <c:v>-31.177572983403429</c:v>
                </c:pt>
                <c:pt idx="541">
                  <c:v>-31.301022540280616</c:v>
                </c:pt>
                <c:pt idx="542">
                  <c:v>-31.423939971749611</c:v>
                </c:pt>
                <c:pt idx="543">
                  <c:v>-31.546331111582898</c:v>
                </c:pt>
                <c:pt idx="544">
                  <c:v>-31.668201684826734</c:v>
                </c:pt>
                <c:pt idx="545">
                  <c:v>-31.792362348683817</c:v>
                </c:pt>
                <c:pt idx="546">
                  <c:v>-31.91598983784845</c:v>
                </c:pt>
                <c:pt idx="547">
                  <c:v>-32.039089947883049</c:v>
                </c:pt>
                <c:pt idx="548">
                  <c:v>-32.161668366277468</c:v>
                </c:pt>
                <c:pt idx="549">
                  <c:v>-32.286546864328038</c:v>
                </c:pt>
                <c:pt idx="550">
                  <c:v>-32.410890976836541</c:v>
                </c:pt>
                <c:pt idx="551">
                  <c:v>-32.534706460514712</c:v>
                </c:pt>
                <c:pt idx="552">
                  <c:v>-32.657998964712249</c:v>
                </c:pt>
                <c:pt idx="553">
                  <c:v>-32.783658029984508</c:v>
                </c:pt>
                <c:pt idx="554">
                  <c:v>-32.908780846415084</c:v>
                </c:pt>
                <c:pt idx="555">
                  <c:v>-33.033373139104491</c:v>
                </c:pt>
                <c:pt idx="556">
                  <c:v>-33.15744052637119</c:v>
                </c:pt>
                <c:pt idx="557">
                  <c:v>-33.409782530945847</c:v>
                </c:pt>
                <c:pt idx="558">
                  <c:v>-33.659994217747283</c:v>
                </c:pt>
                <c:pt idx="559">
                  <c:v>-33.913783126974593</c:v>
                </c:pt>
                <c:pt idx="560">
                  <c:v>-34.165434913927903</c:v>
                </c:pt>
                <c:pt idx="561">
                  <c:v>-34.420889458348732</c:v>
                </c:pt>
                <c:pt idx="562">
                  <c:v>-34.674195762968402</c:v>
                </c:pt>
                <c:pt idx="563">
                  <c:v>-34.93076542885926</c:v>
                </c:pt>
                <c:pt idx="564">
                  <c:v>-35.185184231565586</c:v>
                </c:pt>
                <c:pt idx="565">
                  <c:v>-35.443829358853463</c:v>
                </c:pt>
                <c:pt idx="566">
                  <c:v>-35.700304197213882</c:v>
                </c:pt>
                <c:pt idx="567">
                  <c:v>-35.960880033526543</c:v>
                </c:pt>
                <c:pt idx="568">
                  <c:v>-36.219267787025146</c:v>
                </c:pt>
                <c:pt idx="569">
                  <c:v>-36.480613923153022</c:v>
                </c:pt>
                <c:pt idx="570">
                  <c:v>-36.739772686531083</c:v>
                </c:pt>
                <c:pt idx="571">
                  <c:v>-37.003812078499585</c:v>
                </c:pt>
                <c:pt idx="572">
                  <c:v>-37.265631784462734</c:v>
                </c:pt>
                <c:pt idx="573">
                  <c:v>-37.53020881009089</c:v>
                </c:pt>
                <c:pt idx="574">
                  <c:v>-37.792568898419397</c:v>
                </c:pt>
                <c:pt idx="575">
                  <c:v>-38.059546682216677</c:v>
                </c:pt>
                <c:pt idx="576">
                  <c:v>-38.324278120918528</c:v>
                </c:pt>
                <c:pt idx="577">
                  <c:v>-39.421101420270091</c:v>
                </c:pt>
                <c:pt idx="578">
                  <c:v>-40.481326401924413</c:v>
                </c:pt>
                <c:pt idx="579">
                  <c:v>-42.688703096101335</c:v>
                </c:pt>
                <c:pt idx="580">
                  <c:v>-44.948672426571086</c:v>
                </c:pt>
                <c:pt idx="581">
                  <c:v>-47.255442668427669</c:v>
                </c:pt>
                <c:pt idx="582">
                  <c:v>-49.606778020282761</c:v>
                </c:pt>
                <c:pt idx="583">
                  <c:v>-51.996248629827832</c:v>
                </c:pt>
                <c:pt idx="584">
                  <c:v>-54.420215934504519</c:v>
                </c:pt>
                <c:pt idx="585">
                  <c:v>-56.871393112295145</c:v>
                </c:pt>
                <c:pt idx="586">
                  <c:v>-59.344061450250791</c:v>
                </c:pt>
                <c:pt idx="587">
                  <c:v>-61.833619840559024</c:v>
                </c:pt>
                <c:pt idx="588">
                  <c:v>-64.332157902981578</c:v>
                </c:pt>
                <c:pt idx="589">
                  <c:v>-66.836757134269959</c:v>
                </c:pt>
                <c:pt idx="590">
                  <c:v>-69.342296071346993</c:v>
                </c:pt>
                <c:pt idx="591">
                  <c:v>-71.84563432810431</c:v>
                </c:pt>
                <c:pt idx="592">
                  <c:v>-74.343893636514451</c:v>
                </c:pt>
                <c:pt idx="593">
                  <c:v>-76.83604112968888</c:v>
                </c:pt>
                <c:pt idx="594">
                  <c:v>-79.320321374165829</c:v>
                </c:pt>
                <c:pt idx="595">
                  <c:v>-81.796703446040965</c:v>
                </c:pt>
                <c:pt idx="596">
                  <c:v>-84.264594754146614</c:v>
                </c:pt>
                <c:pt idx="597">
                  <c:v>-86.724758531340484</c:v>
                </c:pt>
                <c:pt idx="598">
                  <c:v>-89.177044253428818</c:v>
                </c:pt>
                <c:pt idx="599">
                  <c:v>-91.622671277779602</c:v>
                </c:pt>
                <c:pt idx="600">
                  <c:v>-94.061925673189378</c:v>
                </c:pt>
                <c:pt idx="604">
                  <c:v>7.1113936572484604E-2</c:v>
                </c:pt>
              </c:numCache>
            </c:numRef>
          </c:yVal>
          <c:smooth val="1"/>
          <c:extLst>
            <c:ext xmlns:c16="http://schemas.microsoft.com/office/drawing/2014/chart" uri="{C3380CC4-5D6E-409C-BE32-E72D297353CC}">
              <c16:uniqueId val="{00000002-4362-43AB-BDC1-536058DC7619}"/>
            </c:ext>
          </c:extLst>
        </c:ser>
        <c:ser>
          <c:idx val="0"/>
          <c:order val="3"/>
          <c:tx>
            <c:strRef>
              <c:f>'Stability Calculations'!$AG$12</c:f>
              <c:strCache>
                <c:ptCount val="1"/>
                <c:pt idx="0">
                  <c:v>Gain(dB)</c:v>
                </c:pt>
              </c:strCache>
            </c:strRef>
          </c:tx>
          <c:spPr>
            <a:ln w="25400">
              <a:solidFill>
                <a:srgbClr val="FF0000"/>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Calculations'!$AG$13:$AG$617</c:f>
              <c:numCache>
                <c:formatCode>0.0000</c:formatCode>
                <c:ptCount val="605"/>
                <c:pt idx="0">
                  <c:v>66.378592305129189</c:v>
                </c:pt>
                <c:pt idx="1">
                  <c:v>65.599615164032357</c:v>
                </c:pt>
                <c:pt idx="2">
                  <c:v>64.818489294626332</c:v>
                </c:pt>
                <c:pt idx="3">
                  <c:v>64.035798657376347</c:v>
                </c:pt>
                <c:pt idx="4">
                  <c:v>63.252596925249307</c:v>
                </c:pt>
                <c:pt idx="5">
                  <c:v>62.468094646744355</c:v>
                </c:pt>
                <c:pt idx="6">
                  <c:v>61.683907856543158</c:v>
                </c:pt>
                <c:pt idx="7">
                  <c:v>60.900025687194528</c:v>
                </c:pt>
                <c:pt idx="8">
                  <c:v>60.117543407135429</c:v>
                </c:pt>
                <c:pt idx="9">
                  <c:v>59.336426419361182</c:v>
                </c:pt>
                <c:pt idx="10">
                  <c:v>58.557731714645023</c:v>
                </c:pt>
                <c:pt idx="11">
                  <c:v>57.782021266522428</c:v>
                </c:pt>
                <c:pt idx="12">
                  <c:v>57.009644782386616</c:v>
                </c:pt>
                <c:pt idx="13">
                  <c:v>56.242204482658877</c:v>
                </c:pt>
                <c:pt idx="14">
                  <c:v>55.480068663630959</c:v>
                </c:pt>
                <c:pt idx="15">
                  <c:v>54.724655384889971</c:v>
                </c:pt>
                <c:pt idx="16">
                  <c:v>53.977185828655642</c:v>
                </c:pt>
                <c:pt idx="17">
                  <c:v>53.239224152006919</c:v>
                </c:pt>
                <c:pt idx="18">
                  <c:v>52.512207163650174</c:v>
                </c:pt>
                <c:pt idx="19">
                  <c:v>51.798181610793677</c:v>
                </c:pt>
                <c:pt idx="20">
                  <c:v>51.099056738458977</c:v>
                </c:pt>
                <c:pt idx="21">
                  <c:v>50.417217698677888</c:v>
                </c:pt>
                <c:pt idx="22">
                  <c:v>49.754929487390164</c:v>
                </c:pt>
                <c:pt idx="23">
                  <c:v>49.114891658165746</c:v>
                </c:pt>
                <c:pt idx="24">
                  <c:v>48.499543620088716</c:v>
                </c:pt>
                <c:pt idx="25">
                  <c:v>47.911572459746949</c:v>
                </c:pt>
                <c:pt idx="26">
                  <c:v>47.353325390018469</c:v>
                </c:pt>
                <c:pt idx="27">
                  <c:v>46.827238015286866</c:v>
                </c:pt>
                <c:pt idx="28">
                  <c:v>46.335196058725565</c:v>
                </c:pt>
                <c:pt idx="29">
                  <c:v>45.878932321817928</c:v>
                </c:pt>
                <c:pt idx="30">
                  <c:v>45.458622608634784</c:v>
                </c:pt>
                <c:pt idx="31">
                  <c:v>45.0752208349829</c:v>
                </c:pt>
                <c:pt idx="32">
                  <c:v>44.728174511899311</c:v>
                </c:pt>
                <c:pt idx="33">
                  <c:v>44.416835767774792</c:v>
                </c:pt>
                <c:pt idx="34">
                  <c:v>44.1395277260306</c:v>
                </c:pt>
                <c:pt idx="35">
                  <c:v>43.894523800296056</c:v>
                </c:pt>
                <c:pt idx="36">
                  <c:v>43.679534083810019</c:v>
                </c:pt>
                <c:pt idx="37">
                  <c:v>43.491985315962467</c:v>
                </c:pt>
                <c:pt idx="38">
                  <c:v>43.329457004762972</c:v>
                </c:pt>
                <c:pt idx="39">
                  <c:v>43.189187444451179</c:v>
                </c:pt>
                <c:pt idx="40">
                  <c:v>43.068669993982283</c:v>
                </c:pt>
                <c:pt idx="41">
                  <c:v>42.965442436460108</c:v>
                </c:pt>
                <c:pt idx="42">
                  <c:v>42.877226242227209</c:v>
                </c:pt>
                <c:pt idx="43">
                  <c:v>42.801890319210408</c:v>
                </c:pt>
                <c:pt idx="44">
                  <c:v>42.737544100023399</c:v>
                </c:pt>
                <c:pt idx="45">
                  <c:v>42.682454826727337</c:v>
                </c:pt>
                <c:pt idx="46">
                  <c:v>42.63509636409438</c:v>
                </c:pt>
                <c:pt idx="47">
                  <c:v>42.594087624663182</c:v>
                </c:pt>
                <c:pt idx="48">
                  <c:v>42.5582146006927</c:v>
                </c:pt>
                <c:pt idx="49">
                  <c:v>42.526369111189446</c:v>
                </c:pt>
                <c:pt idx="50">
                  <c:v>42.497560035769979</c:v>
                </c:pt>
                <c:pt idx="51">
                  <c:v>42.470863612038379</c:v>
                </c:pt>
                <c:pt idx="52">
                  <c:v>42.445426625510201</c:v>
                </c:pt>
                <c:pt idx="53">
                  <c:v>42.42041826471484</c:v>
                </c:pt>
                <c:pt idx="54">
                  <c:v>42.395034081800986</c:v>
                </c:pt>
                <c:pt idx="55">
                  <c:v>42.368395416347468</c:v>
                </c:pt>
                <c:pt idx="56">
                  <c:v>42.339663273912606</c:v>
                </c:pt>
                <c:pt idx="57">
                  <c:v>42.307877595681312</c:v>
                </c:pt>
                <c:pt idx="58">
                  <c:v>42.272028987012433</c:v>
                </c:pt>
                <c:pt idx="59">
                  <c:v>42.230935930503328</c:v>
                </c:pt>
                <c:pt idx="60">
                  <c:v>42.183314390721982</c:v>
                </c:pt>
                <c:pt idx="61">
                  <c:v>42.127669028222883</c:v>
                </c:pt>
                <c:pt idx="62">
                  <c:v>42.062253223175816</c:v>
                </c:pt>
                <c:pt idx="63">
                  <c:v>41.985162746966324</c:v>
                </c:pt>
                <c:pt idx="64">
                  <c:v>41.894078607006676</c:v>
                </c:pt>
                <c:pt idx="65">
                  <c:v>41.786442485669603</c:v>
                </c:pt>
                <c:pt idx="66">
                  <c:v>41.65929935474103</c:v>
                </c:pt>
                <c:pt idx="67">
                  <c:v>41.509339888495575</c:v>
                </c:pt>
                <c:pt idx="68">
                  <c:v>41.332790931918012</c:v>
                </c:pt>
                <c:pt idx="69">
                  <c:v>41.125576096386276</c:v>
                </c:pt>
                <c:pt idx="70">
                  <c:v>40.883164913823499</c:v>
                </c:pt>
                <c:pt idx="71">
                  <c:v>40.600805763687937</c:v>
                </c:pt>
                <c:pt idx="72">
                  <c:v>40.273411637560685</c:v>
                </c:pt>
                <c:pt idx="73">
                  <c:v>39.895941193191959</c:v>
                </c:pt>
                <c:pt idx="74">
                  <c:v>39.463238257283855</c:v>
                </c:pt>
                <c:pt idx="75">
                  <c:v>38.970558598996526</c:v>
                </c:pt>
                <c:pt idx="76">
                  <c:v>38.413438201067549</c:v>
                </c:pt>
                <c:pt idx="77">
                  <c:v>37.788402484349646</c:v>
                </c:pt>
                <c:pt idx="78">
                  <c:v>37.092695421449427</c:v>
                </c:pt>
                <c:pt idx="79">
                  <c:v>36.32513693619822</c:v>
                </c:pt>
                <c:pt idx="80">
                  <c:v>35.483860276887206</c:v>
                </c:pt>
                <c:pt idx="81">
                  <c:v>34.570632910513112</c:v>
                </c:pt>
                <c:pt idx="82">
                  <c:v>33.586657265663646</c:v>
                </c:pt>
                <c:pt idx="83">
                  <c:v>32.535495974876611</c:v>
                </c:pt>
                <c:pt idx="84">
                  <c:v>31.420063065973803</c:v>
                </c:pt>
                <c:pt idx="85">
                  <c:v>30.245352677309544</c:v>
                </c:pt>
                <c:pt idx="86">
                  <c:v>29.016031323077556</c:v>
                </c:pt>
                <c:pt idx="87">
                  <c:v>27.736458228913314</c:v>
                </c:pt>
                <c:pt idx="88">
                  <c:v>26.412942901047266</c:v>
                </c:pt>
                <c:pt idx="89">
                  <c:v>25.049400385619993</c:v>
                </c:pt>
                <c:pt idx="90">
                  <c:v>23.651057044714562</c:v>
                </c:pt>
                <c:pt idx="91">
                  <c:v>22.22219032182808</c:v>
                </c:pt>
                <c:pt idx="92">
                  <c:v>20.767012172575612</c:v>
                </c:pt>
                <c:pt idx="93">
                  <c:v>19.288694512215237</c:v>
                </c:pt>
                <c:pt idx="94">
                  <c:v>18.916071237541729</c:v>
                </c:pt>
                <c:pt idx="95">
                  <c:v>18.72815571736384</c:v>
                </c:pt>
                <c:pt idx="96">
                  <c:v>18.542102460750193</c:v>
                </c:pt>
                <c:pt idx="97">
                  <c:v>18.353628692764477</c:v>
                </c:pt>
                <c:pt idx="98">
                  <c:v>18.167034214000807</c:v>
                </c:pt>
                <c:pt idx="99">
                  <c:v>17.977976520554755</c:v>
                </c:pt>
                <c:pt idx="100">
                  <c:v>17.790815455998136</c:v>
                </c:pt>
                <c:pt idx="101">
                  <c:v>17.601294068117106</c:v>
                </c:pt>
                <c:pt idx="102">
                  <c:v>17.413684048762711</c:v>
                </c:pt>
                <c:pt idx="103">
                  <c:v>17.223536991456342</c:v>
                </c:pt>
                <c:pt idx="104">
                  <c:v>17.035319106013656</c:v>
                </c:pt>
                <c:pt idx="105">
                  <c:v>16.844670617120279</c:v>
                </c:pt>
                <c:pt idx="106">
                  <c:v>16.655966419610703</c:v>
                </c:pt>
                <c:pt idx="107">
                  <c:v>16.464934057863793</c:v>
                </c:pt>
                <c:pt idx="108">
                  <c:v>16.275858524199414</c:v>
                </c:pt>
                <c:pt idx="109">
                  <c:v>16.084423677758338</c:v>
                </c:pt>
                <c:pt idx="110">
                  <c:v>15.89495837467264</c:v>
                </c:pt>
                <c:pt idx="111">
                  <c:v>15.702979726873741</c:v>
                </c:pt>
                <c:pt idx="112">
                  <c:v>15.512986053522429</c:v>
                </c:pt>
                <c:pt idx="113">
                  <c:v>15.320585495496399</c:v>
                </c:pt>
                <c:pt idx="114">
                  <c:v>15.130182666150931</c:v>
                </c:pt>
                <c:pt idx="115">
                  <c:v>14.937353481917764</c:v>
                </c:pt>
                <c:pt idx="116">
                  <c:v>14.746534743632543</c:v>
                </c:pt>
                <c:pt idx="117">
                  <c:v>14.553273704392129</c:v>
                </c:pt>
                <c:pt idx="118">
                  <c:v>14.362035725990637</c:v>
                </c:pt>
                <c:pt idx="119">
                  <c:v>14.168459609809926</c:v>
                </c:pt>
                <c:pt idx="120">
                  <c:v>13.976916563449384</c:v>
                </c:pt>
                <c:pt idx="121">
                  <c:v>13.783021037251611</c:v>
                </c:pt>
                <c:pt idx="122">
                  <c:v>13.591168502463324</c:v>
                </c:pt>
                <c:pt idx="123">
                  <c:v>13.396840328706825</c:v>
                </c:pt>
                <c:pt idx="124">
                  <c:v>13.204567278176963</c:v>
                </c:pt>
                <c:pt idx="125">
                  <c:v>13.009924578482746</c:v>
                </c:pt>
                <c:pt idx="126">
                  <c:v>12.817346489203686</c:v>
                </c:pt>
                <c:pt idx="127">
                  <c:v>12.622393183564933</c:v>
                </c:pt>
                <c:pt idx="128">
                  <c:v>12.4295137282691</c:v>
                </c:pt>
                <c:pt idx="129">
                  <c:v>12.234256095756857</c:v>
                </c:pt>
                <c:pt idx="130">
                  <c:v>12.041081259529037</c:v>
                </c:pt>
                <c:pt idx="131">
                  <c:v>11.845527733812581</c:v>
                </c:pt>
                <c:pt idx="132">
                  <c:v>11.748537977865476</c:v>
                </c:pt>
                <c:pt idx="133">
                  <c:v>11.652065613109073</c:v>
                </c:pt>
                <c:pt idx="134">
                  <c:v>11.553830319254113</c:v>
                </c:pt>
                <c:pt idx="135">
                  <c:v>11.45612602805484</c:v>
                </c:pt>
                <c:pt idx="136">
                  <c:v>11.358947161497055</c:v>
                </c:pt>
                <c:pt idx="137">
                  <c:v>11.262288225504165</c:v>
                </c:pt>
                <c:pt idx="138">
                  <c:v>11.163966894450841</c:v>
                </c:pt>
                <c:pt idx="139">
                  <c:v>11.066178009441202</c:v>
                </c:pt>
                <c:pt idx="140">
                  <c:v>10.968915955724217</c:v>
                </c:pt>
                <c:pt idx="141">
                  <c:v>10.872175203533736</c:v>
                </c:pt>
                <c:pt idx="142">
                  <c:v>10.773674702277567</c:v>
                </c:pt>
                <c:pt idx="143">
                  <c:v>10.675709057527724</c:v>
                </c:pt>
                <c:pt idx="144">
                  <c:v>10.578272602915039</c:v>
                </c:pt>
                <c:pt idx="145">
                  <c:v>10.481359758392511</c:v>
                </c:pt>
                <c:pt idx="146">
                  <c:v>10.382738225872609</c:v>
                </c:pt>
                <c:pt idx="147">
                  <c:v>10.284653293456497</c:v>
                </c:pt>
                <c:pt idx="148">
                  <c:v>10.187099254049709</c:v>
                </c:pt>
                <c:pt idx="149">
                  <c:v>10.090070487989857</c:v>
                </c:pt>
                <c:pt idx="150">
                  <c:v>9.9913361425955731</c:v>
                </c:pt>
                <c:pt idx="151">
                  <c:v>9.8931400132901253</c:v>
                </c:pt>
                <c:pt idx="152">
                  <c:v>9.7954763546392911</c:v>
                </c:pt>
                <c:pt idx="153">
                  <c:v>9.6983395096927367</c:v>
                </c:pt>
                <c:pt idx="154">
                  <c:v>9.5994557645238316</c:v>
                </c:pt>
                <c:pt idx="155">
                  <c:v>9.5011122120235587</c:v>
                </c:pt>
                <c:pt idx="156">
                  <c:v>9.4033030629727108</c:v>
                </c:pt>
                <c:pt idx="157">
                  <c:v>9.3060226177921184</c:v>
                </c:pt>
                <c:pt idx="158">
                  <c:v>9.2070016627062081</c:v>
                </c:pt>
                <c:pt idx="159">
                  <c:v>9.1085227078952578</c:v>
                </c:pt>
                <c:pt idx="160">
                  <c:v>9.0105799233395683</c:v>
                </c:pt>
                <c:pt idx="161">
                  <c:v>8.9131675697469319</c:v>
                </c:pt>
                <c:pt idx="162">
                  <c:v>8.8140653109815332</c:v>
                </c:pt>
                <c:pt idx="163">
                  <c:v>8.7155062126464973</c:v>
                </c:pt>
                <c:pt idx="164">
                  <c:v>8.6174844146400549</c:v>
                </c:pt>
                <c:pt idx="165">
                  <c:v>8.5199941484457291</c:v>
                </c:pt>
                <c:pt idx="166">
                  <c:v>8.4207355138229971</c:v>
                </c:pt>
                <c:pt idx="167">
                  <c:v>8.3220219840316929</c:v>
                </c:pt>
                <c:pt idx="168">
                  <c:v>8.2238476564993128</c:v>
                </c:pt>
                <c:pt idx="169">
                  <c:v>8.1262067213477387</c:v>
                </c:pt>
                <c:pt idx="170">
                  <c:v>8.0270152254293841</c:v>
                </c:pt>
                <c:pt idx="171">
                  <c:v>7.9283682937154314</c:v>
                </c:pt>
                <c:pt idx="172">
                  <c:v>7.8302600217246567</c:v>
                </c:pt>
                <c:pt idx="173">
                  <c:v>7.7326845979222689</c:v>
                </c:pt>
                <c:pt idx="174">
                  <c:v>7.6331964687911613</c:v>
                </c:pt>
                <c:pt idx="175">
                  <c:v>7.5342563138509639</c:v>
                </c:pt>
                <c:pt idx="176">
                  <c:v>7.4358581628184215</c:v>
                </c:pt>
                <c:pt idx="177">
                  <c:v>7.3379961399416826</c:v>
                </c:pt>
                <c:pt idx="178">
                  <c:v>7.2382776925467232</c:v>
                </c:pt>
                <c:pt idx="179">
                  <c:v>7.1391098721501489</c:v>
                </c:pt>
                <c:pt idx="180">
                  <c:v>7.040486655012109</c:v>
                </c:pt>
                <c:pt idx="181">
                  <c:v>6.9424021132478755</c:v>
                </c:pt>
                <c:pt idx="182">
                  <c:v>6.8429047742364251</c:v>
                </c:pt>
                <c:pt idx="183">
                  <c:v>6.7439557111482209</c:v>
                </c:pt>
                <c:pt idx="184">
                  <c:v>6.6455489288824152</c:v>
                </c:pt>
                <c:pt idx="185">
                  <c:v>6.5476785277734422</c:v>
                </c:pt>
                <c:pt idx="186">
                  <c:v>6.4476740555978216</c:v>
                </c:pt>
                <c:pt idx="187">
                  <c:v>6.3482234912683477</c:v>
                </c:pt>
                <c:pt idx="188">
                  <c:v>6.2493207376751609</c:v>
                </c:pt>
                <c:pt idx="189">
                  <c:v>6.1509597954892286</c:v>
                </c:pt>
                <c:pt idx="190">
                  <c:v>6.0512730441976972</c:v>
                </c:pt>
                <c:pt idx="191">
                  <c:v>5.9521367028024441</c:v>
                </c:pt>
                <c:pt idx="192">
                  <c:v>5.8535447223881363</c:v>
                </c:pt>
                <c:pt idx="193">
                  <c:v>5.755491150962893</c:v>
                </c:pt>
                <c:pt idx="194">
                  <c:v>5.6554205120557688</c:v>
                </c:pt>
                <c:pt idx="195">
                  <c:v>5.5559044873852113</c:v>
                </c:pt>
                <c:pt idx="196">
                  <c:v>5.4569369496263578</c:v>
                </c:pt>
                <c:pt idx="197">
                  <c:v>5.3585118702159482</c:v>
                </c:pt>
                <c:pt idx="198">
                  <c:v>5.2584857311491371</c:v>
                </c:pt>
                <c:pt idx="199">
                  <c:v>5.1590136456573585</c:v>
                </c:pt>
                <c:pt idx="200">
                  <c:v>5.0600894867411323</c:v>
                </c:pt>
                <c:pt idx="201">
                  <c:v>4.9617072263109883</c:v>
                </c:pt>
                <c:pt idx="202">
                  <c:v>4.8617700491766893</c:v>
                </c:pt>
                <c:pt idx="203">
                  <c:v>4.7623858370607852</c:v>
                </c:pt>
                <c:pt idx="204">
                  <c:v>4.663548472264508</c:v>
                </c:pt>
                <c:pt idx="205">
                  <c:v>4.5652519359470967</c:v>
                </c:pt>
                <c:pt idx="206">
                  <c:v>4.465104195658272</c:v>
                </c:pt>
                <c:pt idx="207">
                  <c:v>4.3655116023203391</c:v>
                </c:pt>
                <c:pt idx="208">
                  <c:v>4.2664679935295382</c:v>
                </c:pt>
                <c:pt idx="209">
                  <c:v>4.167967306844135</c:v>
                </c:pt>
                <c:pt idx="210">
                  <c:v>4.0673362748677553</c:v>
                </c:pt>
                <c:pt idx="211">
                  <c:v>3.9672655616848544</c:v>
                </c:pt>
                <c:pt idx="212">
                  <c:v>3.8677489102861067</c:v>
                </c:pt>
                <c:pt idx="213">
                  <c:v>3.7687801658084856</c:v>
                </c:pt>
                <c:pt idx="214">
                  <c:v>3.6683967427353368</c:v>
                </c:pt>
                <c:pt idx="215">
                  <c:v>3.5685706699853821</c:v>
                </c:pt>
                <c:pt idx="216">
                  <c:v>3.4692957317420152</c:v>
                </c:pt>
                <c:pt idx="217">
                  <c:v>3.3705658135720915</c:v>
                </c:pt>
                <c:pt idx="218">
                  <c:v>3.270142257910662</c:v>
                </c:pt>
                <c:pt idx="219">
                  <c:v>3.1702762366983501</c:v>
                </c:pt>
                <c:pt idx="220">
                  <c:v>3.0709615228644811</c:v>
                </c:pt>
                <c:pt idx="221">
                  <c:v>2.9721919910906722</c:v>
                </c:pt>
                <c:pt idx="222">
                  <c:v>2.8717778644625258</c:v>
                </c:pt>
                <c:pt idx="223">
                  <c:v>2.771920868773595</c:v>
                </c:pt>
                <c:pt idx="224">
                  <c:v>2.6726147756378626</c:v>
                </c:pt>
                <c:pt idx="225">
                  <c:v>2.5738534585694968</c:v>
                </c:pt>
                <c:pt idx="226">
                  <c:v>2.473189805722956</c:v>
                </c:pt>
                <c:pt idx="227">
                  <c:v>2.3730857084413768</c:v>
                </c:pt>
                <c:pt idx="228">
                  <c:v>2.2735348897393597</c:v>
                </c:pt>
                <c:pt idx="229">
                  <c:v>2.1745311757050709</c:v>
                </c:pt>
                <c:pt idx="230">
                  <c:v>1.9733919709213574</c:v>
                </c:pt>
                <c:pt idx="231">
                  <c:v>1.8736579210756248</c:v>
                </c:pt>
                <c:pt idx="232">
                  <c:v>1.7744725924894935</c:v>
                </c:pt>
                <c:pt idx="233">
                  <c:v>1.6734947547050187</c:v>
                </c:pt>
                <c:pt idx="234">
                  <c:v>1.5730791539326008</c:v>
                </c:pt>
                <c:pt idx="235">
                  <c:v>1.4732194522049826</c:v>
                </c:pt>
                <c:pt idx="236">
                  <c:v>1.3739094161814538</c:v>
                </c:pt>
                <c:pt idx="237">
                  <c:v>1.2731445406789161</c:v>
                </c:pt>
                <c:pt idx="238">
                  <c:v>1.1729390761400278</c:v>
                </c:pt>
                <c:pt idx="239">
                  <c:v>1.0732867243690738</c:v>
                </c:pt>
                <c:pt idx="240">
                  <c:v>0.97418129102603856</c:v>
                </c:pt>
                <c:pt idx="241">
                  <c:v>0.87310360304560863</c:v>
                </c:pt>
                <c:pt idx="242">
                  <c:v>0.77258828709009753</c:v>
                </c:pt>
                <c:pt idx="243">
                  <c:v>0.67262898719422703</c:v>
                </c:pt>
                <c:pt idx="244">
                  <c:v>0.5732194526153449</c:v>
                </c:pt>
                <c:pt idx="245">
                  <c:v>0.4721687116929596</c:v>
                </c:pt>
                <c:pt idx="246">
                  <c:v>0.37167949256507882</c:v>
                </c:pt>
                <c:pt idx="247">
                  <c:v>0.27174544582740051</c:v>
                </c:pt>
                <c:pt idx="248">
                  <c:v>0.17236032724785386</c:v>
                </c:pt>
                <c:pt idx="249">
                  <c:v>7.1113936572484604E-2</c:v>
                </c:pt>
                <c:pt idx="250">
                  <c:v>-2.9569358822296499E-2</c:v>
                </c:pt>
                <c:pt idx="251">
                  <c:v>-0.12969594280284022</c:v>
                </c:pt>
                <c:pt idx="252">
                  <c:v>-0.22927209320991371</c:v>
                </c:pt>
                <c:pt idx="253">
                  <c:v>-0.33039406034957952</c:v>
                </c:pt>
                <c:pt idx="254">
                  <c:v>-0.4309549517872025</c:v>
                </c:pt>
                <c:pt idx="255">
                  <c:v>-0.53096112496522285</c:v>
                </c:pt>
                <c:pt idx="256">
                  <c:v>-0.63041883179741509</c:v>
                </c:pt>
                <c:pt idx="257">
                  <c:v>-0.73188964347916874</c:v>
                </c:pt>
                <c:pt idx="258">
                  <c:v>-0.83279620232446949</c:v>
                </c:pt>
                <c:pt idx="259">
                  <c:v>-0.93314492757371226</c:v>
                </c:pt>
                <c:pt idx="260">
                  <c:v>-1.0329421314860507</c:v>
                </c:pt>
                <c:pt idx="261">
                  <c:v>-1.1344434569136159</c:v>
                </c:pt>
                <c:pt idx="262">
                  <c:v>-1.235380929409071</c:v>
                </c:pt>
                <c:pt idx="263">
                  <c:v>-1.3357609693195893</c:v>
                </c:pt>
                <c:pt idx="264">
                  <c:v>-1.4355898899046391</c:v>
                </c:pt>
                <c:pt idx="265">
                  <c:v>-1.5370740688397877</c:v>
                </c:pt>
                <c:pt idx="266">
                  <c:v>-1.6379953702786554</c:v>
                </c:pt>
                <c:pt idx="267">
                  <c:v>-1.7383602058920522</c:v>
                </c:pt>
                <c:pt idx="268">
                  <c:v>-1.8381748803753937</c:v>
                </c:pt>
                <c:pt idx="269">
                  <c:v>-1.9398367599459634</c:v>
                </c:pt>
                <c:pt idx="270">
                  <c:v>-2.0409346313792747</c:v>
                </c:pt>
                <c:pt idx="271">
                  <c:v>-2.1414749336275305</c:v>
                </c:pt>
                <c:pt idx="272">
                  <c:v>-2.2414639979830575</c:v>
                </c:pt>
                <c:pt idx="273">
                  <c:v>-2.3432469004894383</c:v>
                </c:pt>
                <c:pt idx="274">
                  <c:v>-2.4444653446735849</c:v>
                </c:pt>
                <c:pt idx="275">
                  <c:v>-2.5451257852684432</c:v>
                </c:pt>
                <c:pt idx="276">
                  <c:v>-2.6452345689195016</c:v>
                </c:pt>
                <c:pt idx="277">
                  <c:v>-2.7468568861200096</c:v>
                </c:pt>
                <c:pt idx="278">
                  <c:v>-2.8479174576891348</c:v>
                </c:pt>
                <c:pt idx="279">
                  <c:v>-2.9484227001252306</c:v>
                </c:pt>
                <c:pt idx="280">
                  <c:v>-3.0483789226163331</c:v>
                </c:pt>
                <c:pt idx="281">
                  <c:v>-3.1504777498834793</c:v>
                </c:pt>
                <c:pt idx="282">
                  <c:v>-3.2520105645354196</c:v>
                </c:pt>
                <c:pt idx="283">
                  <c:v>-3.3529838643988166</c:v>
                </c:pt>
                <c:pt idx="284">
                  <c:v>-3.4534040381033231</c:v>
                </c:pt>
                <c:pt idx="285">
                  <c:v>-3.5552474106924929</c:v>
                </c:pt>
                <c:pt idx="286">
                  <c:v>-3.6565286414675398</c:v>
                </c:pt>
                <c:pt idx="287">
                  <c:v>-3.7572541702207434</c:v>
                </c:pt>
                <c:pt idx="288">
                  <c:v>-3.8574303287703509</c:v>
                </c:pt>
                <c:pt idx="289">
                  <c:v>-3.9596329092574294</c:v>
                </c:pt>
                <c:pt idx="290">
                  <c:v>-4.0612704973566762</c:v>
                </c:pt>
                <c:pt idx="291">
                  <c:v>-4.1623495902473993</c:v>
                </c:pt>
                <c:pt idx="292">
                  <c:v>-4.2628765757827516</c:v>
                </c:pt>
                <c:pt idx="293">
                  <c:v>-4.3651618207609122</c:v>
                </c:pt>
                <c:pt idx="294">
                  <c:v>-4.4668823334485435</c:v>
                </c:pt>
                <c:pt idx="295">
                  <c:v>-4.5680446151644007</c:v>
                </c:pt>
                <c:pt idx="296">
                  <c:v>-4.668655057738162</c:v>
                </c:pt>
                <c:pt idx="297">
                  <c:v>-4.7709738863420519</c:v>
                </c:pt>
                <c:pt idx="298">
                  <c:v>-4.8727288437913927</c:v>
                </c:pt>
                <c:pt idx="299">
                  <c:v>-4.973926425303782</c:v>
                </c:pt>
                <c:pt idx="300">
                  <c:v>-5.0745730166752185</c:v>
                </c:pt>
                <c:pt idx="301">
                  <c:v>-5.1768798808098886</c:v>
                </c:pt>
                <c:pt idx="302">
                  <c:v>-5.2786242950789033</c:v>
                </c:pt>
                <c:pt idx="303">
                  <c:v>-5.3798127390493686</c:v>
                </c:pt>
                <c:pt idx="304">
                  <c:v>-5.4804515831471265</c:v>
                </c:pt>
                <c:pt idx="305">
                  <c:v>-5.5830964968793833</c:v>
                </c:pt>
                <c:pt idx="306">
                  <c:v>-5.6851766076664942</c:v>
                </c:pt>
                <c:pt idx="307">
                  <c:v>-5.7866984446868699</c:v>
                </c:pt>
                <c:pt idx="308">
                  <c:v>-5.887668426796858</c:v>
                </c:pt>
                <c:pt idx="309">
                  <c:v>-5.9902032647429877</c:v>
                </c:pt>
                <c:pt idx="310">
                  <c:v>-6.0921759288261335</c:v>
                </c:pt>
                <c:pt idx="311">
                  <c:v>-6.1935929119425275</c:v>
                </c:pt>
                <c:pt idx="312">
                  <c:v>-6.2944605974114607</c:v>
                </c:pt>
                <c:pt idx="313">
                  <c:v>-6.3972254729403835</c:v>
                </c:pt>
                <c:pt idx="314">
                  <c:v>-6.499427147387868</c:v>
                </c:pt>
                <c:pt idx="315">
                  <c:v>-6.6010721407031809</c:v>
                </c:pt>
                <c:pt idx="316">
                  <c:v>-6.7021668625812545</c:v>
                </c:pt>
                <c:pt idx="317">
                  <c:v>-6.8051051015912236</c:v>
                </c:pt>
                <c:pt idx="318">
                  <c:v>-6.9074798073233765</c:v>
                </c:pt>
                <c:pt idx="319">
                  <c:v>-7.0092975149641497</c:v>
                </c:pt>
                <c:pt idx="320">
                  <c:v>-7.1105646490315646</c:v>
                </c:pt>
                <c:pt idx="321">
                  <c:v>-7.2136234926184777</c:v>
                </c:pt>
                <c:pt idx="322">
                  <c:v>-7.3161191225438751</c:v>
                </c:pt>
                <c:pt idx="323">
                  <c:v>-7.4180580781037904</c:v>
                </c:pt>
                <c:pt idx="324">
                  <c:v>-7.5194467877610585</c:v>
                </c:pt>
                <c:pt idx="325">
                  <c:v>-7.622577225966217</c:v>
                </c:pt>
                <c:pt idx="326">
                  <c:v>-7.7251453793741707</c:v>
                </c:pt>
                <c:pt idx="327">
                  <c:v>-7.8271577809600279</c:v>
                </c:pt>
                <c:pt idx="328">
                  <c:v>-7.9286208529345039</c:v>
                </c:pt>
                <c:pt idx="329">
                  <c:v>-8.0319494884527742</c:v>
                </c:pt>
                <c:pt idx="330">
                  <c:v>-8.1347154694936528</c:v>
                </c:pt>
                <c:pt idx="331">
                  <c:v>-8.236925345447581</c:v>
                </c:pt>
                <c:pt idx="332">
                  <c:v>-8.3385855544950722</c:v>
                </c:pt>
                <c:pt idx="333">
                  <c:v>-8.4418909719280357</c:v>
                </c:pt>
                <c:pt idx="334">
                  <c:v>-8.5446358476390376</c:v>
                </c:pt>
                <c:pt idx="335">
                  <c:v>-8.6468267043828426</c:v>
                </c:pt>
                <c:pt idx="336">
                  <c:v>-8.748469954229348</c:v>
                </c:pt>
                <c:pt idx="337">
                  <c:v>-8.8520431464518765</c:v>
                </c:pt>
                <c:pt idx="338">
                  <c:v>-8.9550548392141707</c:v>
                </c:pt>
                <c:pt idx="339">
                  <c:v>-9.0575115822606627</c:v>
                </c:pt>
                <c:pt idx="340">
                  <c:v>-9.1594198139612431</c:v>
                </c:pt>
                <c:pt idx="341">
                  <c:v>-9.2632042999685176</c:v>
                </c:pt>
                <c:pt idx="342">
                  <c:v>-9.36642703073246</c:v>
                </c:pt>
                <c:pt idx="343">
                  <c:v>-9.4690945709709897</c:v>
                </c:pt>
                <c:pt idx="344">
                  <c:v>-9.5712133736070975</c:v>
                </c:pt>
                <c:pt idx="345">
                  <c:v>-9.6749988482479594</c:v>
                </c:pt>
                <c:pt idx="346">
                  <c:v>-9.7782246673007656</c:v>
                </c:pt>
                <c:pt idx="347">
                  <c:v>-9.8808973694472151</c:v>
                </c:pt>
                <c:pt idx="348">
                  <c:v>-9.9830233820777607</c:v>
                </c:pt>
                <c:pt idx="349">
                  <c:v>-10.087080024326308</c:v>
                </c:pt>
                <c:pt idx="350">
                  <c:v>-10.190576290749769</c:v>
                </c:pt>
                <c:pt idx="351">
                  <c:v>-10.293518743433538</c:v>
                </c:pt>
                <c:pt idx="352">
                  <c:v>-10.395913832553667</c:v>
                </c:pt>
                <c:pt idx="353">
                  <c:v>-10.500186453070878</c:v>
                </c:pt>
                <c:pt idx="354">
                  <c:v>-10.603898669090004</c:v>
                </c:pt>
                <c:pt idx="355">
                  <c:v>-10.707057054190468</c:v>
                </c:pt>
                <c:pt idx="356">
                  <c:v>-10.809668069688064</c:v>
                </c:pt>
                <c:pt idx="357">
                  <c:v>-10.913957451230885</c:v>
                </c:pt>
                <c:pt idx="358">
                  <c:v>-11.01768862670408</c:v>
                </c:pt>
                <c:pt idx="359">
                  <c:v>-11.120868142238491</c:v>
                </c:pt>
                <c:pt idx="360">
                  <c:v>-11.223502432227836</c:v>
                </c:pt>
                <c:pt idx="361">
                  <c:v>-11.328060079126699</c:v>
                </c:pt>
                <c:pt idx="362">
                  <c:v>-11.432059125713216</c:v>
                </c:pt>
                <c:pt idx="363">
                  <c:v>-11.535506136268516</c:v>
                </c:pt>
                <c:pt idx="364">
                  <c:v>-11.638407562823339</c:v>
                </c:pt>
                <c:pt idx="365">
                  <c:v>-11.743038386110214</c:v>
                </c:pt>
                <c:pt idx="366">
                  <c:v>-11.847112393433044</c:v>
                </c:pt>
                <c:pt idx="367">
                  <c:v>-11.950636129054606</c:v>
                </c:pt>
                <c:pt idx="368">
                  <c:v>-12.053616025335733</c:v>
                </c:pt>
                <c:pt idx="369">
                  <c:v>-12.158557108662574</c:v>
                </c:pt>
                <c:pt idx="370">
                  <c:v>-12.262940744048681</c:v>
                </c:pt>
                <c:pt idx="371">
                  <c:v>-12.36677349832126</c:v>
                </c:pt>
                <c:pt idx="372">
                  <c:v>-12.470061825780331</c:v>
                </c:pt>
                <c:pt idx="373">
                  <c:v>-12.575122566800918</c:v>
                </c:pt>
                <c:pt idx="374">
                  <c:v>-12.67962735461011</c:v>
                </c:pt>
                <c:pt idx="375">
                  <c:v>-12.783582741230253</c:v>
                </c:pt>
                <c:pt idx="376">
                  <c:v>-12.886995166376154</c:v>
                </c:pt>
                <c:pt idx="377">
                  <c:v>-12.992399439218854</c:v>
                </c:pt>
                <c:pt idx="378">
                  <c:v>-13.097246998061667</c:v>
                </c:pt>
                <c:pt idx="379">
                  <c:v>-13.201544419957198</c:v>
                </c:pt>
                <c:pt idx="380">
                  <c:v>-13.305298168954824</c:v>
                </c:pt>
                <c:pt idx="381">
                  <c:v>-13.410729852444545</c:v>
                </c:pt>
                <c:pt idx="382">
                  <c:v>-13.515607498590033</c:v>
                </c:pt>
                <c:pt idx="383">
                  <c:v>-13.619937648797048</c:v>
                </c:pt>
                <c:pt idx="384">
                  <c:v>-13.723726732150752</c:v>
                </c:pt>
                <c:pt idx="385">
                  <c:v>-13.829533298243931</c:v>
                </c:pt>
                <c:pt idx="386">
                  <c:v>-13.934784966340221</c:v>
                </c:pt>
                <c:pt idx="387">
                  <c:v>-14.03948830468684</c:v>
                </c:pt>
                <c:pt idx="388">
                  <c:v>-14.143649768457776</c:v>
                </c:pt>
                <c:pt idx="389">
                  <c:v>-14.24965022390117</c:v>
                </c:pt>
                <c:pt idx="390">
                  <c:v>-14.355096934221475</c:v>
                </c:pt>
                <c:pt idx="391">
                  <c:v>-14.459996458875304</c:v>
                </c:pt>
                <c:pt idx="392">
                  <c:v>-14.564355244299225</c:v>
                </c:pt>
                <c:pt idx="393">
                  <c:v>-14.670505292370164</c:v>
                </c:pt>
                <c:pt idx="394">
                  <c:v>-14.776103319070078</c:v>
                </c:pt>
                <c:pt idx="395">
                  <c:v>-14.88115586485007</c:v>
                </c:pt>
                <c:pt idx="396">
                  <c:v>-14.985669357421756</c:v>
                </c:pt>
                <c:pt idx="397">
                  <c:v>-15.092167931195776</c:v>
                </c:pt>
                <c:pt idx="398">
                  <c:v>-15.198114259619956</c:v>
                </c:pt>
                <c:pt idx="399">
                  <c:v>-15.303514898550453</c:v>
                </c:pt>
                <c:pt idx="400">
                  <c:v>-15.408376290585226</c:v>
                </c:pt>
                <c:pt idx="401">
                  <c:v>-15.515053710258302</c:v>
                </c:pt>
                <c:pt idx="402">
                  <c:v>-15.621180537023145</c:v>
                </c:pt>
                <c:pt idx="403">
                  <c:v>-15.726763308686532</c:v>
                </c:pt>
                <c:pt idx="404">
                  <c:v>-15.831808450037403</c:v>
                </c:pt>
                <c:pt idx="405">
                  <c:v>-15.938738530756194</c:v>
                </c:pt>
                <c:pt idx="406">
                  <c:v>-16.045119025698277</c:v>
                </c:pt>
                <c:pt idx="407">
                  <c:v>-16.150956465853405</c:v>
                </c:pt>
                <c:pt idx="408">
                  <c:v>-16.256257269166614</c:v>
                </c:pt>
                <c:pt idx="409">
                  <c:v>-16.363507813902448</c:v>
                </c:pt>
                <c:pt idx="410">
                  <c:v>-16.470209208062556</c:v>
                </c:pt>
                <c:pt idx="411">
                  <c:v>-16.576367985728758</c:v>
                </c:pt>
                <c:pt idx="412">
                  <c:v>-16.681990567671463</c:v>
                </c:pt>
                <c:pt idx="413">
                  <c:v>-16.78951331946072</c:v>
                </c:pt>
                <c:pt idx="414">
                  <c:v>-16.896487974209332</c:v>
                </c:pt>
                <c:pt idx="415">
                  <c:v>-17.002921057775712</c:v>
                </c:pt>
                <c:pt idx="416">
                  <c:v>-17.108818982690238</c:v>
                </c:pt>
                <c:pt idx="417">
                  <c:v>-17.216677558477787</c:v>
                </c:pt>
                <c:pt idx="418">
                  <c:v>-17.323988568960026</c:v>
                </c:pt>
                <c:pt idx="419">
                  <c:v>-17.430758540685073</c:v>
                </c:pt>
                <c:pt idx="420">
                  <c:v>-17.53699388663842</c:v>
                </c:pt>
                <c:pt idx="421">
                  <c:v>-17.645034572224539</c:v>
                </c:pt>
                <c:pt idx="422">
                  <c:v>-17.752529900868371</c:v>
                </c:pt>
                <c:pt idx="423">
                  <c:v>-17.859486369472389</c:v>
                </c:pt>
                <c:pt idx="424">
                  <c:v>-17.965910361832652</c:v>
                </c:pt>
                <c:pt idx="425">
                  <c:v>-18.074407323297599</c:v>
                </c:pt>
                <c:pt idx="426">
                  <c:v>-18.182358497040291</c:v>
                </c:pt>
                <c:pt idx="427">
                  <c:v>-18.289770396841277</c:v>
                </c:pt>
                <c:pt idx="428">
                  <c:v>-18.396649422740985</c:v>
                </c:pt>
                <c:pt idx="429">
                  <c:v>-18.505447632350261</c:v>
                </c:pt>
                <c:pt idx="430">
                  <c:v>-18.613701312287795</c:v>
                </c:pt>
                <c:pt idx="431">
                  <c:v>-18.721416962502005</c:v>
                </c:pt>
                <c:pt idx="432">
                  <c:v>-18.828600969265004</c:v>
                </c:pt>
                <c:pt idx="433">
                  <c:v>-18.93765717775516</c:v>
                </c:pt>
                <c:pt idx="434">
                  <c:v>-19.046170663800183</c:v>
                </c:pt>
                <c:pt idx="435">
                  <c:v>-19.154147903023862</c:v>
                </c:pt>
                <c:pt idx="436">
                  <c:v>-19.261595257670049</c:v>
                </c:pt>
                <c:pt idx="437">
                  <c:v>-19.371065446017358</c:v>
                </c:pt>
                <c:pt idx="438">
                  <c:v>-19.479993291010604</c:v>
                </c:pt>
                <c:pt idx="439">
                  <c:v>-19.58838526866705</c:v>
                </c:pt>
                <c:pt idx="440">
                  <c:v>-19.696247741331543</c:v>
                </c:pt>
                <c:pt idx="441">
                  <c:v>-19.806083744216053</c:v>
                </c:pt>
                <c:pt idx="442">
                  <c:v>-19.915378386655068</c:v>
                </c:pt>
                <c:pt idx="443">
                  <c:v>-20.024138133420344</c:v>
                </c:pt>
                <c:pt idx="444">
                  <c:v>-20.132369335575746</c:v>
                </c:pt>
                <c:pt idx="445">
                  <c:v>-20.242526560707766</c:v>
                </c:pt>
                <c:pt idx="446">
                  <c:v>-20.352143964753125</c:v>
                </c:pt>
                <c:pt idx="447">
                  <c:v>-20.461227990340312</c:v>
                </c:pt>
                <c:pt idx="448">
                  <c:v>-20.569784966595677</c:v>
                </c:pt>
                <c:pt idx="449">
                  <c:v>-20.680406891342461</c:v>
                </c:pt>
                <c:pt idx="450">
                  <c:v>-20.790489250730229</c:v>
                </c:pt>
                <c:pt idx="451">
                  <c:v>-20.900038487095266</c:v>
                </c:pt>
                <c:pt idx="452">
                  <c:v>-21.009060928952291</c:v>
                </c:pt>
                <c:pt idx="453">
                  <c:v>-21.12000833404894</c:v>
                </c:pt>
                <c:pt idx="454">
                  <c:v>-21.230417902480344</c:v>
                </c:pt>
                <c:pt idx="455">
                  <c:v>-21.34029604882716</c:v>
                </c:pt>
                <c:pt idx="456">
                  <c:v>-21.449649074159428</c:v>
                </c:pt>
                <c:pt idx="457">
                  <c:v>-21.561059720850203</c:v>
                </c:pt>
                <c:pt idx="458">
                  <c:v>-21.671933037545628</c:v>
                </c:pt>
                <c:pt idx="459">
                  <c:v>-21.78227543159047</c:v>
                </c:pt>
                <c:pt idx="460">
                  <c:v>-21.892093196632519</c:v>
                </c:pt>
                <c:pt idx="461">
                  <c:v>-22.003920132740976</c:v>
                </c:pt>
                <c:pt idx="462">
                  <c:v>-22.115210811546739</c:v>
                </c:pt>
                <c:pt idx="463">
                  <c:v>-22.225971621660833</c:v>
                </c:pt>
                <c:pt idx="464">
                  <c:v>-22.336208838069677</c:v>
                </c:pt>
                <c:pt idx="465">
                  <c:v>-22.44849402567008</c:v>
                </c:pt>
                <c:pt idx="466">
                  <c:v>-22.56024373423157</c:v>
                </c:pt>
                <c:pt idx="467">
                  <c:v>-22.6714643373546</c:v>
                </c:pt>
                <c:pt idx="468">
                  <c:v>-22.782162094985576</c:v>
                </c:pt>
                <c:pt idx="469">
                  <c:v>-22.894860382461388</c:v>
                </c:pt>
                <c:pt idx="470">
                  <c:v>-23.007024500015085</c:v>
                </c:pt>
                <c:pt idx="471">
                  <c:v>-23.118660795148777</c:v>
                </c:pt>
                <c:pt idx="472">
                  <c:v>-23.229775501931389</c:v>
                </c:pt>
                <c:pt idx="473">
                  <c:v>-23.343009667542471</c:v>
                </c:pt>
                <c:pt idx="474">
                  <c:v>-23.45570990920594</c:v>
                </c:pt>
                <c:pt idx="475">
                  <c:v>-23.567882565445263</c:v>
                </c:pt>
                <c:pt idx="476">
                  <c:v>-23.679533861152933</c:v>
                </c:pt>
                <c:pt idx="477">
                  <c:v>-23.793255904319089</c:v>
                </c:pt>
                <c:pt idx="478">
                  <c:v>-23.90644481934789</c:v>
                </c:pt>
                <c:pt idx="479">
                  <c:v>-24.019106924102683</c:v>
                </c:pt>
                <c:pt idx="480">
                  <c:v>-24.131248422883985</c:v>
                </c:pt>
                <c:pt idx="481">
                  <c:v>-24.245413664052784</c:v>
                </c:pt>
                <c:pt idx="482">
                  <c:v>-24.359047073539102</c:v>
                </c:pt>
                <c:pt idx="483">
                  <c:v>-24.472154937660846</c:v>
                </c:pt>
                <c:pt idx="484">
                  <c:v>-24.584743429492313</c:v>
                </c:pt>
                <c:pt idx="485">
                  <c:v>-24.699388169137734</c:v>
                </c:pt>
                <c:pt idx="486">
                  <c:v>-24.813502108171704</c:v>
                </c:pt>
                <c:pt idx="487">
                  <c:v>-24.927091503937714</c:v>
                </c:pt>
                <c:pt idx="488">
                  <c:v>-25.040162500785193</c:v>
                </c:pt>
                <c:pt idx="489">
                  <c:v>-25.155396724249741</c:v>
                </c:pt>
                <c:pt idx="490">
                  <c:v>-25.2701002349745</c:v>
                </c:pt>
                <c:pt idx="491">
                  <c:v>-25.384279275660042</c:v>
                </c:pt>
                <c:pt idx="492">
                  <c:v>-25.497939975910647</c:v>
                </c:pt>
                <c:pt idx="493">
                  <c:v>-25.613715409825339</c:v>
                </c:pt>
                <c:pt idx="494">
                  <c:v>-25.728960731974727</c:v>
                </c:pt>
                <c:pt idx="495">
                  <c:v>-25.84368215894181</c:v>
                </c:pt>
                <c:pt idx="496">
                  <c:v>-25.957885794381244</c:v>
                </c:pt>
                <c:pt idx="497">
                  <c:v>-26.074231011562915</c:v>
                </c:pt>
                <c:pt idx="498">
                  <c:v>-26.190046513261194</c:v>
                </c:pt>
                <c:pt idx="499">
                  <c:v>-26.305338490979317</c:v>
                </c:pt>
                <c:pt idx="500">
                  <c:v>-26.420113023430964</c:v>
                </c:pt>
                <c:pt idx="501">
                  <c:v>-26.537054252884946</c:v>
                </c:pt>
                <c:pt idx="502">
                  <c:v>-26.653465973992617</c:v>
                </c:pt>
                <c:pt idx="503">
                  <c:v>-26.769354353792231</c:v>
                </c:pt>
                <c:pt idx="504">
                  <c:v>-26.884725446653853</c:v>
                </c:pt>
                <c:pt idx="505">
                  <c:v>-27.00221559925275</c:v>
                </c:pt>
                <c:pt idx="506">
                  <c:v>-27.119176912574648</c:v>
                </c:pt>
                <c:pt idx="507">
                  <c:v>-27.235615518369659</c:v>
                </c:pt>
                <c:pt idx="508">
                  <c:v>-27.351537436105762</c:v>
                </c:pt>
                <c:pt idx="509">
                  <c:v>-27.469602166404528</c:v>
                </c:pt>
                <c:pt idx="510">
                  <c:v>-27.587138517576722</c:v>
                </c:pt>
                <c:pt idx="511">
                  <c:v>-27.704152586865419</c:v>
                </c:pt>
                <c:pt idx="512">
                  <c:v>-27.820650359602329</c:v>
                </c:pt>
                <c:pt idx="513">
                  <c:v>-27.939381709246188</c:v>
                </c:pt>
                <c:pt idx="514">
                  <c:v>-28.057584334197678</c:v>
                </c:pt>
                <c:pt idx="515">
                  <c:v>-28.175264308087137</c:v>
                </c:pt>
                <c:pt idx="516">
                  <c:v>-28.292427592744581</c:v>
                </c:pt>
                <c:pt idx="517">
                  <c:v>-28.411775885751148</c:v>
                </c:pt>
                <c:pt idx="518">
                  <c:v>-28.53059555744171</c:v>
                </c:pt>
                <c:pt idx="519">
                  <c:v>-28.648892646997311</c:v>
                </c:pt>
                <c:pt idx="520">
                  <c:v>-28.766673082183672</c:v>
                </c:pt>
                <c:pt idx="521">
                  <c:v>-28.88665769025803</c:v>
                </c:pt>
                <c:pt idx="522">
                  <c:v>-29.006113599836137</c:v>
                </c:pt>
                <c:pt idx="523">
                  <c:v>-29.125046815584849</c:v>
                </c:pt>
                <c:pt idx="524">
                  <c:v>-29.243463231156362</c:v>
                </c:pt>
                <c:pt idx="525">
                  <c:v>-29.364101557075802</c:v>
                </c:pt>
                <c:pt idx="526">
                  <c:v>-29.484210933193317</c:v>
                </c:pt>
                <c:pt idx="527">
                  <c:v>-29.603797329394492</c:v>
                </c:pt>
                <c:pt idx="528">
                  <c:v>-29.722866604973358</c:v>
                </c:pt>
                <c:pt idx="529">
                  <c:v>-29.844174145908209</c:v>
                </c:pt>
                <c:pt idx="530">
                  <c:v>-29.964952316573964</c:v>
                </c:pt>
                <c:pt idx="531">
                  <c:v>-30.085207051645536</c:v>
                </c:pt>
                <c:pt idx="532">
                  <c:v>-30.204944175661225</c:v>
                </c:pt>
                <c:pt idx="533">
                  <c:v>-30.326997420180177</c:v>
                </c:pt>
                <c:pt idx="534">
                  <c:v>-30.448520164198349</c:v>
                </c:pt>
                <c:pt idx="535">
                  <c:v>-30.569518315685073</c:v>
                </c:pt>
                <c:pt idx="536">
                  <c:v>-30.689997672741455</c:v>
                </c:pt>
                <c:pt idx="537">
                  <c:v>-30.812681705221621</c:v>
                </c:pt>
                <c:pt idx="538">
                  <c:v>-30.934835044477396</c:v>
                </c:pt>
                <c:pt idx="539">
                  <c:v>-31.056463552806093</c:v>
                </c:pt>
                <c:pt idx="540">
                  <c:v>-31.177572983403429</c:v>
                </c:pt>
                <c:pt idx="541">
                  <c:v>-31.301022540280616</c:v>
                </c:pt>
                <c:pt idx="542">
                  <c:v>-31.423939971749611</c:v>
                </c:pt>
                <c:pt idx="543">
                  <c:v>-31.546331111582898</c:v>
                </c:pt>
                <c:pt idx="544">
                  <c:v>-31.668201684826734</c:v>
                </c:pt>
                <c:pt idx="545">
                  <c:v>-31.792362348683817</c:v>
                </c:pt>
                <c:pt idx="546">
                  <c:v>-31.91598983784845</c:v>
                </c:pt>
                <c:pt idx="547">
                  <c:v>-32.039089947883049</c:v>
                </c:pt>
                <c:pt idx="548">
                  <c:v>-32.161668366277468</c:v>
                </c:pt>
                <c:pt idx="549">
                  <c:v>-32.286546864328038</c:v>
                </c:pt>
                <c:pt idx="550">
                  <c:v>-32.410890976836541</c:v>
                </c:pt>
                <c:pt idx="551">
                  <c:v>-32.534706460514712</c:v>
                </c:pt>
                <c:pt idx="552">
                  <c:v>-32.657998964712249</c:v>
                </c:pt>
                <c:pt idx="553">
                  <c:v>-32.783658029984508</c:v>
                </c:pt>
                <c:pt idx="554">
                  <c:v>-32.908780846415084</c:v>
                </c:pt>
                <c:pt idx="555">
                  <c:v>-33.033373139104491</c:v>
                </c:pt>
                <c:pt idx="556">
                  <c:v>-33.15744052637119</c:v>
                </c:pt>
                <c:pt idx="557">
                  <c:v>-33.409782530945847</c:v>
                </c:pt>
                <c:pt idx="558">
                  <c:v>-33.659994217747283</c:v>
                </c:pt>
                <c:pt idx="559">
                  <c:v>-33.913783126974593</c:v>
                </c:pt>
                <c:pt idx="560">
                  <c:v>-34.165434913927903</c:v>
                </c:pt>
                <c:pt idx="561">
                  <c:v>-34.420889458348732</c:v>
                </c:pt>
                <c:pt idx="562">
                  <c:v>-34.674195762968402</c:v>
                </c:pt>
                <c:pt idx="563">
                  <c:v>-34.93076542885926</c:v>
                </c:pt>
                <c:pt idx="564">
                  <c:v>-35.185184231565586</c:v>
                </c:pt>
                <c:pt idx="565">
                  <c:v>-35.443829358853463</c:v>
                </c:pt>
                <c:pt idx="566">
                  <c:v>-35.700304197213882</c:v>
                </c:pt>
                <c:pt idx="567">
                  <c:v>-35.960880033526543</c:v>
                </c:pt>
                <c:pt idx="568">
                  <c:v>-36.219267787025146</c:v>
                </c:pt>
                <c:pt idx="569">
                  <c:v>-36.480613923153022</c:v>
                </c:pt>
                <c:pt idx="570">
                  <c:v>-36.739772686531083</c:v>
                </c:pt>
                <c:pt idx="571">
                  <c:v>-37.003812078499585</c:v>
                </c:pt>
                <c:pt idx="572">
                  <c:v>-37.265631784462734</c:v>
                </c:pt>
                <c:pt idx="573">
                  <c:v>-37.53020881009089</c:v>
                </c:pt>
                <c:pt idx="574">
                  <c:v>-37.792568898419397</c:v>
                </c:pt>
                <c:pt idx="575">
                  <c:v>-38.059546682216677</c:v>
                </c:pt>
                <c:pt idx="576">
                  <c:v>-38.324278120918528</c:v>
                </c:pt>
                <c:pt idx="577">
                  <c:v>-39.421101420270091</c:v>
                </c:pt>
                <c:pt idx="578">
                  <c:v>-40.481326401924413</c:v>
                </c:pt>
                <c:pt idx="579">
                  <c:v>-42.688703096101335</c:v>
                </c:pt>
                <c:pt idx="580">
                  <c:v>-44.948672426571086</c:v>
                </c:pt>
                <c:pt idx="581">
                  <c:v>-47.255442668427669</c:v>
                </c:pt>
                <c:pt idx="582">
                  <c:v>-49.606778020282761</c:v>
                </c:pt>
                <c:pt idx="583">
                  <c:v>-51.996248629827832</c:v>
                </c:pt>
                <c:pt idx="584">
                  <c:v>-54.420215934504519</c:v>
                </c:pt>
                <c:pt idx="585">
                  <c:v>-56.871393112295145</c:v>
                </c:pt>
                <c:pt idx="586">
                  <c:v>-59.344061450250791</c:v>
                </c:pt>
                <c:pt idx="587">
                  <c:v>-61.833619840559024</c:v>
                </c:pt>
                <c:pt idx="588">
                  <c:v>-64.332157902981578</c:v>
                </c:pt>
                <c:pt idx="589">
                  <c:v>-66.836757134269959</c:v>
                </c:pt>
                <c:pt idx="590">
                  <c:v>-69.342296071346993</c:v>
                </c:pt>
                <c:pt idx="591">
                  <c:v>-71.84563432810431</c:v>
                </c:pt>
                <c:pt idx="592">
                  <c:v>-74.343893636514451</c:v>
                </c:pt>
                <c:pt idx="593">
                  <c:v>-76.83604112968888</c:v>
                </c:pt>
                <c:pt idx="594">
                  <c:v>-79.320321374165829</c:v>
                </c:pt>
                <c:pt idx="595">
                  <c:v>-81.796703446040965</c:v>
                </c:pt>
                <c:pt idx="596">
                  <c:v>-84.264594754146614</c:v>
                </c:pt>
                <c:pt idx="597">
                  <c:v>-86.724758531340484</c:v>
                </c:pt>
                <c:pt idx="598">
                  <c:v>-89.177044253428818</c:v>
                </c:pt>
                <c:pt idx="599">
                  <c:v>-91.622671277779602</c:v>
                </c:pt>
                <c:pt idx="600">
                  <c:v>-94.061925673189378</c:v>
                </c:pt>
                <c:pt idx="604">
                  <c:v>7.1113936572484604E-2</c:v>
                </c:pt>
              </c:numCache>
            </c:numRef>
          </c:yVal>
          <c:smooth val="0"/>
          <c:extLst>
            <c:ext xmlns:c16="http://schemas.microsoft.com/office/drawing/2014/chart" uri="{C3380CC4-5D6E-409C-BE32-E72D297353CC}">
              <c16:uniqueId val="{00000003-4362-43AB-BDC1-536058DC7619}"/>
            </c:ext>
          </c:extLst>
        </c:ser>
        <c:dLbls>
          <c:showLegendKey val="0"/>
          <c:showVal val="0"/>
          <c:showCatName val="0"/>
          <c:showSerName val="0"/>
          <c:showPercent val="0"/>
          <c:showBubbleSize val="0"/>
        </c:dLbls>
        <c:axId val="196940928"/>
        <c:axId val="196942848"/>
      </c:scatterChart>
      <c:scatterChart>
        <c:scatterStyle val="lineMarker"/>
        <c:varyColors val="0"/>
        <c:ser>
          <c:idx val="1"/>
          <c:order val="4"/>
          <c:tx>
            <c:strRef>
              <c:f>'Stability Calculations'!$AH$12</c:f>
              <c:strCache>
                <c:ptCount val="1"/>
                <c:pt idx="0">
                  <c:v>:Loop Phase Margin (°)</c:v>
                </c:pt>
              </c:strCache>
            </c:strRef>
          </c:tx>
          <c:spPr>
            <a:ln w="25400">
              <a:solidFill>
                <a:srgbClr val="0000FF"/>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Calculations'!$AH$13:$AH$617</c:f>
              <c:numCache>
                <c:formatCode>0.0000</c:formatCode>
                <c:ptCount val="605"/>
                <c:pt idx="0">
                  <c:v>-77.530402730183383</c:v>
                </c:pt>
                <c:pt idx="1">
                  <c:v>-77.969229255975534</c:v>
                </c:pt>
                <c:pt idx="2">
                  <c:v>-78.310007422163778</c:v>
                </c:pt>
                <c:pt idx="3">
                  <c:v>-78.554920820794152</c:v>
                </c:pt>
                <c:pt idx="4">
                  <c:v>-78.705503285199157</c:v>
                </c:pt>
                <c:pt idx="5">
                  <c:v>-78.762958211122751</c:v>
                </c:pt>
                <c:pt idx="6">
                  <c:v>-78.727516059452398</c:v>
                </c:pt>
                <c:pt idx="7">
                  <c:v>-78.598963598407991</c:v>
                </c:pt>
                <c:pt idx="8">
                  <c:v>-78.37661303198783</c:v>
                </c:pt>
                <c:pt idx="9">
                  <c:v>-78.058923491249374</c:v>
                </c:pt>
                <c:pt idx="10">
                  <c:v>-77.644117083171679</c:v>
                </c:pt>
                <c:pt idx="11">
                  <c:v>-77.129710669171544</c:v>
                </c:pt>
                <c:pt idx="12">
                  <c:v>-76.512430361976271</c:v>
                </c:pt>
                <c:pt idx="13">
                  <c:v>-75.789526355297852</c:v>
                </c:pt>
                <c:pt idx="14">
                  <c:v>-74.956788343029046</c:v>
                </c:pt>
                <c:pt idx="15">
                  <c:v>-74.01064191120004</c:v>
                </c:pt>
                <c:pt idx="16">
                  <c:v>-72.947126855548589</c:v>
                </c:pt>
                <c:pt idx="17">
                  <c:v>-71.76267883212941</c:v>
                </c:pt>
                <c:pt idx="18">
                  <c:v>-70.453608313046388</c:v>
                </c:pt>
                <c:pt idx="19">
                  <c:v>-69.017603369304993</c:v>
                </c:pt>
                <c:pt idx="20">
                  <c:v>-67.452748765227852</c:v>
                </c:pt>
                <c:pt idx="21">
                  <c:v>-65.759135351307151</c:v>
                </c:pt>
                <c:pt idx="22">
                  <c:v>-63.937975316714244</c:v>
                </c:pt>
                <c:pt idx="23">
                  <c:v>-61.993510965881775</c:v>
                </c:pt>
                <c:pt idx="24">
                  <c:v>-59.931626989911898</c:v>
                </c:pt>
                <c:pt idx="25">
                  <c:v>-57.761895702770396</c:v>
                </c:pt>
                <c:pt idx="26">
                  <c:v>-55.49612835848037</c:v>
                </c:pt>
                <c:pt idx="27">
                  <c:v>-53.150456492759886</c:v>
                </c:pt>
                <c:pt idx="28">
                  <c:v>-50.743108425147312</c:v>
                </c:pt>
                <c:pt idx="29">
                  <c:v>-48.296367580943375</c:v>
                </c:pt>
                <c:pt idx="30">
                  <c:v>-45.828627398729694</c:v>
                </c:pt>
                <c:pt idx="31">
                  <c:v>-43.366864226160772</c:v>
                </c:pt>
                <c:pt idx="32">
                  <c:v>-40.933058899455233</c:v>
                </c:pt>
                <c:pt idx="33">
                  <c:v>-38.551761906300101</c:v>
                </c:pt>
                <c:pt idx="34">
                  <c:v>-36.242327538990416</c:v>
                </c:pt>
                <c:pt idx="35">
                  <c:v>-34.024970634748314</c:v>
                </c:pt>
                <c:pt idx="36">
                  <c:v>-31.91547514925718</c:v>
                </c:pt>
                <c:pt idx="37">
                  <c:v>-29.925988232580082</c:v>
                </c:pt>
                <c:pt idx="38">
                  <c:v>-28.06865189484262</c:v>
                </c:pt>
                <c:pt idx="39">
                  <c:v>-26.349398733199401</c:v>
                </c:pt>
                <c:pt idx="40">
                  <c:v>-24.773901381431887</c:v>
                </c:pt>
                <c:pt idx="41">
                  <c:v>-23.344871922042827</c:v>
                </c:pt>
                <c:pt idx="42">
                  <c:v>-22.0636440244641</c:v>
                </c:pt>
                <c:pt idx="43">
                  <c:v>-20.929729541410978</c:v>
                </c:pt>
                <c:pt idx="44">
                  <c:v>-19.942433724625513</c:v>
                </c:pt>
                <c:pt idx="45">
                  <c:v>-19.100008826739931</c:v>
                </c:pt>
                <c:pt idx="46">
                  <c:v>-18.400845425570076</c:v>
                </c:pt>
                <c:pt idx="47">
                  <c:v>-17.843044132980534</c:v>
                </c:pt>
                <c:pt idx="48">
                  <c:v>-17.425229490945259</c:v>
                </c:pt>
                <c:pt idx="49">
                  <c:v>-17.146200266487977</c:v>
                </c:pt>
                <c:pt idx="50">
                  <c:v>-17.005481918047018</c:v>
                </c:pt>
                <c:pt idx="51">
                  <c:v>-17.003206541996015</c:v>
                </c:pt>
                <c:pt idx="52">
                  <c:v>-17.140274658723783</c:v>
                </c:pt>
                <c:pt idx="53">
                  <c:v>-17.418351477302167</c:v>
                </c:pt>
                <c:pt idx="54">
                  <c:v>-17.839664564119502</c:v>
                </c:pt>
                <c:pt idx="55">
                  <c:v>-18.408458615357478</c:v>
                </c:pt>
                <c:pt idx="56">
                  <c:v>-19.128458158425214</c:v>
                </c:pt>
                <c:pt idx="57">
                  <c:v>-20.00544103076459</c:v>
                </c:pt>
                <c:pt idx="58">
                  <c:v>-21.044974431179504</c:v>
                </c:pt>
                <c:pt idx="59">
                  <c:v>-22.254951343345656</c:v>
                </c:pt>
                <c:pt idx="60">
                  <c:v>-23.642659889832586</c:v>
                </c:pt>
                <c:pt idx="61">
                  <c:v>-25.216911746556697</c:v>
                </c:pt>
                <c:pt idx="62">
                  <c:v>-26.987963439632324</c:v>
                </c:pt>
                <c:pt idx="63">
                  <c:v>-28.963853479898635</c:v>
                </c:pt>
                <c:pt idx="64">
                  <c:v>-31.156058964197403</c:v>
                </c:pt>
                <c:pt idx="65">
                  <c:v>-33.573668753864503</c:v>
                </c:pt>
                <c:pt idx="66">
                  <c:v>-36.226225427633757</c:v>
                </c:pt>
                <c:pt idx="67">
                  <c:v>-39.121712632247586</c:v>
                </c:pt>
                <c:pt idx="68">
                  <c:v>-42.267854981237669</c:v>
                </c:pt>
                <c:pt idx="69">
                  <c:v>-45.668510532248227</c:v>
                </c:pt>
                <c:pt idx="70">
                  <c:v>-49.326118140539386</c:v>
                </c:pt>
                <c:pt idx="71">
                  <c:v>-53.238005196979579</c:v>
                </c:pt>
                <c:pt idx="72">
                  <c:v>-57.398640103383713</c:v>
                </c:pt>
                <c:pt idx="73">
                  <c:v>-61.795493316417215</c:v>
                </c:pt>
                <c:pt idx="74">
                  <c:v>-66.412549003574142</c:v>
                </c:pt>
                <c:pt idx="75">
                  <c:v>-71.226096968004455</c:v>
                </c:pt>
                <c:pt idx="76">
                  <c:v>-76.208460929571089</c:v>
                </c:pt>
                <c:pt idx="77">
                  <c:v>-81.323901382095642</c:v>
                </c:pt>
                <c:pt idx="78">
                  <c:v>-86.533988290593044</c:v>
                </c:pt>
                <c:pt idx="79">
                  <c:v>-91.793714723479567</c:v>
                </c:pt>
                <c:pt idx="80">
                  <c:v>-97.068748781860322</c:v>
                </c:pt>
                <c:pt idx="81">
                  <c:v>-102.30869145639089</c:v>
                </c:pt>
                <c:pt idx="82">
                  <c:v>-107.47598918974464</c:v>
                </c:pt>
                <c:pt idx="83">
                  <c:v>-112.52939938963345</c:v>
                </c:pt>
                <c:pt idx="84">
                  <c:v>-117.44001048025379</c:v>
                </c:pt>
                <c:pt idx="85">
                  <c:v>-122.17784896044945</c:v>
                </c:pt>
                <c:pt idx="86">
                  <c:v>-126.72261098806956</c:v>
                </c:pt>
                <c:pt idx="87">
                  <c:v>-131.06163931227545</c:v>
                </c:pt>
                <c:pt idx="88">
                  <c:v>-135.18167290396144</c:v>
                </c:pt>
                <c:pt idx="89">
                  <c:v>-139.08227438860075</c:v>
                </c:pt>
                <c:pt idx="90">
                  <c:v>-142.7627239530272</c:v>
                </c:pt>
                <c:pt idx="91">
                  <c:v>-146.22809897938404</c:v>
                </c:pt>
                <c:pt idx="92">
                  <c:v>-149.48585976496875</c:v>
                </c:pt>
                <c:pt idx="93">
                  <c:v>-152.5473157335251</c:v>
                </c:pt>
                <c:pt idx="94">
                  <c:v>-153.28302101564097</c:v>
                </c:pt>
                <c:pt idx="95">
                  <c:v>-153.64885339189811</c:v>
                </c:pt>
                <c:pt idx="96">
                  <c:v>-154.00770462587599</c:v>
                </c:pt>
                <c:pt idx="97">
                  <c:v>-154.3678729145393</c:v>
                </c:pt>
                <c:pt idx="98">
                  <c:v>-154.72117861257627</c:v>
                </c:pt>
                <c:pt idx="99">
                  <c:v>-155.07588045919107</c:v>
                </c:pt>
                <c:pt idx="100">
                  <c:v>-155.42383459743485</c:v>
                </c:pt>
                <c:pt idx="101">
                  <c:v>-155.77299411717377</c:v>
                </c:pt>
                <c:pt idx="102">
                  <c:v>-156.11552740915386</c:v>
                </c:pt>
                <c:pt idx="103">
                  <c:v>-156.45959051616614</c:v>
                </c:pt>
                <c:pt idx="104">
                  <c:v>-156.79713578247902</c:v>
                </c:pt>
                <c:pt idx="105">
                  <c:v>-157.1360186987649</c:v>
                </c:pt>
                <c:pt idx="106">
                  <c:v>-157.46849892037298</c:v>
                </c:pt>
                <c:pt idx="107">
                  <c:v>-157.80214305282414</c:v>
                </c:pt>
                <c:pt idx="108">
                  <c:v>-158.12950539247711</c:v>
                </c:pt>
                <c:pt idx="109">
                  <c:v>-158.45809663630683</c:v>
                </c:pt>
                <c:pt idx="110">
                  <c:v>-158.78052354894675</c:v>
                </c:pt>
                <c:pt idx="111">
                  <c:v>-159.10444909074423</c:v>
                </c:pt>
                <c:pt idx="112">
                  <c:v>-159.42231680717771</c:v>
                </c:pt>
                <c:pt idx="113">
                  <c:v>-159.74151072186626</c:v>
                </c:pt>
                <c:pt idx="114">
                  <c:v>-160.05475914305913</c:v>
                </c:pt>
                <c:pt idx="115">
                  <c:v>-160.36937609187197</c:v>
                </c:pt>
                <c:pt idx="116">
                  <c:v>-160.67815749092497</c:v>
                </c:pt>
                <c:pt idx="117">
                  <c:v>-160.98834374754165</c:v>
                </c:pt>
                <c:pt idx="118">
                  <c:v>-161.2928022870974</c:v>
                </c:pt>
                <c:pt idx="119">
                  <c:v>-161.59851308320714</c:v>
                </c:pt>
                <c:pt idx="120">
                  <c:v>-161.89860882596312</c:v>
                </c:pt>
                <c:pt idx="121">
                  <c:v>-162.19999658293665</c:v>
                </c:pt>
                <c:pt idx="122">
                  <c:v>-162.49587951617809</c:v>
                </c:pt>
                <c:pt idx="123">
                  <c:v>-162.79325998012868</c:v>
                </c:pt>
                <c:pt idx="124">
                  <c:v>-163.08523749694498</c:v>
                </c:pt>
                <c:pt idx="125">
                  <c:v>-163.37856652769605</c:v>
                </c:pt>
                <c:pt idx="126">
                  <c:v>-163.66659909983787</c:v>
                </c:pt>
                <c:pt idx="127">
                  <c:v>-163.95601047510769</c:v>
                </c:pt>
                <c:pt idx="128">
                  <c:v>-164.24023003276523</c:v>
                </c:pt>
                <c:pt idx="129">
                  <c:v>-164.52585249389074</c:v>
                </c:pt>
                <c:pt idx="130">
                  <c:v>-164.80638608159296</c:v>
                </c:pt>
                <c:pt idx="131">
                  <c:v>-165.08834394730189</c:v>
                </c:pt>
                <c:pt idx="132">
                  <c:v>-165.22744231691536</c:v>
                </c:pt>
                <c:pt idx="133">
                  <c:v>-165.36531431458741</c:v>
                </c:pt>
                <c:pt idx="134">
                  <c:v>-165.50521415841456</c:v>
                </c:pt>
                <c:pt idx="135">
                  <c:v>-165.6438704863792</c:v>
                </c:pt>
                <c:pt idx="136">
                  <c:v>-165.78130378770416</c:v>
                </c:pt>
                <c:pt idx="137">
                  <c:v>-165.91753410761808</c:v>
                </c:pt>
                <c:pt idx="138">
                  <c:v>-166.05563355318742</c:v>
                </c:pt>
                <c:pt idx="139">
                  <c:v>-166.19251580930043</c:v>
                </c:pt>
                <c:pt idx="140">
                  <c:v>-166.32820095265515</c:v>
                </c:pt>
                <c:pt idx="141">
                  <c:v>-166.46270862415196</c:v>
                </c:pt>
                <c:pt idx="142">
                  <c:v>-166.59920630737597</c:v>
                </c:pt>
                <c:pt idx="143">
                  <c:v>-166.73451031848202</c:v>
                </c:pt>
                <c:pt idx="144">
                  <c:v>-166.86864038469912</c:v>
                </c:pt>
                <c:pt idx="145">
                  <c:v>-167.00161580393609</c:v>
                </c:pt>
                <c:pt idx="146">
                  <c:v>-167.13649609502545</c:v>
                </c:pt>
                <c:pt idx="147">
                  <c:v>-167.27020717227745</c:v>
                </c:pt>
                <c:pt idx="148">
                  <c:v>-167.40276838430751</c:v>
                </c:pt>
                <c:pt idx="149">
                  <c:v>-167.5341986578251</c:v>
                </c:pt>
                <c:pt idx="150">
                  <c:v>-167.66751662601553</c:v>
                </c:pt>
                <c:pt idx="151">
                  <c:v>-167.79968953162233</c:v>
                </c:pt>
                <c:pt idx="152">
                  <c:v>-167.93073634630366</c:v>
                </c:pt>
                <c:pt idx="153">
                  <c:v>-168.06067562727134</c:v>
                </c:pt>
                <c:pt idx="154">
                  <c:v>-168.19254573919605</c:v>
                </c:pt>
                <c:pt idx="155">
                  <c:v>-168.32329361764349</c:v>
                </c:pt>
                <c:pt idx="156">
                  <c:v>-168.4529378842754</c:v>
                </c:pt>
                <c:pt idx="157">
                  <c:v>-168.58149675307607</c:v>
                </c:pt>
                <c:pt idx="158">
                  <c:v>-168.711966193254</c:v>
                </c:pt>
                <c:pt idx="159">
                  <c:v>-168.84133605723142</c:v>
                </c:pt>
                <c:pt idx="160">
                  <c:v>-168.9696246153452</c:v>
                </c:pt>
                <c:pt idx="161">
                  <c:v>-169.096849737149</c:v>
                </c:pt>
                <c:pt idx="162">
                  <c:v>-169.22590897260724</c:v>
                </c:pt>
                <c:pt idx="163">
                  <c:v>-169.35389204947606</c:v>
                </c:pt>
                <c:pt idx="164">
                  <c:v>-169.48081686231961</c:v>
                </c:pt>
                <c:pt idx="165">
                  <c:v>-169.6067009126109</c:v>
                </c:pt>
                <c:pt idx="166">
                  <c:v>-169.73451144318011</c:v>
                </c:pt>
                <c:pt idx="167">
                  <c:v>-169.86126714164021</c:v>
                </c:pt>
                <c:pt idx="168">
                  <c:v>-169.98698557326296</c:v>
                </c:pt>
                <c:pt idx="169">
                  <c:v>-170.1116839166493</c:v>
                </c:pt>
                <c:pt idx="170">
                  <c:v>-170.23802250076321</c:v>
                </c:pt>
                <c:pt idx="171">
                  <c:v>-170.36333178955476</c:v>
                </c:pt>
                <c:pt idx="172">
                  <c:v>-170.48762890885459</c:v>
                </c:pt>
                <c:pt idx="173">
                  <c:v>-170.61093060754769</c:v>
                </c:pt>
                <c:pt idx="174">
                  <c:v>-170.73632452096899</c:v>
                </c:pt>
                <c:pt idx="175">
                  <c:v>-170.86070667232877</c:v>
                </c:pt>
                <c:pt idx="176">
                  <c:v>-170.98409394178697</c:v>
                </c:pt>
                <c:pt idx="177">
                  <c:v>-171.10650283669176</c:v>
                </c:pt>
                <c:pt idx="178">
                  <c:v>-171.23092390850351</c:v>
                </c:pt>
                <c:pt idx="179">
                  <c:v>-171.35435182550125</c:v>
                </c:pt>
                <c:pt idx="180">
                  <c:v>-171.47680319079623</c:v>
                </c:pt>
                <c:pt idx="181">
                  <c:v>-171.59829423980364</c:v>
                </c:pt>
                <c:pt idx="182">
                  <c:v>-171.72124225646488</c:v>
                </c:pt>
                <c:pt idx="183">
                  <c:v>-171.84322415488333</c:v>
                </c:pt>
                <c:pt idx="184">
                  <c:v>-171.96425604565357</c:v>
                </c:pt>
                <c:pt idx="185">
                  <c:v>-172.08435368320266</c:v>
                </c:pt>
                <c:pt idx="186">
                  <c:v>-172.20679123680227</c:v>
                </c:pt>
                <c:pt idx="187">
                  <c:v>-172.32827514628298</c:v>
                </c:pt>
                <c:pt idx="188">
                  <c:v>-172.44882138803717</c:v>
                </c:pt>
                <c:pt idx="189">
                  <c:v>-172.56844558334726</c:v>
                </c:pt>
                <c:pt idx="190">
                  <c:v>-172.68941988863403</c:v>
                </c:pt>
                <c:pt idx="191">
                  <c:v>-172.80946829091982</c:v>
                </c:pt>
                <c:pt idx="192">
                  <c:v>-172.92860624635441</c:v>
                </c:pt>
                <c:pt idx="193">
                  <c:v>-173.04684886848102</c:v>
                </c:pt>
                <c:pt idx="194">
                  <c:v>-173.16727613239343</c:v>
                </c:pt>
                <c:pt idx="195">
                  <c:v>-173.28679168400674</c:v>
                </c:pt>
                <c:pt idx="196">
                  <c:v>-173.40541079256383</c:v>
                </c:pt>
                <c:pt idx="197">
                  <c:v>-173.52314838744471</c:v>
                </c:pt>
                <c:pt idx="198">
                  <c:v>-173.64256868811026</c:v>
                </c:pt>
                <c:pt idx="199">
                  <c:v>-173.7610989222951</c:v>
                </c:pt>
                <c:pt idx="200">
                  <c:v>-173.87875398150268</c:v>
                </c:pt>
                <c:pt idx="201">
                  <c:v>-173.9955484258156</c:v>
                </c:pt>
                <c:pt idx="202">
                  <c:v>-174.11397193503387</c:v>
                </c:pt>
                <c:pt idx="203">
                  <c:v>-174.2315272392479</c:v>
                </c:pt>
                <c:pt idx="204">
                  <c:v>-174.34822884193559</c:v>
                </c:pt>
                <c:pt idx="205">
                  <c:v>-174.46409092397084</c:v>
                </c:pt>
                <c:pt idx="206">
                  <c:v>-174.58193269331446</c:v>
                </c:pt>
                <c:pt idx="207">
                  <c:v>-174.69892247505049</c:v>
                </c:pt>
                <c:pt idx="208">
                  <c:v>-174.81507452082724</c:v>
                </c:pt>
                <c:pt idx="209">
                  <c:v>-174.93040276454391</c:v>
                </c:pt>
                <c:pt idx="210">
                  <c:v>-175.0480363687816</c:v>
                </c:pt>
                <c:pt idx="211">
                  <c:v>-175.1648293901917</c:v>
                </c:pt>
                <c:pt idx="212">
                  <c:v>-175.28079594494767</c:v>
                </c:pt>
                <c:pt idx="213">
                  <c:v>-175.3959498329194</c:v>
                </c:pt>
                <c:pt idx="214">
                  <c:v>-175.51257600920451</c:v>
                </c:pt>
                <c:pt idx="215">
                  <c:v>-175.62838482662099</c:v>
                </c:pt>
                <c:pt idx="216">
                  <c:v>-175.74338996551745</c:v>
                </c:pt>
                <c:pt idx="217">
                  <c:v>-175.8576048003666</c:v>
                </c:pt>
                <c:pt idx="218">
                  <c:v>-175.97361997162858</c:v>
                </c:pt>
                <c:pt idx="219">
                  <c:v>-176.08883574626014</c:v>
                </c:pt>
                <c:pt idx="220">
                  <c:v>-176.20326549574253</c:v>
                </c:pt>
                <c:pt idx="221">
                  <c:v>-176.31692229239783</c:v>
                </c:pt>
                <c:pt idx="222">
                  <c:v>-176.43232715579185</c:v>
                </c:pt>
                <c:pt idx="223">
                  <c:v>-176.54695092582682</c:v>
                </c:pt>
                <c:pt idx="224">
                  <c:v>-176.66080665208656</c:v>
                </c:pt>
                <c:pt idx="225">
                  <c:v>-176.77390709215933</c:v>
                </c:pt>
                <c:pt idx="226">
                  <c:v>-176.88905552860854</c:v>
                </c:pt>
                <c:pt idx="227">
                  <c:v>-177.00343679385199</c:v>
                </c:pt>
                <c:pt idx="228">
                  <c:v>-177.11706372056409</c:v>
                </c:pt>
                <c:pt idx="229">
                  <c:v>-177.22994885351682</c:v>
                </c:pt>
                <c:pt idx="230">
                  <c:v>-177.45894391491339</c:v>
                </c:pt>
                <c:pt idx="231">
                  <c:v>-177.57232520797683</c:v>
                </c:pt>
                <c:pt idx="232">
                  <c:v>-177.6849788517861</c:v>
                </c:pt>
                <c:pt idx="233">
                  <c:v>-177.79956556622287</c:v>
                </c:pt>
                <c:pt idx="234">
                  <c:v>-177.91341491014026</c:v>
                </c:pt>
                <c:pt idx="235">
                  <c:v>-178.02653922081285</c:v>
                </c:pt>
                <c:pt idx="236">
                  <c:v>-178.13895055777195</c:v>
                </c:pt>
                <c:pt idx="237">
                  <c:v>-178.25292011633314</c:v>
                </c:pt>
                <c:pt idx="238">
                  <c:v>-178.36617198742405</c:v>
                </c:pt>
                <c:pt idx="239">
                  <c:v>-178.47871813468521</c:v>
                </c:pt>
                <c:pt idx="240">
                  <c:v>-178.5905702529339</c:v>
                </c:pt>
                <c:pt idx="241">
                  <c:v>-178.70457332821198</c:v>
                </c:pt>
                <c:pt idx="242">
                  <c:v>-178.81787051059621</c:v>
                </c:pt>
                <c:pt idx="243">
                  <c:v>-178.93047358234764</c:v>
                </c:pt>
                <c:pt idx="244">
                  <c:v>-179.04239406012618</c:v>
                </c:pt>
                <c:pt idx="245">
                  <c:v>-179.15610103836471</c:v>
                </c:pt>
                <c:pt idx="246">
                  <c:v>-179.26911834856276</c:v>
                </c:pt>
                <c:pt idx="247">
                  <c:v>-179.38145747699502</c:v>
                </c:pt>
                <c:pt idx="248">
                  <c:v>-179.49312965103084</c:v>
                </c:pt>
                <c:pt idx="249">
                  <c:v>-179.60684545451721</c:v>
                </c:pt>
                <c:pt idx="250">
                  <c:v>-179.71988442133298</c:v>
                </c:pt>
                <c:pt idx="251">
                  <c:v>-179.83225782188077</c:v>
                </c:pt>
                <c:pt idx="252">
                  <c:v>-179.94397667199667</c:v>
                </c:pt>
                <c:pt idx="253">
                  <c:v>179.9426043444837</c:v>
                </c:pt>
                <c:pt idx="254">
                  <c:v>179.82984547451872</c:v>
                </c:pt>
                <c:pt idx="255">
                  <c:v>179.71773576458</c:v>
                </c:pt>
                <c:pt idx="256">
                  <c:v>179.60626450829184</c:v>
                </c:pt>
                <c:pt idx="257">
                  <c:v>179.49255790524214</c:v>
                </c:pt>
                <c:pt idx="258">
                  <c:v>179.37950120514847</c:v>
                </c:pt>
                <c:pt idx="259">
                  <c:v>179.26708361412926</c:v>
                </c:pt>
                <c:pt idx="260">
                  <c:v>179.15529458271999</c:v>
                </c:pt>
                <c:pt idx="261">
                  <c:v>179.04160429611156</c:v>
                </c:pt>
                <c:pt idx="262">
                  <c:v>178.92854989844807</c:v>
                </c:pt>
                <c:pt idx="263">
                  <c:v>178.81612085408156</c:v>
                </c:pt>
                <c:pt idx="264">
                  <c:v>178.70430686604593</c:v>
                </c:pt>
                <c:pt idx="265">
                  <c:v>178.59063335411304</c:v>
                </c:pt>
                <c:pt idx="266">
                  <c:v>178.47758151428462</c:v>
                </c:pt>
                <c:pt idx="267">
                  <c:v>178.365141078482</c:v>
                </c:pt>
                <c:pt idx="268">
                  <c:v>178.25330201125107</c:v>
                </c:pt>
                <c:pt idx="269">
                  <c:v>178.13937460192921</c:v>
                </c:pt>
                <c:pt idx="270">
                  <c:v>178.02605737716365</c:v>
                </c:pt>
                <c:pt idx="271">
                  <c:v>177.91334027347608</c:v>
                </c:pt>
                <c:pt idx="272">
                  <c:v>177.80121345581392</c:v>
                </c:pt>
                <c:pt idx="273">
                  <c:v>177.68704343798893</c:v>
                </c:pt>
                <c:pt idx="274">
                  <c:v>177.57347173211048</c:v>
                </c:pt>
                <c:pt idx="275">
                  <c:v>177.46048849323441</c:v>
                </c:pt>
                <c:pt idx="276">
                  <c:v>177.34808410018925</c:v>
                </c:pt>
                <c:pt idx="277">
                  <c:v>177.23393595224587</c:v>
                </c:pt>
                <c:pt idx="278">
                  <c:v>177.12037133578883</c:v>
                </c:pt>
                <c:pt idx="279">
                  <c:v>177.00738070013279</c:v>
                </c:pt>
                <c:pt idx="280">
                  <c:v>176.89495471138838</c:v>
                </c:pt>
                <c:pt idx="281">
                  <c:v>176.78006153875751</c:v>
                </c:pt>
                <c:pt idx="282">
                  <c:v>176.66574473470718</c:v>
                </c:pt>
                <c:pt idx="283">
                  <c:v>176.55199486088341</c:v>
                </c:pt>
                <c:pt idx="284">
                  <c:v>176.43880269421618</c:v>
                </c:pt>
                <c:pt idx="285">
                  <c:v>176.32393658203736</c:v>
                </c:pt>
                <c:pt idx="286">
                  <c:v>176.20963174354489</c:v>
                </c:pt>
                <c:pt idx="287">
                  <c:v>176.09587905092158</c:v>
                </c:pt>
                <c:pt idx="288">
                  <c:v>175.98266958409423</c:v>
                </c:pt>
                <c:pt idx="289">
                  <c:v>175.86708763108527</c:v>
                </c:pt>
                <c:pt idx="290">
                  <c:v>175.75205899349382</c:v>
                </c:pt>
                <c:pt idx="291">
                  <c:v>175.63757468498272</c:v>
                </c:pt>
                <c:pt idx="292">
                  <c:v>175.52362592450544</c:v>
                </c:pt>
                <c:pt idx="293">
                  <c:v>175.40758920103738</c:v>
                </c:pt>
                <c:pt idx="294">
                  <c:v>175.29209510163253</c:v>
                </c:pt>
                <c:pt idx="295">
                  <c:v>175.1771348525194</c:v>
                </c:pt>
                <c:pt idx="296">
                  <c:v>175.06269988058284</c:v>
                </c:pt>
                <c:pt idx="297">
                  <c:v>174.94621461499145</c:v>
                </c:pt>
                <c:pt idx="298">
                  <c:v>174.83026110984397</c:v>
                </c:pt>
                <c:pt idx="299">
                  <c:v>174.71483081276435</c:v>
                </c:pt>
                <c:pt idx="300">
                  <c:v>174.59991536710078</c:v>
                </c:pt>
                <c:pt idx="301">
                  <c:v>174.48298516374916</c:v>
                </c:pt>
                <c:pt idx="302">
                  <c:v>174.36657575694508</c:v>
                </c:pt>
                <c:pt idx="303">
                  <c:v>174.25067882271966</c:v>
                </c:pt>
                <c:pt idx="304">
                  <c:v>174.13528622765341</c:v>
                </c:pt>
                <c:pt idx="305">
                  <c:v>174.01746197468117</c:v>
                </c:pt>
                <c:pt idx="306">
                  <c:v>173.90015141687417</c:v>
                </c:pt>
                <c:pt idx="307">
                  <c:v>173.78334637139776</c:v>
                </c:pt>
                <c:pt idx="308">
                  <c:v>173.66703884342127</c:v>
                </c:pt>
                <c:pt idx="309">
                  <c:v>173.54878562818735</c:v>
                </c:pt>
                <c:pt idx="310">
                  <c:v>173.43103484991158</c:v>
                </c:pt>
                <c:pt idx="311">
                  <c:v>173.31377857069631</c:v>
                </c:pt>
                <c:pt idx="312">
                  <c:v>173.19700903491238</c:v>
                </c:pt>
                <c:pt idx="313">
                  <c:v>173.07788823678703</c:v>
                </c:pt>
                <c:pt idx="314">
                  <c:v>172.95926230396583</c:v>
                </c:pt>
                <c:pt idx="315">
                  <c:v>172.84112346133941</c:v>
                </c:pt>
                <c:pt idx="316">
                  <c:v>172.72346411281364</c:v>
                </c:pt>
                <c:pt idx="317">
                  <c:v>172.60349235676298</c:v>
                </c:pt>
                <c:pt idx="318">
                  <c:v>172.48400763922436</c:v>
                </c:pt>
                <c:pt idx="319">
                  <c:v>172.36500235928858</c:v>
                </c:pt>
                <c:pt idx="320">
                  <c:v>172.24646909143797</c:v>
                </c:pt>
                <c:pt idx="321">
                  <c:v>172.125660273905</c:v>
                </c:pt>
                <c:pt idx="322">
                  <c:v>172.0053304884436</c:v>
                </c:pt>
                <c:pt idx="323">
                  <c:v>171.88547231792188</c:v>
                </c:pt>
                <c:pt idx="324">
                  <c:v>171.766078516661</c:v>
                </c:pt>
                <c:pt idx="325">
                  <c:v>171.6444441631524</c:v>
                </c:pt>
                <c:pt idx="326">
                  <c:v>171.52328072499864</c:v>
                </c:pt>
                <c:pt idx="327">
                  <c:v>171.40258097671105</c:v>
                </c:pt>
                <c:pt idx="328">
                  <c:v>171.28233786005114</c:v>
                </c:pt>
                <c:pt idx="329">
                  <c:v>171.15968308341439</c:v>
                </c:pt>
                <c:pt idx="330">
                  <c:v>171.03749259560669</c:v>
                </c:pt>
                <c:pt idx="331">
                  <c:v>170.91575933416331</c:v>
                </c:pt>
                <c:pt idx="332">
                  <c:v>170.79447640052476</c:v>
                </c:pt>
                <c:pt idx="333">
                  <c:v>170.67101936722884</c:v>
                </c:pt>
                <c:pt idx="334">
                  <c:v>170.54801836542805</c:v>
                </c:pt>
                <c:pt idx="335">
                  <c:v>170.4254665381855</c:v>
                </c:pt>
                <c:pt idx="336">
                  <c:v>170.30335718779185</c:v>
                </c:pt>
                <c:pt idx="337">
                  <c:v>170.17870699849024</c:v>
                </c:pt>
                <c:pt idx="338">
                  <c:v>170.05450750259075</c:v>
                </c:pt>
                <c:pt idx="339">
                  <c:v>169.9307519887353</c:v>
                </c:pt>
                <c:pt idx="340">
                  <c:v>169.80743390194564</c:v>
                </c:pt>
                <c:pt idx="341">
                  <c:v>169.68161218447162</c:v>
                </c:pt>
                <c:pt idx="342">
                  <c:v>169.55623564825061</c:v>
                </c:pt>
                <c:pt idx="343">
                  <c:v>169.43129773770502</c:v>
                </c:pt>
                <c:pt idx="344">
                  <c:v>169.30679205045649</c:v>
                </c:pt>
                <c:pt idx="345">
                  <c:v>169.18001124444066</c:v>
                </c:pt>
                <c:pt idx="346">
                  <c:v>169.05366867381204</c:v>
                </c:pt>
                <c:pt idx="347">
                  <c:v>168.92775797613268</c:v>
                </c:pt>
                <c:pt idx="348">
                  <c:v>168.80227293780337</c:v>
                </c:pt>
                <c:pt idx="349">
                  <c:v>168.67416230457039</c:v>
                </c:pt>
                <c:pt idx="350">
                  <c:v>168.54648560866966</c:v>
                </c:pt>
                <c:pt idx="351">
                  <c:v>168.4192366293621</c:v>
                </c:pt>
                <c:pt idx="352">
                  <c:v>168.29240929196257</c:v>
                </c:pt>
                <c:pt idx="353">
                  <c:v>168.16299288185795</c:v>
                </c:pt>
                <c:pt idx="354">
                  <c:v>168.03400599580428</c:v>
                </c:pt>
                <c:pt idx="355">
                  <c:v>167.90544256397104</c:v>
                </c:pt>
                <c:pt idx="356">
                  <c:v>167.77729665949616</c:v>
                </c:pt>
                <c:pt idx="357">
                  <c:v>167.64678213618737</c:v>
                </c:pt>
                <c:pt idx="358">
                  <c:v>167.51669147295942</c:v>
                </c:pt>
                <c:pt idx="359">
                  <c:v>167.38701878342439</c:v>
                </c:pt>
                <c:pt idx="360">
                  <c:v>167.25775832003623</c:v>
                </c:pt>
                <c:pt idx="361">
                  <c:v>167.12579350565574</c:v>
                </c:pt>
                <c:pt idx="362">
                  <c:v>166.99424932136421</c:v>
                </c:pt>
                <c:pt idx="363">
                  <c:v>166.8631200199828</c:v>
                </c:pt>
                <c:pt idx="364">
                  <c:v>166.73239999041203</c:v>
                </c:pt>
                <c:pt idx="365">
                  <c:v>166.59919238247753</c:v>
                </c:pt>
                <c:pt idx="366">
                  <c:v>166.46640100008679</c:v>
                </c:pt>
                <c:pt idx="367">
                  <c:v>166.3340202658411</c:v>
                </c:pt>
                <c:pt idx="368">
                  <c:v>166.2020447346739</c:v>
                </c:pt>
                <c:pt idx="369">
                  <c:v>166.06725617283746</c:v>
                </c:pt>
                <c:pt idx="370">
                  <c:v>165.932881716689</c:v>
                </c:pt>
                <c:pt idx="371">
                  <c:v>165.79891591957789</c:v>
                </c:pt>
                <c:pt idx="372">
                  <c:v>165.66535346464801</c:v>
                </c:pt>
                <c:pt idx="373">
                  <c:v>165.52919133296018</c:v>
                </c:pt>
                <c:pt idx="374">
                  <c:v>165.39344009191601</c:v>
                </c:pt>
                <c:pt idx="375">
                  <c:v>165.25809445415268</c:v>
                </c:pt>
                <c:pt idx="376">
                  <c:v>165.12314925863609</c:v>
                </c:pt>
                <c:pt idx="377">
                  <c:v>164.9852886633704</c:v>
                </c:pt>
                <c:pt idx="378">
                  <c:v>164.84783791055725</c:v>
                </c:pt>
                <c:pt idx="379">
                  <c:v>164.71079183755563</c:v>
                </c:pt>
                <c:pt idx="380">
                  <c:v>164.57414540566126</c:v>
                </c:pt>
                <c:pt idx="381">
                  <c:v>164.43496600039006</c:v>
                </c:pt>
                <c:pt idx="382">
                  <c:v>164.29619337244847</c:v>
                </c:pt>
                <c:pt idx="383">
                  <c:v>164.15782252873927</c:v>
                </c:pt>
                <c:pt idx="384">
                  <c:v>164.01984859625242</c:v>
                </c:pt>
                <c:pt idx="385">
                  <c:v>163.87886204895864</c:v>
                </c:pt>
                <c:pt idx="386">
                  <c:v>163.73828234012223</c:v>
                </c:pt>
                <c:pt idx="387">
                  <c:v>163.59810459565543</c:v>
                </c:pt>
                <c:pt idx="388">
                  <c:v>163.45832405929445</c:v>
                </c:pt>
                <c:pt idx="389">
                  <c:v>163.31573828238737</c:v>
                </c:pt>
                <c:pt idx="390">
                  <c:v>163.17355846866175</c:v>
                </c:pt>
                <c:pt idx="391">
                  <c:v>163.03177988743107</c:v>
                </c:pt>
                <c:pt idx="392">
                  <c:v>162.89039792275378</c:v>
                </c:pt>
                <c:pt idx="393">
                  <c:v>162.74624609915753</c:v>
                </c:pt>
                <c:pt idx="394">
                  <c:v>162.60249950048535</c:v>
                </c:pt>
                <c:pt idx="395">
                  <c:v>162.45915354364604</c:v>
                </c:pt>
                <c:pt idx="396">
                  <c:v>162.31620375704</c:v>
                </c:pt>
                <c:pt idx="397">
                  <c:v>162.17018966772986</c:v>
                </c:pt>
                <c:pt idx="398">
                  <c:v>162.02458206627838</c:v>
                </c:pt>
                <c:pt idx="399">
                  <c:v>161.87937649045571</c:v>
                </c:pt>
                <c:pt idx="400">
                  <c:v>161.73456858709693</c:v>
                </c:pt>
                <c:pt idx="401">
                  <c:v>161.58689869669413</c:v>
                </c:pt>
                <c:pt idx="402">
                  <c:v>161.43963576395359</c:v>
                </c:pt>
                <c:pt idx="403">
                  <c:v>161.29277546773324</c:v>
                </c:pt>
                <c:pt idx="404">
                  <c:v>161.14631359282811</c:v>
                </c:pt>
                <c:pt idx="405">
                  <c:v>160.9968649982745</c:v>
                </c:pt>
                <c:pt idx="406">
                  <c:v>160.84782490734378</c:v>
                </c:pt>
                <c:pt idx="407">
                  <c:v>160.6991891294447</c:v>
                </c:pt>
                <c:pt idx="408">
                  <c:v>160.55095357708788</c:v>
                </c:pt>
                <c:pt idx="409">
                  <c:v>160.39961045210265</c:v>
                </c:pt>
                <c:pt idx="410">
                  <c:v>160.24867842362656</c:v>
                </c:pt>
                <c:pt idx="411">
                  <c:v>160.09815342259532</c:v>
                </c:pt>
                <c:pt idx="412">
                  <c:v>159.94803148045185</c:v>
                </c:pt>
                <c:pt idx="413">
                  <c:v>159.79484251273968</c:v>
                </c:pt>
                <c:pt idx="414">
                  <c:v>159.64206741208747</c:v>
                </c:pt>
                <c:pt idx="415">
                  <c:v>159.48970223526771</c:v>
                </c:pt>
                <c:pt idx="416">
                  <c:v>159.33774313676503</c:v>
                </c:pt>
                <c:pt idx="417">
                  <c:v>159.18260130039531</c:v>
                </c:pt>
                <c:pt idx="418">
                  <c:v>159.0278771538737</c:v>
                </c:pt>
                <c:pt idx="419">
                  <c:v>158.87356687154238</c:v>
                </c:pt>
                <c:pt idx="420">
                  <c:v>158.7196667228672</c:v>
                </c:pt>
                <c:pt idx="421">
                  <c:v>158.56278039656078</c:v>
                </c:pt>
                <c:pt idx="422">
                  <c:v>158.40631497039257</c:v>
                </c:pt>
                <c:pt idx="423">
                  <c:v>158.25026675066974</c:v>
                </c:pt>
                <c:pt idx="424">
                  <c:v>158.09463213568276</c:v>
                </c:pt>
                <c:pt idx="425">
                  <c:v>157.93559325216603</c:v>
                </c:pt>
                <c:pt idx="426">
                  <c:v>157.77698120735874</c:v>
                </c:pt>
                <c:pt idx="427">
                  <c:v>157.61879240986019</c:v>
                </c:pt>
                <c:pt idx="428">
                  <c:v>157.46102335801274</c:v>
                </c:pt>
                <c:pt idx="429">
                  <c:v>157.30004779197682</c:v>
                </c:pt>
                <c:pt idx="430">
                  <c:v>157.13950441059211</c:v>
                </c:pt>
                <c:pt idx="431">
                  <c:v>156.97938973869407</c:v>
                </c:pt>
                <c:pt idx="432">
                  <c:v>156.81970038807117</c:v>
                </c:pt>
                <c:pt idx="433">
                  <c:v>156.65684876893081</c:v>
                </c:pt>
                <c:pt idx="434">
                  <c:v>156.49443495837542</c:v>
                </c:pt>
                <c:pt idx="435">
                  <c:v>156.33245559912072</c:v>
                </c:pt>
                <c:pt idx="436">
                  <c:v>156.17090741788689</c:v>
                </c:pt>
                <c:pt idx="437">
                  <c:v>156.00594566495326</c:v>
                </c:pt>
                <c:pt idx="438">
                  <c:v>155.84142923872375</c:v>
                </c:pt>
                <c:pt idx="439">
                  <c:v>155.67735488308222</c:v>
                </c:pt>
                <c:pt idx="440">
                  <c:v>155.51371942341302</c:v>
                </c:pt>
                <c:pt idx="441">
                  <c:v>155.34671938662095</c:v>
                </c:pt>
                <c:pt idx="442">
                  <c:v>155.18017247749484</c:v>
                </c:pt>
                <c:pt idx="443">
                  <c:v>155.01407554309114</c:v>
                </c:pt>
                <c:pt idx="444">
                  <c:v>154.84842550927641</c:v>
                </c:pt>
                <c:pt idx="445">
                  <c:v>154.67945997114077</c:v>
                </c:pt>
                <c:pt idx="446">
                  <c:v>154.5109556697038</c:v>
                </c:pt>
                <c:pt idx="447">
                  <c:v>154.34290955602441</c:v>
                </c:pt>
                <c:pt idx="448">
                  <c:v>154.17531865711803</c:v>
                </c:pt>
                <c:pt idx="449">
                  <c:v>154.00417542618052</c:v>
                </c:pt>
                <c:pt idx="450">
                  <c:v>153.83350344048975</c:v>
                </c:pt>
                <c:pt idx="451">
                  <c:v>153.66329974017194</c:v>
                </c:pt>
                <c:pt idx="452">
                  <c:v>153.49356143880436</c:v>
                </c:pt>
                <c:pt idx="453">
                  <c:v>153.32046640383206</c:v>
                </c:pt>
                <c:pt idx="454">
                  <c:v>153.1478521562658</c:v>
                </c:pt>
                <c:pt idx="455">
                  <c:v>152.97571583296141</c:v>
                </c:pt>
                <c:pt idx="456">
                  <c:v>152.80405464130988</c:v>
                </c:pt>
                <c:pt idx="457">
                  <c:v>152.62880899195068</c:v>
                </c:pt>
                <c:pt idx="458">
                  <c:v>152.45405558697072</c:v>
                </c:pt>
                <c:pt idx="459">
                  <c:v>152.27979164536555</c:v>
                </c:pt>
                <c:pt idx="460">
                  <c:v>152.10601445405624</c:v>
                </c:pt>
                <c:pt idx="461">
                  <c:v>151.92870990016877</c:v>
                </c:pt>
                <c:pt idx="462">
                  <c:v>151.75190938713615</c:v>
                </c:pt>
                <c:pt idx="463">
                  <c:v>151.57561021543151</c:v>
                </c:pt>
                <c:pt idx="464">
                  <c:v>151.39980975067735</c:v>
                </c:pt>
                <c:pt idx="465">
                  <c:v>151.22040265621163</c:v>
                </c:pt>
                <c:pt idx="466">
                  <c:v>151.04151253606142</c:v>
                </c:pt>
                <c:pt idx="467">
                  <c:v>150.86313676441947</c:v>
                </c:pt>
                <c:pt idx="468">
                  <c:v>150.68527277790233</c:v>
                </c:pt>
                <c:pt idx="469">
                  <c:v>150.50386246093998</c:v>
                </c:pt>
                <c:pt idx="470">
                  <c:v>150.32298240338352</c:v>
                </c:pt>
                <c:pt idx="471">
                  <c:v>150.14263005100315</c:v>
                </c:pt>
                <c:pt idx="472">
                  <c:v>149.96280290912242</c:v>
                </c:pt>
                <c:pt idx="473">
                  <c:v>149.77922301660215</c:v>
                </c:pt>
                <c:pt idx="474">
                  <c:v>149.59618860844074</c:v>
                </c:pt>
                <c:pt idx="475">
                  <c:v>149.41369718794971</c:v>
                </c:pt>
                <c:pt idx="476">
                  <c:v>149.23174631533121</c:v>
                </c:pt>
                <c:pt idx="477">
                  <c:v>149.0461088089391</c:v>
                </c:pt>
                <c:pt idx="478">
                  <c:v>148.86103236409053</c:v>
                </c:pt>
                <c:pt idx="479">
                  <c:v>148.67651453861964</c:v>
                </c:pt>
                <c:pt idx="480">
                  <c:v>148.49255294444069</c:v>
                </c:pt>
                <c:pt idx="481">
                  <c:v>148.30497145118721</c:v>
                </c:pt>
                <c:pt idx="482">
                  <c:v>148.11796694514467</c:v>
                </c:pt>
                <c:pt idx="483">
                  <c:v>147.93153703449352</c:v>
                </c:pt>
                <c:pt idx="484">
                  <c:v>147.74567937856193</c:v>
                </c:pt>
                <c:pt idx="485">
                  <c:v>147.55614036354058</c:v>
                </c:pt>
                <c:pt idx="486">
                  <c:v>147.36719540755792</c:v>
                </c:pt>
                <c:pt idx="487">
                  <c:v>147.17884215913713</c:v>
                </c:pt>
                <c:pt idx="488">
                  <c:v>146.99107831504969</c:v>
                </c:pt>
                <c:pt idx="489">
                  <c:v>146.79944913973398</c:v>
                </c:pt>
                <c:pt idx="490">
                  <c:v>146.60843305053425</c:v>
                </c:pt>
                <c:pt idx="491">
                  <c:v>146.41802772135952</c:v>
                </c:pt>
                <c:pt idx="492">
                  <c:v>146.22823087161422</c:v>
                </c:pt>
                <c:pt idx="493">
                  <c:v>146.03464475799231</c:v>
                </c:pt>
                <c:pt idx="494">
                  <c:v>145.84169108049343</c:v>
                </c:pt>
                <c:pt idx="495">
                  <c:v>145.64936753243717</c:v>
                </c:pt>
                <c:pt idx="496">
                  <c:v>145.45767184977086</c:v>
                </c:pt>
                <c:pt idx="497">
                  <c:v>145.26213980569355</c:v>
                </c:pt>
                <c:pt idx="498">
                  <c:v>145.06726067611714</c:v>
                </c:pt>
                <c:pt idx="499">
                  <c:v>144.8730321623693</c:v>
                </c:pt>
                <c:pt idx="500">
                  <c:v>144.67945200555488</c:v>
                </c:pt>
                <c:pt idx="501">
                  <c:v>144.48199331674058</c:v>
                </c:pt>
                <c:pt idx="502">
                  <c:v>144.28520913781023</c:v>
                </c:pt>
                <c:pt idx="503">
                  <c:v>144.08909716608665</c:v>
                </c:pt>
                <c:pt idx="504">
                  <c:v>143.89365513583121</c:v>
                </c:pt>
                <c:pt idx="505">
                  <c:v>143.69441801164871</c:v>
                </c:pt>
                <c:pt idx="506">
                  <c:v>143.49587725150758</c:v>
                </c:pt>
                <c:pt idx="507">
                  <c:v>143.29803054021698</c:v>
                </c:pt>
                <c:pt idx="508">
                  <c:v>143.10087559661963</c:v>
                </c:pt>
                <c:pt idx="509">
                  <c:v>142.89989088011396</c:v>
                </c:pt>
                <c:pt idx="510">
                  <c:v>142.6996254540137</c:v>
                </c:pt>
                <c:pt idx="511">
                  <c:v>142.50007697702458</c:v>
                </c:pt>
                <c:pt idx="512">
                  <c:v>142.30124313902124</c:v>
                </c:pt>
                <c:pt idx="513">
                  <c:v>142.09843268195013</c:v>
                </c:pt>
                <c:pt idx="514">
                  <c:v>141.89636634962852</c:v>
                </c:pt>
                <c:pt idx="515">
                  <c:v>141.69504175627046</c:v>
                </c:pt>
                <c:pt idx="516">
                  <c:v>141.49445654449963</c:v>
                </c:pt>
                <c:pt idx="517">
                  <c:v>141.28998830536196</c:v>
                </c:pt>
                <c:pt idx="518">
                  <c:v>141.08628918749875</c:v>
                </c:pt>
                <c:pt idx="519">
                  <c:v>140.88335674981087</c:v>
                </c:pt>
                <c:pt idx="520">
                  <c:v>140.68118857682711</c:v>
                </c:pt>
                <c:pt idx="521">
                  <c:v>140.47511803804022</c:v>
                </c:pt>
                <c:pt idx="522">
                  <c:v>140.26984260258521</c:v>
                </c:pt>
                <c:pt idx="523">
                  <c:v>140.06535975827032</c:v>
                </c:pt>
                <c:pt idx="524">
                  <c:v>139.86166701580703</c:v>
                </c:pt>
                <c:pt idx="525">
                  <c:v>139.65405774529216</c:v>
                </c:pt>
                <c:pt idx="526">
                  <c:v>139.44727050659924</c:v>
                </c:pt>
                <c:pt idx="527">
                  <c:v>139.24130269990064</c:v>
                </c:pt>
                <c:pt idx="528">
                  <c:v>139.03615174562188</c:v>
                </c:pt>
                <c:pt idx="529">
                  <c:v>138.82707529953174</c:v>
                </c:pt>
                <c:pt idx="530">
                  <c:v>138.61884871550106</c:v>
                </c:pt>
                <c:pt idx="531">
                  <c:v>138.41146928876483</c:v>
                </c:pt>
                <c:pt idx="532">
                  <c:v>138.20493433224425</c:v>
                </c:pt>
                <c:pt idx="533">
                  <c:v>137.99436170241509</c:v>
                </c:pt>
                <c:pt idx="534">
                  <c:v>137.78466852198227</c:v>
                </c:pt>
                <c:pt idx="535">
                  <c:v>137.57585195881919</c:v>
                </c:pt>
                <c:pt idx="536">
                  <c:v>137.36790919605431</c:v>
                </c:pt>
                <c:pt idx="537">
                  <c:v>137.15614620151553</c:v>
                </c:pt>
                <c:pt idx="538">
                  <c:v>136.94529122053615</c:v>
                </c:pt>
                <c:pt idx="539">
                  <c:v>136.73534128361834</c:v>
                </c:pt>
                <c:pt idx="540">
                  <c:v>136.52629343414782</c:v>
                </c:pt>
                <c:pt idx="541">
                  <c:v>136.31321969932739</c:v>
                </c:pt>
                <c:pt idx="542">
                  <c:v>136.1010851096863</c:v>
                </c:pt>
                <c:pt idx="543">
                  <c:v>135.88988652986961</c:v>
                </c:pt>
                <c:pt idx="544">
                  <c:v>135.67962083523068</c:v>
                </c:pt>
                <c:pt idx="545">
                  <c:v>135.46544682182207</c:v>
                </c:pt>
                <c:pt idx="546">
                  <c:v>135.25224282626681</c:v>
                </c:pt>
                <c:pt idx="547">
                  <c:v>135.040005531753</c:v>
                </c:pt>
                <c:pt idx="548">
                  <c:v>134.82873163014045</c:v>
                </c:pt>
                <c:pt idx="549">
                  <c:v>134.61356640396346</c:v>
                </c:pt>
                <c:pt idx="550">
                  <c:v>134.39940265482275</c:v>
                </c:pt>
                <c:pt idx="551">
                  <c:v>134.18623686377722</c:v>
                </c:pt>
                <c:pt idx="552">
                  <c:v>133.97406551871609</c:v>
                </c:pt>
                <c:pt idx="553">
                  <c:v>133.75792573337475</c:v>
                </c:pt>
                <c:pt idx="554">
                  <c:v>133.54282033865064</c:v>
                </c:pt>
                <c:pt idx="555">
                  <c:v>133.32874558716875</c:v>
                </c:pt>
                <c:pt idx="556">
                  <c:v>133.11569773677073</c:v>
                </c:pt>
                <c:pt idx="557">
                  <c:v>132.68279279764181</c:v>
                </c:pt>
                <c:pt idx="558">
                  <c:v>132.25414279001885</c:v>
                </c:pt>
                <c:pt idx="559">
                  <c:v>131.82003659187734</c:v>
                </c:pt>
                <c:pt idx="560">
                  <c:v>131.39031506844353</c:v>
                </c:pt>
                <c:pt idx="561">
                  <c:v>130.9549044083999</c:v>
                </c:pt>
                <c:pt idx="562">
                  <c:v>130.52401669515302</c:v>
                </c:pt>
                <c:pt idx="563">
                  <c:v>130.08851408684697</c:v>
                </c:pt>
                <c:pt idx="564">
                  <c:v>129.65765366680327</c:v>
                </c:pt>
                <c:pt idx="565">
                  <c:v>129.22070975671781</c:v>
                </c:pt>
                <c:pt idx="566">
                  <c:v>128.78856237033204</c:v>
                </c:pt>
                <c:pt idx="567">
                  <c:v>128.35071957489711</c:v>
                </c:pt>
                <c:pt idx="568">
                  <c:v>127.91782324306048</c:v>
                </c:pt>
                <c:pt idx="569">
                  <c:v>127.48131823844133</c:v>
                </c:pt>
                <c:pt idx="570">
                  <c:v>127.04986514713387</c:v>
                </c:pt>
                <c:pt idx="571">
                  <c:v>126.61178004424272</c:v>
                </c:pt>
                <c:pt idx="572">
                  <c:v>126.17892617955849</c:v>
                </c:pt>
                <c:pt idx="573">
                  <c:v>125.74314033546661</c:v>
                </c:pt>
                <c:pt idx="574">
                  <c:v>125.3126793242126</c:v>
                </c:pt>
                <c:pt idx="575">
                  <c:v>124.87641185503432</c:v>
                </c:pt>
                <c:pt idx="576">
                  <c:v>124.44563615179023</c:v>
                </c:pt>
                <c:pt idx="577">
                  <c:v>122.68140900645663</c:v>
                </c:pt>
                <c:pt idx="578">
                  <c:v>121.01015500102524</c:v>
                </c:pt>
                <c:pt idx="579">
                  <c:v>117.65179178606559</c:v>
                </c:pt>
                <c:pt idx="580">
                  <c:v>114.40339381245808</c:v>
                </c:pt>
                <c:pt idx="581">
                  <c:v>111.30634364546442</c:v>
                </c:pt>
                <c:pt idx="582">
                  <c:v>108.39165576756581</c:v>
                </c:pt>
                <c:pt idx="583">
                  <c:v>105.68917074385399</c:v>
                </c:pt>
                <c:pt idx="584">
                  <c:v>103.21791726359452</c:v>
                </c:pt>
                <c:pt idx="585">
                  <c:v>100.9929094255797</c:v>
                </c:pt>
                <c:pt idx="586">
                  <c:v>99.019402910572879</c:v>
                </c:pt>
                <c:pt idx="587">
                  <c:v>97.29456107280788</c:v>
                </c:pt>
                <c:pt idx="588">
                  <c:v>95.811239931068641</c:v>
                </c:pt>
                <c:pt idx="589">
                  <c:v>94.553720365353129</c:v>
                </c:pt>
                <c:pt idx="590">
                  <c:v>93.503853154289828</c:v>
                </c:pt>
                <c:pt idx="591">
                  <c:v>92.640092328164698</c:v>
                </c:pt>
                <c:pt idx="592">
                  <c:v>91.93981236369163</c:v>
                </c:pt>
                <c:pt idx="593">
                  <c:v>91.380080184822887</c:v>
                </c:pt>
                <c:pt idx="594">
                  <c:v>90.939302307027774</c:v>
                </c:pt>
                <c:pt idx="595">
                  <c:v>90.597317749869575</c:v>
                </c:pt>
                <c:pt idx="596">
                  <c:v>90.336243980158216</c:v>
                </c:pt>
                <c:pt idx="597">
                  <c:v>90.140382315366963</c:v>
                </c:pt>
                <c:pt idx="598">
                  <c:v>89.996454407873927</c:v>
                </c:pt>
                <c:pt idx="599">
                  <c:v>89.893288857512459</c:v>
                </c:pt>
                <c:pt idx="600">
                  <c:v>89.821761841738279</c:v>
                </c:pt>
                <c:pt idx="604">
                  <c:v>-179.60684545451721</c:v>
                </c:pt>
              </c:numCache>
            </c:numRef>
          </c:yVal>
          <c:smooth val="0"/>
          <c:extLst>
            <c:ext xmlns:c16="http://schemas.microsoft.com/office/drawing/2014/chart" uri="{C3380CC4-5D6E-409C-BE32-E72D297353CC}">
              <c16:uniqueId val="{00000004-4362-43AB-BDC1-536058DC7619}"/>
            </c:ext>
          </c:extLst>
        </c:ser>
        <c:ser>
          <c:idx val="8"/>
          <c:order val="5"/>
          <c:tx>
            <c:strRef>
              <c:f>'Stability Calculations'!$AI$12</c:f>
              <c:strCache>
                <c:ptCount val="1"/>
                <c:pt idx="0">
                  <c:v>Phase (°)</c:v>
                </c:pt>
              </c:strCache>
            </c:strRef>
          </c:tx>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Calculations'!$AI$13:$AI$617</c:f>
              <c:numCache>
                <c:formatCode>0.00</c:formatCode>
                <c:ptCount val="605"/>
                <c:pt idx="0">
                  <c:v>102.46959726981662</c:v>
                </c:pt>
                <c:pt idx="1">
                  <c:v>102.03077074402447</c:v>
                </c:pt>
                <c:pt idx="2">
                  <c:v>101.68999257783622</c:v>
                </c:pt>
                <c:pt idx="3">
                  <c:v>101.44507917920585</c:v>
                </c:pt>
                <c:pt idx="4">
                  <c:v>101.29449671480084</c:v>
                </c:pt>
                <c:pt idx="5">
                  <c:v>101.23704178887725</c:v>
                </c:pt>
                <c:pt idx="6">
                  <c:v>101.2724839405476</c:v>
                </c:pt>
                <c:pt idx="7">
                  <c:v>101.40103640159201</c:v>
                </c:pt>
                <c:pt idx="8">
                  <c:v>101.62338696801217</c:v>
                </c:pt>
                <c:pt idx="9">
                  <c:v>101.94107650875063</c:v>
                </c:pt>
                <c:pt idx="10">
                  <c:v>102.35588291682832</c:v>
                </c:pt>
                <c:pt idx="11">
                  <c:v>102.87028933082846</c:v>
                </c:pt>
                <c:pt idx="12">
                  <c:v>103.48756963802373</c:v>
                </c:pt>
                <c:pt idx="13">
                  <c:v>104.21047364470215</c:v>
                </c:pt>
                <c:pt idx="14">
                  <c:v>105.04321165697095</c:v>
                </c:pt>
                <c:pt idx="15">
                  <c:v>105.98935808879996</c:v>
                </c:pt>
                <c:pt idx="16">
                  <c:v>107.05287314445141</c:v>
                </c:pt>
                <c:pt idx="17">
                  <c:v>108.23732116787059</c:v>
                </c:pt>
                <c:pt idx="18">
                  <c:v>109.54639168695361</c:v>
                </c:pt>
                <c:pt idx="19">
                  <c:v>110.98239663069501</c:v>
                </c:pt>
                <c:pt idx="20">
                  <c:v>112.54725123477215</c:v>
                </c:pt>
                <c:pt idx="21">
                  <c:v>114.24086464869285</c:v>
                </c:pt>
                <c:pt idx="22">
                  <c:v>116.06202468328576</c:v>
                </c:pt>
                <c:pt idx="23">
                  <c:v>118.00648903411823</c:v>
                </c:pt>
                <c:pt idx="24">
                  <c:v>120.0683730100881</c:v>
                </c:pt>
                <c:pt idx="25">
                  <c:v>122.2381042972296</c:v>
                </c:pt>
                <c:pt idx="26">
                  <c:v>124.50387164151962</c:v>
                </c:pt>
                <c:pt idx="27">
                  <c:v>126.84954350724011</c:v>
                </c:pt>
                <c:pt idx="28">
                  <c:v>129.25689157485269</c:v>
                </c:pt>
                <c:pt idx="29">
                  <c:v>131.70363241905662</c:v>
                </c:pt>
                <c:pt idx="30">
                  <c:v>134.17137260127032</c:v>
                </c:pt>
                <c:pt idx="31">
                  <c:v>136.63313577383923</c:v>
                </c:pt>
                <c:pt idx="32">
                  <c:v>139.06694110054477</c:v>
                </c:pt>
                <c:pt idx="33">
                  <c:v>141.4482380936999</c:v>
                </c:pt>
                <c:pt idx="34">
                  <c:v>143.75767246100958</c:v>
                </c:pt>
                <c:pt idx="35">
                  <c:v>145.97502936525169</c:v>
                </c:pt>
                <c:pt idx="36">
                  <c:v>148.08452485074281</c:v>
                </c:pt>
                <c:pt idx="37">
                  <c:v>150.0740117674199</c:v>
                </c:pt>
                <c:pt idx="38">
                  <c:v>151.93134810515738</c:v>
                </c:pt>
                <c:pt idx="39">
                  <c:v>153.65060126680061</c:v>
                </c:pt>
                <c:pt idx="40">
                  <c:v>155.2260986185681</c:v>
                </c:pt>
                <c:pt idx="41">
                  <c:v>156.65512807795716</c:v>
                </c:pt>
                <c:pt idx="42">
                  <c:v>157.93635597553589</c:v>
                </c:pt>
                <c:pt idx="43">
                  <c:v>159.07027045858902</c:v>
                </c:pt>
                <c:pt idx="44">
                  <c:v>160.05756627537448</c:v>
                </c:pt>
                <c:pt idx="45">
                  <c:v>160.89999117326008</c:v>
                </c:pt>
                <c:pt idx="46">
                  <c:v>161.59915457442992</c:v>
                </c:pt>
                <c:pt idx="47">
                  <c:v>162.15695586701946</c:v>
                </c:pt>
                <c:pt idx="48">
                  <c:v>162.57477050905473</c:v>
                </c:pt>
                <c:pt idx="49">
                  <c:v>162.85379973351203</c:v>
                </c:pt>
                <c:pt idx="50">
                  <c:v>162.99451808195298</c:v>
                </c:pt>
                <c:pt idx="51">
                  <c:v>162.99679345800399</c:v>
                </c:pt>
                <c:pt idx="52">
                  <c:v>162.8597253412762</c:v>
                </c:pt>
                <c:pt idx="53">
                  <c:v>162.58164852269783</c:v>
                </c:pt>
                <c:pt idx="54">
                  <c:v>162.16033543588048</c:v>
                </c:pt>
                <c:pt idx="55">
                  <c:v>161.59154138464251</c:v>
                </c:pt>
                <c:pt idx="56">
                  <c:v>160.87154184157478</c:v>
                </c:pt>
                <c:pt idx="57">
                  <c:v>159.99455896923541</c:v>
                </c:pt>
                <c:pt idx="58">
                  <c:v>158.9550255688205</c:v>
                </c:pt>
                <c:pt idx="59">
                  <c:v>157.74504865665435</c:v>
                </c:pt>
                <c:pt idx="60">
                  <c:v>156.3573401101674</c:v>
                </c:pt>
                <c:pt idx="61">
                  <c:v>154.78308825344331</c:v>
                </c:pt>
                <c:pt idx="62">
                  <c:v>153.01203656036768</c:v>
                </c:pt>
                <c:pt idx="63">
                  <c:v>151.03614652010137</c:v>
                </c:pt>
                <c:pt idx="64">
                  <c:v>148.8439410358026</c:v>
                </c:pt>
                <c:pt idx="65">
                  <c:v>146.4263312461355</c:v>
                </c:pt>
                <c:pt idx="66">
                  <c:v>143.77377457236625</c:v>
                </c:pt>
                <c:pt idx="67">
                  <c:v>140.87828736775242</c:v>
                </c:pt>
                <c:pt idx="68">
                  <c:v>137.73214501876234</c:v>
                </c:pt>
                <c:pt idx="69">
                  <c:v>134.33148946775177</c:v>
                </c:pt>
                <c:pt idx="70">
                  <c:v>130.67388185946061</c:v>
                </c:pt>
                <c:pt idx="71">
                  <c:v>126.76199480302043</c:v>
                </c:pt>
                <c:pt idx="72">
                  <c:v>122.60135989661629</c:v>
                </c:pt>
                <c:pt idx="73">
                  <c:v>118.20450668358279</c:v>
                </c:pt>
                <c:pt idx="74">
                  <c:v>113.58745099642586</c:v>
                </c:pt>
                <c:pt idx="75">
                  <c:v>108.77390303199554</c:v>
                </c:pt>
                <c:pt idx="76">
                  <c:v>103.79153907042891</c:v>
                </c:pt>
                <c:pt idx="77">
                  <c:v>98.676098617904358</c:v>
                </c:pt>
                <c:pt idx="78">
                  <c:v>93.466011709406956</c:v>
                </c:pt>
                <c:pt idx="79">
                  <c:v>88.206285276520433</c:v>
                </c:pt>
                <c:pt idx="80">
                  <c:v>82.931251218139678</c:v>
                </c:pt>
                <c:pt idx="81">
                  <c:v>77.691308543609111</c:v>
                </c:pt>
                <c:pt idx="82">
                  <c:v>72.524010810255362</c:v>
                </c:pt>
                <c:pt idx="83">
                  <c:v>67.470600610366546</c:v>
                </c:pt>
                <c:pt idx="84">
                  <c:v>62.55998951974621</c:v>
                </c:pt>
                <c:pt idx="85">
                  <c:v>57.822151039550548</c:v>
                </c:pt>
                <c:pt idx="86">
                  <c:v>53.277389011930438</c:v>
                </c:pt>
                <c:pt idx="87">
                  <c:v>48.938360687724554</c:v>
                </c:pt>
                <c:pt idx="88">
                  <c:v>44.818327096038558</c:v>
                </c:pt>
                <c:pt idx="89">
                  <c:v>40.917725611399248</c:v>
                </c:pt>
                <c:pt idx="90">
                  <c:v>37.237276046972795</c:v>
                </c:pt>
                <c:pt idx="91">
                  <c:v>33.771901020615957</c:v>
                </c:pt>
                <c:pt idx="92">
                  <c:v>30.514140235031249</c:v>
                </c:pt>
                <c:pt idx="93">
                  <c:v>27.452684266474904</c:v>
                </c:pt>
                <c:pt idx="94">
                  <c:v>26.716978984359031</c:v>
                </c:pt>
                <c:pt idx="95">
                  <c:v>26.351146608101885</c:v>
                </c:pt>
                <c:pt idx="96">
                  <c:v>25.992295374124012</c:v>
                </c:pt>
                <c:pt idx="97">
                  <c:v>25.632127085460695</c:v>
                </c:pt>
                <c:pt idx="98">
                  <c:v>25.278821387423733</c:v>
                </c:pt>
                <c:pt idx="99">
                  <c:v>24.924119540808931</c:v>
                </c:pt>
                <c:pt idx="100">
                  <c:v>24.576165402565152</c:v>
                </c:pt>
                <c:pt idx="101">
                  <c:v>24.227005882826234</c:v>
                </c:pt>
                <c:pt idx="102">
                  <c:v>23.884472590846144</c:v>
                </c:pt>
                <c:pt idx="103">
                  <c:v>23.540409483833855</c:v>
                </c:pt>
                <c:pt idx="104">
                  <c:v>23.202864217520982</c:v>
                </c:pt>
                <c:pt idx="105">
                  <c:v>22.8639813012351</c:v>
                </c:pt>
                <c:pt idx="106">
                  <c:v>22.53150107962702</c:v>
                </c:pt>
                <c:pt idx="107">
                  <c:v>22.197856947175865</c:v>
                </c:pt>
                <c:pt idx="108">
                  <c:v>21.870494607522886</c:v>
                </c:pt>
                <c:pt idx="109">
                  <c:v>21.541903363693166</c:v>
                </c:pt>
                <c:pt idx="110">
                  <c:v>21.219476451053254</c:v>
                </c:pt>
                <c:pt idx="111">
                  <c:v>20.895550909255775</c:v>
                </c:pt>
                <c:pt idx="112">
                  <c:v>20.577683192822292</c:v>
                </c:pt>
                <c:pt idx="113">
                  <c:v>20.258489278133737</c:v>
                </c:pt>
                <c:pt idx="114">
                  <c:v>19.94524085694087</c:v>
                </c:pt>
                <c:pt idx="115">
                  <c:v>19.63062390812803</c:v>
                </c:pt>
                <c:pt idx="116">
                  <c:v>19.321842509075026</c:v>
                </c:pt>
                <c:pt idx="117">
                  <c:v>19.011656252458351</c:v>
                </c:pt>
                <c:pt idx="118">
                  <c:v>18.707197712902598</c:v>
                </c:pt>
                <c:pt idx="119">
                  <c:v>18.401486916792862</c:v>
                </c:pt>
                <c:pt idx="120">
                  <c:v>18.101391174036877</c:v>
                </c:pt>
                <c:pt idx="121">
                  <c:v>17.800003417063351</c:v>
                </c:pt>
                <c:pt idx="122">
                  <c:v>17.504120483821907</c:v>
                </c:pt>
                <c:pt idx="123">
                  <c:v>17.206740019871319</c:v>
                </c:pt>
                <c:pt idx="124">
                  <c:v>16.914762503055016</c:v>
                </c:pt>
                <c:pt idx="125">
                  <c:v>16.621433472303949</c:v>
                </c:pt>
                <c:pt idx="126">
                  <c:v>16.333400900162133</c:v>
                </c:pt>
                <c:pt idx="127">
                  <c:v>16.043989524892311</c:v>
                </c:pt>
                <c:pt idx="128">
                  <c:v>15.759769967234774</c:v>
                </c:pt>
                <c:pt idx="129">
                  <c:v>15.474147506109261</c:v>
                </c:pt>
                <c:pt idx="130">
                  <c:v>15.193613918407038</c:v>
                </c:pt>
                <c:pt idx="131">
                  <c:v>14.911656052698106</c:v>
                </c:pt>
                <c:pt idx="132">
                  <c:v>14.772557683084642</c:v>
                </c:pt>
                <c:pt idx="133">
                  <c:v>14.634685685412592</c:v>
                </c:pt>
                <c:pt idx="134">
                  <c:v>14.49478584158544</c:v>
                </c:pt>
                <c:pt idx="135">
                  <c:v>14.3561295136208</c:v>
                </c:pt>
                <c:pt idx="136">
                  <c:v>14.218696212295839</c:v>
                </c:pt>
                <c:pt idx="137">
                  <c:v>14.082465892381919</c:v>
                </c:pt>
                <c:pt idx="138">
                  <c:v>13.94436644681258</c:v>
                </c:pt>
                <c:pt idx="139">
                  <c:v>13.807484190699569</c:v>
                </c:pt>
                <c:pt idx="140">
                  <c:v>13.671799047344848</c:v>
                </c:pt>
                <c:pt idx="141">
                  <c:v>13.537291375848042</c:v>
                </c:pt>
                <c:pt idx="142">
                  <c:v>13.400793692624035</c:v>
                </c:pt>
                <c:pt idx="143">
                  <c:v>13.265489681517977</c:v>
                </c:pt>
                <c:pt idx="144">
                  <c:v>13.13135961530088</c:v>
                </c:pt>
                <c:pt idx="145">
                  <c:v>12.99838419606391</c:v>
                </c:pt>
                <c:pt idx="146">
                  <c:v>12.86350390497455</c:v>
                </c:pt>
                <c:pt idx="147">
                  <c:v>12.729792827722548</c:v>
                </c:pt>
                <c:pt idx="148">
                  <c:v>12.597231615692493</c:v>
                </c:pt>
                <c:pt idx="149">
                  <c:v>12.465801342174899</c:v>
                </c:pt>
                <c:pt idx="150">
                  <c:v>12.332483373984473</c:v>
                </c:pt>
                <c:pt idx="151">
                  <c:v>12.200310468377666</c:v>
                </c:pt>
                <c:pt idx="152">
                  <c:v>12.069263653696339</c:v>
                </c:pt>
                <c:pt idx="153">
                  <c:v>11.939324372728663</c:v>
                </c:pt>
                <c:pt idx="154">
                  <c:v>11.807454260803951</c:v>
                </c:pt>
                <c:pt idx="155">
                  <c:v>11.676706382356514</c:v>
                </c:pt>
                <c:pt idx="156">
                  <c:v>11.5470621157246</c:v>
                </c:pt>
                <c:pt idx="157">
                  <c:v>11.418503246923933</c:v>
                </c:pt>
                <c:pt idx="158">
                  <c:v>11.288033806746</c:v>
                </c:pt>
                <c:pt idx="159">
                  <c:v>11.158663942768584</c:v>
                </c:pt>
                <c:pt idx="160">
                  <c:v>11.030375384654803</c:v>
                </c:pt>
                <c:pt idx="161">
                  <c:v>10.903150262851</c:v>
                </c:pt>
                <c:pt idx="162">
                  <c:v>10.774091027392757</c:v>
                </c:pt>
                <c:pt idx="163">
                  <c:v>10.646107950523941</c:v>
                </c:pt>
                <c:pt idx="164">
                  <c:v>10.519183137680386</c:v>
                </c:pt>
                <c:pt idx="165">
                  <c:v>10.393299087389096</c:v>
                </c:pt>
                <c:pt idx="166">
                  <c:v>10.265488556819889</c:v>
                </c:pt>
                <c:pt idx="167">
                  <c:v>10.138732858359788</c:v>
                </c:pt>
                <c:pt idx="168">
                  <c:v>10.013014426737044</c:v>
                </c:pt>
                <c:pt idx="169">
                  <c:v>9.888316083350702</c:v>
                </c:pt>
                <c:pt idx="170">
                  <c:v>9.7619774992367923</c:v>
                </c:pt>
                <c:pt idx="171">
                  <c:v>9.6366682104452366</c:v>
                </c:pt>
                <c:pt idx="172">
                  <c:v>9.5123710911454111</c:v>
                </c:pt>
                <c:pt idx="173">
                  <c:v>9.3890693924523134</c:v>
                </c:pt>
                <c:pt idx="174">
                  <c:v>9.2636754790310079</c:v>
                </c:pt>
                <c:pt idx="175">
                  <c:v>9.1392933276712256</c:v>
                </c:pt>
                <c:pt idx="176">
                  <c:v>9.0159060582130337</c:v>
                </c:pt>
                <c:pt idx="177">
                  <c:v>8.8934971633082398</c:v>
                </c:pt>
                <c:pt idx="178">
                  <c:v>8.7690760914964869</c:v>
                </c:pt>
                <c:pt idx="179">
                  <c:v>8.6456481744987457</c:v>
                </c:pt>
                <c:pt idx="180">
                  <c:v>8.5231968092037675</c:v>
                </c:pt>
                <c:pt idx="181">
                  <c:v>8.4017057601963643</c:v>
                </c:pt>
                <c:pt idx="182">
                  <c:v>8.2787577435351238</c:v>
                </c:pt>
                <c:pt idx="183">
                  <c:v>8.1567758451166696</c:v>
                </c:pt>
                <c:pt idx="184">
                  <c:v>8.0357439543464295</c:v>
                </c:pt>
                <c:pt idx="185">
                  <c:v>7.9156463167973357</c:v>
                </c:pt>
                <c:pt idx="186">
                  <c:v>7.7932087631977254</c:v>
                </c:pt>
                <c:pt idx="187">
                  <c:v>7.6717248537170235</c:v>
                </c:pt>
                <c:pt idx="188">
                  <c:v>7.5511786119628255</c:v>
                </c:pt>
                <c:pt idx="189">
                  <c:v>7.4315544166527445</c:v>
                </c:pt>
                <c:pt idx="190">
                  <c:v>7.3105801113659652</c:v>
                </c:pt>
                <c:pt idx="191">
                  <c:v>7.1905317090801759</c:v>
                </c:pt>
                <c:pt idx="192">
                  <c:v>7.0713937536455944</c:v>
                </c:pt>
                <c:pt idx="193">
                  <c:v>6.9531511315189789</c:v>
                </c:pt>
                <c:pt idx="194">
                  <c:v>6.8327238676065747</c:v>
                </c:pt>
                <c:pt idx="195">
                  <c:v>6.7132083159932563</c:v>
                </c:pt>
                <c:pt idx="196">
                  <c:v>6.5945892074361723</c:v>
                </c:pt>
                <c:pt idx="197">
                  <c:v>6.4768516125552935</c:v>
                </c:pt>
                <c:pt idx="198">
                  <c:v>6.3574313118897408</c:v>
                </c:pt>
                <c:pt idx="199">
                  <c:v>6.2389010777048952</c:v>
                </c:pt>
                <c:pt idx="200">
                  <c:v>6.1212460184973168</c:v>
                </c:pt>
                <c:pt idx="201">
                  <c:v>6.0044515741844009</c:v>
                </c:pt>
                <c:pt idx="202">
                  <c:v>5.8860280649661263</c:v>
                </c:pt>
                <c:pt idx="203">
                  <c:v>5.768472760752104</c:v>
                </c:pt>
                <c:pt idx="204">
                  <c:v>5.6517711580644061</c:v>
                </c:pt>
                <c:pt idx="205">
                  <c:v>5.5359090760291565</c:v>
                </c:pt>
                <c:pt idx="206">
                  <c:v>5.4180673066855434</c:v>
                </c:pt>
                <c:pt idx="207">
                  <c:v>5.3010775249495055</c:v>
                </c:pt>
                <c:pt idx="208">
                  <c:v>5.1849254791727617</c:v>
                </c:pt>
                <c:pt idx="209">
                  <c:v>5.0695972354560865</c:v>
                </c:pt>
                <c:pt idx="210">
                  <c:v>4.9519636312184048</c:v>
                </c:pt>
                <c:pt idx="211">
                  <c:v>4.8351706098083014</c:v>
                </c:pt>
                <c:pt idx="212">
                  <c:v>4.7192040550523302</c:v>
                </c:pt>
                <c:pt idx="213">
                  <c:v>4.6040501670806009</c:v>
                </c:pt>
                <c:pt idx="214">
                  <c:v>4.4874239907954916</c:v>
                </c:pt>
                <c:pt idx="215">
                  <c:v>4.3716151733790127</c:v>
                </c:pt>
                <c:pt idx="216">
                  <c:v>4.2566100344825486</c:v>
                </c:pt>
                <c:pt idx="217">
                  <c:v>4.1423951996333983</c:v>
                </c:pt>
                <c:pt idx="218">
                  <c:v>4.0263800283714204</c:v>
                </c:pt>
                <c:pt idx="219">
                  <c:v>3.9111642537398552</c:v>
                </c:pt>
                <c:pt idx="220">
                  <c:v>3.7967345042574721</c:v>
                </c:pt>
                <c:pt idx="221">
                  <c:v>3.6830777076021661</c:v>
                </c:pt>
                <c:pt idx="222">
                  <c:v>3.5676728442081469</c:v>
                </c:pt>
                <c:pt idx="223">
                  <c:v>3.4530490741731796</c:v>
                </c:pt>
                <c:pt idx="224">
                  <c:v>3.3391933479134366</c:v>
                </c:pt>
                <c:pt idx="225">
                  <c:v>3.2260929078406662</c:v>
                </c:pt>
                <c:pt idx="226">
                  <c:v>3.1109444713914627</c:v>
                </c:pt>
                <c:pt idx="227">
                  <c:v>2.9965632061480107</c:v>
                </c:pt>
                <c:pt idx="228">
                  <c:v>2.8829362794359099</c:v>
                </c:pt>
                <c:pt idx="229">
                  <c:v>2.7700511464831834</c:v>
                </c:pt>
                <c:pt idx="230">
                  <c:v>2.5410560850866091</c:v>
                </c:pt>
                <c:pt idx="231">
                  <c:v>2.4276747920231685</c:v>
                </c:pt>
                <c:pt idx="232">
                  <c:v>2.3150211482139014</c:v>
                </c:pt>
                <c:pt idx="233">
                  <c:v>2.2004344337771329</c:v>
                </c:pt>
                <c:pt idx="234">
                  <c:v>2.0865850898597387</c:v>
                </c:pt>
                <c:pt idx="235">
                  <c:v>1.9734607791871497</c:v>
                </c:pt>
                <c:pt idx="236">
                  <c:v>1.861049442228051</c:v>
                </c:pt>
                <c:pt idx="237">
                  <c:v>1.7470798836668564</c:v>
                </c:pt>
                <c:pt idx="238">
                  <c:v>1.6338280125759468</c:v>
                </c:pt>
                <c:pt idx="239">
                  <c:v>1.5212818653147906</c:v>
                </c:pt>
                <c:pt idx="240">
                  <c:v>1.409429747066099</c:v>
                </c:pt>
                <c:pt idx="241">
                  <c:v>1.2954266717880216</c:v>
                </c:pt>
                <c:pt idx="242">
                  <c:v>1.1821294894037919</c:v>
                </c:pt>
                <c:pt idx="243">
                  <c:v>1.0695264176523551</c:v>
                </c:pt>
                <c:pt idx="244">
                  <c:v>0.95760593987381526</c:v>
                </c:pt>
                <c:pt idx="245">
                  <c:v>0.84389896163528988</c:v>
                </c:pt>
                <c:pt idx="246">
                  <c:v>0.73088165143724382</c:v>
                </c:pt>
                <c:pt idx="247">
                  <c:v>0.61854252300497592</c:v>
                </c:pt>
                <c:pt idx="248">
                  <c:v>0.50687034896915861</c:v>
                </c:pt>
                <c:pt idx="249">
                  <c:v>0.39315454548278694</c:v>
                </c:pt>
                <c:pt idx="250">
                  <c:v>0.28011557866702219</c:v>
                </c:pt>
                <c:pt idx="251">
                  <c:v>0.16774217811922654</c:v>
                </c:pt>
                <c:pt idx="252">
                  <c:v>5.6023328003334427E-2</c:v>
                </c:pt>
                <c:pt idx="253">
                  <c:v>-5.7395655516302213E-2</c:v>
                </c:pt>
                <c:pt idx="254">
                  <c:v>-0.17015452548127996</c:v>
                </c:pt>
                <c:pt idx="255">
                  <c:v>-0.28226423542000134</c:v>
                </c:pt>
                <c:pt idx="256">
                  <c:v>-0.39373549170815636</c:v>
                </c:pt>
                <c:pt idx="257">
                  <c:v>-0.50744209475786306</c:v>
                </c:pt>
                <c:pt idx="258">
                  <c:v>-0.62049879485152815</c:v>
                </c:pt>
                <c:pt idx="259">
                  <c:v>-0.73291638587073749</c:v>
                </c:pt>
                <c:pt idx="260">
                  <c:v>-0.84470541728001081</c:v>
                </c:pt>
                <c:pt idx="261">
                  <c:v>-0.95839570388844209</c:v>
                </c:pt>
                <c:pt idx="262">
                  <c:v>-1.0714501015519318</c:v>
                </c:pt>
                <c:pt idx="263">
                  <c:v>-1.1838791459184392</c:v>
                </c:pt>
                <c:pt idx="264">
                  <c:v>-1.2956931339540745</c:v>
                </c:pt>
                <c:pt idx="265">
                  <c:v>-1.409366645886962</c:v>
                </c:pt>
                <c:pt idx="266">
                  <c:v>-1.5224184857153773</c:v>
                </c:pt>
                <c:pt idx="267">
                  <c:v>-1.6348589215180027</c:v>
                </c:pt>
                <c:pt idx="268">
                  <c:v>-1.7466979887489344</c:v>
                </c:pt>
                <c:pt idx="269">
                  <c:v>-1.8606253980707947</c:v>
                </c:pt>
                <c:pt idx="270">
                  <c:v>-1.973942622836347</c:v>
                </c:pt>
                <c:pt idx="271">
                  <c:v>-2.0866597265239193</c:v>
                </c:pt>
                <c:pt idx="272">
                  <c:v>-2.1987865441860777</c:v>
                </c:pt>
                <c:pt idx="273">
                  <c:v>-2.3129565620110668</c:v>
                </c:pt>
                <c:pt idx="274">
                  <c:v>-2.4265282678895232</c:v>
                </c:pt>
                <c:pt idx="275">
                  <c:v>-2.5395115067655922</c:v>
                </c:pt>
                <c:pt idx="276">
                  <c:v>-2.6519158998107457</c:v>
                </c:pt>
                <c:pt idx="277">
                  <c:v>-2.7660640477541278</c:v>
                </c:pt>
                <c:pt idx="278">
                  <c:v>-2.8796286642111681</c:v>
                </c:pt>
                <c:pt idx="279">
                  <c:v>-2.992619299867215</c:v>
                </c:pt>
                <c:pt idx="280">
                  <c:v>-3.1050452886116204</c:v>
                </c:pt>
                <c:pt idx="281">
                  <c:v>-3.2199384612424922</c:v>
                </c:pt>
                <c:pt idx="282">
                  <c:v>-3.3342552652928248</c:v>
                </c:pt>
                <c:pt idx="283">
                  <c:v>-3.4480051391165887</c:v>
                </c:pt>
                <c:pt idx="284">
                  <c:v>-3.5611973057838213</c:v>
                </c:pt>
                <c:pt idx="285">
                  <c:v>-3.6760634179626379</c:v>
                </c:pt>
                <c:pt idx="286">
                  <c:v>-3.7903682564551104</c:v>
                </c:pt>
                <c:pt idx="287">
                  <c:v>-3.9041209490784183</c:v>
                </c:pt>
                <c:pt idx="288">
                  <c:v>-4.017330415905775</c:v>
                </c:pt>
                <c:pt idx="289">
                  <c:v>-4.1329123689147309</c:v>
                </c:pt>
                <c:pt idx="290">
                  <c:v>-4.2479410065061813</c:v>
                </c:pt>
                <c:pt idx="291">
                  <c:v>-4.3624253150172763</c:v>
                </c:pt>
                <c:pt idx="292">
                  <c:v>-4.4763740754945616</c:v>
                </c:pt>
                <c:pt idx="293">
                  <c:v>-4.5924107989626179</c:v>
                </c:pt>
                <c:pt idx="294">
                  <c:v>-4.7079048983674738</c:v>
                </c:pt>
                <c:pt idx="295">
                  <c:v>-4.8228651474805986</c:v>
                </c:pt>
                <c:pt idx="296">
                  <c:v>-4.9373001194171593</c:v>
                </c:pt>
                <c:pt idx="297">
                  <c:v>-5.0537853850085526</c:v>
                </c:pt>
                <c:pt idx="298">
                  <c:v>-5.1697388901560259</c:v>
                </c:pt>
                <c:pt idx="299">
                  <c:v>-5.2851691872356525</c:v>
                </c:pt>
                <c:pt idx="300">
                  <c:v>-5.4000846328992225</c:v>
                </c:pt>
                <c:pt idx="301">
                  <c:v>-5.5170148362508371</c:v>
                </c:pt>
                <c:pt idx="302">
                  <c:v>-5.6334242430549182</c:v>
                </c:pt>
                <c:pt idx="303">
                  <c:v>-5.7493211772803363</c:v>
                </c:pt>
                <c:pt idx="304">
                  <c:v>-5.8647137723465903</c:v>
                </c:pt>
                <c:pt idx="305">
                  <c:v>-5.9825380253188314</c:v>
                </c:pt>
                <c:pt idx="306">
                  <c:v>-6.0998485831258336</c:v>
                </c:pt>
                <c:pt idx="307">
                  <c:v>-6.2166536286022449</c:v>
                </c:pt>
                <c:pt idx="308">
                  <c:v>-6.3329611565787332</c:v>
                </c:pt>
                <c:pt idx="309">
                  <c:v>-6.4512143718126538</c:v>
                </c:pt>
                <c:pt idx="310">
                  <c:v>-6.5689651500884167</c:v>
                </c:pt>
                <c:pt idx="311">
                  <c:v>-6.6862214293036857</c:v>
                </c:pt>
                <c:pt idx="312">
                  <c:v>-6.8029909650876164</c:v>
                </c:pt>
                <c:pt idx="313">
                  <c:v>-6.9221117632129676</c:v>
                </c:pt>
                <c:pt idx="314">
                  <c:v>-7.0407376960341708</c:v>
                </c:pt>
                <c:pt idx="315">
                  <c:v>-7.1588765386605928</c:v>
                </c:pt>
                <c:pt idx="316">
                  <c:v>-7.2765358871863555</c:v>
                </c:pt>
                <c:pt idx="317">
                  <c:v>-7.3965076432370154</c:v>
                </c:pt>
                <c:pt idx="318">
                  <c:v>-7.5159923607756411</c:v>
                </c:pt>
                <c:pt idx="319">
                  <c:v>-7.6349976407114184</c:v>
                </c:pt>
                <c:pt idx="320">
                  <c:v>-7.753530908562027</c:v>
                </c:pt>
                <c:pt idx="321">
                  <c:v>-7.8743397260950019</c:v>
                </c:pt>
                <c:pt idx="322">
                  <c:v>-7.9946695115563955</c:v>
                </c:pt>
                <c:pt idx="323">
                  <c:v>-8.1145276820781191</c:v>
                </c:pt>
                <c:pt idx="324">
                  <c:v>-8.2339214833390031</c:v>
                </c:pt>
                <c:pt idx="325">
                  <c:v>-8.3555558368475999</c:v>
                </c:pt>
                <c:pt idx="326">
                  <c:v>-8.4767192750013578</c:v>
                </c:pt>
                <c:pt idx="327">
                  <c:v>-8.5974190232889498</c:v>
                </c:pt>
                <c:pt idx="328">
                  <c:v>-8.7176621399488567</c:v>
                </c:pt>
                <c:pt idx="329">
                  <c:v>-8.840316916585607</c:v>
                </c:pt>
                <c:pt idx="330">
                  <c:v>-8.9625074043933068</c:v>
                </c:pt>
                <c:pt idx="331">
                  <c:v>-9.0842406658366883</c:v>
                </c:pt>
                <c:pt idx="332">
                  <c:v>-9.2055235994752422</c:v>
                </c:pt>
                <c:pt idx="333">
                  <c:v>-9.3289806327711631</c:v>
                </c:pt>
                <c:pt idx="334">
                  <c:v>-9.4519816345719505</c:v>
                </c:pt>
                <c:pt idx="335">
                  <c:v>-9.5745334618144966</c:v>
                </c:pt>
                <c:pt idx="336">
                  <c:v>-9.6966428122081538</c:v>
                </c:pt>
                <c:pt idx="337">
                  <c:v>-9.8212930015097584</c:v>
                </c:pt>
                <c:pt idx="338">
                  <c:v>-9.9454924974092478</c:v>
                </c:pt>
                <c:pt idx="339">
                  <c:v>-10.069248011264705</c:v>
                </c:pt>
                <c:pt idx="340">
                  <c:v>-10.192566098054357</c:v>
                </c:pt>
                <c:pt idx="341">
                  <c:v>-10.318387815528382</c:v>
                </c:pt>
                <c:pt idx="342">
                  <c:v>-10.443764351749394</c:v>
                </c:pt>
                <c:pt idx="343">
                  <c:v>-10.568702262294977</c:v>
                </c:pt>
                <c:pt idx="344">
                  <c:v>-10.693207949543506</c:v>
                </c:pt>
                <c:pt idx="345">
                  <c:v>-10.819988755559336</c:v>
                </c:pt>
                <c:pt idx="346">
                  <c:v>-10.946331326187959</c:v>
                </c:pt>
                <c:pt idx="347">
                  <c:v>-11.072242023867318</c:v>
                </c:pt>
                <c:pt idx="348">
                  <c:v>-11.197727062196634</c:v>
                </c:pt>
                <c:pt idx="349">
                  <c:v>-11.325837695429612</c:v>
                </c:pt>
                <c:pt idx="350">
                  <c:v>-11.453514391330344</c:v>
                </c:pt>
                <c:pt idx="351">
                  <c:v>-11.580763370637897</c:v>
                </c:pt>
                <c:pt idx="352">
                  <c:v>-11.707590708037429</c:v>
                </c:pt>
                <c:pt idx="353">
                  <c:v>-11.837007118142054</c:v>
                </c:pt>
                <c:pt idx="354">
                  <c:v>-11.965994004195721</c:v>
                </c:pt>
                <c:pt idx="355">
                  <c:v>-12.094557436028964</c:v>
                </c:pt>
                <c:pt idx="356">
                  <c:v>-12.222703340503841</c:v>
                </c:pt>
                <c:pt idx="357">
                  <c:v>-12.353217863812631</c:v>
                </c:pt>
                <c:pt idx="358">
                  <c:v>-12.483308527040577</c:v>
                </c:pt>
                <c:pt idx="359">
                  <c:v>-12.612981216575605</c:v>
                </c:pt>
                <c:pt idx="360">
                  <c:v>-12.742241679963769</c:v>
                </c:pt>
                <c:pt idx="361">
                  <c:v>-12.874206494344264</c:v>
                </c:pt>
                <c:pt idx="362">
                  <c:v>-13.005750678635792</c:v>
                </c:pt>
                <c:pt idx="363">
                  <c:v>-13.136879980017198</c:v>
                </c:pt>
                <c:pt idx="364">
                  <c:v>-13.267600009587966</c:v>
                </c:pt>
                <c:pt idx="365">
                  <c:v>-13.400807617522474</c:v>
                </c:pt>
                <c:pt idx="366">
                  <c:v>-13.53359899991321</c:v>
                </c:pt>
                <c:pt idx="367">
                  <c:v>-13.665979734158896</c:v>
                </c:pt>
                <c:pt idx="368">
                  <c:v>-13.797955265326095</c:v>
                </c:pt>
                <c:pt idx="369">
                  <c:v>-13.93274382716254</c:v>
                </c:pt>
                <c:pt idx="370">
                  <c:v>-14.067118283311004</c:v>
                </c:pt>
                <c:pt idx="371">
                  <c:v>-14.201084080422106</c:v>
                </c:pt>
                <c:pt idx="372">
                  <c:v>-14.334646535351993</c:v>
                </c:pt>
                <c:pt idx="373">
                  <c:v>-14.470808667039819</c:v>
                </c:pt>
                <c:pt idx="374">
                  <c:v>-14.606559908083995</c:v>
                </c:pt>
                <c:pt idx="375">
                  <c:v>-14.741905545847317</c:v>
                </c:pt>
                <c:pt idx="376">
                  <c:v>-14.87685074136391</c:v>
                </c:pt>
                <c:pt idx="377">
                  <c:v>-15.014711336629603</c:v>
                </c:pt>
                <c:pt idx="378">
                  <c:v>-15.152162089442754</c:v>
                </c:pt>
                <c:pt idx="379">
                  <c:v>-15.289208162444368</c:v>
                </c:pt>
                <c:pt idx="380">
                  <c:v>-15.425854594338745</c:v>
                </c:pt>
                <c:pt idx="381">
                  <c:v>-15.565033999609938</c:v>
                </c:pt>
                <c:pt idx="382">
                  <c:v>-15.703806627551529</c:v>
                </c:pt>
                <c:pt idx="383">
                  <c:v>-15.842177471260726</c:v>
                </c:pt>
                <c:pt idx="384">
                  <c:v>-15.980151403747584</c:v>
                </c:pt>
                <c:pt idx="385">
                  <c:v>-16.121137951041362</c:v>
                </c:pt>
                <c:pt idx="386">
                  <c:v>-16.261717659877775</c:v>
                </c:pt>
                <c:pt idx="387">
                  <c:v>-16.401895404344572</c:v>
                </c:pt>
                <c:pt idx="388">
                  <c:v>-16.541675940705545</c:v>
                </c:pt>
                <c:pt idx="389">
                  <c:v>-16.684261717612628</c:v>
                </c:pt>
                <c:pt idx="390">
                  <c:v>-16.826441531338247</c:v>
                </c:pt>
                <c:pt idx="391">
                  <c:v>-16.968220112568929</c:v>
                </c:pt>
                <c:pt idx="392">
                  <c:v>-17.109602077246223</c:v>
                </c:pt>
                <c:pt idx="393">
                  <c:v>-17.253753900842469</c:v>
                </c:pt>
                <c:pt idx="394">
                  <c:v>-17.397500499514649</c:v>
                </c:pt>
                <c:pt idx="395">
                  <c:v>-17.540846456353961</c:v>
                </c:pt>
                <c:pt idx="396">
                  <c:v>-17.68379624296</c:v>
                </c:pt>
                <c:pt idx="397">
                  <c:v>-17.829810332270142</c:v>
                </c:pt>
                <c:pt idx="398">
                  <c:v>-17.975417933721616</c:v>
                </c:pt>
                <c:pt idx="399">
                  <c:v>-18.120623509544288</c:v>
                </c:pt>
                <c:pt idx="400">
                  <c:v>-18.265431412903069</c:v>
                </c:pt>
                <c:pt idx="401">
                  <c:v>-18.413101303305865</c:v>
                </c:pt>
                <c:pt idx="402">
                  <c:v>-18.560364236046411</c:v>
                </c:pt>
                <c:pt idx="403">
                  <c:v>-18.707224532266764</c:v>
                </c:pt>
                <c:pt idx="404">
                  <c:v>-18.853686407171892</c:v>
                </c:pt>
                <c:pt idx="405">
                  <c:v>-19.003135001725497</c:v>
                </c:pt>
                <c:pt idx="406">
                  <c:v>-19.152175092656222</c:v>
                </c:pt>
                <c:pt idx="407">
                  <c:v>-19.300810870555296</c:v>
                </c:pt>
                <c:pt idx="408">
                  <c:v>-19.449046422912119</c:v>
                </c:pt>
                <c:pt idx="409">
                  <c:v>-19.60038954789735</c:v>
                </c:pt>
                <c:pt idx="410">
                  <c:v>-19.751321576373442</c:v>
                </c:pt>
                <c:pt idx="411">
                  <c:v>-19.901846577404683</c:v>
                </c:pt>
                <c:pt idx="412">
                  <c:v>-20.051968519548154</c:v>
                </c:pt>
                <c:pt idx="413">
                  <c:v>-20.205157487260323</c:v>
                </c:pt>
                <c:pt idx="414">
                  <c:v>-20.357932587912529</c:v>
                </c:pt>
                <c:pt idx="415">
                  <c:v>-20.510297764732286</c:v>
                </c:pt>
                <c:pt idx="416">
                  <c:v>-20.662256863234973</c:v>
                </c:pt>
                <c:pt idx="417">
                  <c:v>-20.817398699604695</c:v>
                </c:pt>
                <c:pt idx="418">
                  <c:v>-20.972122846126297</c:v>
                </c:pt>
                <c:pt idx="419">
                  <c:v>-21.12643312845762</c:v>
                </c:pt>
                <c:pt idx="420">
                  <c:v>-21.280333277132797</c:v>
                </c:pt>
                <c:pt idx="421">
                  <c:v>-21.437219603439218</c:v>
                </c:pt>
                <c:pt idx="422">
                  <c:v>-21.593685029607428</c:v>
                </c:pt>
                <c:pt idx="423">
                  <c:v>-21.749733249330262</c:v>
                </c:pt>
                <c:pt idx="424">
                  <c:v>-21.905367864317242</c:v>
                </c:pt>
                <c:pt idx="425">
                  <c:v>-22.064406747833971</c:v>
                </c:pt>
                <c:pt idx="426">
                  <c:v>-22.223018792641255</c:v>
                </c:pt>
                <c:pt idx="427">
                  <c:v>-22.381207590139809</c:v>
                </c:pt>
                <c:pt idx="428">
                  <c:v>-22.538976641987261</c:v>
                </c:pt>
                <c:pt idx="429">
                  <c:v>-22.699952208023177</c:v>
                </c:pt>
                <c:pt idx="430">
                  <c:v>-22.86049558940789</c:v>
                </c:pt>
                <c:pt idx="431">
                  <c:v>-23.020610261305933</c:v>
                </c:pt>
                <c:pt idx="432">
                  <c:v>-23.180299611928831</c:v>
                </c:pt>
                <c:pt idx="433">
                  <c:v>-23.343151231069186</c:v>
                </c:pt>
                <c:pt idx="434">
                  <c:v>-23.505565041624578</c:v>
                </c:pt>
                <c:pt idx="435">
                  <c:v>-23.667544400879279</c:v>
                </c:pt>
                <c:pt idx="436">
                  <c:v>-23.829092582113105</c:v>
                </c:pt>
                <c:pt idx="437">
                  <c:v>-23.994054335046741</c:v>
                </c:pt>
                <c:pt idx="438">
                  <c:v>-24.158570761276252</c:v>
                </c:pt>
                <c:pt idx="439">
                  <c:v>-24.322645116917784</c:v>
                </c:pt>
                <c:pt idx="440">
                  <c:v>-24.486280576586978</c:v>
                </c:pt>
                <c:pt idx="441">
                  <c:v>-24.653280613379053</c:v>
                </c:pt>
                <c:pt idx="442">
                  <c:v>-24.819827522505165</c:v>
                </c:pt>
                <c:pt idx="443">
                  <c:v>-24.985924456908862</c:v>
                </c:pt>
                <c:pt idx="444">
                  <c:v>-25.15157449072359</c:v>
                </c:pt>
                <c:pt idx="445">
                  <c:v>-25.320540028859227</c:v>
                </c:pt>
                <c:pt idx="446">
                  <c:v>-25.489044330296196</c:v>
                </c:pt>
                <c:pt idx="447">
                  <c:v>-25.657090443975591</c:v>
                </c:pt>
                <c:pt idx="448">
                  <c:v>-25.824681342881973</c:v>
                </c:pt>
                <c:pt idx="449">
                  <c:v>-25.995824573819476</c:v>
                </c:pt>
                <c:pt idx="450">
                  <c:v>-26.16649655951025</c:v>
                </c:pt>
                <c:pt idx="451">
                  <c:v>-26.336700259828064</c:v>
                </c:pt>
                <c:pt idx="452">
                  <c:v>-26.506438561195637</c:v>
                </c:pt>
                <c:pt idx="453">
                  <c:v>-26.679533596167943</c:v>
                </c:pt>
                <c:pt idx="454">
                  <c:v>-26.852147843734201</c:v>
                </c:pt>
                <c:pt idx="455">
                  <c:v>-27.024284167038587</c:v>
                </c:pt>
                <c:pt idx="456">
                  <c:v>-27.195945358690125</c:v>
                </c:pt>
                <c:pt idx="457">
                  <c:v>-27.371191008049323</c:v>
                </c:pt>
                <c:pt idx="458">
                  <c:v>-27.545944413029275</c:v>
                </c:pt>
                <c:pt idx="459">
                  <c:v>-27.720208354634451</c:v>
                </c:pt>
                <c:pt idx="460">
                  <c:v>-27.893985545943764</c:v>
                </c:pt>
                <c:pt idx="461">
                  <c:v>-28.071290099831231</c:v>
                </c:pt>
                <c:pt idx="462">
                  <c:v>-28.248090612863848</c:v>
                </c:pt>
                <c:pt idx="463">
                  <c:v>-28.42438978456849</c:v>
                </c:pt>
                <c:pt idx="464">
                  <c:v>-28.600190249322651</c:v>
                </c:pt>
                <c:pt idx="465">
                  <c:v>-28.779597343788367</c:v>
                </c:pt>
                <c:pt idx="466">
                  <c:v>-28.958487463938582</c:v>
                </c:pt>
                <c:pt idx="467">
                  <c:v>-29.136863235580535</c:v>
                </c:pt>
                <c:pt idx="468">
                  <c:v>-29.314727222097673</c:v>
                </c:pt>
                <c:pt idx="469">
                  <c:v>-29.496137539060015</c:v>
                </c:pt>
                <c:pt idx="470">
                  <c:v>-29.67701759661648</c:v>
                </c:pt>
                <c:pt idx="471">
                  <c:v>-29.857369948996848</c:v>
                </c:pt>
                <c:pt idx="472">
                  <c:v>-30.037197090877584</c:v>
                </c:pt>
                <c:pt idx="473">
                  <c:v>-30.220776983397855</c:v>
                </c:pt>
                <c:pt idx="474">
                  <c:v>-30.403811391559259</c:v>
                </c:pt>
                <c:pt idx="475">
                  <c:v>-30.586302812050292</c:v>
                </c:pt>
                <c:pt idx="476">
                  <c:v>-30.768253684668792</c:v>
                </c:pt>
                <c:pt idx="477">
                  <c:v>-30.953891191060904</c:v>
                </c:pt>
                <c:pt idx="478">
                  <c:v>-31.138967635909466</c:v>
                </c:pt>
                <c:pt idx="479">
                  <c:v>-31.323485461380358</c:v>
                </c:pt>
                <c:pt idx="480">
                  <c:v>-31.507447055559311</c:v>
                </c:pt>
                <c:pt idx="481">
                  <c:v>-31.695028548812786</c:v>
                </c:pt>
                <c:pt idx="482">
                  <c:v>-31.882033054855327</c:v>
                </c:pt>
                <c:pt idx="483">
                  <c:v>-32.068462965506484</c:v>
                </c:pt>
                <c:pt idx="484">
                  <c:v>-32.254320621438069</c:v>
                </c:pt>
                <c:pt idx="485">
                  <c:v>-32.443859636459422</c:v>
                </c:pt>
                <c:pt idx="486">
                  <c:v>-32.632804592442085</c:v>
                </c:pt>
                <c:pt idx="487">
                  <c:v>-32.821157840862867</c:v>
                </c:pt>
                <c:pt idx="488">
                  <c:v>-33.008921684950309</c:v>
                </c:pt>
                <c:pt idx="489">
                  <c:v>-33.20055086026602</c:v>
                </c:pt>
                <c:pt idx="490">
                  <c:v>-33.391566949465755</c:v>
                </c:pt>
                <c:pt idx="491">
                  <c:v>-33.581972278640478</c:v>
                </c:pt>
                <c:pt idx="492">
                  <c:v>-33.771769128385785</c:v>
                </c:pt>
                <c:pt idx="493">
                  <c:v>-33.965355242007689</c:v>
                </c:pt>
                <c:pt idx="494">
                  <c:v>-34.158308919506567</c:v>
                </c:pt>
                <c:pt idx="495">
                  <c:v>-34.350632467562832</c:v>
                </c:pt>
                <c:pt idx="496">
                  <c:v>-34.542328150229139</c:v>
                </c:pt>
                <c:pt idx="497">
                  <c:v>-34.73786019430645</c:v>
                </c:pt>
                <c:pt idx="498">
                  <c:v>-34.932739323882856</c:v>
                </c:pt>
                <c:pt idx="499">
                  <c:v>-35.126967837630701</c:v>
                </c:pt>
                <c:pt idx="500">
                  <c:v>-35.320547994445121</c:v>
                </c:pt>
                <c:pt idx="501">
                  <c:v>-35.518006683259415</c:v>
                </c:pt>
                <c:pt idx="502">
                  <c:v>-35.714790862189773</c:v>
                </c:pt>
                <c:pt idx="503">
                  <c:v>-35.910902833913354</c:v>
                </c:pt>
                <c:pt idx="504">
                  <c:v>-36.10634486416879</c:v>
                </c:pt>
                <c:pt idx="505">
                  <c:v>-36.305581988351292</c:v>
                </c:pt>
                <c:pt idx="506">
                  <c:v>-36.504122748492421</c:v>
                </c:pt>
                <c:pt idx="507">
                  <c:v>-36.701969459783015</c:v>
                </c:pt>
                <c:pt idx="508">
                  <c:v>-36.89912440338037</c:v>
                </c:pt>
                <c:pt idx="509">
                  <c:v>-37.100109119886042</c:v>
                </c:pt>
                <c:pt idx="510">
                  <c:v>-37.300374545986301</c:v>
                </c:pt>
                <c:pt idx="511">
                  <c:v>-37.499923022975423</c:v>
                </c:pt>
                <c:pt idx="512">
                  <c:v>-37.698756860978762</c:v>
                </c:pt>
                <c:pt idx="513">
                  <c:v>-37.901567318049871</c:v>
                </c:pt>
                <c:pt idx="514">
                  <c:v>-38.103633650371478</c:v>
                </c:pt>
                <c:pt idx="515">
                  <c:v>-38.304958243729544</c:v>
                </c:pt>
                <c:pt idx="516">
                  <c:v>-38.505543455500373</c:v>
                </c:pt>
                <c:pt idx="517">
                  <c:v>-38.710011694638041</c:v>
                </c:pt>
                <c:pt idx="518">
                  <c:v>-38.91371081250125</c:v>
                </c:pt>
                <c:pt idx="519">
                  <c:v>-39.116643250189128</c:v>
                </c:pt>
                <c:pt idx="520">
                  <c:v>-39.318811423172889</c:v>
                </c:pt>
                <c:pt idx="521">
                  <c:v>-39.524881961959778</c:v>
                </c:pt>
                <c:pt idx="522">
                  <c:v>-39.730157397414786</c:v>
                </c:pt>
                <c:pt idx="523">
                  <c:v>-39.934640241729682</c:v>
                </c:pt>
                <c:pt idx="524">
                  <c:v>-40.138332984192971</c:v>
                </c:pt>
                <c:pt idx="525">
                  <c:v>-40.345942254707836</c:v>
                </c:pt>
                <c:pt idx="526">
                  <c:v>-40.552729493400761</c:v>
                </c:pt>
                <c:pt idx="527">
                  <c:v>-40.758697300099357</c:v>
                </c:pt>
                <c:pt idx="528">
                  <c:v>-40.963848254378121</c:v>
                </c:pt>
                <c:pt idx="529">
                  <c:v>-41.172924700468258</c:v>
                </c:pt>
                <c:pt idx="530">
                  <c:v>-41.381151284498941</c:v>
                </c:pt>
                <c:pt idx="531">
                  <c:v>-41.588530711235165</c:v>
                </c:pt>
                <c:pt idx="532">
                  <c:v>-41.79506566775575</c:v>
                </c:pt>
                <c:pt idx="533">
                  <c:v>-42.005638297584909</c:v>
                </c:pt>
                <c:pt idx="534">
                  <c:v>-42.215331478017731</c:v>
                </c:pt>
                <c:pt idx="535">
                  <c:v>-42.424148041180814</c:v>
                </c:pt>
                <c:pt idx="536">
                  <c:v>-42.632090803945687</c:v>
                </c:pt>
                <c:pt idx="537">
                  <c:v>-42.843853798484474</c:v>
                </c:pt>
                <c:pt idx="538">
                  <c:v>-43.054708779463851</c:v>
                </c:pt>
                <c:pt idx="539">
                  <c:v>-43.26465871638166</c:v>
                </c:pt>
                <c:pt idx="540">
                  <c:v>-43.473706565852183</c:v>
                </c:pt>
                <c:pt idx="541">
                  <c:v>-43.686780300672609</c:v>
                </c:pt>
                <c:pt idx="542">
                  <c:v>-43.898914890313705</c:v>
                </c:pt>
                <c:pt idx="543">
                  <c:v>-44.110113470130386</c:v>
                </c:pt>
                <c:pt idx="544">
                  <c:v>-44.320379164769321</c:v>
                </c:pt>
                <c:pt idx="545">
                  <c:v>-44.53455317817793</c:v>
                </c:pt>
                <c:pt idx="546">
                  <c:v>-44.747757173733191</c:v>
                </c:pt>
                <c:pt idx="547">
                  <c:v>-44.959994468247004</c:v>
                </c:pt>
                <c:pt idx="548">
                  <c:v>-45.171268369859547</c:v>
                </c:pt>
                <c:pt idx="549">
                  <c:v>-45.386433596036539</c:v>
                </c:pt>
                <c:pt idx="550">
                  <c:v>-45.600597345177249</c:v>
                </c:pt>
                <c:pt idx="551">
                  <c:v>-45.813763136222775</c:v>
                </c:pt>
                <c:pt idx="552">
                  <c:v>-46.025934481283912</c:v>
                </c:pt>
                <c:pt idx="553">
                  <c:v>-46.242074266625252</c:v>
                </c:pt>
                <c:pt idx="554">
                  <c:v>-46.457179661349358</c:v>
                </c:pt>
                <c:pt idx="555">
                  <c:v>-46.671254412831246</c:v>
                </c:pt>
                <c:pt idx="556">
                  <c:v>-46.884302263229273</c:v>
                </c:pt>
                <c:pt idx="557">
                  <c:v>-47.31720720235819</c:v>
                </c:pt>
                <c:pt idx="558">
                  <c:v>-47.745857209981153</c:v>
                </c:pt>
                <c:pt idx="559">
                  <c:v>-48.17996340812266</c:v>
                </c:pt>
                <c:pt idx="560">
                  <c:v>-48.609684931556473</c:v>
                </c:pt>
                <c:pt idx="561">
                  <c:v>-49.045095591600102</c:v>
                </c:pt>
                <c:pt idx="562">
                  <c:v>-49.475983304846977</c:v>
                </c:pt>
                <c:pt idx="563">
                  <c:v>-49.91148591315303</c:v>
                </c:pt>
                <c:pt idx="564">
                  <c:v>-50.34234633319673</c:v>
                </c:pt>
                <c:pt idx="565">
                  <c:v>-50.77929024328219</c:v>
                </c:pt>
                <c:pt idx="566">
                  <c:v>-51.211437629667955</c:v>
                </c:pt>
                <c:pt idx="567">
                  <c:v>-51.649280425102887</c:v>
                </c:pt>
                <c:pt idx="568">
                  <c:v>-52.082176756939518</c:v>
                </c:pt>
                <c:pt idx="569">
                  <c:v>-52.518681761558668</c:v>
                </c:pt>
                <c:pt idx="570">
                  <c:v>-52.950134852866128</c:v>
                </c:pt>
                <c:pt idx="571">
                  <c:v>-53.388219955757279</c:v>
                </c:pt>
                <c:pt idx="572">
                  <c:v>-53.821073820441512</c:v>
                </c:pt>
                <c:pt idx="573">
                  <c:v>-54.256859664533394</c:v>
                </c:pt>
                <c:pt idx="574">
                  <c:v>-54.687320675787404</c:v>
                </c:pt>
                <c:pt idx="575">
                  <c:v>-55.12358814496568</c:v>
                </c:pt>
                <c:pt idx="576">
                  <c:v>-55.554363848209775</c:v>
                </c:pt>
                <c:pt idx="577">
                  <c:v>-57.318590993543367</c:v>
                </c:pt>
                <c:pt idx="578">
                  <c:v>-58.98984499897476</c:v>
                </c:pt>
                <c:pt idx="579">
                  <c:v>-62.348208213934413</c:v>
                </c:pt>
                <c:pt idx="580">
                  <c:v>-65.596606187541923</c:v>
                </c:pt>
                <c:pt idx="581">
                  <c:v>-68.693656354535577</c:v>
                </c:pt>
                <c:pt idx="582">
                  <c:v>-71.608344232434192</c:v>
                </c:pt>
                <c:pt idx="583">
                  <c:v>-74.310829256146008</c:v>
                </c:pt>
                <c:pt idx="584">
                  <c:v>-76.782082736405485</c:v>
                </c:pt>
                <c:pt idx="585">
                  <c:v>-79.007090574420303</c:v>
                </c:pt>
                <c:pt idx="586">
                  <c:v>-80.980597089427121</c:v>
                </c:pt>
                <c:pt idx="587">
                  <c:v>-82.70543892719212</c:v>
                </c:pt>
                <c:pt idx="588">
                  <c:v>-84.188760068931359</c:v>
                </c:pt>
                <c:pt idx="589">
                  <c:v>-85.446279634646871</c:v>
                </c:pt>
                <c:pt idx="590">
                  <c:v>-86.496146845710172</c:v>
                </c:pt>
                <c:pt idx="591">
                  <c:v>-87.359907671835302</c:v>
                </c:pt>
                <c:pt idx="592">
                  <c:v>-88.06018763630837</c:v>
                </c:pt>
                <c:pt idx="593">
                  <c:v>-88.619919815177113</c:v>
                </c:pt>
                <c:pt idx="594">
                  <c:v>-89.060697692972226</c:v>
                </c:pt>
                <c:pt idx="595">
                  <c:v>-89.402682250130425</c:v>
                </c:pt>
                <c:pt idx="596">
                  <c:v>-89.663756019841784</c:v>
                </c:pt>
                <c:pt idx="597">
                  <c:v>-89.859617684633037</c:v>
                </c:pt>
                <c:pt idx="598">
                  <c:v>-90.003545592126073</c:v>
                </c:pt>
                <c:pt idx="599">
                  <c:v>-90.106711142487541</c:v>
                </c:pt>
                <c:pt idx="600">
                  <c:v>-90.178238158261721</c:v>
                </c:pt>
                <c:pt idx="604">
                  <c:v>0.39315454548278694</c:v>
                </c:pt>
              </c:numCache>
            </c:numRef>
          </c:yVal>
          <c:smooth val="0"/>
          <c:extLst>
            <c:ext xmlns:c16="http://schemas.microsoft.com/office/drawing/2014/chart" uri="{C3380CC4-5D6E-409C-BE32-E72D297353CC}">
              <c16:uniqueId val="{00000005-4362-43AB-BDC1-536058DC7619}"/>
            </c:ext>
          </c:extLst>
        </c:ser>
        <c:dLbls>
          <c:showLegendKey val="0"/>
          <c:showVal val="0"/>
          <c:showCatName val="0"/>
          <c:showSerName val="0"/>
          <c:showPercent val="0"/>
          <c:showBubbleSize val="0"/>
        </c:dLbls>
        <c:axId val="196945024"/>
        <c:axId val="196946560"/>
      </c:scatterChart>
      <c:valAx>
        <c:axId val="196940928"/>
        <c:scaling>
          <c:logBase val="10"/>
          <c:orientation val="minMax"/>
          <c:max val="1000000"/>
          <c:min val="1"/>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6942848"/>
        <c:crossesAt val="-40"/>
        <c:crossBetween val="midCat"/>
        <c:majorUnit val="10"/>
        <c:minorUnit val="10"/>
      </c:valAx>
      <c:valAx>
        <c:axId val="196942848"/>
        <c:scaling>
          <c:orientation val="minMax"/>
          <c:max val="80"/>
          <c:min val="-8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96940928"/>
        <c:crossesAt val="0.1"/>
        <c:crossBetween val="midCat"/>
        <c:majorUnit val="20"/>
        <c:minorUnit val="4"/>
      </c:valAx>
      <c:valAx>
        <c:axId val="196945024"/>
        <c:scaling>
          <c:logBase val="10"/>
          <c:orientation val="minMax"/>
        </c:scaling>
        <c:delete val="1"/>
        <c:axPos val="t"/>
        <c:numFmt formatCode="General" sourceLinked="1"/>
        <c:majorTickMark val="out"/>
        <c:minorTickMark val="none"/>
        <c:tickLblPos val="none"/>
        <c:crossAx val="196946560"/>
        <c:crossesAt val="0"/>
        <c:crossBetween val="midCat"/>
      </c:valAx>
      <c:valAx>
        <c:axId val="196946560"/>
        <c:scaling>
          <c:orientation val="minMax"/>
          <c:max val="180"/>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9694502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Error Amp Bode Plot</a:t>
            </a:r>
          </a:p>
        </c:rich>
      </c:tx>
      <c:layout>
        <c:manualLayout>
          <c:xMode val="edge"/>
          <c:yMode val="edge"/>
          <c:x val="0.40864917395529671"/>
          <c:y val="2.1377650374348366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4"/>
          <c:order val="0"/>
          <c:tx>
            <c:strRef>
              <c:f>'Stability Calculations'!$AL$12</c:f>
              <c:strCache>
                <c:ptCount val="1"/>
                <c:pt idx="0">
                  <c:v>Gain(dB)</c:v>
                </c:pt>
              </c:strCache>
            </c:strRef>
          </c:tx>
          <c:spPr>
            <a:ln w="25400">
              <a:solidFill>
                <a:srgbClr val="FF0000"/>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Calculations'!$AL$13:$AL$613</c:f>
              <c:numCache>
                <c:formatCode>0.0000</c:formatCode>
                <c:ptCount val="601"/>
                <c:pt idx="0">
                  <c:v>59.423586589806057</c:v>
                </c:pt>
                <c:pt idx="1">
                  <c:v>58.644609962246612</c:v>
                </c:pt>
                <c:pt idx="2">
                  <c:v>57.863484710198058</c:v>
                </c:pt>
                <c:pt idx="3">
                  <c:v>57.080794815132222</c:v>
                </c:pt>
                <c:pt idx="4">
                  <c:v>56.297593974638225</c:v>
                </c:pt>
                <c:pt idx="5">
                  <c:v>55.513092769157268</c:v>
                </c:pt>
                <c:pt idx="6">
                  <c:v>54.728907268535416</c:v>
                </c:pt>
                <c:pt idx="7">
                  <c:v>53.945026650063774</c:v>
                </c:pt>
                <c:pt idx="8">
                  <c:v>53.162546233763415</c:v>
                </c:pt>
                <c:pt idx="9">
                  <c:v>52.381431487461747</c:v>
                </c:pt>
                <c:pt idx="10">
                  <c:v>51.602739476980645</c:v>
                </c:pt>
                <c:pt idx="11">
                  <c:v>50.827032267708717</c:v>
                </c:pt>
                <c:pt idx="12">
                  <c:v>50.05465967935681</c:v>
                </c:pt>
                <c:pt idx="13">
                  <c:v>49.287224061085709</c:v>
                </c:pt>
                <c:pt idx="14">
                  <c:v>48.52509387206355</c:v>
                </c:pt>
                <c:pt idx="15">
                  <c:v>47.769687361624165</c:v>
                </c:pt>
                <c:pt idx="16">
                  <c:v>47.022225942759491</c:v>
                </c:pt>
                <c:pt idx="17">
                  <c:v>46.284274047991829</c:v>
                </c:pt>
                <c:pt idx="18">
                  <c:v>45.55726882185003</c:v>
                </c:pt>
                <c:pt idx="19">
                  <c:v>44.843257408745302</c:v>
                </c:pt>
                <c:pt idx="20">
                  <c:v>44.144149537694091</c:v>
                </c:pt>
                <c:pt idx="21">
                  <c:v>43.462330935671183</c:v>
                </c:pt>
                <c:pt idx="22">
                  <c:v>42.800067298553444</c:v>
                </c:pt>
                <c:pt idx="23">
                  <c:v>42.160059009736685</c:v>
                </c:pt>
                <c:pt idx="24">
                  <c:v>41.544746491016042</c:v>
                </c:pt>
                <c:pt idx="25">
                  <c:v>40.956818032890212</c:v>
                </c:pt>
                <c:pt idx="26">
                  <c:v>40.398622313630661</c:v>
                </c:pt>
                <c:pt idx="27">
                  <c:v>39.872596669916845</c:v>
                </c:pt>
                <c:pt idx="28">
                  <c:v>39.38062892494051</c:v>
                </c:pt>
                <c:pt idx="29">
                  <c:v>38.924454341465506</c:v>
                </c:pt>
                <c:pt idx="30">
                  <c:v>38.50425191640219</c:v>
                </c:pt>
                <c:pt idx="31">
                  <c:v>38.120979080061709</c:v>
                </c:pt>
                <c:pt idx="32">
                  <c:v>37.774087814840961</c:v>
                </c:pt>
                <c:pt idx="33">
                  <c:v>37.462935403504055</c:v>
                </c:pt>
                <c:pt idx="34">
                  <c:v>37.185851446708355</c:v>
                </c:pt>
                <c:pt idx="35">
                  <c:v>36.941116854445902</c:v>
                </c:pt>
                <c:pt idx="36">
                  <c:v>36.726450892915096</c:v>
                </c:pt>
                <c:pt idx="37">
                  <c:v>36.53929151530626</c:v>
                </c:pt>
                <c:pt idx="38">
                  <c:v>36.377231077972823</c:v>
                </c:pt>
                <c:pt idx="39">
                  <c:v>36.237524125305725</c:v>
                </c:pt>
                <c:pt idx="40">
                  <c:v>36.117682937152139</c:v>
                </c:pt>
                <c:pt idx="41">
                  <c:v>36.015268295938107</c:v>
                </c:pt>
                <c:pt idx="42">
                  <c:v>35.928029104021263</c:v>
                </c:pt>
                <c:pt idx="43">
                  <c:v>35.853867688684318</c:v>
                </c:pt>
                <c:pt idx="44">
                  <c:v>35.790932968463082</c:v>
                </c:pt>
                <c:pt idx="45">
                  <c:v>35.73754024526044</c:v>
                </c:pt>
                <c:pt idx="46">
                  <c:v>35.69222038911267</c:v>
                </c:pt>
                <c:pt idx="47">
                  <c:v>35.653661597800649</c:v>
                </c:pt>
                <c:pt idx="48">
                  <c:v>35.620731827102858</c:v>
                </c:pt>
                <c:pt idx="49">
                  <c:v>35.592422690527698</c:v>
                </c:pt>
                <c:pt idx="50">
                  <c:v>35.567861333723393</c:v>
                </c:pt>
                <c:pt idx="51">
                  <c:v>35.546267457511924</c:v>
                </c:pt>
                <c:pt idx="52">
                  <c:v>35.526956660813248</c:v>
                </c:pt>
                <c:pt idx="53">
                  <c:v>35.509301759664574</c:v>
                </c:pt>
                <c:pt idx="54">
                  <c:v>35.492735329048209</c:v>
                </c:pt>
                <c:pt idx="55">
                  <c:v>35.476684598103333</c:v>
                </c:pt>
                <c:pt idx="56">
                  <c:v>35.460643179462053</c:v>
                </c:pt>
                <c:pt idx="57">
                  <c:v>35.444070713276112</c:v>
                </c:pt>
                <c:pt idx="58">
                  <c:v>35.426434312444158</c:v>
                </c:pt>
                <c:pt idx="59">
                  <c:v>35.407143753147267</c:v>
                </c:pt>
                <c:pt idx="60">
                  <c:v>35.385584698028289</c:v>
                </c:pt>
                <c:pt idx="61">
                  <c:v>35.361064578630817</c:v>
                </c:pt>
                <c:pt idx="62">
                  <c:v>35.332794097151904</c:v>
                </c:pt>
                <c:pt idx="63">
                  <c:v>35.299924067629753</c:v>
                </c:pt>
                <c:pt idx="64">
                  <c:v>35.261430950617559</c:v>
                </c:pt>
                <c:pt idx="65">
                  <c:v>35.216187650568862</c:v>
                </c:pt>
                <c:pt idx="66">
                  <c:v>35.162890765007838</c:v>
                </c:pt>
                <c:pt idx="67">
                  <c:v>35.100071561038803</c:v>
                </c:pt>
                <c:pt idx="68">
                  <c:v>35.02604152804517</c:v>
                </c:pt>
                <c:pt idx="69">
                  <c:v>34.938949618622843</c:v>
                </c:pt>
                <c:pt idx="70">
                  <c:v>34.836707536645605</c:v>
                </c:pt>
                <c:pt idx="71">
                  <c:v>34.717075441379571</c:v>
                </c:pt>
                <c:pt idx="72">
                  <c:v>34.577601443141006</c:v>
                </c:pt>
                <c:pt idx="73">
                  <c:v>34.415772648885358</c:v>
                </c:pt>
                <c:pt idx="74">
                  <c:v>34.228939391466</c:v>
                </c:pt>
                <c:pt idx="75">
                  <c:v>34.014539583769505</c:v>
                </c:pt>
                <c:pt idx="76">
                  <c:v>33.770048122504306</c:v>
                </c:pt>
                <c:pt idx="77">
                  <c:v>33.493302916477603</c:v>
                </c:pt>
                <c:pt idx="78">
                  <c:v>33.182413769217106</c:v>
                </c:pt>
                <c:pt idx="79">
                  <c:v>32.83618107958111</c:v>
                </c:pt>
                <c:pt idx="80">
                  <c:v>32.453111824288221</c:v>
                </c:pt>
                <c:pt idx="81">
                  <c:v>32.033417054080992</c:v>
                </c:pt>
                <c:pt idx="82">
                  <c:v>31.577146156129515</c:v>
                </c:pt>
                <c:pt idx="83">
                  <c:v>31.08555678755636</c:v>
                </c:pt>
                <c:pt idx="84">
                  <c:v>30.559736683909726</c:v>
                </c:pt>
                <c:pt idx="85">
                  <c:v>30.00188479627559</c:v>
                </c:pt>
                <c:pt idx="86">
                  <c:v>29.414177186281492</c:v>
                </c:pt>
                <c:pt idx="87">
                  <c:v>28.798752079321119</c:v>
                </c:pt>
                <c:pt idx="88">
                  <c:v>28.158779830635368</c:v>
                </c:pt>
                <c:pt idx="89">
                  <c:v>27.496349136702207</c:v>
                </c:pt>
                <c:pt idx="90">
                  <c:v>26.814232568301929</c:v>
                </c:pt>
                <c:pt idx="91">
                  <c:v>26.114774666876194</c:v>
                </c:pt>
                <c:pt idx="92">
                  <c:v>25.400305001587896</c:v>
                </c:pt>
                <c:pt idx="93">
                  <c:v>24.672647800108308</c:v>
                </c:pt>
                <c:pt idx="94">
                  <c:v>24.488984998862602</c:v>
                </c:pt>
                <c:pt idx="95">
                  <c:v>24.396328312421542</c:v>
                </c:pt>
                <c:pt idx="96">
                  <c:v>24.304567709192412</c:v>
                </c:pt>
                <c:pt idx="97">
                  <c:v>24.21159144005944</c:v>
                </c:pt>
                <c:pt idx="98">
                  <c:v>24.119521130822172</c:v>
                </c:pt>
                <c:pt idx="99">
                  <c:v>24.026214564486111</c:v>
                </c:pt>
                <c:pt idx="100">
                  <c:v>23.933823947078668</c:v>
                </c:pt>
                <c:pt idx="101">
                  <c:v>23.840248357993858</c:v>
                </c:pt>
                <c:pt idx="102">
                  <c:v>23.747597411554004</c:v>
                </c:pt>
                <c:pt idx="103">
                  <c:v>23.653674725027827</c:v>
                </c:pt>
                <c:pt idx="104">
                  <c:v>23.560686819488605</c:v>
                </c:pt>
                <c:pt idx="105">
                  <c:v>23.466480241085534</c:v>
                </c:pt>
                <c:pt idx="106">
                  <c:v>23.373217246201143</c:v>
                </c:pt>
                <c:pt idx="107">
                  <c:v>23.278786738989581</c:v>
                </c:pt>
                <c:pt idx="108">
                  <c:v>23.185307325770115</c:v>
                </c:pt>
                <c:pt idx="109">
                  <c:v>23.090645557142253</c:v>
                </c:pt>
                <c:pt idx="110">
                  <c:v>22.996942440928731</c:v>
                </c:pt>
                <c:pt idx="111">
                  <c:v>22.901981328651345</c:v>
                </c:pt>
                <c:pt idx="112">
                  <c:v>22.80798771463833</c:v>
                </c:pt>
                <c:pt idx="113">
                  <c:v>22.712789302772357</c:v>
                </c:pt>
                <c:pt idx="114">
                  <c:v>22.618565897603922</c:v>
                </c:pt>
                <c:pt idx="115">
                  <c:v>22.523128616913873</c:v>
                </c:pt>
                <c:pt idx="116">
                  <c:v>22.428673800137769</c:v>
                </c:pt>
                <c:pt idx="117">
                  <c:v>22.332997776536715</c:v>
                </c:pt>
                <c:pt idx="118">
                  <c:v>22.238311592496139</c:v>
                </c:pt>
                <c:pt idx="119">
                  <c:v>22.142456354074245</c:v>
                </c:pt>
                <c:pt idx="120">
                  <c:v>22.047597024048958</c:v>
                </c:pt>
                <c:pt idx="121">
                  <c:v>21.951562138606</c:v>
                </c:pt>
                <c:pt idx="122">
                  <c:v>21.856529155663331</c:v>
                </c:pt>
                <c:pt idx="123">
                  <c:v>21.760260210367104</c:v>
                </c:pt>
                <c:pt idx="124">
                  <c:v>21.665000216910006</c:v>
                </c:pt>
                <c:pt idx="125">
                  <c:v>21.568557375989187</c:v>
                </c:pt>
                <c:pt idx="126">
                  <c:v>21.473129210619209</c:v>
                </c:pt>
                <c:pt idx="127">
                  <c:v>21.376516065577761</c:v>
                </c:pt>
                <c:pt idx="128">
                  <c:v>21.280923170844879</c:v>
                </c:pt>
                <c:pt idx="129">
                  <c:v>21.184144466365289</c:v>
                </c:pt>
                <c:pt idx="130">
                  <c:v>21.088391416271453</c:v>
                </c:pt>
                <c:pt idx="131">
                  <c:v>20.991452952119182</c:v>
                </c:pt>
                <c:pt idx="132">
                  <c:v>20.943371611390621</c:v>
                </c:pt>
                <c:pt idx="133">
                  <c:v>20.895545355633146</c:v>
                </c:pt>
                <c:pt idx="134">
                  <c:v>20.846843738626355</c:v>
                </c:pt>
                <c:pt idx="135">
                  <c:v>20.798404037036541</c:v>
                </c:pt>
                <c:pt idx="136">
                  <c:v>20.750223558224612</c:v>
                </c:pt>
                <c:pt idx="137">
                  <c:v>20.702299648938919</c:v>
                </c:pt>
                <c:pt idx="138">
                  <c:v>20.653550332697087</c:v>
                </c:pt>
                <c:pt idx="139">
                  <c:v>20.605063878274326</c:v>
                </c:pt>
                <c:pt idx="140">
                  <c:v>20.556837570758763</c:v>
                </c:pt>
                <c:pt idx="141">
                  <c:v>20.508868735248459</c:v>
                </c:pt>
                <c:pt idx="142">
                  <c:v>20.460026345804785</c:v>
                </c:pt>
                <c:pt idx="143">
                  <c:v>20.411448236509798</c:v>
                </c:pt>
                <c:pt idx="144">
                  <c:v>20.36313166313327</c:v>
                </c:pt>
                <c:pt idx="145">
                  <c:v>20.315073922209798</c:v>
                </c:pt>
                <c:pt idx="146">
                  <c:v>20.26616808356172</c:v>
                </c:pt>
                <c:pt idx="147">
                  <c:v>20.217527609035614</c:v>
                </c:pt>
                <c:pt idx="148">
                  <c:v>20.169149730496482</c:v>
                </c:pt>
                <c:pt idx="149">
                  <c:v>20.121031721218742</c:v>
                </c:pt>
                <c:pt idx="150">
                  <c:v>20.072067307183993</c:v>
                </c:pt>
                <c:pt idx="151">
                  <c:v>20.023369273246384</c:v>
                </c:pt>
                <c:pt idx="152">
                  <c:v>19.97493482866642</c:v>
                </c:pt>
                <c:pt idx="153">
                  <c:v>19.926761224727066</c:v>
                </c:pt>
                <c:pt idx="154">
                  <c:v>19.877720888350016</c:v>
                </c:pt>
                <c:pt idx="155">
                  <c:v>19.828948122116007</c:v>
                </c:pt>
                <c:pt idx="156">
                  <c:v>19.780440110170296</c:v>
                </c:pt>
                <c:pt idx="157">
                  <c:v>19.732194079339894</c:v>
                </c:pt>
                <c:pt idx="158">
                  <c:v>19.683084663809375</c:v>
                </c:pt>
                <c:pt idx="159">
                  <c:v>19.634243920879083</c:v>
                </c:pt>
                <c:pt idx="160">
                  <c:v>19.585669011156501</c:v>
                </c:pt>
                <c:pt idx="161">
                  <c:v>19.537357138554217</c:v>
                </c:pt>
                <c:pt idx="162">
                  <c:v>19.488207172119015</c:v>
                </c:pt>
                <c:pt idx="163">
                  <c:v>19.439326655921519</c:v>
                </c:pt>
                <c:pt idx="164">
                  <c:v>19.390712732381097</c:v>
                </c:pt>
                <c:pt idx="165">
                  <c:v>19.342362587732495</c:v>
                </c:pt>
                <c:pt idx="166">
                  <c:v>19.293135643601222</c:v>
                </c:pt>
                <c:pt idx="167">
                  <c:v>19.244179312897696</c:v>
                </c:pt>
                <c:pt idx="168">
                  <c:v>19.195490713934792</c:v>
                </c:pt>
                <c:pt idx="169">
                  <c:v>19.14706700946833</c:v>
                </c:pt>
                <c:pt idx="170">
                  <c:v>19.09787474720812</c:v>
                </c:pt>
                <c:pt idx="171">
                  <c:v>19.048953024164422</c:v>
                </c:pt>
                <c:pt idx="172">
                  <c:v>19.000298954480115</c:v>
                </c:pt>
                <c:pt idx="173">
                  <c:v>18.951909696953731</c:v>
                </c:pt>
                <c:pt idx="174">
                  <c:v>18.902572524165627</c:v>
                </c:pt>
                <c:pt idx="175">
                  <c:v>18.853507776064895</c:v>
                </c:pt>
                <c:pt idx="176">
                  <c:v>18.804712531511353</c:v>
                </c:pt>
                <c:pt idx="177">
                  <c:v>18.756183914870693</c:v>
                </c:pt>
                <c:pt idx="178">
                  <c:v>18.706735554646279</c:v>
                </c:pt>
                <c:pt idx="179">
                  <c:v>18.657561127123234</c:v>
                </c:pt>
                <c:pt idx="180">
                  <c:v>18.608657681996441</c:v>
                </c:pt>
                <c:pt idx="181">
                  <c:v>18.560022315188892</c:v>
                </c:pt>
                <c:pt idx="182">
                  <c:v>18.510687450810003</c:v>
                </c:pt>
                <c:pt idx="183">
                  <c:v>18.461625534794983</c:v>
                </c:pt>
                <c:pt idx="184">
                  <c:v>18.412833628008215</c:v>
                </c:pt>
                <c:pt idx="185">
                  <c:v>18.364308837420293</c:v>
                </c:pt>
                <c:pt idx="186">
                  <c:v>18.314727216487103</c:v>
                </c:pt>
                <c:pt idx="187">
                  <c:v>18.265421531876051</c:v>
                </c:pt>
                <c:pt idx="188">
                  <c:v>18.216388791668233</c:v>
                </c:pt>
                <c:pt idx="189">
                  <c:v>18.167626051262754</c:v>
                </c:pt>
                <c:pt idx="190">
                  <c:v>18.118207501693643</c:v>
                </c:pt>
                <c:pt idx="191">
                  <c:v>18.06906332696029</c:v>
                </c:pt>
                <c:pt idx="192">
                  <c:v>18.020190556164412</c:v>
                </c:pt>
                <c:pt idx="193">
                  <c:v>17.971586265384534</c:v>
                </c:pt>
                <c:pt idx="194">
                  <c:v>17.921983817388629</c:v>
                </c:pt>
                <c:pt idx="195">
                  <c:v>17.872658020072588</c:v>
                </c:pt>
                <c:pt idx="196">
                  <c:v>17.823605861487589</c:v>
                </c:pt>
                <c:pt idx="197">
                  <c:v>17.774824377623844</c:v>
                </c:pt>
                <c:pt idx="198">
                  <c:v>17.725251281168223</c:v>
                </c:pt>
                <c:pt idx="199">
                  <c:v>17.675954734238307</c:v>
                </c:pt>
                <c:pt idx="200">
                  <c:v>17.626931722615243</c:v>
                </c:pt>
                <c:pt idx="201">
                  <c:v>17.578179280158995</c:v>
                </c:pt>
                <c:pt idx="202">
                  <c:v>17.528658435839969</c:v>
                </c:pt>
                <c:pt idx="203">
                  <c:v>17.4794137743222</c:v>
                </c:pt>
                <c:pt idx="204">
                  <c:v>17.430442283646347</c:v>
                </c:pt>
                <c:pt idx="205">
                  <c:v>17.381740999971171</c:v>
                </c:pt>
                <c:pt idx="206">
                  <c:v>17.332124885898587</c:v>
                </c:pt>
                <c:pt idx="207">
                  <c:v>17.282786220604962</c:v>
                </c:pt>
                <c:pt idx="208">
                  <c:v>17.233721967891444</c:v>
                </c:pt>
                <c:pt idx="209">
                  <c:v>17.184929140276409</c:v>
                </c:pt>
                <c:pt idx="210">
                  <c:v>17.135083639141065</c:v>
                </c:pt>
                <c:pt idx="211">
                  <c:v>17.085518349118725</c:v>
                </c:pt>
                <c:pt idx="212">
                  <c:v>17.036230185227538</c:v>
                </c:pt>
                <c:pt idx="213">
                  <c:v>16.987216112327765</c:v>
                </c:pt>
                <c:pt idx="214">
                  <c:v>16.937504259151442</c:v>
                </c:pt>
                <c:pt idx="215">
                  <c:v>16.888071309331224</c:v>
                </c:pt>
                <c:pt idx="216">
                  <c:v>16.838914196128126</c:v>
                </c:pt>
                <c:pt idx="217">
                  <c:v>16.79002990232944</c:v>
                </c:pt>
                <c:pt idx="218">
                  <c:v>16.740310110125094</c:v>
                </c:pt>
                <c:pt idx="219">
                  <c:v>16.690869489865825</c:v>
                </c:pt>
                <c:pt idx="220">
                  <c:v>16.64170496728099</c:v>
                </c:pt>
                <c:pt idx="221">
                  <c:v>16.592813517860748</c:v>
                </c:pt>
                <c:pt idx="222">
                  <c:v>16.5431113054888</c:v>
                </c:pt>
                <c:pt idx="223">
                  <c:v>16.493688239673279</c:v>
                </c:pt>
                <c:pt idx="224">
                  <c:v>16.444541243597605</c:v>
                </c:pt>
                <c:pt idx="225">
                  <c:v>16.395667290330142</c:v>
                </c:pt>
                <c:pt idx="226">
                  <c:v>16.345855513705438</c:v>
                </c:pt>
                <c:pt idx="227">
                  <c:v>16.296324276635914</c:v>
                </c:pt>
                <c:pt idx="228">
                  <c:v>16.247070476463652</c:v>
                </c:pt>
                <c:pt idx="229">
                  <c:v>16.198091061039271</c:v>
                </c:pt>
                <c:pt idx="230">
                  <c:v>16.098594490190443</c:v>
                </c:pt>
                <c:pt idx="231">
                  <c:v>16.049265431538913</c:v>
                </c:pt>
                <c:pt idx="232">
                  <c:v>16.000211745219801</c:v>
                </c:pt>
                <c:pt idx="233">
                  <c:v>15.950275680785095</c:v>
                </c:pt>
                <c:pt idx="234">
                  <c:v>15.900621862708494</c:v>
                </c:pt>
                <c:pt idx="235">
                  <c:v>15.851247154697921</c:v>
                </c:pt>
                <c:pt idx="236">
                  <c:v>15.802148471824339</c:v>
                </c:pt>
                <c:pt idx="237">
                  <c:v>15.752334917964575</c:v>
                </c:pt>
                <c:pt idx="238">
                  <c:v>15.702802374610583</c:v>
                </c:pt>
                <c:pt idx="239">
                  <c:v>15.653547723516327</c:v>
                </c:pt>
                <c:pt idx="240">
                  <c:v>15.604567897463188</c:v>
                </c:pt>
                <c:pt idx="241">
                  <c:v>15.554618040976171</c:v>
                </c:pt>
                <c:pt idx="242">
                  <c:v>15.50495086809647</c:v>
                </c:pt>
                <c:pt idx="243">
                  <c:v>15.455563230389357</c:v>
                </c:pt>
                <c:pt idx="244">
                  <c:v>15.406452031160073</c:v>
                </c:pt>
                <c:pt idx="245">
                  <c:v>15.356535019514626</c:v>
                </c:pt>
                <c:pt idx="246">
                  <c:v>15.306900452231158</c:v>
                </c:pt>
                <c:pt idx="247">
                  <c:v>15.257545182594596</c:v>
                </c:pt>
                <c:pt idx="248">
                  <c:v>15.208466115644594</c:v>
                </c:pt>
                <c:pt idx="249">
                  <c:v>15.158473206147322</c:v>
                </c:pt>
                <c:pt idx="250">
                  <c:v>15.108763723873038</c:v>
                </c:pt>
                <c:pt idx="251">
                  <c:v>15.059334503542122</c:v>
                </c:pt>
                <c:pt idx="252">
                  <c:v>15.010182432087348</c:v>
                </c:pt>
                <c:pt idx="253">
                  <c:v>14.960272932580787</c:v>
                </c:pt>
                <c:pt idx="254">
                  <c:v>14.910646037710659</c:v>
                </c:pt>
                <c:pt idx="255">
                  <c:v>14.861298593868666</c:v>
                </c:pt>
                <c:pt idx="256">
                  <c:v>14.812227499449728</c:v>
                </c:pt>
                <c:pt idx="257">
                  <c:v>14.76216911694096</c:v>
                </c:pt>
                <c:pt idx="258">
                  <c:v>14.712395137743561</c:v>
                </c:pt>
                <c:pt idx="259">
                  <c:v>14.662902376195539</c:v>
                </c:pt>
                <c:pt idx="260">
                  <c:v>14.613687699388167</c:v>
                </c:pt>
                <c:pt idx="261">
                  <c:v>14.563638932932029</c:v>
                </c:pt>
                <c:pt idx="262">
                  <c:v>14.513874570725827</c:v>
                </c:pt>
                <c:pt idx="263">
                  <c:v>14.464391425198313</c:v>
                </c:pt>
                <c:pt idx="264">
                  <c:v>14.415186361616572</c:v>
                </c:pt>
                <c:pt idx="265">
                  <c:v>14.365172062298928</c:v>
                </c:pt>
                <c:pt idx="266">
                  <c:v>14.315441881473454</c:v>
                </c:pt>
                <c:pt idx="267">
                  <c:v>14.265992634556358</c:v>
                </c:pt>
                <c:pt idx="268">
                  <c:v>14.216821189778017</c:v>
                </c:pt>
                <c:pt idx="269">
                  <c:v>14.16674675942814</c:v>
                </c:pt>
                <c:pt idx="270">
                  <c:v>14.116957229403852</c:v>
                </c:pt>
                <c:pt idx="271">
                  <c:v>14.067449400279052</c:v>
                </c:pt>
                <c:pt idx="272">
                  <c:v>14.018220125809066</c:v>
                </c:pt>
                <c:pt idx="273">
                  <c:v>13.968115040770011</c:v>
                </c:pt>
                <c:pt idx="274">
                  <c:v>13.918295299854424</c:v>
                </c:pt>
                <c:pt idx="275">
                  <c:v>13.868757694528028</c:v>
                </c:pt>
                <c:pt idx="276">
                  <c:v>13.819499069677551</c:v>
                </c:pt>
                <c:pt idx="277">
                  <c:v>13.769503449141247</c:v>
                </c:pt>
                <c:pt idx="278">
                  <c:v>13.719792021950234</c:v>
                </c:pt>
                <c:pt idx="279">
                  <c:v>13.67036159734255</c:v>
                </c:pt>
                <c:pt idx="280">
                  <c:v>13.62120903761971</c:v>
                </c:pt>
                <c:pt idx="281">
                  <c:v>13.571011047680056</c:v>
                </c:pt>
                <c:pt idx="282">
                  <c:v>13.521099637472053</c:v>
                </c:pt>
                <c:pt idx="283">
                  <c:v>13.471471574563674</c:v>
                </c:pt>
                <c:pt idx="284">
                  <c:v>13.422123680544811</c:v>
                </c:pt>
                <c:pt idx="285">
                  <c:v>13.372084970855024</c:v>
                </c:pt>
                <c:pt idx="286">
                  <c:v>13.322331113596489</c:v>
                </c:pt>
                <c:pt idx="287">
                  <c:v>13.272858904006263</c:v>
                </c:pt>
                <c:pt idx="288">
                  <c:v>13.223665190762198</c:v>
                </c:pt>
                <c:pt idx="289">
                  <c:v>13.173485371805349</c:v>
                </c:pt>
                <c:pt idx="290">
                  <c:v>13.123592089380448</c:v>
                </c:pt>
                <c:pt idx="291">
                  <c:v>13.073982108968691</c:v>
                </c:pt>
                <c:pt idx="292">
                  <c:v>13.024652250183992</c:v>
                </c:pt>
                <c:pt idx="293">
                  <c:v>12.974469060883173</c:v>
                </c:pt>
                <c:pt idx="294">
                  <c:v>12.924572522913076</c:v>
                </c:pt>
                <c:pt idx="295">
                  <c:v>12.874959398502426</c:v>
                </c:pt>
                <c:pt idx="296">
                  <c:v>12.825626504115542</c:v>
                </c:pt>
                <c:pt idx="297">
                  <c:v>12.775465848899204</c:v>
                </c:pt>
                <c:pt idx="298">
                  <c:v>12.725591661256985</c:v>
                </c:pt>
                <c:pt idx="299">
                  <c:v>12.676000705270475</c:v>
                </c:pt>
                <c:pt idx="300">
                  <c:v>12.626689799243769</c:v>
                </c:pt>
                <c:pt idx="301">
                  <c:v>12.576575836938254</c:v>
                </c:pt>
                <c:pt idx="302">
                  <c:v>12.52674788006682</c:v>
                </c:pt>
                <c:pt idx="303">
                  <c:v>12.477202699325717</c:v>
                </c:pt>
                <c:pt idx="304">
                  <c:v>12.427937119514009</c:v>
                </c:pt>
                <c:pt idx="305">
                  <c:v>12.377700416802684</c:v>
                </c:pt>
                <c:pt idx="306">
                  <c:v>12.327751184810054</c:v>
                </c:pt>
                <c:pt idx="307">
                  <c:v>12.278086168309576</c:v>
                </c:pt>
                <c:pt idx="308">
                  <c:v>12.228702166781723</c:v>
                </c:pt>
                <c:pt idx="309">
                  <c:v>12.178564196521471</c:v>
                </c:pt>
                <c:pt idx="310">
                  <c:v>12.128712634771396</c:v>
                </c:pt>
                <c:pt idx="311">
                  <c:v>12.079144243192932</c:v>
                </c:pt>
                <c:pt idx="312">
                  <c:v>12.029855837801973</c:v>
                </c:pt>
                <c:pt idx="313">
                  <c:v>11.979652316679761</c:v>
                </c:pt>
                <c:pt idx="314">
                  <c:v>11.929736011965</c:v>
                </c:pt>
                <c:pt idx="315">
                  <c:v>11.88010367060599</c:v>
                </c:pt>
                <c:pt idx="316">
                  <c:v>11.830752094257697</c:v>
                </c:pt>
                <c:pt idx="317">
                  <c:v>11.780513068701499</c:v>
                </c:pt>
                <c:pt idx="318">
                  <c:v>11.73056172282986</c:v>
                </c:pt>
                <c:pt idx="319">
                  <c:v>11.680894794743111</c:v>
                </c:pt>
                <c:pt idx="320">
                  <c:v>11.63150907746946</c:v>
                </c:pt>
                <c:pt idx="321">
                  <c:v>11.5812626625808</c:v>
                </c:pt>
                <c:pt idx="322">
                  <c:v>11.531304067240885</c:v>
                </c:pt>
                <c:pt idx="323">
                  <c:v>11.481630026225996</c:v>
                </c:pt>
                <c:pt idx="324">
                  <c:v>11.432237329336335</c:v>
                </c:pt>
                <c:pt idx="325">
                  <c:v>11.382009789976786</c:v>
                </c:pt>
                <c:pt idx="326">
                  <c:v>11.332069907508446</c:v>
                </c:pt>
                <c:pt idx="327">
                  <c:v>11.282414418559885</c:v>
                </c:pt>
                <c:pt idx="328">
                  <c:v>11.233040114763106</c:v>
                </c:pt>
                <c:pt idx="329">
                  <c:v>11.182772268714938</c:v>
                </c:pt>
                <c:pt idx="330">
                  <c:v>11.132792590711809</c:v>
                </c:pt>
                <c:pt idx="331">
                  <c:v>11.08309780783695</c:v>
                </c:pt>
                <c:pt idx="332">
                  <c:v>11.033684702410707</c:v>
                </c:pt>
                <c:pt idx="333">
                  <c:v>10.983486815196745</c:v>
                </c:pt>
                <c:pt idx="334">
                  <c:v>10.933576344981615</c:v>
                </c:pt>
                <c:pt idx="335">
                  <c:v>10.883950030774294</c:v>
                </c:pt>
                <c:pt idx="336">
                  <c:v>10.834604666571758</c:v>
                </c:pt>
                <c:pt idx="337">
                  <c:v>10.784337925157841</c:v>
                </c:pt>
                <c:pt idx="338">
                  <c:v>10.734359433618337</c:v>
                </c:pt>
                <c:pt idx="339">
                  <c:v>10.684665916026979</c:v>
                </c:pt>
                <c:pt idx="340">
                  <c:v>10.635254151799234</c:v>
                </c:pt>
                <c:pt idx="341">
                  <c:v>10.584948925860409</c:v>
                </c:pt>
                <c:pt idx="342">
                  <c:v>10.534932434230409</c:v>
                </c:pt>
                <c:pt idx="343">
                  <c:v>10.48520139198761</c:v>
                </c:pt>
                <c:pt idx="344">
                  <c:v>10.435752569771255</c:v>
                </c:pt>
                <c:pt idx="345">
                  <c:v>10.385513639764731</c:v>
                </c:pt>
                <c:pt idx="346">
                  <c:v>10.335562727778921</c:v>
                </c:pt>
                <c:pt idx="347">
                  <c:v>10.2858965603538</c:v>
                </c:pt>
                <c:pt idx="348">
                  <c:v>10.236511919349081</c:v>
                </c:pt>
                <c:pt idx="349">
                  <c:v>10.186211377720687</c:v>
                </c:pt>
                <c:pt idx="350">
                  <c:v>10.136199599189645</c:v>
                </c:pt>
                <c:pt idx="351">
                  <c:v>10.086473296932381</c:v>
                </c:pt>
                <c:pt idx="352">
                  <c:v>10.037029239760951</c:v>
                </c:pt>
                <c:pt idx="353">
                  <c:v>9.9866970314593644</c:v>
                </c:pt>
                <c:pt idx="354">
                  <c:v>9.9366539874168307</c:v>
                </c:pt>
                <c:pt idx="355">
                  <c:v>9.8868968133173514</c:v>
                </c:pt>
                <c:pt idx="356">
                  <c:v>9.8374222706647494</c:v>
                </c:pt>
                <c:pt idx="357">
                  <c:v>9.787157697172578</c:v>
                </c:pt>
                <c:pt idx="358">
                  <c:v>9.7371815502241006</c:v>
                </c:pt>
                <c:pt idx="359">
                  <c:v>9.6874905474385571</c:v>
                </c:pt>
                <c:pt idx="360">
                  <c:v>9.6380814620005992</c:v>
                </c:pt>
                <c:pt idx="361">
                  <c:v>9.5877664733916799</c:v>
                </c:pt>
                <c:pt idx="362">
                  <c:v>9.537740523601542</c:v>
                </c:pt>
                <c:pt idx="363">
                  <c:v>9.4880003192215749</c:v>
                </c:pt>
                <c:pt idx="364">
                  <c:v>9.4385426226702318</c:v>
                </c:pt>
                <c:pt idx="365">
                  <c:v>9.3882745467553068</c:v>
                </c:pt>
                <c:pt idx="366">
                  <c:v>9.3382950059052039</c:v>
                </c:pt>
                <c:pt idx="367">
                  <c:v>9.2886007147210261</c:v>
                </c:pt>
                <c:pt idx="368">
                  <c:v>9.2391884434636289</c:v>
                </c:pt>
                <c:pt idx="369">
                  <c:v>9.1888568507636315</c:v>
                </c:pt>
                <c:pt idx="370">
                  <c:v>9.1388145526556084</c:v>
                </c:pt>
                <c:pt idx="371">
                  <c:v>9.0890582502486374</c:v>
                </c:pt>
                <c:pt idx="372">
                  <c:v>9.0395847006282217</c:v>
                </c:pt>
                <c:pt idx="373">
                  <c:v>8.9892847655819281</c:v>
                </c:pt>
                <c:pt idx="374">
                  <c:v>8.9392737929047037</c:v>
                </c:pt>
                <c:pt idx="375">
                  <c:v>8.8895484888481739</c:v>
                </c:pt>
                <c:pt idx="376">
                  <c:v>8.840105615536034</c:v>
                </c:pt>
                <c:pt idx="377">
                  <c:v>8.7897339335366826</c:v>
                </c:pt>
                <c:pt idx="378">
                  <c:v>8.7396520657068937</c:v>
                </c:pt>
                <c:pt idx="379">
                  <c:v>8.6898567032644003</c:v>
                </c:pt>
                <c:pt idx="380">
                  <c:v>8.6403445936496492</c:v>
                </c:pt>
                <c:pt idx="381">
                  <c:v>8.5900561700215476</c:v>
                </c:pt>
                <c:pt idx="382">
                  <c:v>8.5400566338928581</c:v>
                </c:pt>
                <c:pt idx="383">
                  <c:v>8.4903426918169895</c:v>
                </c:pt>
                <c:pt idx="384">
                  <c:v>8.4409111062346458</c:v>
                </c:pt>
                <c:pt idx="385">
                  <c:v>8.3905440609471338</c:v>
                </c:pt>
                <c:pt idx="386">
                  <c:v>8.3404668312213062</c:v>
                </c:pt>
                <c:pt idx="387">
                  <c:v>8.2906761073164308</c:v>
                </c:pt>
                <c:pt idx="388">
                  <c:v>8.2411686357573899</c:v>
                </c:pt>
                <c:pt idx="389">
                  <c:v>8.1908135034465808</c:v>
                </c:pt>
                <c:pt idx="390">
                  <c:v>8.1407480754797401</c:v>
                </c:pt>
                <c:pt idx="391">
                  <c:v>8.0909690435797046</c:v>
                </c:pt>
                <c:pt idx="392">
                  <c:v>8.0414731557122465</c:v>
                </c:pt>
                <c:pt idx="393">
                  <c:v>7.9911550820539308</c:v>
                </c:pt>
                <c:pt idx="394">
                  <c:v>7.9411263119820195</c:v>
                </c:pt>
                <c:pt idx="395">
                  <c:v>7.8913835436471818</c:v>
                </c:pt>
                <c:pt idx="396">
                  <c:v>7.8419235313068416</c:v>
                </c:pt>
                <c:pt idx="397">
                  <c:v>7.7915525574110447</c:v>
                </c:pt>
                <c:pt idx="398">
                  <c:v>7.7414715171929549</c:v>
                </c:pt>
                <c:pt idx="399">
                  <c:v>7.6916770976437796</c:v>
                </c:pt>
                <c:pt idx="400">
                  <c:v>7.6421660421231081</c:v>
                </c:pt>
                <c:pt idx="401">
                  <c:v>7.5918270511389627</c:v>
                </c:pt>
                <c:pt idx="402">
                  <c:v>7.5417776489830999</c:v>
                </c:pt>
                <c:pt idx="403">
                  <c:v>7.4920145281599719</c:v>
                </c:pt>
                <c:pt idx="404">
                  <c:v>7.4425344374261808</c:v>
                </c:pt>
                <c:pt idx="405">
                  <c:v>7.3921970702630233</c:v>
                </c:pt>
                <c:pt idx="406">
                  <c:v>7.3421492944500475</c:v>
                </c:pt>
                <c:pt idx="407">
                  <c:v>7.2923878020872106</c:v>
                </c:pt>
                <c:pt idx="408">
                  <c:v>7.2429093415437071</c:v>
                </c:pt>
                <c:pt idx="409">
                  <c:v>7.192546484809867</c:v>
                </c:pt>
                <c:pt idx="410">
                  <c:v>7.1424735321604738</c:v>
                </c:pt>
                <c:pt idx="411">
                  <c:v>7.0926871700051564</c:v>
                </c:pt>
                <c:pt idx="412">
                  <c:v>7.0431841411595002</c:v>
                </c:pt>
                <c:pt idx="413">
                  <c:v>6.9928234407687304</c:v>
                </c:pt>
                <c:pt idx="414">
                  <c:v>6.9427526390235252</c:v>
                </c:pt>
                <c:pt idx="415">
                  <c:v>6.892968422096061</c:v>
                </c:pt>
                <c:pt idx="416">
                  <c:v>6.8434675325776535</c:v>
                </c:pt>
                <c:pt idx="417">
                  <c:v>6.7930842502455926</c:v>
                </c:pt>
                <c:pt idx="418">
                  <c:v>6.7429911443141988</c:v>
                </c:pt>
                <c:pt idx="419">
                  <c:v>6.6931848958898623</c:v>
                </c:pt>
                <c:pt idx="420">
                  <c:v>6.6436622426199161</c:v>
                </c:pt>
                <c:pt idx="421">
                  <c:v>6.5933332557905509</c:v>
                </c:pt>
                <c:pt idx="422">
                  <c:v>6.5432938396703264</c:v>
                </c:pt>
                <c:pt idx="423">
                  <c:v>6.493540685421662</c:v>
                </c:pt>
                <c:pt idx="424">
                  <c:v>6.4440705405267495</c:v>
                </c:pt>
                <c:pt idx="425">
                  <c:v>6.3936733158882983</c:v>
                </c:pt>
                <c:pt idx="426">
                  <c:v>6.3435664622864882</c:v>
                </c:pt>
                <c:pt idx="427">
                  <c:v>6.2937466569079037</c:v>
                </c:pt>
                <c:pt idx="428">
                  <c:v>6.2442106335819991</c:v>
                </c:pt>
                <c:pt idx="429">
                  <c:v>6.1938228927278995</c:v>
                </c:pt>
                <c:pt idx="430">
                  <c:v>6.143725430039094</c:v>
                </c:pt>
                <c:pt idx="431">
                  <c:v>6.093914924016425</c:v>
                </c:pt>
                <c:pt idx="432">
                  <c:v>6.0443881097803152</c:v>
                </c:pt>
                <c:pt idx="433">
                  <c:v>5.9940352082680999</c:v>
                </c:pt>
                <c:pt idx="434">
                  <c:v>5.943972200139723</c:v>
                </c:pt>
                <c:pt idx="435">
                  <c:v>5.8941957702171797</c:v>
                </c:pt>
                <c:pt idx="436">
                  <c:v>5.844702659804776</c:v>
                </c:pt>
                <c:pt idx="437">
                  <c:v>5.794318097184588</c:v>
                </c:pt>
                <c:pt idx="438">
                  <c:v>5.7442238062332063</c:v>
                </c:pt>
                <c:pt idx="439">
                  <c:v>5.6944164650496196</c:v>
                </c:pt>
                <c:pt idx="440">
                  <c:v>5.6448928083729379</c:v>
                </c:pt>
                <c:pt idx="441">
                  <c:v>5.5945046756555321</c:v>
                </c:pt>
                <c:pt idx="442">
                  <c:v>5.5444068696333071</c:v>
                </c:pt>
                <c:pt idx="443">
                  <c:v>5.4945960672238749</c:v>
                </c:pt>
                <c:pt idx="444">
                  <c:v>5.4450690020171493</c:v>
                </c:pt>
                <c:pt idx="445">
                  <c:v>5.3947035247898718</c:v>
                </c:pt>
                <c:pt idx="446">
                  <c:v>5.344628127358078</c:v>
                </c:pt>
                <c:pt idx="447">
                  <c:v>5.294839490636793</c:v>
                </c:pt>
                <c:pt idx="448">
                  <c:v>5.2453343521283413</c:v>
                </c:pt>
                <c:pt idx="449">
                  <c:v>5.1949318627186134</c:v>
                </c:pt>
                <c:pt idx="450">
                  <c:v>5.1448198911540812</c:v>
                </c:pt>
                <c:pt idx="451">
                  <c:v>5.0949951106322029</c:v>
                </c:pt>
                <c:pt idx="452">
                  <c:v>5.0454542511170111</c:v>
                </c:pt>
                <c:pt idx="453">
                  <c:v>4.995084325245057</c:v>
                </c:pt>
                <c:pt idx="454">
                  <c:v>4.9450045552211623</c:v>
                </c:pt>
                <c:pt idx="455">
                  <c:v>4.8952116202328284</c:v>
                </c:pt>
                <c:pt idx="456">
                  <c:v>4.845702256102963</c:v>
                </c:pt>
                <c:pt idx="457">
                  <c:v>4.7953083513462396</c:v>
                </c:pt>
                <c:pt idx="458">
                  <c:v>4.7452048896179733</c:v>
                </c:pt>
                <c:pt idx="459">
                  <c:v>4.6953885449890267</c:v>
                </c:pt>
                <c:pt idx="460">
                  <c:v>4.645856048286837</c:v>
                </c:pt>
                <c:pt idx="461">
                  <c:v>4.5954657587712093</c:v>
                </c:pt>
                <c:pt idx="462">
                  <c:v>4.5453658818598868</c:v>
                </c:pt>
                <c:pt idx="463">
                  <c:v>4.4955530919547639</c:v>
                </c:pt>
                <c:pt idx="464">
                  <c:v>4.4460241202109794</c:v>
                </c:pt>
                <c:pt idx="465">
                  <c:v>4.3956248343999142</c:v>
                </c:pt>
                <c:pt idx="466">
                  <c:v>4.3455160752291908</c:v>
                </c:pt>
                <c:pt idx="467">
                  <c:v>4.29569451496595</c:v>
                </c:pt>
                <c:pt idx="468">
                  <c:v>4.2461568826826497</c:v>
                </c:pt>
                <c:pt idx="469">
                  <c:v>4.1957752047170285</c:v>
                </c:pt>
                <c:pt idx="470">
                  <c:v>4.1456838611546107</c:v>
                </c:pt>
                <c:pt idx="471">
                  <c:v>4.0958795273820199</c:v>
                </c:pt>
                <c:pt idx="472">
                  <c:v>4.0463589355247214</c:v>
                </c:pt>
                <c:pt idx="473">
                  <c:v>3.9959463945189406</c:v>
                </c:pt>
                <c:pt idx="474">
                  <c:v>3.9458245524068696</c:v>
                </c:pt>
                <c:pt idx="475">
                  <c:v>3.8959900781647421</c:v>
                </c:pt>
                <c:pt idx="476">
                  <c:v>3.8464396976567934</c:v>
                </c:pt>
                <c:pt idx="477">
                  <c:v>3.7960243757037206</c:v>
                </c:pt>
                <c:pt idx="478">
                  <c:v>3.7458997938914953</c:v>
                </c:pt>
                <c:pt idx="479">
                  <c:v>3.696062620330975</c:v>
                </c:pt>
                <c:pt idx="480">
                  <c:v>3.6465095800443299</c:v>
                </c:pt>
                <c:pt idx="481">
                  <c:v>3.5961176915354658</c:v>
                </c:pt>
                <c:pt idx="482">
                  <c:v>3.5460162825716894</c:v>
                </c:pt>
                <c:pt idx="483">
                  <c:v>3.496202025578778</c:v>
                </c:pt>
                <c:pt idx="484">
                  <c:v>3.4466716497990211</c:v>
                </c:pt>
                <c:pt idx="485">
                  <c:v>3.3962934308565695</c:v>
                </c:pt>
                <c:pt idx="486">
                  <c:v>3.346205542774257</c:v>
                </c:pt>
                <c:pt idx="487">
                  <c:v>3.2964046603809405</c:v>
                </c:pt>
                <c:pt idx="488">
                  <c:v>3.24688751527093</c:v>
                </c:pt>
                <c:pt idx="489">
                  <c:v>3.1964811913738438</c:v>
                </c:pt>
                <c:pt idx="490">
                  <c:v>3.1463655294954189</c:v>
                </c:pt>
                <c:pt idx="491">
                  <c:v>3.0965371986523444</c:v>
                </c:pt>
                <c:pt idx="492">
                  <c:v>3.0469929247618515</c:v>
                </c:pt>
                <c:pt idx="493">
                  <c:v>2.9965863845890479</c:v>
                </c:pt>
                <c:pt idx="494">
                  <c:v>2.9464705166248892</c:v>
                </c:pt>
                <c:pt idx="495">
                  <c:v>2.8966419895798974</c:v>
                </c:pt>
                <c:pt idx="496">
                  <c:v>2.8470975290749752</c:v>
                </c:pt>
                <c:pt idx="497">
                  <c:v>2.7966848870978622</c:v>
                </c:pt>
                <c:pt idx="498">
                  <c:v>2.7465629948617458</c:v>
                </c:pt>
                <c:pt idx="499">
                  <c:v>2.6967285196224653</c:v>
                </c:pt>
                <c:pt idx="500">
                  <c:v>2.6471781855818737</c:v>
                </c:pt>
                <c:pt idx="501">
                  <c:v>2.5967546838691149</c:v>
                </c:pt>
                <c:pt idx="502">
                  <c:v>2.5466220638455694</c:v>
                </c:pt>
                <c:pt idx="503">
                  <c:v>2.4967769903840971</c:v>
                </c:pt>
                <c:pt idx="504">
                  <c:v>2.447216185361047</c:v>
                </c:pt>
                <c:pt idx="505">
                  <c:v>2.396808589525206</c:v>
                </c:pt>
                <c:pt idx="506">
                  <c:v>2.3466916991314801</c:v>
                </c:pt>
                <c:pt idx="507">
                  <c:v>2.2968621819604698</c:v>
                </c:pt>
                <c:pt idx="508">
                  <c:v>2.2473167627322854</c:v>
                </c:pt>
                <c:pt idx="509">
                  <c:v>2.1969202421039387</c:v>
                </c:pt>
                <c:pt idx="510">
                  <c:v>2.146814305959615</c:v>
                </c:pt>
                <c:pt idx="511">
                  <c:v>2.096995624044022</c:v>
                </c:pt>
                <c:pt idx="512">
                  <c:v>2.0474609229994121</c:v>
                </c:pt>
                <c:pt idx="513">
                  <c:v>1.9970425197641728</c:v>
                </c:pt>
                <c:pt idx="514">
                  <c:v>1.9469149588091861</c:v>
                </c:pt>
                <c:pt idx="515">
                  <c:v>1.8970749053545009</c:v>
                </c:pt>
                <c:pt idx="516">
                  <c:v>1.8475190816230935</c:v>
                </c:pt>
                <c:pt idx="517">
                  <c:v>1.7971062885876521</c:v>
                </c:pt>
                <c:pt idx="518">
                  <c:v>1.7469842791419097</c:v>
                </c:pt>
                <c:pt idx="519">
                  <c:v>1.6971497194124918</c:v>
                </c:pt>
                <c:pt idx="520">
                  <c:v>1.6475993325107241</c:v>
                </c:pt>
                <c:pt idx="521">
                  <c:v>1.5971899998553205</c:v>
                </c:pt>
                <c:pt idx="522">
                  <c:v>1.5470714165672099</c:v>
                </c:pt>
                <c:pt idx="523">
                  <c:v>1.4972402492646206</c:v>
                </c:pt>
                <c:pt idx="524">
                  <c:v>1.4476932215412659</c:v>
                </c:pt>
                <c:pt idx="525">
                  <c:v>1.3972859698053666</c:v>
                </c:pt>
                <c:pt idx="526">
                  <c:v>1.347169448830301</c:v>
                </c:pt>
                <c:pt idx="527">
                  <c:v>1.2973403254624745</c:v>
                </c:pt>
                <c:pt idx="528">
                  <c:v>1.2477953235205645</c:v>
                </c:pt>
                <c:pt idx="529">
                  <c:v>1.1973894799274123</c:v>
                </c:pt>
                <c:pt idx="530">
                  <c:v>1.1472743559870135</c:v>
                </c:pt>
                <c:pt idx="531">
                  <c:v>1.097446618649395</c:v>
                </c:pt>
                <c:pt idx="532">
                  <c:v>1.0479029918362543</c:v>
                </c:pt>
                <c:pt idx="533">
                  <c:v>0.99747258357961066</c:v>
                </c:pt>
                <c:pt idx="534">
                  <c:v>0.94733318244914555</c:v>
                </c:pt>
                <c:pt idx="535">
                  <c:v>0.89748145038087324</c:v>
                </c:pt>
                <c:pt idx="536">
                  <c:v>0.84791410639866882</c:v>
                </c:pt>
                <c:pt idx="537">
                  <c:v>0.79751218009584313</c:v>
                </c:pt>
                <c:pt idx="538">
                  <c:v>0.7474009378909553</c:v>
                </c:pt>
                <c:pt idx="539">
                  <c:v>0.6975770471815429</c:v>
                </c:pt>
                <c:pt idx="540">
                  <c:v>0.64803723233038957</c:v>
                </c:pt>
                <c:pt idx="541">
                  <c:v>0.59761355792112769</c:v>
                </c:pt>
                <c:pt idx="542">
                  <c:v>0.54748082223190508</c:v>
                </c:pt>
                <c:pt idx="543">
                  <c:v>0.49763568821711024</c:v>
                </c:pt>
                <c:pt idx="544">
                  <c:v>0.44807487589961553</c:v>
                </c:pt>
                <c:pt idx="545">
                  <c:v>0.39765694550329911</c:v>
                </c:pt>
                <c:pt idx="546">
                  <c:v>0.34752989197238454</c:v>
                </c:pt>
                <c:pt idx="547">
                  <c:v>0.29769037925022829</c:v>
                </c:pt>
                <c:pt idx="548">
                  <c:v>0.24813512832723217</c:v>
                </c:pt>
                <c:pt idx="549">
                  <c:v>0.19772492654265772</c:v>
                </c:pt>
                <c:pt idx="550">
                  <c:v>0.14760551675253036</c:v>
                </c:pt>
                <c:pt idx="551">
                  <c:v>9.7773564286731118E-2</c:v>
                </c:pt>
                <c:pt idx="552">
                  <c:v>4.822579149267027E-2</c:v>
                </c:pt>
                <c:pt idx="553">
                  <c:v>-2.1974295634760877E-3</c:v>
                </c:pt>
                <c:pt idx="554">
                  <c:v>-5.232970497263293E-2</c:v>
                </c:pt>
                <c:pt idx="555">
                  <c:v>-0.10217437210654857</c:v>
                </c:pt>
                <c:pt idx="556">
                  <c:v>-0.15173471125658466</c:v>
                </c:pt>
                <c:pt idx="557">
                  <c:v>-0.25230752470128076</c:v>
                </c:pt>
                <c:pt idx="558">
                  <c:v>-0.35172943958815073</c:v>
                </c:pt>
                <c:pt idx="559">
                  <c:v>-0.45226660626312776</c:v>
                </c:pt>
                <c:pt idx="560">
                  <c:v>-0.5516536717329934</c:v>
                </c:pt>
                <c:pt idx="561">
                  <c:v>-0.65223457287181419</c:v>
                </c:pt>
                <c:pt idx="562">
                  <c:v>-0.75166436461376152</c:v>
                </c:pt>
                <c:pt idx="563">
                  <c:v>-0.85206649130074708</c:v>
                </c:pt>
                <c:pt idx="564">
                  <c:v>-0.95132156122977884</c:v>
                </c:pt>
                <c:pt idx="565">
                  <c:v>-1.0519151784081526</c:v>
                </c:pt>
                <c:pt idx="566">
                  <c:v>-1.1513573723527128</c:v>
                </c:pt>
                <c:pt idx="567">
                  <c:v>-1.2520778644560289</c:v>
                </c:pt>
                <c:pt idx="568">
                  <c:v>-1.3516440321946694</c:v>
                </c:pt>
                <c:pt idx="569">
                  <c:v>-1.4520394569692276</c:v>
                </c:pt>
                <c:pt idx="570">
                  <c:v>-1.5512879431481488</c:v>
                </c:pt>
                <c:pt idx="571">
                  <c:v>-1.6520935218964343</c:v>
                </c:pt>
                <c:pt idx="572">
                  <c:v>-1.7517428149546841</c:v>
                </c:pt>
                <c:pt idx="573">
                  <c:v>-1.8521313594222795</c:v>
                </c:pt>
                <c:pt idx="574">
                  <c:v>-1.951373101347134</c:v>
                </c:pt>
                <c:pt idx="575">
                  <c:v>-2.0520515488710682</c:v>
                </c:pt>
                <c:pt idx="576">
                  <c:v>-2.1515765892758365</c:v>
                </c:pt>
                <c:pt idx="577">
                  <c:v>-2.5607309504950315</c:v>
                </c:pt>
                <c:pt idx="578">
                  <c:v>-2.9514785458568662</c:v>
                </c:pt>
                <c:pt idx="579">
                  <c:v>-3.7508496547452519</c:v>
                </c:pt>
                <c:pt idx="580">
                  <c:v>-4.5510386468468491</c:v>
                </c:pt>
                <c:pt idx="581">
                  <c:v>-5.3509246060374522</c:v>
                </c:pt>
                <c:pt idx="582">
                  <c:v>-6.1510474154431609</c:v>
                </c:pt>
                <c:pt idx="583">
                  <c:v>-6.9508342254555444</c:v>
                </c:pt>
                <c:pt idx="584">
                  <c:v>-7.7508990044619601</c:v>
                </c:pt>
                <c:pt idx="585">
                  <c:v>-8.550788534871824</c:v>
                </c:pt>
                <c:pt idx="586">
                  <c:v>-9.3506221982632365</c:v>
                </c:pt>
                <c:pt idx="587">
                  <c:v>-10.150827531801864</c:v>
                </c:pt>
                <c:pt idx="588">
                  <c:v>-10.950639264011198</c:v>
                </c:pt>
                <c:pt idx="589">
                  <c:v>-11.750698583952996</c:v>
                </c:pt>
                <c:pt idx="590">
                  <c:v>-12.550699947340242</c:v>
                </c:pt>
                <c:pt idx="591">
                  <c:v>-13.350709638964052</c:v>
                </c:pt>
                <c:pt idx="592">
                  <c:v>-14.15061546346141</c:v>
                </c:pt>
                <c:pt idx="593">
                  <c:v>-14.950651212351055</c:v>
                </c:pt>
                <c:pt idx="594">
                  <c:v>-15.750603502994929</c:v>
                </c:pt>
                <c:pt idx="595">
                  <c:v>-16.550633605961156</c:v>
                </c:pt>
                <c:pt idx="596">
                  <c:v>-17.350580279274741</c:v>
                </c:pt>
                <c:pt idx="597">
                  <c:v>-18.150616425214089</c:v>
                </c:pt>
                <c:pt idx="598">
                  <c:v>-18.950546109182444</c:v>
                </c:pt>
                <c:pt idx="599">
                  <c:v>-19.750574859871197</c:v>
                </c:pt>
                <c:pt idx="600">
                  <c:v>-20.550580661271805</c:v>
                </c:pt>
              </c:numCache>
            </c:numRef>
          </c:yVal>
          <c:smooth val="1"/>
          <c:extLst>
            <c:ext xmlns:c16="http://schemas.microsoft.com/office/drawing/2014/chart" uri="{C3380CC4-5D6E-409C-BE32-E72D297353CC}">
              <c16:uniqueId val="{00000000-BA9E-4048-AA32-0E8605E404B1}"/>
            </c:ext>
          </c:extLst>
        </c:ser>
        <c:dLbls>
          <c:showLegendKey val="0"/>
          <c:showVal val="0"/>
          <c:showCatName val="0"/>
          <c:showSerName val="0"/>
          <c:showPercent val="0"/>
          <c:showBubbleSize val="0"/>
        </c:dLbls>
        <c:axId val="196940928"/>
        <c:axId val="196942848"/>
      </c:scatterChart>
      <c:scatterChart>
        <c:scatterStyle val="lineMarker"/>
        <c:varyColors val="0"/>
        <c:ser>
          <c:idx val="8"/>
          <c:order val="1"/>
          <c:tx>
            <c:strRef>
              <c:f>'Stability Calculations'!$AM$12</c:f>
              <c:strCache>
                <c:ptCount val="1"/>
                <c:pt idx="0">
                  <c:v>Phase(Deg)</c:v>
                </c:pt>
              </c:strCache>
            </c:strRef>
          </c:tx>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Calculations'!$AM$13:$AM$613</c:f>
              <c:numCache>
                <c:formatCode>0.0000</c:formatCode>
                <c:ptCount val="601"/>
                <c:pt idx="0">
                  <c:v>-77.486006778223569</c:v>
                </c:pt>
                <c:pt idx="1">
                  <c:v>-77.920549096544306</c:v>
                </c:pt>
                <c:pt idx="2">
                  <c:v>-78.256630173692756</c:v>
                </c:pt>
                <c:pt idx="3">
                  <c:v>-78.496393645625446</c:v>
                </c:pt>
                <c:pt idx="4">
                  <c:v>-78.641333389668546</c:v>
                </c:pt>
                <c:pt idx="5">
                  <c:v>-78.692595087306458</c:v>
                </c:pt>
                <c:pt idx="6">
                  <c:v>-78.650364804086507</c:v>
                </c:pt>
                <c:pt idx="7">
                  <c:v>-78.514367154722024</c:v>
                </c:pt>
                <c:pt idx="8">
                  <c:v>-78.283856629546122</c:v>
                </c:pt>
                <c:pt idx="9">
                  <c:v>-77.957216887941087</c:v>
                </c:pt>
                <c:pt idx="10">
                  <c:v>-77.532599005238723</c:v>
                </c:pt>
                <c:pt idx="11">
                  <c:v>-77.007435493039651</c:v>
                </c:pt>
                <c:pt idx="12">
                  <c:v>-76.378354796294985</c:v>
                </c:pt>
                <c:pt idx="13">
                  <c:v>-75.642518321098706</c:v>
                </c:pt>
                <c:pt idx="14">
                  <c:v>-74.795595898052028</c:v>
                </c:pt>
                <c:pt idx="15">
                  <c:v>-73.83389769123383</c:v>
                </c:pt>
                <c:pt idx="16">
                  <c:v>-72.75333031849479</c:v>
                </c:pt>
                <c:pt idx="17">
                  <c:v>-71.550187381946031</c:v>
                </c:pt>
                <c:pt idx="18">
                  <c:v>-70.220615106059753</c:v>
                </c:pt>
                <c:pt idx="19">
                  <c:v>-68.76213287999191</c:v>
                </c:pt>
                <c:pt idx="20">
                  <c:v>-67.172630156074121</c:v>
                </c:pt>
                <c:pt idx="21">
                  <c:v>-65.451993603023624</c:v>
                </c:pt>
                <c:pt idx="22">
                  <c:v>-63.601200163976067</c:v>
                </c:pt>
                <c:pt idx="23">
                  <c:v>-61.624248034424888</c:v>
                </c:pt>
                <c:pt idx="24">
                  <c:v>-59.52673786268992</c:v>
                </c:pt>
                <c:pt idx="25">
                  <c:v>-57.31794462966176</c:v>
                </c:pt>
                <c:pt idx="26">
                  <c:v>-55.00933789939441</c:v>
                </c:pt>
                <c:pt idx="27">
                  <c:v>-52.616698687437299</c:v>
                </c:pt>
                <c:pt idx="28">
                  <c:v>-50.157856024649945</c:v>
                </c:pt>
                <c:pt idx="29">
                  <c:v>-47.65469413053885</c:v>
                </c:pt>
                <c:pt idx="30">
                  <c:v>-45.125029785280432</c:v>
                </c:pt>
                <c:pt idx="31">
                  <c:v>-42.595395997076245</c:v>
                </c:pt>
                <c:pt idx="32">
                  <c:v>-40.087152896196748</c:v>
                </c:pt>
                <c:pt idx="33">
                  <c:v>-37.624274906033705</c:v>
                </c:pt>
                <c:pt idx="34">
                  <c:v>-35.225363044075671</c:v>
                </c:pt>
                <c:pt idx="35">
                  <c:v>-32.909923700262425</c:v>
                </c:pt>
                <c:pt idx="36">
                  <c:v>-30.6928998134604</c:v>
                </c:pt>
                <c:pt idx="37">
                  <c:v>-28.585465155690059</c:v>
                </c:pt>
                <c:pt idx="38">
                  <c:v>-26.598878115069297</c:v>
                </c:pt>
                <c:pt idx="39">
                  <c:v>-24.737878390015869</c:v>
                </c:pt>
                <c:pt idx="40">
                  <c:v>-23.006991850529499</c:v>
                </c:pt>
                <c:pt idx="41">
                  <c:v>-21.407608671177979</c:v>
                </c:pt>
                <c:pt idx="42">
                  <c:v>-19.939654943396448</c:v>
                </c:pt>
                <c:pt idx="43">
                  <c:v>-18.601017232180808</c:v>
                </c:pt>
                <c:pt idx="44">
                  <c:v>-17.38933644963943</c:v>
                </c:pt>
                <c:pt idx="45">
                  <c:v>-16.300941512966279</c:v>
                </c:pt>
                <c:pt idx="46">
                  <c:v>-15.33222019413166</c:v>
                </c:pt>
                <c:pt idx="47">
                  <c:v>-14.478972301969412</c:v>
                </c:pt>
                <c:pt idx="48">
                  <c:v>-13.73744885568137</c:v>
                </c:pt>
                <c:pt idx="49">
                  <c:v>-13.103697712409911</c:v>
                </c:pt>
                <c:pt idx="50">
                  <c:v>-12.574388186625349</c:v>
                </c:pt>
                <c:pt idx="51">
                  <c:v>-12.146390474030637</c:v>
                </c:pt>
                <c:pt idx="52">
                  <c:v>-11.817302045034797</c:v>
                </c:pt>
                <c:pt idx="53">
                  <c:v>-11.585061602939954</c:v>
                </c:pt>
                <c:pt idx="54">
                  <c:v>-11.448249764154616</c:v>
                </c:pt>
                <c:pt idx="55">
                  <c:v>-11.405814146613718</c:v>
                </c:pt>
                <c:pt idx="56">
                  <c:v>-11.457636982901768</c:v>
                </c:pt>
                <c:pt idx="57">
                  <c:v>-11.604081849773838</c:v>
                </c:pt>
                <c:pt idx="58">
                  <c:v>-11.845970878594281</c:v>
                </c:pt>
                <c:pt idx="59">
                  <c:v>-12.185016281613992</c:v>
                </c:pt>
                <c:pt idx="60">
                  <c:v>-12.623150470592169</c:v>
                </c:pt>
                <c:pt idx="61">
                  <c:v>-13.163035716437118</c:v>
                </c:pt>
                <c:pt idx="62">
                  <c:v>-13.808147933904554</c:v>
                </c:pt>
                <c:pt idx="63">
                  <c:v>-14.561407653815088</c:v>
                </c:pt>
                <c:pt idx="64">
                  <c:v>-15.427256310498613</c:v>
                </c:pt>
                <c:pt idx="65">
                  <c:v>-16.409473345199654</c:v>
                </c:pt>
                <c:pt idx="66">
                  <c:v>-17.512246488127701</c:v>
                </c:pt>
                <c:pt idx="67">
                  <c:v>-18.739365470626954</c:v>
                </c:pt>
                <c:pt idx="68">
                  <c:v>-20.094769141472089</c:v>
                </c:pt>
                <c:pt idx="69">
                  <c:v>-21.580997796415687</c:v>
                </c:pt>
                <c:pt idx="70">
                  <c:v>-23.200220024419512</c:v>
                </c:pt>
                <c:pt idx="71">
                  <c:v>-24.952580186865291</c:v>
                </c:pt>
                <c:pt idx="72">
                  <c:v>-26.837130021091635</c:v>
                </c:pt>
                <c:pt idx="73">
                  <c:v>-28.849872201984805</c:v>
                </c:pt>
                <c:pt idx="74">
                  <c:v>-30.98521780318903</c:v>
                </c:pt>
                <c:pt idx="75">
                  <c:v>-33.233892158786858</c:v>
                </c:pt>
                <c:pt idx="76">
                  <c:v>-35.584458714117069</c:v>
                </c:pt>
                <c:pt idx="77">
                  <c:v>-38.021181612073043</c:v>
                </c:pt>
                <c:pt idx="78">
                  <c:v>-40.526346404772475</c:v>
                </c:pt>
                <c:pt idx="79">
                  <c:v>-43.078226533287364</c:v>
                </c:pt>
                <c:pt idx="80">
                  <c:v>-45.659372190249243</c:v>
                </c:pt>
                <c:pt idx="81">
                  <c:v>-48.243572351398313</c:v>
                </c:pt>
                <c:pt idx="82">
                  <c:v>-50.810010509992324</c:v>
                </c:pt>
                <c:pt idx="83">
                  <c:v>-53.335292444728317</c:v>
                </c:pt>
                <c:pt idx="84">
                  <c:v>-55.801596965740437</c:v>
                </c:pt>
                <c:pt idx="85">
                  <c:v>-58.190211594512803</c:v>
                </c:pt>
                <c:pt idx="86">
                  <c:v>-60.487119053477869</c:v>
                </c:pt>
                <c:pt idx="87">
                  <c:v>-62.682184495143133</c:v>
                </c:pt>
                <c:pt idx="88">
                  <c:v>-64.765122117466234</c:v>
                </c:pt>
                <c:pt idx="89">
                  <c:v>-66.732383885551187</c:v>
                </c:pt>
                <c:pt idx="90">
                  <c:v>-68.580582771338058</c:v>
                </c:pt>
                <c:pt idx="91">
                  <c:v>-70.309576191963984</c:v>
                </c:pt>
                <c:pt idx="92">
                  <c:v>-71.920726808951784</c:v>
                </c:pt>
                <c:pt idx="93">
                  <c:v>-73.417581254149781</c:v>
                </c:pt>
                <c:pt idx="94">
                  <c:v>-73.774222921121918</c:v>
                </c:pt>
                <c:pt idx="95">
                  <c:v>-73.951064108245859</c:v>
                </c:pt>
                <c:pt idx="96">
                  <c:v>-74.124193635033336</c:v>
                </c:pt>
                <c:pt idx="97">
                  <c:v>-74.297612115800789</c:v>
                </c:pt>
                <c:pt idx="98">
                  <c:v>-74.467378322704008</c:v>
                </c:pt>
                <c:pt idx="99">
                  <c:v>-74.63745774328396</c:v>
                </c:pt>
                <c:pt idx="100">
                  <c:v>-74.803942600125936</c:v>
                </c:pt>
                <c:pt idx="101">
                  <c:v>-74.97063569338826</c:v>
                </c:pt>
                <c:pt idx="102">
                  <c:v>-75.133795714120325</c:v>
                </c:pt>
                <c:pt idx="103">
                  <c:v>-75.297304734134585</c:v>
                </c:pt>
                <c:pt idx="104">
                  <c:v>-75.457335441968482</c:v>
                </c:pt>
                <c:pt idx="105">
                  <c:v>-75.617609636101619</c:v>
                </c:pt>
                <c:pt idx="106">
                  <c:v>-75.774464121288048</c:v>
                </c:pt>
                <c:pt idx="107">
                  <c:v>-75.931466518843095</c:v>
                </c:pt>
                <c:pt idx="108">
                  <c:v>-76.085111117182564</c:v>
                </c:pt>
                <c:pt idx="109">
                  <c:v>-76.238920905908785</c:v>
                </c:pt>
                <c:pt idx="110">
                  <c:v>-76.389433189275763</c:v>
                </c:pt>
                <c:pt idx="111">
                  <c:v>-76.540222608993403</c:v>
                </c:pt>
                <c:pt idx="112">
                  <c:v>-76.687769162616405</c:v>
                </c:pt>
                <c:pt idx="113">
                  <c:v>-76.835498270409943</c:v>
                </c:pt>
                <c:pt idx="114">
                  <c:v>-76.98004246468858</c:v>
                </c:pt>
                <c:pt idx="115">
                  <c:v>-77.124774649324735</c:v>
                </c:pt>
                <c:pt idx="116">
                  <c:v>-77.266378781346418</c:v>
                </c:pt>
                <c:pt idx="117">
                  <c:v>-77.408173212579257</c:v>
                </c:pt>
                <c:pt idx="118">
                  <c:v>-77.546895498017932</c:v>
                </c:pt>
                <c:pt idx="119">
                  <c:v>-77.685724388694368</c:v>
                </c:pt>
                <c:pt idx="120">
                  <c:v>-77.82153980243794</c:v>
                </c:pt>
                <c:pt idx="121">
                  <c:v>-77.957466141051597</c:v>
                </c:pt>
                <c:pt idx="122">
                  <c:v>-78.090436529596957</c:v>
                </c:pt>
                <c:pt idx="123">
                  <c:v>-78.223595896225945</c:v>
                </c:pt>
                <c:pt idx="124">
                  <c:v>-78.353852507632951</c:v>
                </c:pt>
                <c:pt idx="125">
                  <c:v>-78.48421818408741</c:v>
                </c:pt>
                <c:pt idx="126">
                  <c:v>-78.611736923511131</c:v>
                </c:pt>
                <c:pt idx="127">
                  <c:v>-78.739362594691244</c:v>
                </c:pt>
                <c:pt idx="128">
                  <c:v>-78.864196294355139</c:v>
                </c:pt>
                <c:pt idx="129">
                  <c:v>-78.989133155564645</c:v>
                </c:pt>
                <c:pt idx="130">
                  <c:v>-79.111332231794179</c:v>
                </c:pt>
                <c:pt idx="131">
                  <c:v>-79.233629309050258</c:v>
                </c:pt>
                <c:pt idx="132">
                  <c:v>-79.293765743718922</c:v>
                </c:pt>
                <c:pt idx="133">
                  <c:v>-79.353242070802025</c:v>
                </c:pt>
                <c:pt idx="134">
                  <c:v>-79.413459574024543</c:v>
                </c:pt>
                <c:pt idx="135">
                  <c:v>-79.473007618341697</c:v>
                </c:pt>
                <c:pt idx="136">
                  <c:v>-79.531897175278189</c:v>
                </c:pt>
                <c:pt idx="137">
                  <c:v>-79.590138980797391</c:v>
                </c:pt>
                <c:pt idx="138">
                  <c:v>-79.649044067723906</c:v>
                </c:pt>
                <c:pt idx="139">
                  <c:v>-79.707293641758184</c:v>
                </c:pt>
                <c:pt idx="140">
                  <c:v>-79.764898462164709</c:v>
                </c:pt>
                <c:pt idx="141">
                  <c:v>-79.821869056722889</c:v>
                </c:pt>
                <c:pt idx="142">
                  <c:v>-79.8795444100531</c:v>
                </c:pt>
                <c:pt idx="143">
                  <c:v>-79.936576712166612</c:v>
                </c:pt>
                <c:pt idx="144">
                  <c:v>-79.992976543216088</c:v>
                </c:pt>
                <c:pt idx="145">
                  <c:v>-80.048754255053268</c:v>
                </c:pt>
                <c:pt idx="146">
                  <c:v>-80.10519067005707</c:v>
                </c:pt>
                <c:pt idx="147">
                  <c:v>-80.160997029376091</c:v>
                </c:pt>
                <c:pt idx="148">
                  <c:v>-80.216183717829651</c:v>
                </c:pt>
                <c:pt idx="149">
                  <c:v>-80.270760895637849</c:v>
                </c:pt>
                <c:pt idx="150">
                  <c:v>-80.325979527902149</c:v>
                </c:pt>
                <c:pt idx="151">
                  <c:v>-80.380580960721829</c:v>
                </c:pt>
                <c:pt idx="152">
                  <c:v>-80.434575383900807</c:v>
                </c:pt>
                <c:pt idx="153">
                  <c:v>-80.487972766388665</c:v>
                </c:pt>
                <c:pt idx="154">
                  <c:v>-80.542019040421053</c:v>
                </c:pt>
                <c:pt idx="155">
                  <c:v>-80.595460283606769</c:v>
                </c:pt>
                <c:pt idx="156">
                  <c:v>-80.648306504688676</c:v>
                </c:pt>
                <c:pt idx="157">
                  <c:v>-80.700567494949354</c:v>
                </c:pt>
                <c:pt idx="158">
                  <c:v>-80.753458489365173</c:v>
                </c:pt>
                <c:pt idx="159">
                  <c:v>-80.805756552868701</c:v>
                </c:pt>
                <c:pt idx="160">
                  <c:v>-80.857471511942236</c:v>
                </c:pt>
                <c:pt idx="161">
                  <c:v>-80.908612979085177</c:v>
                </c:pt>
                <c:pt idx="162">
                  <c:v>-80.960343120401575</c:v>
                </c:pt>
                <c:pt idx="163">
                  <c:v>-81.01149286405807</c:v>
                </c:pt>
                <c:pt idx="164">
                  <c:v>-81.062071840659669</c:v>
                </c:pt>
                <c:pt idx="165">
                  <c:v>-81.112089470747961</c:v>
                </c:pt>
                <c:pt idx="166">
                  <c:v>-81.162721949705286</c:v>
                </c:pt>
                <c:pt idx="167">
                  <c:v>-81.212785459005119</c:v>
                </c:pt>
                <c:pt idx="168">
                  <c:v>-81.262289457957593</c:v>
                </c:pt>
                <c:pt idx="169">
                  <c:v>-81.311243199064066</c:v>
                </c:pt>
                <c:pt idx="170">
                  <c:v>-81.360688763376459</c:v>
                </c:pt>
                <c:pt idx="171">
                  <c:v>-81.409579079055973</c:v>
                </c:pt>
                <c:pt idx="172">
                  <c:v>-81.457923374371305</c:v>
                </c:pt>
                <c:pt idx="173">
                  <c:v>-81.505730675819436</c:v>
                </c:pt>
                <c:pt idx="174">
                  <c:v>-81.554194975005046</c:v>
                </c:pt>
                <c:pt idx="175">
                  <c:v>-81.602113450423374</c:v>
                </c:pt>
                <c:pt idx="176">
                  <c:v>-81.649495203338162</c:v>
                </c:pt>
                <c:pt idx="177">
                  <c:v>-81.696349135299172</c:v>
                </c:pt>
                <c:pt idx="178">
                  <c:v>-81.743816867634052</c:v>
                </c:pt>
                <c:pt idx="179">
                  <c:v>-81.790748801057603</c:v>
                </c:pt>
                <c:pt idx="180">
                  <c:v>-81.837153892619739</c:v>
                </c:pt>
                <c:pt idx="181">
                  <c:v>-81.883040902249562</c:v>
                </c:pt>
                <c:pt idx="182">
                  <c:v>-81.929320808859643</c:v>
                </c:pt>
                <c:pt idx="183">
                  <c:v>-81.975079509360043</c:v>
                </c:pt>
                <c:pt idx="184">
                  <c:v>-82.02032569998903</c:v>
                </c:pt>
                <c:pt idx="185">
                  <c:v>-82.065067885908903</c:v>
                </c:pt>
                <c:pt idx="186">
                  <c:v>-82.11052208389296</c:v>
                </c:pt>
                <c:pt idx="187">
                  <c:v>-82.155461832483724</c:v>
                </c:pt>
                <c:pt idx="188">
                  <c:v>-82.199895760227847</c:v>
                </c:pt>
                <c:pt idx="189">
                  <c:v>-82.243832305033706</c:v>
                </c:pt>
                <c:pt idx="190">
                  <c:v>-82.28810416526882</c:v>
                </c:pt>
                <c:pt idx="191">
                  <c:v>-82.33187658850575</c:v>
                </c:pt>
                <c:pt idx="192">
                  <c:v>-82.37515792683368</c:v>
                </c:pt>
                <c:pt idx="193">
                  <c:v>-82.417956348296244</c:v>
                </c:pt>
                <c:pt idx="194">
                  <c:v>-82.461383129120136</c:v>
                </c:pt>
                <c:pt idx="195">
                  <c:v>-82.504318195577042</c:v>
                </c:pt>
                <c:pt idx="196">
                  <c:v>-82.546769803143633</c:v>
                </c:pt>
                <c:pt idx="197">
                  <c:v>-82.588746024611822</c:v>
                </c:pt>
                <c:pt idx="198">
                  <c:v>-82.631158533332751</c:v>
                </c:pt>
                <c:pt idx="199">
                  <c:v>-82.673091090937632</c:v>
                </c:pt>
                <c:pt idx="200">
                  <c:v>-82.714551752906871</c:v>
                </c:pt>
                <c:pt idx="201">
                  <c:v>-82.755548396467859</c:v>
                </c:pt>
                <c:pt idx="202">
                  <c:v>-82.796952508820254</c:v>
                </c:pt>
                <c:pt idx="203">
                  <c:v>-82.837888568284782</c:v>
                </c:pt>
                <c:pt idx="204">
                  <c:v>-82.878364424521536</c:v>
                </c:pt>
                <c:pt idx="205">
                  <c:v>-82.918387753581285</c:v>
                </c:pt>
                <c:pt idx="206">
                  <c:v>-82.958929245639737</c:v>
                </c:pt>
                <c:pt idx="207">
                  <c:v>-82.999011559500985</c:v>
                </c:pt>
                <c:pt idx="208">
                  <c:v>-83.038642412514108</c:v>
                </c:pt>
                <c:pt idx="209">
                  <c:v>-83.07782935093887</c:v>
                </c:pt>
                <c:pt idx="210">
                  <c:v>-83.117631732675122</c:v>
                </c:pt>
                <c:pt idx="211">
                  <c:v>-83.156981238582929</c:v>
                </c:pt>
                <c:pt idx="212">
                  <c:v>-83.195885516601876</c:v>
                </c:pt>
                <c:pt idx="213">
                  <c:v>-83.234352044271915</c:v>
                </c:pt>
                <c:pt idx="214">
                  <c:v>-83.273142001503956</c:v>
                </c:pt>
                <c:pt idx="215">
                  <c:v>-83.311491773500194</c:v>
                </c:pt>
                <c:pt idx="216">
                  <c:v>-83.34940877591977</c:v>
                </c:pt>
                <c:pt idx="217">
                  <c:v>-83.386900259557123</c:v>
                </c:pt>
                <c:pt idx="218">
                  <c:v>-83.424813804532107</c:v>
                </c:pt>
                <c:pt idx="219">
                  <c:v>-83.462297039517338</c:v>
                </c:pt>
                <c:pt idx="220">
                  <c:v>-83.499357216517495</c:v>
                </c:pt>
                <c:pt idx="221">
                  <c:v>-83.536001426216174</c:v>
                </c:pt>
                <c:pt idx="222">
                  <c:v>-83.573039784408536</c:v>
                </c:pt>
                <c:pt idx="223">
                  <c:v>-83.609657911218989</c:v>
                </c:pt>
                <c:pt idx="224">
                  <c:v>-83.645862887790287</c:v>
                </c:pt>
                <c:pt idx="225">
                  <c:v>-83.681661637734962</c:v>
                </c:pt>
                <c:pt idx="226">
                  <c:v>-83.717938112548879</c:v>
                </c:pt>
                <c:pt idx="227">
                  <c:v>-83.753802098780511</c:v>
                </c:pt>
                <c:pt idx="228">
                  <c:v>-83.789260563582204</c:v>
                </c:pt>
                <c:pt idx="229">
                  <c:v>-83.824320318715948</c:v>
                </c:pt>
                <c:pt idx="230">
                  <c:v>-83.894927694594401</c:v>
                </c:pt>
                <c:pt idx="231">
                  <c:v>-83.92963170043916</c:v>
                </c:pt>
                <c:pt idx="232">
                  <c:v>-83.963944887223164</c:v>
                </c:pt>
                <c:pt idx="233">
                  <c:v>-83.998674612094561</c:v>
                </c:pt>
                <c:pt idx="234">
                  <c:v>-84.033008455818063</c:v>
                </c:pt>
                <c:pt idx="235">
                  <c:v>-84.066953123956964</c:v>
                </c:pt>
                <c:pt idx="236">
                  <c:v>-84.10051517204343</c:v>
                </c:pt>
                <c:pt idx="237">
                  <c:v>-84.134370495434055</c:v>
                </c:pt>
                <c:pt idx="238">
                  <c:v>-84.16784084216799</c:v>
                </c:pt>
                <c:pt idx="239">
                  <c:v>-84.200932718448882</c:v>
                </c:pt>
                <c:pt idx="240">
                  <c:v>-84.233652485210229</c:v>
                </c:pt>
                <c:pt idx="241">
                  <c:v>-84.26682884890856</c:v>
                </c:pt>
                <c:pt idx="242">
                  <c:v>-84.299626931717924</c:v>
                </c:pt>
                <c:pt idx="243">
                  <c:v>-84.332053144978516</c:v>
                </c:pt>
                <c:pt idx="244">
                  <c:v>-84.364113756447566</c:v>
                </c:pt>
                <c:pt idx="245">
                  <c:v>-84.396513387214185</c:v>
                </c:pt>
                <c:pt idx="246">
                  <c:v>-84.428543833062491</c:v>
                </c:pt>
                <c:pt idx="247">
                  <c:v>-84.460211348090652</c:v>
                </c:pt>
                <c:pt idx="248">
                  <c:v>-84.491522046382684</c:v>
                </c:pt>
                <c:pt idx="249">
                  <c:v>-84.523232691085667</c:v>
                </c:pt>
                <c:pt idx="250">
                  <c:v>-84.554581455771967</c:v>
                </c:pt>
                <c:pt idx="251">
                  <c:v>-84.585574480899936</c:v>
                </c:pt>
                <c:pt idx="252">
                  <c:v>-84.616217769211431</c:v>
                </c:pt>
                <c:pt idx="253">
                  <c:v>-84.647154773313929</c:v>
                </c:pt>
                <c:pt idx="254">
                  <c:v>-84.677739309052967</c:v>
                </c:pt>
                <c:pt idx="255">
                  <c:v>-84.707977348201638</c:v>
                </c:pt>
                <c:pt idx="256">
                  <c:v>-84.737874728781449</c:v>
                </c:pt>
                <c:pt idx="257">
                  <c:v>-84.768198624056964</c:v>
                </c:pt>
                <c:pt idx="258">
                  <c:v>-84.798176013354734</c:v>
                </c:pt>
                <c:pt idx="259">
                  <c:v>-84.827812785495667</c:v>
                </c:pt>
                <c:pt idx="260">
                  <c:v>-84.857114696985775</c:v>
                </c:pt>
                <c:pt idx="261">
                  <c:v>-84.886742062716365</c:v>
                </c:pt>
                <c:pt idx="262">
                  <c:v>-84.9160309451008</c:v>
                </c:pt>
                <c:pt idx="263">
                  <c:v>-84.944987096275923</c:v>
                </c:pt>
                <c:pt idx="264">
                  <c:v>-84.973616139125539</c:v>
                </c:pt>
                <c:pt idx="265">
                  <c:v>-85.002549013430482</c:v>
                </c:pt>
                <c:pt idx="266">
                  <c:v>-85.031151563527075</c:v>
                </c:pt>
                <c:pt idx="267">
                  <c:v>-85.05942939978226</c:v>
                </c:pt>
                <c:pt idx="268">
                  <c:v>-85.087388006550057</c:v>
                </c:pt>
                <c:pt idx="269">
                  <c:v>-85.115696654760654</c:v>
                </c:pt>
                <c:pt idx="270">
                  <c:v>-85.143681719408931</c:v>
                </c:pt>
                <c:pt idx="271">
                  <c:v>-85.171348703542336</c:v>
                </c:pt>
                <c:pt idx="272">
                  <c:v>-85.198702986430902</c:v>
                </c:pt>
                <c:pt idx="273">
                  <c:v>-85.226384055291604</c:v>
                </c:pt>
                <c:pt idx="274">
                  <c:v>-85.253748521340952</c:v>
                </c:pt>
                <c:pt idx="275">
                  <c:v>-85.280801772767347</c:v>
                </c:pt>
                <c:pt idx="276">
                  <c:v>-85.307549076465591</c:v>
                </c:pt>
                <c:pt idx="277">
                  <c:v>-85.334540863777079</c:v>
                </c:pt>
                <c:pt idx="278">
                  <c:v>-85.361224599913342</c:v>
                </c:pt>
                <c:pt idx="279">
                  <c:v>-85.387605516797919</c:v>
                </c:pt>
                <c:pt idx="280">
                  <c:v>-85.413688728805866</c:v>
                </c:pt>
                <c:pt idx="281">
                  <c:v>-85.440173824647516</c:v>
                </c:pt>
                <c:pt idx="282">
                  <c:v>-85.466355438376752</c:v>
                </c:pt>
                <c:pt idx="283">
                  <c:v>-85.492238745417808</c:v>
                </c:pt>
                <c:pt idx="284">
                  <c:v>-85.51782880443011</c:v>
                </c:pt>
                <c:pt idx="285">
                  <c:v>-85.543628160136848</c:v>
                </c:pt>
                <c:pt idx="286">
                  <c:v>-85.569132820720043</c:v>
                </c:pt>
                <c:pt idx="287">
                  <c:v>-85.594347796528453</c:v>
                </c:pt>
                <c:pt idx="288">
                  <c:v>-85.619277985200185</c:v>
                </c:pt>
                <c:pt idx="289">
                  <c:v>-85.644562007561717</c:v>
                </c:pt>
                <c:pt idx="290">
                  <c:v>-85.66955641318448</c:v>
                </c:pt>
                <c:pt idx="291">
                  <c:v>-85.694266140228549</c:v>
                </c:pt>
                <c:pt idx="292">
                  <c:v>-85.718696015439434</c:v>
                </c:pt>
                <c:pt idx="293">
                  <c:v>-85.743405739532733</c:v>
                </c:pt>
                <c:pt idx="294">
                  <c:v>-85.767832405803276</c:v>
                </c:pt>
                <c:pt idx="295">
                  <c:v>-85.791980841330826</c:v>
                </c:pt>
                <c:pt idx="296">
                  <c:v>-85.815855764260377</c:v>
                </c:pt>
                <c:pt idx="297">
                  <c:v>-85.839991912280382</c:v>
                </c:pt>
                <c:pt idx="298">
                  <c:v>-85.863851695545151</c:v>
                </c:pt>
                <c:pt idx="299">
                  <c:v>-85.887439825313365</c:v>
                </c:pt>
                <c:pt idx="300">
                  <c:v>-85.910760906551474</c:v>
                </c:pt>
                <c:pt idx="301">
                  <c:v>-85.93432583597415</c:v>
                </c:pt>
                <c:pt idx="302">
                  <c:v>-85.957621189768489</c:v>
                </c:pt>
                <c:pt idx="303">
                  <c:v>-85.980651559616192</c:v>
                </c:pt>
                <c:pt idx="304">
                  <c:v>-86.003421433682135</c:v>
                </c:pt>
                <c:pt idx="305">
                  <c:v>-86.02650689135308</c:v>
                </c:pt>
                <c:pt idx="306">
                  <c:v>-86.049327616694782</c:v>
                </c:pt>
                <c:pt idx="307">
                  <c:v>-86.071888130133331</c:v>
                </c:pt>
                <c:pt idx="308">
                  <c:v>-86.09419284992434</c:v>
                </c:pt>
                <c:pt idx="309">
                  <c:v>-86.116708143873055</c:v>
                </c:pt>
                <c:pt idx="310">
                  <c:v>-86.138965746509442</c:v>
                </c:pt>
                <c:pt idx="311">
                  <c:v>-86.160970049833836</c:v>
                </c:pt>
                <c:pt idx="312">
                  <c:v>-86.182725346755632</c:v>
                </c:pt>
                <c:pt idx="313">
                  <c:v>-86.204757456369194</c:v>
                </c:pt>
                <c:pt idx="314">
                  <c:v>-86.22653707755677</c:v>
                </c:pt>
                <c:pt idx="315">
                  <c:v>-86.248068519495902</c:v>
                </c:pt>
                <c:pt idx="316">
                  <c:v>-86.26935599400349</c:v>
                </c:pt>
                <c:pt idx="317">
                  <c:v>-86.290901862109209</c:v>
                </c:pt>
                <c:pt idx="318">
                  <c:v>-86.312200640638892</c:v>
                </c:pt>
                <c:pt idx="319">
                  <c:v>-86.33325654985623</c:v>
                </c:pt>
                <c:pt idx="320">
                  <c:v>-86.354073714594094</c:v>
                </c:pt>
                <c:pt idx="321">
                  <c:v>-86.375132067736772</c:v>
                </c:pt>
                <c:pt idx="322">
                  <c:v>-86.39594888660281</c:v>
                </c:pt>
                <c:pt idx="323">
                  <c:v>-86.416528297438603</c:v>
                </c:pt>
                <c:pt idx="324">
                  <c:v>-86.436874333160276</c:v>
                </c:pt>
                <c:pt idx="325">
                  <c:v>-86.457445495412117</c:v>
                </c:pt>
                <c:pt idx="326">
                  <c:v>-86.477780798905087</c:v>
                </c:pt>
                <c:pt idx="327">
                  <c:v>-86.497884271686047</c:v>
                </c:pt>
                <c:pt idx="328">
                  <c:v>-86.517759850715208</c:v>
                </c:pt>
                <c:pt idx="329">
                  <c:v>-86.537878963764896</c:v>
                </c:pt>
                <c:pt idx="330">
                  <c:v>-86.55776721720909</c:v>
                </c:pt>
                <c:pt idx="331">
                  <c:v>-86.577428557070817</c:v>
                </c:pt>
                <c:pt idx="332">
                  <c:v>-86.596866840060699</c:v>
                </c:pt>
                <c:pt idx="333">
                  <c:v>-86.616500539314487</c:v>
                </c:pt>
                <c:pt idx="334">
                  <c:v>-86.635909259482091</c:v>
                </c:pt>
                <c:pt idx="335">
                  <c:v>-86.655096841013957</c:v>
                </c:pt>
                <c:pt idx="336">
                  <c:v>-86.674067037546635</c:v>
                </c:pt>
                <c:pt idx="337">
                  <c:v>-86.69328058330737</c:v>
                </c:pt>
                <c:pt idx="338">
                  <c:v>-86.712273664794893</c:v>
                </c:pt>
                <c:pt idx="339">
                  <c:v>-86.731050050683024</c:v>
                </c:pt>
                <c:pt idx="340">
                  <c:v>-86.749613424330221</c:v>
                </c:pt>
                <c:pt idx="341">
                  <c:v>-86.768403940565832</c:v>
                </c:pt>
                <c:pt idx="342">
                  <c:v>-86.786978682652489</c:v>
                </c:pt>
                <c:pt idx="343">
                  <c:v>-86.805341342064168</c:v>
                </c:pt>
                <c:pt idx="344">
                  <c:v>-86.82349552663598</c:v>
                </c:pt>
                <c:pt idx="345">
                  <c:v>-86.841833921943831</c:v>
                </c:pt>
                <c:pt idx="346">
                  <c:v>-86.859962009780702</c:v>
                </c:pt>
                <c:pt idx="347">
                  <c:v>-86.877883383599425</c:v>
                </c:pt>
                <c:pt idx="348">
                  <c:v>-86.89560155553211</c:v>
                </c:pt>
                <c:pt idx="349">
                  <c:v>-86.913544769624963</c:v>
                </c:pt>
                <c:pt idx="350">
                  <c:v>-86.931281957848881</c:v>
                </c:pt>
                <c:pt idx="351">
                  <c:v>-86.948816644919887</c:v>
                </c:pt>
                <c:pt idx="352">
                  <c:v>-86.966152275685715</c:v>
                </c:pt>
                <c:pt idx="353">
                  <c:v>-86.983697953337881</c:v>
                </c:pt>
                <c:pt idx="354">
                  <c:v>-87.001042043742117</c:v>
                </c:pt>
                <c:pt idx="355">
                  <c:v>-87.018187997973442</c:v>
                </c:pt>
                <c:pt idx="356">
                  <c:v>-87.035139188852085</c:v>
                </c:pt>
                <c:pt idx="357">
                  <c:v>-87.052262205725</c:v>
                </c:pt>
                <c:pt idx="358">
                  <c:v>-87.069188753322621</c:v>
                </c:pt>
                <c:pt idx="359">
                  <c:v>-87.085922190791777</c:v>
                </c:pt>
                <c:pt idx="360">
                  <c:v>-87.102465801202754</c:v>
                </c:pt>
                <c:pt idx="361">
                  <c:v>-87.119216055126074</c:v>
                </c:pt>
                <c:pt idx="362">
                  <c:v>-87.135773925572636</c:v>
                </c:pt>
                <c:pt idx="363">
                  <c:v>-87.152142705219049</c:v>
                </c:pt>
                <c:pt idx="364">
                  <c:v>-87.168325612091593</c:v>
                </c:pt>
                <c:pt idx="365">
                  <c:v>-87.184679299464989</c:v>
                </c:pt>
                <c:pt idx="366">
                  <c:v>-87.200845331551236</c:v>
                </c:pt>
                <c:pt idx="367">
                  <c:v>-87.216826917276833</c:v>
                </c:pt>
                <c:pt idx="368">
                  <c:v>-87.232627192877644</c:v>
                </c:pt>
                <c:pt idx="369">
                  <c:v>-87.248629077033584</c:v>
                </c:pt>
                <c:pt idx="370">
                  <c:v>-87.264447112610682</c:v>
                </c:pt>
                <c:pt idx="371">
                  <c:v>-87.280084447473726</c:v>
                </c:pt>
                <c:pt idx="372">
                  <c:v>-87.295544158086457</c:v>
                </c:pt>
                <c:pt idx="373">
                  <c:v>-87.31117188573829</c:v>
                </c:pt>
                <c:pt idx="374">
                  <c:v>-87.326620175386111</c:v>
                </c:pt>
                <c:pt idx="375">
                  <c:v>-87.341892097581436</c:v>
                </c:pt>
                <c:pt idx="376">
                  <c:v>-87.356990653266266</c:v>
                </c:pt>
                <c:pt idx="377">
                  <c:v>-87.372284527033358</c:v>
                </c:pt>
                <c:pt idx="378">
                  <c:v>-87.387402547666525</c:v>
                </c:pt>
                <c:pt idx="379">
                  <c:v>-87.402347728706573</c:v>
                </c:pt>
                <c:pt idx="380">
                  <c:v>-87.41712301527717</c:v>
                </c:pt>
                <c:pt idx="381">
                  <c:v>-87.43204382648787</c:v>
                </c:pt>
                <c:pt idx="382">
                  <c:v>-87.446793355151641</c:v>
                </c:pt>
                <c:pt idx="383">
                  <c:v>-87.461374531797446</c:v>
                </c:pt>
                <c:pt idx="384">
                  <c:v>-87.475790220525511</c:v>
                </c:pt>
                <c:pt idx="385">
                  <c:v>-87.490394412744962</c:v>
                </c:pt>
                <c:pt idx="386">
                  <c:v>-87.504830697069735</c:v>
                </c:pt>
                <c:pt idx="387">
                  <c:v>-87.51910195080751</c:v>
                </c:pt>
                <c:pt idx="388">
                  <c:v>-87.533210985939519</c:v>
                </c:pt>
                <c:pt idx="389">
                  <c:v>-87.547479184177007</c:v>
                </c:pt>
                <c:pt idx="390">
                  <c:v>-87.561583375883501</c:v>
                </c:pt>
                <c:pt idx="391">
                  <c:v>-87.575526370940267</c:v>
                </c:pt>
                <c:pt idx="392">
                  <c:v>-87.589310915444045</c:v>
                </c:pt>
                <c:pt idx="393">
                  <c:v>-87.603244009161315</c:v>
                </c:pt>
                <c:pt idx="394">
                  <c:v>-87.617017064975073</c:v>
                </c:pt>
                <c:pt idx="395">
                  <c:v>-87.630632822861642</c:v>
                </c:pt>
                <c:pt idx="396">
                  <c:v>-87.644093960641214</c:v>
                </c:pt>
                <c:pt idx="397">
                  <c:v>-87.657724339349642</c:v>
                </c:pt>
                <c:pt idx="398">
                  <c:v>-87.671197993923627</c:v>
                </c:pt>
                <c:pt idx="399">
                  <c:v>-87.684517610458585</c:v>
                </c:pt>
                <c:pt idx="400">
                  <c:v>-87.697685814049876</c:v>
                </c:pt>
                <c:pt idx="401">
                  <c:v>-87.710997362889998</c:v>
                </c:pt>
                <c:pt idx="402">
                  <c:v>-87.724155949809884</c:v>
                </c:pt>
                <c:pt idx="403">
                  <c:v>-87.737164194851232</c:v>
                </c:pt>
                <c:pt idx="404">
                  <c:v>-87.750024658589808</c:v>
                </c:pt>
                <c:pt idx="405">
                  <c:v>-87.763032863604337</c:v>
                </c:pt>
                <c:pt idx="406">
                  <c:v>-87.775891597098095</c:v>
                </c:pt>
                <c:pt idx="407">
                  <c:v>-87.788603419308529</c:v>
                </c:pt>
                <c:pt idx="408">
                  <c:v>-87.801170832363454</c:v>
                </c:pt>
                <c:pt idx="409">
                  <c:v>-87.813889463680766</c:v>
                </c:pt>
                <c:pt idx="410">
                  <c:v>-87.826461877400291</c:v>
                </c:pt>
                <c:pt idx="411">
                  <c:v>-87.838890579333466</c:v>
                </c:pt>
                <c:pt idx="412">
                  <c:v>-87.851178018386619</c:v>
                </c:pt>
                <c:pt idx="413">
                  <c:v>-87.863606591769056</c:v>
                </c:pt>
                <c:pt idx="414">
                  <c:v>-87.875892288151135</c:v>
                </c:pt>
                <c:pt idx="415">
                  <c:v>-87.888037556046456</c:v>
                </c:pt>
                <c:pt idx="416">
                  <c:v>-87.900044788364539</c:v>
                </c:pt>
                <c:pt idx="417">
                  <c:v>-87.912195897717822</c:v>
                </c:pt>
                <c:pt idx="418">
                  <c:v>-87.924207257594347</c:v>
                </c:pt>
                <c:pt idx="419">
                  <c:v>-87.9360812640207</c:v>
                </c:pt>
                <c:pt idx="420">
                  <c:v>-87.94782025858521</c:v>
                </c:pt>
                <c:pt idx="421">
                  <c:v>-87.959681925096888</c:v>
                </c:pt>
                <c:pt idx="422">
                  <c:v>-87.971407316689678</c:v>
                </c:pt>
                <c:pt idx="423">
                  <c:v>-87.982998767384274</c:v>
                </c:pt>
                <c:pt idx="424">
                  <c:v>-87.994458558225858</c:v>
                </c:pt>
                <c:pt idx="425">
                  <c:v>-88.006066104080276</c:v>
                </c:pt>
                <c:pt idx="426">
                  <c:v>-88.017540115223127</c:v>
                </c:pt>
                <c:pt idx="427">
                  <c:v>-88.028882881844368</c:v>
                </c:pt>
                <c:pt idx="428">
                  <c:v>-88.040096642081977</c:v>
                </c:pt>
                <c:pt idx="429">
                  <c:v>-88.051437711718208</c:v>
                </c:pt>
                <c:pt idx="430">
                  <c:v>-88.062648336506911</c:v>
                </c:pt>
                <c:pt idx="431">
                  <c:v>-88.073730753272216</c:v>
                </c:pt>
                <c:pt idx="432">
                  <c:v>-88.084687148006623</c:v>
                </c:pt>
                <c:pt idx="433">
                  <c:v>-88.095762359155927</c:v>
                </c:pt>
                <c:pt idx="434">
                  <c:v>-88.106710270628696</c:v>
                </c:pt>
                <c:pt idx="435">
                  <c:v>-88.11753306386791</c:v>
                </c:pt>
                <c:pt idx="436">
                  <c:v>-88.128232870775491</c:v>
                </c:pt>
                <c:pt idx="437">
                  <c:v>-88.139062886814088</c:v>
                </c:pt>
                <c:pt idx="438">
                  <c:v>-88.149768343832761</c:v>
                </c:pt>
                <c:pt idx="439">
                  <c:v>-88.160351377669315</c:v>
                </c:pt>
                <c:pt idx="440">
                  <c:v>-88.170814075624548</c:v>
                </c:pt>
                <c:pt idx="441">
                  <c:v>-88.181398297334567</c:v>
                </c:pt>
                <c:pt idx="442">
                  <c:v>-88.191860778379436</c:v>
                </c:pt>
                <c:pt idx="443">
                  <c:v>-88.202203606449899</c:v>
                </c:pt>
                <c:pt idx="444">
                  <c:v>-88.212428821789047</c:v>
                </c:pt>
                <c:pt idx="445">
                  <c:v>-88.222767454287037</c:v>
                </c:pt>
                <c:pt idx="446">
                  <c:v>-88.232987223874701</c:v>
                </c:pt>
                <c:pt idx="447">
                  <c:v>-88.243090168021425</c:v>
                </c:pt>
                <c:pt idx="448">
                  <c:v>-88.253078277909424</c:v>
                </c:pt>
                <c:pt idx="449">
                  <c:v>-88.263189066459162</c:v>
                </c:pt>
                <c:pt idx="450">
                  <c:v>-88.273183526888772</c:v>
                </c:pt>
                <c:pt idx="451">
                  <c:v>-88.283063654692015</c:v>
                </c:pt>
                <c:pt idx="452">
                  <c:v>-88.292831399995109</c:v>
                </c:pt>
                <c:pt idx="453">
                  <c:v>-88.302705604876721</c:v>
                </c:pt>
                <c:pt idx="454">
                  <c:v>-88.312466276344708</c:v>
                </c:pt>
                <c:pt idx="455">
                  <c:v>-88.322115360739758</c:v>
                </c:pt>
                <c:pt idx="456">
                  <c:v>-88.331654760179276</c:v>
                </c:pt>
                <c:pt idx="457">
                  <c:v>-88.341308865193596</c:v>
                </c:pt>
                <c:pt idx="458">
                  <c:v>-88.350851915078337</c:v>
                </c:pt>
                <c:pt idx="459">
                  <c:v>-88.360285814607366</c:v>
                </c:pt>
                <c:pt idx="460">
                  <c:v>-88.36961242525436</c:v>
                </c:pt>
                <c:pt idx="461">
                  <c:v>-88.379046089379429</c:v>
                </c:pt>
                <c:pt idx="462">
                  <c:v>-88.388371241884457</c:v>
                </c:pt>
                <c:pt idx="463">
                  <c:v>-88.39758974381057</c:v>
                </c:pt>
                <c:pt idx="464">
                  <c:v>-88.406703413894718</c:v>
                </c:pt>
                <c:pt idx="465">
                  <c:v>-88.415923994236891</c:v>
                </c:pt>
                <c:pt idx="466">
                  <c:v>-88.425038495175443</c:v>
                </c:pt>
                <c:pt idx="467">
                  <c:v>-88.434048736380092</c:v>
                </c:pt>
                <c:pt idx="468">
                  <c:v>-88.442956496148653</c:v>
                </c:pt>
                <c:pt idx="469">
                  <c:v>-88.451964033500673</c:v>
                </c:pt>
                <c:pt idx="470">
                  <c:v>-88.460867978296221</c:v>
                </c:pt>
                <c:pt idx="471">
                  <c:v>-88.469670106955093</c:v>
                </c:pt>
                <c:pt idx="472">
                  <c:v>-88.47837215552137</c:v>
                </c:pt>
                <c:pt idx="473">
                  <c:v>-88.487180092443765</c:v>
                </c:pt>
                <c:pt idx="474">
                  <c:v>-88.495886670802989</c:v>
                </c:pt>
                <c:pt idx="475">
                  <c:v>-88.504493629779091</c:v>
                </c:pt>
                <c:pt idx="476">
                  <c:v>-88.513002668998254</c:v>
                </c:pt>
                <c:pt idx="477">
                  <c:v>-88.521610530519993</c:v>
                </c:pt>
                <c:pt idx="478">
                  <c:v>-88.530119330433905</c:v>
                </c:pt>
                <c:pt idx="479">
                  <c:v>-88.538530768618173</c:v>
                </c:pt>
                <c:pt idx="480">
                  <c:v>-88.546846506287849</c:v>
                </c:pt>
                <c:pt idx="481">
                  <c:v>-88.555254471373956</c:v>
                </c:pt>
                <c:pt idx="482">
                  <c:v>-88.563565719880415</c:v>
                </c:pt>
                <c:pt idx="483">
                  <c:v>-88.571781910701816</c:v>
                </c:pt>
                <c:pt idx="484">
                  <c:v>-88.579904665018276</c:v>
                </c:pt>
                <c:pt idx="485">
                  <c:v>-88.588119054212413</c:v>
                </c:pt>
                <c:pt idx="486">
                  <c:v>-88.596238978915451</c:v>
                </c:pt>
                <c:pt idx="487">
                  <c:v>-88.604266058976506</c:v>
                </c:pt>
                <c:pt idx="488">
                  <c:v>-88.612201877427054</c:v>
                </c:pt>
                <c:pt idx="489">
                  <c:v>-88.620233838986891</c:v>
                </c:pt>
                <c:pt idx="490">
                  <c:v>-88.628173382848345</c:v>
                </c:pt>
                <c:pt idx="491">
                  <c:v>-88.636022094649064</c:v>
                </c:pt>
                <c:pt idx="492">
                  <c:v>-88.643781523966268</c:v>
                </c:pt>
                <c:pt idx="493">
                  <c:v>-88.651630681641819</c:v>
                </c:pt>
                <c:pt idx="494">
                  <c:v>-88.659389524603199</c:v>
                </c:pt>
                <c:pt idx="495">
                  <c:v>-88.667059602426988</c:v>
                </c:pt>
                <c:pt idx="496">
                  <c:v>-88.674642429448653</c:v>
                </c:pt>
                <c:pt idx="497">
                  <c:v>-88.682313840609254</c:v>
                </c:pt>
                <c:pt idx="498">
                  <c:v>-88.689896971650072</c:v>
                </c:pt>
                <c:pt idx="499">
                  <c:v>-88.6973933374328</c:v>
                </c:pt>
                <c:pt idx="500">
                  <c:v>-88.704804418362826</c:v>
                </c:pt>
                <c:pt idx="501">
                  <c:v>-88.712302797056182</c:v>
                </c:pt>
                <c:pt idx="502">
                  <c:v>-88.719714868388664</c:v>
                </c:pt>
                <c:pt idx="503">
                  <c:v>-88.727042113696598</c:v>
                </c:pt>
                <c:pt idx="504">
                  <c:v>-88.734285980614857</c:v>
                </c:pt>
                <c:pt idx="505">
                  <c:v>-88.741611318920974</c:v>
                </c:pt>
                <c:pt idx="506">
                  <c:v>-88.748852367937857</c:v>
                </c:pt>
                <c:pt idx="507">
                  <c:v>-88.756010573926062</c:v>
                </c:pt>
                <c:pt idx="508">
                  <c:v>-88.763087350252476</c:v>
                </c:pt>
                <c:pt idx="509">
                  <c:v>-88.77024438001736</c:v>
                </c:pt>
                <c:pt idx="510">
                  <c:v>-88.777319075066288</c:v>
                </c:pt>
                <c:pt idx="511">
                  <c:v>-88.784312847827266</c:v>
                </c:pt>
                <c:pt idx="512">
                  <c:v>-88.79122707861049</c:v>
                </c:pt>
                <c:pt idx="513">
                  <c:v>-88.798224265830115</c:v>
                </c:pt>
                <c:pt idx="514">
                  <c:v>-88.805140922505359</c:v>
                </c:pt>
                <c:pt idx="515">
                  <c:v>-88.811978430715314</c:v>
                </c:pt>
                <c:pt idx="516">
                  <c:v>-88.818738141097583</c:v>
                </c:pt>
                <c:pt idx="517">
                  <c:v>-88.825575271959366</c:v>
                </c:pt>
                <c:pt idx="518">
                  <c:v>-88.832333723032264</c:v>
                </c:pt>
                <c:pt idx="519">
                  <c:v>-88.839014844493406</c:v>
                </c:pt>
                <c:pt idx="520">
                  <c:v>-88.84561995580718</c:v>
                </c:pt>
                <c:pt idx="521">
                  <c:v>-88.852300995512792</c:v>
                </c:pt>
                <c:pt idx="522">
                  <c:v>-88.858905156903887</c:v>
                </c:pt>
                <c:pt idx="523">
                  <c:v>-88.865433759162897</c:v>
                </c:pt>
                <c:pt idx="524">
                  <c:v>-88.871888091466104</c:v>
                </c:pt>
                <c:pt idx="525">
                  <c:v>-88.878416794728906</c:v>
                </c:pt>
                <c:pt idx="526">
                  <c:v>-88.884870375667688</c:v>
                </c:pt>
                <c:pt idx="527">
                  <c:v>-88.891250123288756</c:v>
                </c:pt>
                <c:pt idx="528">
                  <c:v>-88.897557297279477</c:v>
                </c:pt>
                <c:pt idx="529">
                  <c:v>-88.903937231106184</c:v>
                </c:pt>
                <c:pt idx="530">
                  <c:v>-88.910243756443492</c:v>
                </c:pt>
                <c:pt idx="531">
                  <c:v>-88.916478132863219</c:v>
                </c:pt>
                <c:pt idx="532">
                  <c:v>-88.922641591288141</c:v>
                </c:pt>
                <c:pt idx="533">
                  <c:v>-88.928879355382975</c:v>
                </c:pt>
                <c:pt idx="534">
                  <c:v>-88.935045312130853</c:v>
                </c:pt>
                <c:pt idx="535">
                  <c:v>-88.941140694229389</c:v>
                </c:pt>
                <c:pt idx="536">
                  <c:v>-88.947166706324694</c:v>
                </c:pt>
                <c:pt idx="537">
                  <c:v>-88.953259008423061</c:v>
                </c:pt>
                <c:pt idx="538">
                  <c:v>-88.959281216950458</c:v>
                </c:pt>
                <c:pt idx="539">
                  <c:v>-88.965234534521201</c:v>
                </c:pt>
                <c:pt idx="540">
                  <c:v>-88.971120136397545</c:v>
                </c:pt>
                <c:pt idx="541">
                  <c:v>-88.977076361747805</c:v>
                </c:pt>
                <c:pt idx="542">
                  <c:v>-88.982964029805046</c:v>
                </c:pt>
                <c:pt idx="543">
                  <c:v>-88.988784317331522</c:v>
                </c:pt>
                <c:pt idx="544">
                  <c:v>-88.994538374313947</c:v>
                </c:pt>
                <c:pt idx="545">
                  <c:v>-89.000358341545208</c:v>
                </c:pt>
                <c:pt idx="546">
                  <c:v>-89.006111327398457</c:v>
                </c:pt>
                <c:pt idx="547">
                  <c:v>-89.011798481462534</c:v>
                </c:pt>
                <c:pt idx="548">
                  <c:v>-89.017420927171599</c:v>
                </c:pt>
                <c:pt idx="549">
                  <c:v>-89.023107546756265</c:v>
                </c:pt>
                <c:pt idx="550">
                  <c:v>-89.028728729585822</c:v>
                </c:pt>
                <c:pt idx="551">
                  <c:v>-89.034285598574542</c:v>
                </c:pt>
                <c:pt idx="552">
                  <c:v>-89.039779251092654</c:v>
                </c:pt>
                <c:pt idx="553">
                  <c:v>-89.045337879958922</c:v>
                </c:pt>
                <c:pt idx="554">
                  <c:v>-89.050832528494567</c:v>
                </c:pt>
                <c:pt idx="555">
                  <c:v>-89.056264294905617</c:v>
                </c:pt>
                <c:pt idx="556">
                  <c:v>-89.061634252409519</c:v>
                </c:pt>
                <c:pt idx="557">
                  <c:v>-89.072437757607787</c:v>
                </c:pt>
                <c:pt idx="558">
                  <c:v>-89.082995352070853</c:v>
                </c:pt>
                <c:pt idx="559">
                  <c:v>-89.093549162545372</c:v>
                </c:pt>
                <c:pt idx="560">
                  <c:v>-89.103862829545193</c:v>
                </c:pt>
                <c:pt idx="561">
                  <c:v>-89.114180897777388</c:v>
                </c:pt>
                <c:pt idx="562">
                  <c:v>-89.124264086263153</c:v>
                </c:pt>
                <c:pt idx="563">
                  <c:v>-89.134329400775584</c:v>
                </c:pt>
                <c:pt idx="564">
                  <c:v>-89.144165989501531</c:v>
                </c:pt>
                <c:pt idx="565">
                  <c:v>-89.154021178824991</c:v>
                </c:pt>
                <c:pt idx="566">
                  <c:v>-89.163651997444433</c:v>
                </c:pt>
                <c:pt idx="567">
                  <c:v>-89.173294844397688</c:v>
                </c:pt>
                <c:pt idx="568">
                  <c:v>-89.182717882831142</c:v>
                </c:pt>
                <c:pt idx="569">
                  <c:v>-89.192110639590268</c:v>
                </c:pt>
                <c:pt idx="570">
                  <c:v>-89.201289967846918</c:v>
                </c:pt>
                <c:pt idx="571">
                  <c:v>-89.210506537902461</c:v>
                </c:pt>
                <c:pt idx="572">
                  <c:v>-89.219512841954412</c:v>
                </c:pt>
                <c:pt idx="573">
                  <c:v>-89.228482062478491</c:v>
                </c:pt>
                <c:pt idx="574">
                  <c:v>-89.237247492086553</c:v>
                </c:pt>
                <c:pt idx="575">
                  <c:v>-89.246038051565719</c:v>
                </c:pt>
                <c:pt idx="576">
                  <c:v>-89.254628312586348</c:v>
                </c:pt>
                <c:pt idx="577">
                  <c:v>-89.288927188330931</c:v>
                </c:pt>
                <c:pt idx="578">
                  <c:v>-89.320208492178139</c:v>
                </c:pt>
                <c:pt idx="579">
                  <c:v>-89.379980330177986</c:v>
                </c:pt>
                <c:pt idx="580">
                  <c:v>-89.434549500025966</c:v>
                </c:pt>
                <c:pt idx="581">
                  <c:v>-89.484297651402443</c:v>
                </c:pt>
                <c:pt idx="582">
                  <c:v>-89.529681585942711</c:v>
                </c:pt>
                <c:pt idx="583">
                  <c:v>-89.571054790077426</c:v>
                </c:pt>
                <c:pt idx="584">
                  <c:v>-89.608800851089569</c:v>
                </c:pt>
                <c:pt idx="585">
                  <c:v>-89.643218064239306</c:v>
                </c:pt>
                <c:pt idx="586">
                  <c:v>-89.674605129478039</c:v>
                </c:pt>
                <c:pt idx="587">
                  <c:v>-89.70324363466959</c:v>
                </c:pt>
                <c:pt idx="588">
                  <c:v>-89.729349315252847</c:v>
                </c:pt>
                <c:pt idx="589">
                  <c:v>-89.753165481937117</c:v>
                </c:pt>
                <c:pt idx="590">
                  <c:v>-89.774884396413299</c:v>
                </c:pt>
                <c:pt idx="591">
                  <c:v>-89.794692447314532</c:v>
                </c:pt>
                <c:pt idx="592">
                  <c:v>-89.812755323750594</c:v>
                </c:pt>
                <c:pt idx="593">
                  <c:v>-89.829231579598954</c:v>
                </c:pt>
                <c:pt idx="594">
                  <c:v>-89.844256532884586</c:v>
                </c:pt>
                <c:pt idx="595">
                  <c:v>-89.85796079151298</c:v>
                </c:pt>
                <c:pt idx="596">
                  <c:v>-89.870457929237901</c:v>
                </c:pt>
                <c:pt idx="597">
                  <c:v>-89.881856735885407</c:v>
                </c:pt>
                <c:pt idx="598">
                  <c:v>-89.892251203097601</c:v>
                </c:pt>
                <c:pt idx="599">
                  <c:v>-89.901732264307512</c:v>
                </c:pt>
                <c:pt idx="600">
                  <c:v>-89.910378827135872</c:v>
                </c:pt>
              </c:numCache>
            </c:numRef>
          </c:yVal>
          <c:smooth val="0"/>
          <c:extLst>
            <c:ext xmlns:c16="http://schemas.microsoft.com/office/drawing/2014/chart" uri="{C3380CC4-5D6E-409C-BE32-E72D297353CC}">
              <c16:uniqueId val="{00000001-BA9E-4048-AA32-0E8605E404B1}"/>
            </c:ext>
          </c:extLst>
        </c:ser>
        <c:dLbls>
          <c:showLegendKey val="0"/>
          <c:showVal val="0"/>
          <c:showCatName val="0"/>
          <c:showSerName val="0"/>
          <c:showPercent val="0"/>
          <c:showBubbleSize val="0"/>
        </c:dLbls>
        <c:axId val="196945024"/>
        <c:axId val="196946560"/>
      </c:scatterChart>
      <c:valAx>
        <c:axId val="196940928"/>
        <c:scaling>
          <c:logBase val="10"/>
          <c:orientation val="minMax"/>
          <c:max val="1000000"/>
          <c:min val="1"/>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6942848"/>
        <c:crossesAt val="-40"/>
        <c:crossBetween val="midCat"/>
        <c:majorUnit val="10"/>
        <c:minorUnit val="10"/>
      </c:valAx>
      <c:valAx>
        <c:axId val="196942848"/>
        <c:scaling>
          <c:orientation val="minMax"/>
          <c:max val="8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96940928"/>
        <c:crossesAt val="0.1"/>
        <c:crossBetween val="midCat"/>
        <c:majorUnit val="20"/>
        <c:minorUnit val="4"/>
      </c:valAx>
      <c:valAx>
        <c:axId val="196945024"/>
        <c:scaling>
          <c:logBase val="10"/>
          <c:orientation val="minMax"/>
        </c:scaling>
        <c:delete val="1"/>
        <c:axPos val="t"/>
        <c:numFmt formatCode="General" sourceLinked="1"/>
        <c:majorTickMark val="out"/>
        <c:minorTickMark val="none"/>
        <c:tickLblPos val="none"/>
        <c:crossAx val="196946560"/>
        <c:crossesAt val="0"/>
        <c:crossBetween val="midCat"/>
      </c:valAx>
      <c:valAx>
        <c:axId val="196946560"/>
        <c:scaling>
          <c:orientation val="minMax"/>
          <c:max val="0"/>
          <c:min val="-27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9694502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Plant Bode Plot</a:t>
            </a:r>
          </a:p>
        </c:rich>
      </c:tx>
      <c:layout>
        <c:manualLayout>
          <c:xMode val="edge"/>
          <c:yMode val="edge"/>
          <c:x val="0.40864917395529671"/>
          <c:y val="2.1377650374348366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4"/>
          <c:order val="0"/>
          <c:tx>
            <c:strRef>
              <c:f>'Stability Calculations'!$AO$12</c:f>
              <c:strCache>
                <c:ptCount val="1"/>
                <c:pt idx="0">
                  <c:v>Gain(dB)</c:v>
                </c:pt>
              </c:strCache>
            </c:strRef>
          </c:tx>
          <c:spPr>
            <a:ln w="25400">
              <a:solidFill>
                <a:srgbClr val="FF0000"/>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Calculations'!$AO$13:$AO$613</c:f>
              <c:numCache>
                <c:formatCode>0.0000</c:formatCode>
                <c:ptCount val="601"/>
                <c:pt idx="0">
                  <c:v>60.484128200365248</c:v>
                </c:pt>
                <c:pt idx="1">
                  <c:v>60.484127686827868</c:v>
                </c:pt>
                <c:pt idx="2">
                  <c:v>60.484127069470446</c:v>
                </c:pt>
                <c:pt idx="3">
                  <c:v>60.484126327286248</c:v>
                </c:pt>
                <c:pt idx="4">
                  <c:v>60.484125435653276</c:v>
                </c:pt>
                <c:pt idx="5">
                  <c:v>60.484124362629252</c:v>
                </c:pt>
                <c:pt idx="6">
                  <c:v>60.484123073049844</c:v>
                </c:pt>
                <c:pt idx="7">
                  <c:v>60.484121522172948</c:v>
                </c:pt>
                <c:pt idx="8">
                  <c:v>60.484119658414158</c:v>
                </c:pt>
                <c:pt idx="9">
                  <c:v>60.484117416941537</c:v>
                </c:pt>
                <c:pt idx="10">
                  <c:v>60.484114722706522</c:v>
                </c:pt>
                <c:pt idx="11">
                  <c:v>60.484111483855827</c:v>
                </c:pt>
                <c:pt idx="12">
                  <c:v>60.48410758807195</c:v>
                </c:pt>
                <c:pt idx="13">
                  <c:v>60.484102906615334</c:v>
                </c:pt>
                <c:pt idx="14">
                  <c:v>60.484097276609539</c:v>
                </c:pt>
                <c:pt idx="15">
                  <c:v>60.484090508307922</c:v>
                </c:pt>
                <c:pt idx="16">
                  <c:v>60.484082370938246</c:v>
                </c:pt>
                <c:pt idx="17">
                  <c:v>60.484072589057249</c:v>
                </c:pt>
                <c:pt idx="18">
                  <c:v>60.484060826842239</c:v>
                </c:pt>
                <c:pt idx="19">
                  <c:v>60.484046687090533</c:v>
                </c:pt>
                <c:pt idx="20">
                  <c:v>60.484029685807002</c:v>
                </c:pt>
                <c:pt idx="21">
                  <c:v>60.484009248048807</c:v>
                </c:pt>
                <c:pt idx="22">
                  <c:v>60.483984673878879</c:v>
                </c:pt>
                <c:pt idx="23">
                  <c:v>60.483955133471234</c:v>
                </c:pt>
                <c:pt idx="24">
                  <c:v>60.483919614114832</c:v>
                </c:pt>
                <c:pt idx="25">
                  <c:v>60.483876911898882</c:v>
                </c:pt>
                <c:pt idx="26">
                  <c:v>60.483825561429931</c:v>
                </c:pt>
                <c:pt idx="27">
                  <c:v>60.483763830412165</c:v>
                </c:pt>
                <c:pt idx="28">
                  <c:v>60.483689618827214</c:v>
                </c:pt>
                <c:pt idx="29">
                  <c:v>60.483600465394566</c:v>
                </c:pt>
                <c:pt idx="30">
                  <c:v>60.483493177274745</c:v>
                </c:pt>
                <c:pt idx="31">
                  <c:v>60.48336423996335</c:v>
                </c:pt>
                <c:pt idx="32">
                  <c:v>60.483209182100531</c:v>
                </c:pt>
                <c:pt idx="33">
                  <c:v>60.483022849312881</c:v>
                </c:pt>
                <c:pt idx="34">
                  <c:v>60.482798764364389</c:v>
                </c:pt>
                <c:pt idx="35">
                  <c:v>60.48252943089232</c:v>
                </c:pt>
                <c:pt idx="36">
                  <c:v>60.482205675937067</c:v>
                </c:pt>
                <c:pt idx="37">
                  <c:v>60.481816285698386</c:v>
                </c:pt>
                <c:pt idx="38">
                  <c:v>60.481348411832286</c:v>
                </c:pt>
                <c:pt idx="39">
                  <c:v>60.480785804187569</c:v>
                </c:pt>
                <c:pt idx="40">
                  <c:v>60.480109541872281</c:v>
                </c:pt>
                <c:pt idx="41">
                  <c:v>60.479296625564125</c:v>
                </c:pt>
                <c:pt idx="42">
                  <c:v>60.478319623248112</c:v>
                </c:pt>
                <c:pt idx="43">
                  <c:v>60.477145115568227</c:v>
                </c:pt>
                <c:pt idx="44">
                  <c:v>60.475733616602398</c:v>
                </c:pt>
                <c:pt idx="45">
                  <c:v>60.474037066509055</c:v>
                </c:pt>
                <c:pt idx="46">
                  <c:v>60.471998460023883</c:v>
                </c:pt>
                <c:pt idx="47">
                  <c:v>60.469548511904662</c:v>
                </c:pt>
                <c:pt idx="48">
                  <c:v>60.466605258631958</c:v>
                </c:pt>
                <c:pt idx="49">
                  <c:v>60.463068905703892</c:v>
                </c:pt>
                <c:pt idx="50">
                  <c:v>60.458821187088738</c:v>
                </c:pt>
                <c:pt idx="51">
                  <c:v>60.453718639568592</c:v>
                </c:pt>
                <c:pt idx="52">
                  <c:v>60.447592449739048</c:v>
                </c:pt>
                <c:pt idx="53">
                  <c:v>60.440238990092332</c:v>
                </c:pt>
                <c:pt idx="54">
                  <c:v>60.431421237794886</c:v>
                </c:pt>
                <c:pt idx="55">
                  <c:v>60.420833303286237</c:v>
                </c:pt>
                <c:pt idx="56">
                  <c:v>60.40814257949264</c:v>
                </c:pt>
                <c:pt idx="57">
                  <c:v>60.392929367447309</c:v>
                </c:pt>
                <c:pt idx="58">
                  <c:v>60.374717159610427</c:v>
                </c:pt>
                <c:pt idx="59">
                  <c:v>60.352914662398206</c:v>
                </c:pt>
                <c:pt idx="60">
                  <c:v>60.326852177735887</c:v>
                </c:pt>
                <c:pt idx="61">
                  <c:v>60.295726934634189</c:v>
                </c:pt>
                <c:pt idx="62">
                  <c:v>60.258581611066013</c:v>
                </c:pt>
                <c:pt idx="63">
                  <c:v>60.214361164378722</c:v>
                </c:pt>
                <c:pt idx="64">
                  <c:v>60.161770141431241</c:v>
                </c:pt>
                <c:pt idx="65">
                  <c:v>60.099377320142871</c:v>
                </c:pt>
                <c:pt idx="66">
                  <c:v>60.025531074775316</c:v>
                </c:pt>
                <c:pt idx="67">
                  <c:v>59.938390812498895</c:v>
                </c:pt>
                <c:pt idx="68">
                  <c:v>59.83587188891498</c:v>
                </c:pt>
                <c:pt idx="69">
                  <c:v>59.715748962805563</c:v>
                </c:pt>
                <c:pt idx="70">
                  <c:v>59.575579862220032</c:v>
                </c:pt>
                <c:pt idx="71">
                  <c:v>59.412852807350504</c:v>
                </c:pt>
                <c:pt idx="72">
                  <c:v>59.224932679461801</c:v>
                </c:pt>
                <c:pt idx="73">
                  <c:v>59.009291029348738</c:v>
                </c:pt>
                <c:pt idx="74">
                  <c:v>58.763421350859993</c:v>
                </c:pt>
                <c:pt idx="75">
                  <c:v>58.485141500269158</c:v>
                </c:pt>
                <c:pt idx="76">
                  <c:v>58.172512563605366</c:v>
                </c:pt>
                <c:pt idx="77">
                  <c:v>57.824222052914173</c:v>
                </c:pt>
                <c:pt idx="78">
                  <c:v>57.439404137274465</c:v>
                </c:pt>
                <c:pt idx="79">
                  <c:v>57.018078341659248</c:v>
                </c:pt>
                <c:pt idx="80">
                  <c:v>56.559870937641115</c:v>
                </c:pt>
                <c:pt idx="81">
                  <c:v>56.06633834147425</c:v>
                </c:pt>
                <c:pt idx="82">
                  <c:v>55.538633594576268</c:v>
                </c:pt>
                <c:pt idx="83">
                  <c:v>54.97906167236237</c:v>
                </c:pt>
                <c:pt idx="84">
                  <c:v>54.389448867106196</c:v>
                </c:pt>
                <c:pt idx="85">
                  <c:v>53.772590366076088</c:v>
                </c:pt>
                <c:pt idx="86">
                  <c:v>53.130976621838187</c:v>
                </c:pt>
                <c:pt idx="87">
                  <c:v>52.466828634634332</c:v>
                </c:pt>
                <c:pt idx="88">
                  <c:v>51.783285555454043</c:v>
                </c:pt>
                <c:pt idx="89">
                  <c:v>51.082173733959941</c:v>
                </c:pt>
                <c:pt idx="90">
                  <c:v>50.365946961454767</c:v>
                </c:pt>
                <c:pt idx="91">
                  <c:v>49.636538139994038</c:v>
                </c:pt>
                <c:pt idx="92">
                  <c:v>48.895829656029839</c:v>
                </c:pt>
                <c:pt idx="93">
                  <c:v>48.14516919714908</c:v>
                </c:pt>
                <c:pt idx="94">
                  <c:v>47.956208723721275</c:v>
                </c:pt>
                <c:pt idx="95">
                  <c:v>47.860949889984425</c:v>
                </c:pt>
                <c:pt idx="96">
                  <c:v>47.766657236599912</c:v>
                </c:pt>
                <c:pt idx="97">
                  <c:v>47.671159737747189</c:v>
                </c:pt>
                <c:pt idx="98">
                  <c:v>47.576635568220766</c:v>
                </c:pt>
                <c:pt idx="99">
                  <c:v>47.480884441110774</c:v>
                </c:pt>
                <c:pt idx="100">
                  <c:v>47.386113993961601</c:v>
                </c:pt>
                <c:pt idx="101">
                  <c:v>47.290168195165379</c:v>
                </c:pt>
                <c:pt idx="102">
                  <c:v>47.195209122250866</c:v>
                </c:pt>
                <c:pt idx="103">
                  <c:v>47.098984751470631</c:v>
                </c:pt>
                <c:pt idx="104">
                  <c:v>47.003754771567188</c:v>
                </c:pt>
                <c:pt idx="105">
                  <c:v>46.907312861076875</c:v>
                </c:pt>
                <c:pt idx="106">
                  <c:v>46.811871658451707</c:v>
                </c:pt>
                <c:pt idx="107">
                  <c:v>46.715269803916343</c:v>
                </c:pt>
                <c:pt idx="108">
                  <c:v>46.619673683471454</c:v>
                </c:pt>
                <c:pt idx="109">
                  <c:v>46.522900605658208</c:v>
                </c:pt>
                <c:pt idx="110">
                  <c:v>46.427138418786036</c:v>
                </c:pt>
                <c:pt idx="111">
                  <c:v>46.330120883264556</c:v>
                </c:pt>
                <c:pt idx="112">
                  <c:v>46.234120823926254</c:v>
                </c:pt>
                <c:pt idx="113">
                  <c:v>46.136918677766161</c:v>
                </c:pt>
                <c:pt idx="114">
                  <c:v>46.040739253589138</c:v>
                </c:pt>
                <c:pt idx="115">
                  <c:v>45.943347350046025</c:v>
                </c:pt>
                <c:pt idx="116">
                  <c:v>45.846983428536888</c:v>
                </c:pt>
                <c:pt idx="117">
                  <c:v>45.749398412897541</c:v>
                </c:pt>
                <c:pt idx="118">
                  <c:v>45.652846618536607</c:v>
                </c:pt>
                <c:pt idx="119">
                  <c:v>45.555125740777825</c:v>
                </c:pt>
                <c:pt idx="120">
                  <c:v>45.458442024442562</c:v>
                </c:pt>
                <c:pt idx="121">
                  <c:v>45.360581383687745</c:v>
                </c:pt>
                <c:pt idx="122">
                  <c:v>45.263761831842118</c:v>
                </c:pt>
                <c:pt idx="123">
                  <c:v>45.165702603381831</c:v>
                </c:pt>
                <c:pt idx="124">
                  <c:v>45.068689546309066</c:v>
                </c:pt>
                <c:pt idx="125">
                  <c:v>44.970489687535732</c:v>
                </c:pt>
                <c:pt idx="126">
                  <c:v>44.873339763626632</c:v>
                </c:pt>
                <c:pt idx="127">
                  <c:v>44.774999603029279</c:v>
                </c:pt>
                <c:pt idx="128">
                  <c:v>44.677713042466351</c:v>
                </c:pt>
                <c:pt idx="129">
                  <c:v>44.57923411443371</c:v>
                </c:pt>
                <c:pt idx="130">
                  <c:v>44.481812328299732</c:v>
                </c:pt>
                <c:pt idx="131">
                  <c:v>44.383197266735522</c:v>
                </c:pt>
                <c:pt idx="132">
                  <c:v>44.334288851516995</c:v>
                </c:pt>
                <c:pt idx="133">
                  <c:v>44.285642742518085</c:v>
                </c:pt>
                <c:pt idx="134">
                  <c:v>44.236109065669893</c:v>
                </c:pt>
                <c:pt idx="135">
                  <c:v>44.186844476060458</c:v>
                </c:pt>
                <c:pt idx="136">
                  <c:v>44.137846088314603</c:v>
                </c:pt>
                <c:pt idx="137">
                  <c:v>44.089111061607376</c:v>
                </c:pt>
                <c:pt idx="138">
                  <c:v>44.039539046795895</c:v>
                </c:pt>
                <c:pt idx="139">
                  <c:v>43.990236616209017</c:v>
                </c:pt>
                <c:pt idx="140">
                  <c:v>43.94120087000762</c:v>
                </c:pt>
                <c:pt idx="141">
                  <c:v>43.892428953327418</c:v>
                </c:pt>
                <c:pt idx="142">
                  <c:v>43.84277084151492</c:v>
                </c:pt>
                <c:pt idx="143">
                  <c:v>43.793383306060043</c:v>
                </c:pt>
                <c:pt idx="144">
                  <c:v>43.744263424823934</c:v>
                </c:pt>
                <c:pt idx="145">
                  <c:v>43.695408321224846</c:v>
                </c:pt>
                <c:pt idx="146">
                  <c:v>43.645692627353007</c:v>
                </c:pt>
                <c:pt idx="147">
                  <c:v>43.596248169463038</c:v>
                </c:pt>
                <c:pt idx="148">
                  <c:v>43.547072008595357</c:v>
                </c:pt>
                <c:pt idx="149">
                  <c:v>43.498161251813229</c:v>
                </c:pt>
                <c:pt idx="150">
                  <c:v>43.448391320453709</c:v>
                </c:pt>
                <c:pt idx="151">
                  <c:v>43.398893225085864</c:v>
                </c:pt>
                <c:pt idx="152">
                  <c:v>43.349664011015001</c:v>
                </c:pt>
                <c:pt idx="153">
                  <c:v>43.300700770007843</c:v>
                </c:pt>
                <c:pt idx="154">
                  <c:v>43.250857361215971</c:v>
                </c:pt>
                <c:pt idx="155">
                  <c:v>43.201286574949663</c:v>
                </c:pt>
                <c:pt idx="156">
                  <c:v>43.151985437844559</c:v>
                </c:pt>
                <c:pt idx="157">
                  <c:v>43.102951023494384</c:v>
                </c:pt>
                <c:pt idx="158">
                  <c:v>43.05303948393896</c:v>
                </c:pt>
                <c:pt idx="159">
                  <c:v>43.003401272058291</c:v>
                </c:pt>
                <c:pt idx="160">
                  <c:v>42.954033397225174</c:v>
                </c:pt>
                <c:pt idx="161">
                  <c:v>42.904932916234834</c:v>
                </c:pt>
                <c:pt idx="162">
                  <c:v>42.854980623904659</c:v>
                </c:pt>
                <c:pt idx="163">
                  <c:v>42.805302041767099</c:v>
                </c:pt>
                <c:pt idx="164">
                  <c:v>42.755894167301101</c:v>
                </c:pt>
                <c:pt idx="165">
                  <c:v>42.706754045755346</c:v>
                </c:pt>
                <c:pt idx="166">
                  <c:v>42.656722355263895</c:v>
                </c:pt>
                <c:pt idx="167">
                  <c:v>42.606965156176145</c:v>
                </c:pt>
                <c:pt idx="168">
                  <c:v>42.55747942760663</c:v>
                </c:pt>
                <c:pt idx="169">
                  <c:v>42.508262196921507</c:v>
                </c:pt>
                <c:pt idx="170">
                  <c:v>42.458262963263415</c:v>
                </c:pt>
                <c:pt idx="171">
                  <c:v>42.408537754593141</c:v>
                </c:pt>
                <c:pt idx="172">
                  <c:v>42.359083552286677</c:v>
                </c:pt>
                <c:pt idx="173">
                  <c:v>42.309897386010668</c:v>
                </c:pt>
                <c:pt idx="174">
                  <c:v>42.259746429667672</c:v>
                </c:pt>
                <c:pt idx="175">
                  <c:v>42.20987102282821</c:v>
                </c:pt>
                <c:pt idx="176">
                  <c:v>42.160268116349243</c:v>
                </c:pt>
                <c:pt idx="177">
                  <c:v>42.110934710113114</c:v>
                </c:pt>
                <c:pt idx="178">
                  <c:v>42.060664622942554</c:v>
                </c:pt>
                <c:pt idx="179">
                  <c:v>42.010671230069065</c:v>
                </c:pt>
                <c:pt idx="180">
                  <c:v>41.960951458057785</c:v>
                </c:pt>
                <c:pt idx="181">
                  <c:v>41.911502283101107</c:v>
                </c:pt>
                <c:pt idx="182">
                  <c:v>41.8613398084686</c:v>
                </c:pt>
                <c:pt idx="183">
                  <c:v>41.811452661395421</c:v>
                </c:pt>
                <c:pt idx="184">
                  <c:v>41.761837785916342</c:v>
                </c:pt>
                <c:pt idx="185">
                  <c:v>41.712492175395262</c:v>
                </c:pt>
                <c:pt idx="186">
                  <c:v>41.662069324152853</c:v>
                </c:pt>
                <c:pt idx="187">
                  <c:v>41.611924444434464</c:v>
                </c:pt>
                <c:pt idx="188">
                  <c:v>41.562054431049098</c:v>
                </c:pt>
                <c:pt idx="189">
                  <c:v>41.512456229268587</c:v>
                </c:pt>
                <c:pt idx="190">
                  <c:v>41.462188027546169</c:v>
                </c:pt>
                <c:pt idx="191">
                  <c:v>41.412195860884289</c:v>
                </c:pt>
                <c:pt idx="192">
                  <c:v>41.362476651265879</c:v>
                </c:pt>
                <c:pt idx="193">
                  <c:v>41.31302737062051</c:v>
                </c:pt>
                <c:pt idx="194">
                  <c:v>41.262559179709285</c:v>
                </c:pt>
                <c:pt idx="195">
                  <c:v>41.212368952354765</c:v>
                </c:pt>
                <c:pt idx="196">
                  <c:v>41.162453573180919</c:v>
                </c:pt>
                <c:pt idx="197">
                  <c:v>41.112809977634235</c:v>
                </c:pt>
                <c:pt idx="198">
                  <c:v>41.062356935023068</c:v>
                </c:pt>
                <c:pt idx="199">
                  <c:v>41.012181396461223</c:v>
                </c:pt>
                <c:pt idx="200">
                  <c:v>40.962280249167968</c:v>
                </c:pt>
                <c:pt idx="201">
                  <c:v>40.912650431194145</c:v>
                </c:pt>
                <c:pt idx="202">
                  <c:v>40.862234098378835</c:v>
                </c:pt>
                <c:pt idx="203">
                  <c:v>40.812094547780731</c:v>
                </c:pt>
                <c:pt idx="204">
                  <c:v>40.762228673660282</c:v>
                </c:pt>
                <c:pt idx="205">
                  <c:v>40.712633421018118</c:v>
                </c:pt>
                <c:pt idx="206">
                  <c:v>40.662101794801856</c:v>
                </c:pt>
                <c:pt idx="207">
                  <c:v>40.611847866757536</c:v>
                </c:pt>
                <c:pt idx="208">
                  <c:v>40.561868510680263</c:v>
                </c:pt>
                <c:pt idx="209">
                  <c:v>40.512160651609825</c:v>
                </c:pt>
                <c:pt idx="210">
                  <c:v>40.461375120768828</c:v>
                </c:pt>
                <c:pt idx="211">
                  <c:v>40.410869697608277</c:v>
                </c:pt>
                <c:pt idx="212">
                  <c:v>40.360641210100667</c:v>
                </c:pt>
                <c:pt idx="213">
                  <c:v>40.310686538522859</c:v>
                </c:pt>
                <c:pt idx="214">
                  <c:v>40.260014968625988</c:v>
                </c:pt>
                <c:pt idx="215">
                  <c:v>40.209621845696269</c:v>
                </c:pt>
                <c:pt idx="216">
                  <c:v>40.159504020656023</c:v>
                </c:pt>
                <c:pt idx="217">
                  <c:v>40.10965839628475</c:v>
                </c:pt>
                <c:pt idx="218">
                  <c:v>40.058954632827692</c:v>
                </c:pt>
                <c:pt idx="219">
                  <c:v>40.008529231874668</c:v>
                </c:pt>
                <c:pt idx="220">
                  <c:v>39.958379040625616</c:v>
                </c:pt>
                <c:pt idx="221">
                  <c:v>39.908500958272093</c:v>
                </c:pt>
                <c:pt idx="222">
                  <c:v>39.85778904401586</c:v>
                </c:pt>
                <c:pt idx="223">
                  <c:v>39.807355114142467</c:v>
                </c:pt>
                <c:pt idx="224">
                  <c:v>39.757196017082364</c:v>
                </c:pt>
                <c:pt idx="225">
                  <c:v>39.70730865328148</c:v>
                </c:pt>
                <c:pt idx="226">
                  <c:v>39.656456777059674</c:v>
                </c:pt>
                <c:pt idx="227">
                  <c:v>39.605883916847617</c:v>
                </c:pt>
                <c:pt idx="228">
                  <c:v>39.555586898317841</c:v>
                </c:pt>
                <c:pt idx="229">
                  <c:v>39.505562599707943</c:v>
                </c:pt>
                <c:pt idx="230">
                  <c:v>39.403919965773078</c:v>
                </c:pt>
                <c:pt idx="231">
                  <c:v>39.353514974578843</c:v>
                </c:pt>
                <c:pt idx="232">
                  <c:v>39.30338333231181</c:v>
                </c:pt>
                <c:pt idx="233">
                  <c:v>39.252341558962094</c:v>
                </c:pt>
                <c:pt idx="234">
                  <c:v>39.201579776266236</c:v>
                </c:pt>
                <c:pt idx="235">
                  <c:v>39.151094782549222</c:v>
                </c:pt>
                <c:pt idx="236">
                  <c:v>39.100883429399218</c:v>
                </c:pt>
                <c:pt idx="237">
                  <c:v>39.049932107756447</c:v>
                </c:pt>
                <c:pt idx="238">
                  <c:v>38.999259186571571</c:v>
                </c:pt>
                <c:pt idx="239">
                  <c:v>38.948861485894902</c:v>
                </c:pt>
                <c:pt idx="240">
                  <c:v>38.898735878604967</c:v>
                </c:pt>
                <c:pt idx="241">
                  <c:v>38.847608047111585</c:v>
                </c:pt>
                <c:pt idx="242">
                  <c:v>38.796759904035746</c:v>
                </c:pt>
                <c:pt idx="243">
                  <c:v>38.74618824184703</c:v>
                </c:pt>
                <c:pt idx="244">
                  <c:v>38.695889906497428</c:v>
                </c:pt>
                <c:pt idx="245">
                  <c:v>38.644756177220501</c:v>
                </c:pt>
                <c:pt idx="246">
                  <c:v>38.593901525376033</c:v>
                </c:pt>
                <c:pt idx="247">
                  <c:v>38.543322748274903</c:v>
                </c:pt>
                <c:pt idx="248">
                  <c:v>38.493016696645356</c:v>
                </c:pt>
                <c:pt idx="249">
                  <c:v>38.441763215467319</c:v>
                </c:pt>
                <c:pt idx="250">
                  <c:v>38.390789402346797</c:v>
                </c:pt>
                <c:pt idx="251">
                  <c:v>38.340092038697179</c:v>
                </c:pt>
                <c:pt idx="252">
                  <c:v>38.289667959744882</c:v>
                </c:pt>
                <c:pt idx="253">
                  <c:v>38.238455492111768</c:v>
                </c:pt>
                <c:pt idx="254">
                  <c:v>38.187521495544274</c:v>
                </c:pt>
                <c:pt idx="255">
                  <c:v>38.136862766208253</c:v>
                </c:pt>
                <c:pt idx="256">
                  <c:v>38.08647615379499</c:v>
                </c:pt>
                <c:pt idx="257">
                  <c:v>38.035063724622006</c:v>
                </c:pt>
                <c:pt idx="258">
                  <c:v>37.9839311449741</c:v>
                </c:pt>
                <c:pt idx="259">
                  <c:v>37.933075181272883</c:v>
                </c:pt>
                <c:pt idx="260">
                  <c:v>37.882492654167912</c:v>
                </c:pt>
                <c:pt idx="261">
                  <c:v>37.831040095196499</c:v>
                </c:pt>
                <c:pt idx="262">
                  <c:v>37.779866984907237</c:v>
                </c:pt>
                <c:pt idx="263">
                  <c:v>37.728970090524236</c:v>
                </c:pt>
                <c:pt idx="264">
                  <c:v>37.678346233520926</c:v>
                </c:pt>
                <c:pt idx="265">
                  <c:v>37.62687635390342</c:v>
                </c:pt>
                <c:pt idx="266">
                  <c:v>37.575685233290031</c:v>
                </c:pt>
                <c:pt idx="267">
                  <c:v>37.524769644593718</c:v>
                </c:pt>
                <c:pt idx="268">
                  <c:v>37.474126414888715</c:v>
                </c:pt>
                <c:pt idx="269">
                  <c:v>37.422538965668032</c:v>
                </c:pt>
                <c:pt idx="270">
                  <c:v>37.371230624258999</c:v>
                </c:pt>
                <c:pt idx="271">
                  <c:v>37.32019815113555</c:v>
                </c:pt>
                <c:pt idx="272">
                  <c:v>37.269438361250018</c:v>
                </c:pt>
                <c:pt idx="273">
                  <c:v>37.217760543782688</c:v>
                </c:pt>
                <c:pt idx="274">
                  <c:v>37.166361840514128</c:v>
                </c:pt>
                <c:pt idx="275">
                  <c:v>37.115239005245662</c:v>
                </c:pt>
                <c:pt idx="276">
                  <c:v>37.064388846445084</c:v>
                </c:pt>
                <c:pt idx="277">
                  <c:v>37.012762149780876</c:v>
                </c:pt>
                <c:pt idx="278">
                  <c:v>36.961413005402768</c:v>
                </c:pt>
                <c:pt idx="279">
                  <c:v>36.910338187574347</c:v>
                </c:pt>
                <c:pt idx="280">
                  <c:v>36.859534524806094</c:v>
                </c:pt>
                <c:pt idx="281">
                  <c:v>36.807633687478599</c:v>
                </c:pt>
                <c:pt idx="282">
                  <c:v>36.756012283034664</c:v>
                </c:pt>
                <c:pt idx="283">
                  <c:v>36.704667046079656</c:v>
                </c:pt>
                <c:pt idx="284">
                  <c:v>36.653594766394001</c:v>
                </c:pt>
                <c:pt idx="285">
                  <c:v>36.601790103494615</c:v>
                </c:pt>
                <c:pt idx="286">
                  <c:v>36.550262729978101</c:v>
                </c:pt>
                <c:pt idx="287">
                  <c:v>36.499009410815134</c:v>
                </c:pt>
                <c:pt idx="288">
                  <c:v>36.448026965509584</c:v>
                </c:pt>
                <c:pt idx="289">
                  <c:v>36.396004203979359</c:v>
                </c:pt>
                <c:pt idx="290">
                  <c:v>36.344259898305012</c:v>
                </c:pt>
                <c:pt idx="291">
                  <c:v>36.292790785826043</c:v>
                </c:pt>
                <c:pt idx="292">
                  <c:v>36.241593659075384</c:v>
                </c:pt>
                <c:pt idx="293">
                  <c:v>36.189491603398046</c:v>
                </c:pt>
                <c:pt idx="294">
                  <c:v>36.137667628680518</c:v>
                </c:pt>
                <c:pt idx="295">
                  <c:v>36.086118471375322</c:v>
                </c:pt>
                <c:pt idx="296">
                  <c:v>36.034840923188426</c:v>
                </c:pt>
                <c:pt idx="297">
                  <c:v>35.982682749800887</c:v>
                </c:pt>
                <c:pt idx="298">
                  <c:v>35.930801979993767</c:v>
                </c:pt>
                <c:pt idx="299">
                  <c:v>35.879195354467875</c:v>
                </c:pt>
                <c:pt idx="300">
                  <c:v>35.827859669123143</c:v>
                </c:pt>
                <c:pt idx="301">
                  <c:v>35.775666767293991</c:v>
                </c:pt>
                <c:pt idx="302">
                  <c:v>35.723750309896403</c:v>
                </c:pt>
                <c:pt idx="303">
                  <c:v>35.672107046667044</c:v>
                </c:pt>
                <c:pt idx="304">
                  <c:v>35.620733782381002</c:v>
                </c:pt>
                <c:pt idx="305">
                  <c:v>35.568325571360056</c:v>
                </c:pt>
                <c:pt idx="306">
                  <c:v>35.516194692565584</c:v>
                </c:pt>
                <c:pt idx="307">
                  <c:v>35.464337872045675</c:v>
                </c:pt>
                <c:pt idx="308">
                  <c:v>35.41275189146355</c:v>
                </c:pt>
                <c:pt idx="309">
                  <c:v>35.360355023777679</c:v>
                </c:pt>
                <c:pt idx="310">
                  <c:v>35.308233921444611</c:v>
                </c:pt>
                <c:pt idx="311">
                  <c:v>35.256385329906678</c:v>
                </c:pt>
                <c:pt idx="312">
                  <c:v>35.204806049828704</c:v>
                </c:pt>
                <c:pt idx="313">
                  <c:v>35.152244695421999</c:v>
                </c:pt>
                <c:pt idx="314">
                  <c:v>35.099959325689262</c:v>
                </c:pt>
                <c:pt idx="315">
                  <c:v>35.047946673732973</c:v>
                </c:pt>
                <c:pt idx="316">
                  <c:v>34.996203528203182</c:v>
                </c:pt>
                <c:pt idx="317">
                  <c:v>34.943504314749418</c:v>
                </c:pt>
                <c:pt idx="318">
                  <c:v>34.891080954888906</c:v>
                </c:pt>
                <c:pt idx="319">
                  <c:v>34.838930175334873</c:v>
                </c:pt>
                <c:pt idx="320">
                  <c:v>34.787048758541104</c:v>
                </c:pt>
                <c:pt idx="321">
                  <c:v>34.734236329842851</c:v>
                </c:pt>
                <c:pt idx="322">
                  <c:v>34.681699295257367</c:v>
                </c:pt>
                <c:pt idx="323">
                  <c:v>34.62943438071234</c:v>
                </c:pt>
                <c:pt idx="324">
                  <c:v>34.577438367944737</c:v>
                </c:pt>
                <c:pt idx="325">
                  <c:v>34.524535469099135</c:v>
                </c:pt>
                <c:pt idx="326">
                  <c:v>34.471907198159506</c:v>
                </c:pt>
                <c:pt idx="327">
                  <c:v>34.41955028552222</c:v>
                </c:pt>
                <c:pt idx="328">
                  <c:v>34.367461517344523</c:v>
                </c:pt>
                <c:pt idx="329">
                  <c:v>34.314400727874428</c:v>
                </c:pt>
                <c:pt idx="330">
                  <c:v>34.261614424836679</c:v>
                </c:pt>
                <c:pt idx="331">
                  <c:v>34.209099331757592</c:v>
                </c:pt>
                <c:pt idx="332">
                  <c:v>34.156852228136366</c:v>
                </c:pt>
                <c:pt idx="333">
                  <c:v>34.103744697917364</c:v>
                </c:pt>
                <c:pt idx="334">
                  <c:v>34.050910292421477</c:v>
                </c:pt>
                <c:pt idx="335">
                  <c:v>33.998345749884997</c:v>
                </c:pt>
                <c:pt idx="336">
                  <c:v>33.946047864241024</c:v>
                </c:pt>
                <c:pt idx="337">
                  <c:v>33.892741413432404</c:v>
                </c:pt>
                <c:pt idx="338">
                  <c:v>33.839708212209622</c:v>
                </c:pt>
                <c:pt idx="339">
                  <c:v>33.786944986754499</c:v>
                </c:pt>
                <c:pt idx="340">
                  <c:v>33.734448519281671</c:v>
                </c:pt>
                <c:pt idx="341">
                  <c:v>33.6809692592132</c:v>
                </c:pt>
                <c:pt idx="342">
                  <c:v>33.627763020079271</c:v>
                </c:pt>
                <c:pt idx="343">
                  <c:v>33.574826522083548</c:v>
                </c:pt>
                <c:pt idx="344">
                  <c:v>33.522156541663776</c:v>
                </c:pt>
                <c:pt idx="345">
                  <c:v>33.468609997029453</c:v>
                </c:pt>
                <c:pt idx="346">
                  <c:v>33.41533508996244</c:v>
                </c:pt>
                <c:pt idx="347">
                  <c:v>33.362328555241113</c:v>
                </c:pt>
                <c:pt idx="348">
                  <c:v>33.309587183615292</c:v>
                </c:pt>
                <c:pt idx="349">
                  <c:v>33.25583108299513</c:v>
                </c:pt>
                <c:pt idx="350">
                  <c:v>33.202346595102711</c:v>
                </c:pt>
                <c:pt idx="351">
                  <c:v>33.149130444676217</c:v>
                </c:pt>
                <c:pt idx="352">
                  <c:v>33.096179412727508</c:v>
                </c:pt>
                <c:pt idx="353">
                  <c:v>33.042239000511898</c:v>
                </c:pt>
                <c:pt idx="354">
                  <c:v>32.988569828535297</c:v>
                </c:pt>
                <c:pt idx="355">
                  <c:v>32.935168617534309</c:v>
                </c:pt>
                <c:pt idx="356">
                  <c:v>32.882032144689312</c:v>
                </c:pt>
                <c:pt idx="357">
                  <c:v>32.828007336638677</c:v>
                </c:pt>
                <c:pt idx="358">
                  <c:v>32.774252308113951</c:v>
                </c:pt>
                <c:pt idx="359">
                  <c:v>32.720763795365087</c:v>
                </c:pt>
                <c:pt idx="360">
                  <c:v>32.667538590813685</c:v>
                </c:pt>
                <c:pt idx="361">
                  <c:v>32.613295932523755</c:v>
                </c:pt>
                <c:pt idx="362">
                  <c:v>32.559322835727372</c:v>
                </c:pt>
                <c:pt idx="363">
                  <c:v>32.50561602955203</c:v>
                </c:pt>
                <c:pt idx="364">
                  <c:v>32.452172299548565</c:v>
                </c:pt>
                <c:pt idx="365">
                  <c:v>32.397809552176625</c:v>
                </c:pt>
                <c:pt idx="366">
                  <c:v>32.343715085703863</c:v>
                </c:pt>
                <c:pt idx="367">
                  <c:v>32.289885641266508</c:v>
                </c:pt>
                <c:pt idx="368">
                  <c:v>32.236318016242784</c:v>
                </c:pt>
                <c:pt idx="369">
                  <c:v>32.181708525615903</c:v>
                </c:pt>
                <c:pt idx="370">
                  <c:v>32.127367188337836</c:v>
                </c:pt>
                <c:pt idx="371">
                  <c:v>32.073290736472231</c:v>
                </c:pt>
                <c:pt idx="372">
                  <c:v>32.019475958633599</c:v>
                </c:pt>
                <c:pt idx="373">
                  <c:v>31.964715152659306</c:v>
                </c:pt>
                <c:pt idx="374">
                  <c:v>31.910221337527339</c:v>
                </c:pt>
                <c:pt idx="375">
                  <c:v>31.855991254963723</c:v>
                </c:pt>
                <c:pt idx="376">
                  <c:v>31.802021703129938</c:v>
                </c:pt>
                <c:pt idx="377">
                  <c:v>31.746989112286602</c:v>
                </c:pt>
                <c:pt idx="378">
                  <c:v>31.692223421273571</c:v>
                </c:pt>
                <c:pt idx="379">
                  <c:v>31.637721361820542</c:v>
                </c:pt>
                <c:pt idx="380">
                  <c:v>31.583479722437659</c:v>
                </c:pt>
                <c:pt idx="381">
                  <c:v>31.528336462576043</c:v>
                </c:pt>
                <c:pt idx="382">
                  <c:v>31.473458352559245</c:v>
                </c:pt>
                <c:pt idx="383">
                  <c:v>31.418842144428076</c:v>
                </c:pt>
                <c:pt idx="384">
                  <c:v>31.364484646656749</c:v>
                </c:pt>
                <c:pt idx="385">
                  <c:v>31.309045125851071</c:v>
                </c:pt>
                <c:pt idx="386">
                  <c:v>31.253870687480582</c:v>
                </c:pt>
                <c:pt idx="387">
                  <c:v>31.19895807303887</c:v>
                </c:pt>
                <c:pt idx="388">
                  <c:v>31.144304080826956</c:v>
                </c:pt>
                <c:pt idx="389">
                  <c:v>31.088658757694358</c:v>
                </c:pt>
                <c:pt idx="390">
                  <c:v>31.033277475340917</c:v>
                </c:pt>
                <c:pt idx="391">
                  <c:v>30.978156982587137</c:v>
                </c:pt>
                <c:pt idx="392">
                  <c:v>30.923294085030669</c:v>
                </c:pt>
                <c:pt idx="393">
                  <c:v>30.867462110618064</c:v>
                </c:pt>
                <c:pt idx="394">
                  <c:v>30.811892853990059</c:v>
                </c:pt>
                <c:pt idx="395">
                  <c:v>30.756583076544899</c:v>
                </c:pt>
                <c:pt idx="396">
                  <c:v>30.701529596313527</c:v>
                </c:pt>
                <c:pt idx="397">
                  <c:v>30.645401996435304</c:v>
                </c:pt>
                <c:pt idx="398">
                  <c:v>30.589536708229229</c:v>
                </c:pt>
                <c:pt idx="399">
                  <c:v>30.533930488847894</c:v>
                </c:pt>
                <c:pt idx="400">
                  <c:v>30.478580152333798</c:v>
                </c:pt>
                <c:pt idx="401">
                  <c:v>30.422241723644863</c:v>
                </c:pt>
                <c:pt idx="402">
                  <c:v>30.366164299035905</c:v>
                </c:pt>
                <c:pt idx="403">
                  <c:v>30.310344648195631</c:v>
                </c:pt>
                <c:pt idx="404">
                  <c:v>30.254779597578562</c:v>
                </c:pt>
                <c:pt idx="405">
                  <c:v>30.198186884022903</c:v>
                </c:pt>
                <c:pt idx="406">
                  <c:v>30.141854164893815</c:v>
                </c:pt>
                <c:pt idx="407">
                  <c:v>30.085778217101517</c:v>
                </c:pt>
                <c:pt idx="408">
                  <c:v>30.029955874331815</c:v>
                </c:pt>
                <c:pt idx="409">
                  <c:v>29.973068186329826</c:v>
                </c:pt>
                <c:pt idx="410">
                  <c:v>29.916439744819122</c:v>
                </c:pt>
                <c:pt idx="411">
                  <c:v>29.860067329308233</c:v>
                </c:pt>
                <c:pt idx="412">
                  <c:v>29.803947776211164</c:v>
                </c:pt>
                <c:pt idx="413">
                  <c:v>29.746785724812675</c:v>
                </c:pt>
                <c:pt idx="414">
                  <c:v>29.689881871809295</c:v>
                </c:pt>
                <c:pt idx="415">
                  <c:v>29.633233005170332</c:v>
                </c:pt>
                <c:pt idx="416">
                  <c:v>29.576835969774265</c:v>
                </c:pt>
                <c:pt idx="417">
                  <c:v>29.51936067631873</c:v>
                </c:pt>
                <c:pt idx="418">
                  <c:v>29.462142771767915</c:v>
                </c:pt>
                <c:pt idx="419">
                  <c:v>29.405179048467215</c:v>
                </c:pt>
                <c:pt idx="420">
                  <c:v>29.348466355783785</c:v>
                </c:pt>
                <c:pt idx="421">
                  <c:v>29.290754657027072</c:v>
                </c:pt>
                <c:pt idx="422">
                  <c:v>29.233298744503415</c:v>
                </c:pt>
                <c:pt idx="423">
                  <c:v>29.176095430148074</c:v>
                </c:pt>
                <c:pt idx="424">
                  <c:v>29.119141582682772</c:v>
                </c:pt>
                <c:pt idx="425">
                  <c:v>29.061041845856224</c:v>
                </c:pt>
                <c:pt idx="426">
                  <c:v>29.003197525715375</c:v>
                </c:pt>
                <c:pt idx="427">
                  <c:v>28.945605431292964</c:v>
                </c:pt>
                <c:pt idx="428">
                  <c:v>28.888262428719138</c:v>
                </c:pt>
                <c:pt idx="429">
                  <c:v>28.829851959963971</c:v>
                </c:pt>
                <c:pt idx="430">
                  <c:v>28.771695742715245</c:v>
                </c:pt>
                <c:pt idx="431">
                  <c:v>28.713790598523737</c:v>
                </c:pt>
                <c:pt idx="432">
                  <c:v>28.656133405996801</c:v>
                </c:pt>
                <c:pt idx="433">
                  <c:v>28.597430099018869</c:v>
                </c:pt>
                <c:pt idx="434">
                  <c:v>28.538979621102225</c:v>
                </c:pt>
                <c:pt idx="435">
                  <c:v>28.480778811801066</c:v>
                </c:pt>
                <c:pt idx="436">
                  <c:v>28.422824567567314</c:v>
                </c:pt>
                <c:pt idx="437">
                  <c:v>28.363738941840175</c:v>
                </c:pt>
                <c:pt idx="438">
                  <c:v>28.304905387798328</c:v>
                </c:pt>
                <c:pt idx="439">
                  <c:v>28.246320751325467</c:v>
                </c:pt>
                <c:pt idx="440">
                  <c:v>28.187981935337657</c:v>
                </c:pt>
                <c:pt idx="441">
                  <c:v>28.128534065170566</c:v>
                </c:pt>
                <c:pt idx="442">
                  <c:v>28.06933722875376</c:v>
                </c:pt>
                <c:pt idx="443">
                  <c:v>28.010388284397919</c:v>
                </c:pt>
                <c:pt idx="444">
                  <c:v>27.951684147449242</c:v>
                </c:pt>
                <c:pt idx="445">
                  <c:v>27.891892399544478</c:v>
                </c:pt>
                <c:pt idx="446">
                  <c:v>27.832350392930948</c:v>
                </c:pt>
                <c:pt idx="447">
                  <c:v>27.773055004065025</c:v>
                </c:pt>
                <c:pt idx="448">
                  <c:v>27.714003166318104</c:v>
                </c:pt>
                <c:pt idx="449">
                  <c:v>27.653783730981058</c:v>
                </c:pt>
                <c:pt idx="450">
                  <c:v>27.593813343157816</c:v>
                </c:pt>
                <c:pt idx="451">
                  <c:v>27.534088887314674</c:v>
                </c:pt>
                <c:pt idx="452">
                  <c:v>27.474607304972825</c:v>
                </c:pt>
                <c:pt idx="453">
                  <c:v>27.41402982574812</c:v>
                </c:pt>
                <c:pt idx="454">
                  <c:v>27.353700027340619</c:v>
                </c:pt>
                <c:pt idx="455">
                  <c:v>27.293614815982131</c:v>
                </c:pt>
                <c:pt idx="456">
                  <c:v>27.233771154779767</c:v>
                </c:pt>
                <c:pt idx="457">
                  <c:v>27.172754412845684</c:v>
                </c:pt>
                <c:pt idx="458">
                  <c:v>27.11198455787855</c:v>
                </c:pt>
                <c:pt idx="459">
                  <c:v>27.051458508462652</c:v>
                </c:pt>
                <c:pt idx="460">
                  <c:v>26.991173240122798</c:v>
                </c:pt>
                <c:pt idx="461">
                  <c:v>26.929736593529942</c:v>
                </c:pt>
                <c:pt idx="462">
                  <c:v>26.86854579163553</c:v>
                </c:pt>
                <c:pt idx="463">
                  <c:v>26.807597771426526</c:v>
                </c:pt>
                <c:pt idx="464">
                  <c:v>26.746889526761478</c:v>
                </c:pt>
                <c:pt idx="465">
                  <c:v>26.685003624972158</c:v>
                </c:pt>
                <c:pt idx="466">
                  <c:v>26.623362675581358</c:v>
                </c:pt>
                <c:pt idx="467">
                  <c:v>26.561963632721618</c:v>
                </c:pt>
                <c:pt idx="468">
                  <c:v>26.500803507373888</c:v>
                </c:pt>
                <c:pt idx="469">
                  <c:v>26.438486897863733</c:v>
                </c:pt>
                <c:pt idx="470">
                  <c:v>26.376414123872436</c:v>
                </c:pt>
                <c:pt idx="471">
                  <c:v>26.314582162511346</c:v>
                </c:pt>
                <c:pt idx="472">
                  <c:v>26.25298804758604</c:v>
                </c:pt>
                <c:pt idx="473">
                  <c:v>26.190166422980742</c:v>
                </c:pt>
                <c:pt idx="474">
                  <c:v>26.127588023429333</c:v>
                </c:pt>
                <c:pt idx="475">
                  <c:v>26.065249841432127</c:v>
                </c:pt>
                <c:pt idx="476">
                  <c:v>26.003148926232416</c:v>
                </c:pt>
                <c:pt idx="477">
                  <c:v>25.939842205019325</c:v>
                </c:pt>
                <c:pt idx="478">
                  <c:v>25.876777871802773</c:v>
                </c:pt>
                <c:pt idx="479">
                  <c:v>25.813952940608488</c:v>
                </c:pt>
                <c:pt idx="480">
                  <c:v>25.751364482113832</c:v>
                </c:pt>
                <c:pt idx="481">
                  <c:v>25.687591129453871</c:v>
                </c:pt>
                <c:pt idx="482">
                  <c:v>25.624059128931343</c:v>
                </c:pt>
                <c:pt idx="483">
                  <c:v>25.560765521802509</c:v>
                </c:pt>
                <c:pt idx="484">
                  <c:v>25.497707405750809</c:v>
                </c:pt>
                <c:pt idx="485">
                  <c:v>25.433440885047848</c:v>
                </c:pt>
                <c:pt idx="486">
                  <c:v>25.369414834096172</c:v>
                </c:pt>
                <c:pt idx="487">
                  <c:v>25.305626320723459</c:v>
                </c:pt>
                <c:pt idx="488">
                  <c:v>25.242072468985999</c:v>
                </c:pt>
                <c:pt idx="489">
                  <c:v>25.177244569418558</c:v>
                </c:pt>
                <c:pt idx="490">
                  <c:v>25.112656720572204</c:v>
                </c:pt>
                <c:pt idx="491">
                  <c:v>25.048306010729746</c:v>
                </c:pt>
                <c:pt idx="492">
                  <c:v>24.984189584369648</c:v>
                </c:pt>
                <c:pt idx="493">
                  <c:v>24.918820690627758</c:v>
                </c:pt>
                <c:pt idx="494">
                  <c:v>24.853691236442522</c:v>
                </c:pt>
                <c:pt idx="495">
                  <c:v>24.788798336520443</c:v>
                </c:pt>
                <c:pt idx="496">
                  <c:v>24.72413916158591</c:v>
                </c:pt>
                <c:pt idx="497">
                  <c:v>24.658206586381365</c:v>
                </c:pt>
                <c:pt idx="498">
                  <c:v>24.592512976919192</c:v>
                </c:pt>
                <c:pt idx="499">
                  <c:v>24.527055474440331</c:v>
                </c:pt>
                <c:pt idx="500">
                  <c:v>24.461831276029287</c:v>
                </c:pt>
                <c:pt idx="501">
                  <c:v>24.395313548288073</c:v>
                </c:pt>
                <c:pt idx="502">
                  <c:v>24.329034447203952</c:v>
                </c:pt>
                <c:pt idx="503">
                  <c:v>24.262991140865804</c:v>
                </c:pt>
                <c:pt idx="504">
                  <c:v>24.197180853027245</c:v>
                </c:pt>
                <c:pt idx="505">
                  <c:v>24.130098296264176</c:v>
                </c:pt>
                <c:pt idx="506">
                  <c:v>24.063253873336009</c:v>
                </c:pt>
                <c:pt idx="507">
                  <c:v>23.996644784712014</c:v>
                </c:pt>
                <c:pt idx="508">
                  <c:v>23.930268286204065</c:v>
                </c:pt>
                <c:pt idx="509">
                  <c:v>23.862600076533678</c:v>
                </c:pt>
                <c:pt idx="510">
                  <c:v>23.79516966150582</c:v>
                </c:pt>
                <c:pt idx="511">
                  <c:v>23.727974274132695</c:v>
                </c:pt>
                <c:pt idx="512">
                  <c:v>23.661011202440424</c:v>
                </c:pt>
                <c:pt idx="513">
                  <c:v>23.592698256031774</c:v>
                </c:pt>
                <c:pt idx="514">
                  <c:v>23.524623192035271</c:v>
                </c:pt>
                <c:pt idx="515">
                  <c:v>23.456783271600479</c:v>
                </c:pt>
                <c:pt idx="516">
                  <c:v>23.389175810674466</c:v>
                </c:pt>
                <c:pt idx="517">
                  <c:v>23.32024031070334</c:v>
                </c:pt>
                <c:pt idx="518">
                  <c:v>23.251542648458511</c:v>
                </c:pt>
                <c:pt idx="519">
                  <c:v>23.183080118632308</c:v>
                </c:pt>
                <c:pt idx="520">
                  <c:v>23.114850070347735</c:v>
                </c:pt>
                <c:pt idx="521">
                  <c:v>23.045274794928801</c:v>
                </c:pt>
                <c:pt idx="522">
                  <c:v>22.975937468638804</c:v>
                </c:pt>
                <c:pt idx="523">
                  <c:v>22.906835420192628</c:v>
                </c:pt>
                <c:pt idx="524">
                  <c:v>22.837966032344518</c:v>
                </c:pt>
                <c:pt idx="525">
                  <c:v>22.767734958160975</c:v>
                </c:pt>
                <c:pt idx="526">
                  <c:v>22.697742103018545</c:v>
                </c:pt>
                <c:pt idx="527">
                  <c:v>22.62798483018517</c:v>
                </c:pt>
                <c:pt idx="528">
                  <c:v>22.558460556548209</c:v>
                </c:pt>
                <c:pt idx="529">
                  <c:v>22.487558859206516</c:v>
                </c:pt>
                <c:pt idx="530">
                  <c:v>22.416895812481155</c:v>
                </c:pt>
                <c:pt idx="531">
                  <c:v>22.346468814747205</c:v>
                </c:pt>
                <c:pt idx="532">
                  <c:v>22.276275317544648</c:v>
                </c:pt>
                <c:pt idx="533">
                  <c:v>22.204652481282352</c:v>
                </c:pt>
                <c:pt idx="534">
                  <c:v>22.133269138394645</c:v>
                </c:pt>
                <c:pt idx="535">
                  <c:v>22.062122718976195</c:v>
                </c:pt>
                <c:pt idx="536">
                  <c:v>21.991210705902006</c:v>
                </c:pt>
                <c:pt idx="537">
                  <c:v>21.918928599724673</c:v>
                </c:pt>
                <c:pt idx="538">
                  <c:v>21.846886502673776</c:v>
                </c:pt>
                <c:pt idx="539">
                  <c:v>21.775081885054487</c:v>
                </c:pt>
                <c:pt idx="540">
                  <c:v>21.703512269308305</c:v>
                </c:pt>
                <c:pt idx="541">
                  <c:v>21.630486386840388</c:v>
                </c:pt>
                <c:pt idx="542">
                  <c:v>21.557701691060622</c:v>
                </c:pt>
                <c:pt idx="543">
                  <c:v>21.485155685242134</c:v>
                </c:pt>
                <c:pt idx="544">
                  <c:v>21.412845924315764</c:v>
                </c:pt>
                <c:pt idx="545">
                  <c:v>21.339103190855017</c:v>
                </c:pt>
                <c:pt idx="546">
                  <c:v>21.265602755221302</c:v>
                </c:pt>
                <c:pt idx="547">
                  <c:v>21.192342157908861</c:v>
                </c:pt>
                <c:pt idx="548">
                  <c:v>21.119318990437435</c:v>
                </c:pt>
                <c:pt idx="549">
                  <c:v>21.044850694171426</c:v>
                </c:pt>
                <c:pt idx="550">
                  <c:v>20.970625991453055</c:v>
                </c:pt>
                <c:pt idx="551">
                  <c:v>20.896642460240685</c:v>
                </c:pt>
                <c:pt idx="552">
                  <c:v>20.822897728837194</c:v>
                </c:pt>
                <c:pt idx="553">
                  <c:v>20.74766188462112</c:v>
                </c:pt>
                <c:pt idx="554">
                  <c:v>20.672671343599688</c:v>
                </c:pt>
                <c:pt idx="555">
                  <c:v>20.597923718044193</c:v>
                </c:pt>
                <c:pt idx="556">
                  <c:v>20.523416669927521</c:v>
                </c:pt>
                <c:pt idx="557">
                  <c:v>20.371647478797552</c:v>
                </c:pt>
                <c:pt idx="558">
                  <c:v>20.220857706883017</c:v>
                </c:pt>
                <c:pt idx="559">
                  <c:v>20.06760596433066</c:v>
                </c:pt>
                <c:pt idx="560">
                  <c:v>19.91534124284723</c:v>
                </c:pt>
                <c:pt idx="561">
                  <c:v>19.760467599565221</c:v>
                </c:pt>
                <c:pt idx="562">
                  <c:v>19.606591086687505</c:v>
                </c:pt>
                <c:pt idx="563">
                  <c:v>19.450423547483599</c:v>
                </c:pt>
                <c:pt idx="564">
                  <c:v>19.295259814706348</c:v>
                </c:pt>
                <c:pt idx="565">
                  <c:v>19.137208304596843</c:v>
                </c:pt>
                <c:pt idx="566">
                  <c:v>18.980175660180961</c:v>
                </c:pt>
                <c:pt idx="567">
                  <c:v>18.820320315971617</c:v>
                </c:pt>
                <c:pt idx="568">
                  <c:v>18.66149873021164</c:v>
                </c:pt>
                <c:pt idx="569">
                  <c:v>18.500548018858325</c:v>
                </c:pt>
                <c:pt idx="570">
                  <c:v>18.340637741659222</c:v>
                </c:pt>
                <c:pt idx="571">
                  <c:v>18.177403928438988</c:v>
                </c:pt>
                <c:pt idx="572">
                  <c:v>18.015233515534074</c:v>
                </c:pt>
                <c:pt idx="573">
                  <c:v>17.851045034373492</c:v>
                </c:pt>
                <c:pt idx="574">
                  <c:v>17.68792668796987</c:v>
                </c:pt>
                <c:pt idx="575">
                  <c:v>17.52162735169652</c:v>
                </c:pt>
                <c:pt idx="576">
                  <c:v>17.356420953399457</c:v>
                </c:pt>
                <c:pt idx="577">
                  <c:v>16.668752015267067</c:v>
                </c:pt>
                <c:pt idx="578">
                  <c:v>15.999274628974586</c:v>
                </c:pt>
                <c:pt idx="579">
                  <c:v>14.591269043686054</c:v>
                </c:pt>
                <c:pt idx="580">
                  <c:v>13.131488705317892</c:v>
                </c:pt>
                <c:pt idx="581">
                  <c:v>11.624604422651911</c:v>
                </c:pt>
                <c:pt idx="582">
                  <c:v>10.073391880202522</c:v>
                </c:pt>
                <c:pt idx="583">
                  <c:v>8.4837080806698424</c:v>
                </c:pt>
                <c:pt idx="584">
                  <c:v>6.859805554999582</c:v>
                </c:pt>
                <c:pt idx="585">
                  <c:v>5.2085179076188481</c:v>
                </c:pt>
                <c:pt idx="586">
                  <c:v>3.5356832330545873</c:v>
                </c:pt>
                <c:pt idx="587">
                  <c:v>1.8463301762849473</c:v>
                </c:pt>
                <c:pt idx="588">
                  <c:v>0.14760384607175248</c:v>
                </c:pt>
                <c:pt idx="589">
                  <c:v>-1.5569360652748256</c:v>
                </c:pt>
                <c:pt idx="590">
                  <c:v>-3.2624736389646292</c:v>
                </c:pt>
                <c:pt idx="591">
                  <c:v>-4.9658022040981296</c:v>
                </c:pt>
                <c:pt idx="592">
                  <c:v>-6.664155688010899</c:v>
                </c:pt>
                <c:pt idx="593">
                  <c:v>-8.3562674322956934</c:v>
                </c:pt>
                <c:pt idx="594">
                  <c:v>-10.040595386128814</c:v>
                </c:pt>
                <c:pt idx="595">
                  <c:v>-11.716947355037675</c:v>
                </c:pt>
                <c:pt idx="596">
                  <c:v>-13.384891989829732</c:v>
                </c:pt>
                <c:pt idx="597">
                  <c:v>-15.045019621084263</c:v>
                </c:pt>
                <c:pt idx="598">
                  <c:v>-16.697375659204212</c:v>
                </c:pt>
                <c:pt idx="599">
                  <c:v>-18.342973932866276</c:v>
                </c:pt>
                <c:pt idx="600">
                  <c:v>-19.982222526875447</c:v>
                </c:pt>
              </c:numCache>
            </c:numRef>
          </c:yVal>
          <c:smooth val="1"/>
          <c:extLst>
            <c:ext xmlns:c16="http://schemas.microsoft.com/office/drawing/2014/chart" uri="{C3380CC4-5D6E-409C-BE32-E72D297353CC}">
              <c16:uniqueId val="{00000000-AA0F-4BCB-B5A3-5E4CFFD440F7}"/>
            </c:ext>
          </c:extLst>
        </c:ser>
        <c:dLbls>
          <c:showLegendKey val="0"/>
          <c:showVal val="0"/>
          <c:showCatName val="0"/>
          <c:showSerName val="0"/>
          <c:showPercent val="0"/>
          <c:showBubbleSize val="0"/>
        </c:dLbls>
        <c:axId val="196940928"/>
        <c:axId val="196942848"/>
      </c:scatterChart>
      <c:scatterChart>
        <c:scatterStyle val="lineMarker"/>
        <c:varyColors val="0"/>
        <c:ser>
          <c:idx val="8"/>
          <c:order val="1"/>
          <c:tx>
            <c:strRef>
              <c:f>'Stability Calculations'!$AP$12</c:f>
              <c:strCache>
                <c:ptCount val="1"/>
                <c:pt idx="0">
                  <c:v>Phase(Deg)</c:v>
                </c:pt>
              </c:strCache>
            </c:strRef>
          </c:tx>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Calculations'!$AP$13:$AP$613</c:f>
              <c:numCache>
                <c:formatCode>0.0000</c:formatCode>
                <c:ptCount val="601"/>
                <c:pt idx="0">
                  <c:v>-4.4395951959830392E-2</c:v>
                </c:pt>
                <c:pt idx="1">
                  <c:v>-4.8680159431231503E-2</c:v>
                </c:pt>
                <c:pt idx="2">
                  <c:v>-5.3377248471039987E-2</c:v>
                </c:pt>
                <c:pt idx="3">
                  <c:v>-5.8527175168674138E-2</c:v>
                </c:pt>
                <c:pt idx="4">
                  <c:v>-6.4169895530631252E-2</c:v>
                </c:pt>
                <c:pt idx="5">
                  <c:v>-7.0363123816322634E-2</c:v>
                </c:pt>
                <c:pt idx="6">
                  <c:v>-7.7151255365851115E-2</c:v>
                </c:pt>
                <c:pt idx="7">
                  <c:v>-8.4596443686032238E-2</c:v>
                </c:pt>
                <c:pt idx="8">
                  <c:v>-9.2756402441724062E-2</c:v>
                </c:pt>
                <c:pt idx="9">
                  <c:v>-0.10170660330829968</c:v>
                </c:pt>
                <c:pt idx="10">
                  <c:v>-0.11151807793297575</c:v>
                </c:pt>
                <c:pt idx="11">
                  <c:v>-0.12227517613189849</c:v>
                </c:pt>
                <c:pt idx="12">
                  <c:v>-0.13407556568130974</c:v>
                </c:pt>
                <c:pt idx="13">
                  <c:v>-0.14700803419910355</c:v>
                </c:pt>
                <c:pt idx="14">
                  <c:v>-0.16119244497699389</c:v>
                </c:pt>
                <c:pt idx="15">
                  <c:v>-0.17674421996622314</c:v>
                </c:pt>
                <c:pt idx="16">
                  <c:v>-0.19379653705382685</c:v>
                </c:pt>
                <c:pt idx="17">
                  <c:v>-0.21249145018336679</c:v>
                </c:pt>
                <c:pt idx="18">
                  <c:v>-0.23299320698664189</c:v>
                </c:pt>
                <c:pt idx="19">
                  <c:v>-0.25547048931312005</c:v>
                </c:pt>
                <c:pt idx="20">
                  <c:v>-0.28011860915367259</c:v>
                </c:pt>
                <c:pt idx="21">
                  <c:v>-0.30714174828355473</c:v>
                </c:pt>
                <c:pt idx="22">
                  <c:v>-0.3367751527381071</c:v>
                </c:pt>
                <c:pt idx="23">
                  <c:v>-0.36926293145681699</c:v>
                </c:pt>
                <c:pt idx="24">
                  <c:v>-0.40488912722189424</c:v>
                </c:pt>
                <c:pt idx="25">
                  <c:v>-0.44395107310861776</c:v>
                </c:pt>
                <c:pt idx="26">
                  <c:v>-0.48679045908588792</c:v>
                </c:pt>
                <c:pt idx="27">
                  <c:v>-0.53375780532254136</c:v>
                </c:pt>
                <c:pt idx="28">
                  <c:v>-0.58525240049733052</c:v>
                </c:pt>
                <c:pt idx="29">
                  <c:v>-0.64167345040445833</c:v>
                </c:pt>
                <c:pt idx="30">
                  <c:v>-0.70359761344908356</c:v>
                </c:pt>
                <c:pt idx="31">
                  <c:v>-0.77146822908447132</c:v>
                </c:pt>
                <c:pt idx="32">
                  <c:v>-0.84590600325862653</c:v>
                </c:pt>
                <c:pt idx="33">
                  <c:v>-0.92748700026645936</c:v>
                </c:pt>
                <c:pt idx="34">
                  <c:v>-1.0169644949147441</c:v>
                </c:pt>
                <c:pt idx="35">
                  <c:v>-1.1150469344859133</c:v>
                </c:pt>
                <c:pt idx="36">
                  <c:v>-1.2225753357968734</c:v>
                </c:pt>
                <c:pt idx="37">
                  <c:v>-1.3405230768899368</c:v>
                </c:pt>
                <c:pt idx="38">
                  <c:v>-1.4697737797732602</c:v>
                </c:pt>
                <c:pt idx="39">
                  <c:v>-1.611520343183553</c:v>
                </c:pt>
                <c:pt idx="40">
                  <c:v>-1.766909530902453</c:v>
                </c:pt>
                <c:pt idx="41">
                  <c:v>-1.937263250864919</c:v>
                </c:pt>
                <c:pt idx="42">
                  <c:v>-2.1239890810675863</c:v>
                </c:pt>
                <c:pt idx="43">
                  <c:v>-2.3287123092301947</c:v>
                </c:pt>
                <c:pt idx="44">
                  <c:v>-2.5530972749861798</c:v>
                </c:pt>
                <c:pt idx="45">
                  <c:v>-2.7990673137735809</c:v>
                </c:pt>
                <c:pt idx="46">
                  <c:v>-3.0686252314383782</c:v>
                </c:pt>
                <c:pt idx="47">
                  <c:v>-3.3640718310111302</c:v>
                </c:pt>
                <c:pt idx="48">
                  <c:v>-3.6877806352639131</c:v>
                </c:pt>
                <c:pt idx="49">
                  <c:v>-4.0425025540780188</c:v>
                </c:pt>
                <c:pt idx="50">
                  <c:v>-4.4310937314216323</c:v>
                </c:pt>
                <c:pt idx="51">
                  <c:v>-4.8568160679654033</c:v>
                </c:pt>
                <c:pt idx="52">
                  <c:v>-5.3229726136890623</c:v>
                </c:pt>
                <c:pt idx="53">
                  <c:v>-5.8332898743623067</c:v>
                </c:pt>
                <c:pt idx="54">
                  <c:v>-6.3914147999648865</c:v>
                </c:pt>
                <c:pt idx="55">
                  <c:v>-7.002644468743771</c:v>
                </c:pt>
                <c:pt idx="56">
                  <c:v>-7.670821175523499</c:v>
                </c:pt>
                <c:pt idx="57">
                  <c:v>-8.4013591809908164</c:v>
                </c:pt>
                <c:pt idx="58">
                  <c:v>-9.1990035525852303</c:v>
                </c:pt>
                <c:pt idx="59">
                  <c:v>-10.069935061731693</c:v>
                </c:pt>
                <c:pt idx="60">
                  <c:v>-11.019509419240318</c:v>
                </c:pt>
                <c:pt idx="61">
                  <c:v>-12.05387603011958</c:v>
                </c:pt>
                <c:pt idx="62">
                  <c:v>-13.17981550572784</c:v>
                </c:pt>
                <c:pt idx="63">
                  <c:v>-14.40244582608346</c:v>
                </c:pt>
                <c:pt idx="64">
                  <c:v>-15.72880265369886</c:v>
                </c:pt>
                <c:pt idx="65">
                  <c:v>-17.164195408664803</c:v>
                </c:pt>
                <c:pt idx="66">
                  <c:v>-18.713978939506035</c:v>
                </c:pt>
                <c:pt idx="67">
                  <c:v>-20.382347161620622</c:v>
                </c:pt>
                <c:pt idx="68">
                  <c:v>-22.173085839765612</c:v>
                </c:pt>
                <c:pt idx="69">
                  <c:v>-24.087512735832565</c:v>
                </c:pt>
                <c:pt idx="70">
                  <c:v>-26.125898116119888</c:v>
                </c:pt>
                <c:pt idx="71">
                  <c:v>-28.285425010114306</c:v>
                </c:pt>
                <c:pt idx="72">
                  <c:v>-30.561510082292042</c:v>
                </c:pt>
                <c:pt idx="73">
                  <c:v>-32.94562111443242</c:v>
                </c:pt>
                <c:pt idx="74">
                  <c:v>-35.427331200385133</c:v>
                </c:pt>
                <c:pt idx="75">
                  <c:v>-37.992204809217618</c:v>
                </c:pt>
                <c:pt idx="76">
                  <c:v>-40.624002215454027</c:v>
                </c:pt>
                <c:pt idx="77">
                  <c:v>-43.302719770022598</c:v>
                </c:pt>
                <c:pt idx="78">
                  <c:v>-46.007641885820554</c:v>
                </c:pt>
                <c:pt idx="79">
                  <c:v>-48.715488190192183</c:v>
                </c:pt>
                <c:pt idx="80">
                  <c:v>-51.40937659161105</c:v>
                </c:pt>
                <c:pt idx="81">
                  <c:v>-54.06511910499259</c:v>
                </c:pt>
                <c:pt idx="82">
                  <c:v>-56.665978679752328</c:v>
                </c:pt>
                <c:pt idx="83">
                  <c:v>-59.194106944905059</c:v>
                </c:pt>
                <c:pt idx="84">
                  <c:v>-61.638413514513374</c:v>
                </c:pt>
                <c:pt idx="85">
                  <c:v>-63.987637365936642</c:v>
                </c:pt>
                <c:pt idx="86">
                  <c:v>-66.235491934591792</c:v>
                </c:pt>
                <c:pt idx="87">
                  <c:v>-68.379454817132526</c:v>
                </c:pt>
                <c:pt idx="88">
                  <c:v>-70.416550786495151</c:v>
                </c:pt>
                <c:pt idx="89">
                  <c:v>-72.349890503049522</c:v>
                </c:pt>
                <c:pt idx="90">
                  <c:v>-74.182141181689104</c:v>
                </c:pt>
                <c:pt idx="91">
                  <c:v>-75.918522787420201</c:v>
                </c:pt>
                <c:pt idx="92">
                  <c:v>-77.565132956016967</c:v>
                </c:pt>
                <c:pt idx="93">
                  <c:v>-79.129734479375358</c:v>
                </c:pt>
                <c:pt idx="94">
                  <c:v>-79.508798094519079</c:v>
                </c:pt>
                <c:pt idx="95">
                  <c:v>-79.697789283652256</c:v>
                </c:pt>
                <c:pt idx="96">
                  <c:v>-79.883510990842638</c:v>
                </c:pt>
                <c:pt idx="97">
                  <c:v>-80.070260798738531</c:v>
                </c:pt>
                <c:pt idx="98">
                  <c:v>-80.253800289872231</c:v>
                </c:pt>
                <c:pt idx="99">
                  <c:v>-80.438422715907095</c:v>
                </c:pt>
                <c:pt idx="100">
                  <c:v>-80.619891997308955</c:v>
                </c:pt>
                <c:pt idx="101">
                  <c:v>-80.80235842378552</c:v>
                </c:pt>
                <c:pt idx="102">
                  <c:v>-80.981731695033602</c:v>
                </c:pt>
                <c:pt idx="103">
                  <c:v>-81.162285782031489</c:v>
                </c:pt>
                <c:pt idx="104">
                  <c:v>-81.339800340510578</c:v>
                </c:pt>
                <c:pt idx="105">
                  <c:v>-81.518409062663281</c:v>
                </c:pt>
                <c:pt idx="106">
                  <c:v>-81.694034799084918</c:v>
                </c:pt>
                <c:pt idx="107">
                  <c:v>-81.870676533980998</c:v>
                </c:pt>
                <c:pt idx="108">
                  <c:v>-82.044394275294565</c:v>
                </c:pt>
                <c:pt idx="109">
                  <c:v>-82.219175730398021</c:v>
                </c:pt>
                <c:pt idx="110">
                  <c:v>-82.391090359671011</c:v>
                </c:pt>
                <c:pt idx="111">
                  <c:v>-82.564226481750822</c:v>
                </c:pt>
                <c:pt idx="112">
                  <c:v>-82.73454764456136</c:v>
                </c:pt>
                <c:pt idx="113">
                  <c:v>-82.90601245145632</c:v>
                </c:pt>
                <c:pt idx="114">
                  <c:v>-83.074716678370578</c:v>
                </c:pt>
                <c:pt idx="115">
                  <c:v>-83.244601442547221</c:v>
                </c:pt>
                <c:pt idx="116">
                  <c:v>-83.411778709578584</c:v>
                </c:pt>
                <c:pt idx="117">
                  <c:v>-83.580170534962335</c:v>
                </c:pt>
                <c:pt idx="118">
                  <c:v>-83.745906789079484</c:v>
                </c:pt>
                <c:pt idx="119">
                  <c:v>-83.912788694512855</c:v>
                </c:pt>
                <c:pt idx="120">
                  <c:v>-84.077069023525226</c:v>
                </c:pt>
                <c:pt idx="121">
                  <c:v>-84.242530441885037</c:v>
                </c:pt>
                <c:pt idx="122">
                  <c:v>-84.405442986581107</c:v>
                </c:pt>
                <c:pt idx="123">
                  <c:v>-84.569664083902737</c:v>
                </c:pt>
                <c:pt idx="124">
                  <c:v>-84.731384989312005</c:v>
                </c:pt>
                <c:pt idx="125">
                  <c:v>-84.894348343608698</c:v>
                </c:pt>
                <c:pt idx="126">
                  <c:v>-85.054862176326765</c:v>
                </c:pt>
                <c:pt idx="127">
                  <c:v>-85.216647880416375</c:v>
                </c:pt>
                <c:pt idx="128">
                  <c:v>-85.376033738410143</c:v>
                </c:pt>
                <c:pt idx="129">
                  <c:v>-85.536719338326066</c:v>
                </c:pt>
                <c:pt idx="130">
                  <c:v>-85.695053849798867</c:v>
                </c:pt>
                <c:pt idx="131">
                  <c:v>-85.854714638251707</c:v>
                </c:pt>
                <c:pt idx="132">
                  <c:v>-85.933676573196422</c:v>
                </c:pt>
                <c:pt idx="133">
                  <c:v>-86.012072243785397</c:v>
                </c:pt>
                <c:pt idx="134">
                  <c:v>-86.091754584390031</c:v>
                </c:pt>
                <c:pt idx="135">
                  <c:v>-86.170862868037545</c:v>
                </c:pt>
                <c:pt idx="136">
                  <c:v>-86.249406612425986</c:v>
                </c:pt>
                <c:pt idx="137">
                  <c:v>-86.327395126820718</c:v>
                </c:pt>
                <c:pt idx="138">
                  <c:v>-86.406589485463527</c:v>
                </c:pt>
                <c:pt idx="139">
                  <c:v>-86.485222167542247</c:v>
                </c:pt>
                <c:pt idx="140">
                  <c:v>-86.563302490490457</c:v>
                </c:pt>
                <c:pt idx="141">
                  <c:v>-86.640839567429055</c:v>
                </c:pt>
                <c:pt idx="142">
                  <c:v>-86.719661897322879</c:v>
                </c:pt>
                <c:pt idx="143">
                  <c:v>-86.797933606315425</c:v>
                </c:pt>
                <c:pt idx="144">
                  <c:v>-86.875663841483075</c:v>
                </c:pt>
                <c:pt idx="145">
                  <c:v>-86.952861548882851</c:v>
                </c:pt>
                <c:pt idx="146">
                  <c:v>-87.03130542496838</c:v>
                </c:pt>
                <c:pt idx="147">
                  <c:v>-87.109210142901404</c:v>
                </c:pt>
                <c:pt idx="148">
                  <c:v>-87.18658466647787</c:v>
                </c:pt>
                <c:pt idx="149">
                  <c:v>-87.263437762187252</c:v>
                </c:pt>
                <c:pt idx="150">
                  <c:v>-87.341537098113363</c:v>
                </c:pt>
                <c:pt idx="151">
                  <c:v>-87.419108570900505</c:v>
                </c:pt>
                <c:pt idx="152">
                  <c:v>-87.49616096240284</c:v>
                </c:pt>
                <c:pt idx="153">
                  <c:v>-87.572702860882714</c:v>
                </c:pt>
                <c:pt idx="154">
                  <c:v>-87.650526698774982</c:v>
                </c:pt>
                <c:pt idx="155">
                  <c:v>-87.727833334036731</c:v>
                </c:pt>
                <c:pt idx="156">
                  <c:v>-87.804631379586766</c:v>
                </c:pt>
                <c:pt idx="157">
                  <c:v>-87.880929258126756</c:v>
                </c:pt>
                <c:pt idx="158">
                  <c:v>-87.958507703888813</c:v>
                </c:pt>
                <c:pt idx="159">
                  <c:v>-88.035579504362673</c:v>
                </c:pt>
                <c:pt idx="160">
                  <c:v>-88.112153103402946</c:v>
                </c:pt>
                <c:pt idx="161">
                  <c:v>-88.188236758063809</c:v>
                </c:pt>
                <c:pt idx="162">
                  <c:v>-88.265565852205668</c:v>
                </c:pt>
                <c:pt idx="163">
                  <c:v>-88.342399185418003</c:v>
                </c:pt>
                <c:pt idx="164">
                  <c:v>-88.418745021659959</c:v>
                </c:pt>
                <c:pt idx="165">
                  <c:v>-88.494611441862943</c:v>
                </c:pt>
                <c:pt idx="166">
                  <c:v>-88.571789493474853</c:v>
                </c:pt>
                <c:pt idx="167">
                  <c:v>-88.648481682635122</c:v>
                </c:pt>
                <c:pt idx="168">
                  <c:v>-88.724696115305363</c:v>
                </c:pt>
                <c:pt idx="169">
                  <c:v>-88.800440717585218</c:v>
                </c:pt>
                <c:pt idx="170">
                  <c:v>-88.877333737386763</c:v>
                </c:pt>
                <c:pt idx="171">
                  <c:v>-88.953752710498804</c:v>
                </c:pt>
                <c:pt idx="172">
                  <c:v>-89.029705534483284</c:v>
                </c:pt>
                <c:pt idx="173">
                  <c:v>-89.105199931728237</c:v>
                </c:pt>
                <c:pt idx="174">
                  <c:v>-89.182129545963946</c:v>
                </c:pt>
                <c:pt idx="175">
                  <c:v>-89.258593221905429</c:v>
                </c:pt>
                <c:pt idx="176">
                  <c:v>-89.334598738448818</c:v>
                </c:pt>
                <c:pt idx="177">
                  <c:v>-89.410153701392574</c:v>
                </c:pt>
                <c:pt idx="178">
                  <c:v>-89.487107040869475</c:v>
                </c:pt>
                <c:pt idx="179">
                  <c:v>-89.563603024443637</c:v>
                </c:pt>
                <c:pt idx="180">
                  <c:v>-89.639649298176522</c:v>
                </c:pt>
                <c:pt idx="181">
                  <c:v>-89.71525333755406</c:v>
                </c:pt>
                <c:pt idx="182">
                  <c:v>-89.791921447605219</c:v>
                </c:pt>
                <c:pt idx="183">
                  <c:v>-89.868144645523316</c:v>
                </c:pt>
                <c:pt idx="184">
                  <c:v>-89.943930345664555</c:v>
                </c:pt>
                <c:pt idx="185">
                  <c:v>-90.019285797293733</c:v>
                </c:pt>
                <c:pt idx="186">
                  <c:v>-90.096269152909301</c:v>
                </c:pt>
                <c:pt idx="187">
                  <c:v>-90.172813313799224</c:v>
                </c:pt>
                <c:pt idx="188">
                  <c:v>-90.248925627809328</c:v>
                </c:pt>
                <c:pt idx="189">
                  <c:v>-90.324613278313549</c:v>
                </c:pt>
                <c:pt idx="190">
                  <c:v>-90.401315723365215</c:v>
                </c:pt>
                <c:pt idx="191">
                  <c:v>-90.47759170241406</c:v>
                </c:pt>
                <c:pt idx="192">
                  <c:v>-90.553448319520754</c:v>
                </c:pt>
                <c:pt idx="193">
                  <c:v>-90.628892520184763</c:v>
                </c:pt>
                <c:pt idx="194">
                  <c:v>-90.705893003273303</c:v>
                </c:pt>
                <c:pt idx="195">
                  <c:v>-90.782473488429687</c:v>
                </c:pt>
                <c:pt idx="196">
                  <c:v>-90.858640989420209</c:v>
                </c:pt>
                <c:pt idx="197">
                  <c:v>-90.934402362832884</c:v>
                </c:pt>
                <c:pt idx="198">
                  <c:v>-91.011410154777508</c:v>
                </c:pt>
                <c:pt idx="199">
                  <c:v>-91.088007831357459</c:v>
                </c:pt>
                <c:pt idx="200">
                  <c:v>-91.164202228595812</c:v>
                </c:pt>
                <c:pt idx="201">
                  <c:v>-91.240000029347712</c:v>
                </c:pt>
                <c:pt idx="202">
                  <c:v>-91.317019426213619</c:v>
                </c:pt>
                <c:pt idx="203">
                  <c:v>-91.393638670963128</c:v>
                </c:pt>
                <c:pt idx="204">
                  <c:v>-91.469864417414072</c:v>
                </c:pt>
                <c:pt idx="205">
                  <c:v>-91.545703170389544</c:v>
                </c:pt>
                <c:pt idx="206">
                  <c:v>-91.623003447674719</c:v>
                </c:pt>
                <c:pt idx="207">
                  <c:v>-91.699910915549509</c:v>
                </c:pt>
                <c:pt idx="208">
                  <c:v>-91.776432108313116</c:v>
                </c:pt>
                <c:pt idx="209">
                  <c:v>-91.852573413605057</c:v>
                </c:pt>
                <c:pt idx="210">
                  <c:v>-91.930404636106459</c:v>
                </c:pt>
                <c:pt idx="211">
                  <c:v>-92.007848151608783</c:v>
                </c:pt>
                <c:pt idx="212">
                  <c:v>-92.084910428345793</c:v>
                </c:pt>
                <c:pt idx="213">
                  <c:v>-92.161597788647455</c:v>
                </c:pt>
                <c:pt idx="214">
                  <c:v>-92.239434007700552</c:v>
                </c:pt>
                <c:pt idx="215">
                  <c:v>-92.316893053120779</c:v>
                </c:pt>
                <c:pt idx="216">
                  <c:v>-92.39398118959771</c:v>
                </c:pt>
                <c:pt idx="217">
                  <c:v>-92.470704540809507</c:v>
                </c:pt>
                <c:pt idx="218">
                  <c:v>-92.548806167096473</c:v>
                </c:pt>
                <c:pt idx="219">
                  <c:v>-92.626538706742807</c:v>
                </c:pt>
                <c:pt idx="220">
                  <c:v>-92.703908279225018</c:v>
                </c:pt>
                <c:pt idx="221">
                  <c:v>-92.780920866181674</c:v>
                </c:pt>
                <c:pt idx="222">
                  <c:v>-92.859287371383317</c:v>
                </c:pt>
                <c:pt idx="223">
                  <c:v>-92.93729301460786</c:v>
                </c:pt>
                <c:pt idx="224">
                  <c:v>-93.014943764296262</c:v>
                </c:pt>
                <c:pt idx="225">
                  <c:v>-93.092245454424344</c:v>
                </c:pt>
                <c:pt idx="226">
                  <c:v>-93.171117416059673</c:v>
                </c:pt>
                <c:pt idx="227">
                  <c:v>-93.249634695071478</c:v>
                </c:pt>
                <c:pt idx="228">
                  <c:v>-93.327803156981886</c:v>
                </c:pt>
                <c:pt idx="229">
                  <c:v>-93.405628534800869</c:v>
                </c:pt>
                <c:pt idx="230">
                  <c:v>-93.56401622031899</c:v>
                </c:pt>
                <c:pt idx="231">
                  <c:v>-93.642693507537658</c:v>
                </c:pt>
                <c:pt idx="232">
                  <c:v>-93.721033964562949</c:v>
                </c:pt>
                <c:pt idx="233">
                  <c:v>-93.80089095412832</c:v>
                </c:pt>
                <c:pt idx="234">
                  <c:v>-93.880406454322213</c:v>
                </c:pt>
                <c:pt idx="235">
                  <c:v>-93.959586096855901</c:v>
                </c:pt>
                <c:pt idx="236">
                  <c:v>-94.038435385728505</c:v>
                </c:pt>
                <c:pt idx="237">
                  <c:v>-94.118549620899074</c:v>
                </c:pt>
                <c:pt idx="238">
                  <c:v>-94.198331145256063</c:v>
                </c:pt>
                <c:pt idx="239">
                  <c:v>-94.277785416236341</c:v>
                </c:pt>
                <c:pt idx="240">
                  <c:v>-94.356917767723658</c:v>
                </c:pt>
                <c:pt idx="241">
                  <c:v>-94.437744479303447</c:v>
                </c:pt>
                <c:pt idx="242">
                  <c:v>-94.518243578878256</c:v>
                </c:pt>
                <c:pt idx="243">
                  <c:v>-94.598420437369128</c:v>
                </c:pt>
                <c:pt idx="244">
                  <c:v>-94.678280303678619</c:v>
                </c:pt>
                <c:pt idx="245">
                  <c:v>-94.75958765115054</c:v>
                </c:pt>
                <c:pt idx="246">
                  <c:v>-94.840574515500279</c:v>
                </c:pt>
                <c:pt idx="247">
                  <c:v>-94.921246128904386</c:v>
                </c:pt>
                <c:pt idx="248">
                  <c:v>-95.001607604648171</c:v>
                </c:pt>
                <c:pt idx="249">
                  <c:v>-95.083612763431532</c:v>
                </c:pt>
                <c:pt idx="250">
                  <c:v>-95.165302965561011</c:v>
                </c:pt>
                <c:pt idx="251">
                  <c:v>-95.246683340980852</c:v>
                </c:pt>
                <c:pt idx="252">
                  <c:v>-95.327758902785249</c:v>
                </c:pt>
                <c:pt idx="253">
                  <c:v>-95.410240882202373</c:v>
                </c:pt>
                <c:pt idx="254">
                  <c:v>-95.492415216428327</c:v>
                </c:pt>
                <c:pt idx="255">
                  <c:v>-95.574286887218364</c:v>
                </c:pt>
                <c:pt idx="256">
                  <c:v>-95.655860762926707</c:v>
                </c:pt>
                <c:pt idx="257">
                  <c:v>-95.739243470700885</c:v>
                </c:pt>
                <c:pt idx="258">
                  <c:v>-95.822322781496808</c:v>
                </c:pt>
                <c:pt idx="259">
                  <c:v>-95.905103600375071</c:v>
                </c:pt>
                <c:pt idx="260">
                  <c:v>-95.987590720294236</c:v>
                </c:pt>
                <c:pt idx="261">
                  <c:v>-96.071653641172063</c:v>
                </c:pt>
                <c:pt idx="262">
                  <c:v>-96.155419156451103</c:v>
                </c:pt>
                <c:pt idx="263">
                  <c:v>-96.238892049642487</c:v>
                </c:pt>
                <c:pt idx="264">
                  <c:v>-96.322076994828521</c:v>
                </c:pt>
                <c:pt idx="265">
                  <c:v>-96.406817632456466</c:v>
                </c:pt>
                <c:pt idx="266">
                  <c:v>-96.491266922188288</c:v>
                </c:pt>
                <c:pt idx="267">
                  <c:v>-96.575429521735757</c:v>
                </c:pt>
                <c:pt idx="268">
                  <c:v>-96.659309982198877</c:v>
                </c:pt>
                <c:pt idx="269">
                  <c:v>-96.744928743310126</c:v>
                </c:pt>
                <c:pt idx="270">
                  <c:v>-96.830260903427387</c:v>
                </c:pt>
                <c:pt idx="271">
                  <c:v>-96.915311022981584</c:v>
                </c:pt>
                <c:pt idx="272">
                  <c:v>-97.000083557755161</c:v>
                </c:pt>
                <c:pt idx="273">
                  <c:v>-97.086572506719463</c:v>
                </c:pt>
                <c:pt idx="274">
                  <c:v>-97.172779746548599</c:v>
                </c:pt>
                <c:pt idx="275">
                  <c:v>-97.258709733998217</c:v>
                </c:pt>
                <c:pt idx="276">
                  <c:v>-97.344366823345169</c:v>
                </c:pt>
                <c:pt idx="277">
                  <c:v>-97.431523183977063</c:v>
                </c:pt>
                <c:pt idx="278">
                  <c:v>-97.518404064297854</c:v>
                </c:pt>
                <c:pt idx="279">
                  <c:v>-97.605013783069296</c:v>
                </c:pt>
                <c:pt idx="280">
                  <c:v>-97.691356559805783</c:v>
                </c:pt>
                <c:pt idx="281">
                  <c:v>-97.77976463659499</c:v>
                </c:pt>
                <c:pt idx="282">
                  <c:v>-97.867899826916059</c:v>
                </c:pt>
                <c:pt idx="283">
                  <c:v>-97.955766393698781</c:v>
                </c:pt>
                <c:pt idx="284">
                  <c:v>-98.043368501353712</c:v>
                </c:pt>
                <c:pt idx="285">
                  <c:v>-98.132435257825804</c:v>
                </c:pt>
                <c:pt idx="286">
                  <c:v>-98.221235435735053</c:v>
                </c:pt>
                <c:pt idx="287">
                  <c:v>-98.309773152549965</c:v>
                </c:pt>
                <c:pt idx="288">
                  <c:v>-98.398052430705562</c:v>
                </c:pt>
                <c:pt idx="289">
                  <c:v>-98.488350361353014</c:v>
                </c:pt>
                <c:pt idx="290">
                  <c:v>-98.578384593321701</c:v>
                </c:pt>
                <c:pt idx="291">
                  <c:v>-98.668159174788755</c:v>
                </c:pt>
                <c:pt idx="292">
                  <c:v>-98.757678060055099</c:v>
                </c:pt>
                <c:pt idx="293">
                  <c:v>-98.849005059429885</c:v>
                </c:pt>
                <c:pt idx="294">
                  <c:v>-98.940072492564198</c:v>
                </c:pt>
                <c:pt idx="295">
                  <c:v>-99.03088430614973</c:v>
                </c:pt>
                <c:pt idx="296">
                  <c:v>-99.121444355156825</c:v>
                </c:pt>
                <c:pt idx="297">
                  <c:v>-99.213793472728213</c:v>
                </c:pt>
                <c:pt idx="298">
                  <c:v>-99.305887194610875</c:v>
                </c:pt>
                <c:pt idx="299">
                  <c:v>-99.397729361922288</c:v>
                </c:pt>
                <c:pt idx="300">
                  <c:v>-99.489323726347735</c:v>
                </c:pt>
                <c:pt idx="301">
                  <c:v>-99.582689000276702</c:v>
                </c:pt>
                <c:pt idx="302">
                  <c:v>-99.675803053286444</c:v>
                </c:pt>
                <c:pt idx="303">
                  <c:v>-99.768669617664159</c:v>
                </c:pt>
                <c:pt idx="304">
                  <c:v>-99.861292338664455</c:v>
                </c:pt>
                <c:pt idx="305">
                  <c:v>-99.95603113396578</c:v>
                </c:pt>
                <c:pt idx="306">
                  <c:v>-100.05052096643104</c:v>
                </c:pt>
                <c:pt idx="307">
                  <c:v>-100.14476549846891</c:v>
                </c:pt>
                <c:pt idx="308">
                  <c:v>-100.23876830665438</c:v>
                </c:pt>
                <c:pt idx="309">
                  <c:v>-100.33450622793958</c:v>
                </c:pt>
                <c:pt idx="310">
                  <c:v>-100.429999403579</c:v>
                </c:pt>
                <c:pt idx="311">
                  <c:v>-100.52525137946982</c:v>
                </c:pt>
                <c:pt idx="312">
                  <c:v>-100.62026561833204</c:v>
                </c:pt>
                <c:pt idx="313">
                  <c:v>-100.7173543068438</c:v>
                </c:pt>
                <c:pt idx="314">
                  <c:v>-100.81420061847737</c:v>
                </c:pt>
                <c:pt idx="315">
                  <c:v>-100.91080801916465</c:v>
                </c:pt>
                <c:pt idx="316">
                  <c:v>-101.00717989318287</c:v>
                </c:pt>
                <c:pt idx="317">
                  <c:v>-101.10560578112782</c:v>
                </c:pt>
                <c:pt idx="318">
                  <c:v>-101.20379172013668</c:v>
                </c:pt>
                <c:pt idx="319">
                  <c:v>-101.30174109085519</c:v>
                </c:pt>
                <c:pt idx="320">
                  <c:v>-101.39945719396795</c:v>
                </c:pt>
                <c:pt idx="321">
                  <c:v>-101.49920765835826</c:v>
                </c:pt>
                <c:pt idx="322">
                  <c:v>-101.59872062495359</c:v>
                </c:pt>
                <c:pt idx="323">
                  <c:v>-101.69799938463956</c:v>
                </c:pt>
                <c:pt idx="324">
                  <c:v>-101.79704715017873</c:v>
                </c:pt>
                <c:pt idx="325">
                  <c:v>-101.89811034143544</c:v>
                </c:pt>
                <c:pt idx="326">
                  <c:v>-101.99893847609627</c:v>
                </c:pt>
                <c:pt idx="327">
                  <c:v>-102.09953475160286</c:v>
                </c:pt>
                <c:pt idx="328">
                  <c:v>-102.19990228923366</c:v>
                </c:pt>
                <c:pt idx="329">
                  <c:v>-102.30243795282072</c:v>
                </c:pt>
                <c:pt idx="330">
                  <c:v>-102.40474018718422</c:v>
                </c:pt>
                <c:pt idx="331">
                  <c:v>-102.50681210876584</c:v>
                </c:pt>
                <c:pt idx="332">
                  <c:v>-102.60865675941452</c:v>
                </c:pt>
                <c:pt idx="333">
                  <c:v>-102.71248009345661</c:v>
                </c:pt>
                <c:pt idx="334">
                  <c:v>-102.81607237508982</c:v>
                </c:pt>
                <c:pt idx="335">
                  <c:v>-102.91943662080051</c:v>
                </c:pt>
                <c:pt idx="336">
                  <c:v>-103.02257577466159</c:v>
                </c:pt>
                <c:pt idx="337">
                  <c:v>-103.12801241820245</c:v>
                </c:pt>
                <c:pt idx="338">
                  <c:v>-103.23321883261433</c:v>
                </c:pt>
                <c:pt idx="339">
                  <c:v>-103.33819796058171</c:v>
                </c:pt>
                <c:pt idx="340">
                  <c:v>-103.44295267372411</c:v>
                </c:pt>
                <c:pt idx="341">
                  <c:v>-103.54998387496248</c:v>
                </c:pt>
                <c:pt idx="342">
                  <c:v>-103.65678566909683</c:v>
                </c:pt>
                <c:pt idx="343">
                  <c:v>-103.76336092023082</c:v>
                </c:pt>
                <c:pt idx="344">
                  <c:v>-103.86971242290748</c:v>
                </c:pt>
                <c:pt idx="345">
                  <c:v>-103.97815483361552</c:v>
                </c:pt>
                <c:pt idx="346">
                  <c:v>-104.08636931640721</c:v>
                </c:pt>
                <c:pt idx="347">
                  <c:v>-104.19435864026791</c:v>
                </c:pt>
                <c:pt idx="348">
                  <c:v>-104.30212550666457</c:v>
                </c:pt>
                <c:pt idx="349">
                  <c:v>-104.41229292580465</c:v>
                </c:pt>
                <c:pt idx="350">
                  <c:v>-104.52223243348152</c:v>
                </c:pt>
                <c:pt idx="351">
                  <c:v>-104.63194672571809</c:v>
                </c:pt>
                <c:pt idx="352">
                  <c:v>-104.74143843235174</c:v>
                </c:pt>
                <c:pt idx="353">
                  <c:v>-104.85330916480413</c:v>
                </c:pt>
                <c:pt idx="354">
                  <c:v>-104.96495196045362</c:v>
                </c:pt>
                <c:pt idx="355">
                  <c:v>-105.07636943805558</c:v>
                </c:pt>
                <c:pt idx="356">
                  <c:v>-105.1875641516517</c:v>
                </c:pt>
                <c:pt idx="357">
                  <c:v>-105.30095565808766</c:v>
                </c:pt>
                <c:pt idx="358">
                  <c:v>-105.414119773718</c:v>
                </c:pt>
                <c:pt idx="359">
                  <c:v>-105.52705902578386</c:v>
                </c:pt>
                <c:pt idx="360">
                  <c:v>-105.63977587876099</c:v>
                </c:pt>
                <c:pt idx="361">
                  <c:v>-105.7549904392182</c:v>
                </c:pt>
                <c:pt idx="362">
                  <c:v>-105.86997675306311</c:v>
                </c:pt>
                <c:pt idx="363">
                  <c:v>-105.98473727479818</c:v>
                </c:pt>
                <c:pt idx="364">
                  <c:v>-106.09927439749637</c:v>
                </c:pt>
                <c:pt idx="365">
                  <c:v>-106.21612831805751</c:v>
                </c:pt>
                <c:pt idx="366">
                  <c:v>-106.33275366836196</c:v>
                </c:pt>
                <c:pt idx="367">
                  <c:v>-106.44915281688215</c:v>
                </c:pt>
                <c:pt idx="368">
                  <c:v>-106.56532807244839</c:v>
                </c:pt>
                <c:pt idx="369">
                  <c:v>-106.68411475012896</c:v>
                </c:pt>
                <c:pt idx="370">
                  <c:v>-106.80267117070034</c:v>
                </c:pt>
                <c:pt idx="371">
                  <c:v>-106.92099963294844</c:v>
                </c:pt>
                <c:pt idx="372">
                  <c:v>-107.03910237726552</c:v>
                </c:pt>
                <c:pt idx="373">
                  <c:v>-107.15963678130159</c:v>
                </c:pt>
                <c:pt idx="374">
                  <c:v>-107.27993973269791</c:v>
                </c:pt>
                <c:pt idx="375">
                  <c:v>-107.40001344826582</c:v>
                </c:pt>
                <c:pt idx="376">
                  <c:v>-107.51986008809769</c:v>
                </c:pt>
                <c:pt idx="377">
                  <c:v>-107.64242680959623</c:v>
                </c:pt>
                <c:pt idx="378">
                  <c:v>-107.76475954177621</c:v>
                </c:pt>
                <c:pt idx="379">
                  <c:v>-107.88686043373774</c:v>
                </c:pt>
                <c:pt idx="380">
                  <c:v>-108.00873157906155</c:v>
                </c:pt>
                <c:pt idx="381">
                  <c:v>-108.13299017312201</c:v>
                </c:pt>
                <c:pt idx="382">
                  <c:v>-108.2570132723999</c:v>
                </c:pt>
                <c:pt idx="383">
                  <c:v>-108.38080293946336</c:v>
                </c:pt>
                <c:pt idx="384">
                  <c:v>-108.50436118322202</c:v>
                </c:pt>
                <c:pt idx="385">
                  <c:v>-108.6307435382964</c:v>
                </c:pt>
                <c:pt idx="386">
                  <c:v>-108.75688696280807</c:v>
                </c:pt>
                <c:pt idx="387">
                  <c:v>-108.88279345353712</c:v>
                </c:pt>
                <c:pt idx="388">
                  <c:v>-109.00846495476613</c:v>
                </c:pt>
                <c:pt idx="389">
                  <c:v>-109.13678253343562</c:v>
                </c:pt>
                <c:pt idx="390">
                  <c:v>-109.26485815545482</c:v>
                </c:pt>
                <c:pt idx="391">
                  <c:v>-109.39269374162869</c:v>
                </c:pt>
                <c:pt idx="392">
                  <c:v>-109.52029116180221</c:v>
                </c:pt>
                <c:pt idx="393">
                  <c:v>-109.6505098916811</c:v>
                </c:pt>
                <c:pt idx="394">
                  <c:v>-109.78048343453951</c:v>
                </c:pt>
                <c:pt idx="395">
                  <c:v>-109.91021363349226</c:v>
                </c:pt>
                <c:pt idx="396">
                  <c:v>-110.03970228231883</c:v>
                </c:pt>
                <c:pt idx="397">
                  <c:v>-110.17208599292061</c:v>
                </c:pt>
                <c:pt idx="398">
                  <c:v>-110.30421993979796</c:v>
                </c:pt>
                <c:pt idx="399">
                  <c:v>-110.43610589908579</c:v>
                </c:pt>
                <c:pt idx="400">
                  <c:v>-110.56774559885324</c:v>
                </c:pt>
                <c:pt idx="401">
                  <c:v>-110.7021039404158</c:v>
                </c:pt>
                <c:pt idx="402">
                  <c:v>-110.83620828623657</c:v>
                </c:pt>
                <c:pt idx="403">
                  <c:v>-110.97006033741545</c:v>
                </c:pt>
                <c:pt idx="404">
                  <c:v>-111.10366174858197</c:v>
                </c:pt>
                <c:pt idx="405">
                  <c:v>-111.24010213812116</c:v>
                </c:pt>
                <c:pt idx="406">
                  <c:v>-111.37628349555811</c:v>
                </c:pt>
                <c:pt idx="407">
                  <c:v>-111.51220745124681</c:v>
                </c:pt>
                <c:pt idx="408">
                  <c:v>-111.64787559054867</c:v>
                </c:pt>
                <c:pt idx="409">
                  <c:v>-111.78650008421648</c:v>
                </c:pt>
                <c:pt idx="410">
                  <c:v>-111.92485969897318</c:v>
                </c:pt>
                <c:pt idx="411">
                  <c:v>-112.06295599807117</c:v>
                </c:pt>
                <c:pt idx="412">
                  <c:v>-112.20079050116158</c:v>
                </c:pt>
                <c:pt idx="413">
                  <c:v>-112.34155089549132</c:v>
                </c:pt>
                <c:pt idx="414">
                  <c:v>-112.48204029976125</c:v>
                </c:pt>
                <c:pt idx="415">
                  <c:v>-112.62226020868583</c:v>
                </c:pt>
                <c:pt idx="416">
                  <c:v>-112.76221207487042</c:v>
                </c:pt>
                <c:pt idx="417">
                  <c:v>-112.90520280188699</c:v>
                </c:pt>
                <c:pt idx="418">
                  <c:v>-113.04791558853181</c:v>
                </c:pt>
                <c:pt idx="419">
                  <c:v>-113.19035186443688</c:v>
                </c:pt>
                <c:pt idx="420">
                  <c:v>-113.33251301854766</c:v>
                </c:pt>
                <c:pt idx="421">
                  <c:v>-113.47753767834223</c:v>
                </c:pt>
                <c:pt idx="422">
                  <c:v>-113.62227771291788</c:v>
                </c:pt>
                <c:pt idx="423">
                  <c:v>-113.766734481946</c:v>
                </c:pt>
                <c:pt idx="424">
                  <c:v>-113.91090930609131</c:v>
                </c:pt>
                <c:pt idx="425">
                  <c:v>-114.05834064375367</c:v>
                </c:pt>
                <c:pt idx="426">
                  <c:v>-114.20547867741811</c:v>
                </c:pt>
                <c:pt idx="427">
                  <c:v>-114.35232470829543</c:v>
                </c:pt>
                <c:pt idx="428">
                  <c:v>-114.49887999990523</c:v>
                </c:pt>
                <c:pt idx="429">
                  <c:v>-114.64851449630503</c:v>
                </c:pt>
                <c:pt idx="430">
                  <c:v>-114.79784725290106</c:v>
                </c:pt>
                <c:pt idx="431">
                  <c:v>-114.94687950803363</c:v>
                </c:pt>
                <c:pt idx="432">
                  <c:v>-115.09561246392219</c:v>
                </c:pt>
                <c:pt idx="433">
                  <c:v>-115.24738887191334</c:v>
                </c:pt>
                <c:pt idx="434">
                  <c:v>-115.39885477099591</c:v>
                </c:pt>
                <c:pt idx="435">
                  <c:v>-115.55001133701153</c:v>
                </c:pt>
                <c:pt idx="436">
                  <c:v>-115.70085971133771</c:v>
                </c:pt>
                <c:pt idx="437">
                  <c:v>-115.85499144823265</c:v>
                </c:pt>
                <c:pt idx="438">
                  <c:v>-116.00880241744348</c:v>
                </c:pt>
                <c:pt idx="439">
                  <c:v>-116.16229373924844</c:v>
                </c:pt>
                <c:pt idx="440">
                  <c:v>-116.31546650096243</c:v>
                </c:pt>
                <c:pt idx="441">
                  <c:v>-116.47188231604439</c:v>
                </c:pt>
                <c:pt idx="442">
                  <c:v>-116.62796674412564</c:v>
                </c:pt>
                <c:pt idx="443">
                  <c:v>-116.78372085045896</c:v>
                </c:pt>
                <c:pt idx="444">
                  <c:v>-116.93914566893467</c:v>
                </c:pt>
                <c:pt idx="445">
                  <c:v>-117.09777257457218</c:v>
                </c:pt>
                <c:pt idx="446">
                  <c:v>-117.25605710642145</c:v>
                </c:pt>
                <c:pt idx="447">
                  <c:v>-117.41400027595428</c:v>
                </c:pt>
                <c:pt idx="448">
                  <c:v>-117.57160306497254</c:v>
                </c:pt>
                <c:pt idx="449">
                  <c:v>-117.73263550736037</c:v>
                </c:pt>
                <c:pt idx="450">
                  <c:v>-117.89331303262144</c:v>
                </c:pt>
                <c:pt idx="451">
                  <c:v>-118.05363660513606</c:v>
                </c:pt>
                <c:pt idx="452">
                  <c:v>-118.21360716120066</c:v>
                </c:pt>
                <c:pt idx="453">
                  <c:v>-118.37682799129118</c:v>
                </c:pt>
                <c:pt idx="454">
                  <c:v>-118.53968156738962</c:v>
                </c:pt>
                <c:pt idx="455">
                  <c:v>-118.70216880629877</c:v>
                </c:pt>
                <c:pt idx="456">
                  <c:v>-118.86429059851091</c:v>
                </c:pt>
                <c:pt idx="457">
                  <c:v>-119.02988214285573</c:v>
                </c:pt>
                <c:pt idx="458">
                  <c:v>-119.19509249795092</c:v>
                </c:pt>
                <c:pt idx="459">
                  <c:v>-119.35992254002714</c:v>
                </c:pt>
                <c:pt idx="460">
                  <c:v>-119.52437312068942</c:v>
                </c:pt>
                <c:pt idx="461">
                  <c:v>-119.69224401045169</c:v>
                </c:pt>
                <c:pt idx="462">
                  <c:v>-119.85971937097945</c:v>
                </c:pt>
                <c:pt idx="463">
                  <c:v>-120.02680004075779</c:v>
                </c:pt>
                <c:pt idx="464">
                  <c:v>-120.193486835428</c:v>
                </c:pt>
                <c:pt idx="465">
                  <c:v>-120.36367334955145</c:v>
                </c:pt>
                <c:pt idx="466">
                  <c:v>-120.53344896876307</c:v>
                </c:pt>
                <c:pt idx="467">
                  <c:v>-120.70281449920049</c:v>
                </c:pt>
                <c:pt idx="468">
                  <c:v>-120.87177072594901</c:v>
                </c:pt>
                <c:pt idx="469">
                  <c:v>-121.04417350555929</c:v>
                </c:pt>
                <c:pt idx="470">
                  <c:v>-121.21614961832019</c:v>
                </c:pt>
                <c:pt idx="471">
                  <c:v>-121.3876998420418</c:v>
                </c:pt>
                <c:pt idx="472">
                  <c:v>-121.55882493535614</c:v>
                </c:pt>
                <c:pt idx="473">
                  <c:v>-121.73359689095403</c:v>
                </c:pt>
                <c:pt idx="474">
                  <c:v>-121.90792472075617</c:v>
                </c:pt>
                <c:pt idx="475">
                  <c:v>-122.08180918227117</c:v>
                </c:pt>
                <c:pt idx="476">
                  <c:v>-122.25525101567037</c:v>
                </c:pt>
                <c:pt idx="477">
                  <c:v>-122.43228066054078</c:v>
                </c:pt>
                <c:pt idx="478">
                  <c:v>-122.60884830547556</c:v>
                </c:pt>
                <c:pt idx="479">
                  <c:v>-122.7849546927621</c:v>
                </c:pt>
                <c:pt idx="480">
                  <c:v>-122.96060054927143</c:v>
                </c:pt>
                <c:pt idx="481">
                  <c:v>-123.13977407743894</c:v>
                </c:pt>
                <c:pt idx="482">
                  <c:v>-123.31846733497493</c:v>
                </c:pt>
                <c:pt idx="483">
                  <c:v>-123.49668105480471</c:v>
                </c:pt>
                <c:pt idx="484">
                  <c:v>-123.67441595641968</c:v>
                </c:pt>
                <c:pt idx="485">
                  <c:v>-123.85574058224699</c:v>
                </c:pt>
                <c:pt idx="486">
                  <c:v>-124.03656561352676</c:v>
                </c:pt>
                <c:pt idx="487">
                  <c:v>-124.21689178188628</c:v>
                </c:pt>
                <c:pt idx="488">
                  <c:v>-124.39671980752327</c:v>
                </c:pt>
                <c:pt idx="489">
                  <c:v>-124.58031702127923</c:v>
                </c:pt>
                <c:pt idx="490">
                  <c:v>-124.76339356661742</c:v>
                </c:pt>
                <c:pt idx="491">
                  <c:v>-124.94595018399133</c:v>
                </c:pt>
                <c:pt idx="492">
                  <c:v>-125.12798760441946</c:v>
                </c:pt>
                <c:pt idx="493">
                  <c:v>-125.3137245603657</c:v>
                </c:pt>
                <c:pt idx="494">
                  <c:v>-125.49891939490348</c:v>
                </c:pt>
                <c:pt idx="495">
                  <c:v>-125.68357286513596</c:v>
                </c:pt>
                <c:pt idx="496">
                  <c:v>-125.86768572078027</c:v>
                </c:pt>
                <c:pt idx="497">
                  <c:v>-126.05554635369739</c:v>
                </c:pt>
                <c:pt idx="498">
                  <c:v>-126.24284235223267</c:v>
                </c:pt>
                <c:pt idx="499">
                  <c:v>-126.42957450019797</c:v>
                </c:pt>
                <c:pt idx="500">
                  <c:v>-126.61574357608231</c:v>
                </c:pt>
                <c:pt idx="501">
                  <c:v>-126.80570388620328</c:v>
                </c:pt>
                <c:pt idx="502">
                  <c:v>-126.99507599380114</c:v>
                </c:pt>
                <c:pt idx="503">
                  <c:v>-127.18386072021679</c:v>
                </c:pt>
                <c:pt idx="504">
                  <c:v>-127.37205888355383</c:v>
                </c:pt>
                <c:pt idx="505">
                  <c:v>-127.5639706694303</c:v>
                </c:pt>
                <c:pt idx="506">
                  <c:v>-127.75527038055445</c:v>
                </c:pt>
                <c:pt idx="507">
                  <c:v>-127.9459588858569</c:v>
                </c:pt>
                <c:pt idx="508">
                  <c:v>-128.13603705312798</c:v>
                </c:pt>
                <c:pt idx="509">
                  <c:v>-128.32986473986861</c:v>
                </c:pt>
                <c:pt idx="510">
                  <c:v>-128.52305547091999</c:v>
                </c:pt>
                <c:pt idx="511">
                  <c:v>-128.71561017514821</c:v>
                </c:pt>
                <c:pt idx="512">
                  <c:v>-128.90752978236816</c:v>
                </c:pt>
                <c:pt idx="513">
                  <c:v>-129.10334305221971</c:v>
                </c:pt>
                <c:pt idx="514">
                  <c:v>-129.29849272786603</c:v>
                </c:pt>
                <c:pt idx="515">
                  <c:v>-129.49297981301424</c:v>
                </c:pt>
                <c:pt idx="516">
                  <c:v>-129.68680531440285</c:v>
                </c:pt>
                <c:pt idx="517">
                  <c:v>-129.88443642267868</c:v>
                </c:pt>
                <c:pt idx="518">
                  <c:v>-130.0813770894691</c:v>
                </c:pt>
                <c:pt idx="519">
                  <c:v>-130.27762840569576</c:v>
                </c:pt>
                <c:pt idx="520">
                  <c:v>-130.47319146736564</c:v>
                </c:pt>
                <c:pt idx="521">
                  <c:v>-130.67258096644687</c:v>
                </c:pt>
                <c:pt idx="522">
                  <c:v>-130.8712522405109</c:v>
                </c:pt>
                <c:pt idx="523">
                  <c:v>-131.06920648256693</c:v>
                </c:pt>
                <c:pt idx="524">
                  <c:v>-131.26644489272687</c:v>
                </c:pt>
                <c:pt idx="525">
                  <c:v>-131.46752545997879</c:v>
                </c:pt>
                <c:pt idx="526">
                  <c:v>-131.66785911773292</c:v>
                </c:pt>
                <c:pt idx="527">
                  <c:v>-131.86744717681054</c:v>
                </c:pt>
                <c:pt idx="528">
                  <c:v>-132.06629095709869</c:v>
                </c:pt>
                <c:pt idx="529">
                  <c:v>-132.26898746936206</c:v>
                </c:pt>
                <c:pt idx="530">
                  <c:v>-132.47090752805542</c:v>
                </c:pt>
                <c:pt idx="531">
                  <c:v>-132.67205257837199</c:v>
                </c:pt>
                <c:pt idx="532">
                  <c:v>-132.87242407646767</c:v>
                </c:pt>
                <c:pt idx="533">
                  <c:v>-133.07675894220193</c:v>
                </c:pt>
                <c:pt idx="534">
                  <c:v>-133.28028616588702</c:v>
                </c:pt>
                <c:pt idx="535">
                  <c:v>-133.48300734695135</c:v>
                </c:pt>
                <c:pt idx="536">
                  <c:v>-133.68492409762089</c:v>
                </c:pt>
                <c:pt idx="537">
                  <c:v>-133.89059479006136</c:v>
                </c:pt>
                <c:pt idx="538">
                  <c:v>-134.09542756251344</c:v>
                </c:pt>
                <c:pt idx="539">
                  <c:v>-134.29942418186036</c:v>
                </c:pt>
                <c:pt idx="540">
                  <c:v>-134.50258642945471</c:v>
                </c:pt>
                <c:pt idx="541">
                  <c:v>-134.70970393892472</c:v>
                </c:pt>
                <c:pt idx="542">
                  <c:v>-134.9159508605087</c:v>
                </c:pt>
                <c:pt idx="543">
                  <c:v>-135.12132915279875</c:v>
                </c:pt>
                <c:pt idx="544">
                  <c:v>-135.32584079045535</c:v>
                </c:pt>
                <c:pt idx="545">
                  <c:v>-135.53419483663268</c:v>
                </c:pt>
                <c:pt idx="546">
                  <c:v>-135.74164584633471</c:v>
                </c:pt>
                <c:pt idx="547">
                  <c:v>-135.94819598678436</c:v>
                </c:pt>
                <c:pt idx="548">
                  <c:v>-136.15384744268806</c:v>
                </c:pt>
                <c:pt idx="549">
                  <c:v>-136.36332604928018</c:v>
                </c:pt>
                <c:pt idx="550">
                  <c:v>-136.57186861559137</c:v>
                </c:pt>
                <c:pt idx="551">
                  <c:v>-136.77947753764835</c:v>
                </c:pt>
                <c:pt idx="552">
                  <c:v>-136.9861552301912</c:v>
                </c:pt>
                <c:pt idx="553">
                  <c:v>-137.19673638666629</c:v>
                </c:pt>
                <c:pt idx="554">
                  <c:v>-137.40634713285471</c:v>
                </c:pt>
                <c:pt idx="555">
                  <c:v>-137.61499011792563</c:v>
                </c:pt>
                <c:pt idx="556">
                  <c:v>-137.82266801081977</c:v>
                </c:pt>
                <c:pt idx="557">
                  <c:v>-138.24476944475037</c:v>
                </c:pt>
                <c:pt idx="558">
                  <c:v>-138.66286185791037</c:v>
                </c:pt>
                <c:pt idx="559">
                  <c:v>-139.08641424557715</c:v>
                </c:pt>
                <c:pt idx="560">
                  <c:v>-139.50582210201125</c:v>
                </c:pt>
                <c:pt idx="561">
                  <c:v>-139.93091469382273</c:v>
                </c:pt>
                <c:pt idx="562">
                  <c:v>-140.35171921858378</c:v>
                </c:pt>
                <c:pt idx="563">
                  <c:v>-140.77715651237745</c:v>
                </c:pt>
                <c:pt idx="564">
                  <c:v>-141.19818034369513</c:v>
                </c:pt>
                <c:pt idx="565">
                  <c:v>-141.6252690644572</c:v>
                </c:pt>
                <c:pt idx="566">
                  <c:v>-142.04778563222345</c:v>
                </c:pt>
                <c:pt idx="567">
                  <c:v>-142.47598558070518</c:v>
                </c:pt>
                <c:pt idx="568">
                  <c:v>-142.89945887410829</c:v>
                </c:pt>
                <c:pt idx="569">
                  <c:v>-143.3265711219683</c:v>
                </c:pt>
                <c:pt idx="570">
                  <c:v>-143.74884488501931</c:v>
                </c:pt>
                <c:pt idx="571">
                  <c:v>-144.17771341785485</c:v>
                </c:pt>
                <c:pt idx="572">
                  <c:v>-144.60156097848707</c:v>
                </c:pt>
                <c:pt idx="573">
                  <c:v>-145.02837760205477</c:v>
                </c:pt>
                <c:pt idx="574">
                  <c:v>-145.45007318370077</c:v>
                </c:pt>
                <c:pt idx="575">
                  <c:v>-145.87755009339992</c:v>
                </c:pt>
                <c:pt idx="576">
                  <c:v>-146.29973553562343</c:v>
                </c:pt>
                <c:pt idx="577">
                  <c:v>-148.02966380521241</c:v>
                </c:pt>
                <c:pt idx="578">
                  <c:v>-149.66963650679671</c:v>
                </c:pt>
                <c:pt idx="579">
                  <c:v>-152.96822788375647</c:v>
                </c:pt>
                <c:pt idx="580">
                  <c:v>-156.16205668751593</c:v>
                </c:pt>
                <c:pt idx="581">
                  <c:v>-159.20935870313301</c:v>
                </c:pt>
                <c:pt idx="582">
                  <c:v>-162.07866264649141</c:v>
                </c:pt>
                <c:pt idx="583">
                  <c:v>-164.73977446606858</c:v>
                </c:pt>
                <c:pt idx="584">
                  <c:v>-167.17328188531596</c:v>
                </c:pt>
                <c:pt idx="585">
                  <c:v>-169.36387251018104</c:v>
                </c:pt>
                <c:pt idx="586">
                  <c:v>-171.30599195994904</c:v>
                </c:pt>
                <c:pt idx="587">
                  <c:v>-173.00219529252249</c:v>
                </c:pt>
                <c:pt idx="588">
                  <c:v>-174.4594107536785</c:v>
                </c:pt>
                <c:pt idx="589">
                  <c:v>-175.69311415270977</c:v>
                </c:pt>
                <c:pt idx="590">
                  <c:v>-176.72126244929686</c:v>
                </c:pt>
                <c:pt idx="591">
                  <c:v>-177.56521522452076</c:v>
                </c:pt>
                <c:pt idx="592">
                  <c:v>-178.24743231255778</c:v>
                </c:pt>
                <c:pt idx="593">
                  <c:v>-178.79068823557816</c:v>
                </c:pt>
                <c:pt idx="594">
                  <c:v>-179.21644116008761</c:v>
                </c:pt>
                <c:pt idx="595">
                  <c:v>-179.54472145861743</c:v>
                </c:pt>
                <c:pt idx="596">
                  <c:v>-179.79329809060391</c:v>
                </c:pt>
                <c:pt idx="597">
                  <c:v>-179.97776094874763</c:v>
                </c:pt>
                <c:pt idx="598">
                  <c:v>179.88870561097153</c:v>
                </c:pt>
                <c:pt idx="599">
                  <c:v>179.79502112181996</c:v>
                </c:pt>
                <c:pt idx="600">
                  <c:v>179.73214066887414</c:v>
                </c:pt>
              </c:numCache>
            </c:numRef>
          </c:yVal>
          <c:smooth val="0"/>
          <c:extLst>
            <c:ext xmlns:c16="http://schemas.microsoft.com/office/drawing/2014/chart" uri="{C3380CC4-5D6E-409C-BE32-E72D297353CC}">
              <c16:uniqueId val="{00000001-AA0F-4BCB-B5A3-5E4CFFD440F7}"/>
            </c:ext>
          </c:extLst>
        </c:ser>
        <c:dLbls>
          <c:showLegendKey val="0"/>
          <c:showVal val="0"/>
          <c:showCatName val="0"/>
          <c:showSerName val="0"/>
          <c:showPercent val="0"/>
          <c:showBubbleSize val="0"/>
        </c:dLbls>
        <c:axId val="196945024"/>
        <c:axId val="196946560"/>
      </c:scatterChart>
      <c:valAx>
        <c:axId val="196940928"/>
        <c:scaling>
          <c:logBase val="10"/>
          <c:orientation val="minMax"/>
          <c:max val="1000000"/>
          <c:min val="1"/>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6942848"/>
        <c:crossesAt val="-40"/>
        <c:crossBetween val="midCat"/>
        <c:majorUnit val="10"/>
        <c:minorUnit val="10"/>
      </c:valAx>
      <c:valAx>
        <c:axId val="196942848"/>
        <c:scaling>
          <c:orientation val="minMax"/>
          <c:max val="8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96940928"/>
        <c:crossesAt val="0.1"/>
        <c:crossBetween val="midCat"/>
        <c:majorUnit val="20"/>
        <c:minorUnit val="4"/>
      </c:valAx>
      <c:valAx>
        <c:axId val="196945024"/>
        <c:scaling>
          <c:logBase val="10"/>
          <c:orientation val="minMax"/>
        </c:scaling>
        <c:delete val="1"/>
        <c:axPos val="t"/>
        <c:numFmt formatCode="General" sourceLinked="1"/>
        <c:majorTickMark val="out"/>
        <c:minorTickMark val="none"/>
        <c:tickLblPos val="none"/>
        <c:crossAx val="196946560"/>
        <c:crossesAt val="0"/>
        <c:crossBetween val="midCat"/>
      </c:valAx>
      <c:valAx>
        <c:axId val="196946560"/>
        <c:scaling>
          <c:orientation val="minMax"/>
          <c:max val="0"/>
          <c:min val="-27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9694502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LM5177 Bode Plot</a:t>
            </a:r>
          </a:p>
        </c:rich>
      </c:tx>
      <c:layout>
        <c:manualLayout>
          <c:xMode val="edge"/>
          <c:yMode val="edge"/>
          <c:x val="0.40864917395529671"/>
          <c:y val="2.1377650374348366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4"/>
          <c:order val="0"/>
          <c:tx>
            <c:strRef>
              <c:f>'IL Stability Calculations'!$AW$12</c:f>
              <c:strCache>
                <c:ptCount val="1"/>
                <c:pt idx="0">
                  <c:v>Gain(dB)</c:v>
                </c:pt>
              </c:strCache>
            </c:strRef>
          </c:tx>
          <c:spPr>
            <a:ln w="25400">
              <a:solidFill>
                <a:srgbClr val="FF0000"/>
              </a:solidFill>
              <a:prstDash val="solid"/>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Calculations'!$AW$13:$AW$613</c:f>
              <c:numCache>
                <c:formatCode>0.0000</c:formatCode>
                <c:ptCount val="601"/>
                <c:pt idx="0">
                  <c:v>106.45210602491116</c:v>
                </c:pt>
                <c:pt idx="1">
                  <c:v>111.68736469873132</c:v>
                </c:pt>
                <c:pt idx="2">
                  <c:v>110.89860044820159</c:v>
                </c:pt>
                <c:pt idx="3">
                  <c:v>110.10674473479222</c:v>
                </c:pt>
                <c:pt idx="4">
                  <c:v>109.31255793017328</c:v>
                </c:pt>
                <c:pt idx="5">
                  <c:v>108.51487254737398</c:v>
                </c:pt>
                <c:pt idx="6">
                  <c:v>107.71489483473263</c:v>
                </c:pt>
                <c:pt idx="7">
                  <c:v>106.91209788714158</c:v>
                </c:pt>
                <c:pt idx="8">
                  <c:v>106.10699331944926</c:v>
                </c:pt>
                <c:pt idx="9">
                  <c:v>105.29882453077539</c:v>
                </c:pt>
                <c:pt idx="10">
                  <c:v>104.48783518535765</c:v>
                </c:pt>
                <c:pt idx="11">
                  <c:v>103.67361725053144</c:v>
                </c:pt>
                <c:pt idx="12">
                  <c:v>102.85537069794066</c:v>
                </c:pt>
                <c:pt idx="13">
                  <c:v>102.03344294051251</c:v>
                </c:pt>
                <c:pt idx="14">
                  <c:v>101.20667226924763</c:v>
                </c:pt>
                <c:pt idx="15">
                  <c:v>100.37480831379412</c:v>
                </c:pt>
                <c:pt idx="16">
                  <c:v>99.537170836896649</c:v>
                </c:pt>
                <c:pt idx="17">
                  <c:v>98.693239887412133</c:v>
                </c:pt>
                <c:pt idx="18">
                  <c:v>97.842132273224038</c:v>
                </c:pt>
                <c:pt idx="19">
                  <c:v>96.983479645797829</c:v>
                </c:pt>
                <c:pt idx="20">
                  <c:v>96.116604707866003</c:v>
                </c:pt>
                <c:pt idx="21">
                  <c:v>95.241326406146385</c:v>
                </c:pt>
                <c:pt idx="22">
                  <c:v>94.357310915404469</c:v>
                </c:pt>
                <c:pt idx="23">
                  <c:v>93.464903979464367</c:v>
                </c:pt>
                <c:pt idx="24">
                  <c:v>92.564331971305833</c:v>
                </c:pt>
                <c:pt idx="25">
                  <c:v>91.656547319797312</c:v>
                </c:pt>
                <c:pt idx="26">
                  <c:v>90.742517793827076</c:v>
                </c:pt>
                <c:pt idx="27">
                  <c:v>89.824051696850006</c:v>
                </c:pt>
                <c:pt idx="28">
                  <c:v>88.902902414444114</c:v>
                </c:pt>
                <c:pt idx="29">
                  <c:v>87.981600368547049</c:v>
                </c:pt>
                <c:pt idx="30">
                  <c:v>87.06059262871959</c:v>
                </c:pt>
                <c:pt idx="31">
                  <c:v>86.143091634056859</c:v>
                </c:pt>
                <c:pt idx="32">
                  <c:v>85.230200982617745</c:v>
                </c:pt>
                <c:pt idx="33">
                  <c:v>84.324003827169435</c:v>
                </c:pt>
                <c:pt idx="34">
                  <c:v>83.424884821403097</c:v>
                </c:pt>
                <c:pt idx="35">
                  <c:v>82.534064625587718</c:v>
                </c:pt>
                <c:pt idx="36">
                  <c:v>81.651758868741254</c:v>
                </c:pt>
                <c:pt idx="37">
                  <c:v>80.777534454385886</c:v>
                </c:pt>
                <c:pt idx="38">
                  <c:v>79.911997381478244</c:v>
                </c:pt>
                <c:pt idx="39">
                  <c:v>79.054020591703164</c:v>
                </c:pt>
                <c:pt idx="40">
                  <c:v>78.203363573085028</c:v>
                </c:pt>
                <c:pt idx="41">
                  <c:v>77.359298702384805</c:v>
                </c:pt>
                <c:pt idx="42">
                  <c:v>76.521246513133306</c:v>
                </c:pt>
                <c:pt idx="43">
                  <c:v>75.68825984090266</c:v>
                </c:pt>
                <c:pt idx="44">
                  <c:v>74.85987774372083</c:v>
                </c:pt>
                <c:pt idx="45">
                  <c:v>74.035284166314156</c:v>
                </c:pt>
                <c:pt idx="46">
                  <c:v>73.214039545591618</c:v>
                </c:pt>
                <c:pt idx="47">
                  <c:v>72.395406717328996</c:v>
                </c:pt>
                <c:pt idx="48">
                  <c:v>71.579071309460247</c:v>
                </c:pt>
                <c:pt idx="49">
                  <c:v>70.76434922707476</c:v>
                </c:pt>
                <c:pt idx="50">
                  <c:v>69.950924798845037</c:v>
                </c:pt>
                <c:pt idx="51">
                  <c:v>69.13819315619962</c:v>
                </c:pt>
                <c:pt idx="52">
                  <c:v>68.326015187084678</c:v>
                </c:pt>
                <c:pt idx="53">
                  <c:v>67.513969397867655</c:v>
                </c:pt>
                <c:pt idx="54">
                  <c:v>66.702168790471916</c:v>
                </c:pt>
                <c:pt idx="55">
                  <c:v>65.888835690303964</c:v>
                </c:pt>
                <c:pt idx="56">
                  <c:v>65.074676544614064</c:v>
                </c:pt>
                <c:pt idx="57">
                  <c:v>64.258672345638175</c:v>
                </c:pt>
                <c:pt idx="58">
                  <c:v>63.440887302408875</c:v>
                </c:pt>
                <c:pt idx="59">
                  <c:v>62.620107249402686</c:v>
                </c:pt>
                <c:pt idx="60">
                  <c:v>61.796127507183542</c:v>
                </c:pt>
                <c:pt idx="61">
                  <c:v>60.968056794520741</c:v>
                </c:pt>
                <c:pt idx="62">
                  <c:v>60.134558957044383</c:v>
                </c:pt>
                <c:pt idx="63">
                  <c:v>59.295398575145882</c:v>
                </c:pt>
                <c:pt idx="64">
                  <c:v>58.448706445004902</c:v>
                </c:pt>
                <c:pt idx="65">
                  <c:v>57.593416444676777</c:v>
                </c:pt>
                <c:pt idx="66">
                  <c:v>56.72785904597</c:v>
                </c:pt>
                <c:pt idx="67">
                  <c:v>55.850323713431244</c:v>
                </c:pt>
                <c:pt idx="68">
                  <c:v>54.958465682097355</c:v>
                </c:pt>
                <c:pt idx="69">
                  <c:v>54.05016783743622</c:v>
                </c:pt>
                <c:pt idx="70">
                  <c:v>53.122623685078914</c:v>
                </c:pt>
                <c:pt idx="71">
                  <c:v>52.173138304156936</c:v>
                </c:pt>
                <c:pt idx="72">
                  <c:v>51.198393625045568</c:v>
                </c:pt>
                <c:pt idx="73">
                  <c:v>50.195338815899298</c:v>
                </c:pt>
                <c:pt idx="74">
                  <c:v>49.160325858264279</c:v>
                </c:pt>
                <c:pt idx="75">
                  <c:v>48.090125081395684</c:v>
                </c:pt>
                <c:pt idx="76">
                  <c:v>46.98123508677682</c:v>
                </c:pt>
                <c:pt idx="77">
                  <c:v>45.831065101433097</c:v>
                </c:pt>
                <c:pt idx="78">
                  <c:v>44.637123441083574</c:v>
                </c:pt>
                <c:pt idx="79">
                  <c:v>43.398402634779458</c:v>
                </c:pt>
                <c:pt idx="80">
                  <c:v>42.111803485158305</c:v>
                </c:pt>
                <c:pt idx="81">
                  <c:v>40.779043272203921</c:v>
                </c:pt>
                <c:pt idx="82">
                  <c:v>39.400207615082209</c:v>
                </c:pt>
                <c:pt idx="83">
                  <c:v>37.97829766369852</c:v>
                </c:pt>
                <c:pt idx="84">
                  <c:v>36.515194197754283</c:v>
                </c:pt>
                <c:pt idx="85">
                  <c:v>35.015508320780036</c:v>
                </c:pt>
                <c:pt idx="86">
                  <c:v>33.483445900104122</c:v>
                </c:pt>
                <c:pt idx="87">
                  <c:v>31.922969948635817</c:v>
                </c:pt>
                <c:pt idx="88">
                  <c:v>30.340499861704689</c:v>
                </c:pt>
                <c:pt idx="89">
                  <c:v>28.739581683242399</c:v>
                </c:pt>
                <c:pt idx="90">
                  <c:v>27.125297957547701</c:v>
                </c:pt>
                <c:pt idx="91">
                  <c:v>25.501503675503375</c:v>
                </c:pt>
                <c:pt idx="92">
                  <c:v>23.871825521424434</c:v>
                </c:pt>
                <c:pt idx="93">
                  <c:v>22.238556252371037</c:v>
                </c:pt>
                <c:pt idx="94">
                  <c:v>21.830151519989958</c:v>
                </c:pt>
                <c:pt idx="95">
                  <c:v>21.624667073258806</c:v>
                </c:pt>
                <c:pt idx="96">
                  <c:v>21.421527589914117</c:v>
                </c:pt>
                <c:pt idx="97">
                  <c:v>21.216054074631629</c:v>
                </c:pt>
                <c:pt idx="98">
                  <c:v>21.012931274716532</c:v>
                </c:pt>
                <c:pt idx="99">
                  <c:v>20.807429204830825</c:v>
                </c:pt>
                <c:pt idx="100">
                  <c:v>20.604284130734388</c:v>
                </c:pt>
                <c:pt idx="101">
                  <c:v>20.398872456395836</c:v>
                </c:pt>
                <c:pt idx="102">
                  <c:v>20.195820981274618</c:v>
                </c:pt>
                <c:pt idx="103">
                  <c:v>19.990312479263505</c:v>
                </c:pt>
                <c:pt idx="104">
                  <c:v>19.78717130945709</c:v>
                </c:pt>
                <c:pt idx="105">
                  <c:v>19.581689071839747</c:v>
                </c:pt>
                <c:pt idx="106">
                  <c:v>19.378578146571652</c:v>
                </c:pt>
                <c:pt idx="107">
                  <c:v>19.173236720364869</c:v>
                </c:pt>
                <c:pt idx="108">
                  <c:v>18.970267624610432</c:v>
                </c:pt>
                <c:pt idx="109">
                  <c:v>18.765034469990841</c:v>
                </c:pt>
                <c:pt idx="110">
                  <c:v>18.562175088027782</c:v>
                </c:pt>
                <c:pt idx="111">
                  <c:v>18.356886916966367</c:v>
                </c:pt>
                <c:pt idx="112">
                  <c:v>18.153977414565102</c:v>
                </c:pt>
                <c:pt idx="113">
                  <c:v>17.948753187505318</c:v>
                </c:pt>
                <c:pt idx="114">
                  <c:v>17.745909497191686</c:v>
                </c:pt>
                <c:pt idx="115">
                  <c:v>17.54073027414821</c:v>
                </c:pt>
                <c:pt idx="116">
                  <c:v>17.337933614621125</c:v>
                </c:pt>
                <c:pt idx="117">
                  <c:v>17.13278440042431</c:v>
                </c:pt>
                <c:pt idx="118">
                  <c:v>16.930019858934124</c:v>
                </c:pt>
                <c:pt idx="119">
                  <c:v>16.725012892487957</c:v>
                </c:pt>
                <c:pt idx="120">
                  <c:v>16.522389861067765</c:v>
                </c:pt>
                <c:pt idx="121">
                  <c:v>16.317508561845198</c:v>
                </c:pt>
                <c:pt idx="122">
                  <c:v>16.115010602187542</c:v>
                </c:pt>
                <c:pt idx="123">
                  <c:v>15.910123914026892</c:v>
                </c:pt>
                <c:pt idx="124">
                  <c:v>15.707622776463687</c:v>
                </c:pt>
                <c:pt idx="125">
                  <c:v>15.502844181859656</c:v>
                </c:pt>
                <c:pt idx="126">
                  <c:v>15.300450509706645</c:v>
                </c:pt>
                <c:pt idx="127">
                  <c:v>15.095772840133293</c:v>
                </c:pt>
                <c:pt idx="128">
                  <c:v>14.893479429566707</c:v>
                </c:pt>
                <c:pt idx="129">
                  <c:v>14.688898217483624</c:v>
                </c:pt>
                <c:pt idx="130">
                  <c:v>14.486700515611123</c:v>
                </c:pt>
                <c:pt idx="131">
                  <c:v>14.282213765173795</c:v>
                </c:pt>
                <c:pt idx="132">
                  <c:v>14.18086731376941</c:v>
                </c:pt>
                <c:pt idx="133">
                  <c:v>14.080109645527951</c:v>
                </c:pt>
                <c:pt idx="134">
                  <c:v>13.977559703942614</c:v>
                </c:pt>
                <c:pt idx="135">
                  <c:v>13.87561271614979</c:v>
                </c:pt>
                <c:pt idx="136">
                  <c:v>13.774261701735018</c:v>
                </c:pt>
                <c:pt idx="137">
                  <c:v>13.673499798026389</c:v>
                </c:pt>
                <c:pt idx="138">
                  <c:v>13.571052508336743</c:v>
                </c:pt>
                <c:pt idx="139">
                  <c:v>13.469207230588136</c:v>
                </c:pt>
                <c:pt idx="140">
                  <c:v>13.367956989716284</c:v>
                </c:pt>
                <c:pt idx="141">
                  <c:v>13.267294928624871</c:v>
                </c:pt>
                <c:pt idx="142">
                  <c:v>13.164848054617359</c:v>
                </c:pt>
                <c:pt idx="143">
                  <c:v>13.063003411669694</c:v>
                </c:pt>
                <c:pt idx="144">
                  <c:v>12.961754010818659</c:v>
                </c:pt>
                <c:pt idx="145">
                  <c:v>12.861092981704354</c:v>
                </c:pt>
                <c:pt idx="146">
                  <c:v>12.758702157527321</c:v>
                </c:pt>
                <c:pt idx="147">
                  <c:v>12.656913096844946</c:v>
                </c:pt>
                <c:pt idx="148">
                  <c:v>12.555718809523482</c:v>
                </c:pt>
                <c:pt idx="149">
                  <c:v>12.455112424361179</c:v>
                </c:pt>
                <c:pt idx="150">
                  <c:v>12.352781284826733</c:v>
                </c:pt>
                <c:pt idx="151">
                  <c:v>12.251051366458999</c:v>
                </c:pt>
                <c:pt idx="152">
                  <c:v>12.149915680035212</c:v>
                </c:pt>
                <c:pt idx="153">
                  <c:v>12.04936735552474</c:v>
                </c:pt>
                <c:pt idx="154">
                  <c:v>11.947053291076923</c:v>
                </c:pt>
                <c:pt idx="155">
                  <c:v>11.845340374840124</c:v>
                </c:pt>
                <c:pt idx="156">
                  <c:v>11.744221611069836</c:v>
                </c:pt>
                <c:pt idx="157">
                  <c:v>11.643690123623692</c:v>
                </c:pt>
                <c:pt idx="158">
                  <c:v>11.541401312242957</c:v>
                </c:pt>
                <c:pt idx="159">
                  <c:v>11.439713452608588</c:v>
                </c:pt>
                <c:pt idx="160">
                  <c:v>11.338619545281706</c:v>
                </c:pt>
                <c:pt idx="161">
                  <c:v>11.238112710752631</c:v>
                </c:pt>
                <c:pt idx="162">
                  <c:v>11.135902486537292</c:v>
                </c:pt>
                <c:pt idx="163">
                  <c:v>11.034292367345301</c:v>
                </c:pt>
                <c:pt idx="164">
                  <c:v>10.933275362015246</c:v>
                </c:pt>
                <c:pt idx="165">
                  <c:v>10.832844599351628</c:v>
                </c:pt>
                <c:pt idx="166">
                  <c:v>10.730631253531037</c:v>
                </c:pt>
                <c:pt idx="167">
                  <c:v>10.629018099204524</c:v>
                </c:pt>
                <c:pt idx="168">
                  <c:v>10.527998137826337</c:v>
                </c:pt>
                <c:pt idx="169">
                  <c:v>10.427564491193781</c:v>
                </c:pt>
                <c:pt idx="170">
                  <c:v>10.325573909620495</c:v>
                </c:pt>
                <c:pt idx="171">
                  <c:v>10.224180941811172</c:v>
                </c:pt>
                <c:pt idx="172">
                  <c:v>10.123378628837687</c:v>
                </c:pt>
                <c:pt idx="173">
                  <c:v>10.023160131400392</c:v>
                </c:pt>
                <c:pt idx="174">
                  <c:v>9.9210141587529055</c:v>
                </c:pt>
                <c:pt idx="175">
                  <c:v>9.8194676247345853</c:v>
                </c:pt>
                <c:pt idx="176">
                  <c:v>9.7185135338113717</c:v>
                </c:pt>
                <c:pt idx="177">
                  <c:v>9.6181450110914675</c:v>
                </c:pt>
                <c:pt idx="178">
                  <c:v>9.5159086890717397</c:v>
                </c:pt>
                <c:pt idx="179">
                  <c:v>9.414272852607585</c:v>
                </c:pt>
                <c:pt idx="180">
                  <c:v>9.3132304835415187</c:v>
                </c:pt>
                <c:pt idx="181">
                  <c:v>9.2127746850398857</c:v>
                </c:pt>
                <c:pt idx="182">
                  <c:v>9.110907026658662</c:v>
                </c:pt>
                <c:pt idx="183">
                  <c:v>9.0096355156802321</c:v>
                </c:pt>
                <c:pt idx="184">
                  <c:v>8.9089532057862346</c:v>
                </c:pt>
                <c:pt idx="185">
                  <c:v>8.8088532704806841</c:v>
                </c:pt>
                <c:pt idx="186">
                  <c:v>8.7066050166680622</c:v>
                </c:pt>
                <c:pt idx="187">
                  <c:v>8.6049573161868249</c:v>
                </c:pt>
                <c:pt idx="188">
                  <c:v>8.5039031423075677</c:v>
                </c:pt>
                <c:pt idx="189">
                  <c:v>8.4034355901079145</c:v>
                </c:pt>
                <c:pt idx="190">
                  <c:v>8.3016472141129753</c:v>
                </c:pt>
                <c:pt idx="191">
                  <c:v>8.2004539590498098</c:v>
                </c:pt>
                <c:pt idx="192">
                  <c:v>8.0998488899672445</c:v>
                </c:pt>
                <c:pt idx="193">
                  <c:v>7.9998251917319134</c:v>
                </c:pt>
                <c:pt idx="194">
                  <c:v>7.8977765590888236</c:v>
                </c:pt>
                <c:pt idx="195">
                  <c:v>7.7963260139603276</c:v>
                </c:pt>
                <c:pt idx="196">
                  <c:v>7.695466566880417</c:v>
                </c:pt>
                <c:pt idx="197">
                  <c:v>7.5951913495674797</c:v>
                </c:pt>
                <c:pt idx="198">
                  <c:v>7.4933168610216825</c:v>
                </c:pt>
                <c:pt idx="199">
                  <c:v>7.3920383426066074</c:v>
                </c:pt>
                <c:pt idx="200">
                  <c:v>7.2913488394093804</c:v>
                </c:pt>
                <c:pt idx="201">
                  <c:v>7.1912415170061292</c:v>
                </c:pt>
                <c:pt idx="202">
                  <c:v>7.0895830821064312</c:v>
                </c:pt>
                <c:pt idx="203">
                  <c:v>6.9885180048806674</c:v>
                </c:pt>
                <c:pt idx="204">
                  <c:v>6.8880393738444248</c:v>
                </c:pt>
                <c:pt idx="205">
                  <c:v>6.7881403970923548</c:v>
                </c:pt>
                <c:pt idx="206">
                  <c:v>6.6863904715593412</c:v>
                </c:pt>
                <c:pt idx="207">
                  <c:v>6.5852348639420928</c:v>
                </c:pt>
                <c:pt idx="208">
                  <c:v>6.4846666441550225</c:v>
                </c:pt>
                <c:pt idx="209">
                  <c:v>6.3846790022016435</c:v>
                </c:pt>
                <c:pt idx="210">
                  <c:v>6.2825588625703199</c:v>
                </c:pt>
                <c:pt idx="211">
                  <c:v>6.1810372449931803</c:v>
                </c:pt>
                <c:pt idx="212">
                  <c:v>6.0801071442843231</c:v>
                </c:pt>
                <c:pt idx="213">
                  <c:v>5.9797616771544506</c:v>
                </c:pt>
                <c:pt idx="214">
                  <c:v>5.8780111851458861</c:v>
                </c:pt>
                <c:pt idx="215">
                  <c:v>5.7768547784095068</c:v>
                </c:pt>
                <c:pt idx="216">
                  <c:v>5.6762855278580515</c:v>
                </c:pt>
                <c:pt idx="217">
                  <c:v>5.5762966246077861</c:v>
                </c:pt>
                <c:pt idx="218">
                  <c:v>5.4746212173047351</c:v>
                </c:pt>
                <c:pt idx="219">
                  <c:v>5.3735388892971727</c:v>
                </c:pt>
                <c:pt idx="220">
                  <c:v>5.2730427278104708</c:v>
                </c:pt>
                <c:pt idx="221">
                  <c:v>5.1731259399543532</c:v>
                </c:pt>
                <c:pt idx="222">
                  <c:v>5.0715736480884583</c:v>
                </c:pt>
                <c:pt idx="223">
                  <c:v>4.9706128648663599</c:v>
                </c:pt>
                <c:pt idx="224">
                  <c:v>4.8702367038198568</c:v>
                </c:pt>
                <c:pt idx="225">
                  <c:v>4.7704383978104348</c:v>
                </c:pt>
                <c:pt idx="226">
                  <c:v>4.6687455853471693</c:v>
                </c:pt>
                <c:pt idx="227">
                  <c:v>4.5676457678214311</c:v>
                </c:pt>
                <c:pt idx="228">
                  <c:v>4.4671320319585046</c:v>
                </c:pt>
                <c:pt idx="229">
                  <c:v>4.3671975844748507</c:v>
                </c:pt>
                <c:pt idx="230">
                  <c:v>4.1642496276169174</c:v>
                </c:pt>
                <c:pt idx="231">
                  <c:v>4.0636593446096034</c:v>
                </c:pt>
                <c:pt idx="232">
                  <c:v>3.9636490759697383</c:v>
                </c:pt>
                <c:pt idx="233">
                  <c:v>3.8618585239970731</c:v>
                </c:pt>
                <c:pt idx="234">
                  <c:v>3.7606617885541764</c:v>
                </c:pt>
                <c:pt idx="235">
                  <c:v>3.6600519405851233</c:v>
                </c:pt>
                <c:pt idx="236">
                  <c:v>3.5600221714624478</c:v>
                </c:pt>
                <c:pt idx="237">
                  <c:v>3.4585537236296542</c:v>
                </c:pt>
                <c:pt idx="238">
                  <c:v>3.3576751848100743</c:v>
                </c:pt>
                <c:pt idx="239">
                  <c:v>3.2573796934674486</c:v>
                </c:pt>
                <c:pt idx="240">
                  <c:v>3.1576605069641999</c:v>
                </c:pt>
                <c:pt idx="241">
                  <c:v>3.0559833373164897</c:v>
                </c:pt>
                <c:pt idx="242">
                  <c:v>2.954898326391719</c:v>
                </c:pt>
                <c:pt idx="243">
                  <c:v>2.8543985729971806</c:v>
                </c:pt>
                <c:pt idx="244">
                  <c:v>2.7544772957762209</c:v>
                </c:pt>
                <c:pt idx="245">
                  <c:v>2.6529326063140735</c:v>
                </c:pt>
                <c:pt idx="246">
                  <c:v>2.5519783597649406</c:v>
                </c:pt>
                <c:pt idx="247">
                  <c:v>2.4516076844101002</c:v>
                </c:pt>
                <c:pt idx="248">
                  <c:v>2.3518138277065601</c:v>
                </c:pt>
                <c:pt idx="249">
                  <c:v>2.2501771317673289</c:v>
                </c:pt>
                <c:pt idx="250">
                  <c:v>2.1491317620047163</c:v>
                </c:pt>
                <c:pt idx="251">
                  <c:v>2.0486708309624473</c:v>
                </c:pt>
                <c:pt idx="252">
                  <c:v>1.9487875707402169</c:v>
                </c:pt>
                <c:pt idx="253">
                  <c:v>1.8473796065162285</c:v>
                </c:pt>
                <c:pt idx="254">
                  <c:v>1.7465601287708798</c:v>
                </c:pt>
                <c:pt idx="255">
                  <c:v>1.646322299148113</c:v>
                </c:pt>
                <c:pt idx="256">
                  <c:v>1.5466593977282912</c:v>
                </c:pt>
                <c:pt idx="257">
                  <c:v>1.4450050972115014</c:v>
                </c:pt>
                <c:pt idx="258">
                  <c:v>1.3439419422435626</c:v>
                </c:pt>
                <c:pt idx="259">
                  <c:v>1.2434630479231621</c:v>
                </c:pt>
                <c:pt idx="260">
                  <c:v>1.1435616488685107</c:v>
                </c:pt>
                <c:pt idx="261">
                  <c:v>1.041980166816433</c:v>
                </c:pt>
                <c:pt idx="262">
                  <c:v>0.94098878541421527</c:v>
                </c:pt>
                <c:pt idx="263">
                  <c:v>0.84058063769748848</c:v>
                </c:pt>
                <c:pt idx="264">
                  <c:v>0.74074897581311028</c:v>
                </c:pt>
                <c:pt idx="265">
                  <c:v>0.6392877726467312</c:v>
                </c:pt>
                <c:pt idx="266">
                  <c:v>0.5384150718574463</c:v>
                </c:pt>
                <c:pt idx="267">
                  <c:v>0.4381240340362757</c:v>
                </c:pt>
                <c:pt idx="268">
                  <c:v>0.33840793825411936</c:v>
                </c:pt>
                <c:pt idx="269">
                  <c:v>0.23687228130082341</c:v>
                </c:pt>
                <c:pt idx="270">
                  <c:v>0.1359257766731056</c:v>
                </c:pt>
                <c:pt idx="271">
                  <c:v>3.5561573419435152E-2</c:v>
                </c:pt>
                <c:pt idx="272">
                  <c:v>-6.4227060663015589E-2</c:v>
                </c:pt>
                <c:pt idx="273">
                  <c:v>-0.16578001415141877</c:v>
                </c:pt>
                <c:pt idx="274">
                  <c:v>-0.26674383274748725</c:v>
                </c:pt>
                <c:pt idx="275">
                  <c:v>-0.36712536734741852</c:v>
                </c:pt>
                <c:pt idx="276">
                  <c:v>-0.46693135009992554</c:v>
                </c:pt>
                <c:pt idx="277">
                  <c:v>-0.56822033336629163</c:v>
                </c:pt>
                <c:pt idx="278">
                  <c:v>-0.66892345396445518</c:v>
                </c:pt>
                <c:pt idx="279">
                  <c:v>-0.76904750621722018</c:v>
                </c:pt>
                <c:pt idx="280">
                  <c:v>-0.86859916700296924</c:v>
                </c:pt>
                <c:pt idx="281">
                  <c:v>-0.97025851991019663</c:v>
                </c:pt>
                <c:pt idx="282">
                  <c:v>-1.0713279602022461</c:v>
                </c:pt>
                <c:pt idx="283">
                  <c:v>-1.1718143528534906</c:v>
                </c:pt>
                <c:pt idx="284">
                  <c:v>-1.2717244437717423</c:v>
                </c:pt>
                <c:pt idx="285">
                  <c:v>-1.3730241367201625</c:v>
                </c:pt>
                <c:pt idx="286">
                  <c:v>-1.47373830685671</c:v>
                </c:pt>
                <c:pt idx="287">
                  <c:v>-1.5738737432033154</c:v>
                </c:pt>
                <c:pt idx="288">
                  <c:v>-1.6734371174679354</c:v>
                </c:pt>
                <c:pt idx="289">
                  <c:v>-1.7749878327492135</c:v>
                </c:pt>
                <c:pt idx="290">
                  <c:v>-1.8759503706564842</c:v>
                </c:pt>
                <c:pt idx="291">
                  <c:v>-1.9763315666484558</c:v>
                </c:pt>
                <c:pt idx="292">
                  <c:v>-2.0761381378078276</c:v>
                </c:pt>
                <c:pt idx="293">
                  <c:v>-2.1776633503203353</c:v>
                </c:pt>
                <c:pt idx="294">
                  <c:v>-2.2786009297846408</c:v>
                </c:pt>
                <c:pt idx="295">
                  <c:v>-2.3789577025941293</c:v>
                </c:pt>
                <c:pt idx="296">
                  <c:v>-2.4787403769825329</c:v>
                </c:pt>
                <c:pt idx="297">
                  <c:v>-2.5801900421392547</c:v>
                </c:pt>
                <c:pt idx="298">
                  <c:v>-2.6810532026076936</c:v>
                </c:pt>
                <c:pt idx="299">
                  <c:v>-2.7813366656284275</c:v>
                </c:pt>
                <c:pt idx="300">
                  <c:v>-2.8810471207308508</c:v>
                </c:pt>
                <c:pt idx="301">
                  <c:v>-2.9823747260266331</c:v>
                </c:pt>
                <c:pt idx="302">
                  <c:v>-3.0831174965417221</c:v>
                </c:pt>
                <c:pt idx="303">
                  <c:v>-3.1832822110453254</c:v>
                </c:pt>
                <c:pt idx="304">
                  <c:v>-3.2828755312583575</c:v>
                </c:pt>
                <c:pt idx="305">
                  <c:v>-3.3844258787242021</c:v>
                </c:pt>
                <c:pt idx="306">
                  <c:v>-3.4853890974926665</c:v>
                </c:pt>
                <c:pt idx="307">
                  <c:v>-3.5857720067005312</c:v>
                </c:pt>
                <c:pt idx="308">
                  <c:v>-3.6855813075181736</c:v>
                </c:pt>
                <c:pt idx="309">
                  <c:v>-3.7869088450796493</c:v>
                </c:pt>
                <c:pt idx="310">
                  <c:v>-3.8876521004195514</c:v>
                </c:pt>
                <c:pt idx="311">
                  <c:v>-3.9878178439129224</c:v>
                </c:pt>
                <c:pt idx="312">
                  <c:v>-4.0874127290998201</c:v>
                </c:pt>
                <c:pt idx="313">
                  <c:v>-4.1888516796469011</c:v>
                </c:pt>
                <c:pt idx="314">
                  <c:v>-4.2897053556120994</c:v>
                </c:pt>
                <c:pt idx="315">
                  <c:v>-4.3899805452766332</c:v>
                </c:pt>
                <c:pt idx="316">
                  <c:v>-4.4896839196864589</c:v>
                </c:pt>
                <c:pt idx="317">
                  <c:v>-4.5911756303820841</c:v>
                </c:pt>
                <c:pt idx="318">
                  <c:v>-4.6920817588579746</c:v>
                </c:pt>
                <c:pt idx="319">
                  <c:v>-4.792409099514046</c:v>
                </c:pt>
                <c:pt idx="320">
                  <c:v>-4.8921643293853103</c:v>
                </c:pt>
                <c:pt idx="321">
                  <c:v>-4.9936540705097157</c:v>
                </c:pt>
                <c:pt idx="322">
                  <c:v>-5.094558561809639</c:v>
                </c:pt>
                <c:pt idx="323">
                  <c:v>-5.1948845927834517</c:v>
                </c:pt>
                <c:pt idx="324">
                  <c:v>-5.2946388356890681</c:v>
                </c:pt>
                <c:pt idx="325">
                  <c:v>-5.3960756256399476</c:v>
                </c:pt>
                <c:pt idx="326">
                  <c:v>-5.4969280945112509</c:v>
                </c:pt>
                <c:pt idx="327">
                  <c:v>-5.5972030166473257</c:v>
                </c:pt>
                <c:pt idx="328">
                  <c:v>-5.696907049512153</c:v>
                </c:pt>
                <c:pt idx="329">
                  <c:v>-5.7984124489883886</c:v>
                </c:pt>
                <c:pt idx="330">
                  <c:v>-5.8993330704892841</c:v>
                </c:pt>
                <c:pt idx="331">
                  <c:v>-5.9996756973352197</c:v>
                </c:pt>
                <c:pt idx="332">
                  <c:v>-6.0994469957728095</c:v>
                </c:pt>
                <c:pt idx="333">
                  <c:v>-6.2008003674189203</c:v>
                </c:pt>
                <c:pt idx="334">
                  <c:v>-6.3015710488334866</c:v>
                </c:pt>
                <c:pt idx="335">
                  <c:v>-6.4017657882957373</c:v>
                </c:pt>
                <c:pt idx="336">
                  <c:v>-6.5013912178281483</c:v>
                </c:pt>
                <c:pt idx="337">
                  <c:v>-6.6028748502041559</c:v>
                </c:pt>
                <c:pt idx="338">
                  <c:v>-6.703774653437959</c:v>
                </c:pt>
                <c:pt idx="339">
                  <c:v>-6.804097396805485</c:v>
                </c:pt>
                <c:pt idx="340">
                  <c:v>-6.903849732856723</c:v>
                </c:pt>
                <c:pt idx="341">
                  <c:v>-7.0054042770516567</c:v>
                </c:pt>
                <c:pt idx="342">
                  <c:v>-7.1063745478988762</c:v>
                </c:pt>
                <c:pt idx="343">
                  <c:v>-7.2067673237551517</c:v>
                </c:pt>
                <c:pt idx="344">
                  <c:v>-7.3065892660563572</c:v>
                </c:pt>
                <c:pt idx="345">
                  <c:v>-7.4080051808628147</c:v>
                </c:pt>
                <c:pt idx="346">
                  <c:v>-7.5088387944635659</c:v>
                </c:pt>
                <c:pt idx="347">
                  <c:v>-7.60909685251307</c:v>
                </c:pt>
                <c:pt idx="348">
                  <c:v>-7.7087859845078874</c:v>
                </c:pt>
                <c:pt idx="349">
                  <c:v>-7.8103234596428361</c:v>
                </c:pt>
                <c:pt idx="350">
                  <c:v>-7.9112776388692581</c:v>
                </c:pt>
                <c:pt idx="351">
                  <c:v>-8.0116552867025455</c:v>
                </c:pt>
                <c:pt idx="352">
                  <c:v>-8.1114630510820067</c:v>
                </c:pt>
                <c:pt idx="353">
                  <c:v>-8.213063615106881</c:v>
                </c:pt>
                <c:pt idx="354">
                  <c:v>-8.314080574813044</c:v>
                </c:pt>
                <c:pt idx="355">
                  <c:v>-8.4145207018216013</c:v>
                </c:pt>
                <c:pt idx="356">
                  <c:v>-8.514390651028636</c:v>
                </c:pt>
                <c:pt idx="357">
                  <c:v>-8.615855842035284</c:v>
                </c:pt>
                <c:pt idx="358">
                  <c:v>-8.7167394084175527</c:v>
                </c:pt>
                <c:pt idx="359">
                  <c:v>-8.8170480893566303</c:v>
                </c:pt>
                <c:pt idx="360">
                  <c:v>-8.916788508064494</c:v>
                </c:pt>
                <c:pt idx="361">
                  <c:v>-9.0183586178345703</c:v>
                </c:pt>
                <c:pt idx="362">
                  <c:v>-9.1193463509100461</c:v>
                </c:pt>
                <c:pt idx="363">
                  <c:v>-9.2197584615462098</c:v>
                </c:pt>
                <c:pt idx="364">
                  <c:v>-9.3196015876990277</c:v>
                </c:pt>
                <c:pt idx="365">
                  <c:v>-9.4210821515743106</c:v>
                </c:pt>
                <c:pt idx="366">
                  <c:v>-9.5219818279478758</c:v>
                </c:pt>
                <c:pt idx="367">
                  <c:v>-9.6223073474445417</c:v>
                </c:pt>
                <c:pt idx="368">
                  <c:v>-9.7220653249447277</c:v>
                </c:pt>
                <c:pt idx="369">
                  <c:v>-9.8236813002014962</c:v>
                </c:pt>
                <c:pt idx="370">
                  <c:v>-9.9247153273115778</c:v>
                </c:pt>
                <c:pt idx="371">
                  <c:v>-10.025174157643246</c:v>
                </c:pt>
                <c:pt idx="372">
                  <c:v>-10.125064426359673</c:v>
                </c:pt>
                <c:pt idx="373">
                  <c:v>-10.226625722126347</c:v>
                </c:pt>
                <c:pt idx="374">
                  <c:v>-10.327606200560112</c:v>
                </c:pt>
                <c:pt idx="375">
                  <c:v>-10.428012595937336</c:v>
                </c:pt>
                <c:pt idx="376">
                  <c:v>-10.527851526735041</c:v>
                </c:pt>
                <c:pt idx="377">
                  <c:v>-10.629569009562152</c:v>
                </c:pt>
                <c:pt idx="378">
                  <c:v>-10.730704421992833</c:v>
                </c:pt>
                <c:pt idx="379">
                  <c:v>-10.831264522755269</c:v>
                </c:pt>
                <c:pt idx="380">
                  <c:v>-10.931255954233428</c:v>
                </c:pt>
                <c:pt idx="381">
                  <c:v>-11.032818732004589</c:v>
                </c:pt>
                <c:pt idx="382">
                  <c:v>-11.133801754700453</c:v>
                </c:pt>
                <c:pt idx="383">
                  <c:v>-11.234211743764543</c:v>
                </c:pt>
                <c:pt idx="384">
                  <c:v>-11.334055305164206</c:v>
                </c:pt>
                <c:pt idx="385">
                  <c:v>-11.435792437293362</c:v>
                </c:pt>
                <c:pt idx="386">
                  <c:v>-11.536948404425758</c:v>
                </c:pt>
                <c:pt idx="387">
                  <c:v>-11.637529955563279</c:v>
                </c:pt>
                <c:pt idx="388">
                  <c:v>-11.737543723616955</c:v>
                </c:pt>
                <c:pt idx="389">
                  <c:v>-11.839274565726223</c:v>
                </c:pt>
                <c:pt idx="390">
                  <c:v>-11.940424917104425</c:v>
                </c:pt>
                <c:pt idx="391">
                  <c:v>-12.041001518351703</c:v>
                </c:pt>
                <c:pt idx="392">
                  <c:v>-12.141010994184256</c:v>
                </c:pt>
                <c:pt idx="393">
                  <c:v>-12.242686954214674</c:v>
                </c:pt>
                <c:pt idx="394">
                  <c:v>-12.343783676392084</c:v>
                </c:pt>
                <c:pt idx="395">
                  <c:v>-12.444307883085697</c:v>
                </c:pt>
                <c:pt idx="396">
                  <c:v>-12.544266181213448</c:v>
                </c:pt>
                <c:pt idx="397">
                  <c:v>-12.646071315306164</c:v>
                </c:pt>
                <c:pt idx="398">
                  <c:v>-12.747296401185572</c:v>
                </c:pt>
                <c:pt idx="399">
                  <c:v>-12.847948179051853</c:v>
                </c:pt>
                <c:pt idx="400">
                  <c:v>-12.948033273263269</c:v>
                </c:pt>
                <c:pt idx="401">
                  <c:v>-13.049798392010638</c:v>
                </c:pt>
                <c:pt idx="402">
                  <c:v>-13.150984604956545</c:v>
                </c:pt>
                <c:pt idx="403">
                  <c:v>-13.251598636456158</c:v>
                </c:pt>
                <c:pt idx="404">
                  <c:v>-13.351647095401235</c:v>
                </c:pt>
                <c:pt idx="405">
                  <c:v>-13.453435944873625</c:v>
                </c:pt>
                <c:pt idx="406">
                  <c:v>-13.554646338448567</c:v>
                </c:pt>
                <c:pt idx="407">
                  <c:v>-13.655284996922488</c:v>
                </c:pt>
                <c:pt idx="408">
                  <c:v>-13.755358525727726</c:v>
                </c:pt>
                <c:pt idx="409">
                  <c:v>-13.857228418061286</c:v>
                </c:pt>
                <c:pt idx="410">
                  <c:v>-13.958519689084767</c:v>
                </c:pt>
                <c:pt idx="411">
                  <c:v>-14.05923906700647</c:v>
                </c:pt>
                <c:pt idx="412">
                  <c:v>-14.159393164519363</c:v>
                </c:pt>
                <c:pt idx="413">
                  <c:v>-14.261290753924802</c:v>
                </c:pt>
                <c:pt idx="414">
                  <c:v>-14.362610197245615</c:v>
                </c:pt>
                <c:pt idx="415">
                  <c:v>-14.463358219255188</c:v>
                </c:pt>
                <c:pt idx="416">
                  <c:v>-14.563541429307719</c:v>
                </c:pt>
                <c:pt idx="417">
                  <c:v>-14.665519414383423</c:v>
                </c:pt>
                <c:pt idx="418">
                  <c:v>-14.766919170427695</c:v>
                </c:pt>
                <c:pt idx="419">
                  <c:v>-14.867747428798774</c:v>
                </c:pt>
                <c:pt idx="420">
                  <c:v>-14.968010805304788</c:v>
                </c:pt>
                <c:pt idx="421">
                  <c:v>-15.069916286221396</c:v>
                </c:pt>
                <c:pt idx="422">
                  <c:v>-15.17124522241393</c:v>
                </c:pt>
                <c:pt idx="423">
                  <c:v>-15.272004321384316</c:v>
                </c:pt>
                <c:pt idx="424">
                  <c:v>-15.372200175649262</c:v>
                </c:pt>
                <c:pt idx="425">
                  <c:v>-15.474284050522426</c:v>
                </c:pt>
                <c:pt idx="426">
                  <c:v>-15.575790274250554</c:v>
                </c:pt>
                <c:pt idx="427">
                  <c:v>-15.676725579410499</c:v>
                </c:pt>
                <c:pt idx="428">
                  <c:v>-15.777096583043527</c:v>
                </c:pt>
                <c:pt idx="429">
                  <c:v>-15.87920443118681</c:v>
                </c:pt>
                <c:pt idx="430">
                  <c:v>-15.980735310210108</c:v>
                </c:pt>
                <c:pt idx="431">
                  <c:v>-16.081695946985437</c:v>
                </c:pt>
                <c:pt idx="432">
                  <c:v>-16.182092953001487</c:v>
                </c:pt>
                <c:pt idx="433">
                  <c:v>-16.284176370466856</c:v>
                </c:pt>
                <c:pt idx="434">
                  <c:v>-16.385684091309216</c:v>
                </c:pt>
                <c:pt idx="435">
                  <c:v>-16.486622826776014</c:v>
                </c:pt>
                <c:pt idx="436">
                  <c:v>-16.5869991731102</c:v>
                </c:pt>
                <c:pt idx="437">
                  <c:v>-16.68919609684438</c:v>
                </c:pt>
                <c:pt idx="438">
                  <c:v>-16.790817093528702</c:v>
                </c:pt>
                <c:pt idx="439">
                  <c:v>-16.891868885402346</c:v>
                </c:pt>
                <c:pt idx="440">
                  <c:v>-16.992358079474471</c:v>
                </c:pt>
                <c:pt idx="441">
                  <c:v>-17.09461486517786</c:v>
                </c:pt>
                <c:pt idx="442">
                  <c:v>-17.196296149905937</c:v>
                </c:pt>
                <c:pt idx="443">
                  <c:v>-17.297408655875234</c:v>
                </c:pt>
                <c:pt idx="444">
                  <c:v>-17.397958990100161</c:v>
                </c:pt>
                <c:pt idx="445">
                  <c:v>-17.500225803142641</c:v>
                </c:pt>
                <c:pt idx="446">
                  <c:v>-17.601918154990429</c:v>
                </c:pt>
                <c:pt idx="447">
                  <c:v>-17.703042757570657</c:v>
                </c:pt>
                <c:pt idx="448">
                  <c:v>-17.803606207869517</c:v>
                </c:pt>
                <c:pt idx="449">
                  <c:v>-17.9060077550443</c:v>
                </c:pt>
                <c:pt idx="450">
                  <c:v>-18.007834541842602</c:v>
                </c:pt>
                <c:pt idx="451">
                  <c:v>-18.109093293797468</c:v>
                </c:pt>
                <c:pt idx="452">
                  <c:v>-18.209790621220602</c:v>
                </c:pt>
                <c:pt idx="453">
                  <c:v>-18.312189292737692</c:v>
                </c:pt>
                <c:pt idx="454">
                  <c:v>-18.414014506717635</c:v>
                </c:pt>
                <c:pt idx="455">
                  <c:v>-18.515272974791706</c:v>
                </c:pt>
                <c:pt idx="456">
                  <c:v>-18.61597129371798</c:v>
                </c:pt>
                <c:pt idx="457">
                  <c:v>-18.718485866500568</c:v>
                </c:pt>
                <c:pt idx="458">
                  <c:v>-18.820427021794849</c:v>
                </c:pt>
                <c:pt idx="459">
                  <c:v>-18.921801479986346</c:v>
                </c:pt>
                <c:pt idx="460">
                  <c:v>-19.022615846420326</c:v>
                </c:pt>
                <c:pt idx="461">
                  <c:v>-19.125194290380247</c:v>
                </c:pt>
                <c:pt idx="462">
                  <c:v>-19.227200007102724</c:v>
                </c:pt>
                <c:pt idx="463">
                  <c:v>-19.328639714926435</c:v>
                </c:pt>
                <c:pt idx="464">
                  <c:v>-19.42952001723209</c:v>
                </c:pt>
                <c:pt idx="465">
                  <c:v>-19.532192248715777</c:v>
                </c:pt>
                <c:pt idx="466">
                  <c:v>-19.634292182847048</c:v>
                </c:pt>
                <c:pt idx="467">
                  <c:v>-19.735826541110775</c:v>
                </c:pt>
                <c:pt idx="468">
                  <c:v>-19.836801930000075</c:v>
                </c:pt>
                <c:pt idx="469">
                  <c:v>-19.939518184721187</c:v>
                </c:pt>
                <c:pt idx="470">
                  <c:v>-20.041663201498523</c:v>
                </c:pt>
                <c:pt idx="471">
                  <c:v>-20.143243694565001</c:v>
                </c:pt>
                <c:pt idx="472">
                  <c:v>-20.244266263366526</c:v>
                </c:pt>
                <c:pt idx="473">
                  <c:v>-20.347130017041792</c:v>
                </c:pt>
                <c:pt idx="474">
                  <c:v>-20.449422525658207</c:v>
                </c:pt>
                <c:pt idx="475">
                  <c:v>-20.551150515661249</c:v>
                </c:pt>
                <c:pt idx="476">
                  <c:v>-20.652320598474205</c:v>
                </c:pt>
                <c:pt idx="477">
                  <c:v>-20.755279535602462</c:v>
                </c:pt>
                <c:pt idx="478">
                  <c:v>-20.857667887864679</c:v>
                </c:pt>
                <c:pt idx="479">
                  <c:v>-20.959492382943381</c:v>
                </c:pt>
                <c:pt idx="480">
                  <c:v>-21.060759633516128</c:v>
                </c:pt>
                <c:pt idx="481">
                  <c:v>-21.163765303876989</c:v>
                </c:pt>
                <c:pt idx="482">
                  <c:v>-21.266201674461986</c:v>
                </c:pt>
                <c:pt idx="483">
                  <c:v>-21.368075463960139</c:v>
                </c:pt>
                <c:pt idx="484">
                  <c:v>-21.469393276309404</c:v>
                </c:pt>
                <c:pt idx="485">
                  <c:v>-21.572470901964607</c:v>
                </c:pt>
                <c:pt idx="486">
                  <c:v>-21.674980327802306</c:v>
                </c:pt>
                <c:pt idx="487">
                  <c:v>-21.776928267614124</c:v>
                </c:pt>
                <c:pt idx="488">
                  <c:v>-21.878321320602613</c:v>
                </c:pt>
                <c:pt idx="489">
                  <c:v>-21.981562035680358</c:v>
                </c:pt>
                <c:pt idx="490">
                  <c:v>-22.084234750558306</c:v>
                </c:pt>
                <c:pt idx="491">
                  <c:v>-22.186346190959139</c:v>
                </c:pt>
                <c:pt idx="492">
                  <c:v>-22.287902967801962</c:v>
                </c:pt>
                <c:pt idx="493">
                  <c:v>-22.391255704000695</c:v>
                </c:pt>
                <c:pt idx="494">
                  <c:v>-22.494041309311132</c:v>
                </c:pt>
                <c:pt idx="495">
                  <c:v>-22.596266510520465</c:v>
                </c:pt>
                <c:pt idx="496">
                  <c:v>-22.697937919646961</c:v>
                </c:pt>
                <c:pt idx="497">
                  <c:v>-22.801421013959725</c:v>
                </c:pt>
                <c:pt idx="498">
                  <c:v>-22.904337759723319</c:v>
                </c:pt>
                <c:pt idx="499">
                  <c:v>-23.006694887366997</c:v>
                </c:pt>
                <c:pt idx="500">
                  <c:v>-23.108499012531777</c:v>
                </c:pt>
                <c:pt idx="501">
                  <c:v>-23.212128871328915</c:v>
                </c:pt>
                <c:pt idx="502">
                  <c:v>-23.315193106032375</c:v>
                </c:pt>
                <c:pt idx="503">
                  <c:v>-23.417698452855568</c:v>
                </c:pt>
                <c:pt idx="504">
                  <c:v>-23.519651533159273</c:v>
                </c:pt>
                <c:pt idx="505">
                  <c:v>-23.623380087263527</c:v>
                </c:pt>
                <c:pt idx="506">
                  <c:v>-23.726544391573213</c:v>
                </c:pt>
                <c:pt idx="507">
                  <c:v>-23.829151177677026</c:v>
                </c:pt>
                <c:pt idx="508">
                  <c:v>-23.931207062487548</c:v>
                </c:pt>
                <c:pt idx="509">
                  <c:v>-24.035051442807202</c:v>
                </c:pt>
                <c:pt idx="510">
                  <c:v>-24.138332893080737</c:v>
                </c:pt>
                <c:pt idx="511">
                  <c:v>-24.241058142462101</c:v>
                </c:pt>
                <c:pt idx="512">
                  <c:v>-24.343233805559137</c:v>
                </c:pt>
                <c:pt idx="513">
                  <c:v>-24.447269629039738</c:v>
                </c:pt>
                <c:pt idx="514">
                  <c:v>-24.550743166833406</c:v>
                </c:pt>
                <c:pt idx="515">
                  <c:v>-24.653661159068903</c:v>
                </c:pt>
                <c:pt idx="516">
                  <c:v>-24.756030231159446</c:v>
                </c:pt>
                <c:pt idx="517">
                  <c:v>-24.860208984397634</c:v>
                </c:pt>
                <c:pt idx="518">
                  <c:v>-24.963826771158793</c:v>
                </c:pt>
                <c:pt idx="519">
                  <c:v>-25.066890331877634</c:v>
                </c:pt>
                <c:pt idx="520">
                  <c:v>-25.169406292351351</c:v>
                </c:pt>
                <c:pt idx="521">
                  <c:v>-25.273740934966508</c:v>
                </c:pt>
                <c:pt idx="522">
                  <c:v>-25.377515948656558</c:v>
                </c:pt>
                <c:pt idx="523">
                  <c:v>-25.480738075317994</c:v>
                </c:pt>
                <c:pt idx="524">
                  <c:v>-25.583413942265494</c:v>
                </c:pt>
                <c:pt idx="525">
                  <c:v>-25.687916332770342</c:v>
                </c:pt>
                <c:pt idx="526">
                  <c:v>-25.79186047200238</c:v>
                </c:pt>
                <c:pt idx="527">
                  <c:v>-25.895253104179197</c:v>
                </c:pt>
                <c:pt idx="528">
                  <c:v>-25.998100858977786</c:v>
                </c:pt>
                <c:pt idx="529">
                  <c:v>-26.102781905863587</c:v>
                </c:pt>
                <c:pt idx="530">
                  <c:v>-26.206906139678697</c:v>
                </c:pt>
                <c:pt idx="531">
                  <c:v>-26.310480307550801</c:v>
                </c:pt>
                <c:pt idx="532">
                  <c:v>-26.413511042097969</c:v>
                </c:pt>
                <c:pt idx="533">
                  <c:v>-26.518434845177246</c:v>
                </c:pt>
                <c:pt idx="534">
                  <c:v>-26.622802783170382</c:v>
                </c:pt>
                <c:pt idx="535">
                  <c:v>-26.726621616825739</c:v>
                </c:pt>
                <c:pt idx="536">
                  <c:v>-26.829897992175376</c:v>
                </c:pt>
                <c:pt idx="537">
                  <c:v>-26.934964872284397</c:v>
                </c:pt>
                <c:pt idx="538">
                  <c:v>-27.039478086889154</c:v>
                </c:pt>
                <c:pt idx="539">
                  <c:v>-27.143444389494395</c:v>
                </c:pt>
                <c:pt idx="540">
                  <c:v>-27.246870419157901</c:v>
                </c:pt>
                <c:pt idx="541">
                  <c:v>-27.352196205337407</c:v>
                </c:pt>
                <c:pt idx="542">
                  <c:v>-27.456969515314942</c:v>
                </c:pt>
                <c:pt idx="543">
                  <c:v>-27.56119711578032</c:v>
                </c:pt>
                <c:pt idx="544">
                  <c:v>-27.664885658786392</c:v>
                </c:pt>
                <c:pt idx="545">
                  <c:v>-27.770424944016877</c:v>
                </c:pt>
                <c:pt idx="546">
                  <c:v>-27.875413641511656</c:v>
                </c:pt>
                <c:pt idx="547">
                  <c:v>-27.979858520497412</c:v>
                </c:pt>
                <c:pt idx="548">
                  <c:v>-28.083766235618135</c:v>
                </c:pt>
                <c:pt idx="549">
                  <c:v>-28.189527326697508</c:v>
                </c:pt>
                <c:pt idx="550">
                  <c:v>-28.294739863561695</c:v>
                </c:pt>
                <c:pt idx="551">
                  <c:v>-28.399410617525078</c:v>
                </c:pt>
                <c:pt idx="552">
                  <c:v>-28.503546245382768</c:v>
                </c:pt>
                <c:pt idx="553">
                  <c:v>-28.609585937134341</c:v>
                </c:pt>
                <c:pt idx="554">
                  <c:v>-28.715078767542515</c:v>
                </c:pt>
                <c:pt idx="555">
                  <c:v>-28.82003151866946</c:v>
                </c:pt>
                <c:pt idx="556">
                  <c:v>-28.924450857927933</c:v>
                </c:pt>
                <c:pt idx="557">
                  <c:v>-29.136552761876629</c:v>
                </c:pt>
                <c:pt idx="558">
                  <c:v>-29.346501888091218</c:v>
                </c:pt>
                <c:pt idx="559">
                  <c:v>-29.559091184475989</c:v>
                </c:pt>
                <c:pt idx="560">
                  <c:v>-29.76953809977616</c:v>
                </c:pt>
                <c:pt idx="561">
                  <c:v>-29.98281410117912</c:v>
                </c:pt>
                <c:pt idx="562">
                  <c:v>-30.193955276475663</c:v>
                </c:pt>
                <c:pt idx="563">
                  <c:v>-30.407478529195664</c:v>
                </c:pt>
                <c:pt idx="564">
                  <c:v>-30.618884411546151</c:v>
                </c:pt>
                <c:pt idx="565">
                  <c:v>-30.833477063926825</c:v>
                </c:pt>
                <c:pt idx="566">
                  <c:v>-31.045954842304543</c:v>
                </c:pt>
                <c:pt idx="567">
                  <c:v>-31.261519594007524</c:v>
                </c:pt>
                <c:pt idx="568">
                  <c:v>-31.474975354381115</c:v>
                </c:pt>
                <c:pt idx="569">
                  <c:v>-31.690582986552688</c:v>
                </c:pt>
                <c:pt idx="570">
                  <c:v>-31.90410688790644</c:v>
                </c:pt>
                <c:pt idx="571">
                  <c:v>-32.121377621169515</c:v>
                </c:pt>
                <c:pt idx="572">
                  <c:v>-32.336560183953658</c:v>
                </c:pt>
                <c:pt idx="573">
                  <c:v>-32.553756561932872</c:v>
                </c:pt>
                <c:pt idx="574">
                  <c:v>-32.768895033062108</c:v>
                </c:pt>
                <c:pt idx="575">
                  <c:v>-32.987589985389924</c:v>
                </c:pt>
                <c:pt idx="576">
                  <c:v>-33.204229117395492</c:v>
                </c:pt>
                <c:pt idx="577">
                  <c:v>-34.099814216120471</c:v>
                </c:pt>
                <c:pt idx="578">
                  <c:v>-34.963207826083384</c:v>
                </c:pt>
                <c:pt idx="579">
                  <c:v>-36.758013043778433</c:v>
                </c:pt>
                <c:pt idx="580">
                  <c:v>-38.60054070548594</c:v>
                </c:pt>
                <c:pt idx="581">
                  <c:v>-40.498842973370763</c:v>
                </c:pt>
                <c:pt idx="582">
                  <c:v>-42.466487494024314</c:v>
                </c:pt>
                <c:pt idx="583">
                  <c:v>-44.515675409405034</c:v>
                </c:pt>
                <c:pt idx="584">
                  <c:v>-46.662122861227211</c:v>
                </c:pt>
                <c:pt idx="585">
                  <c:v>-48.917973327795458</c:v>
                </c:pt>
                <c:pt idx="586">
                  <c:v>-51.294304943710323</c:v>
                </c:pt>
                <c:pt idx="587">
                  <c:v>-53.798897906449987</c:v>
                </c:pt>
                <c:pt idx="588">
                  <c:v>-56.43008598828456</c:v>
                </c:pt>
                <c:pt idx="589">
                  <c:v>-59.184571535468621</c:v>
                </c:pt>
                <c:pt idx="590">
                  <c:v>-62.05057817324564</c:v>
                </c:pt>
                <c:pt idx="591">
                  <c:v>-65.013749797110719</c:v>
                </c:pt>
                <c:pt idx="592">
                  <c:v>-68.057199494886746</c:v>
                </c:pt>
                <c:pt idx="593">
                  <c:v>-71.165274599029217</c:v>
                </c:pt>
                <c:pt idx="594">
                  <c:v>-74.32183699746264</c:v>
                </c:pt>
                <c:pt idx="595">
                  <c:v>-77.514208876344398</c:v>
                </c:pt>
                <c:pt idx="596">
                  <c:v>-80.730744452591225</c:v>
                </c:pt>
                <c:pt idx="597">
                  <c:v>-83.963425231726404</c:v>
                </c:pt>
                <c:pt idx="598">
                  <c:v>-87.204822655059914</c:v>
                </c:pt>
                <c:pt idx="599">
                  <c:v>-90.450904631764558</c:v>
                </c:pt>
                <c:pt idx="600">
                  <c:v>-93.697757544002798</c:v>
                </c:pt>
              </c:numCache>
            </c:numRef>
          </c:yVal>
          <c:smooth val="1"/>
          <c:extLst>
            <c:ext xmlns:c16="http://schemas.microsoft.com/office/drawing/2014/chart" uri="{C3380CC4-5D6E-409C-BE32-E72D297353CC}">
              <c16:uniqueId val="{00000000-417B-42DD-99BF-4436D67A6013}"/>
            </c:ext>
          </c:extLst>
        </c:ser>
        <c:ser>
          <c:idx val="6"/>
          <c:order val="1"/>
          <c:tx>
            <c:strRef>
              <c:f>'IL Stability Calculations'!$AW$12</c:f>
              <c:strCache>
                <c:ptCount val="1"/>
                <c:pt idx="0">
                  <c:v>Gain(dB)</c:v>
                </c:pt>
              </c:strCache>
            </c:strRef>
          </c:tx>
          <c:spPr>
            <a:ln w="25400">
              <a:solidFill>
                <a:srgbClr val="FF0000"/>
              </a:solidFill>
              <a:prstDash val="solid"/>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Calculations'!$AW$13:$AW$613</c:f>
              <c:numCache>
                <c:formatCode>0.0000</c:formatCode>
                <c:ptCount val="601"/>
                <c:pt idx="0">
                  <c:v>106.45210602491116</c:v>
                </c:pt>
                <c:pt idx="1">
                  <c:v>111.68736469873132</c:v>
                </c:pt>
                <c:pt idx="2">
                  <c:v>110.89860044820159</c:v>
                </c:pt>
                <c:pt idx="3">
                  <c:v>110.10674473479222</c:v>
                </c:pt>
                <c:pt idx="4">
                  <c:v>109.31255793017328</c:v>
                </c:pt>
                <c:pt idx="5">
                  <c:v>108.51487254737398</c:v>
                </c:pt>
                <c:pt idx="6">
                  <c:v>107.71489483473263</c:v>
                </c:pt>
                <c:pt idx="7">
                  <c:v>106.91209788714158</c:v>
                </c:pt>
                <c:pt idx="8">
                  <c:v>106.10699331944926</c:v>
                </c:pt>
                <c:pt idx="9">
                  <c:v>105.29882453077539</c:v>
                </c:pt>
                <c:pt idx="10">
                  <c:v>104.48783518535765</c:v>
                </c:pt>
                <c:pt idx="11">
                  <c:v>103.67361725053144</c:v>
                </c:pt>
                <c:pt idx="12">
                  <c:v>102.85537069794066</c:v>
                </c:pt>
                <c:pt idx="13">
                  <c:v>102.03344294051251</c:v>
                </c:pt>
                <c:pt idx="14">
                  <c:v>101.20667226924763</c:v>
                </c:pt>
                <c:pt idx="15">
                  <c:v>100.37480831379412</c:v>
                </c:pt>
                <c:pt idx="16">
                  <c:v>99.537170836896649</c:v>
                </c:pt>
                <c:pt idx="17">
                  <c:v>98.693239887412133</c:v>
                </c:pt>
                <c:pt idx="18">
                  <c:v>97.842132273224038</c:v>
                </c:pt>
                <c:pt idx="19">
                  <c:v>96.983479645797829</c:v>
                </c:pt>
                <c:pt idx="20">
                  <c:v>96.116604707866003</c:v>
                </c:pt>
                <c:pt idx="21">
                  <c:v>95.241326406146385</c:v>
                </c:pt>
                <c:pt idx="22">
                  <c:v>94.357310915404469</c:v>
                </c:pt>
                <c:pt idx="23">
                  <c:v>93.464903979464367</c:v>
                </c:pt>
                <c:pt idx="24">
                  <c:v>92.564331971305833</c:v>
                </c:pt>
                <c:pt idx="25">
                  <c:v>91.656547319797312</c:v>
                </c:pt>
                <c:pt idx="26">
                  <c:v>90.742517793827076</c:v>
                </c:pt>
                <c:pt idx="27">
                  <c:v>89.824051696850006</c:v>
                </c:pt>
                <c:pt idx="28">
                  <c:v>88.902902414444114</c:v>
                </c:pt>
                <c:pt idx="29">
                  <c:v>87.981600368547049</c:v>
                </c:pt>
                <c:pt idx="30">
                  <c:v>87.06059262871959</c:v>
                </c:pt>
                <c:pt idx="31">
                  <c:v>86.143091634056859</c:v>
                </c:pt>
                <c:pt idx="32">
                  <c:v>85.230200982617745</c:v>
                </c:pt>
                <c:pt idx="33">
                  <c:v>84.324003827169435</c:v>
                </c:pt>
                <c:pt idx="34">
                  <c:v>83.424884821403097</c:v>
                </c:pt>
                <c:pt idx="35">
                  <c:v>82.534064625587718</c:v>
                </c:pt>
                <c:pt idx="36">
                  <c:v>81.651758868741254</c:v>
                </c:pt>
                <c:pt idx="37">
                  <c:v>80.777534454385886</c:v>
                </c:pt>
                <c:pt idx="38">
                  <c:v>79.911997381478244</c:v>
                </c:pt>
                <c:pt idx="39">
                  <c:v>79.054020591703164</c:v>
                </c:pt>
                <c:pt idx="40">
                  <c:v>78.203363573085028</c:v>
                </c:pt>
                <c:pt idx="41">
                  <c:v>77.359298702384805</c:v>
                </c:pt>
                <c:pt idx="42">
                  <c:v>76.521246513133306</c:v>
                </c:pt>
                <c:pt idx="43">
                  <c:v>75.68825984090266</c:v>
                </c:pt>
                <c:pt idx="44">
                  <c:v>74.85987774372083</c:v>
                </c:pt>
                <c:pt idx="45">
                  <c:v>74.035284166314156</c:v>
                </c:pt>
                <c:pt idx="46">
                  <c:v>73.214039545591618</c:v>
                </c:pt>
                <c:pt idx="47">
                  <c:v>72.395406717328996</c:v>
                </c:pt>
                <c:pt idx="48">
                  <c:v>71.579071309460247</c:v>
                </c:pt>
                <c:pt idx="49">
                  <c:v>70.76434922707476</c:v>
                </c:pt>
                <c:pt idx="50">
                  <c:v>69.950924798845037</c:v>
                </c:pt>
                <c:pt idx="51">
                  <c:v>69.13819315619962</c:v>
                </c:pt>
                <c:pt idx="52">
                  <c:v>68.326015187084678</c:v>
                </c:pt>
                <c:pt idx="53">
                  <c:v>67.513969397867655</c:v>
                </c:pt>
                <c:pt idx="54">
                  <c:v>66.702168790471916</c:v>
                </c:pt>
                <c:pt idx="55">
                  <c:v>65.888835690303964</c:v>
                </c:pt>
                <c:pt idx="56">
                  <c:v>65.074676544614064</c:v>
                </c:pt>
                <c:pt idx="57">
                  <c:v>64.258672345638175</c:v>
                </c:pt>
                <c:pt idx="58">
                  <c:v>63.440887302408875</c:v>
                </c:pt>
                <c:pt idx="59">
                  <c:v>62.620107249402686</c:v>
                </c:pt>
                <c:pt idx="60">
                  <c:v>61.796127507183542</c:v>
                </c:pt>
                <c:pt idx="61">
                  <c:v>60.968056794520741</c:v>
                </c:pt>
                <c:pt idx="62">
                  <c:v>60.134558957044383</c:v>
                </c:pt>
                <c:pt idx="63">
                  <c:v>59.295398575145882</c:v>
                </c:pt>
                <c:pt idx="64">
                  <c:v>58.448706445004902</c:v>
                </c:pt>
                <c:pt idx="65">
                  <c:v>57.593416444676777</c:v>
                </c:pt>
                <c:pt idx="66">
                  <c:v>56.72785904597</c:v>
                </c:pt>
                <c:pt idx="67">
                  <c:v>55.850323713431244</c:v>
                </c:pt>
                <c:pt idx="68">
                  <c:v>54.958465682097355</c:v>
                </c:pt>
                <c:pt idx="69">
                  <c:v>54.05016783743622</c:v>
                </c:pt>
                <c:pt idx="70">
                  <c:v>53.122623685078914</c:v>
                </c:pt>
                <c:pt idx="71">
                  <c:v>52.173138304156936</c:v>
                </c:pt>
                <c:pt idx="72">
                  <c:v>51.198393625045568</c:v>
                </c:pt>
                <c:pt idx="73">
                  <c:v>50.195338815899298</c:v>
                </c:pt>
                <c:pt idx="74">
                  <c:v>49.160325858264279</c:v>
                </c:pt>
                <c:pt idx="75">
                  <c:v>48.090125081395684</c:v>
                </c:pt>
                <c:pt idx="76">
                  <c:v>46.98123508677682</c:v>
                </c:pt>
                <c:pt idx="77">
                  <c:v>45.831065101433097</c:v>
                </c:pt>
                <c:pt idx="78">
                  <c:v>44.637123441083574</c:v>
                </c:pt>
                <c:pt idx="79">
                  <c:v>43.398402634779458</c:v>
                </c:pt>
                <c:pt idx="80">
                  <c:v>42.111803485158305</c:v>
                </c:pt>
                <c:pt idx="81">
                  <c:v>40.779043272203921</c:v>
                </c:pt>
                <c:pt idx="82">
                  <c:v>39.400207615082209</c:v>
                </c:pt>
                <c:pt idx="83">
                  <c:v>37.97829766369852</c:v>
                </c:pt>
                <c:pt idx="84">
                  <c:v>36.515194197754283</c:v>
                </c:pt>
                <c:pt idx="85">
                  <c:v>35.015508320780036</c:v>
                </c:pt>
                <c:pt idx="86">
                  <c:v>33.483445900104122</c:v>
                </c:pt>
                <c:pt idx="87">
                  <c:v>31.922969948635817</c:v>
                </c:pt>
                <c:pt idx="88">
                  <c:v>30.340499861704689</c:v>
                </c:pt>
                <c:pt idx="89">
                  <c:v>28.739581683242399</c:v>
                </c:pt>
                <c:pt idx="90">
                  <c:v>27.125297957547701</c:v>
                </c:pt>
                <c:pt idx="91">
                  <c:v>25.501503675503375</c:v>
                </c:pt>
                <c:pt idx="92">
                  <c:v>23.871825521424434</c:v>
                </c:pt>
                <c:pt idx="93">
                  <c:v>22.238556252371037</c:v>
                </c:pt>
                <c:pt idx="94">
                  <c:v>21.830151519989958</c:v>
                </c:pt>
                <c:pt idx="95">
                  <c:v>21.624667073258806</c:v>
                </c:pt>
                <c:pt idx="96">
                  <c:v>21.421527589914117</c:v>
                </c:pt>
                <c:pt idx="97">
                  <c:v>21.216054074631629</c:v>
                </c:pt>
                <c:pt idx="98">
                  <c:v>21.012931274716532</c:v>
                </c:pt>
                <c:pt idx="99">
                  <c:v>20.807429204830825</c:v>
                </c:pt>
                <c:pt idx="100">
                  <c:v>20.604284130734388</c:v>
                </c:pt>
                <c:pt idx="101">
                  <c:v>20.398872456395836</c:v>
                </c:pt>
                <c:pt idx="102">
                  <c:v>20.195820981274618</c:v>
                </c:pt>
                <c:pt idx="103">
                  <c:v>19.990312479263505</c:v>
                </c:pt>
                <c:pt idx="104">
                  <c:v>19.78717130945709</c:v>
                </c:pt>
                <c:pt idx="105">
                  <c:v>19.581689071839747</c:v>
                </c:pt>
                <c:pt idx="106">
                  <c:v>19.378578146571652</c:v>
                </c:pt>
                <c:pt idx="107">
                  <c:v>19.173236720364869</c:v>
                </c:pt>
                <c:pt idx="108">
                  <c:v>18.970267624610432</c:v>
                </c:pt>
                <c:pt idx="109">
                  <c:v>18.765034469990841</c:v>
                </c:pt>
                <c:pt idx="110">
                  <c:v>18.562175088027782</c:v>
                </c:pt>
                <c:pt idx="111">
                  <c:v>18.356886916966367</c:v>
                </c:pt>
                <c:pt idx="112">
                  <c:v>18.153977414565102</c:v>
                </c:pt>
                <c:pt idx="113">
                  <c:v>17.948753187505318</c:v>
                </c:pt>
                <c:pt idx="114">
                  <c:v>17.745909497191686</c:v>
                </c:pt>
                <c:pt idx="115">
                  <c:v>17.54073027414821</c:v>
                </c:pt>
                <c:pt idx="116">
                  <c:v>17.337933614621125</c:v>
                </c:pt>
                <c:pt idx="117">
                  <c:v>17.13278440042431</c:v>
                </c:pt>
                <c:pt idx="118">
                  <c:v>16.930019858934124</c:v>
                </c:pt>
                <c:pt idx="119">
                  <c:v>16.725012892487957</c:v>
                </c:pt>
                <c:pt idx="120">
                  <c:v>16.522389861067765</c:v>
                </c:pt>
                <c:pt idx="121">
                  <c:v>16.317508561845198</c:v>
                </c:pt>
                <c:pt idx="122">
                  <c:v>16.115010602187542</c:v>
                </c:pt>
                <c:pt idx="123">
                  <c:v>15.910123914026892</c:v>
                </c:pt>
                <c:pt idx="124">
                  <c:v>15.707622776463687</c:v>
                </c:pt>
                <c:pt idx="125">
                  <c:v>15.502844181859656</c:v>
                </c:pt>
                <c:pt idx="126">
                  <c:v>15.300450509706645</c:v>
                </c:pt>
                <c:pt idx="127">
                  <c:v>15.095772840133293</c:v>
                </c:pt>
                <c:pt idx="128">
                  <c:v>14.893479429566707</c:v>
                </c:pt>
                <c:pt idx="129">
                  <c:v>14.688898217483624</c:v>
                </c:pt>
                <c:pt idx="130">
                  <c:v>14.486700515611123</c:v>
                </c:pt>
                <c:pt idx="131">
                  <c:v>14.282213765173795</c:v>
                </c:pt>
                <c:pt idx="132">
                  <c:v>14.18086731376941</c:v>
                </c:pt>
                <c:pt idx="133">
                  <c:v>14.080109645527951</c:v>
                </c:pt>
                <c:pt idx="134">
                  <c:v>13.977559703942614</c:v>
                </c:pt>
                <c:pt idx="135">
                  <c:v>13.87561271614979</c:v>
                </c:pt>
                <c:pt idx="136">
                  <c:v>13.774261701735018</c:v>
                </c:pt>
                <c:pt idx="137">
                  <c:v>13.673499798026389</c:v>
                </c:pt>
                <c:pt idx="138">
                  <c:v>13.571052508336743</c:v>
                </c:pt>
                <c:pt idx="139">
                  <c:v>13.469207230588136</c:v>
                </c:pt>
                <c:pt idx="140">
                  <c:v>13.367956989716284</c:v>
                </c:pt>
                <c:pt idx="141">
                  <c:v>13.267294928624871</c:v>
                </c:pt>
                <c:pt idx="142">
                  <c:v>13.164848054617359</c:v>
                </c:pt>
                <c:pt idx="143">
                  <c:v>13.063003411669694</c:v>
                </c:pt>
                <c:pt idx="144">
                  <c:v>12.961754010818659</c:v>
                </c:pt>
                <c:pt idx="145">
                  <c:v>12.861092981704354</c:v>
                </c:pt>
                <c:pt idx="146">
                  <c:v>12.758702157527321</c:v>
                </c:pt>
                <c:pt idx="147">
                  <c:v>12.656913096844946</c:v>
                </c:pt>
                <c:pt idx="148">
                  <c:v>12.555718809523482</c:v>
                </c:pt>
                <c:pt idx="149">
                  <c:v>12.455112424361179</c:v>
                </c:pt>
                <c:pt idx="150">
                  <c:v>12.352781284826733</c:v>
                </c:pt>
                <c:pt idx="151">
                  <c:v>12.251051366458999</c:v>
                </c:pt>
                <c:pt idx="152">
                  <c:v>12.149915680035212</c:v>
                </c:pt>
                <c:pt idx="153">
                  <c:v>12.04936735552474</c:v>
                </c:pt>
                <c:pt idx="154">
                  <c:v>11.947053291076923</c:v>
                </c:pt>
                <c:pt idx="155">
                  <c:v>11.845340374840124</c:v>
                </c:pt>
                <c:pt idx="156">
                  <c:v>11.744221611069836</c:v>
                </c:pt>
                <c:pt idx="157">
                  <c:v>11.643690123623692</c:v>
                </c:pt>
                <c:pt idx="158">
                  <c:v>11.541401312242957</c:v>
                </c:pt>
                <c:pt idx="159">
                  <c:v>11.439713452608588</c:v>
                </c:pt>
                <c:pt idx="160">
                  <c:v>11.338619545281706</c:v>
                </c:pt>
                <c:pt idx="161">
                  <c:v>11.238112710752631</c:v>
                </c:pt>
                <c:pt idx="162">
                  <c:v>11.135902486537292</c:v>
                </c:pt>
                <c:pt idx="163">
                  <c:v>11.034292367345301</c:v>
                </c:pt>
                <c:pt idx="164">
                  <c:v>10.933275362015246</c:v>
                </c:pt>
                <c:pt idx="165">
                  <c:v>10.832844599351628</c:v>
                </c:pt>
                <c:pt idx="166">
                  <c:v>10.730631253531037</c:v>
                </c:pt>
                <c:pt idx="167">
                  <c:v>10.629018099204524</c:v>
                </c:pt>
                <c:pt idx="168">
                  <c:v>10.527998137826337</c:v>
                </c:pt>
                <c:pt idx="169">
                  <c:v>10.427564491193781</c:v>
                </c:pt>
                <c:pt idx="170">
                  <c:v>10.325573909620495</c:v>
                </c:pt>
                <c:pt idx="171">
                  <c:v>10.224180941811172</c:v>
                </c:pt>
                <c:pt idx="172">
                  <c:v>10.123378628837687</c:v>
                </c:pt>
                <c:pt idx="173">
                  <c:v>10.023160131400392</c:v>
                </c:pt>
                <c:pt idx="174">
                  <c:v>9.9210141587529055</c:v>
                </c:pt>
                <c:pt idx="175">
                  <c:v>9.8194676247345853</c:v>
                </c:pt>
                <c:pt idx="176">
                  <c:v>9.7185135338113717</c:v>
                </c:pt>
                <c:pt idx="177">
                  <c:v>9.6181450110914675</c:v>
                </c:pt>
                <c:pt idx="178">
                  <c:v>9.5159086890717397</c:v>
                </c:pt>
                <c:pt idx="179">
                  <c:v>9.414272852607585</c:v>
                </c:pt>
                <c:pt idx="180">
                  <c:v>9.3132304835415187</c:v>
                </c:pt>
                <c:pt idx="181">
                  <c:v>9.2127746850398857</c:v>
                </c:pt>
                <c:pt idx="182">
                  <c:v>9.110907026658662</c:v>
                </c:pt>
                <c:pt idx="183">
                  <c:v>9.0096355156802321</c:v>
                </c:pt>
                <c:pt idx="184">
                  <c:v>8.9089532057862346</c:v>
                </c:pt>
                <c:pt idx="185">
                  <c:v>8.8088532704806841</c:v>
                </c:pt>
                <c:pt idx="186">
                  <c:v>8.7066050166680622</c:v>
                </c:pt>
                <c:pt idx="187">
                  <c:v>8.6049573161868249</c:v>
                </c:pt>
                <c:pt idx="188">
                  <c:v>8.5039031423075677</c:v>
                </c:pt>
                <c:pt idx="189">
                  <c:v>8.4034355901079145</c:v>
                </c:pt>
                <c:pt idx="190">
                  <c:v>8.3016472141129753</c:v>
                </c:pt>
                <c:pt idx="191">
                  <c:v>8.2004539590498098</c:v>
                </c:pt>
                <c:pt idx="192">
                  <c:v>8.0998488899672445</c:v>
                </c:pt>
                <c:pt idx="193">
                  <c:v>7.9998251917319134</c:v>
                </c:pt>
                <c:pt idx="194">
                  <c:v>7.8977765590888236</c:v>
                </c:pt>
                <c:pt idx="195">
                  <c:v>7.7963260139603276</c:v>
                </c:pt>
                <c:pt idx="196">
                  <c:v>7.695466566880417</c:v>
                </c:pt>
                <c:pt idx="197">
                  <c:v>7.5951913495674797</c:v>
                </c:pt>
                <c:pt idx="198">
                  <c:v>7.4933168610216825</c:v>
                </c:pt>
                <c:pt idx="199">
                  <c:v>7.3920383426066074</c:v>
                </c:pt>
                <c:pt idx="200">
                  <c:v>7.2913488394093804</c:v>
                </c:pt>
                <c:pt idx="201">
                  <c:v>7.1912415170061292</c:v>
                </c:pt>
                <c:pt idx="202">
                  <c:v>7.0895830821064312</c:v>
                </c:pt>
                <c:pt idx="203">
                  <c:v>6.9885180048806674</c:v>
                </c:pt>
                <c:pt idx="204">
                  <c:v>6.8880393738444248</c:v>
                </c:pt>
                <c:pt idx="205">
                  <c:v>6.7881403970923548</c:v>
                </c:pt>
                <c:pt idx="206">
                  <c:v>6.6863904715593412</c:v>
                </c:pt>
                <c:pt idx="207">
                  <c:v>6.5852348639420928</c:v>
                </c:pt>
                <c:pt idx="208">
                  <c:v>6.4846666441550225</c:v>
                </c:pt>
                <c:pt idx="209">
                  <c:v>6.3846790022016435</c:v>
                </c:pt>
                <c:pt idx="210">
                  <c:v>6.2825588625703199</c:v>
                </c:pt>
                <c:pt idx="211">
                  <c:v>6.1810372449931803</c:v>
                </c:pt>
                <c:pt idx="212">
                  <c:v>6.0801071442843231</c:v>
                </c:pt>
                <c:pt idx="213">
                  <c:v>5.9797616771544506</c:v>
                </c:pt>
                <c:pt idx="214">
                  <c:v>5.8780111851458861</c:v>
                </c:pt>
                <c:pt idx="215">
                  <c:v>5.7768547784095068</c:v>
                </c:pt>
                <c:pt idx="216">
                  <c:v>5.6762855278580515</c:v>
                </c:pt>
                <c:pt idx="217">
                  <c:v>5.5762966246077861</c:v>
                </c:pt>
                <c:pt idx="218">
                  <c:v>5.4746212173047351</c:v>
                </c:pt>
                <c:pt idx="219">
                  <c:v>5.3735388892971727</c:v>
                </c:pt>
                <c:pt idx="220">
                  <c:v>5.2730427278104708</c:v>
                </c:pt>
                <c:pt idx="221">
                  <c:v>5.1731259399543532</c:v>
                </c:pt>
                <c:pt idx="222">
                  <c:v>5.0715736480884583</c:v>
                </c:pt>
                <c:pt idx="223">
                  <c:v>4.9706128648663599</c:v>
                </c:pt>
                <c:pt idx="224">
                  <c:v>4.8702367038198568</c:v>
                </c:pt>
                <c:pt idx="225">
                  <c:v>4.7704383978104348</c:v>
                </c:pt>
                <c:pt idx="226">
                  <c:v>4.6687455853471693</c:v>
                </c:pt>
                <c:pt idx="227">
                  <c:v>4.5676457678214311</c:v>
                </c:pt>
                <c:pt idx="228">
                  <c:v>4.4671320319585046</c:v>
                </c:pt>
                <c:pt idx="229">
                  <c:v>4.3671975844748507</c:v>
                </c:pt>
                <c:pt idx="230">
                  <c:v>4.1642496276169174</c:v>
                </c:pt>
                <c:pt idx="231">
                  <c:v>4.0636593446096034</c:v>
                </c:pt>
                <c:pt idx="232">
                  <c:v>3.9636490759697383</c:v>
                </c:pt>
                <c:pt idx="233">
                  <c:v>3.8618585239970731</c:v>
                </c:pt>
                <c:pt idx="234">
                  <c:v>3.7606617885541764</c:v>
                </c:pt>
                <c:pt idx="235">
                  <c:v>3.6600519405851233</c:v>
                </c:pt>
                <c:pt idx="236">
                  <c:v>3.5600221714624478</c:v>
                </c:pt>
                <c:pt idx="237">
                  <c:v>3.4585537236296542</c:v>
                </c:pt>
                <c:pt idx="238">
                  <c:v>3.3576751848100743</c:v>
                </c:pt>
                <c:pt idx="239">
                  <c:v>3.2573796934674486</c:v>
                </c:pt>
                <c:pt idx="240">
                  <c:v>3.1576605069641999</c:v>
                </c:pt>
                <c:pt idx="241">
                  <c:v>3.0559833373164897</c:v>
                </c:pt>
                <c:pt idx="242">
                  <c:v>2.954898326391719</c:v>
                </c:pt>
                <c:pt idx="243">
                  <c:v>2.8543985729971806</c:v>
                </c:pt>
                <c:pt idx="244">
                  <c:v>2.7544772957762209</c:v>
                </c:pt>
                <c:pt idx="245">
                  <c:v>2.6529326063140735</c:v>
                </c:pt>
                <c:pt idx="246">
                  <c:v>2.5519783597649406</c:v>
                </c:pt>
                <c:pt idx="247">
                  <c:v>2.4516076844101002</c:v>
                </c:pt>
                <c:pt idx="248">
                  <c:v>2.3518138277065601</c:v>
                </c:pt>
                <c:pt idx="249">
                  <c:v>2.2501771317673289</c:v>
                </c:pt>
                <c:pt idx="250">
                  <c:v>2.1491317620047163</c:v>
                </c:pt>
                <c:pt idx="251">
                  <c:v>2.0486708309624473</c:v>
                </c:pt>
                <c:pt idx="252">
                  <c:v>1.9487875707402169</c:v>
                </c:pt>
                <c:pt idx="253">
                  <c:v>1.8473796065162285</c:v>
                </c:pt>
                <c:pt idx="254">
                  <c:v>1.7465601287708798</c:v>
                </c:pt>
                <c:pt idx="255">
                  <c:v>1.646322299148113</c:v>
                </c:pt>
                <c:pt idx="256">
                  <c:v>1.5466593977282912</c:v>
                </c:pt>
                <c:pt idx="257">
                  <c:v>1.4450050972115014</c:v>
                </c:pt>
                <c:pt idx="258">
                  <c:v>1.3439419422435626</c:v>
                </c:pt>
                <c:pt idx="259">
                  <c:v>1.2434630479231621</c:v>
                </c:pt>
                <c:pt idx="260">
                  <c:v>1.1435616488685107</c:v>
                </c:pt>
                <c:pt idx="261">
                  <c:v>1.041980166816433</c:v>
                </c:pt>
                <c:pt idx="262">
                  <c:v>0.94098878541421527</c:v>
                </c:pt>
                <c:pt idx="263">
                  <c:v>0.84058063769748848</c:v>
                </c:pt>
                <c:pt idx="264">
                  <c:v>0.74074897581311028</c:v>
                </c:pt>
                <c:pt idx="265">
                  <c:v>0.6392877726467312</c:v>
                </c:pt>
                <c:pt idx="266">
                  <c:v>0.5384150718574463</c:v>
                </c:pt>
                <c:pt idx="267">
                  <c:v>0.4381240340362757</c:v>
                </c:pt>
                <c:pt idx="268">
                  <c:v>0.33840793825411936</c:v>
                </c:pt>
                <c:pt idx="269">
                  <c:v>0.23687228130082341</c:v>
                </c:pt>
                <c:pt idx="270">
                  <c:v>0.1359257766731056</c:v>
                </c:pt>
                <c:pt idx="271">
                  <c:v>3.5561573419435152E-2</c:v>
                </c:pt>
                <c:pt idx="272">
                  <c:v>-6.4227060663015589E-2</c:v>
                </c:pt>
                <c:pt idx="273">
                  <c:v>-0.16578001415141877</c:v>
                </c:pt>
                <c:pt idx="274">
                  <c:v>-0.26674383274748725</c:v>
                </c:pt>
                <c:pt idx="275">
                  <c:v>-0.36712536734741852</c:v>
                </c:pt>
                <c:pt idx="276">
                  <c:v>-0.46693135009992554</c:v>
                </c:pt>
                <c:pt idx="277">
                  <c:v>-0.56822033336629163</c:v>
                </c:pt>
                <c:pt idx="278">
                  <c:v>-0.66892345396445518</c:v>
                </c:pt>
                <c:pt idx="279">
                  <c:v>-0.76904750621722018</c:v>
                </c:pt>
                <c:pt idx="280">
                  <c:v>-0.86859916700296924</c:v>
                </c:pt>
                <c:pt idx="281">
                  <c:v>-0.97025851991019663</c:v>
                </c:pt>
                <c:pt idx="282">
                  <c:v>-1.0713279602022461</c:v>
                </c:pt>
                <c:pt idx="283">
                  <c:v>-1.1718143528534906</c:v>
                </c:pt>
                <c:pt idx="284">
                  <c:v>-1.2717244437717423</c:v>
                </c:pt>
                <c:pt idx="285">
                  <c:v>-1.3730241367201625</c:v>
                </c:pt>
                <c:pt idx="286">
                  <c:v>-1.47373830685671</c:v>
                </c:pt>
                <c:pt idx="287">
                  <c:v>-1.5738737432033154</c:v>
                </c:pt>
                <c:pt idx="288">
                  <c:v>-1.6734371174679354</c:v>
                </c:pt>
                <c:pt idx="289">
                  <c:v>-1.7749878327492135</c:v>
                </c:pt>
                <c:pt idx="290">
                  <c:v>-1.8759503706564842</c:v>
                </c:pt>
                <c:pt idx="291">
                  <c:v>-1.9763315666484558</c:v>
                </c:pt>
                <c:pt idx="292">
                  <c:v>-2.0761381378078276</c:v>
                </c:pt>
                <c:pt idx="293">
                  <c:v>-2.1776633503203353</c:v>
                </c:pt>
                <c:pt idx="294">
                  <c:v>-2.2786009297846408</c:v>
                </c:pt>
                <c:pt idx="295">
                  <c:v>-2.3789577025941293</c:v>
                </c:pt>
                <c:pt idx="296">
                  <c:v>-2.4787403769825329</c:v>
                </c:pt>
                <c:pt idx="297">
                  <c:v>-2.5801900421392547</c:v>
                </c:pt>
                <c:pt idx="298">
                  <c:v>-2.6810532026076936</c:v>
                </c:pt>
                <c:pt idx="299">
                  <c:v>-2.7813366656284275</c:v>
                </c:pt>
                <c:pt idx="300">
                  <c:v>-2.8810471207308508</c:v>
                </c:pt>
                <c:pt idx="301">
                  <c:v>-2.9823747260266331</c:v>
                </c:pt>
                <c:pt idx="302">
                  <c:v>-3.0831174965417221</c:v>
                </c:pt>
                <c:pt idx="303">
                  <c:v>-3.1832822110453254</c:v>
                </c:pt>
                <c:pt idx="304">
                  <c:v>-3.2828755312583575</c:v>
                </c:pt>
                <c:pt idx="305">
                  <c:v>-3.3844258787242021</c:v>
                </c:pt>
                <c:pt idx="306">
                  <c:v>-3.4853890974926665</c:v>
                </c:pt>
                <c:pt idx="307">
                  <c:v>-3.5857720067005312</c:v>
                </c:pt>
                <c:pt idx="308">
                  <c:v>-3.6855813075181736</c:v>
                </c:pt>
                <c:pt idx="309">
                  <c:v>-3.7869088450796493</c:v>
                </c:pt>
                <c:pt idx="310">
                  <c:v>-3.8876521004195514</c:v>
                </c:pt>
                <c:pt idx="311">
                  <c:v>-3.9878178439129224</c:v>
                </c:pt>
                <c:pt idx="312">
                  <c:v>-4.0874127290998201</c:v>
                </c:pt>
                <c:pt idx="313">
                  <c:v>-4.1888516796469011</c:v>
                </c:pt>
                <c:pt idx="314">
                  <c:v>-4.2897053556120994</c:v>
                </c:pt>
                <c:pt idx="315">
                  <c:v>-4.3899805452766332</c:v>
                </c:pt>
                <c:pt idx="316">
                  <c:v>-4.4896839196864589</c:v>
                </c:pt>
                <c:pt idx="317">
                  <c:v>-4.5911756303820841</c:v>
                </c:pt>
                <c:pt idx="318">
                  <c:v>-4.6920817588579746</c:v>
                </c:pt>
                <c:pt idx="319">
                  <c:v>-4.792409099514046</c:v>
                </c:pt>
                <c:pt idx="320">
                  <c:v>-4.8921643293853103</c:v>
                </c:pt>
                <c:pt idx="321">
                  <c:v>-4.9936540705097157</c:v>
                </c:pt>
                <c:pt idx="322">
                  <c:v>-5.094558561809639</c:v>
                </c:pt>
                <c:pt idx="323">
                  <c:v>-5.1948845927834517</c:v>
                </c:pt>
                <c:pt idx="324">
                  <c:v>-5.2946388356890681</c:v>
                </c:pt>
                <c:pt idx="325">
                  <c:v>-5.3960756256399476</c:v>
                </c:pt>
                <c:pt idx="326">
                  <c:v>-5.4969280945112509</c:v>
                </c:pt>
                <c:pt idx="327">
                  <c:v>-5.5972030166473257</c:v>
                </c:pt>
                <c:pt idx="328">
                  <c:v>-5.696907049512153</c:v>
                </c:pt>
                <c:pt idx="329">
                  <c:v>-5.7984124489883886</c:v>
                </c:pt>
                <c:pt idx="330">
                  <c:v>-5.8993330704892841</c:v>
                </c:pt>
                <c:pt idx="331">
                  <c:v>-5.9996756973352197</c:v>
                </c:pt>
                <c:pt idx="332">
                  <c:v>-6.0994469957728095</c:v>
                </c:pt>
                <c:pt idx="333">
                  <c:v>-6.2008003674189203</c:v>
                </c:pt>
                <c:pt idx="334">
                  <c:v>-6.3015710488334866</c:v>
                </c:pt>
                <c:pt idx="335">
                  <c:v>-6.4017657882957373</c:v>
                </c:pt>
                <c:pt idx="336">
                  <c:v>-6.5013912178281483</c:v>
                </c:pt>
                <c:pt idx="337">
                  <c:v>-6.6028748502041559</c:v>
                </c:pt>
                <c:pt idx="338">
                  <c:v>-6.703774653437959</c:v>
                </c:pt>
                <c:pt idx="339">
                  <c:v>-6.804097396805485</c:v>
                </c:pt>
                <c:pt idx="340">
                  <c:v>-6.903849732856723</c:v>
                </c:pt>
                <c:pt idx="341">
                  <c:v>-7.0054042770516567</c:v>
                </c:pt>
                <c:pt idx="342">
                  <c:v>-7.1063745478988762</c:v>
                </c:pt>
                <c:pt idx="343">
                  <c:v>-7.2067673237551517</c:v>
                </c:pt>
                <c:pt idx="344">
                  <c:v>-7.3065892660563572</c:v>
                </c:pt>
                <c:pt idx="345">
                  <c:v>-7.4080051808628147</c:v>
                </c:pt>
                <c:pt idx="346">
                  <c:v>-7.5088387944635659</c:v>
                </c:pt>
                <c:pt idx="347">
                  <c:v>-7.60909685251307</c:v>
                </c:pt>
                <c:pt idx="348">
                  <c:v>-7.7087859845078874</c:v>
                </c:pt>
                <c:pt idx="349">
                  <c:v>-7.8103234596428361</c:v>
                </c:pt>
                <c:pt idx="350">
                  <c:v>-7.9112776388692581</c:v>
                </c:pt>
                <c:pt idx="351">
                  <c:v>-8.0116552867025455</c:v>
                </c:pt>
                <c:pt idx="352">
                  <c:v>-8.1114630510820067</c:v>
                </c:pt>
                <c:pt idx="353">
                  <c:v>-8.213063615106881</c:v>
                </c:pt>
                <c:pt idx="354">
                  <c:v>-8.314080574813044</c:v>
                </c:pt>
                <c:pt idx="355">
                  <c:v>-8.4145207018216013</c:v>
                </c:pt>
                <c:pt idx="356">
                  <c:v>-8.514390651028636</c:v>
                </c:pt>
                <c:pt idx="357">
                  <c:v>-8.615855842035284</c:v>
                </c:pt>
                <c:pt idx="358">
                  <c:v>-8.7167394084175527</c:v>
                </c:pt>
                <c:pt idx="359">
                  <c:v>-8.8170480893566303</c:v>
                </c:pt>
                <c:pt idx="360">
                  <c:v>-8.916788508064494</c:v>
                </c:pt>
                <c:pt idx="361">
                  <c:v>-9.0183586178345703</c:v>
                </c:pt>
                <c:pt idx="362">
                  <c:v>-9.1193463509100461</c:v>
                </c:pt>
                <c:pt idx="363">
                  <c:v>-9.2197584615462098</c:v>
                </c:pt>
                <c:pt idx="364">
                  <c:v>-9.3196015876990277</c:v>
                </c:pt>
                <c:pt idx="365">
                  <c:v>-9.4210821515743106</c:v>
                </c:pt>
                <c:pt idx="366">
                  <c:v>-9.5219818279478758</c:v>
                </c:pt>
                <c:pt idx="367">
                  <c:v>-9.6223073474445417</c:v>
                </c:pt>
                <c:pt idx="368">
                  <c:v>-9.7220653249447277</c:v>
                </c:pt>
                <c:pt idx="369">
                  <c:v>-9.8236813002014962</c:v>
                </c:pt>
                <c:pt idx="370">
                  <c:v>-9.9247153273115778</c:v>
                </c:pt>
                <c:pt idx="371">
                  <c:v>-10.025174157643246</c:v>
                </c:pt>
                <c:pt idx="372">
                  <c:v>-10.125064426359673</c:v>
                </c:pt>
                <c:pt idx="373">
                  <c:v>-10.226625722126347</c:v>
                </c:pt>
                <c:pt idx="374">
                  <c:v>-10.327606200560112</c:v>
                </c:pt>
                <c:pt idx="375">
                  <c:v>-10.428012595937336</c:v>
                </c:pt>
                <c:pt idx="376">
                  <c:v>-10.527851526735041</c:v>
                </c:pt>
                <c:pt idx="377">
                  <c:v>-10.629569009562152</c:v>
                </c:pt>
                <c:pt idx="378">
                  <c:v>-10.730704421992833</c:v>
                </c:pt>
                <c:pt idx="379">
                  <c:v>-10.831264522755269</c:v>
                </c:pt>
                <c:pt idx="380">
                  <c:v>-10.931255954233428</c:v>
                </c:pt>
                <c:pt idx="381">
                  <c:v>-11.032818732004589</c:v>
                </c:pt>
                <c:pt idx="382">
                  <c:v>-11.133801754700453</c:v>
                </c:pt>
                <c:pt idx="383">
                  <c:v>-11.234211743764543</c:v>
                </c:pt>
                <c:pt idx="384">
                  <c:v>-11.334055305164206</c:v>
                </c:pt>
                <c:pt idx="385">
                  <c:v>-11.435792437293362</c:v>
                </c:pt>
                <c:pt idx="386">
                  <c:v>-11.536948404425758</c:v>
                </c:pt>
                <c:pt idx="387">
                  <c:v>-11.637529955563279</c:v>
                </c:pt>
                <c:pt idx="388">
                  <c:v>-11.737543723616955</c:v>
                </c:pt>
                <c:pt idx="389">
                  <c:v>-11.839274565726223</c:v>
                </c:pt>
                <c:pt idx="390">
                  <c:v>-11.940424917104425</c:v>
                </c:pt>
                <c:pt idx="391">
                  <c:v>-12.041001518351703</c:v>
                </c:pt>
                <c:pt idx="392">
                  <c:v>-12.141010994184256</c:v>
                </c:pt>
                <c:pt idx="393">
                  <c:v>-12.242686954214674</c:v>
                </c:pt>
                <c:pt idx="394">
                  <c:v>-12.343783676392084</c:v>
                </c:pt>
                <c:pt idx="395">
                  <c:v>-12.444307883085697</c:v>
                </c:pt>
                <c:pt idx="396">
                  <c:v>-12.544266181213448</c:v>
                </c:pt>
                <c:pt idx="397">
                  <c:v>-12.646071315306164</c:v>
                </c:pt>
                <c:pt idx="398">
                  <c:v>-12.747296401185572</c:v>
                </c:pt>
                <c:pt idx="399">
                  <c:v>-12.847948179051853</c:v>
                </c:pt>
                <c:pt idx="400">
                  <c:v>-12.948033273263269</c:v>
                </c:pt>
                <c:pt idx="401">
                  <c:v>-13.049798392010638</c:v>
                </c:pt>
                <c:pt idx="402">
                  <c:v>-13.150984604956545</c:v>
                </c:pt>
                <c:pt idx="403">
                  <c:v>-13.251598636456158</c:v>
                </c:pt>
                <c:pt idx="404">
                  <c:v>-13.351647095401235</c:v>
                </c:pt>
                <c:pt idx="405">
                  <c:v>-13.453435944873625</c:v>
                </c:pt>
                <c:pt idx="406">
                  <c:v>-13.554646338448567</c:v>
                </c:pt>
                <c:pt idx="407">
                  <c:v>-13.655284996922488</c:v>
                </c:pt>
                <c:pt idx="408">
                  <c:v>-13.755358525727726</c:v>
                </c:pt>
                <c:pt idx="409">
                  <c:v>-13.857228418061286</c:v>
                </c:pt>
                <c:pt idx="410">
                  <c:v>-13.958519689084767</c:v>
                </c:pt>
                <c:pt idx="411">
                  <c:v>-14.05923906700647</c:v>
                </c:pt>
                <c:pt idx="412">
                  <c:v>-14.159393164519363</c:v>
                </c:pt>
                <c:pt idx="413">
                  <c:v>-14.261290753924802</c:v>
                </c:pt>
                <c:pt idx="414">
                  <c:v>-14.362610197245615</c:v>
                </c:pt>
                <c:pt idx="415">
                  <c:v>-14.463358219255188</c:v>
                </c:pt>
                <c:pt idx="416">
                  <c:v>-14.563541429307719</c:v>
                </c:pt>
                <c:pt idx="417">
                  <c:v>-14.665519414383423</c:v>
                </c:pt>
                <c:pt idx="418">
                  <c:v>-14.766919170427695</c:v>
                </c:pt>
                <c:pt idx="419">
                  <c:v>-14.867747428798774</c:v>
                </c:pt>
                <c:pt idx="420">
                  <c:v>-14.968010805304788</c:v>
                </c:pt>
                <c:pt idx="421">
                  <c:v>-15.069916286221396</c:v>
                </c:pt>
                <c:pt idx="422">
                  <c:v>-15.17124522241393</c:v>
                </c:pt>
                <c:pt idx="423">
                  <c:v>-15.272004321384316</c:v>
                </c:pt>
                <c:pt idx="424">
                  <c:v>-15.372200175649262</c:v>
                </c:pt>
                <c:pt idx="425">
                  <c:v>-15.474284050522426</c:v>
                </c:pt>
                <c:pt idx="426">
                  <c:v>-15.575790274250554</c:v>
                </c:pt>
                <c:pt idx="427">
                  <c:v>-15.676725579410499</c:v>
                </c:pt>
                <c:pt idx="428">
                  <c:v>-15.777096583043527</c:v>
                </c:pt>
                <c:pt idx="429">
                  <c:v>-15.87920443118681</c:v>
                </c:pt>
                <c:pt idx="430">
                  <c:v>-15.980735310210108</c:v>
                </c:pt>
                <c:pt idx="431">
                  <c:v>-16.081695946985437</c:v>
                </c:pt>
                <c:pt idx="432">
                  <c:v>-16.182092953001487</c:v>
                </c:pt>
                <c:pt idx="433">
                  <c:v>-16.284176370466856</c:v>
                </c:pt>
                <c:pt idx="434">
                  <c:v>-16.385684091309216</c:v>
                </c:pt>
                <c:pt idx="435">
                  <c:v>-16.486622826776014</c:v>
                </c:pt>
                <c:pt idx="436">
                  <c:v>-16.5869991731102</c:v>
                </c:pt>
                <c:pt idx="437">
                  <c:v>-16.68919609684438</c:v>
                </c:pt>
                <c:pt idx="438">
                  <c:v>-16.790817093528702</c:v>
                </c:pt>
                <c:pt idx="439">
                  <c:v>-16.891868885402346</c:v>
                </c:pt>
                <c:pt idx="440">
                  <c:v>-16.992358079474471</c:v>
                </c:pt>
                <c:pt idx="441">
                  <c:v>-17.09461486517786</c:v>
                </c:pt>
                <c:pt idx="442">
                  <c:v>-17.196296149905937</c:v>
                </c:pt>
                <c:pt idx="443">
                  <c:v>-17.297408655875234</c:v>
                </c:pt>
                <c:pt idx="444">
                  <c:v>-17.397958990100161</c:v>
                </c:pt>
                <c:pt idx="445">
                  <c:v>-17.500225803142641</c:v>
                </c:pt>
                <c:pt idx="446">
                  <c:v>-17.601918154990429</c:v>
                </c:pt>
                <c:pt idx="447">
                  <c:v>-17.703042757570657</c:v>
                </c:pt>
                <c:pt idx="448">
                  <c:v>-17.803606207869517</c:v>
                </c:pt>
                <c:pt idx="449">
                  <c:v>-17.9060077550443</c:v>
                </c:pt>
                <c:pt idx="450">
                  <c:v>-18.007834541842602</c:v>
                </c:pt>
                <c:pt idx="451">
                  <c:v>-18.109093293797468</c:v>
                </c:pt>
                <c:pt idx="452">
                  <c:v>-18.209790621220602</c:v>
                </c:pt>
                <c:pt idx="453">
                  <c:v>-18.312189292737692</c:v>
                </c:pt>
                <c:pt idx="454">
                  <c:v>-18.414014506717635</c:v>
                </c:pt>
                <c:pt idx="455">
                  <c:v>-18.515272974791706</c:v>
                </c:pt>
                <c:pt idx="456">
                  <c:v>-18.61597129371798</c:v>
                </c:pt>
                <c:pt idx="457">
                  <c:v>-18.718485866500568</c:v>
                </c:pt>
                <c:pt idx="458">
                  <c:v>-18.820427021794849</c:v>
                </c:pt>
                <c:pt idx="459">
                  <c:v>-18.921801479986346</c:v>
                </c:pt>
                <c:pt idx="460">
                  <c:v>-19.022615846420326</c:v>
                </c:pt>
                <c:pt idx="461">
                  <c:v>-19.125194290380247</c:v>
                </c:pt>
                <c:pt idx="462">
                  <c:v>-19.227200007102724</c:v>
                </c:pt>
                <c:pt idx="463">
                  <c:v>-19.328639714926435</c:v>
                </c:pt>
                <c:pt idx="464">
                  <c:v>-19.42952001723209</c:v>
                </c:pt>
                <c:pt idx="465">
                  <c:v>-19.532192248715777</c:v>
                </c:pt>
                <c:pt idx="466">
                  <c:v>-19.634292182847048</c:v>
                </c:pt>
                <c:pt idx="467">
                  <c:v>-19.735826541110775</c:v>
                </c:pt>
                <c:pt idx="468">
                  <c:v>-19.836801930000075</c:v>
                </c:pt>
                <c:pt idx="469">
                  <c:v>-19.939518184721187</c:v>
                </c:pt>
                <c:pt idx="470">
                  <c:v>-20.041663201498523</c:v>
                </c:pt>
                <c:pt idx="471">
                  <c:v>-20.143243694565001</c:v>
                </c:pt>
                <c:pt idx="472">
                  <c:v>-20.244266263366526</c:v>
                </c:pt>
                <c:pt idx="473">
                  <c:v>-20.347130017041792</c:v>
                </c:pt>
                <c:pt idx="474">
                  <c:v>-20.449422525658207</c:v>
                </c:pt>
                <c:pt idx="475">
                  <c:v>-20.551150515661249</c:v>
                </c:pt>
                <c:pt idx="476">
                  <c:v>-20.652320598474205</c:v>
                </c:pt>
                <c:pt idx="477">
                  <c:v>-20.755279535602462</c:v>
                </c:pt>
                <c:pt idx="478">
                  <c:v>-20.857667887864679</c:v>
                </c:pt>
                <c:pt idx="479">
                  <c:v>-20.959492382943381</c:v>
                </c:pt>
                <c:pt idx="480">
                  <c:v>-21.060759633516128</c:v>
                </c:pt>
                <c:pt idx="481">
                  <c:v>-21.163765303876989</c:v>
                </c:pt>
                <c:pt idx="482">
                  <c:v>-21.266201674461986</c:v>
                </c:pt>
                <c:pt idx="483">
                  <c:v>-21.368075463960139</c:v>
                </c:pt>
                <c:pt idx="484">
                  <c:v>-21.469393276309404</c:v>
                </c:pt>
                <c:pt idx="485">
                  <c:v>-21.572470901964607</c:v>
                </c:pt>
                <c:pt idx="486">
                  <c:v>-21.674980327802306</c:v>
                </c:pt>
                <c:pt idx="487">
                  <c:v>-21.776928267614124</c:v>
                </c:pt>
                <c:pt idx="488">
                  <c:v>-21.878321320602613</c:v>
                </c:pt>
                <c:pt idx="489">
                  <c:v>-21.981562035680358</c:v>
                </c:pt>
                <c:pt idx="490">
                  <c:v>-22.084234750558306</c:v>
                </c:pt>
                <c:pt idx="491">
                  <c:v>-22.186346190959139</c:v>
                </c:pt>
                <c:pt idx="492">
                  <c:v>-22.287902967801962</c:v>
                </c:pt>
                <c:pt idx="493">
                  <c:v>-22.391255704000695</c:v>
                </c:pt>
                <c:pt idx="494">
                  <c:v>-22.494041309311132</c:v>
                </c:pt>
                <c:pt idx="495">
                  <c:v>-22.596266510520465</c:v>
                </c:pt>
                <c:pt idx="496">
                  <c:v>-22.697937919646961</c:v>
                </c:pt>
                <c:pt idx="497">
                  <c:v>-22.801421013959725</c:v>
                </c:pt>
                <c:pt idx="498">
                  <c:v>-22.904337759723319</c:v>
                </c:pt>
                <c:pt idx="499">
                  <c:v>-23.006694887366997</c:v>
                </c:pt>
                <c:pt idx="500">
                  <c:v>-23.108499012531777</c:v>
                </c:pt>
                <c:pt idx="501">
                  <c:v>-23.212128871328915</c:v>
                </c:pt>
                <c:pt idx="502">
                  <c:v>-23.315193106032375</c:v>
                </c:pt>
                <c:pt idx="503">
                  <c:v>-23.417698452855568</c:v>
                </c:pt>
                <c:pt idx="504">
                  <c:v>-23.519651533159273</c:v>
                </c:pt>
                <c:pt idx="505">
                  <c:v>-23.623380087263527</c:v>
                </c:pt>
                <c:pt idx="506">
                  <c:v>-23.726544391573213</c:v>
                </c:pt>
                <c:pt idx="507">
                  <c:v>-23.829151177677026</c:v>
                </c:pt>
                <c:pt idx="508">
                  <c:v>-23.931207062487548</c:v>
                </c:pt>
                <c:pt idx="509">
                  <c:v>-24.035051442807202</c:v>
                </c:pt>
                <c:pt idx="510">
                  <c:v>-24.138332893080737</c:v>
                </c:pt>
                <c:pt idx="511">
                  <c:v>-24.241058142462101</c:v>
                </c:pt>
                <c:pt idx="512">
                  <c:v>-24.343233805559137</c:v>
                </c:pt>
                <c:pt idx="513">
                  <c:v>-24.447269629039738</c:v>
                </c:pt>
                <c:pt idx="514">
                  <c:v>-24.550743166833406</c:v>
                </c:pt>
                <c:pt idx="515">
                  <c:v>-24.653661159068903</c:v>
                </c:pt>
                <c:pt idx="516">
                  <c:v>-24.756030231159446</c:v>
                </c:pt>
                <c:pt idx="517">
                  <c:v>-24.860208984397634</c:v>
                </c:pt>
                <c:pt idx="518">
                  <c:v>-24.963826771158793</c:v>
                </c:pt>
                <c:pt idx="519">
                  <c:v>-25.066890331877634</c:v>
                </c:pt>
                <c:pt idx="520">
                  <c:v>-25.169406292351351</c:v>
                </c:pt>
                <c:pt idx="521">
                  <c:v>-25.273740934966508</c:v>
                </c:pt>
                <c:pt idx="522">
                  <c:v>-25.377515948656558</c:v>
                </c:pt>
                <c:pt idx="523">
                  <c:v>-25.480738075317994</c:v>
                </c:pt>
                <c:pt idx="524">
                  <c:v>-25.583413942265494</c:v>
                </c:pt>
                <c:pt idx="525">
                  <c:v>-25.687916332770342</c:v>
                </c:pt>
                <c:pt idx="526">
                  <c:v>-25.79186047200238</c:v>
                </c:pt>
                <c:pt idx="527">
                  <c:v>-25.895253104179197</c:v>
                </c:pt>
                <c:pt idx="528">
                  <c:v>-25.998100858977786</c:v>
                </c:pt>
                <c:pt idx="529">
                  <c:v>-26.102781905863587</c:v>
                </c:pt>
                <c:pt idx="530">
                  <c:v>-26.206906139678697</c:v>
                </c:pt>
                <c:pt idx="531">
                  <c:v>-26.310480307550801</c:v>
                </c:pt>
                <c:pt idx="532">
                  <c:v>-26.413511042097969</c:v>
                </c:pt>
                <c:pt idx="533">
                  <c:v>-26.518434845177246</c:v>
                </c:pt>
                <c:pt idx="534">
                  <c:v>-26.622802783170382</c:v>
                </c:pt>
                <c:pt idx="535">
                  <c:v>-26.726621616825739</c:v>
                </c:pt>
                <c:pt idx="536">
                  <c:v>-26.829897992175376</c:v>
                </c:pt>
                <c:pt idx="537">
                  <c:v>-26.934964872284397</c:v>
                </c:pt>
                <c:pt idx="538">
                  <c:v>-27.039478086889154</c:v>
                </c:pt>
                <c:pt idx="539">
                  <c:v>-27.143444389494395</c:v>
                </c:pt>
                <c:pt idx="540">
                  <c:v>-27.246870419157901</c:v>
                </c:pt>
                <c:pt idx="541">
                  <c:v>-27.352196205337407</c:v>
                </c:pt>
                <c:pt idx="542">
                  <c:v>-27.456969515314942</c:v>
                </c:pt>
                <c:pt idx="543">
                  <c:v>-27.56119711578032</c:v>
                </c:pt>
                <c:pt idx="544">
                  <c:v>-27.664885658786392</c:v>
                </c:pt>
                <c:pt idx="545">
                  <c:v>-27.770424944016877</c:v>
                </c:pt>
                <c:pt idx="546">
                  <c:v>-27.875413641511656</c:v>
                </c:pt>
                <c:pt idx="547">
                  <c:v>-27.979858520497412</c:v>
                </c:pt>
                <c:pt idx="548">
                  <c:v>-28.083766235618135</c:v>
                </c:pt>
                <c:pt idx="549">
                  <c:v>-28.189527326697508</c:v>
                </c:pt>
                <c:pt idx="550">
                  <c:v>-28.294739863561695</c:v>
                </c:pt>
                <c:pt idx="551">
                  <c:v>-28.399410617525078</c:v>
                </c:pt>
                <c:pt idx="552">
                  <c:v>-28.503546245382768</c:v>
                </c:pt>
                <c:pt idx="553">
                  <c:v>-28.609585937134341</c:v>
                </c:pt>
                <c:pt idx="554">
                  <c:v>-28.715078767542515</c:v>
                </c:pt>
                <c:pt idx="555">
                  <c:v>-28.82003151866946</c:v>
                </c:pt>
                <c:pt idx="556">
                  <c:v>-28.924450857927933</c:v>
                </c:pt>
                <c:pt idx="557">
                  <c:v>-29.136552761876629</c:v>
                </c:pt>
                <c:pt idx="558">
                  <c:v>-29.346501888091218</c:v>
                </c:pt>
                <c:pt idx="559">
                  <c:v>-29.559091184475989</c:v>
                </c:pt>
                <c:pt idx="560">
                  <c:v>-29.76953809977616</c:v>
                </c:pt>
                <c:pt idx="561">
                  <c:v>-29.98281410117912</c:v>
                </c:pt>
                <c:pt idx="562">
                  <c:v>-30.193955276475663</c:v>
                </c:pt>
                <c:pt idx="563">
                  <c:v>-30.407478529195664</c:v>
                </c:pt>
                <c:pt idx="564">
                  <c:v>-30.618884411546151</c:v>
                </c:pt>
                <c:pt idx="565">
                  <c:v>-30.833477063926825</c:v>
                </c:pt>
                <c:pt idx="566">
                  <c:v>-31.045954842304543</c:v>
                </c:pt>
                <c:pt idx="567">
                  <c:v>-31.261519594007524</c:v>
                </c:pt>
                <c:pt idx="568">
                  <c:v>-31.474975354381115</c:v>
                </c:pt>
                <c:pt idx="569">
                  <c:v>-31.690582986552688</c:v>
                </c:pt>
                <c:pt idx="570">
                  <c:v>-31.90410688790644</c:v>
                </c:pt>
                <c:pt idx="571">
                  <c:v>-32.121377621169515</c:v>
                </c:pt>
                <c:pt idx="572">
                  <c:v>-32.336560183953658</c:v>
                </c:pt>
                <c:pt idx="573">
                  <c:v>-32.553756561932872</c:v>
                </c:pt>
                <c:pt idx="574">
                  <c:v>-32.768895033062108</c:v>
                </c:pt>
                <c:pt idx="575">
                  <c:v>-32.987589985389924</c:v>
                </c:pt>
                <c:pt idx="576">
                  <c:v>-33.204229117395492</c:v>
                </c:pt>
                <c:pt idx="577">
                  <c:v>-34.099814216120471</c:v>
                </c:pt>
                <c:pt idx="578">
                  <c:v>-34.963207826083384</c:v>
                </c:pt>
                <c:pt idx="579">
                  <c:v>-36.758013043778433</c:v>
                </c:pt>
                <c:pt idx="580">
                  <c:v>-38.60054070548594</c:v>
                </c:pt>
                <c:pt idx="581">
                  <c:v>-40.498842973370763</c:v>
                </c:pt>
                <c:pt idx="582">
                  <c:v>-42.466487494024314</c:v>
                </c:pt>
                <c:pt idx="583">
                  <c:v>-44.515675409405034</c:v>
                </c:pt>
                <c:pt idx="584">
                  <c:v>-46.662122861227211</c:v>
                </c:pt>
                <c:pt idx="585">
                  <c:v>-48.917973327795458</c:v>
                </c:pt>
                <c:pt idx="586">
                  <c:v>-51.294304943710323</c:v>
                </c:pt>
                <c:pt idx="587">
                  <c:v>-53.798897906449987</c:v>
                </c:pt>
                <c:pt idx="588">
                  <c:v>-56.43008598828456</c:v>
                </c:pt>
                <c:pt idx="589">
                  <c:v>-59.184571535468621</c:v>
                </c:pt>
                <c:pt idx="590">
                  <c:v>-62.05057817324564</c:v>
                </c:pt>
                <c:pt idx="591">
                  <c:v>-65.013749797110719</c:v>
                </c:pt>
                <c:pt idx="592">
                  <c:v>-68.057199494886746</c:v>
                </c:pt>
                <c:pt idx="593">
                  <c:v>-71.165274599029217</c:v>
                </c:pt>
                <c:pt idx="594">
                  <c:v>-74.32183699746264</c:v>
                </c:pt>
                <c:pt idx="595">
                  <c:v>-77.514208876344398</c:v>
                </c:pt>
                <c:pt idx="596">
                  <c:v>-80.730744452591225</c:v>
                </c:pt>
                <c:pt idx="597">
                  <c:v>-83.963425231726404</c:v>
                </c:pt>
                <c:pt idx="598">
                  <c:v>-87.204822655059914</c:v>
                </c:pt>
                <c:pt idx="599">
                  <c:v>-90.450904631764558</c:v>
                </c:pt>
                <c:pt idx="600">
                  <c:v>-93.697757544002798</c:v>
                </c:pt>
              </c:numCache>
            </c:numRef>
          </c:yVal>
          <c:smooth val="1"/>
          <c:extLst>
            <c:ext xmlns:c16="http://schemas.microsoft.com/office/drawing/2014/chart" uri="{C3380CC4-5D6E-409C-BE32-E72D297353CC}">
              <c16:uniqueId val="{00000001-417B-42DD-99BF-4436D67A6013}"/>
            </c:ext>
          </c:extLst>
        </c:ser>
        <c:ser>
          <c:idx val="2"/>
          <c:order val="2"/>
          <c:tx>
            <c:strRef>
              <c:f>'IL Stability Calculations'!$AW$12</c:f>
              <c:strCache>
                <c:ptCount val="1"/>
                <c:pt idx="0">
                  <c:v>Gain(dB)</c:v>
                </c:pt>
              </c:strCache>
            </c:strRef>
          </c:tx>
          <c:spPr>
            <a:ln w="25400">
              <a:solidFill>
                <a:srgbClr val="FF0000"/>
              </a:solidFill>
              <a:prstDash val="solid"/>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Calculations'!$AW$13:$AW$613</c:f>
              <c:numCache>
                <c:formatCode>0.0000</c:formatCode>
                <c:ptCount val="601"/>
                <c:pt idx="0">
                  <c:v>106.45210602491116</c:v>
                </c:pt>
                <c:pt idx="1">
                  <c:v>111.68736469873132</c:v>
                </c:pt>
                <c:pt idx="2">
                  <c:v>110.89860044820159</c:v>
                </c:pt>
                <c:pt idx="3">
                  <c:v>110.10674473479222</c:v>
                </c:pt>
                <c:pt idx="4">
                  <c:v>109.31255793017328</c:v>
                </c:pt>
                <c:pt idx="5">
                  <c:v>108.51487254737398</c:v>
                </c:pt>
                <c:pt idx="6">
                  <c:v>107.71489483473263</c:v>
                </c:pt>
                <c:pt idx="7">
                  <c:v>106.91209788714158</c:v>
                </c:pt>
                <c:pt idx="8">
                  <c:v>106.10699331944926</c:v>
                </c:pt>
                <c:pt idx="9">
                  <c:v>105.29882453077539</c:v>
                </c:pt>
                <c:pt idx="10">
                  <c:v>104.48783518535765</c:v>
                </c:pt>
                <c:pt idx="11">
                  <c:v>103.67361725053144</c:v>
                </c:pt>
                <c:pt idx="12">
                  <c:v>102.85537069794066</c:v>
                </c:pt>
                <c:pt idx="13">
                  <c:v>102.03344294051251</c:v>
                </c:pt>
                <c:pt idx="14">
                  <c:v>101.20667226924763</c:v>
                </c:pt>
                <c:pt idx="15">
                  <c:v>100.37480831379412</c:v>
                </c:pt>
                <c:pt idx="16">
                  <c:v>99.537170836896649</c:v>
                </c:pt>
                <c:pt idx="17">
                  <c:v>98.693239887412133</c:v>
                </c:pt>
                <c:pt idx="18">
                  <c:v>97.842132273224038</c:v>
                </c:pt>
                <c:pt idx="19">
                  <c:v>96.983479645797829</c:v>
                </c:pt>
                <c:pt idx="20">
                  <c:v>96.116604707866003</c:v>
                </c:pt>
                <c:pt idx="21">
                  <c:v>95.241326406146385</c:v>
                </c:pt>
                <c:pt idx="22">
                  <c:v>94.357310915404469</c:v>
                </c:pt>
                <c:pt idx="23">
                  <c:v>93.464903979464367</c:v>
                </c:pt>
                <c:pt idx="24">
                  <c:v>92.564331971305833</c:v>
                </c:pt>
                <c:pt idx="25">
                  <c:v>91.656547319797312</c:v>
                </c:pt>
                <c:pt idx="26">
                  <c:v>90.742517793827076</c:v>
                </c:pt>
                <c:pt idx="27">
                  <c:v>89.824051696850006</c:v>
                </c:pt>
                <c:pt idx="28">
                  <c:v>88.902902414444114</c:v>
                </c:pt>
                <c:pt idx="29">
                  <c:v>87.981600368547049</c:v>
                </c:pt>
                <c:pt idx="30">
                  <c:v>87.06059262871959</c:v>
                </c:pt>
                <c:pt idx="31">
                  <c:v>86.143091634056859</c:v>
                </c:pt>
                <c:pt idx="32">
                  <c:v>85.230200982617745</c:v>
                </c:pt>
                <c:pt idx="33">
                  <c:v>84.324003827169435</c:v>
                </c:pt>
                <c:pt idx="34">
                  <c:v>83.424884821403097</c:v>
                </c:pt>
                <c:pt idx="35">
                  <c:v>82.534064625587718</c:v>
                </c:pt>
                <c:pt idx="36">
                  <c:v>81.651758868741254</c:v>
                </c:pt>
                <c:pt idx="37">
                  <c:v>80.777534454385886</c:v>
                </c:pt>
                <c:pt idx="38">
                  <c:v>79.911997381478244</c:v>
                </c:pt>
                <c:pt idx="39">
                  <c:v>79.054020591703164</c:v>
                </c:pt>
                <c:pt idx="40">
                  <c:v>78.203363573085028</c:v>
                </c:pt>
                <c:pt idx="41">
                  <c:v>77.359298702384805</c:v>
                </c:pt>
                <c:pt idx="42">
                  <c:v>76.521246513133306</c:v>
                </c:pt>
                <c:pt idx="43">
                  <c:v>75.68825984090266</c:v>
                </c:pt>
                <c:pt idx="44">
                  <c:v>74.85987774372083</c:v>
                </c:pt>
                <c:pt idx="45">
                  <c:v>74.035284166314156</c:v>
                </c:pt>
                <c:pt idx="46">
                  <c:v>73.214039545591618</c:v>
                </c:pt>
                <c:pt idx="47">
                  <c:v>72.395406717328996</c:v>
                </c:pt>
                <c:pt idx="48">
                  <c:v>71.579071309460247</c:v>
                </c:pt>
                <c:pt idx="49">
                  <c:v>70.76434922707476</c:v>
                </c:pt>
                <c:pt idx="50">
                  <c:v>69.950924798845037</c:v>
                </c:pt>
                <c:pt idx="51">
                  <c:v>69.13819315619962</c:v>
                </c:pt>
                <c:pt idx="52">
                  <c:v>68.326015187084678</c:v>
                </c:pt>
                <c:pt idx="53">
                  <c:v>67.513969397867655</c:v>
                </c:pt>
                <c:pt idx="54">
                  <c:v>66.702168790471916</c:v>
                </c:pt>
                <c:pt idx="55">
                  <c:v>65.888835690303964</c:v>
                </c:pt>
                <c:pt idx="56">
                  <c:v>65.074676544614064</c:v>
                </c:pt>
                <c:pt idx="57">
                  <c:v>64.258672345638175</c:v>
                </c:pt>
                <c:pt idx="58">
                  <c:v>63.440887302408875</c:v>
                </c:pt>
                <c:pt idx="59">
                  <c:v>62.620107249402686</c:v>
                </c:pt>
                <c:pt idx="60">
                  <c:v>61.796127507183542</c:v>
                </c:pt>
                <c:pt idx="61">
                  <c:v>60.968056794520741</c:v>
                </c:pt>
                <c:pt idx="62">
                  <c:v>60.134558957044383</c:v>
                </c:pt>
                <c:pt idx="63">
                  <c:v>59.295398575145882</c:v>
                </c:pt>
                <c:pt idx="64">
                  <c:v>58.448706445004902</c:v>
                </c:pt>
                <c:pt idx="65">
                  <c:v>57.593416444676777</c:v>
                </c:pt>
                <c:pt idx="66">
                  <c:v>56.72785904597</c:v>
                </c:pt>
                <c:pt idx="67">
                  <c:v>55.850323713431244</c:v>
                </c:pt>
                <c:pt idx="68">
                  <c:v>54.958465682097355</c:v>
                </c:pt>
                <c:pt idx="69">
                  <c:v>54.05016783743622</c:v>
                </c:pt>
                <c:pt idx="70">
                  <c:v>53.122623685078914</c:v>
                </c:pt>
                <c:pt idx="71">
                  <c:v>52.173138304156936</c:v>
                </c:pt>
                <c:pt idx="72">
                  <c:v>51.198393625045568</c:v>
                </c:pt>
                <c:pt idx="73">
                  <c:v>50.195338815899298</c:v>
                </c:pt>
                <c:pt idx="74">
                  <c:v>49.160325858264279</c:v>
                </c:pt>
                <c:pt idx="75">
                  <c:v>48.090125081395684</c:v>
                </c:pt>
                <c:pt idx="76">
                  <c:v>46.98123508677682</c:v>
                </c:pt>
                <c:pt idx="77">
                  <c:v>45.831065101433097</c:v>
                </c:pt>
                <c:pt idx="78">
                  <c:v>44.637123441083574</c:v>
                </c:pt>
                <c:pt idx="79">
                  <c:v>43.398402634779458</c:v>
                </c:pt>
                <c:pt idx="80">
                  <c:v>42.111803485158305</c:v>
                </c:pt>
                <c:pt idx="81">
                  <c:v>40.779043272203921</c:v>
                </c:pt>
                <c:pt idx="82">
                  <c:v>39.400207615082209</c:v>
                </c:pt>
                <c:pt idx="83">
                  <c:v>37.97829766369852</c:v>
                </c:pt>
                <c:pt idx="84">
                  <c:v>36.515194197754283</c:v>
                </c:pt>
                <c:pt idx="85">
                  <c:v>35.015508320780036</c:v>
                </c:pt>
                <c:pt idx="86">
                  <c:v>33.483445900104122</c:v>
                </c:pt>
                <c:pt idx="87">
                  <c:v>31.922969948635817</c:v>
                </c:pt>
                <c:pt idx="88">
                  <c:v>30.340499861704689</c:v>
                </c:pt>
                <c:pt idx="89">
                  <c:v>28.739581683242399</c:v>
                </c:pt>
                <c:pt idx="90">
                  <c:v>27.125297957547701</c:v>
                </c:pt>
                <c:pt idx="91">
                  <c:v>25.501503675503375</c:v>
                </c:pt>
                <c:pt idx="92">
                  <c:v>23.871825521424434</c:v>
                </c:pt>
                <c:pt idx="93">
                  <c:v>22.238556252371037</c:v>
                </c:pt>
                <c:pt idx="94">
                  <c:v>21.830151519989958</c:v>
                </c:pt>
                <c:pt idx="95">
                  <c:v>21.624667073258806</c:v>
                </c:pt>
                <c:pt idx="96">
                  <c:v>21.421527589914117</c:v>
                </c:pt>
                <c:pt idx="97">
                  <c:v>21.216054074631629</c:v>
                </c:pt>
                <c:pt idx="98">
                  <c:v>21.012931274716532</c:v>
                </c:pt>
                <c:pt idx="99">
                  <c:v>20.807429204830825</c:v>
                </c:pt>
                <c:pt idx="100">
                  <c:v>20.604284130734388</c:v>
                </c:pt>
                <c:pt idx="101">
                  <c:v>20.398872456395836</c:v>
                </c:pt>
                <c:pt idx="102">
                  <c:v>20.195820981274618</c:v>
                </c:pt>
                <c:pt idx="103">
                  <c:v>19.990312479263505</c:v>
                </c:pt>
                <c:pt idx="104">
                  <c:v>19.78717130945709</c:v>
                </c:pt>
                <c:pt idx="105">
                  <c:v>19.581689071839747</c:v>
                </c:pt>
                <c:pt idx="106">
                  <c:v>19.378578146571652</c:v>
                </c:pt>
                <c:pt idx="107">
                  <c:v>19.173236720364869</c:v>
                </c:pt>
                <c:pt idx="108">
                  <c:v>18.970267624610432</c:v>
                </c:pt>
                <c:pt idx="109">
                  <c:v>18.765034469990841</c:v>
                </c:pt>
                <c:pt idx="110">
                  <c:v>18.562175088027782</c:v>
                </c:pt>
                <c:pt idx="111">
                  <c:v>18.356886916966367</c:v>
                </c:pt>
                <c:pt idx="112">
                  <c:v>18.153977414565102</c:v>
                </c:pt>
                <c:pt idx="113">
                  <c:v>17.948753187505318</c:v>
                </c:pt>
                <c:pt idx="114">
                  <c:v>17.745909497191686</c:v>
                </c:pt>
                <c:pt idx="115">
                  <c:v>17.54073027414821</c:v>
                </c:pt>
                <c:pt idx="116">
                  <c:v>17.337933614621125</c:v>
                </c:pt>
                <c:pt idx="117">
                  <c:v>17.13278440042431</c:v>
                </c:pt>
                <c:pt idx="118">
                  <c:v>16.930019858934124</c:v>
                </c:pt>
                <c:pt idx="119">
                  <c:v>16.725012892487957</c:v>
                </c:pt>
                <c:pt idx="120">
                  <c:v>16.522389861067765</c:v>
                </c:pt>
                <c:pt idx="121">
                  <c:v>16.317508561845198</c:v>
                </c:pt>
                <c:pt idx="122">
                  <c:v>16.115010602187542</c:v>
                </c:pt>
                <c:pt idx="123">
                  <c:v>15.910123914026892</c:v>
                </c:pt>
                <c:pt idx="124">
                  <c:v>15.707622776463687</c:v>
                </c:pt>
                <c:pt idx="125">
                  <c:v>15.502844181859656</c:v>
                </c:pt>
                <c:pt idx="126">
                  <c:v>15.300450509706645</c:v>
                </c:pt>
                <c:pt idx="127">
                  <c:v>15.095772840133293</c:v>
                </c:pt>
                <c:pt idx="128">
                  <c:v>14.893479429566707</c:v>
                </c:pt>
                <c:pt idx="129">
                  <c:v>14.688898217483624</c:v>
                </c:pt>
                <c:pt idx="130">
                  <c:v>14.486700515611123</c:v>
                </c:pt>
                <c:pt idx="131">
                  <c:v>14.282213765173795</c:v>
                </c:pt>
                <c:pt idx="132">
                  <c:v>14.18086731376941</c:v>
                </c:pt>
                <c:pt idx="133">
                  <c:v>14.080109645527951</c:v>
                </c:pt>
                <c:pt idx="134">
                  <c:v>13.977559703942614</c:v>
                </c:pt>
                <c:pt idx="135">
                  <c:v>13.87561271614979</c:v>
                </c:pt>
                <c:pt idx="136">
                  <c:v>13.774261701735018</c:v>
                </c:pt>
                <c:pt idx="137">
                  <c:v>13.673499798026389</c:v>
                </c:pt>
                <c:pt idx="138">
                  <c:v>13.571052508336743</c:v>
                </c:pt>
                <c:pt idx="139">
                  <c:v>13.469207230588136</c:v>
                </c:pt>
                <c:pt idx="140">
                  <c:v>13.367956989716284</c:v>
                </c:pt>
                <c:pt idx="141">
                  <c:v>13.267294928624871</c:v>
                </c:pt>
                <c:pt idx="142">
                  <c:v>13.164848054617359</c:v>
                </c:pt>
                <c:pt idx="143">
                  <c:v>13.063003411669694</c:v>
                </c:pt>
                <c:pt idx="144">
                  <c:v>12.961754010818659</c:v>
                </c:pt>
                <c:pt idx="145">
                  <c:v>12.861092981704354</c:v>
                </c:pt>
                <c:pt idx="146">
                  <c:v>12.758702157527321</c:v>
                </c:pt>
                <c:pt idx="147">
                  <c:v>12.656913096844946</c:v>
                </c:pt>
                <c:pt idx="148">
                  <c:v>12.555718809523482</c:v>
                </c:pt>
                <c:pt idx="149">
                  <c:v>12.455112424361179</c:v>
                </c:pt>
                <c:pt idx="150">
                  <c:v>12.352781284826733</c:v>
                </c:pt>
                <c:pt idx="151">
                  <c:v>12.251051366458999</c:v>
                </c:pt>
                <c:pt idx="152">
                  <c:v>12.149915680035212</c:v>
                </c:pt>
                <c:pt idx="153">
                  <c:v>12.04936735552474</c:v>
                </c:pt>
                <c:pt idx="154">
                  <c:v>11.947053291076923</c:v>
                </c:pt>
                <c:pt idx="155">
                  <c:v>11.845340374840124</c:v>
                </c:pt>
                <c:pt idx="156">
                  <c:v>11.744221611069836</c:v>
                </c:pt>
                <c:pt idx="157">
                  <c:v>11.643690123623692</c:v>
                </c:pt>
                <c:pt idx="158">
                  <c:v>11.541401312242957</c:v>
                </c:pt>
                <c:pt idx="159">
                  <c:v>11.439713452608588</c:v>
                </c:pt>
                <c:pt idx="160">
                  <c:v>11.338619545281706</c:v>
                </c:pt>
                <c:pt idx="161">
                  <c:v>11.238112710752631</c:v>
                </c:pt>
                <c:pt idx="162">
                  <c:v>11.135902486537292</c:v>
                </c:pt>
                <c:pt idx="163">
                  <c:v>11.034292367345301</c:v>
                </c:pt>
                <c:pt idx="164">
                  <c:v>10.933275362015246</c:v>
                </c:pt>
                <c:pt idx="165">
                  <c:v>10.832844599351628</c:v>
                </c:pt>
                <c:pt idx="166">
                  <c:v>10.730631253531037</c:v>
                </c:pt>
                <c:pt idx="167">
                  <c:v>10.629018099204524</c:v>
                </c:pt>
                <c:pt idx="168">
                  <c:v>10.527998137826337</c:v>
                </c:pt>
                <c:pt idx="169">
                  <c:v>10.427564491193781</c:v>
                </c:pt>
                <c:pt idx="170">
                  <c:v>10.325573909620495</c:v>
                </c:pt>
                <c:pt idx="171">
                  <c:v>10.224180941811172</c:v>
                </c:pt>
                <c:pt idx="172">
                  <c:v>10.123378628837687</c:v>
                </c:pt>
                <c:pt idx="173">
                  <c:v>10.023160131400392</c:v>
                </c:pt>
                <c:pt idx="174">
                  <c:v>9.9210141587529055</c:v>
                </c:pt>
                <c:pt idx="175">
                  <c:v>9.8194676247345853</c:v>
                </c:pt>
                <c:pt idx="176">
                  <c:v>9.7185135338113717</c:v>
                </c:pt>
                <c:pt idx="177">
                  <c:v>9.6181450110914675</c:v>
                </c:pt>
                <c:pt idx="178">
                  <c:v>9.5159086890717397</c:v>
                </c:pt>
                <c:pt idx="179">
                  <c:v>9.414272852607585</c:v>
                </c:pt>
                <c:pt idx="180">
                  <c:v>9.3132304835415187</c:v>
                </c:pt>
                <c:pt idx="181">
                  <c:v>9.2127746850398857</c:v>
                </c:pt>
                <c:pt idx="182">
                  <c:v>9.110907026658662</c:v>
                </c:pt>
                <c:pt idx="183">
                  <c:v>9.0096355156802321</c:v>
                </c:pt>
                <c:pt idx="184">
                  <c:v>8.9089532057862346</c:v>
                </c:pt>
                <c:pt idx="185">
                  <c:v>8.8088532704806841</c:v>
                </c:pt>
                <c:pt idx="186">
                  <c:v>8.7066050166680622</c:v>
                </c:pt>
                <c:pt idx="187">
                  <c:v>8.6049573161868249</c:v>
                </c:pt>
                <c:pt idx="188">
                  <c:v>8.5039031423075677</c:v>
                </c:pt>
                <c:pt idx="189">
                  <c:v>8.4034355901079145</c:v>
                </c:pt>
                <c:pt idx="190">
                  <c:v>8.3016472141129753</c:v>
                </c:pt>
                <c:pt idx="191">
                  <c:v>8.2004539590498098</c:v>
                </c:pt>
                <c:pt idx="192">
                  <c:v>8.0998488899672445</c:v>
                </c:pt>
                <c:pt idx="193">
                  <c:v>7.9998251917319134</c:v>
                </c:pt>
                <c:pt idx="194">
                  <c:v>7.8977765590888236</c:v>
                </c:pt>
                <c:pt idx="195">
                  <c:v>7.7963260139603276</c:v>
                </c:pt>
                <c:pt idx="196">
                  <c:v>7.695466566880417</c:v>
                </c:pt>
                <c:pt idx="197">
                  <c:v>7.5951913495674797</c:v>
                </c:pt>
                <c:pt idx="198">
                  <c:v>7.4933168610216825</c:v>
                </c:pt>
                <c:pt idx="199">
                  <c:v>7.3920383426066074</c:v>
                </c:pt>
                <c:pt idx="200">
                  <c:v>7.2913488394093804</c:v>
                </c:pt>
                <c:pt idx="201">
                  <c:v>7.1912415170061292</c:v>
                </c:pt>
                <c:pt idx="202">
                  <c:v>7.0895830821064312</c:v>
                </c:pt>
                <c:pt idx="203">
                  <c:v>6.9885180048806674</c:v>
                </c:pt>
                <c:pt idx="204">
                  <c:v>6.8880393738444248</c:v>
                </c:pt>
                <c:pt idx="205">
                  <c:v>6.7881403970923548</c:v>
                </c:pt>
                <c:pt idx="206">
                  <c:v>6.6863904715593412</c:v>
                </c:pt>
                <c:pt idx="207">
                  <c:v>6.5852348639420928</c:v>
                </c:pt>
                <c:pt idx="208">
                  <c:v>6.4846666441550225</c:v>
                </c:pt>
                <c:pt idx="209">
                  <c:v>6.3846790022016435</c:v>
                </c:pt>
                <c:pt idx="210">
                  <c:v>6.2825588625703199</c:v>
                </c:pt>
                <c:pt idx="211">
                  <c:v>6.1810372449931803</c:v>
                </c:pt>
                <c:pt idx="212">
                  <c:v>6.0801071442843231</c:v>
                </c:pt>
                <c:pt idx="213">
                  <c:v>5.9797616771544506</c:v>
                </c:pt>
                <c:pt idx="214">
                  <c:v>5.8780111851458861</c:v>
                </c:pt>
                <c:pt idx="215">
                  <c:v>5.7768547784095068</c:v>
                </c:pt>
                <c:pt idx="216">
                  <c:v>5.6762855278580515</c:v>
                </c:pt>
                <c:pt idx="217">
                  <c:v>5.5762966246077861</c:v>
                </c:pt>
                <c:pt idx="218">
                  <c:v>5.4746212173047351</c:v>
                </c:pt>
                <c:pt idx="219">
                  <c:v>5.3735388892971727</c:v>
                </c:pt>
                <c:pt idx="220">
                  <c:v>5.2730427278104708</c:v>
                </c:pt>
                <c:pt idx="221">
                  <c:v>5.1731259399543532</c:v>
                </c:pt>
                <c:pt idx="222">
                  <c:v>5.0715736480884583</c:v>
                </c:pt>
                <c:pt idx="223">
                  <c:v>4.9706128648663599</c:v>
                </c:pt>
                <c:pt idx="224">
                  <c:v>4.8702367038198568</c:v>
                </c:pt>
                <c:pt idx="225">
                  <c:v>4.7704383978104348</c:v>
                </c:pt>
                <c:pt idx="226">
                  <c:v>4.6687455853471693</c:v>
                </c:pt>
                <c:pt idx="227">
                  <c:v>4.5676457678214311</c:v>
                </c:pt>
                <c:pt idx="228">
                  <c:v>4.4671320319585046</c:v>
                </c:pt>
                <c:pt idx="229">
                  <c:v>4.3671975844748507</c:v>
                </c:pt>
                <c:pt idx="230">
                  <c:v>4.1642496276169174</c:v>
                </c:pt>
                <c:pt idx="231">
                  <c:v>4.0636593446096034</c:v>
                </c:pt>
                <c:pt idx="232">
                  <c:v>3.9636490759697383</c:v>
                </c:pt>
                <c:pt idx="233">
                  <c:v>3.8618585239970731</c:v>
                </c:pt>
                <c:pt idx="234">
                  <c:v>3.7606617885541764</c:v>
                </c:pt>
                <c:pt idx="235">
                  <c:v>3.6600519405851233</c:v>
                </c:pt>
                <c:pt idx="236">
                  <c:v>3.5600221714624478</c:v>
                </c:pt>
                <c:pt idx="237">
                  <c:v>3.4585537236296542</c:v>
                </c:pt>
                <c:pt idx="238">
                  <c:v>3.3576751848100743</c:v>
                </c:pt>
                <c:pt idx="239">
                  <c:v>3.2573796934674486</c:v>
                </c:pt>
                <c:pt idx="240">
                  <c:v>3.1576605069641999</c:v>
                </c:pt>
                <c:pt idx="241">
                  <c:v>3.0559833373164897</c:v>
                </c:pt>
                <c:pt idx="242">
                  <c:v>2.954898326391719</c:v>
                </c:pt>
                <c:pt idx="243">
                  <c:v>2.8543985729971806</c:v>
                </c:pt>
                <c:pt idx="244">
                  <c:v>2.7544772957762209</c:v>
                </c:pt>
                <c:pt idx="245">
                  <c:v>2.6529326063140735</c:v>
                </c:pt>
                <c:pt idx="246">
                  <c:v>2.5519783597649406</c:v>
                </c:pt>
                <c:pt idx="247">
                  <c:v>2.4516076844101002</c:v>
                </c:pt>
                <c:pt idx="248">
                  <c:v>2.3518138277065601</c:v>
                </c:pt>
                <c:pt idx="249">
                  <c:v>2.2501771317673289</c:v>
                </c:pt>
                <c:pt idx="250">
                  <c:v>2.1491317620047163</c:v>
                </c:pt>
                <c:pt idx="251">
                  <c:v>2.0486708309624473</c:v>
                </c:pt>
                <c:pt idx="252">
                  <c:v>1.9487875707402169</c:v>
                </c:pt>
                <c:pt idx="253">
                  <c:v>1.8473796065162285</c:v>
                </c:pt>
                <c:pt idx="254">
                  <c:v>1.7465601287708798</c:v>
                </c:pt>
                <c:pt idx="255">
                  <c:v>1.646322299148113</c:v>
                </c:pt>
                <c:pt idx="256">
                  <c:v>1.5466593977282912</c:v>
                </c:pt>
                <c:pt idx="257">
                  <c:v>1.4450050972115014</c:v>
                </c:pt>
                <c:pt idx="258">
                  <c:v>1.3439419422435626</c:v>
                </c:pt>
                <c:pt idx="259">
                  <c:v>1.2434630479231621</c:v>
                </c:pt>
                <c:pt idx="260">
                  <c:v>1.1435616488685107</c:v>
                </c:pt>
                <c:pt idx="261">
                  <c:v>1.041980166816433</c:v>
                </c:pt>
                <c:pt idx="262">
                  <c:v>0.94098878541421527</c:v>
                </c:pt>
                <c:pt idx="263">
                  <c:v>0.84058063769748848</c:v>
                </c:pt>
                <c:pt idx="264">
                  <c:v>0.74074897581311028</c:v>
                </c:pt>
                <c:pt idx="265">
                  <c:v>0.6392877726467312</c:v>
                </c:pt>
                <c:pt idx="266">
                  <c:v>0.5384150718574463</c:v>
                </c:pt>
                <c:pt idx="267">
                  <c:v>0.4381240340362757</c:v>
                </c:pt>
                <c:pt idx="268">
                  <c:v>0.33840793825411936</c:v>
                </c:pt>
                <c:pt idx="269">
                  <c:v>0.23687228130082341</c:v>
                </c:pt>
                <c:pt idx="270">
                  <c:v>0.1359257766731056</c:v>
                </c:pt>
                <c:pt idx="271">
                  <c:v>3.5561573419435152E-2</c:v>
                </c:pt>
                <c:pt idx="272">
                  <c:v>-6.4227060663015589E-2</c:v>
                </c:pt>
                <c:pt idx="273">
                  <c:v>-0.16578001415141877</c:v>
                </c:pt>
                <c:pt idx="274">
                  <c:v>-0.26674383274748725</c:v>
                </c:pt>
                <c:pt idx="275">
                  <c:v>-0.36712536734741852</c:v>
                </c:pt>
                <c:pt idx="276">
                  <c:v>-0.46693135009992554</c:v>
                </c:pt>
                <c:pt idx="277">
                  <c:v>-0.56822033336629163</c:v>
                </c:pt>
                <c:pt idx="278">
                  <c:v>-0.66892345396445518</c:v>
                </c:pt>
                <c:pt idx="279">
                  <c:v>-0.76904750621722018</c:v>
                </c:pt>
                <c:pt idx="280">
                  <c:v>-0.86859916700296924</c:v>
                </c:pt>
                <c:pt idx="281">
                  <c:v>-0.97025851991019663</c:v>
                </c:pt>
                <c:pt idx="282">
                  <c:v>-1.0713279602022461</c:v>
                </c:pt>
                <c:pt idx="283">
                  <c:v>-1.1718143528534906</c:v>
                </c:pt>
                <c:pt idx="284">
                  <c:v>-1.2717244437717423</c:v>
                </c:pt>
                <c:pt idx="285">
                  <c:v>-1.3730241367201625</c:v>
                </c:pt>
                <c:pt idx="286">
                  <c:v>-1.47373830685671</c:v>
                </c:pt>
                <c:pt idx="287">
                  <c:v>-1.5738737432033154</c:v>
                </c:pt>
                <c:pt idx="288">
                  <c:v>-1.6734371174679354</c:v>
                </c:pt>
                <c:pt idx="289">
                  <c:v>-1.7749878327492135</c:v>
                </c:pt>
                <c:pt idx="290">
                  <c:v>-1.8759503706564842</c:v>
                </c:pt>
                <c:pt idx="291">
                  <c:v>-1.9763315666484558</c:v>
                </c:pt>
                <c:pt idx="292">
                  <c:v>-2.0761381378078276</c:v>
                </c:pt>
                <c:pt idx="293">
                  <c:v>-2.1776633503203353</c:v>
                </c:pt>
                <c:pt idx="294">
                  <c:v>-2.2786009297846408</c:v>
                </c:pt>
                <c:pt idx="295">
                  <c:v>-2.3789577025941293</c:v>
                </c:pt>
                <c:pt idx="296">
                  <c:v>-2.4787403769825329</c:v>
                </c:pt>
                <c:pt idx="297">
                  <c:v>-2.5801900421392547</c:v>
                </c:pt>
                <c:pt idx="298">
                  <c:v>-2.6810532026076936</c:v>
                </c:pt>
                <c:pt idx="299">
                  <c:v>-2.7813366656284275</c:v>
                </c:pt>
                <c:pt idx="300">
                  <c:v>-2.8810471207308508</c:v>
                </c:pt>
                <c:pt idx="301">
                  <c:v>-2.9823747260266331</c:v>
                </c:pt>
                <c:pt idx="302">
                  <c:v>-3.0831174965417221</c:v>
                </c:pt>
                <c:pt idx="303">
                  <c:v>-3.1832822110453254</c:v>
                </c:pt>
                <c:pt idx="304">
                  <c:v>-3.2828755312583575</c:v>
                </c:pt>
                <c:pt idx="305">
                  <c:v>-3.3844258787242021</c:v>
                </c:pt>
                <c:pt idx="306">
                  <c:v>-3.4853890974926665</c:v>
                </c:pt>
                <c:pt idx="307">
                  <c:v>-3.5857720067005312</c:v>
                </c:pt>
                <c:pt idx="308">
                  <c:v>-3.6855813075181736</c:v>
                </c:pt>
                <c:pt idx="309">
                  <c:v>-3.7869088450796493</c:v>
                </c:pt>
                <c:pt idx="310">
                  <c:v>-3.8876521004195514</c:v>
                </c:pt>
                <c:pt idx="311">
                  <c:v>-3.9878178439129224</c:v>
                </c:pt>
                <c:pt idx="312">
                  <c:v>-4.0874127290998201</c:v>
                </c:pt>
                <c:pt idx="313">
                  <c:v>-4.1888516796469011</c:v>
                </c:pt>
                <c:pt idx="314">
                  <c:v>-4.2897053556120994</c:v>
                </c:pt>
                <c:pt idx="315">
                  <c:v>-4.3899805452766332</c:v>
                </c:pt>
                <c:pt idx="316">
                  <c:v>-4.4896839196864589</c:v>
                </c:pt>
                <c:pt idx="317">
                  <c:v>-4.5911756303820841</c:v>
                </c:pt>
                <c:pt idx="318">
                  <c:v>-4.6920817588579746</c:v>
                </c:pt>
                <c:pt idx="319">
                  <c:v>-4.792409099514046</c:v>
                </c:pt>
                <c:pt idx="320">
                  <c:v>-4.8921643293853103</c:v>
                </c:pt>
                <c:pt idx="321">
                  <c:v>-4.9936540705097157</c:v>
                </c:pt>
                <c:pt idx="322">
                  <c:v>-5.094558561809639</c:v>
                </c:pt>
                <c:pt idx="323">
                  <c:v>-5.1948845927834517</c:v>
                </c:pt>
                <c:pt idx="324">
                  <c:v>-5.2946388356890681</c:v>
                </c:pt>
                <c:pt idx="325">
                  <c:v>-5.3960756256399476</c:v>
                </c:pt>
                <c:pt idx="326">
                  <c:v>-5.4969280945112509</c:v>
                </c:pt>
                <c:pt idx="327">
                  <c:v>-5.5972030166473257</c:v>
                </c:pt>
                <c:pt idx="328">
                  <c:v>-5.696907049512153</c:v>
                </c:pt>
                <c:pt idx="329">
                  <c:v>-5.7984124489883886</c:v>
                </c:pt>
                <c:pt idx="330">
                  <c:v>-5.8993330704892841</c:v>
                </c:pt>
                <c:pt idx="331">
                  <c:v>-5.9996756973352197</c:v>
                </c:pt>
                <c:pt idx="332">
                  <c:v>-6.0994469957728095</c:v>
                </c:pt>
                <c:pt idx="333">
                  <c:v>-6.2008003674189203</c:v>
                </c:pt>
                <c:pt idx="334">
                  <c:v>-6.3015710488334866</c:v>
                </c:pt>
                <c:pt idx="335">
                  <c:v>-6.4017657882957373</c:v>
                </c:pt>
                <c:pt idx="336">
                  <c:v>-6.5013912178281483</c:v>
                </c:pt>
                <c:pt idx="337">
                  <c:v>-6.6028748502041559</c:v>
                </c:pt>
                <c:pt idx="338">
                  <c:v>-6.703774653437959</c:v>
                </c:pt>
                <c:pt idx="339">
                  <c:v>-6.804097396805485</c:v>
                </c:pt>
                <c:pt idx="340">
                  <c:v>-6.903849732856723</c:v>
                </c:pt>
                <c:pt idx="341">
                  <c:v>-7.0054042770516567</c:v>
                </c:pt>
                <c:pt idx="342">
                  <c:v>-7.1063745478988762</c:v>
                </c:pt>
                <c:pt idx="343">
                  <c:v>-7.2067673237551517</c:v>
                </c:pt>
                <c:pt idx="344">
                  <c:v>-7.3065892660563572</c:v>
                </c:pt>
                <c:pt idx="345">
                  <c:v>-7.4080051808628147</c:v>
                </c:pt>
                <c:pt idx="346">
                  <c:v>-7.5088387944635659</c:v>
                </c:pt>
                <c:pt idx="347">
                  <c:v>-7.60909685251307</c:v>
                </c:pt>
                <c:pt idx="348">
                  <c:v>-7.7087859845078874</c:v>
                </c:pt>
                <c:pt idx="349">
                  <c:v>-7.8103234596428361</c:v>
                </c:pt>
                <c:pt idx="350">
                  <c:v>-7.9112776388692581</c:v>
                </c:pt>
                <c:pt idx="351">
                  <c:v>-8.0116552867025455</c:v>
                </c:pt>
                <c:pt idx="352">
                  <c:v>-8.1114630510820067</c:v>
                </c:pt>
                <c:pt idx="353">
                  <c:v>-8.213063615106881</c:v>
                </c:pt>
                <c:pt idx="354">
                  <c:v>-8.314080574813044</c:v>
                </c:pt>
                <c:pt idx="355">
                  <c:v>-8.4145207018216013</c:v>
                </c:pt>
                <c:pt idx="356">
                  <c:v>-8.514390651028636</c:v>
                </c:pt>
                <c:pt idx="357">
                  <c:v>-8.615855842035284</c:v>
                </c:pt>
                <c:pt idx="358">
                  <c:v>-8.7167394084175527</c:v>
                </c:pt>
                <c:pt idx="359">
                  <c:v>-8.8170480893566303</c:v>
                </c:pt>
                <c:pt idx="360">
                  <c:v>-8.916788508064494</c:v>
                </c:pt>
                <c:pt idx="361">
                  <c:v>-9.0183586178345703</c:v>
                </c:pt>
                <c:pt idx="362">
                  <c:v>-9.1193463509100461</c:v>
                </c:pt>
                <c:pt idx="363">
                  <c:v>-9.2197584615462098</c:v>
                </c:pt>
                <c:pt idx="364">
                  <c:v>-9.3196015876990277</c:v>
                </c:pt>
                <c:pt idx="365">
                  <c:v>-9.4210821515743106</c:v>
                </c:pt>
                <c:pt idx="366">
                  <c:v>-9.5219818279478758</c:v>
                </c:pt>
                <c:pt idx="367">
                  <c:v>-9.6223073474445417</c:v>
                </c:pt>
                <c:pt idx="368">
                  <c:v>-9.7220653249447277</c:v>
                </c:pt>
                <c:pt idx="369">
                  <c:v>-9.8236813002014962</c:v>
                </c:pt>
                <c:pt idx="370">
                  <c:v>-9.9247153273115778</c:v>
                </c:pt>
                <c:pt idx="371">
                  <c:v>-10.025174157643246</c:v>
                </c:pt>
                <c:pt idx="372">
                  <c:v>-10.125064426359673</c:v>
                </c:pt>
                <c:pt idx="373">
                  <c:v>-10.226625722126347</c:v>
                </c:pt>
                <c:pt idx="374">
                  <c:v>-10.327606200560112</c:v>
                </c:pt>
                <c:pt idx="375">
                  <c:v>-10.428012595937336</c:v>
                </c:pt>
                <c:pt idx="376">
                  <c:v>-10.527851526735041</c:v>
                </c:pt>
                <c:pt idx="377">
                  <c:v>-10.629569009562152</c:v>
                </c:pt>
                <c:pt idx="378">
                  <c:v>-10.730704421992833</c:v>
                </c:pt>
                <c:pt idx="379">
                  <c:v>-10.831264522755269</c:v>
                </c:pt>
                <c:pt idx="380">
                  <c:v>-10.931255954233428</c:v>
                </c:pt>
                <c:pt idx="381">
                  <c:v>-11.032818732004589</c:v>
                </c:pt>
                <c:pt idx="382">
                  <c:v>-11.133801754700453</c:v>
                </c:pt>
                <c:pt idx="383">
                  <c:v>-11.234211743764543</c:v>
                </c:pt>
                <c:pt idx="384">
                  <c:v>-11.334055305164206</c:v>
                </c:pt>
                <c:pt idx="385">
                  <c:v>-11.435792437293362</c:v>
                </c:pt>
                <c:pt idx="386">
                  <c:v>-11.536948404425758</c:v>
                </c:pt>
                <c:pt idx="387">
                  <c:v>-11.637529955563279</c:v>
                </c:pt>
                <c:pt idx="388">
                  <c:v>-11.737543723616955</c:v>
                </c:pt>
                <c:pt idx="389">
                  <c:v>-11.839274565726223</c:v>
                </c:pt>
                <c:pt idx="390">
                  <c:v>-11.940424917104425</c:v>
                </c:pt>
                <c:pt idx="391">
                  <c:v>-12.041001518351703</c:v>
                </c:pt>
                <c:pt idx="392">
                  <c:v>-12.141010994184256</c:v>
                </c:pt>
                <c:pt idx="393">
                  <c:v>-12.242686954214674</c:v>
                </c:pt>
                <c:pt idx="394">
                  <c:v>-12.343783676392084</c:v>
                </c:pt>
                <c:pt idx="395">
                  <c:v>-12.444307883085697</c:v>
                </c:pt>
                <c:pt idx="396">
                  <c:v>-12.544266181213448</c:v>
                </c:pt>
                <c:pt idx="397">
                  <c:v>-12.646071315306164</c:v>
                </c:pt>
                <c:pt idx="398">
                  <c:v>-12.747296401185572</c:v>
                </c:pt>
                <c:pt idx="399">
                  <c:v>-12.847948179051853</c:v>
                </c:pt>
                <c:pt idx="400">
                  <c:v>-12.948033273263269</c:v>
                </c:pt>
                <c:pt idx="401">
                  <c:v>-13.049798392010638</c:v>
                </c:pt>
                <c:pt idx="402">
                  <c:v>-13.150984604956545</c:v>
                </c:pt>
                <c:pt idx="403">
                  <c:v>-13.251598636456158</c:v>
                </c:pt>
                <c:pt idx="404">
                  <c:v>-13.351647095401235</c:v>
                </c:pt>
                <c:pt idx="405">
                  <c:v>-13.453435944873625</c:v>
                </c:pt>
                <c:pt idx="406">
                  <c:v>-13.554646338448567</c:v>
                </c:pt>
                <c:pt idx="407">
                  <c:v>-13.655284996922488</c:v>
                </c:pt>
                <c:pt idx="408">
                  <c:v>-13.755358525727726</c:v>
                </c:pt>
                <c:pt idx="409">
                  <c:v>-13.857228418061286</c:v>
                </c:pt>
                <c:pt idx="410">
                  <c:v>-13.958519689084767</c:v>
                </c:pt>
                <c:pt idx="411">
                  <c:v>-14.05923906700647</c:v>
                </c:pt>
                <c:pt idx="412">
                  <c:v>-14.159393164519363</c:v>
                </c:pt>
                <c:pt idx="413">
                  <c:v>-14.261290753924802</c:v>
                </c:pt>
                <c:pt idx="414">
                  <c:v>-14.362610197245615</c:v>
                </c:pt>
                <c:pt idx="415">
                  <c:v>-14.463358219255188</c:v>
                </c:pt>
                <c:pt idx="416">
                  <c:v>-14.563541429307719</c:v>
                </c:pt>
                <c:pt idx="417">
                  <c:v>-14.665519414383423</c:v>
                </c:pt>
                <c:pt idx="418">
                  <c:v>-14.766919170427695</c:v>
                </c:pt>
                <c:pt idx="419">
                  <c:v>-14.867747428798774</c:v>
                </c:pt>
                <c:pt idx="420">
                  <c:v>-14.968010805304788</c:v>
                </c:pt>
                <c:pt idx="421">
                  <c:v>-15.069916286221396</c:v>
                </c:pt>
                <c:pt idx="422">
                  <c:v>-15.17124522241393</c:v>
                </c:pt>
                <c:pt idx="423">
                  <c:v>-15.272004321384316</c:v>
                </c:pt>
                <c:pt idx="424">
                  <c:v>-15.372200175649262</c:v>
                </c:pt>
                <c:pt idx="425">
                  <c:v>-15.474284050522426</c:v>
                </c:pt>
                <c:pt idx="426">
                  <c:v>-15.575790274250554</c:v>
                </c:pt>
                <c:pt idx="427">
                  <c:v>-15.676725579410499</c:v>
                </c:pt>
                <c:pt idx="428">
                  <c:v>-15.777096583043527</c:v>
                </c:pt>
                <c:pt idx="429">
                  <c:v>-15.87920443118681</c:v>
                </c:pt>
                <c:pt idx="430">
                  <c:v>-15.980735310210108</c:v>
                </c:pt>
                <c:pt idx="431">
                  <c:v>-16.081695946985437</c:v>
                </c:pt>
                <c:pt idx="432">
                  <c:v>-16.182092953001487</c:v>
                </c:pt>
                <c:pt idx="433">
                  <c:v>-16.284176370466856</c:v>
                </c:pt>
                <c:pt idx="434">
                  <c:v>-16.385684091309216</c:v>
                </c:pt>
                <c:pt idx="435">
                  <c:v>-16.486622826776014</c:v>
                </c:pt>
                <c:pt idx="436">
                  <c:v>-16.5869991731102</c:v>
                </c:pt>
                <c:pt idx="437">
                  <c:v>-16.68919609684438</c:v>
                </c:pt>
                <c:pt idx="438">
                  <c:v>-16.790817093528702</c:v>
                </c:pt>
                <c:pt idx="439">
                  <c:v>-16.891868885402346</c:v>
                </c:pt>
                <c:pt idx="440">
                  <c:v>-16.992358079474471</c:v>
                </c:pt>
                <c:pt idx="441">
                  <c:v>-17.09461486517786</c:v>
                </c:pt>
                <c:pt idx="442">
                  <c:v>-17.196296149905937</c:v>
                </c:pt>
                <c:pt idx="443">
                  <c:v>-17.297408655875234</c:v>
                </c:pt>
                <c:pt idx="444">
                  <c:v>-17.397958990100161</c:v>
                </c:pt>
                <c:pt idx="445">
                  <c:v>-17.500225803142641</c:v>
                </c:pt>
                <c:pt idx="446">
                  <c:v>-17.601918154990429</c:v>
                </c:pt>
                <c:pt idx="447">
                  <c:v>-17.703042757570657</c:v>
                </c:pt>
                <c:pt idx="448">
                  <c:v>-17.803606207869517</c:v>
                </c:pt>
                <c:pt idx="449">
                  <c:v>-17.9060077550443</c:v>
                </c:pt>
                <c:pt idx="450">
                  <c:v>-18.007834541842602</c:v>
                </c:pt>
                <c:pt idx="451">
                  <c:v>-18.109093293797468</c:v>
                </c:pt>
                <c:pt idx="452">
                  <c:v>-18.209790621220602</c:v>
                </c:pt>
                <c:pt idx="453">
                  <c:v>-18.312189292737692</c:v>
                </c:pt>
                <c:pt idx="454">
                  <c:v>-18.414014506717635</c:v>
                </c:pt>
                <c:pt idx="455">
                  <c:v>-18.515272974791706</c:v>
                </c:pt>
                <c:pt idx="456">
                  <c:v>-18.61597129371798</c:v>
                </c:pt>
                <c:pt idx="457">
                  <c:v>-18.718485866500568</c:v>
                </c:pt>
                <c:pt idx="458">
                  <c:v>-18.820427021794849</c:v>
                </c:pt>
                <c:pt idx="459">
                  <c:v>-18.921801479986346</c:v>
                </c:pt>
                <c:pt idx="460">
                  <c:v>-19.022615846420326</c:v>
                </c:pt>
                <c:pt idx="461">
                  <c:v>-19.125194290380247</c:v>
                </c:pt>
                <c:pt idx="462">
                  <c:v>-19.227200007102724</c:v>
                </c:pt>
                <c:pt idx="463">
                  <c:v>-19.328639714926435</c:v>
                </c:pt>
                <c:pt idx="464">
                  <c:v>-19.42952001723209</c:v>
                </c:pt>
                <c:pt idx="465">
                  <c:v>-19.532192248715777</c:v>
                </c:pt>
                <c:pt idx="466">
                  <c:v>-19.634292182847048</c:v>
                </c:pt>
                <c:pt idx="467">
                  <c:v>-19.735826541110775</c:v>
                </c:pt>
                <c:pt idx="468">
                  <c:v>-19.836801930000075</c:v>
                </c:pt>
                <c:pt idx="469">
                  <c:v>-19.939518184721187</c:v>
                </c:pt>
                <c:pt idx="470">
                  <c:v>-20.041663201498523</c:v>
                </c:pt>
                <c:pt idx="471">
                  <c:v>-20.143243694565001</c:v>
                </c:pt>
                <c:pt idx="472">
                  <c:v>-20.244266263366526</c:v>
                </c:pt>
                <c:pt idx="473">
                  <c:v>-20.347130017041792</c:v>
                </c:pt>
                <c:pt idx="474">
                  <c:v>-20.449422525658207</c:v>
                </c:pt>
                <c:pt idx="475">
                  <c:v>-20.551150515661249</c:v>
                </c:pt>
                <c:pt idx="476">
                  <c:v>-20.652320598474205</c:v>
                </c:pt>
                <c:pt idx="477">
                  <c:v>-20.755279535602462</c:v>
                </c:pt>
                <c:pt idx="478">
                  <c:v>-20.857667887864679</c:v>
                </c:pt>
                <c:pt idx="479">
                  <c:v>-20.959492382943381</c:v>
                </c:pt>
                <c:pt idx="480">
                  <c:v>-21.060759633516128</c:v>
                </c:pt>
                <c:pt idx="481">
                  <c:v>-21.163765303876989</c:v>
                </c:pt>
                <c:pt idx="482">
                  <c:v>-21.266201674461986</c:v>
                </c:pt>
                <c:pt idx="483">
                  <c:v>-21.368075463960139</c:v>
                </c:pt>
                <c:pt idx="484">
                  <c:v>-21.469393276309404</c:v>
                </c:pt>
                <c:pt idx="485">
                  <c:v>-21.572470901964607</c:v>
                </c:pt>
                <c:pt idx="486">
                  <c:v>-21.674980327802306</c:v>
                </c:pt>
                <c:pt idx="487">
                  <c:v>-21.776928267614124</c:v>
                </c:pt>
                <c:pt idx="488">
                  <c:v>-21.878321320602613</c:v>
                </c:pt>
                <c:pt idx="489">
                  <c:v>-21.981562035680358</c:v>
                </c:pt>
                <c:pt idx="490">
                  <c:v>-22.084234750558306</c:v>
                </c:pt>
                <c:pt idx="491">
                  <c:v>-22.186346190959139</c:v>
                </c:pt>
                <c:pt idx="492">
                  <c:v>-22.287902967801962</c:v>
                </c:pt>
                <c:pt idx="493">
                  <c:v>-22.391255704000695</c:v>
                </c:pt>
                <c:pt idx="494">
                  <c:v>-22.494041309311132</c:v>
                </c:pt>
                <c:pt idx="495">
                  <c:v>-22.596266510520465</c:v>
                </c:pt>
                <c:pt idx="496">
                  <c:v>-22.697937919646961</c:v>
                </c:pt>
                <c:pt idx="497">
                  <c:v>-22.801421013959725</c:v>
                </c:pt>
                <c:pt idx="498">
                  <c:v>-22.904337759723319</c:v>
                </c:pt>
                <c:pt idx="499">
                  <c:v>-23.006694887366997</c:v>
                </c:pt>
                <c:pt idx="500">
                  <c:v>-23.108499012531777</c:v>
                </c:pt>
                <c:pt idx="501">
                  <c:v>-23.212128871328915</c:v>
                </c:pt>
                <c:pt idx="502">
                  <c:v>-23.315193106032375</c:v>
                </c:pt>
                <c:pt idx="503">
                  <c:v>-23.417698452855568</c:v>
                </c:pt>
                <c:pt idx="504">
                  <c:v>-23.519651533159273</c:v>
                </c:pt>
                <c:pt idx="505">
                  <c:v>-23.623380087263527</c:v>
                </c:pt>
                <c:pt idx="506">
                  <c:v>-23.726544391573213</c:v>
                </c:pt>
                <c:pt idx="507">
                  <c:v>-23.829151177677026</c:v>
                </c:pt>
                <c:pt idx="508">
                  <c:v>-23.931207062487548</c:v>
                </c:pt>
                <c:pt idx="509">
                  <c:v>-24.035051442807202</c:v>
                </c:pt>
                <c:pt idx="510">
                  <c:v>-24.138332893080737</c:v>
                </c:pt>
                <c:pt idx="511">
                  <c:v>-24.241058142462101</c:v>
                </c:pt>
                <c:pt idx="512">
                  <c:v>-24.343233805559137</c:v>
                </c:pt>
                <c:pt idx="513">
                  <c:v>-24.447269629039738</c:v>
                </c:pt>
                <c:pt idx="514">
                  <c:v>-24.550743166833406</c:v>
                </c:pt>
                <c:pt idx="515">
                  <c:v>-24.653661159068903</c:v>
                </c:pt>
                <c:pt idx="516">
                  <c:v>-24.756030231159446</c:v>
                </c:pt>
                <c:pt idx="517">
                  <c:v>-24.860208984397634</c:v>
                </c:pt>
                <c:pt idx="518">
                  <c:v>-24.963826771158793</c:v>
                </c:pt>
                <c:pt idx="519">
                  <c:v>-25.066890331877634</c:v>
                </c:pt>
                <c:pt idx="520">
                  <c:v>-25.169406292351351</c:v>
                </c:pt>
                <c:pt idx="521">
                  <c:v>-25.273740934966508</c:v>
                </c:pt>
                <c:pt idx="522">
                  <c:v>-25.377515948656558</c:v>
                </c:pt>
                <c:pt idx="523">
                  <c:v>-25.480738075317994</c:v>
                </c:pt>
                <c:pt idx="524">
                  <c:v>-25.583413942265494</c:v>
                </c:pt>
                <c:pt idx="525">
                  <c:v>-25.687916332770342</c:v>
                </c:pt>
                <c:pt idx="526">
                  <c:v>-25.79186047200238</c:v>
                </c:pt>
                <c:pt idx="527">
                  <c:v>-25.895253104179197</c:v>
                </c:pt>
                <c:pt idx="528">
                  <c:v>-25.998100858977786</c:v>
                </c:pt>
                <c:pt idx="529">
                  <c:v>-26.102781905863587</c:v>
                </c:pt>
                <c:pt idx="530">
                  <c:v>-26.206906139678697</c:v>
                </c:pt>
                <c:pt idx="531">
                  <c:v>-26.310480307550801</c:v>
                </c:pt>
                <c:pt idx="532">
                  <c:v>-26.413511042097969</c:v>
                </c:pt>
                <c:pt idx="533">
                  <c:v>-26.518434845177246</c:v>
                </c:pt>
                <c:pt idx="534">
                  <c:v>-26.622802783170382</c:v>
                </c:pt>
                <c:pt idx="535">
                  <c:v>-26.726621616825739</c:v>
                </c:pt>
                <c:pt idx="536">
                  <c:v>-26.829897992175376</c:v>
                </c:pt>
                <c:pt idx="537">
                  <c:v>-26.934964872284397</c:v>
                </c:pt>
                <c:pt idx="538">
                  <c:v>-27.039478086889154</c:v>
                </c:pt>
                <c:pt idx="539">
                  <c:v>-27.143444389494395</c:v>
                </c:pt>
                <c:pt idx="540">
                  <c:v>-27.246870419157901</c:v>
                </c:pt>
                <c:pt idx="541">
                  <c:v>-27.352196205337407</c:v>
                </c:pt>
                <c:pt idx="542">
                  <c:v>-27.456969515314942</c:v>
                </c:pt>
                <c:pt idx="543">
                  <c:v>-27.56119711578032</c:v>
                </c:pt>
                <c:pt idx="544">
                  <c:v>-27.664885658786392</c:v>
                </c:pt>
                <c:pt idx="545">
                  <c:v>-27.770424944016877</c:v>
                </c:pt>
                <c:pt idx="546">
                  <c:v>-27.875413641511656</c:v>
                </c:pt>
                <c:pt idx="547">
                  <c:v>-27.979858520497412</c:v>
                </c:pt>
                <c:pt idx="548">
                  <c:v>-28.083766235618135</c:v>
                </c:pt>
                <c:pt idx="549">
                  <c:v>-28.189527326697508</c:v>
                </c:pt>
                <c:pt idx="550">
                  <c:v>-28.294739863561695</c:v>
                </c:pt>
                <c:pt idx="551">
                  <c:v>-28.399410617525078</c:v>
                </c:pt>
                <c:pt idx="552">
                  <c:v>-28.503546245382768</c:v>
                </c:pt>
                <c:pt idx="553">
                  <c:v>-28.609585937134341</c:v>
                </c:pt>
                <c:pt idx="554">
                  <c:v>-28.715078767542515</c:v>
                </c:pt>
                <c:pt idx="555">
                  <c:v>-28.82003151866946</c:v>
                </c:pt>
                <c:pt idx="556">
                  <c:v>-28.924450857927933</c:v>
                </c:pt>
                <c:pt idx="557">
                  <c:v>-29.136552761876629</c:v>
                </c:pt>
                <c:pt idx="558">
                  <c:v>-29.346501888091218</c:v>
                </c:pt>
                <c:pt idx="559">
                  <c:v>-29.559091184475989</c:v>
                </c:pt>
                <c:pt idx="560">
                  <c:v>-29.76953809977616</c:v>
                </c:pt>
                <c:pt idx="561">
                  <c:v>-29.98281410117912</c:v>
                </c:pt>
                <c:pt idx="562">
                  <c:v>-30.193955276475663</c:v>
                </c:pt>
                <c:pt idx="563">
                  <c:v>-30.407478529195664</c:v>
                </c:pt>
                <c:pt idx="564">
                  <c:v>-30.618884411546151</c:v>
                </c:pt>
                <c:pt idx="565">
                  <c:v>-30.833477063926825</c:v>
                </c:pt>
                <c:pt idx="566">
                  <c:v>-31.045954842304543</c:v>
                </c:pt>
                <c:pt idx="567">
                  <c:v>-31.261519594007524</c:v>
                </c:pt>
                <c:pt idx="568">
                  <c:v>-31.474975354381115</c:v>
                </c:pt>
                <c:pt idx="569">
                  <c:v>-31.690582986552688</c:v>
                </c:pt>
                <c:pt idx="570">
                  <c:v>-31.90410688790644</c:v>
                </c:pt>
                <c:pt idx="571">
                  <c:v>-32.121377621169515</c:v>
                </c:pt>
                <c:pt idx="572">
                  <c:v>-32.336560183953658</c:v>
                </c:pt>
                <c:pt idx="573">
                  <c:v>-32.553756561932872</c:v>
                </c:pt>
                <c:pt idx="574">
                  <c:v>-32.768895033062108</c:v>
                </c:pt>
                <c:pt idx="575">
                  <c:v>-32.987589985389924</c:v>
                </c:pt>
                <c:pt idx="576">
                  <c:v>-33.204229117395492</c:v>
                </c:pt>
                <c:pt idx="577">
                  <c:v>-34.099814216120471</c:v>
                </c:pt>
                <c:pt idx="578">
                  <c:v>-34.963207826083384</c:v>
                </c:pt>
                <c:pt idx="579">
                  <c:v>-36.758013043778433</c:v>
                </c:pt>
                <c:pt idx="580">
                  <c:v>-38.60054070548594</c:v>
                </c:pt>
                <c:pt idx="581">
                  <c:v>-40.498842973370763</c:v>
                </c:pt>
                <c:pt idx="582">
                  <c:v>-42.466487494024314</c:v>
                </c:pt>
                <c:pt idx="583">
                  <c:v>-44.515675409405034</c:v>
                </c:pt>
                <c:pt idx="584">
                  <c:v>-46.662122861227211</c:v>
                </c:pt>
                <c:pt idx="585">
                  <c:v>-48.917973327795458</c:v>
                </c:pt>
                <c:pt idx="586">
                  <c:v>-51.294304943710323</c:v>
                </c:pt>
                <c:pt idx="587">
                  <c:v>-53.798897906449987</c:v>
                </c:pt>
                <c:pt idx="588">
                  <c:v>-56.43008598828456</c:v>
                </c:pt>
                <c:pt idx="589">
                  <c:v>-59.184571535468621</c:v>
                </c:pt>
                <c:pt idx="590">
                  <c:v>-62.05057817324564</c:v>
                </c:pt>
                <c:pt idx="591">
                  <c:v>-65.013749797110719</c:v>
                </c:pt>
                <c:pt idx="592">
                  <c:v>-68.057199494886746</c:v>
                </c:pt>
                <c:pt idx="593">
                  <c:v>-71.165274599029217</c:v>
                </c:pt>
                <c:pt idx="594">
                  <c:v>-74.32183699746264</c:v>
                </c:pt>
                <c:pt idx="595">
                  <c:v>-77.514208876344398</c:v>
                </c:pt>
                <c:pt idx="596">
                  <c:v>-80.730744452591225</c:v>
                </c:pt>
                <c:pt idx="597">
                  <c:v>-83.963425231726404</c:v>
                </c:pt>
                <c:pt idx="598">
                  <c:v>-87.204822655059914</c:v>
                </c:pt>
                <c:pt idx="599">
                  <c:v>-90.450904631764558</c:v>
                </c:pt>
                <c:pt idx="600">
                  <c:v>-93.697757544002798</c:v>
                </c:pt>
              </c:numCache>
            </c:numRef>
          </c:yVal>
          <c:smooth val="1"/>
          <c:extLst>
            <c:ext xmlns:c16="http://schemas.microsoft.com/office/drawing/2014/chart" uri="{C3380CC4-5D6E-409C-BE32-E72D297353CC}">
              <c16:uniqueId val="{00000002-417B-42DD-99BF-4436D67A6013}"/>
            </c:ext>
          </c:extLst>
        </c:ser>
        <c:ser>
          <c:idx val="0"/>
          <c:order val="3"/>
          <c:tx>
            <c:strRef>
              <c:f>'IL Stability Calculations'!$AW$12</c:f>
              <c:strCache>
                <c:ptCount val="1"/>
                <c:pt idx="0">
                  <c:v>Gain(dB)</c:v>
                </c:pt>
              </c:strCache>
            </c:strRef>
          </c:tx>
          <c:spPr>
            <a:ln w="25400">
              <a:solidFill>
                <a:srgbClr val="FF0000"/>
              </a:solidFill>
              <a:prstDash val="solid"/>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Calculations'!$AW$13:$AW$613</c:f>
              <c:numCache>
                <c:formatCode>0.0000</c:formatCode>
                <c:ptCount val="601"/>
                <c:pt idx="0">
                  <c:v>106.45210602491116</c:v>
                </c:pt>
                <c:pt idx="1">
                  <c:v>111.68736469873132</c:v>
                </c:pt>
                <c:pt idx="2">
                  <c:v>110.89860044820159</c:v>
                </c:pt>
                <c:pt idx="3">
                  <c:v>110.10674473479222</c:v>
                </c:pt>
                <c:pt idx="4">
                  <c:v>109.31255793017328</c:v>
                </c:pt>
                <c:pt idx="5">
                  <c:v>108.51487254737398</c:v>
                </c:pt>
                <c:pt idx="6">
                  <c:v>107.71489483473263</c:v>
                </c:pt>
                <c:pt idx="7">
                  <c:v>106.91209788714158</c:v>
                </c:pt>
                <c:pt idx="8">
                  <c:v>106.10699331944926</c:v>
                </c:pt>
                <c:pt idx="9">
                  <c:v>105.29882453077539</c:v>
                </c:pt>
                <c:pt idx="10">
                  <c:v>104.48783518535765</c:v>
                </c:pt>
                <c:pt idx="11">
                  <c:v>103.67361725053144</c:v>
                </c:pt>
                <c:pt idx="12">
                  <c:v>102.85537069794066</c:v>
                </c:pt>
                <c:pt idx="13">
                  <c:v>102.03344294051251</c:v>
                </c:pt>
                <c:pt idx="14">
                  <c:v>101.20667226924763</c:v>
                </c:pt>
                <c:pt idx="15">
                  <c:v>100.37480831379412</c:v>
                </c:pt>
                <c:pt idx="16">
                  <c:v>99.537170836896649</c:v>
                </c:pt>
                <c:pt idx="17">
                  <c:v>98.693239887412133</c:v>
                </c:pt>
                <c:pt idx="18">
                  <c:v>97.842132273224038</c:v>
                </c:pt>
                <c:pt idx="19">
                  <c:v>96.983479645797829</c:v>
                </c:pt>
                <c:pt idx="20">
                  <c:v>96.116604707866003</c:v>
                </c:pt>
                <c:pt idx="21">
                  <c:v>95.241326406146385</c:v>
                </c:pt>
                <c:pt idx="22">
                  <c:v>94.357310915404469</c:v>
                </c:pt>
                <c:pt idx="23">
                  <c:v>93.464903979464367</c:v>
                </c:pt>
                <c:pt idx="24">
                  <c:v>92.564331971305833</c:v>
                </c:pt>
                <c:pt idx="25">
                  <c:v>91.656547319797312</c:v>
                </c:pt>
                <c:pt idx="26">
                  <c:v>90.742517793827076</c:v>
                </c:pt>
                <c:pt idx="27">
                  <c:v>89.824051696850006</c:v>
                </c:pt>
                <c:pt idx="28">
                  <c:v>88.902902414444114</c:v>
                </c:pt>
                <c:pt idx="29">
                  <c:v>87.981600368547049</c:v>
                </c:pt>
                <c:pt idx="30">
                  <c:v>87.06059262871959</c:v>
                </c:pt>
                <c:pt idx="31">
                  <c:v>86.143091634056859</c:v>
                </c:pt>
                <c:pt idx="32">
                  <c:v>85.230200982617745</c:v>
                </c:pt>
                <c:pt idx="33">
                  <c:v>84.324003827169435</c:v>
                </c:pt>
                <c:pt idx="34">
                  <c:v>83.424884821403097</c:v>
                </c:pt>
                <c:pt idx="35">
                  <c:v>82.534064625587718</c:v>
                </c:pt>
                <c:pt idx="36">
                  <c:v>81.651758868741254</c:v>
                </c:pt>
                <c:pt idx="37">
                  <c:v>80.777534454385886</c:v>
                </c:pt>
                <c:pt idx="38">
                  <c:v>79.911997381478244</c:v>
                </c:pt>
                <c:pt idx="39">
                  <c:v>79.054020591703164</c:v>
                </c:pt>
                <c:pt idx="40">
                  <c:v>78.203363573085028</c:v>
                </c:pt>
                <c:pt idx="41">
                  <c:v>77.359298702384805</c:v>
                </c:pt>
                <c:pt idx="42">
                  <c:v>76.521246513133306</c:v>
                </c:pt>
                <c:pt idx="43">
                  <c:v>75.68825984090266</c:v>
                </c:pt>
                <c:pt idx="44">
                  <c:v>74.85987774372083</c:v>
                </c:pt>
                <c:pt idx="45">
                  <c:v>74.035284166314156</c:v>
                </c:pt>
                <c:pt idx="46">
                  <c:v>73.214039545591618</c:v>
                </c:pt>
                <c:pt idx="47">
                  <c:v>72.395406717328996</c:v>
                </c:pt>
                <c:pt idx="48">
                  <c:v>71.579071309460247</c:v>
                </c:pt>
                <c:pt idx="49">
                  <c:v>70.76434922707476</c:v>
                </c:pt>
                <c:pt idx="50">
                  <c:v>69.950924798845037</c:v>
                </c:pt>
                <c:pt idx="51">
                  <c:v>69.13819315619962</c:v>
                </c:pt>
                <c:pt idx="52">
                  <c:v>68.326015187084678</c:v>
                </c:pt>
                <c:pt idx="53">
                  <c:v>67.513969397867655</c:v>
                </c:pt>
                <c:pt idx="54">
                  <c:v>66.702168790471916</c:v>
                </c:pt>
                <c:pt idx="55">
                  <c:v>65.888835690303964</c:v>
                </c:pt>
                <c:pt idx="56">
                  <c:v>65.074676544614064</c:v>
                </c:pt>
                <c:pt idx="57">
                  <c:v>64.258672345638175</c:v>
                </c:pt>
                <c:pt idx="58">
                  <c:v>63.440887302408875</c:v>
                </c:pt>
                <c:pt idx="59">
                  <c:v>62.620107249402686</c:v>
                </c:pt>
                <c:pt idx="60">
                  <c:v>61.796127507183542</c:v>
                </c:pt>
                <c:pt idx="61">
                  <c:v>60.968056794520741</c:v>
                </c:pt>
                <c:pt idx="62">
                  <c:v>60.134558957044383</c:v>
                </c:pt>
                <c:pt idx="63">
                  <c:v>59.295398575145882</c:v>
                </c:pt>
                <c:pt idx="64">
                  <c:v>58.448706445004902</c:v>
                </c:pt>
                <c:pt idx="65">
                  <c:v>57.593416444676777</c:v>
                </c:pt>
                <c:pt idx="66">
                  <c:v>56.72785904597</c:v>
                </c:pt>
                <c:pt idx="67">
                  <c:v>55.850323713431244</c:v>
                </c:pt>
                <c:pt idx="68">
                  <c:v>54.958465682097355</c:v>
                </c:pt>
                <c:pt idx="69">
                  <c:v>54.05016783743622</c:v>
                </c:pt>
                <c:pt idx="70">
                  <c:v>53.122623685078914</c:v>
                </c:pt>
                <c:pt idx="71">
                  <c:v>52.173138304156936</c:v>
                </c:pt>
                <c:pt idx="72">
                  <c:v>51.198393625045568</c:v>
                </c:pt>
                <c:pt idx="73">
                  <c:v>50.195338815899298</c:v>
                </c:pt>
                <c:pt idx="74">
                  <c:v>49.160325858264279</c:v>
                </c:pt>
                <c:pt idx="75">
                  <c:v>48.090125081395684</c:v>
                </c:pt>
                <c:pt idx="76">
                  <c:v>46.98123508677682</c:v>
                </c:pt>
                <c:pt idx="77">
                  <c:v>45.831065101433097</c:v>
                </c:pt>
                <c:pt idx="78">
                  <c:v>44.637123441083574</c:v>
                </c:pt>
                <c:pt idx="79">
                  <c:v>43.398402634779458</c:v>
                </c:pt>
                <c:pt idx="80">
                  <c:v>42.111803485158305</c:v>
                </c:pt>
                <c:pt idx="81">
                  <c:v>40.779043272203921</c:v>
                </c:pt>
                <c:pt idx="82">
                  <c:v>39.400207615082209</c:v>
                </c:pt>
                <c:pt idx="83">
                  <c:v>37.97829766369852</c:v>
                </c:pt>
                <c:pt idx="84">
                  <c:v>36.515194197754283</c:v>
                </c:pt>
                <c:pt idx="85">
                  <c:v>35.015508320780036</c:v>
                </c:pt>
                <c:pt idx="86">
                  <c:v>33.483445900104122</c:v>
                </c:pt>
                <c:pt idx="87">
                  <c:v>31.922969948635817</c:v>
                </c:pt>
                <c:pt idx="88">
                  <c:v>30.340499861704689</c:v>
                </c:pt>
                <c:pt idx="89">
                  <c:v>28.739581683242399</c:v>
                </c:pt>
                <c:pt idx="90">
                  <c:v>27.125297957547701</c:v>
                </c:pt>
                <c:pt idx="91">
                  <c:v>25.501503675503375</c:v>
                </c:pt>
                <c:pt idx="92">
                  <c:v>23.871825521424434</c:v>
                </c:pt>
                <c:pt idx="93">
                  <c:v>22.238556252371037</c:v>
                </c:pt>
                <c:pt idx="94">
                  <c:v>21.830151519989958</c:v>
                </c:pt>
                <c:pt idx="95">
                  <c:v>21.624667073258806</c:v>
                </c:pt>
                <c:pt idx="96">
                  <c:v>21.421527589914117</c:v>
                </c:pt>
                <c:pt idx="97">
                  <c:v>21.216054074631629</c:v>
                </c:pt>
                <c:pt idx="98">
                  <c:v>21.012931274716532</c:v>
                </c:pt>
                <c:pt idx="99">
                  <c:v>20.807429204830825</c:v>
                </c:pt>
                <c:pt idx="100">
                  <c:v>20.604284130734388</c:v>
                </c:pt>
                <c:pt idx="101">
                  <c:v>20.398872456395836</c:v>
                </c:pt>
                <c:pt idx="102">
                  <c:v>20.195820981274618</c:v>
                </c:pt>
                <c:pt idx="103">
                  <c:v>19.990312479263505</c:v>
                </c:pt>
                <c:pt idx="104">
                  <c:v>19.78717130945709</c:v>
                </c:pt>
                <c:pt idx="105">
                  <c:v>19.581689071839747</c:v>
                </c:pt>
                <c:pt idx="106">
                  <c:v>19.378578146571652</c:v>
                </c:pt>
                <c:pt idx="107">
                  <c:v>19.173236720364869</c:v>
                </c:pt>
                <c:pt idx="108">
                  <c:v>18.970267624610432</c:v>
                </c:pt>
                <c:pt idx="109">
                  <c:v>18.765034469990841</c:v>
                </c:pt>
                <c:pt idx="110">
                  <c:v>18.562175088027782</c:v>
                </c:pt>
                <c:pt idx="111">
                  <c:v>18.356886916966367</c:v>
                </c:pt>
                <c:pt idx="112">
                  <c:v>18.153977414565102</c:v>
                </c:pt>
                <c:pt idx="113">
                  <c:v>17.948753187505318</c:v>
                </c:pt>
                <c:pt idx="114">
                  <c:v>17.745909497191686</c:v>
                </c:pt>
                <c:pt idx="115">
                  <c:v>17.54073027414821</c:v>
                </c:pt>
                <c:pt idx="116">
                  <c:v>17.337933614621125</c:v>
                </c:pt>
                <c:pt idx="117">
                  <c:v>17.13278440042431</c:v>
                </c:pt>
                <c:pt idx="118">
                  <c:v>16.930019858934124</c:v>
                </c:pt>
                <c:pt idx="119">
                  <c:v>16.725012892487957</c:v>
                </c:pt>
                <c:pt idx="120">
                  <c:v>16.522389861067765</c:v>
                </c:pt>
                <c:pt idx="121">
                  <c:v>16.317508561845198</c:v>
                </c:pt>
                <c:pt idx="122">
                  <c:v>16.115010602187542</c:v>
                </c:pt>
                <c:pt idx="123">
                  <c:v>15.910123914026892</c:v>
                </c:pt>
                <c:pt idx="124">
                  <c:v>15.707622776463687</c:v>
                </c:pt>
                <c:pt idx="125">
                  <c:v>15.502844181859656</c:v>
                </c:pt>
                <c:pt idx="126">
                  <c:v>15.300450509706645</c:v>
                </c:pt>
                <c:pt idx="127">
                  <c:v>15.095772840133293</c:v>
                </c:pt>
                <c:pt idx="128">
                  <c:v>14.893479429566707</c:v>
                </c:pt>
                <c:pt idx="129">
                  <c:v>14.688898217483624</c:v>
                </c:pt>
                <c:pt idx="130">
                  <c:v>14.486700515611123</c:v>
                </c:pt>
                <c:pt idx="131">
                  <c:v>14.282213765173795</c:v>
                </c:pt>
                <c:pt idx="132">
                  <c:v>14.18086731376941</c:v>
                </c:pt>
                <c:pt idx="133">
                  <c:v>14.080109645527951</c:v>
                </c:pt>
                <c:pt idx="134">
                  <c:v>13.977559703942614</c:v>
                </c:pt>
                <c:pt idx="135">
                  <c:v>13.87561271614979</c:v>
                </c:pt>
                <c:pt idx="136">
                  <c:v>13.774261701735018</c:v>
                </c:pt>
                <c:pt idx="137">
                  <c:v>13.673499798026389</c:v>
                </c:pt>
                <c:pt idx="138">
                  <c:v>13.571052508336743</c:v>
                </c:pt>
                <c:pt idx="139">
                  <c:v>13.469207230588136</c:v>
                </c:pt>
                <c:pt idx="140">
                  <c:v>13.367956989716284</c:v>
                </c:pt>
                <c:pt idx="141">
                  <c:v>13.267294928624871</c:v>
                </c:pt>
                <c:pt idx="142">
                  <c:v>13.164848054617359</c:v>
                </c:pt>
                <c:pt idx="143">
                  <c:v>13.063003411669694</c:v>
                </c:pt>
                <c:pt idx="144">
                  <c:v>12.961754010818659</c:v>
                </c:pt>
                <c:pt idx="145">
                  <c:v>12.861092981704354</c:v>
                </c:pt>
                <c:pt idx="146">
                  <c:v>12.758702157527321</c:v>
                </c:pt>
                <c:pt idx="147">
                  <c:v>12.656913096844946</c:v>
                </c:pt>
                <c:pt idx="148">
                  <c:v>12.555718809523482</c:v>
                </c:pt>
                <c:pt idx="149">
                  <c:v>12.455112424361179</c:v>
                </c:pt>
                <c:pt idx="150">
                  <c:v>12.352781284826733</c:v>
                </c:pt>
                <c:pt idx="151">
                  <c:v>12.251051366458999</c:v>
                </c:pt>
                <c:pt idx="152">
                  <c:v>12.149915680035212</c:v>
                </c:pt>
                <c:pt idx="153">
                  <c:v>12.04936735552474</c:v>
                </c:pt>
                <c:pt idx="154">
                  <c:v>11.947053291076923</c:v>
                </c:pt>
                <c:pt idx="155">
                  <c:v>11.845340374840124</c:v>
                </c:pt>
                <c:pt idx="156">
                  <c:v>11.744221611069836</c:v>
                </c:pt>
                <c:pt idx="157">
                  <c:v>11.643690123623692</c:v>
                </c:pt>
                <c:pt idx="158">
                  <c:v>11.541401312242957</c:v>
                </c:pt>
                <c:pt idx="159">
                  <c:v>11.439713452608588</c:v>
                </c:pt>
                <c:pt idx="160">
                  <c:v>11.338619545281706</c:v>
                </c:pt>
                <c:pt idx="161">
                  <c:v>11.238112710752631</c:v>
                </c:pt>
                <c:pt idx="162">
                  <c:v>11.135902486537292</c:v>
                </c:pt>
                <c:pt idx="163">
                  <c:v>11.034292367345301</c:v>
                </c:pt>
                <c:pt idx="164">
                  <c:v>10.933275362015246</c:v>
                </c:pt>
                <c:pt idx="165">
                  <c:v>10.832844599351628</c:v>
                </c:pt>
                <c:pt idx="166">
                  <c:v>10.730631253531037</c:v>
                </c:pt>
                <c:pt idx="167">
                  <c:v>10.629018099204524</c:v>
                </c:pt>
                <c:pt idx="168">
                  <c:v>10.527998137826337</c:v>
                </c:pt>
                <c:pt idx="169">
                  <c:v>10.427564491193781</c:v>
                </c:pt>
                <c:pt idx="170">
                  <c:v>10.325573909620495</c:v>
                </c:pt>
                <c:pt idx="171">
                  <c:v>10.224180941811172</c:v>
                </c:pt>
                <c:pt idx="172">
                  <c:v>10.123378628837687</c:v>
                </c:pt>
                <c:pt idx="173">
                  <c:v>10.023160131400392</c:v>
                </c:pt>
                <c:pt idx="174">
                  <c:v>9.9210141587529055</c:v>
                </c:pt>
                <c:pt idx="175">
                  <c:v>9.8194676247345853</c:v>
                </c:pt>
                <c:pt idx="176">
                  <c:v>9.7185135338113717</c:v>
                </c:pt>
                <c:pt idx="177">
                  <c:v>9.6181450110914675</c:v>
                </c:pt>
                <c:pt idx="178">
                  <c:v>9.5159086890717397</c:v>
                </c:pt>
                <c:pt idx="179">
                  <c:v>9.414272852607585</c:v>
                </c:pt>
                <c:pt idx="180">
                  <c:v>9.3132304835415187</c:v>
                </c:pt>
                <c:pt idx="181">
                  <c:v>9.2127746850398857</c:v>
                </c:pt>
                <c:pt idx="182">
                  <c:v>9.110907026658662</c:v>
                </c:pt>
                <c:pt idx="183">
                  <c:v>9.0096355156802321</c:v>
                </c:pt>
                <c:pt idx="184">
                  <c:v>8.9089532057862346</c:v>
                </c:pt>
                <c:pt idx="185">
                  <c:v>8.8088532704806841</c:v>
                </c:pt>
                <c:pt idx="186">
                  <c:v>8.7066050166680622</c:v>
                </c:pt>
                <c:pt idx="187">
                  <c:v>8.6049573161868249</c:v>
                </c:pt>
                <c:pt idx="188">
                  <c:v>8.5039031423075677</c:v>
                </c:pt>
                <c:pt idx="189">
                  <c:v>8.4034355901079145</c:v>
                </c:pt>
                <c:pt idx="190">
                  <c:v>8.3016472141129753</c:v>
                </c:pt>
                <c:pt idx="191">
                  <c:v>8.2004539590498098</c:v>
                </c:pt>
                <c:pt idx="192">
                  <c:v>8.0998488899672445</c:v>
                </c:pt>
                <c:pt idx="193">
                  <c:v>7.9998251917319134</c:v>
                </c:pt>
                <c:pt idx="194">
                  <c:v>7.8977765590888236</c:v>
                </c:pt>
                <c:pt idx="195">
                  <c:v>7.7963260139603276</c:v>
                </c:pt>
                <c:pt idx="196">
                  <c:v>7.695466566880417</c:v>
                </c:pt>
                <c:pt idx="197">
                  <c:v>7.5951913495674797</c:v>
                </c:pt>
                <c:pt idx="198">
                  <c:v>7.4933168610216825</c:v>
                </c:pt>
                <c:pt idx="199">
                  <c:v>7.3920383426066074</c:v>
                </c:pt>
                <c:pt idx="200">
                  <c:v>7.2913488394093804</c:v>
                </c:pt>
                <c:pt idx="201">
                  <c:v>7.1912415170061292</c:v>
                </c:pt>
                <c:pt idx="202">
                  <c:v>7.0895830821064312</c:v>
                </c:pt>
                <c:pt idx="203">
                  <c:v>6.9885180048806674</c:v>
                </c:pt>
                <c:pt idx="204">
                  <c:v>6.8880393738444248</c:v>
                </c:pt>
                <c:pt idx="205">
                  <c:v>6.7881403970923548</c:v>
                </c:pt>
                <c:pt idx="206">
                  <c:v>6.6863904715593412</c:v>
                </c:pt>
                <c:pt idx="207">
                  <c:v>6.5852348639420928</c:v>
                </c:pt>
                <c:pt idx="208">
                  <c:v>6.4846666441550225</c:v>
                </c:pt>
                <c:pt idx="209">
                  <c:v>6.3846790022016435</c:v>
                </c:pt>
                <c:pt idx="210">
                  <c:v>6.2825588625703199</c:v>
                </c:pt>
                <c:pt idx="211">
                  <c:v>6.1810372449931803</c:v>
                </c:pt>
                <c:pt idx="212">
                  <c:v>6.0801071442843231</c:v>
                </c:pt>
                <c:pt idx="213">
                  <c:v>5.9797616771544506</c:v>
                </c:pt>
                <c:pt idx="214">
                  <c:v>5.8780111851458861</c:v>
                </c:pt>
                <c:pt idx="215">
                  <c:v>5.7768547784095068</c:v>
                </c:pt>
                <c:pt idx="216">
                  <c:v>5.6762855278580515</c:v>
                </c:pt>
                <c:pt idx="217">
                  <c:v>5.5762966246077861</c:v>
                </c:pt>
                <c:pt idx="218">
                  <c:v>5.4746212173047351</c:v>
                </c:pt>
                <c:pt idx="219">
                  <c:v>5.3735388892971727</c:v>
                </c:pt>
                <c:pt idx="220">
                  <c:v>5.2730427278104708</c:v>
                </c:pt>
                <c:pt idx="221">
                  <c:v>5.1731259399543532</c:v>
                </c:pt>
                <c:pt idx="222">
                  <c:v>5.0715736480884583</c:v>
                </c:pt>
                <c:pt idx="223">
                  <c:v>4.9706128648663599</c:v>
                </c:pt>
                <c:pt idx="224">
                  <c:v>4.8702367038198568</c:v>
                </c:pt>
                <c:pt idx="225">
                  <c:v>4.7704383978104348</c:v>
                </c:pt>
                <c:pt idx="226">
                  <c:v>4.6687455853471693</c:v>
                </c:pt>
                <c:pt idx="227">
                  <c:v>4.5676457678214311</c:v>
                </c:pt>
                <c:pt idx="228">
                  <c:v>4.4671320319585046</c:v>
                </c:pt>
                <c:pt idx="229">
                  <c:v>4.3671975844748507</c:v>
                </c:pt>
                <c:pt idx="230">
                  <c:v>4.1642496276169174</c:v>
                </c:pt>
                <c:pt idx="231">
                  <c:v>4.0636593446096034</c:v>
                </c:pt>
                <c:pt idx="232">
                  <c:v>3.9636490759697383</c:v>
                </c:pt>
                <c:pt idx="233">
                  <c:v>3.8618585239970731</c:v>
                </c:pt>
                <c:pt idx="234">
                  <c:v>3.7606617885541764</c:v>
                </c:pt>
                <c:pt idx="235">
                  <c:v>3.6600519405851233</c:v>
                </c:pt>
                <c:pt idx="236">
                  <c:v>3.5600221714624478</c:v>
                </c:pt>
                <c:pt idx="237">
                  <c:v>3.4585537236296542</c:v>
                </c:pt>
                <c:pt idx="238">
                  <c:v>3.3576751848100743</c:v>
                </c:pt>
                <c:pt idx="239">
                  <c:v>3.2573796934674486</c:v>
                </c:pt>
                <c:pt idx="240">
                  <c:v>3.1576605069641999</c:v>
                </c:pt>
                <c:pt idx="241">
                  <c:v>3.0559833373164897</c:v>
                </c:pt>
                <c:pt idx="242">
                  <c:v>2.954898326391719</c:v>
                </c:pt>
                <c:pt idx="243">
                  <c:v>2.8543985729971806</c:v>
                </c:pt>
                <c:pt idx="244">
                  <c:v>2.7544772957762209</c:v>
                </c:pt>
                <c:pt idx="245">
                  <c:v>2.6529326063140735</c:v>
                </c:pt>
                <c:pt idx="246">
                  <c:v>2.5519783597649406</c:v>
                </c:pt>
                <c:pt idx="247">
                  <c:v>2.4516076844101002</c:v>
                </c:pt>
                <c:pt idx="248">
                  <c:v>2.3518138277065601</c:v>
                </c:pt>
                <c:pt idx="249">
                  <c:v>2.2501771317673289</c:v>
                </c:pt>
                <c:pt idx="250">
                  <c:v>2.1491317620047163</c:v>
                </c:pt>
                <c:pt idx="251">
                  <c:v>2.0486708309624473</c:v>
                </c:pt>
                <c:pt idx="252">
                  <c:v>1.9487875707402169</c:v>
                </c:pt>
                <c:pt idx="253">
                  <c:v>1.8473796065162285</c:v>
                </c:pt>
                <c:pt idx="254">
                  <c:v>1.7465601287708798</c:v>
                </c:pt>
                <c:pt idx="255">
                  <c:v>1.646322299148113</c:v>
                </c:pt>
                <c:pt idx="256">
                  <c:v>1.5466593977282912</c:v>
                </c:pt>
                <c:pt idx="257">
                  <c:v>1.4450050972115014</c:v>
                </c:pt>
                <c:pt idx="258">
                  <c:v>1.3439419422435626</c:v>
                </c:pt>
                <c:pt idx="259">
                  <c:v>1.2434630479231621</c:v>
                </c:pt>
                <c:pt idx="260">
                  <c:v>1.1435616488685107</c:v>
                </c:pt>
                <c:pt idx="261">
                  <c:v>1.041980166816433</c:v>
                </c:pt>
                <c:pt idx="262">
                  <c:v>0.94098878541421527</c:v>
                </c:pt>
                <c:pt idx="263">
                  <c:v>0.84058063769748848</c:v>
                </c:pt>
                <c:pt idx="264">
                  <c:v>0.74074897581311028</c:v>
                </c:pt>
                <c:pt idx="265">
                  <c:v>0.6392877726467312</c:v>
                </c:pt>
                <c:pt idx="266">
                  <c:v>0.5384150718574463</c:v>
                </c:pt>
                <c:pt idx="267">
                  <c:v>0.4381240340362757</c:v>
                </c:pt>
                <c:pt idx="268">
                  <c:v>0.33840793825411936</c:v>
                </c:pt>
                <c:pt idx="269">
                  <c:v>0.23687228130082341</c:v>
                </c:pt>
                <c:pt idx="270">
                  <c:v>0.1359257766731056</c:v>
                </c:pt>
                <c:pt idx="271">
                  <c:v>3.5561573419435152E-2</c:v>
                </c:pt>
                <c:pt idx="272">
                  <c:v>-6.4227060663015589E-2</c:v>
                </c:pt>
                <c:pt idx="273">
                  <c:v>-0.16578001415141877</c:v>
                </c:pt>
                <c:pt idx="274">
                  <c:v>-0.26674383274748725</c:v>
                </c:pt>
                <c:pt idx="275">
                  <c:v>-0.36712536734741852</c:v>
                </c:pt>
                <c:pt idx="276">
                  <c:v>-0.46693135009992554</c:v>
                </c:pt>
                <c:pt idx="277">
                  <c:v>-0.56822033336629163</c:v>
                </c:pt>
                <c:pt idx="278">
                  <c:v>-0.66892345396445518</c:v>
                </c:pt>
                <c:pt idx="279">
                  <c:v>-0.76904750621722018</c:v>
                </c:pt>
                <c:pt idx="280">
                  <c:v>-0.86859916700296924</c:v>
                </c:pt>
                <c:pt idx="281">
                  <c:v>-0.97025851991019663</c:v>
                </c:pt>
                <c:pt idx="282">
                  <c:v>-1.0713279602022461</c:v>
                </c:pt>
                <c:pt idx="283">
                  <c:v>-1.1718143528534906</c:v>
                </c:pt>
                <c:pt idx="284">
                  <c:v>-1.2717244437717423</c:v>
                </c:pt>
                <c:pt idx="285">
                  <c:v>-1.3730241367201625</c:v>
                </c:pt>
                <c:pt idx="286">
                  <c:v>-1.47373830685671</c:v>
                </c:pt>
                <c:pt idx="287">
                  <c:v>-1.5738737432033154</c:v>
                </c:pt>
                <c:pt idx="288">
                  <c:v>-1.6734371174679354</c:v>
                </c:pt>
                <c:pt idx="289">
                  <c:v>-1.7749878327492135</c:v>
                </c:pt>
                <c:pt idx="290">
                  <c:v>-1.8759503706564842</c:v>
                </c:pt>
                <c:pt idx="291">
                  <c:v>-1.9763315666484558</c:v>
                </c:pt>
                <c:pt idx="292">
                  <c:v>-2.0761381378078276</c:v>
                </c:pt>
                <c:pt idx="293">
                  <c:v>-2.1776633503203353</c:v>
                </c:pt>
                <c:pt idx="294">
                  <c:v>-2.2786009297846408</c:v>
                </c:pt>
                <c:pt idx="295">
                  <c:v>-2.3789577025941293</c:v>
                </c:pt>
                <c:pt idx="296">
                  <c:v>-2.4787403769825329</c:v>
                </c:pt>
                <c:pt idx="297">
                  <c:v>-2.5801900421392547</c:v>
                </c:pt>
                <c:pt idx="298">
                  <c:v>-2.6810532026076936</c:v>
                </c:pt>
                <c:pt idx="299">
                  <c:v>-2.7813366656284275</c:v>
                </c:pt>
                <c:pt idx="300">
                  <c:v>-2.8810471207308508</c:v>
                </c:pt>
                <c:pt idx="301">
                  <c:v>-2.9823747260266331</c:v>
                </c:pt>
                <c:pt idx="302">
                  <c:v>-3.0831174965417221</c:v>
                </c:pt>
                <c:pt idx="303">
                  <c:v>-3.1832822110453254</c:v>
                </c:pt>
                <c:pt idx="304">
                  <c:v>-3.2828755312583575</c:v>
                </c:pt>
                <c:pt idx="305">
                  <c:v>-3.3844258787242021</c:v>
                </c:pt>
                <c:pt idx="306">
                  <c:v>-3.4853890974926665</c:v>
                </c:pt>
                <c:pt idx="307">
                  <c:v>-3.5857720067005312</c:v>
                </c:pt>
                <c:pt idx="308">
                  <c:v>-3.6855813075181736</c:v>
                </c:pt>
                <c:pt idx="309">
                  <c:v>-3.7869088450796493</c:v>
                </c:pt>
                <c:pt idx="310">
                  <c:v>-3.8876521004195514</c:v>
                </c:pt>
                <c:pt idx="311">
                  <c:v>-3.9878178439129224</c:v>
                </c:pt>
                <c:pt idx="312">
                  <c:v>-4.0874127290998201</c:v>
                </c:pt>
                <c:pt idx="313">
                  <c:v>-4.1888516796469011</c:v>
                </c:pt>
                <c:pt idx="314">
                  <c:v>-4.2897053556120994</c:v>
                </c:pt>
                <c:pt idx="315">
                  <c:v>-4.3899805452766332</c:v>
                </c:pt>
                <c:pt idx="316">
                  <c:v>-4.4896839196864589</c:v>
                </c:pt>
                <c:pt idx="317">
                  <c:v>-4.5911756303820841</c:v>
                </c:pt>
                <c:pt idx="318">
                  <c:v>-4.6920817588579746</c:v>
                </c:pt>
                <c:pt idx="319">
                  <c:v>-4.792409099514046</c:v>
                </c:pt>
                <c:pt idx="320">
                  <c:v>-4.8921643293853103</c:v>
                </c:pt>
                <c:pt idx="321">
                  <c:v>-4.9936540705097157</c:v>
                </c:pt>
                <c:pt idx="322">
                  <c:v>-5.094558561809639</c:v>
                </c:pt>
                <c:pt idx="323">
                  <c:v>-5.1948845927834517</c:v>
                </c:pt>
                <c:pt idx="324">
                  <c:v>-5.2946388356890681</c:v>
                </c:pt>
                <c:pt idx="325">
                  <c:v>-5.3960756256399476</c:v>
                </c:pt>
                <c:pt idx="326">
                  <c:v>-5.4969280945112509</c:v>
                </c:pt>
                <c:pt idx="327">
                  <c:v>-5.5972030166473257</c:v>
                </c:pt>
                <c:pt idx="328">
                  <c:v>-5.696907049512153</c:v>
                </c:pt>
                <c:pt idx="329">
                  <c:v>-5.7984124489883886</c:v>
                </c:pt>
                <c:pt idx="330">
                  <c:v>-5.8993330704892841</c:v>
                </c:pt>
                <c:pt idx="331">
                  <c:v>-5.9996756973352197</c:v>
                </c:pt>
                <c:pt idx="332">
                  <c:v>-6.0994469957728095</c:v>
                </c:pt>
                <c:pt idx="333">
                  <c:v>-6.2008003674189203</c:v>
                </c:pt>
                <c:pt idx="334">
                  <c:v>-6.3015710488334866</c:v>
                </c:pt>
                <c:pt idx="335">
                  <c:v>-6.4017657882957373</c:v>
                </c:pt>
                <c:pt idx="336">
                  <c:v>-6.5013912178281483</c:v>
                </c:pt>
                <c:pt idx="337">
                  <c:v>-6.6028748502041559</c:v>
                </c:pt>
                <c:pt idx="338">
                  <c:v>-6.703774653437959</c:v>
                </c:pt>
                <c:pt idx="339">
                  <c:v>-6.804097396805485</c:v>
                </c:pt>
                <c:pt idx="340">
                  <c:v>-6.903849732856723</c:v>
                </c:pt>
                <c:pt idx="341">
                  <c:v>-7.0054042770516567</c:v>
                </c:pt>
                <c:pt idx="342">
                  <c:v>-7.1063745478988762</c:v>
                </c:pt>
                <c:pt idx="343">
                  <c:v>-7.2067673237551517</c:v>
                </c:pt>
                <c:pt idx="344">
                  <c:v>-7.3065892660563572</c:v>
                </c:pt>
                <c:pt idx="345">
                  <c:v>-7.4080051808628147</c:v>
                </c:pt>
                <c:pt idx="346">
                  <c:v>-7.5088387944635659</c:v>
                </c:pt>
                <c:pt idx="347">
                  <c:v>-7.60909685251307</c:v>
                </c:pt>
                <c:pt idx="348">
                  <c:v>-7.7087859845078874</c:v>
                </c:pt>
                <c:pt idx="349">
                  <c:v>-7.8103234596428361</c:v>
                </c:pt>
                <c:pt idx="350">
                  <c:v>-7.9112776388692581</c:v>
                </c:pt>
                <c:pt idx="351">
                  <c:v>-8.0116552867025455</c:v>
                </c:pt>
                <c:pt idx="352">
                  <c:v>-8.1114630510820067</c:v>
                </c:pt>
                <c:pt idx="353">
                  <c:v>-8.213063615106881</c:v>
                </c:pt>
                <c:pt idx="354">
                  <c:v>-8.314080574813044</c:v>
                </c:pt>
                <c:pt idx="355">
                  <c:v>-8.4145207018216013</c:v>
                </c:pt>
                <c:pt idx="356">
                  <c:v>-8.514390651028636</c:v>
                </c:pt>
                <c:pt idx="357">
                  <c:v>-8.615855842035284</c:v>
                </c:pt>
                <c:pt idx="358">
                  <c:v>-8.7167394084175527</c:v>
                </c:pt>
                <c:pt idx="359">
                  <c:v>-8.8170480893566303</c:v>
                </c:pt>
                <c:pt idx="360">
                  <c:v>-8.916788508064494</c:v>
                </c:pt>
                <c:pt idx="361">
                  <c:v>-9.0183586178345703</c:v>
                </c:pt>
                <c:pt idx="362">
                  <c:v>-9.1193463509100461</c:v>
                </c:pt>
                <c:pt idx="363">
                  <c:v>-9.2197584615462098</c:v>
                </c:pt>
                <c:pt idx="364">
                  <c:v>-9.3196015876990277</c:v>
                </c:pt>
                <c:pt idx="365">
                  <c:v>-9.4210821515743106</c:v>
                </c:pt>
                <c:pt idx="366">
                  <c:v>-9.5219818279478758</c:v>
                </c:pt>
                <c:pt idx="367">
                  <c:v>-9.6223073474445417</c:v>
                </c:pt>
                <c:pt idx="368">
                  <c:v>-9.7220653249447277</c:v>
                </c:pt>
                <c:pt idx="369">
                  <c:v>-9.8236813002014962</c:v>
                </c:pt>
                <c:pt idx="370">
                  <c:v>-9.9247153273115778</c:v>
                </c:pt>
                <c:pt idx="371">
                  <c:v>-10.025174157643246</c:v>
                </c:pt>
                <c:pt idx="372">
                  <c:v>-10.125064426359673</c:v>
                </c:pt>
                <c:pt idx="373">
                  <c:v>-10.226625722126347</c:v>
                </c:pt>
                <c:pt idx="374">
                  <c:v>-10.327606200560112</c:v>
                </c:pt>
                <c:pt idx="375">
                  <c:v>-10.428012595937336</c:v>
                </c:pt>
                <c:pt idx="376">
                  <c:v>-10.527851526735041</c:v>
                </c:pt>
                <c:pt idx="377">
                  <c:v>-10.629569009562152</c:v>
                </c:pt>
                <c:pt idx="378">
                  <c:v>-10.730704421992833</c:v>
                </c:pt>
                <c:pt idx="379">
                  <c:v>-10.831264522755269</c:v>
                </c:pt>
                <c:pt idx="380">
                  <c:v>-10.931255954233428</c:v>
                </c:pt>
                <c:pt idx="381">
                  <c:v>-11.032818732004589</c:v>
                </c:pt>
                <c:pt idx="382">
                  <c:v>-11.133801754700453</c:v>
                </c:pt>
                <c:pt idx="383">
                  <c:v>-11.234211743764543</c:v>
                </c:pt>
                <c:pt idx="384">
                  <c:v>-11.334055305164206</c:v>
                </c:pt>
                <c:pt idx="385">
                  <c:v>-11.435792437293362</c:v>
                </c:pt>
                <c:pt idx="386">
                  <c:v>-11.536948404425758</c:v>
                </c:pt>
                <c:pt idx="387">
                  <c:v>-11.637529955563279</c:v>
                </c:pt>
                <c:pt idx="388">
                  <c:v>-11.737543723616955</c:v>
                </c:pt>
                <c:pt idx="389">
                  <c:v>-11.839274565726223</c:v>
                </c:pt>
                <c:pt idx="390">
                  <c:v>-11.940424917104425</c:v>
                </c:pt>
                <c:pt idx="391">
                  <c:v>-12.041001518351703</c:v>
                </c:pt>
                <c:pt idx="392">
                  <c:v>-12.141010994184256</c:v>
                </c:pt>
                <c:pt idx="393">
                  <c:v>-12.242686954214674</c:v>
                </c:pt>
                <c:pt idx="394">
                  <c:v>-12.343783676392084</c:v>
                </c:pt>
                <c:pt idx="395">
                  <c:v>-12.444307883085697</c:v>
                </c:pt>
                <c:pt idx="396">
                  <c:v>-12.544266181213448</c:v>
                </c:pt>
                <c:pt idx="397">
                  <c:v>-12.646071315306164</c:v>
                </c:pt>
                <c:pt idx="398">
                  <c:v>-12.747296401185572</c:v>
                </c:pt>
                <c:pt idx="399">
                  <c:v>-12.847948179051853</c:v>
                </c:pt>
                <c:pt idx="400">
                  <c:v>-12.948033273263269</c:v>
                </c:pt>
                <c:pt idx="401">
                  <c:v>-13.049798392010638</c:v>
                </c:pt>
                <c:pt idx="402">
                  <c:v>-13.150984604956545</c:v>
                </c:pt>
                <c:pt idx="403">
                  <c:v>-13.251598636456158</c:v>
                </c:pt>
                <c:pt idx="404">
                  <c:v>-13.351647095401235</c:v>
                </c:pt>
                <c:pt idx="405">
                  <c:v>-13.453435944873625</c:v>
                </c:pt>
                <c:pt idx="406">
                  <c:v>-13.554646338448567</c:v>
                </c:pt>
                <c:pt idx="407">
                  <c:v>-13.655284996922488</c:v>
                </c:pt>
                <c:pt idx="408">
                  <c:v>-13.755358525727726</c:v>
                </c:pt>
                <c:pt idx="409">
                  <c:v>-13.857228418061286</c:v>
                </c:pt>
                <c:pt idx="410">
                  <c:v>-13.958519689084767</c:v>
                </c:pt>
                <c:pt idx="411">
                  <c:v>-14.05923906700647</c:v>
                </c:pt>
                <c:pt idx="412">
                  <c:v>-14.159393164519363</c:v>
                </c:pt>
                <c:pt idx="413">
                  <c:v>-14.261290753924802</c:v>
                </c:pt>
                <c:pt idx="414">
                  <c:v>-14.362610197245615</c:v>
                </c:pt>
                <c:pt idx="415">
                  <c:v>-14.463358219255188</c:v>
                </c:pt>
                <c:pt idx="416">
                  <c:v>-14.563541429307719</c:v>
                </c:pt>
                <c:pt idx="417">
                  <c:v>-14.665519414383423</c:v>
                </c:pt>
                <c:pt idx="418">
                  <c:v>-14.766919170427695</c:v>
                </c:pt>
                <c:pt idx="419">
                  <c:v>-14.867747428798774</c:v>
                </c:pt>
                <c:pt idx="420">
                  <c:v>-14.968010805304788</c:v>
                </c:pt>
                <c:pt idx="421">
                  <c:v>-15.069916286221396</c:v>
                </c:pt>
                <c:pt idx="422">
                  <c:v>-15.17124522241393</c:v>
                </c:pt>
                <c:pt idx="423">
                  <c:v>-15.272004321384316</c:v>
                </c:pt>
                <c:pt idx="424">
                  <c:v>-15.372200175649262</c:v>
                </c:pt>
                <c:pt idx="425">
                  <c:v>-15.474284050522426</c:v>
                </c:pt>
                <c:pt idx="426">
                  <c:v>-15.575790274250554</c:v>
                </c:pt>
                <c:pt idx="427">
                  <c:v>-15.676725579410499</c:v>
                </c:pt>
                <c:pt idx="428">
                  <c:v>-15.777096583043527</c:v>
                </c:pt>
                <c:pt idx="429">
                  <c:v>-15.87920443118681</c:v>
                </c:pt>
                <c:pt idx="430">
                  <c:v>-15.980735310210108</c:v>
                </c:pt>
                <c:pt idx="431">
                  <c:v>-16.081695946985437</c:v>
                </c:pt>
                <c:pt idx="432">
                  <c:v>-16.182092953001487</c:v>
                </c:pt>
                <c:pt idx="433">
                  <c:v>-16.284176370466856</c:v>
                </c:pt>
                <c:pt idx="434">
                  <c:v>-16.385684091309216</c:v>
                </c:pt>
                <c:pt idx="435">
                  <c:v>-16.486622826776014</c:v>
                </c:pt>
                <c:pt idx="436">
                  <c:v>-16.5869991731102</c:v>
                </c:pt>
                <c:pt idx="437">
                  <c:v>-16.68919609684438</c:v>
                </c:pt>
                <c:pt idx="438">
                  <c:v>-16.790817093528702</c:v>
                </c:pt>
                <c:pt idx="439">
                  <c:v>-16.891868885402346</c:v>
                </c:pt>
                <c:pt idx="440">
                  <c:v>-16.992358079474471</c:v>
                </c:pt>
                <c:pt idx="441">
                  <c:v>-17.09461486517786</c:v>
                </c:pt>
                <c:pt idx="442">
                  <c:v>-17.196296149905937</c:v>
                </c:pt>
                <c:pt idx="443">
                  <c:v>-17.297408655875234</c:v>
                </c:pt>
                <c:pt idx="444">
                  <c:v>-17.397958990100161</c:v>
                </c:pt>
                <c:pt idx="445">
                  <c:v>-17.500225803142641</c:v>
                </c:pt>
                <c:pt idx="446">
                  <c:v>-17.601918154990429</c:v>
                </c:pt>
                <c:pt idx="447">
                  <c:v>-17.703042757570657</c:v>
                </c:pt>
                <c:pt idx="448">
                  <c:v>-17.803606207869517</c:v>
                </c:pt>
                <c:pt idx="449">
                  <c:v>-17.9060077550443</c:v>
                </c:pt>
                <c:pt idx="450">
                  <c:v>-18.007834541842602</c:v>
                </c:pt>
                <c:pt idx="451">
                  <c:v>-18.109093293797468</c:v>
                </c:pt>
                <c:pt idx="452">
                  <c:v>-18.209790621220602</c:v>
                </c:pt>
                <c:pt idx="453">
                  <c:v>-18.312189292737692</c:v>
                </c:pt>
                <c:pt idx="454">
                  <c:v>-18.414014506717635</c:v>
                </c:pt>
                <c:pt idx="455">
                  <c:v>-18.515272974791706</c:v>
                </c:pt>
                <c:pt idx="456">
                  <c:v>-18.61597129371798</c:v>
                </c:pt>
                <c:pt idx="457">
                  <c:v>-18.718485866500568</c:v>
                </c:pt>
                <c:pt idx="458">
                  <c:v>-18.820427021794849</c:v>
                </c:pt>
                <c:pt idx="459">
                  <c:v>-18.921801479986346</c:v>
                </c:pt>
                <c:pt idx="460">
                  <c:v>-19.022615846420326</c:v>
                </c:pt>
                <c:pt idx="461">
                  <c:v>-19.125194290380247</c:v>
                </c:pt>
                <c:pt idx="462">
                  <c:v>-19.227200007102724</c:v>
                </c:pt>
                <c:pt idx="463">
                  <c:v>-19.328639714926435</c:v>
                </c:pt>
                <c:pt idx="464">
                  <c:v>-19.42952001723209</c:v>
                </c:pt>
                <c:pt idx="465">
                  <c:v>-19.532192248715777</c:v>
                </c:pt>
                <c:pt idx="466">
                  <c:v>-19.634292182847048</c:v>
                </c:pt>
                <c:pt idx="467">
                  <c:v>-19.735826541110775</c:v>
                </c:pt>
                <c:pt idx="468">
                  <c:v>-19.836801930000075</c:v>
                </c:pt>
                <c:pt idx="469">
                  <c:v>-19.939518184721187</c:v>
                </c:pt>
                <c:pt idx="470">
                  <c:v>-20.041663201498523</c:v>
                </c:pt>
                <c:pt idx="471">
                  <c:v>-20.143243694565001</c:v>
                </c:pt>
                <c:pt idx="472">
                  <c:v>-20.244266263366526</c:v>
                </c:pt>
                <c:pt idx="473">
                  <c:v>-20.347130017041792</c:v>
                </c:pt>
                <c:pt idx="474">
                  <c:v>-20.449422525658207</c:v>
                </c:pt>
                <c:pt idx="475">
                  <c:v>-20.551150515661249</c:v>
                </c:pt>
                <c:pt idx="476">
                  <c:v>-20.652320598474205</c:v>
                </c:pt>
                <c:pt idx="477">
                  <c:v>-20.755279535602462</c:v>
                </c:pt>
                <c:pt idx="478">
                  <c:v>-20.857667887864679</c:v>
                </c:pt>
                <c:pt idx="479">
                  <c:v>-20.959492382943381</c:v>
                </c:pt>
                <c:pt idx="480">
                  <c:v>-21.060759633516128</c:v>
                </c:pt>
                <c:pt idx="481">
                  <c:v>-21.163765303876989</c:v>
                </c:pt>
                <c:pt idx="482">
                  <c:v>-21.266201674461986</c:v>
                </c:pt>
                <c:pt idx="483">
                  <c:v>-21.368075463960139</c:v>
                </c:pt>
                <c:pt idx="484">
                  <c:v>-21.469393276309404</c:v>
                </c:pt>
                <c:pt idx="485">
                  <c:v>-21.572470901964607</c:v>
                </c:pt>
                <c:pt idx="486">
                  <c:v>-21.674980327802306</c:v>
                </c:pt>
                <c:pt idx="487">
                  <c:v>-21.776928267614124</c:v>
                </c:pt>
                <c:pt idx="488">
                  <c:v>-21.878321320602613</c:v>
                </c:pt>
                <c:pt idx="489">
                  <c:v>-21.981562035680358</c:v>
                </c:pt>
                <c:pt idx="490">
                  <c:v>-22.084234750558306</c:v>
                </c:pt>
                <c:pt idx="491">
                  <c:v>-22.186346190959139</c:v>
                </c:pt>
                <c:pt idx="492">
                  <c:v>-22.287902967801962</c:v>
                </c:pt>
                <c:pt idx="493">
                  <c:v>-22.391255704000695</c:v>
                </c:pt>
                <c:pt idx="494">
                  <c:v>-22.494041309311132</c:v>
                </c:pt>
                <c:pt idx="495">
                  <c:v>-22.596266510520465</c:v>
                </c:pt>
                <c:pt idx="496">
                  <c:v>-22.697937919646961</c:v>
                </c:pt>
                <c:pt idx="497">
                  <c:v>-22.801421013959725</c:v>
                </c:pt>
                <c:pt idx="498">
                  <c:v>-22.904337759723319</c:v>
                </c:pt>
                <c:pt idx="499">
                  <c:v>-23.006694887366997</c:v>
                </c:pt>
                <c:pt idx="500">
                  <c:v>-23.108499012531777</c:v>
                </c:pt>
                <c:pt idx="501">
                  <c:v>-23.212128871328915</c:v>
                </c:pt>
                <c:pt idx="502">
                  <c:v>-23.315193106032375</c:v>
                </c:pt>
                <c:pt idx="503">
                  <c:v>-23.417698452855568</c:v>
                </c:pt>
                <c:pt idx="504">
                  <c:v>-23.519651533159273</c:v>
                </c:pt>
                <c:pt idx="505">
                  <c:v>-23.623380087263527</c:v>
                </c:pt>
                <c:pt idx="506">
                  <c:v>-23.726544391573213</c:v>
                </c:pt>
                <c:pt idx="507">
                  <c:v>-23.829151177677026</c:v>
                </c:pt>
                <c:pt idx="508">
                  <c:v>-23.931207062487548</c:v>
                </c:pt>
                <c:pt idx="509">
                  <c:v>-24.035051442807202</c:v>
                </c:pt>
                <c:pt idx="510">
                  <c:v>-24.138332893080737</c:v>
                </c:pt>
                <c:pt idx="511">
                  <c:v>-24.241058142462101</c:v>
                </c:pt>
                <c:pt idx="512">
                  <c:v>-24.343233805559137</c:v>
                </c:pt>
                <c:pt idx="513">
                  <c:v>-24.447269629039738</c:v>
                </c:pt>
                <c:pt idx="514">
                  <c:v>-24.550743166833406</c:v>
                </c:pt>
                <c:pt idx="515">
                  <c:v>-24.653661159068903</c:v>
                </c:pt>
                <c:pt idx="516">
                  <c:v>-24.756030231159446</c:v>
                </c:pt>
                <c:pt idx="517">
                  <c:v>-24.860208984397634</c:v>
                </c:pt>
                <c:pt idx="518">
                  <c:v>-24.963826771158793</c:v>
                </c:pt>
                <c:pt idx="519">
                  <c:v>-25.066890331877634</c:v>
                </c:pt>
                <c:pt idx="520">
                  <c:v>-25.169406292351351</c:v>
                </c:pt>
                <c:pt idx="521">
                  <c:v>-25.273740934966508</c:v>
                </c:pt>
                <c:pt idx="522">
                  <c:v>-25.377515948656558</c:v>
                </c:pt>
                <c:pt idx="523">
                  <c:v>-25.480738075317994</c:v>
                </c:pt>
                <c:pt idx="524">
                  <c:v>-25.583413942265494</c:v>
                </c:pt>
                <c:pt idx="525">
                  <c:v>-25.687916332770342</c:v>
                </c:pt>
                <c:pt idx="526">
                  <c:v>-25.79186047200238</c:v>
                </c:pt>
                <c:pt idx="527">
                  <c:v>-25.895253104179197</c:v>
                </c:pt>
                <c:pt idx="528">
                  <c:v>-25.998100858977786</c:v>
                </c:pt>
                <c:pt idx="529">
                  <c:v>-26.102781905863587</c:v>
                </c:pt>
                <c:pt idx="530">
                  <c:v>-26.206906139678697</c:v>
                </c:pt>
                <c:pt idx="531">
                  <c:v>-26.310480307550801</c:v>
                </c:pt>
                <c:pt idx="532">
                  <c:v>-26.413511042097969</c:v>
                </c:pt>
                <c:pt idx="533">
                  <c:v>-26.518434845177246</c:v>
                </c:pt>
                <c:pt idx="534">
                  <c:v>-26.622802783170382</c:v>
                </c:pt>
                <c:pt idx="535">
                  <c:v>-26.726621616825739</c:v>
                </c:pt>
                <c:pt idx="536">
                  <c:v>-26.829897992175376</c:v>
                </c:pt>
                <c:pt idx="537">
                  <c:v>-26.934964872284397</c:v>
                </c:pt>
                <c:pt idx="538">
                  <c:v>-27.039478086889154</c:v>
                </c:pt>
                <c:pt idx="539">
                  <c:v>-27.143444389494395</c:v>
                </c:pt>
                <c:pt idx="540">
                  <c:v>-27.246870419157901</c:v>
                </c:pt>
                <c:pt idx="541">
                  <c:v>-27.352196205337407</c:v>
                </c:pt>
                <c:pt idx="542">
                  <c:v>-27.456969515314942</c:v>
                </c:pt>
                <c:pt idx="543">
                  <c:v>-27.56119711578032</c:v>
                </c:pt>
                <c:pt idx="544">
                  <c:v>-27.664885658786392</c:v>
                </c:pt>
                <c:pt idx="545">
                  <c:v>-27.770424944016877</c:v>
                </c:pt>
                <c:pt idx="546">
                  <c:v>-27.875413641511656</c:v>
                </c:pt>
                <c:pt idx="547">
                  <c:v>-27.979858520497412</c:v>
                </c:pt>
                <c:pt idx="548">
                  <c:v>-28.083766235618135</c:v>
                </c:pt>
                <c:pt idx="549">
                  <c:v>-28.189527326697508</c:v>
                </c:pt>
                <c:pt idx="550">
                  <c:v>-28.294739863561695</c:v>
                </c:pt>
                <c:pt idx="551">
                  <c:v>-28.399410617525078</c:v>
                </c:pt>
                <c:pt idx="552">
                  <c:v>-28.503546245382768</c:v>
                </c:pt>
                <c:pt idx="553">
                  <c:v>-28.609585937134341</c:v>
                </c:pt>
                <c:pt idx="554">
                  <c:v>-28.715078767542515</c:v>
                </c:pt>
                <c:pt idx="555">
                  <c:v>-28.82003151866946</c:v>
                </c:pt>
                <c:pt idx="556">
                  <c:v>-28.924450857927933</c:v>
                </c:pt>
                <c:pt idx="557">
                  <c:v>-29.136552761876629</c:v>
                </c:pt>
                <c:pt idx="558">
                  <c:v>-29.346501888091218</c:v>
                </c:pt>
                <c:pt idx="559">
                  <c:v>-29.559091184475989</c:v>
                </c:pt>
                <c:pt idx="560">
                  <c:v>-29.76953809977616</c:v>
                </c:pt>
                <c:pt idx="561">
                  <c:v>-29.98281410117912</c:v>
                </c:pt>
                <c:pt idx="562">
                  <c:v>-30.193955276475663</c:v>
                </c:pt>
                <c:pt idx="563">
                  <c:v>-30.407478529195664</c:v>
                </c:pt>
                <c:pt idx="564">
                  <c:v>-30.618884411546151</c:v>
                </c:pt>
                <c:pt idx="565">
                  <c:v>-30.833477063926825</c:v>
                </c:pt>
                <c:pt idx="566">
                  <c:v>-31.045954842304543</c:v>
                </c:pt>
                <c:pt idx="567">
                  <c:v>-31.261519594007524</c:v>
                </c:pt>
                <c:pt idx="568">
                  <c:v>-31.474975354381115</c:v>
                </c:pt>
                <c:pt idx="569">
                  <c:v>-31.690582986552688</c:v>
                </c:pt>
                <c:pt idx="570">
                  <c:v>-31.90410688790644</c:v>
                </c:pt>
                <c:pt idx="571">
                  <c:v>-32.121377621169515</c:v>
                </c:pt>
                <c:pt idx="572">
                  <c:v>-32.336560183953658</c:v>
                </c:pt>
                <c:pt idx="573">
                  <c:v>-32.553756561932872</c:v>
                </c:pt>
                <c:pt idx="574">
                  <c:v>-32.768895033062108</c:v>
                </c:pt>
                <c:pt idx="575">
                  <c:v>-32.987589985389924</c:v>
                </c:pt>
                <c:pt idx="576">
                  <c:v>-33.204229117395492</c:v>
                </c:pt>
                <c:pt idx="577">
                  <c:v>-34.099814216120471</c:v>
                </c:pt>
                <c:pt idx="578">
                  <c:v>-34.963207826083384</c:v>
                </c:pt>
                <c:pt idx="579">
                  <c:v>-36.758013043778433</c:v>
                </c:pt>
                <c:pt idx="580">
                  <c:v>-38.60054070548594</c:v>
                </c:pt>
                <c:pt idx="581">
                  <c:v>-40.498842973370763</c:v>
                </c:pt>
                <c:pt idx="582">
                  <c:v>-42.466487494024314</c:v>
                </c:pt>
                <c:pt idx="583">
                  <c:v>-44.515675409405034</c:v>
                </c:pt>
                <c:pt idx="584">
                  <c:v>-46.662122861227211</c:v>
                </c:pt>
                <c:pt idx="585">
                  <c:v>-48.917973327795458</c:v>
                </c:pt>
                <c:pt idx="586">
                  <c:v>-51.294304943710323</c:v>
                </c:pt>
                <c:pt idx="587">
                  <c:v>-53.798897906449987</c:v>
                </c:pt>
                <c:pt idx="588">
                  <c:v>-56.43008598828456</c:v>
                </c:pt>
                <c:pt idx="589">
                  <c:v>-59.184571535468621</c:v>
                </c:pt>
                <c:pt idx="590">
                  <c:v>-62.05057817324564</c:v>
                </c:pt>
                <c:pt idx="591">
                  <c:v>-65.013749797110719</c:v>
                </c:pt>
                <c:pt idx="592">
                  <c:v>-68.057199494886746</c:v>
                </c:pt>
                <c:pt idx="593">
                  <c:v>-71.165274599029217</c:v>
                </c:pt>
                <c:pt idx="594">
                  <c:v>-74.32183699746264</c:v>
                </c:pt>
                <c:pt idx="595">
                  <c:v>-77.514208876344398</c:v>
                </c:pt>
                <c:pt idx="596">
                  <c:v>-80.730744452591225</c:v>
                </c:pt>
                <c:pt idx="597">
                  <c:v>-83.963425231726404</c:v>
                </c:pt>
                <c:pt idx="598">
                  <c:v>-87.204822655059914</c:v>
                </c:pt>
                <c:pt idx="599">
                  <c:v>-90.450904631764558</c:v>
                </c:pt>
                <c:pt idx="600">
                  <c:v>-93.697757544002798</c:v>
                </c:pt>
              </c:numCache>
            </c:numRef>
          </c:yVal>
          <c:smooth val="0"/>
          <c:extLst>
            <c:ext xmlns:c16="http://schemas.microsoft.com/office/drawing/2014/chart" uri="{C3380CC4-5D6E-409C-BE32-E72D297353CC}">
              <c16:uniqueId val="{00000003-417B-42DD-99BF-4436D67A6013}"/>
            </c:ext>
          </c:extLst>
        </c:ser>
        <c:dLbls>
          <c:showLegendKey val="0"/>
          <c:showVal val="0"/>
          <c:showCatName val="0"/>
          <c:showSerName val="0"/>
          <c:showPercent val="0"/>
          <c:showBubbleSize val="0"/>
        </c:dLbls>
        <c:axId val="196940928"/>
        <c:axId val="196942848"/>
      </c:scatterChart>
      <c:scatterChart>
        <c:scatterStyle val="lineMarker"/>
        <c:varyColors val="0"/>
        <c:ser>
          <c:idx val="1"/>
          <c:order val="4"/>
          <c:tx>
            <c:strRef>
              <c:f>'IL Stability Calculations'!$AX$12</c:f>
              <c:strCache>
                <c:ptCount val="1"/>
                <c:pt idx="0">
                  <c:v>:Loop Phase Margin (°)</c:v>
                </c:pt>
              </c:strCache>
            </c:strRef>
          </c:tx>
          <c:spPr>
            <a:ln w="25400">
              <a:solidFill>
                <a:srgbClr val="0000FF"/>
              </a:solidFill>
              <a:prstDash val="solid"/>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Calculations'!$AX$13:$AX$613</c:f>
              <c:numCache>
                <c:formatCode>0.0000</c:formatCode>
                <c:ptCount val="601"/>
                <c:pt idx="0">
                  <c:v>-82.378097824566424</c:v>
                </c:pt>
                <c:pt idx="1">
                  <c:v>-83.282108660865916</c:v>
                </c:pt>
                <c:pt idx="2">
                  <c:v>-84.1320757090256</c:v>
                </c:pt>
                <c:pt idx="3">
                  <c:v>-84.934182287033678</c:v>
                </c:pt>
                <c:pt idx="4">
                  <c:v>-85.693851976354566</c:v>
                </c:pt>
                <c:pt idx="5">
                  <c:v>-86.417948043020274</c:v>
                </c:pt>
                <c:pt idx="6">
                  <c:v>-87.110734041889359</c:v>
                </c:pt>
                <c:pt idx="7">
                  <c:v>-87.777693419945038</c:v>
                </c:pt>
                <c:pt idx="8">
                  <c:v>-88.423041288086111</c:v>
                </c:pt>
                <c:pt idx="9">
                  <c:v>-89.051619304048614</c:v>
                </c:pt>
                <c:pt idx="10">
                  <c:v>-89.667030103955994</c:v>
                </c:pt>
                <c:pt idx="11">
                  <c:v>-90.27290263853132</c:v>
                </c:pt>
                <c:pt idx="12">
                  <c:v>-90.872593406645663</c:v>
                </c:pt>
                <c:pt idx="13">
                  <c:v>-91.467986112704693</c:v>
                </c:pt>
                <c:pt idx="14">
                  <c:v>-92.061333071359115</c:v>
                </c:pt>
                <c:pt idx="15">
                  <c:v>-92.653374373419894</c:v>
                </c:pt>
                <c:pt idx="16">
                  <c:v>-93.244183267499835</c:v>
                </c:pt>
                <c:pt idx="17">
                  <c:v>-93.832614589922713</c:v>
                </c:pt>
                <c:pt idx="18">
                  <c:v>-94.416554811224145</c:v>
                </c:pt>
                <c:pt idx="19">
                  <c:v>-94.992231913643167</c:v>
                </c:pt>
                <c:pt idx="20">
                  <c:v>-95.55476072988516</c:v>
                </c:pt>
                <c:pt idx="21">
                  <c:v>-96.097674046375204</c:v>
                </c:pt>
                <c:pt idx="22">
                  <c:v>-96.613529055568762</c:v>
                </c:pt>
                <c:pt idx="23">
                  <c:v>-97.093728818917228</c:v>
                </c:pt>
                <c:pt idx="24">
                  <c:v>-97.529458080130127</c:v>
                </c:pt>
                <c:pt idx="25">
                  <c:v>-97.911828108885459</c:v>
                </c:pt>
                <c:pt idx="26">
                  <c:v>-98.232909700531224</c:v>
                </c:pt>
                <c:pt idx="27">
                  <c:v>-98.486123284641636</c:v>
                </c:pt>
                <c:pt idx="28">
                  <c:v>-98.667221943910477</c:v>
                </c:pt>
                <c:pt idx="29">
                  <c:v>-98.774590961375196</c:v>
                </c:pt>
                <c:pt idx="30">
                  <c:v>-98.809735342173042</c:v>
                </c:pt>
                <c:pt idx="31">
                  <c:v>-98.776814387601661</c:v>
                </c:pt>
                <c:pt idx="32">
                  <c:v>-98.682707267073781</c:v>
                </c:pt>
                <c:pt idx="33">
                  <c:v>-98.53646427259055</c:v>
                </c:pt>
                <c:pt idx="34">
                  <c:v>-98.34837269526561</c:v>
                </c:pt>
                <c:pt idx="35">
                  <c:v>-98.129637545798033</c:v>
                </c:pt>
                <c:pt idx="36">
                  <c:v>-97.891406336631448</c:v>
                </c:pt>
                <c:pt idx="37">
                  <c:v>-97.644239842588178</c:v>
                </c:pt>
                <c:pt idx="38">
                  <c:v>-97.398205625126025</c:v>
                </c:pt>
                <c:pt idx="39">
                  <c:v>-97.161843204997766</c:v>
                </c:pt>
                <c:pt idx="40">
                  <c:v>-96.94279166261353</c:v>
                </c:pt>
                <c:pt idx="41">
                  <c:v>-96.74740208768948</c:v>
                </c:pt>
                <c:pt idx="42">
                  <c:v>-96.580987286912048</c:v>
                </c:pt>
                <c:pt idx="43">
                  <c:v>-96.447854610872099</c:v>
                </c:pt>
                <c:pt idx="44">
                  <c:v>-96.351627954399646</c:v>
                </c:pt>
                <c:pt idx="45">
                  <c:v>-96.295277278104521</c:v>
                </c:pt>
                <c:pt idx="46">
                  <c:v>-96.281372018088831</c:v>
                </c:pt>
                <c:pt idx="47">
                  <c:v>-96.312188740209237</c:v>
                </c:pt>
                <c:pt idx="48">
                  <c:v>-96.389850856811336</c:v>
                </c:pt>
                <c:pt idx="49">
                  <c:v>-96.516479279053868</c:v>
                </c:pt>
                <c:pt idx="50">
                  <c:v>-96.69423005326361</c:v>
                </c:pt>
                <c:pt idx="51">
                  <c:v>-96.925476914810105</c:v>
                </c:pt>
                <c:pt idx="52">
                  <c:v>-97.212690483855127</c:v>
                </c:pt>
                <c:pt idx="53">
                  <c:v>-97.558678020616426</c:v>
                </c:pt>
                <c:pt idx="54">
                  <c:v>-97.966286829987823</c:v>
                </c:pt>
                <c:pt idx="55">
                  <c:v>-98.439728862854352</c:v>
                </c:pt>
                <c:pt idx="56">
                  <c:v>-98.982286393278599</c:v>
                </c:pt>
                <c:pt idx="57">
                  <c:v>-99.59861601545883</c:v>
                </c:pt>
                <c:pt idx="58">
                  <c:v>-100.29298717953101</c:v>
                </c:pt>
                <c:pt idx="59">
                  <c:v>-101.07108299099778</c:v>
                </c:pt>
                <c:pt idx="60">
                  <c:v>-101.93806019372181</c:v>
                </c:pt>
                <c:pt idx="61">
                  <c:v>-102.89999064558739</c:v>
                </c:pt>
                <c:pt idx="62">
                  <c:v>-103.9637885163434</c:v>
                </c:pt>
                <c:pt idx="63">
                  <c:v>-105.13506349163366</c:v>
                </c:pt>
                <c:pt idx="64">
                  <c:v>-106.42155127378896</c:v>
                </c:pt>
                <c:pt idx="65">
                  <c:v>-107.82968438223597</c:v>
                </c:pt>
                <c:pt idx="66">
                  <c:v>-109.36632649210534</c:v>
                </c:pt>
                <c:pt idx="67">
                  <c:v>-111.03763448847516</c:v>
                </c:pt>
                <c:pt idx="68">
                  <c:v>-112.84984100993933</c:v>
                </c:pt>
                <c:pt idx="69">
                  <c:v>-114.80718834150748</c:v>
                </c:pt>
                <c:pt idx="70">
                  <c:v>-116.91332703869627</c:v>
                </c:pt>
                <c:pt idx="71">
                  <c:v>-119.16913623091304</c:v>
                </c:pt>
                <c:pt idx="72">
                  <c:v>-121.5739149662505</c:v>
                </c:pt>
                <c:pt idx="73">
                  <c:v>-124.12282033456755</c:v>
                </c:pt>
                <c:pt idx="74">
                  <c:v>-126.80865218645721</c:v>
                </c:pt>
                <c:pt idx="75">
                  <c:v>-129.61909736897493</c:v>
                </c:pt>
                <c:pt idx="76">
                  <c:v>-132.53852836501184</c:v>
                </c:pt>
                <c:pt idx="77">
                  <c:v>-135.54521918795325</c:v>
                </c:pt>
                <c:pt idx="78">
                  <c:v>-138.61414200847102</c:v>
                </c:pt>
                <c:pt idx="79">
                  <c:v>-141.7144499336207</c:v>
                </c:pt>
                <c:pt idx="80">
                  <c:v>-144.81959192504902</c:v>
                </c:pt>
                <c:pt idx="81">
                  <c:v>-147.8917418717447</c:v>
                </c:pt>
                <c:pt idx="82">
                  <c:v>-150.89928652005676</c:v>
                </c:pt>
                <c:pt idx="83">
                  <c:v>-153.80785940295971</c:v>
                </c:pt>
                <c:pt idx="84">
                  <c:v>-156.59054889035849</c:v>
                </c:pt>
                <c:pt idx="85">
                  <c:v>-159.2211626222977</c:v>
                </c:pt>
                <c:pt idx="86">
                  <c:v>-161.68128125740415</c:v>
                </c:pt>
                <c:pt idx="87">
                  <c:v>-163.95965700603026</c:v>
                </c:pt>
                <c:pt idx="88">
                  <c:v>-166.0482992709037</c:v>
                </c:pt>
                <c:pt idx="89">
                  <c:v>-167.94946183274962</c:v>
                </c:pt>
                <c:pt idx="90">
                  <c:v>-169.66850835425544</c:v>
                </c:pt>
                <c:pt idx="91">
                  <c:v>-171.21635545088429</c:v>
                </c:pt>
                <c:pt idx="92">
                  <c:v>-172.60698118866387</c:v>
                </c:pt>
                <c:pt idx="93">
                  <c:v>-173.85715751904274</c:v>
                </c:pt>
                <c:pt idx="94">
                  <c:v>-174.14963939639827</c:v>
                </c:pt>
                <c:pt idx="95">
                  <c:v>-174.29396392556148</c:v>
                </c:pt>
                <c:pt idx="96">
                  <c:v>-174.43482569963791</c:v>
                </c:pt>
                <c:pt idx="97">
                  <c:v>-174.57550672505474</c:v>
                </c:pt>
                <c:pt idx="98">
                  <c:v>-174.71283623522865</c:v>
                </c:pt>
                <c:pt idx="99">
                  <c:v>-174.85004857939086</c:v>
                </c:pt>
                <c:pt idx="100">
                  <c:v>-174.98401709462397</c:v>
                </c:pt>
                <c:pt idx="101">
                  <c:v>-175.1178282704002</c:v>
                </c:pt>
                <c:pt idx="102">
                  <c:v>-175.24850459205447</c:v>
                </c:pt>
                <c:pt idx="103">
                  <c:v>-175.37918077463533</c:v>
                </c:pt>
                <c:pt idx="104">
                  <c:v>-175.50682297786935</c:v>
                </c:pt>
                <c:pt idx="105">
                  <c:v>-175.63442506795514</c:v>
                </c:pt>
                <c:pt idx="106">
                  <c:v>-175.75909527944677</c:v>
                </c:pt>
                <c:pt idx="107">
                  <c:v>-175.88369415247104</c:v>
                </c:pt>
                <c:pt idx="108">
                  <c:v>-176.00546377972228</c:v>
                </c:pt>
                <c:pt idx="109">
                  <c:v>-176.12722055087318</c:v>
                </c:pt>
                <c:pt idx="110">
                  <c:v>-176.24624697986047</c:v>
                </c:pt>
                <c:pt idx="111">
                  <c:v>-176.36539345699239</c:v>
                </c:pt>
                <c:pt idx="112">
                  <c:v>-176.48190155158946</c:v>
                </c:pt>
                <c:pt idx="113">
                  <c:v>-176.59849913353011</c:v>
                </c:pt>
                <c:pt idx="114">
                  <c:v>-176.7125507474635</c:v>
                </c:pt>
                <c:pt idx="115">
                  <c:v>-176.82674015768799</c:v>
                </c:pt>
                <c:pt idx="116">
                  <c:v>-176.93847284744234</c:v>
                </c:pt>
                <c:pt idx="117">
                  <c:v>-177.050388926784</c:v>
                </c:pt>
                <c:pt idx="118">
                  <c:v>-177.15993451842692</c:v>
                </c:pt>
                <c:pt idx="119">
                  <c:v>-177.2696408670887</c:v>
                </c:pt>
                <c:pt idx="120">
                  <c:v>-177.37706279528476</c:v>
                </c:pt>
                <c:pt idx="121">
                  <c:v>-177.48469188565267</c:v>
                </c:pt>
                <c:pt idx="122">
                  <c:v>-177.59011943981324</c:v>
                </c:pt>
                <c:pt idx="123">
                  <c:v>-177.69585878366465</c:v>
                </c:pt>
                <c:pt idx="124">
                  <c:v>-177.79947403457771</c:v>
                </c:pt>
                <c:pt idx="125">
                  <c:v>-177.90338002863737</c:v>
                </c:pt>
                <c:pt idx="126">
                  <c:v>-178.00523912148614</c:v>
                </c:pt>
                <c:pt idx="127">
                  <c:v>-178.10742914068456</c:v>
                </c:pt>
                <c:pt idx="128">
                  <c:v>-178.20764665818561</c:v>
                </c:pt>
                <c:pt idx="129">
                  <c:v>-178.30823357991613</c:v>
                </c:pt>
                <c:pt idx="130">
                  <c:v>-178.4069197206972</c:v>
                </c:pt>
                <c:pt idx="131">
                  <c:v>-178.5060122174269</c:v>
                </c:pt>
                <c:pt idx="132">
                  <c:v>-178.5548668819097</c:v>
                </c:pt>
                <c:pt idx="133">
                  <c:v>-178.60327307913363</c:v>
                </c:pt>
                <c:pt idx="134">
                  <c:v>-178.65237493011031</c:v>
                </c:pt>
                <c:pt idx="135">
                  <c:v>-178.7010258585068</c:v>
                </c:pt>
                <c:pt idx="136">
                  <c:v>-178.74923515937027</c:v>
                </c:pt>
                <c:pt idx="137">
                  <c:v>-178.79701188448064</c:v>
                </c:pt>
                <c:pt idx="138">
                  <c:v>-178.84543509099274</c:v>
                </c:pt>
                <c:pt idx="139">
                  <c:v>-178.89342425983392</c:v>
                </c:pt>
                <c:pt idx="140">
                  <c:v>-178.94098833227875</c:v>
                </c:pt>
                <c:pt idx="141">
                  <c:v>-178.98813601518376</c:v>
                </c:pt>
                <c:pt idx="142">
                  <c:v>-179.03597926511483</c:v>
                </c:pt>
                <c:pt idx="143">
                  <c:v>-179.08340388772368</c:v>
                </c:pt>
                <c:pt idx="144">
                  <c:v>-179.13041850761329</c:v>
                </c:pt>
                <c:pt idx="145">
                  <c:v>-179.1770315227248</c:v>
                </c:pt>
                <c:pt idx="146">
                  <c:v>-179.2243171493765</c:v>
                </c:pt>
                <c:pt idx="147">
                  <c:v>-179.27119944049363</c:v>
                </c:pt>
                <c:pt idx="148">
                  <c:v>-179.31768669994938</c:v>
                </c:pt>
                <c:pt idx="149">
                  <c:v>-179.36378701303465</c:v>
                </c:pt>
                <c:pt idx="150">
                  <c:v>-179.41056096972443</c:v>
                </c:pt>
                <c:pt idx="151">
                  <c:v>-179.45694633111316</c:v>
                </c:pt>
                <c:pt idx="152">
                  <c:v>-179.50295108999455</c:v>
                </c:pt>
                <c:pt idx="153">
                  <c:v>-179.54858302849902</c:v>
                </c:pt>
                <c:pt idx="154">
                  <c:v>-179.59491098510222</c:v>
                </c:pt>
                <c:pt idx="155">
                  <c:v>-179.64086421193176</c:v>
                </c:pt>
                <c:pt idx="156">
                  <c:v>-179.68645041070778</c:v>
                </c:pt>
                <c:pt idx="157">
                  <c:v>-179.73167707987318</c:v>
                </c:pt>
                <c:pt idx="158">
                  <c:v>-179.77760006286579</c:v>
                </c:pt>
                <c:pt idx="159">
                  <c:v>-179.82316171825602</c:v>
                </c:pt>
                <c:pt idx="160">
                  <c:v>-179.86836946449253</c:v>
                </c:pt>
                <c:pt idx="161">
                  <c:v>-179.91323052401577</c:v>
                </c:pt>
                <c:pt idx="162">
                  <c:v>-179.95876849272091</c:v>
                </c:pt>
                <c:pt idx="163">
                  <c:v>179.99604161397428</c:v>
                </c:pt>
                <c:pt idx="164">
                  <c:v>179.95119266232689</c:v>
                </c:pt>
                <c:pt idx="165">
                  <c:v>179.90667770713517</c:v>
                </c:pt>
                <c:pt idx="166">
                  <c:v>179.86144551491321</c:v>
                </c:pt>
                <c:pt idx="167">
                  <c:v>179.81654920553638</c:v>
                </c:pt>
                <c:pt idx="168">
                  <c:v>179.77198190321164</c:v>
                </c:pt>
                <c:pt idx="169">
                  <c:v>179.72773691401997</c:v>
                </c:pt>
                <c:pt idx="170">
                  <c:v>179.6828684474477</c:v>
                </c:pt>
                <c:pt idx="171">
                  <c:v>179.63832271274595</c:v>
                </c:pt>
                <c:pt idx="172">
                  <c:v>179.59409312660583</c:v>
                </c:pt>
                <c:pt idx="173">
                  <c:v>179.55017327958058</c:v>
                </c:pt>
                <c:pt idx="174">
                  <c:v>179.50546122740059</c:v>
                </c:pt>
                <c:pt idx="175">
                  <c:v>179.46106162185453</c:v>
                </c:pt>
                <c:pt idx="176">
                  <c:v>179.41696808977733</c:v>
                </c:pt>
                <c:pt idx="177">
                  <c:v>179.37317442662103</c:v>
                </c:pt>
                <c:pt idx="178">
                  <c:v>179.3286085741039</c:v>
                </c:pt>
                <c:pt idx="179">
                  <c:v>179.28434485202729</c:v>
                </c:pt>
                <c:pt idx="180">
                  <c:v>179.24037710284466</c:v>
                </c:pt>
                <c:pt idx="181">
                  <c:v>179.19669933208101</c:v>
                </c:pt>
                <c:pt idx="182">
                  <c:v>179.15244068947703</c:v>
                </c:pt>
                <c:pt idx="183">
                  <c:v>179.10847163835535</c:v>
                </c:pt>
                <c:pt idx="184">
                  <c:v>179.06478630859775</c:v>
                </c:pt>
                <c:pt idx="185">
                  <c:v>179.02137898497952</c:v>
                </c:pt>
                <c:pt idx="186">
                  <c:v>178.97706379743462</c:v>
                </c:pt>
                <c:pt idx="187">
                  <c:v>178.93303033751232</c:v>
                </c:pt>
                <c:pt idx="188">
                  <c:v>178.88927288494702</c:v>
                </c:pt>
                <c:pt idx="189">
                  <c:v>178.84578587091491</c:v>
                </c:pt>
                <c:pt idx="190">
                  <c:v>178.80174156813663</c:v>
                </c:pt>
                <c:pt idx="191">
                  <c:v>178.75796690664978</c:v>
                </c:pt>
                <c:pt idx="192">
                  <c:v>178.71445644741394</c:v>
                </c:pt>
                <c:pt idx="193">
                  <c:v>178.67120489467902</c:v>
                </c:pt>
                <c:pt idx="194">
                  <c:v>178.62708317574146</c:v>
                </c:pt>
                <c:pt idx="195">
                  <c:v>178.58322326006532</c:v>
                </c:pt>
                <c:pt idx="196">
                  <c:v>178.53961986528699</c:v>
                </c:pt>
                <c:pt idx="197">
                  <c:v>178.49626784845617</c:v>
                </c:pt>
                <c:pt idx="198">
                  <c:v>178.45222100181144</c:v>
                </c:pt>
                <c:pt idx="199">
                  <c:v>178.40842623024528</c:v>
                </c:pt>
                <c:pt idx="200">
                  <c:v>178.36487846815251</c:v>
                </c:pt>
                <c:pt idx="201">
                  <c:v>178.32157278328089</c:v>
                </c:pt>
                <c:pt idx="202">
                  <c:v>178.27758403990839</c:v>
                </c:pt>
                <c:pt idx="203">
                  <c:v>178.2338378647913</c:v>
                </c:pt>
                <c:pt idx="204">
                  <c:v>178.19032940542849</c:v>
                </c:pt>
                <c:pt idx="205">
                  <c:v>178.1470539366658</c:v>
                </c:pt>
                <c:pt idx="206">
                  <c:v>178.10295608195813</c:v>
                </c:pt>
                <c:pt idx="207">
                  <c:v>178.05909311485485</c:v>
                </c:pt>
                <c:pt idx="208">
                  <c:v>178.0154603442322</c:v>
                </c:pt>
                <c:pt idx="209">
                  <c:v>177.97205320203997</c:v>
                </c:pt>
                <c:pt idx="210">
                  <c:v>177.92769116106359</c:v>
                </c:pt>
                <c:pt idx="211">
                  <c:v>177.88355784638782</c:v>
                </c:pt>
                <c:pt idx="212">
                  <c:v>177.83964868555321</c:v>
                </c:pt>
                <c:pt idx="213">
                  <c:v>177.79595922632555</c:v>
                </c:pt>
                <c:pt idx="214">
                  <c:v>177.75162069979427</c:v>
                </c:pt>
                <c:pt idx="215">
                  <c:v>177.70750173123528</c:v>
                </c:pt>
                <c:pt idx="216">
                  <c:v>177.66359795883858</c:v>
                </c:pt>
                <c:pt idx="217">
                  <c:v>177.61990513490522</c:v>
                </c:pt>
                <c:pt idx="218">
                  <c:v>177.57542996408827</c:v>
                </c:pt>
                <c:pt idx="219">
                  <c:v>177.53116683247407</c:v>
                </c:pt>
                <c:pt idx="220">
                  <c:v>177.48711154219001</c:v>
                </c:pt>
                <c:pt idx="221">
                  <c:v>177.44326000492973</c:v>
                </c:pt>
                <c:pt idx="222">
                  <c:v>177.39863735628293</c:v>
                </c:pt>
                <c:pt idx="223">
                  <c:v>177.35421934138017</c:v>
                </c:pt>
                <c:pt idx="224">
                  <c:v>177.31000192504047</c:v>
                </c:pt>
                <c:pt idx="225">
                  <c:v>177.26598117709597</c:v>
                </c:pt>
                <c:pt idx="226">
                  <c:v>177.22106341523588</c:v>
                </c:pt>
                <c:pt idx="227">
                  <c:v>177.17634421070585</c:v>
                </c:pt>
                <c:pt idx="228">
                  <c:v>177.13181965387176</c:v>
                </c:pt>
                <c:pt idx="229">
                  <c:v>177.08748593679601</c:v>
                </c:pt>
                <c:pt idx="230">
                  <c:v>176.99724287526055</c:v>
                </c:pt>
                <c:pt idx="231">
                  <c:v>176.95240625106496</c:v>
                </c:pt>
                <c:pt idx="232">
                  <c:v>176.90775462071849</c:v>
                </c:pt>
                <c:pt idx="233">
                  <c:v>176.862230898452</c:v>
                </c:pt>
                <c:pt idx="234">
                  <c:v>176.81689354717028</c:v>
                </c:pt>
                <c:pt idx="235">
                  <c:v>176.77173891476008</c:v>
                </c:pt>
                <c:pt idx="236">
                  <c:v>176.72676344381469</c:v>
                </c:pt>
                <c:pt idx="237">
                  <c:v>176.68105648255613</c:v>
                </c:pt>
                <c:pt idx="238">
                  <c:v>176.6355288335634</c:v>
                </c:pt>
                <c:pt idx="239">
                  <c:v>176.59017700412414</c:v>
                </c:pt>
                <c:pt idx="240">
                  <c:v>176.54499759162709</c:v>
                </c:pt>
                <c:pt idx="241">
                  <c:v>176.4988386371802</c:v>
                </c:pt>
                <c:pt idx="242">
                  <c:v>176.45285405845968</c:v>
                </c:pt>
                <c:pt idx="243">
                  <c:v>176.40704046188836</c:v>
                </c:pt>
                <c:pt idx="244">
                  <c:v>176.36139454141556</c:v>
                </c:pt>
                <c:pt idx="245">
                  <c:v>176.31490701468763</c:v>
                </c:pt>
                <c:pt idx="246">
                  <c:v>176.26858796098804</c:v>
                </c:pt>
                <c:pt idx="247">
                  <c:v>176.22243411531031</c:v>
                </c:pt>
                <c:pt idx="248">
                  <c:v>176.17644229655735</c:v>
                </c:pt>
                <c:pt idx="249">
                  <c:v>176.12949348924758</c:v>
                </c:pt>
                <c:pt idx="250">
                  <c:v>176.08270820975051</c:v>
                </c:pt>
                <c:pt idx="251">
                  <c:v>176.03608329523269</c:v>
                </c:pt>
                <c:pt idx="252">
                  <c:v>175.98961566402684</c:v>
                </c:pt>
                <c:pt idx="253">
                  <c:v>175.94232378201681</c:v>
                </c:pt>
                <c:pt idx="254">
                  <c:v>175.89518966405603</c:v>
                </c:pt>
                <c:pt idx="255">
                  <c:v>175.84821027429621</c:v>
                </c:pt>
                <c:pt idx="256">
                  <c:v>175.80138265443836</c:v>
                </c:pt>
                <c:pt idx="257">
                  <c:v>175.7534965808413</c:v>
                </c:pt>
                <c:pt idx="258">
                  <c:v>175.70576417490747</c:v>
                </c:pt>
                <c:pt idx="259">
                  <c:v>175.65818248098697</c:v>
                </c:pt>
                <c:pt idx="260">
                  <c:v>175.61074861892399</c:v>
                </c:pt>
                <c:pt idx="261">
                  <c:v>175.56238669925267</c:v>
                </c:pt>
                <c:pt idx="262">
                  <c:v>175.51417354535761</c:v>
                </c:pt>
                <c:pt idx="263">
                  <c:v>175.46610630596206</c:v>
                </c:pt>
                <c:pt idx="264">
                  <c:v>175.41818220238486</c:v>
                </c:pt>
                <c:pt idx="265">
                  <c:v>175.36933824141431</c:v>
                </c:pt>
                <c:pt idx="266">
                  <c:v>175.32063819924682</c:v>
                </c:pt>
                <c:pt idx="267">
                  <c:v>175.27207932839326</c:v>
                </c:pt>
                <c:pt idx="268">
                  <c:v>175.2236589510583</c:v>
                </c:pt>
                <c:pt idx="269">
                  <c:v>175.17420982418957</c:v>
                </c:pt>
                <c:pt idx="270">
                  <c:v>175.12490049151327</c:v>
                </c:pt>
                <c:pt idx="271">
                  <c:v>175.07572828967446</c:v>
                </c:pt>
                <c:pt idx="272">
                  <c:v>175.02669062275407</c:v>
                </c:pt>
                <c:pt idx="273">
                  <c:v>174.97663309786248</c:v>
                </c:pt>
                <c:pt idx="274">
                  <c:v>174.92671123230411</c:v>
                </c:pt>
                <c:pt idx="275">
                  <c:v>174.87692244803398</c:v>
                </c:pt>
                <c:pt idx="276">
                  <c:v>174.82726423212492</c:v>
                </c:pt>
                <c:pt idx="277">
                  <c:v>174.77670835171637</c:v>
                </c:pt>
                <c:pt idx="278">
                  <c:v>174.72628341898607</c:v>
                </c:pt>
                <c:pt idx="279">
                  <c:v>174.67598695834803</c:v>
                </c:pt>
                <c:pt idx="280">
                  <c:v>174.62581655642396</c:v>
                </c:pt>
                <c:pt idx="281">
                  <c:v>174.57441589253526</c:v>
                </c:pt>
                <c:pt idx="282">
                  <c:v>174.52314324170422</c:v>
                </c:pt>
                <c:pt idx="283">
                  <c:v>174.47199618137205</c:v>
                </c:pt>
                <c:pt idx="284">
                  <c:v>174.42097234991215</c:v>
                </c:pt>
                <c:pt idx="285">
                  <c:v>174.36906377835953</c:v>
                </c:pt>
                <c:pt idx="286">
                  <c:v>174.31727858375035</c:v>
                </c:pt>
                <c:pt idx="287">
                  <c:v>174.26561444524754</c:v>
                </c:pt>
                <c:pt idx="288">
                  <c:v>174.21406910003222</c:v>
                </c:pt>
                <c:pt idx="289">
                  <c:v>174.16131181457709</c:v>
                </c:pt>
                <c:pt idx="290">
                  <c:v>174.10867490164432</c:v>
                </c:pt>
                <c:pt idx="291">
                  <c:v>174.05615609692671</c:v>
                </c:pt>
                <c:pt idx="292">
                  <c:v>174.00375319271021</c:v>
                </c:pt>
                <c:pt idx="293">
                  <c:v>173.95025700108968</c:v>
                </c:pt>
                <c:pt idx="294">
                  <c:v>173.89687762721255</c:v>
                </c:pt>
                <c:pt idx="295">
                  <c:v>173.8436128793852</c:v>
                </c:pt>
                <c:pt idx="296">
                  <c:v>173.79046062053308</c:v>
                </c:pt>
                <c:pt idx="297">
                  <c:v>173.73622195499041</c:v>
                </c:pt>
                <c:pt idx="298">
                  <c:v>173.68209656513795</c:v>
                </c:pt>
                <c:pt idx="299">
                  <c:v>173.62808233214503</c:v>
                </c:pt>
                <c:pt idx="300">
                  <c:v>173.57417718980815</c:v>
                </c:pt>
                <c:pt idx="301">
                  <c:v>173.51919200583757</c:v>
                </c:pt>
                <c:pt idx="302">
                  <c:v>173.46431658160679</c:v>
                </c:pt>
                <c:pt idx="303">
                  <c:v>173.40954887098576</c:v>
                </c:pt>
                <c:pt idx="304">
                  <c:v>173.35488687847152</c:v>
                </c:pt>
                <c:pt idx="305">
                  <c:v>173.29893656779038</c:v>
                </c:pt>
                <c:pt idx="306">
                  <c:v>173.24309334990721</c:v>
                </c:pt>
                <c:pt idx="307">
                  <c:v>173.18735522829263</c:v>
                </c:pt>
                <c:pt idx="308">
                  <c:v>173.1317202557934</c:v>
                </c:pt>
                <c:pt idx="309">
                  <c:v>173.07501735802555</c:v>
                </c:pt>
                <c:pt idx="310">
                  <c:v>173.01841805039842</c:v>
                </c:pt>
                <c:pt idx="311">
                  <c:v>172.9619204097207</c:v>
                </c:pt>
                <c:pt idx="312">
                  <c:v>172.90552256013731</c:v>
                </c:pt>
                <c:pt idx="313">
                  <c:v>172.84785071230706</c:v>
                </c:pt>
                <c:pt idx="314">
                  <c:v>172.79027974386716</c:v>
                </c:pt>
                <c:pt idx="315">
                  <c:v>172.73280778348567</c:v>
                </c:pt>
                <c:pt idx="316">
                  <c:v>172.67543300582045</c:v>
                </c:pt>
                <c:pt idx="317">
                  <c:v>172.61679098385454</c:v>
                </c:pt>
                <c:pt idx="318">
                  <c:v>172.55824709695332</c:v>
                </c:pt>
                <c:pt idx="319">
                  <c:v>172.49979952702401</c:v>
                </c:pt>
                <c:pt idx="320">
                  <c:v>172.44144650056225</c:v>
                </c:pt>
                <c:pt idx="321">
                  <c:v>172.38183248929721</c:v>
                </c:pt>
                <c:pt idx="322">
                  <c:v>172.32231385005292</c:v>
                </c:pt>
                <c:pt idx="323">
                  <c:v>172.26288881892245</c:v>
                </c:pt>
                <c:pt idx="324">
                  <c:v>172.20355567514756</c:v>
                </c:pt>
                <c:pt idx="325">
                  <c:v>172.14296734492882</c:v>
                </c:pt>
                <c:pt idx="326">
                  <c:v>172.08247161811721</c:v>
                </c:pt>
                <c:pt idx="327">
                  <c:v>172.02206678555433</c:v>
                </c:pt>
                <c:pt idx="328">
                  <c:v>171.96175117976387</c:v>
                </c:pt>
                <c:pt idx="329">
                  <c:v>171.90008287977224</c:v>
                </c:pt>
                <c:pt idx="330">
                  <c:v>171.83850471848532</c:v>
                </c:pt>
                <c:pt idx="331">
                  <c:v>171.77701503350448</c:v>
                </c:pt>
                <c:pt idx="332">
                  <c:v>171.71561220289695</c:v>
                </c:pt>
                <c:pt idx="333">
                  <c:v>171.65296481270369</c:v>
                </c:pt>
                <c:pt idx="334">
                  <c:v>171.59040478877532</c:v>
                </c:pt>
                <c:pt idx="335">
                  <c:v>171.52793052430374</c:v>
                </c:pt>
                <c:pt idx="336">
                  <c:v>171.46554045143836</c:v>
                </c:pt>
                <c:pt idx="337">
                  <c:v>171.40170692278139</c:v>
                </c:pt>
                <c:pt idx="338">
                  <c:v>171.33795855201654</c:v>
                </c:pt>
                <c:pt idx="339">
                  <c:v>171.27429377277625</c:v>
                </c:pt>
                <c:pt idx="340">
                  <c:v>171.21071105662509</c:v>
                </c:pt>
                <c:pt idx="341">
                  <c:v>171.14569069657338</c:v>
                </c:pt>
                <c:pt idx="342">
                  <c:v>171.08075324676392</c:v>
                </c:pt>
                <c:pt idx="343">
                  <c:v>171.01589718265788</c:v>
                </c:pt>
                <c:pt idx="344">
                  <c:v>170.95112101657068</c:v>
                </c:pt>
                <c:pt idx="345">
                  <c:v>170.88501330612849</c:v>
                </c:pt>
                <c:pt idx="346">
                  <c:v>170.81898598887452</c:v>
                </c:pt>
                <c:pt idx="347">
                  <c:v>170.75303758979786</c:v>
                </c:pt>
                <c:pt idx="348">
                  <c:v>170.68716666941069</c:v>
                </c:pt>
                <c:pt idx="349">
                  <c:v>170.61976800904333</c:v>
                </c:pt>
                <c:pt idx="350">
                  <c:v>170.55244770461951</c:v>
                </c:pt>
                <c:pt idx="351">
                  <c:v>170.48520431779886</c:v>
                </c:pt>
                <c:pt idx="352">
                  <c:v>170.4180364448396</c:v>
                </c:pt>
                <c:pt idx="353">
                  <c:v>170.34934613842799</c:v>
                </c:pt>
                <c:pt idx="354">
                  <c:v>170.28073211344434</c:v>
                </c:pt>
                <c:pt idx="355">
                  <c:v>170.21219296949701</c:v>
                </c:pt>
                <c:pt idx="356">
                  <c:v>170.143727339821</c:v>
                </c:pt>
                <c:pt idx="357">
                  <c:v>170.07384354818038</c:v>
                </c:pt>
                <c:pt idx="358">
                  <c:v>170.0040337292682</c:v>
                </c:pt>
                <c:pt idx="359">
                  <c:v>169.93429652731567</c:v>
                </c:pt>
                <c:pt idx="360">
                  <c:v>169.86463061899224</c:v>
                </c:pt>
                <c:pt idx="361">
                  <c:v>169.79335259513564</c:v>
                </c:pt>
                <c:pt idx="362">
                  <c:v>169.72214664499759</c:v>
                </c:pt>
                <c:pt idx="363">
                  <c:v>169.65101144646385</c:v>
                </c:pt>
                <c:pt idx="364">
                  <c:v>169.57994570901275</c:v>
                </c:pt>
                <c:pt idx="365">
                  <c:v>169.50737121490022</c:v>
                </c:pt>
                <c:pt idx="366">
                  <c:v>169.4348666733143</c:v>
                </c:pt>
                <c:pt idx="367">
                  <c:v>169.36243080210082</c:v>
                </c:pt>
                <c:pt idx="368">
                  <c:v>169.29006234964737</c:v>
                </c:pt>
                <c:pt idx="369">
                  <c:v>169.21599265140873</c:v>
                </c:pt>
                <c:pt idx="370">
                  <c:v>169.14199114498763</c:v>
                </c:pt>
                <c:pt idx="371">
                  <c:v>169.06805657853209</c:v>
                </c:pt>
                <c:pt idx="372">
                  <c:v>168.99418772998456</c:v>
                </c:pt>
                <c:pt idx="373">
                  <c:v>168.91872011767197</c:v>
                </c:pt>
                <c:pt idx="374">
                  <c:v>168.84331872726062</c:v>
                </c:pt>
                <c:pt idx="375">
                  <c:v>168.76798234312221</c:v>
                </c:pt>
                <c:pt idx="376">
                  <c:v>168.69270977848282</c:v>
                </c:pt>
                <c:pt idx="377">
                  <c:v>168.61564723422183</c:v>
                </c:pt>
                <c:pt idx="378">
                  <c:v>168.53864926019301</c:v>
                </c:pt>
                <c:pt idx="379">
                  <c:v>168.46171466844689</c:v>
                </c:pt>
                <c:pt idx="380">
                  <c:v>168.38484229921323</c:v>
                </c:pt>
                <c:pt idx="381">
                  <c:v>168.30637878232619</c:v>
                </c:pt>
                <c:pt idx="382">
                  <c:v>168.22797783456994</c:v>
                </c:pt>
                <c:pt idx="383">
                  <c:v>168.14963830543684</c:v>
                </c:pt>
                <c:pt idx="384">
                  <c:v>168.07135907161322</c:v>
                </c:pt>
                <c:pt idx="385">
                  <c:v>167.99120124001013</c:v>
                </c:pt>
                <c:pt idx="386">
                  <c:v>167.91110442489034</c:v>
                </c:pt>
                <c:pt idx="387">
                  <c:v>167.83106750103727</c:v>
                </c:pt>
                <c:pt idx="388">
                  <c:v>167.75108936982215</c:v>
                </c:pt>
                <c:pt idx="389">
                  <c:v>167.66933348830156</c:v>
                </c:pt>
                <c:pt idx="390">
                  <c:v>167.58763688796597</c:v>
                </c:pt>
                <c:pt idx="391">
                  <c:v>167.50599847404757</c:v>
                </c:pt>
                <c:pt idx="392">
                  <c:v>167.4244171775957</c:v>
                </c:pt>
                <c:pt idx="393">
                  <c:v>167.34106164586419</c:v>
                </c:pt>
                <c:pt idx="394">
                  <c:v>167.25776364521121</c:v>
                </c:pt>
                <c:pt idx="395">
                  <c:v>167.17452211188322</c:v>
                </c:pt>
                <c:pt idx="396">
                  <c:v>167.0913360071514</c:v>
                </c:pt>
                <c:pt idx="397">
                  <c:v>167.00618675875586</c:v>
                </c:pt>
                <c:pt idx="398">
                  <c:v>166.92109353426864</c:v>
                </c:pt>
                <c:pt idx="399">
                  <c:v>166.8360552943746</c:v>
                </c:pt>
                <c:pt idx="400">
                  <c:v>166.75107102419574</c:v>
                </c:pt>
                <c:pt idx="401">
                  <c:v>166.66422315153369</c:v>
                </c:pt>
                <c:pt idx="402">
                  <c:v>166.57742964140556</c:v>
                </c:pt>
                <c:pt idx="403">
                  <c:v>166.49068948332356</c:v>
                </c:pt>
                <c:pt idx="404">
                  <c:v>166.4040016905096</c:v>
                </c:pt>
                <c:pt idx="405">
                  <c:v>166.31535777287363</c:v>
                </c:pt>
                <c:pt idx="406">
                  <c:v>166.22676665915827</c:v>
                </c:pt>
                <c:pt idx="407">
                  <c:v>166.1382273649854</c:v>
                </c:pt>
                <c:pt idx="408">
                  <c:v>166.04973892904297</c:v>
                </c:pt>
                <c:pt idx="409">
                  <c:v>165.95920214679055</c:v>
                </c:pt>
                <c:pt idx="410">
                  <c:v>165.86871669769585</c:v>
                </c:pt>
                <c:pt idx="411">
                  <c:v>165.77828162115711</c:v>
                </c:pt>
                <c:pt idx="412">
                  <c:v>165.68789597906508</c:v>
                </c:pt>
                <c:pt idx="413">
                  <c:v>165.59546520131559</c:v>
                </c:pt>
                <c:pt idx="414">
                  <c:v>165.50308425890995</c:v>
                </c:pt>
                <c:pt idx="415">
                  <c:v>165.41075221588434</c:v>
                </c:pt>
                <c:pt idx="416">
                  <c:v>165.3184681581686</c:v>
                </c:pt>
                <c:pt idx="417">
                  <c:v>165.22404694704258</c:v>
                </c:pt>
                <c:pt idx="418">
                  <c:v>165.12967415049616</c:v>
                </c:pt>
                <c:pt idx="419">
                  <c:v>165.03534885515265</c:v>
                </c:pt>
                <c:pt idx="420">
                  <c:v>164.94107016899321</c:v>
                </c:pt>
                <c:pt idx="421">
                  <c:v>164.8447520928712</c:v>
                </c:pt>
                <c:pt idx="422">
                  <c:v>164.74848089306064</c:v>
                </c:pt>
                <c:pt idx="423">
                  <c:v>164.65225568220902</c:v>
                </c:pt>
                <c:pt idx="424">
                  <c:v>164.55607559367849</c:v>
                </c:pt>
                <c:pt idx="425">
                  <c:v>164.45757478543405</c:v>
                </c:pt>
                <c:pt idx="426">
                  <c:v>164.35911956951114</c:v>
                </c:pt>
                <c:pt idx="427">
                  <c:v>164.26070907751406</c:v>
                </c:pt>
                <c:pt idx="428">
                  <c:v>164.16234246134024</c:v>
                </c:pt>
                <c:pt idx="429">
                  <c:v>164.06175256799258</c:v>
                </c:pt>
                <c:pt idx="430">
                  <c:v>163.96120686362687</c:v>
                </c:pt>
                <c:pt idx="431">
                  <c:v>163.86070450230014</c:v>
                </c:pt>
                <c:pt idx="432">
                  <c:v>163.76024465783391</c:v>
                </c:pt>
                <c:pt idx="433">
                  <c:v>163.65756405376976</c:v>
                </c:pt>
                <c:pt idx="434">
                  <c:v>163.55492621809469</c:v>
                </c:pt>
                <c:pt idx="435">
                  <c:v>163.4523303279739</c:v>
                </c:pt>
                <c:pt idx="436">
                  <c:v>163.34977557979229</c:v>
                </c:pt>
                <c:pt idx="437">
                  <c:v>163.2448141326521</c:v>
                </c:pt>
                <c:pt idx="438">
                  <c:v>163.13989416980641</c:v>
                </c:pt>
                <c:pt idx="439">
                  <c:v>163.03501488777434</c:v>
                </c:pt>
                <c:pt idx="440">
                  <c:v>162.93017550186767</c:v>
                </c:pt>
                <c:pt idx="441">
                  <c:v>162.82293193366442</c:v>
                </c:pt>
                <c:pt idx="442">
                  <c:v>162.71572853930016</c:v>
                </c:pt>
                <c:pt idx="443">
                  <c:v>162.60856453557543</c:v>
                </c:pt>
                <c:pt idx="444">
                  <c:v>162.50143915763439</c:v>
                </c:pt>
                <c:pt idx="445">
                  <c:v>162.39191188814118</c:v>
                </c:pt>
                <c:pt idx="446">
                  <c:v>162.28242346287928</c:v>
                </c:pt>
                <c:pt idx="447">
                  <c:v>162.17297311970827</c:v>
                </c:pt>
                <c:pt idx="448">
                  <c:v>162.06356011436353</c:v>
                </c:pt>
                <c:pt idx="449">
                  <c:v>161.95155988010467</c:v>
                </c:pt>
                <c:pt idx="450">
                  <c:v>161.83959727259801</c:v>
                </c:pt>
                <c:pt idx="451">
                  <c:v>161.72767154771989</c:v>
                </c:pt>
                <c:pt idx="452">
                  <c:v>161.61578197885805</c:v>
                </c:pt>
                <c:pt idx="453">
                  <c:v>161.50140101251989</c:v>
                </c:pt>
                <c:pt idx="454">
                  <c:v>161.38705637161132</c:v>
                </c:pt>
                <c:pt idx="455">
                  <c:v>161.2727473327854</c:v>
                </c:pt>
                <c:pt idx="456">
                  <c:v>161.15847318976387</c:v>
                </c:pt>
                <c:pt idx="457">
                  <c:v>161.0415225677533</c:v>
                </c:pt>
                <c:pt idx="458">
                  <c:v>160.92460707224885</c:v>
                </c:pt>
                <c:pt idx="459">
                  <c:v>160.80772599798675</c:v>
                </c:pt>
                <c:pt idx="460">
                  <c:v>160.69087865642379</c:v>
                </c:pt>
                <c:pt idx="461">
                  <c:v>160.5713568370804</c:v>
                </c:pt>
                <c:pt idx="462">
                  <c:v>160.45186892572639</c:v>
                </c:pt>
                <c:pt idx="463">
                  <c:v>160.3324142361636</c:v>
                </c:pt>
                <c:pt idx="464">
                  <c:v>160.2129920985478</c:v>
                </c:pt>
                <c:pt idx="465">
                  <c:v>160.09080402756197</c:v>
                </c:pt>
                <c:pt idx="466">
                  <c:v>159.96864868312801</c:v>
                </c:pt>
                <c:pt idx="467">
                  <c:v>159.84652539747427</c:v>
                </c:pt>
                <c:pt idx="468">
                  <c:v>159.72443351885249</c:v>
                </c:pt>
                <c:pt idx="469">
                  <c:v>159.59957747402123</c:v>
                </c:pt>
                <c:pt idx="470">
                  <c:v>159.47475296111273</c:v>
                </c:pt>
                <c:pt idx="471">
                  <c:v>159.3499593317612</c:v>
                </c:pt>
                <c:pt idx="472">
                  <c:v>159.22519595327725</c:v>
                </c:pt>
                <c:pt idx="473">
                  <c:v>159.09748384919962</c:v>
                </c:pt>
                <c:pt idx="474">
                  <c:v>158.96980216419593</c:v>
                </c:pt>
                <c:pt idx="475">
                  <c:v>158.84215026747094</c:v>
                </c:pt>
                <c:pt idx="476">
                  <c:v>158.7145275436414</c:v>
                </c:pt>
                <c:pt idx="477">
                  <c:v>158.58395777166547</c:v>
                </c:pt>
                <c:pt idx="478">
                  <c:v>158.45341729303522</c:v>
                </c:pt>
                <c:pt idx="479">
                  <c:v>158.32290549571644</c:v>
                </c:pt>
                <c:pt idx="480">
                  <c:v>158.19242178280501</c:v>
                </c:pt>
                <c:pt idx="481">
                  <c:v>158.0589925272572</c:v>
                </c:pt>
                <c:pt idx="482">
                  <c:v>157.92559143452681</c:v>
                </c:pt>
                <c:pt idx="483">
                  <c:v>157.79221791245371</c:v>
                </c:pt>
                <c:pt idx="484">
                  <c:v>157.65887138371318</c:v>
                </c:pt>
                <c:pt idx="485">
                  <c:v>157.52248782901205</c:v>
                </c:pt>
                <c:pt idx="486">
                  <c:v>157.38613134617196</c:v>
                </c:pt>
                <c:pt idx="487">
                  <c:v>157.24980136280234</c:v>
                </c:pt>
                <c:pt idx="488">
                  <c:v>157.11349732108991</c:v>
                </c:pt>
                <c:pt idx="489">
                  <c:v>156.97397204438892</c:v>
                </c:pt>
                <c:pt idx="490">
                  <c:v>156.83447282205344</c:v>
                </c:pt>
                <c:pt idx="491">
                  <c:v>156.69499910046252</c:v>
                </c:pt>
                <c:pt idx="492">
                  <c:v>156.55555034038701</c:v>
                </c:pt>
                <c:pt idx="493">
                  <c:v>156.41288172142697</c:v>
                </c:pt>
                <c:pt idx="494">
                  <c:v>156.27023814144019</c:v>
                </c:pt>
                <c:pt idx="495">
                  <c:v>156.12761906705703</c:v>
                </c:pt>
                <c:pt idx="496">
                  <c:v>155.98502397910144</c:v>
                </c:pt>
                <c:pt idx="497">
                  <c:v>155.83911764093975</c:v>
                </c:pt>
                <c:pt idx="498">
                  <c:v>155.69323536825971</c:v>
                </c:pt>
                <c:pt idx="499">
                  <c:v>155.54737664842526</c:v>
                </c:pt>
                <c:pt idx="500">
                  <c:v>155.40154098283131</c:v>
                </c:pt>
                <c:pt idx="501">
                  <c:v>155.25230270351037</c:v>
                </c:pt>
                <c:pt idx="502">
                  <c:v>155.10308756095066</c:v>
                </c:pt>
                <c:pt idx="503">
                  <c:v>154.95389506395048</c:v>
                </c:pt>
                <c:pt idx="504">
                  <c:v>154.80472473520192</c:v>
                </c:pt>
                <c:pt idx="505">
                  <c:v>154.65215297562901</c:v>
                </c:pt>
                <c:pt idx="506">
                  <c:v>154.49960344627667</c:v>
                </c:pt>
                <c:pt idx="507">
                  <c:v>154.34707567913222</c:v>
                </c:pt>
                <c:pt idx="508">
                  <c:v>154.19456921994262</c:v>
                </c:pt>
                <c:pt idx="509">
                  <c:v>154.03856995139077</c:v>
                </c:pt>
                <c:pt idx="510">
                  <c:v>153.88259206501087</c:v>
                </c:pt>
                <c:pt idx="511">
                  <c:v>153.72663511697652</c:v>
                </c:pt>
                <c:pt idx="512">
                  <c:v>153.57069867712286</c:v>
                </c:pt>
                <c:pt idx="513">
                  <c:v>153.41108567882213</c:v>
                </c:pt>
                <c:pt idx="514">
                  <c:v>153.25149330292075</c:v>
                </c:pt>
                <c:pt idx="515">
                  <c:v>153.09192113031517</c:v>
                </c:pt>
                <c:pt idx="516">
                  <c:v>152.93236875552842</c:v>
                </c:pt>
                <c:pt idx="517">
                  <c:v>152.76914098214476</c:v>
                </c:pt>
                <c:pt idx="518">
                  <c:v>152.6059331178393</c:v>
                </c:pt>
                <c:pt idx="519">
                  <c:v>152.44274477056194</c:v>
                </c:pt>
                <c:pt idx="520">
                  <c:v>152.27957556186101</c:v>
                </c:pt>
                <c:pt idx="521">
                  <c:v>152.11263973942843</c:v>
                </c:pt>
                <c:pt idx="522">
                  <c:v>151.94572319467594</c:v>
                </c:pt>
                <c:pt idx="523">
                  <c:v>151.77882556442214</c:v>
                </c:pt>
                <c:pt idx="524">
                  <c:v>151.61194649909194</c:v>
                </c:pt>
                <c:pt idx="525">
                  <c:v>151.44120968444471</c:v>
                </c:pt>
                <c:pt idx="526">
                  <c:v>151.27049160910605</c:v>
                </c:pt>
                <c:pt idx="527">
                  <c:v>151.09979194089024</c:v>
                </c:pt>
                <c:pt idx="528">
                  <c:v>150.9291103612681</c:v>
                </c:pt>
                <c:pt idx="529">
                  <c:v>150.75447999405714</c:v>
                </c:pt>
                <c:pt idx="530">
                  <c:v>150.5798679338665</c:v>
                </c:pt>
                <c:pt idx="531">
                  <c:v>150.40527388197668</c:v>
                </c:pt>
                <c:pt idx="532">
                  <c:v>150.23069755341652</c:v>
                </c:pt>
                <c:pt idx="533">
                  <c:v>150.05198930979674</c:v>
                </c:pt>
                <c:pt idx="534">
                  <c:v>149.87329908063774</c:v>
                </c:pt>
                <c:pt idx="535">
                  <c:v>149.69462660313081</c:v>
                </c:pt>
                <c:pt idx="536">
                  <c:v>149.51597162838323</c:v>
                </c:pt>
                <c:pt idx="537">
                  <c:v>149.33327836179126</c:v>
                </c:pt>
                <c:pt idx="538">
                  <c:v>149.15060291856165</c:v>
                </c:pt>
                <c:pt idx="539">
                  <c:v>148.96794507586245</c:v>
                </c:pt>
                <c:pt idx="540">
                  <c:v>148.78530462493566</c:v>
                </c:pt>
                <c:pt idx="541">
                  <c:v>148.59835095597586</c:v>
                </c:pt>
                <c:pt idx="542">
                  <c:v>148.41141511469857</c:v>
                </c:pt>
                <c:pt idx="543">
                  <c:v>148.22449692125423</c:v>
                </c:pt>
                <c:pt idx="544">
                  <c:v>148.0375962101275</c:v>
                </c:pt>
                <c:pt idx="545">
                  <c:v>147.84638404503491</c:v>
                </c:pt>
                <c:pt idx="546">
                  <c:v>147.65518987585139</c:v>
                </c:pt>
                <c:pt idx="547">
                  <c:v>147.46401357022896</c:v>
                </c:pt>
                <c:pt idx="548">
                  <c:v>147.2728550104386</c:v>
                </c:pt>
                <c:pt idx="549">
                  <c:v>147.07729485788673</c:v>
                </c:pt>
                <c:pt idx="550">
                  <c:v>146.88175307775069</c:v>
                </c:pt>
                <c:pt idx="551">
                  <c:v>146.68622958986307</c:v>
                </c:pt>
                <c:pt idx="552">
                  <c:v>146.49072432902531</c:v>
                </c:pt>
                <c:pt idx="553">
                  <c:v>146.29063560173839</c:v>
                </c:pt>
                <c:pt idx="554">
                  <c:v>146.09056587852302</c:v>
                </c:pt>
                <c:pt idx="555">
                  <c:v>145.89051513662019</c:v>
                </c:pt>
                <c:pt idx="556">
                  <c:v>145.69048336867314</c:v>
                </c:pt>
                <c:pt idx="557">
                  <c:v>145.28109393522399</c:v>
                </c:pt>
                <c:pt idx="558">
                  <c:v>144.87178431020351</c:v>
                </c:pt>
                <c:pt idx="559">
                  <c:v>144.45317586853028</c:v>
                </c:pt>
                <c:pt idx="560">
                  <c:v>144.0346522945961</c:v>
                </c:pt>
                <c:pt idx="561">
                  <c:v>143.60628794253907</c:v>
                </c:pt>
                <c:pt idx="562">
                  <c:v>143.17801510636409</c:v>
                </c:pt>
                <c:pt idx="563">
                  <c:v>142.74064813039888</c:v>
                </c:pt>
                <c:pt idx="564">
                  <c:v>142.30338053927542</c:v>
                </c:pt>
                <c:pt idx="565">
                  <c:v>141.85519507896015</c:v>
                </c:pt>
                <c:pt idx="566">
                  <c:v>141.40711947778317</c:v>
                </c:pt>
                <c:pt idx="567">
                  <c:v>140.94814289551667</c:v>
                </c:pt>
                <c:pt idx="568">
                  <c:v>140.48928871793328</c:v>
                </c:pt>
                <c:pt idx="569">
                  <c:v>140.02138776030478</c:v>
                </c:pt>
                <c:pt idx="570">
                  <c:v>139.55362299471085</c:v>
                </c:pt>
                <c:pt idx="571">
                  <c:v>139.07316468606939</c:v>
                </c:pt>
                <c:pt idx="572">
                  <c:v>138.59286109882643</c:v>
                </c:pt>
                <c:pt idx="573">
                  <c:v>138.10355687495914</c:v>
                </c:pt>
                <c:pt idx="574">
                  <c:v>137.61442642151206</c:v>
                </c:pt>
                <c:pt idx="575">
                  <c:v>137.11266048182176</c:v>
                </c:pt>
                <c:pt idx="576">
                  <c:v>136.6110931750149</c:v>
                </c:pt>
                <c:pt idx="577">
                  <c:v>134.49007240087823</c:v>
                </c:pt>
                <c:pt idx="578">
                  <c:v>132.37348971141884</c:v>
                </c:pt>
                <c:pt idx="579">
                  <c:v>127.75496231153225</c:v>
                </c:pt>
                <c:pt idx="580">
                  <c:v>122.72745650048304</c:v>
                </c:pt>
                <c:pt idx="581">
                  <c:v>117.28582350578425</c:v>
                </c:pt>
                <c:pt idx="582">
                  <c:v>111.42782776718254</c:v>
                </c:pt>
                <c:pt idx="583">
                  <c:v>105.17813845725045</c:v>
                </c:pt>
                <c:pt idx="584">
                  <c:v>98.577207735390246</c:v>
                </c:pt>
                <c:pt idx="585">
                  <c:v>91.70271769297085</c:v>
                </c:pt>
                <c:pt idx="586">
                  <c:v>84.656627728792742</c:v>
                </c:pt>
                <c:pt idx="587">
                  <c:v>77.561232715169325</c:v>
                </c:pt>
                <c:pt idx="588">
                  <c:v>70.561117104780678</c:v>
                </c:pt>
                <c:pt idx="589">
                  <c:v>63.785125710106605</c:v>
                </c:pt>
                <c:pt idx="590">
                  <c:v>57.352425103317501</c:v>
                </c:pt>
                <c:pt idx="591">
                  <c:v>51.350621580358002</c:v>
                </c:pt>
                <c:pt idx="592">
                  <c:v>45.836093898613505</c:v>
                </c:pt>
                <c:pt idx="593">
                  <c:v>40.831805984692608</c:v>
                </c:pt>
                <c:pt idx="594">
                  <c:v>36.337807318884373</c:v>
                </c:pt>
                <c:pt idx="595">
                  <c:v>32.332690402976709</c:v>
                </c:pt>
                <c:pt idx="596">
                  <c:v>28.784196266283484</c:v>
                </c:pt>
                <c:pt idx="597">
                  <c:v>25.651509127821047</c:v>
                </c:pt>
                <c:pt idx="598">
                  <c:v>22.892615427982278</c:v>
                </c:pt>
                <c:pt idx="599">
                  <c:v>20.464305717060977</c:v>
                </c:pt>
                <c:pt idx="600">
                  <c:v>18.326717250125544</c:v>
                </c:pt>
              </c:numCache>
            </c:numRef>
          </c:yVal>
          <c:smooth val="0"/>
          <c:extLst>
            <c:ext xmlns:c16="http://schemas.microsoft.com/office/drawing/2014/chart" uri="{C3380CC4-5D6E-409C-BE32-E72D297353CC}">
              <c16:uniqueId val="{00000004-417B-42DD-99BF-4436D67A6013}"/>
            </c:ext>
          </c:extLst>
        </c:ser>
        <c:ser>
          <c:idx val="8"/>
          <c:order val="5"/>
          <c:tx>
            <c:strRef>
              <c:f>'IL Stability Calculations'!$AY$12</c:f>
              <c:strCache>
                <c:ptCount val="1"/>
                <c:pt idx="0">
                  <c:v>Phase (°)</c:v>
                </c:pt>
              </c:strCache>
            </c:strRef>
          </c:tx>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Calculations'!$AY$13:$AY$613</c:f>
              <c:numCache>
                <c:formatCode>0.00</c:formatCode>
                <c:ptCount val="601"/>
                <c:pt idx="0">
                  <c:v>97.621902175433576</c:v>
                </c:pt>
                <c:pt idx="1">
                  <c:v>96.717891339134084</c:v>
                </c:pt>
                <c:pt idx="2">
                  <c:v>95.8679242909744</c:v>
                </c:pt>
                <c:pt idx="3">
                  <c:v>95.065817712966322</c:v>
                </c:pt>
                <c:pt idx="4">
                  <c:v>94.306148023645434</c:v>
                </c:pt>
                <c:pt idx="5">
                  <c:v>93.582051956979726</c:v>
                </c:pt>
                <c:pt idx="6">
                  <c:v>92.889265958110641</c:v>
                </c:pt>
                <c:pt idx="7">
                  <c:v>92.222306580054962</c:v>
                </c:pt>
                <c:pt idx="8">
                  <c:v>91.576958711913889</c:v>
                </c:pt>
                <c:pt idx="9">
                  <c:v>90.948380695951386</c:v>
                </c:pt>
                <c:pt idx="10">
                  <c:v>90.332969896044006</c:v>
                </c:pt>
                <c:pt idx="11">
                  <c:v>89.72709736146868</c:v>
                </c:pt>
                <c:pt idx="12">
                  <c:v>89.127406593354337</c:v>
                </c:pt>
                <c:pt idx="13">
                  <c:v>88.532013887295307</c:v>
                </c:pt>
                <c:pt idx="14">
                  <c:v>87.938666928640885</c:v>
                </c:pt>
                <c:pt idx="15">
                  <c:v>87.346625626580106</c:v>
                </c:pt>
                <c:pt idx="16">
                  <c:v>86.755816732500165</c:v>
                </c:pt>
                <c:pt idx="17">
                  <c:v>86.167385410077287</c:v>
                </c:pt>
                <c:pt idx="18">
                  <c:v>85.583445188775855</c:v>
                </c:pt>
                <c:pt idx="19">
                  <c:v>85.007768086356833</c:v>
                </c:pt>
                <c:pt idx="20">
                  <c:v>84.44523927011484</c:v>
                </c:pt>
                <c:pt idx="21">
                  <c:v>83.902325953624796</c:v>
                </c:pt>
                <c:pt idx="22">
                  <c:v>83.386470944431238</c:v>
                </c:pt>
                <c:pt idx="23">
                  <c:v>82.906271181082772</c:v>
                </c:pt>
                <c:pt idx="24">
                  <c:v>82.470541919869873</c:v>
                </c:pt>
                <c:pt idx="25">
                  <c:v>82.088171891114541</c:v>
                </c:pt>
                <c:pt idx="26">
                  <c:v>81.767090299468776</c:v>
                </c:pt>
                <c:pt idx="27">
                  <c:v>81.513876715358364</c:v>
                </c:pt>
                <c:pt idx="28">
                  <c:v>81.332778056089523</c:v>
                </c:pt>
                <c:pt idx="29">
                  <c:v>81.225409038624804</c:v>
                </c:pt>
                <c:pt idx="30">
                  <c:v>81.190264657826958</c:v>
                </c:pt>
                <c:pt idx="31">
                  <c:v>81.223185612398339</c:v>
                </c:pt>
                <c:pt idx="32">
                  <c:v>81.317292732926219</c:v>
                </c:pt>
                <c:pt idx="33">
                  <c:v>81.46353572740945</c:v>
                </c:pt>
                <c:pt idx="34">
                  <c:v>81.65162730473439</c:v>
                </c:pt>
                <c:pt idx="35">
                  <c:v>81.870362454201967</c:v>
                </c:pt>
                <c:pt idx="36">
                  <c:v>82.108593663368552</c:v>
                </c:pt>
                <c:pt idx="37">
                  <c:v>82.355760157411822</c:v>
                </c:pt>
                <c:pt idx="38">
                  <c:v>82.601794374873975</c:v>
                </c:pt>
                <c:pt idx="39">
                  <c:v>82.838156795002234</c:v>
                </c:pt>
                <c:pt idx="40">
                  <c:v>83.05720833738647</c:v>
                </c:pt>
                <c:pt idx="41">
                  <c:v>83.25259791231052</c:v>
                </c:pt>
                <c:pt idx="42">
                  <c:v>83.419012713087952</c:v>
                </c:pt>
                <c:pt idx="43">
                  <c:v>83.552145389127901</c:v>
                </c:pt>
                <c:pt idx="44">
                  <c:v>83.648372045600354</c:v>
                </c:pt>
                <c:pt idx="45">
                  <c:v>83.704722721895479</c:v>
                </c:pt>
                <c:pt idx="46">
                  <c:v>83.718627981911169</c:v>
                </c:pt>
                <c:pt idx="47">
                  <c:v>83.687811259790763</c:v>
                </c:pt>
                <c:pt idx="48">
                  <c:v>83.610149143188664</c:v>
                </c:pt>
                <c:pt idx="49">
                  <c:v>83.483520720946132</c:v>
                </c:pt>
                <c:pt idx="50">
                  <c:v>83.30576994673639</c:v>
                </c:pt>
                <c:pt idx="51">
                  <c:v>83.074523085189895</c:v>
                </c:pt>
                <c:pt idx="52">
                  <c:v>82.787309516144873</c:v>
                </c:pt>
                <c:pt idx="53">
                  <c:v>82.441321979383574</c:v>
                </c:pt>
                <c:pt idx="54">
                  <c:v>82.033713170012177</c:v>
                </c:pt>
                <c:pt idx="55">
                  <c:v>81.560271137145648</c:v>
                </c:pt>
                <c:pt idx="56">
                  <c:v>81.017713606721401</c:v>
                </c:pt>
                <c:pt idx="57">
                  <c:v>80.40138398454117</c:v>
                </c:pt>
                <c:pt idx="58">
                  <c:v>79.707012820468989</c:v>
                </c:pt>
                <c:pt idx="59">
                  <c:v>78.92891700900222</c:v>
                </c:pt>
                <c:pt idx="60">
                  <c:v>78.06193980627819</c:v>
                </c:pt>
                <c:pt idx="61">
                  <c:v>77.100009354412606</c:v>
                </c:pt>
                <c:pt idx="62">
                  <c:v>76.036211483656601</c:v>
                </c:pt>
                <c:pt idx="63">
                  <c:v>74.864936508366341</c:v>
                </c:pt>
                <c:pt idx="64">
                  <c:v>73.578448726211036</c:v>
                </c:pt>
                <c:pt idx="65">
                  <c:v>72.170315617764032</c:v>
                </c:pt>
                <c:pt idx="66">
                  <c:v>70.633673507894656</c:v>
                </c:pt>
                <c:pt idx="67">
                  <c:v>68.962365511524837</c:v>
                </c:pt>
                <c:pt idx="68">
                  <c:v>67.150158990060675</c:v>
                </c:pt>
                <c:pt idx="69">
                  <c:v>65.192811658492516</c:v>
                </c:pt>
                <c:pt idx="70">
                  <c:v>63.086672961303734</c:v>
                </c:pt>
                <c:pt idx="71">
                  <c:v>60.83086376908696</c:v>
                </c:pt>
                <c:pt idx="72">
                  <c:v>58.426085033749501</c:v>
                </c:pt>
                <c:pt idx="73">
                  <c:v>55.87717966543245</c:v>
                </c:pt>
                <c:pt idx="74">
                  <c:v>53.191347813542791</c:v>
                </c:pt>
                <c:pt idx="75">
                  <c:v>50.380902631025066</c:v>
                </c:pt>
                <c:pt idx="76">
                  <c:v>47.461471634988158</c:v>
                </c:pt>
                <c:pt idx="77">
                  <c:v>44.454780812046749</c:v>
                </c:pt>
                <c:pt idx="78">
                  <c:v>41.385857991528979</c:v>
                </c:pt>
                <c:pt idx="79">
                  <c:v>38.285550066379301</c:v>
                </c:pt>
                <c:pt idx="80">
                  <c:v>35.180408074950975</c:v>
                </c:pt>
                <c:pt idx="81">
                  <c:v>32.108258128255301</c:v>
                </c:pt>
                <c:pt idx="82">
                  <c:v>29.100713479943238</c:v>
                </c:pt>
                <c:pt idx="83">
                  <c:v>26.192140597040293</c:v>
                </c:pt>
                <c:pt idx="84">
                  <c:v>23.409451109641509</c:v>
                </c:pt>
                <c:pt idx="85">
                  <c:v>20.778837377702303</c:v>
                </c:pt>
                <c:pt idx="86">
                  <c:v>18.318718742595848</c:v>
                </c:pt>
                <c:pt idx="87">
                  <c:v>16.040342993969745</c:v>
                </c:pt>
                <c:pt idx="88">
                  <c:v>13.951700729096302</c:v>
                </c:pt>
                <c:pt idx="89">
                  <c:v>12.05053816725038</c:v>
                </c:pt>
                <c:pt idx="90">
                  <c:v>10.331491645744563</c:v>
                </c:pt>
                <c:pt idx="91">
                  <c:v>8.7836445491157065</c:v>
                </c:pt>
                <c:pt idx="92">
                  <c:v>7.3930188113361339</c:v>
                </c:pt>
                <c:pt idx="93">
                  <c:v>6.1428424809572562</c:v>
                </c:pt>
                <c:pt idx="94">
                  <c:v>5.8503606036017288</c:v>
                </c:pt>
                <c:pt idx="95">
                  <c:v>5.706036074438515</c:v>
                </c:pt>
                <c:pt idx="96">
                  <c:v>5.5651743003620879</c:v>
                </c:pt>
                <c:pt idx="97">
                  <c:v>5.424493274945263</c:v>
                </c:pt>
                <c:pt idx="98">
                  <c:v>5.2871637647713499</c:v>
                </c:pt>
                <c:pt idx="99">
                  <c:v>5.1499514206091419</c:v>
                </c:pt>
                <c:pt idx="100">
                  <c:v>5.0159829053760348</c:v>
                </c:pt>
                <c:pt idx="101">
                  <c:v>4.8821717295998042</c:v>
                </c:pt>
                <c:pt idx="102">
                  <c:v>4.7514954079455265</c:v>
                </c:pt>
                <c:pt idx="103">
                  <c:v>4.62081922536467</c:v>
                </c:pt>
                <c:pt idx="104">
                  <c:v>4.4931770221306522</c:v>
                </c:pt>
                <c:pt idx="105">
                  <c:v>4.3655749320448649</c:v>
                </c:pt>
                <c:pt idx="106">
                  <c:v>4.2409047205532318</c:v>
                </c:pt>
                <c:pt idx="107">
                  <c:v>4.1163058475289631</c:v>
                </c:pt>
                <c:pt idx="108">
                  <c:v>3.9945362202777233</c:v>
                </c:pt>
                <c:pt idx="109">
                  <c:v>3.8727794491268241</c:v>
                </c:pt>
                <c:pt idx="110">
                  <c:v>3.7537530201395271</c:v>
                </c:pt>
                <c:pt idx="111">
                  <c:v>3.6346065430076067</c:v>
                </c:pt>
                <c:pt idx="112">
                  <c:v>3.5180984484105409</c:v>
                </c:pt>
                <c:pt idx="113">
                  <c:v>3.4015008664698883</c:v>
                </c:pt>
                <c:pt idx="114">
                  <c:v>3.2874492525365042</c:v>
                </c:pt>
                <c:pt idx="115">
                  <c:v>3.1732598423120066</c:v>
                </c:pt>
                <c:pt idx="116">
                  <c:v>3.0615271525576588</c:v>
                </c:pt>
                <c:pt idx="117">
                  <c:v>2.9496110732160048</c:v>
                </c:pt>
                <c:pt idx="118">
                  <c:v>2.8400654815730775</c:v>
                </c:pt>
                <c:pt idx="119">
                  <c:v>2.7303591329113033</c:v>
                </c:pt>
                <c:pt idx="120">
                  <c:v>2.6229372047152424</c:v>
                </c:pt>
                <c:pt idx="121">
                  <c:v>2.5153081143473344</c:v>
                </c:pt>
                <c:pt idx="122">
                  <c:v>2.4098805601867639</c:v>
                </c:pt>
                <c:pt idx="123">
                  <c:v>2.3041412163353527</c:v>
                </c:pt>
                <c:pt idx="124">
                  <c:v>2.2005259654222868</c:v>
                </c:pt>
                <c:pt idx="125">
                  <c:v>2.0966199713626281</c:v>
                </c:pt>
                <c:pt idx="126">
                  <c:v>1.9947608785138584</c:v>
                </c:pt>
                <c:pt idx="127">
                  <c:v>1.8925708593154411</c:v>
                </c:pt>
                <c:pt idx="128">
                  <c:v>1.7923533418143904</c:v>
                </c:pt>
                <c:pt idx="129">
                  <c:v>1.6917664200838658</c:v>
                </c:pt>
                <c:pt idx="130">
                  <c:v>1.5930802793027965</c:v>
                </c:pt>
                <c:pt idx="131">
                  <c:v>1.4939877825731003</c:v>
                </c:pt>
                <c:pt idx="132">
                  <c:v>1.4451331180902969</c:v>
                </c:pt>
                <c:pt idx="133">
                  <c:v>1.3967269208663708</c:v>
                </c:pt>
                <c:pt idx="134">
                  <c:v>1.3476250698896877</c:v>
                </c:pt>
                <c:pt idx="135">
                  <c:v>1.2989741414932041</c:v>
                </c:pt>
                <c:pt idx="136">
                  <c:v>1.2507648406297278</c:v>
                </c:pt>
                <c:pt idx="137">
                  <c:v>1.2029881155193607</c:v>
                </c:pt>
                <c:pt idx="138">
                  <c:v>1.1545649090072629</c:v>
                </c:pt>
                <c:pt idx="139">
                  <c:v>1.106575740166079</c:v>
                </c:pt>
                <c:pt idx="140">
                  <c:v>1.0590116677212507</c:v>
                </c:pt>
                <c:pt idx="141">
                  <c:v>1.0118639848162445</c:v>
                </c:pt>
                <c:pt idx="142">
                  <c:v>0.96402073488516749</c:v>
                </c:pt>
                <c:pt idx="143">
                  <c:v>0.91659611227632354</c:v>
                </c:pt>
                <c:pt idx="144">
                  <c:v>0.86958149238671467</c:v>
                </c:pt>
                <c:pt idx="145">
                  <c:v>0.82296847727519662</c:v>
                </c:pt>
                <c:pt idx="146">
                  <c:v>0.77568285062349673</c:v>
                </c:pt>
                <c:pt idx="147">
                  <c:v>0.72880055950636802</c:v>
                </c:pt>
                <c:pt idx="148">
                  <c:v>0.68231330005062318</c:v>
                </c:pt>
                <c:pt idx="149">
                  <c:v>0.63621298696534723</c:v>
                </c:pt>
                <c:pt idx="150">
                  <c:v>0.58943903027557099</c:v>
                </c:pt>
                <c:pt idx="151">
                  <c:v>0.54305366888684148</c:v>
                </c:pt>
                <c:pt idx="152">
                  <c:v>0.49704891000544649</c:v>
                </c:pt>
                <c:pt idx="153">
                  <c:v>0.45141697150097571</c:v>
                </c:pt>
                <c:pt idx="154">
                  <c:v>0.40508901489778282</c:v>
                </c:pt>
                <c:pt idx="155">
                  <c:v>0.35913578806824376</c:v>
                </c:pt>
                <c:pt idx="156">
                  <c:v>0.31354958929222221</c:v>
                </c:pt>
                <c:pt idx="157">
                  <c:v>0.26832292012682046</c:v>
                </c:pt>
                <c:pt idx="158">
                  <c:v>0.22239993713421313</c:v>
                </c:pt>
                <c:pt idx="159">
                  <c:v>0.17683828174398286</c:v>
                </c:pt>
                <c:pt idx="160">
                  <c:v>0.13163053550746895</c:v>
                </c:pt>
                <c:pt idx="161">
                  <c:v>8.6769475984226574E-2</c:v>
                </c:pt>
                <c:pt idx="162">
                  <c:v>4.1231507279093194E-2</c:v>
                </c:pt>
                <c:pt idx="163">
                  <c:v>-3.9583860257152992E-3</c:v>
                </c:pt>
                <c:pt idx="164">
                  <c:v>-4.8807337673110851E-2</c:v>
                </c:pt>
                <c:pt idx="165">
                  <c:v>-9.3322292864826295E-2</c:v>
                </c:pt>
                <c:pt idx="166">
                  <c:v>-0.13855448508678592</c:v>
                </c:pt>
                <c:pt idx="167">
                  <c:v>-0.18345079446362433</c:v>
                </c:pt>
                <c:pt idx="168">
                  <c:v>-0.22801809678836094</c:v>
                </c:pt>
                <c:pt idx="169">
                  <c:v>-0.27226308598002902</c:v>
                </c:pt>
                <c:pt idx="170">
                  <c:v>-0.31713155255229708</c:v>
                </c:pt>
                <c:pt idx="171">
                  <c:v>-0.36167728725405368</c:v>
                </c:pt>
                <c:pt idx="172">
                  <c:v>-0.40590687339417286</c:v>
                </c:pt>
                <c:pt idx="173">
                  <c:v>-0.44982672041942351</c:v>
                </c:pt>
                <c:pt idx="174">
                  <c:v>-0.49453877259941237</c:v>
                </c:pt>
                <c:pt idx="175">
                  <c:v>-0.53893837814547396</c:v>
                </c:pt>
                <c:pt idx="176">
                  <c:v>-0.58303191022267242</c:v>
                </c:pt>
                <c:pt idx="177">
                  <c:v>-0.62682557337896583</c:v>
                </c:pt>
                <c:pt idx="178">
                  <c:v>-0.67139142589610401</c:v>
                </c:pt>
                <c:pt idx="179">
                  <c:v>-0.71565514797271135</c:v>
                </c:pt>
                <c:pt idx="180">
                  <c:v>-0.75962289715533871</c:v>
                </c:pt>
                <c:pt idx="181">
                  <c:v>-0.80330066791898957</c:v>
                </c:pt>
                <c:pt idx="182">
                  <c:v>-0.84755931052296773</c:v>
                </c:pt>
                <c:pt idx="183">
                  <c:v>-0.89152836164464588</c:v>
                </c:pt>
                <c:pt idx="184">
                  <c:v>-0.93521369140225374</c:v>
                </c:pt>
                <c:pt idx="185">
                  <c:v>-0.97862101502047949</c:v>
                </c:pt>
                <c:pt idx="186">
                  <c:v>-1.0229362025653757</c:v>
                </c:pt>
                <c:pt idx="187">
                  <c:v>-1.0669696624876792</c:v>
                </c:pt>
                <c:pt idx="188">
                  <c:v>-1.1107271150529812</c:v>
                </c:pt>
                <c:pt idx="189">
                  <c:v>-1.1542141290850907</c:v>
                </c:pt>
                <c:pt idx="190">
                  <c:v>-1.1982584318633656</c:v>
                </c:pt>
                <c:pt idx="191">
                  <c:v>-1.2420330933502157</c:v>
                </c:pt>
                <c:pt idx="192">
                  <c:v>-1.2855435525860628</c:v>
                </c:pt>
                <c:pt idx="193">
                  <c:v>-1.3287951053209781</c:v>
                </c:pt>
                <c:pt idx="194">
                  <c:v>-1.3729168242585388</c:v>
                </c:pt>
                <c:pt idx="195">
                  <c:v>-1.4167767399346758</c:v>
                </c:pt>
                <c:pt idx="196">
                  <c:v>-1.4603801347130059</c:v>
                </c:pt>
                <c:pt idx="197">
                  <c:v>-1.5037321515438293</c:v>
                </c:pt>
                <c:pt idx="198">
                  <c:v>-1.5477789981885621</c:v>
                </c:pt>
                <c:pt idx="199">
                  <c:v>-1.5915737697547172</c:v>
                </c:pt>
                <c:pt idx="200">
                  <c:v>-1.6351215318474885</c:v>
                </c:pt>
                <c:pt idx="201">
                  <c:v>-1.6784272167191148</c:v>
                </c:pt>
                <c:pt idx="202">
                  <c:v>-1.7224159600916096</c:v>
                </c:pt>
                <c:pt idx="203">
                  <c:v>-1.7661621352087025</c:v>
                </c:pt>
                <c:pt idx="204">
                  <c:v>-1.8096705945715144</c:v>
                </c:pt>
                <c:pt idx="205">
                  <c:v>-1.8529460633342012</c:v>
                </c:pt>
                <c:pt idx="206">
                  <c:v>-1.8970439180418737</c:v>
                </c:pt>
                <c:pt idx="207">
                  <c:v>-1.9409068851451536</c:v>
                </c:pt>
                <c:pt idx="208">
                  <c:v>-1.9845396557678043</c:v>
                </c:pt>
                <c:pt idx="209">
                  <c:v>-2.027946797960027</c:v>
                </c:pt>
                <c:pt idx="210">
                  <c:v>-2.0723088389364079</c:v>
                </c:pt>
                <c:pt idx="211">
                  <c:v>-2.1164421536121836</c:v>
                </c:pt>
                <c:pt idx="212">
                  <c:v>-2.1603513144467854</c:v>
                </c:pt>
                <c:pt idx="213">
                  <c:v>-2.2040407736744498</c:v>
                </c:pt>
                <c:pt idx="214">
                  <c:v>-2.2483793002057268</c:v>
                </c:pt>
                <c:pt idx="215">
                  <c:v>-2.2924982687647173</c:v>
                </c:pt>
                <c:pt idx="216">
                  <c:v>-2.3364020411614206</c:v>
                </c:pt>
                <c:pt idx="217">
                  <c:v>-2.380094865094776</c:v>
                </c:pt>
                <c:pt idx="218">
                  <c:v>-2.4245700359117279</c:v>
                </c:pt>
                <c:pt idx="219">
                  <c:v>-2.4688331675259292</c:v>
                </c:pt>
                <c:pt idx="220">
                  <c:v>-2.5128884578099928</c:v>
                </c:pt>
                <c:pt idx="221">
                  <c:v>-2.5567399950702736</c:v>
                </c:pt>
                <c:pt idx="222">
                  <c:v>-2.6013626437170672</c:v>
                </c:pt>
                <c:pt idx="223">
                  <c:v>-2.6457806586198274</c:v>
                </c:pt>
                <c:pt idx="224">
                  <c:v>-2.6899980749595329</c:v>
                </c:pt>
                <c:pt idx="225">
                  <c:v>-2.7340188229040336</c:v>
                </c:pt>
                <c:pt idx="226">
                  <c:v>-2.778936584764125</c:v>
                </c:pt>
                <c:pt idx="227">
                  <c:v>-2.8236557892941505</c:v>
                </c:pt>
                <c:pt idx="228">
                  <c:v>-2.8681803461282414</c:v>
                </c:pt>
                <c:pt idx="229">
                  <c:v>-2.9125140632039859</c:v>
                </c:pt>
                <c:pt idx="230">
                  <c:v>-3.0027571247394462</c:v>
                </c:pt>
                <c:pt idx="231">
                  <c:v>-3.0475937489350429</c:v>
                </c:pt>
                <c:pt idx="232">
                  <c:v>-3.0922453792815077</c:v>
                </c:pt>
                <c:pt idx="233">
                  <c:v>-3.1377691015480025</c:v>
                </c:pt>
                <c:pt idx="234">
                  <c:v>-3.183106452829719</c:v>
                </c:pt>
                <c:pt idx="235">
                  <c:v>-3.2282610852399216</c:v>
                </c:pt>
                <c:pt idx="236">
                  <c:v>-3.2732365561853101</c:v>
                </c:pt>
                <c:pt idx="237">
                  <c:v>-3.31894351744387</c:v>
                </c:pt>
                <c:pt idx="238">
                  <c:v>-3.3644711664366014</c:v>
                </c:pt>
                <c:pt idx="239">
                  <c:v>-3.4098229958758566</c:v>
                </c:pt>
                <c:pt idx="240">
                  <c:v>-3.4550024083729056</c:v>
                </c:pt>
                <c:pt idx="241">
                  <c:v>-3.5011613628198006</c:v>
                </c:pt>
                <c:pt idx="242">
                  <c:v>-3.5471459415403217</c:v>
                </c:pt>
                <c:pt idx="243">
                  <c:v>-3.5929595381116428</c:v>
                </c:pt>
                <c:pt idx="244">
                  <c:v>-3.6386054585844363</c:v>
                </c:pt>
                <c:pt idx="245">
                  <c:v>-3.685092985312366</c:v>
                </c:pt>
                <c:pt idx="246">
                  <c:v>-3.7314120390119569</c:v>
                </c:pt>
                <c:pt idx="247">
                  <c:v>-3.7775658846896931</c:v>
                </c:pt>
                <c:pt idx="248">
                  <c:v>-3.8235577034426456</c:v>
                </c:pt>
                <c:pt idx="249">
                  <c:v>-3.8705065107524206</c:v>
                </c:pt>
                <c:pt idx="250">
                  <c:v>-3.917291790249493</c:v>
                </c:pt>
                <c:pt idx="251">
                  <c:v>-3.9639167047673141</c:v>
                </c:pt>
                <c:pt idx="252">
                  <c:v>-4.010384335973157</c:v>
                </c:pt>
                <c:pt idx="253">
                  <c:v>-4.057676217983186</c:v>
                </c:pt>
                <c:pt idx="254">
                  <c:v>-4.1048103359439665</c:v>
                </c:pt>
                <c:pt idx="255">
                  <c:v>-4.151789725703793</c:v>
                </c:pt>
                <c:pt idx="256">
                  <c:v>-4.1986173455616438</c:v>
                </c:pt>
                <c:pt idx="257">
                  <c:v>-4.2465034191586994</c:v>
                </c:pt>
                <c:pt idx="258">
                  <c:v>-4.2942358250925281</c:v>
                </c:pt>
                <c:pt idx="259">
                  <c:v>-4.3418175190130341</c:v>
                </c:pt>
                <c:pt idx="260">
                  <c:v>-4.3892513810760079</c:v>
                </c:pt>
                <c:pt idx="261">
                  <c:v>-4.43761330074733</c:v>
                </c:pt>
                <c:pt idx="262">
                  <c:v>-4.4858264546423925</c:v>
                </c:pt>
                <c:pt idx="263">
                  <c:v>-4.5338936940379426</c:v>
                </c:pt>
                <c:pt idx="264">
                  <c:v>-4.5818177976151446</c:v>
                </c:pt>
                <c:pt idx="265">
                  <c:v>-4.6306617585856884</c:v>
                </c:pt>
                <c:pt idx="266">
                  <c:v>-4.6793618007531848</c:v>
                </c:pt>
                <c:pt idx="267">
                  <c:v>-4.7279206716067392</c:v>
                </c:pt>
                <c:pt idx="268">
                  <c:v>-4.7763410489417026</c:v>
                </c:pt>
                <c:pt idx="269">
                  <c:v>-4.8257901758104254</c:v>
                </c:pt>
                <c:pt idx="270">
                  <c:v>-4.875099508486727</c:v>
                </c:pt>
                <c:pt idx="271">
                  <c:v>-4.9242717103255416</c:v>
                </c:pt>
                <c:pt idx="272">
                  <c:v>-4.9733093772459256</c:v>
                </c:pt>
                <c:pt idx="273">
                  <c:v>-5.0233669021375249</c:v>
                </c:pt>
                <c:pt idx="274">
                  <c:v>-5.0732887676958853</c:v>
                </c:pt>
                <c:pt idx="275">
                  <c:v>-5.1230775519660199</c:v>
                </c:pt>
                <c:pt idx="276">
                  <c:v>-5.172735767875082</c:v>
                </c:pt>
                <c:pt idx="277">
                  <c:v>-5.2232916482836345</c:v>
                </c:pt>
                <c:pt idx="278">
                  <c:v>-5.2737165810139288</c:v>
                </c:pt>
                <c:pt idx="279">
                  <c:v>-5.3240130416519662</c:v>
                </c:pt>
                <c:pt idx="280">
                  <c:v>-5.3741834435760438</c:v>
                </c:pt>
                <c:pt idx="281">
                  <c:v>-5.4255841074647435</c:v>
                </c:pt>
                <c:pt idx="282">
                  <c:v>-5.4768567582957814</c:v>
                </c:pt>
                <c:pt idx="283">
                  <c:v>-5.5280038186279512</c:v>
                </c:pt>
                <c:pt idx="284">
                  <c:v>-5.579027650087852</c:v>
                </c:pt>
                <c:pt idx="285">
                  <c:v>-5.6309362216404679</c:v>
                </c:pt>
                <c:pt idx="286">
                  <c:v>-5.6827214162496489</c:v>
                </c:pt>
                <c:pt idx="287">
                  <c:v>-5.734385554752464</c:v>
                </c:pt>
                <c:pt idx="288">
                  <c:v>-5.7859308999677808</c:v>
                </c:pt>
                <c:pt idx="289">
                  <c:v>-5.8386881854229102</c:v>
                </c:pt>
                <c:pt idx="290">
                  <c:v>-5.8913250983556793</c:v>
                </c:pt>
                <c:pt idx="291">
                  <c:v>-5.9438439030732866</c:v>
                </c:pt>
                <c:pt idx="292">
                  <c:v>-5.9962468072897934</c:v>
                </c:pt>
                <c:pt idx="293">
                  <c:v>-6.0497429989103182</c:v>
                </c:pt>
                <c:pt idx="294">
                  <c:v>-6.1031223727874533</c:v>
                </c:pt>
                <c:pt idx="295">
                  <c:v>-6.1563871206147951</c:v>
                </c:pt>
                <c:pt idx="296">
                  <c:v>-6.2095393794669178</c:v>
                </c:pt>
                <c:pt idx="297">
                  <c:v>-6.2637780450095875</c:v>
                </c:pt>
                <c:pt idx="298">
                  <c:v>-6.3179034348620462</c:v>
                </c:pt>
                <c:pt idx="299">
                  <c:v>-6.3719176678549729</c:v>
                </c:pt>
                <c:pt idx="300">
                  <c:v>-6.4258228101918462</c:v>
                </c:pt>
                <c:pt idx="301">
                  <c:v>-6.4808079941624328</c:v>
                </c:pt>
                <c:pt idx="302">
                  <c:v>-6.5356834183932051</c:v>
                </c:pt>
                <c:pt idx="303">
                  <c:v>-6.5904511290142409</c:v>
                </c:pt>
                <c:pt idx="304">
                  <c:v>-6.6451131215284818</c:v>
                </c:pt>
                <c:pt idx="305">
                  <c:v>-6.7010634322096223</c:v>
                </c:pt>
                <c:pt idx="306">
                  <c:v>-6.7569066500927875</c:v>
                </c:pt>
                <c:pt idx="307">
                  <c:v>-6.8126447717073688</c:v>
                </c:pt>
                <c:pt idx="308">
                  <c:v>-6.8682797442066033</c:v>
                </c:pt>
                <c:pt idx="309">
                  <c:v>-6.9249826419744522</c:v>
                </c:pt>
                <c:pt idx="310">
                  <c:v>-6.9815819496015763</c:v>
                </c:pt>
                <c:pt idx="311">
                  <c:v>-7.0380795902792954</c:v>
                </c:pt>
                <c:pt idx="312">
                  <c:v>-7.0944774398626862</c:v>
                </c:pt>
                <c:pt idx="313">
                  <c:v>-7.1521492876929358</c:v>
                </c:pt>
                <c:pt idx="314">
                  <c:v>-7.2097202561328402</c:v>
                </c:pt>
                <c:pt idx="315">
                  <c:v>-7.2671922165143314</c:v>
                </c:pt>
                <c:pt idx="316">
                  <c:v>-7.3245669941795484</c:v>
                </c:pt>
                <c:pt idx="317">
                  <c:v>-7.3832090161454573</c:v>
                </c:pt>
                <c:pt idx="318">
                  <c:v>-7.4417529030466767</c:v>
                </c:pt>
                <c:pt idx="319">
                  <c:v>-7.5002004729759904</c:v>
                </c:pt>
                <c:pt idx="320">
                  <c:v>-7.5585534994377497</c:v>
                </c:pt>
                <c:pt idx="321">
                  <c:v>-7.61816751070279</c:v>
                </c:pt>
                <c:pt idx="322">
                  <c:v>-7.6776861499470783</c:v>
                </c:pt>
                <c:pt idx="323">
                  <c:v>-7.7371111810775517</c:v>
                </c:pt>
                <c:pt idx="324">
                  <c:v>-7.7964443248524447</c:v>
                </c:pt>
                <c:pt idx="325">
                  <c:v>-7.8570326550711798</c:v>
                </c:pt>
                <c:pt idx="326">
                  <c:v>-7.9175283818827893</c:v>
                </c:pt>
                <c:pt idx="327">
                  <c:v>-7.9779332144456703</c:v>
                </c:pt>
                <c:pt idx="328">
                  <c:v>-8.0382488202361344</c:v>
                </c:pt>
                <c:pt idx="329">
                  <c:v>-8.099917120227758</c:v>
                </c:pt>
                <c:pt idx="330">
                  <c:v>-8.1614952815146751</c:v>
                </c:pt>
                <c:pt idx="331">
                  <c:v>-8.2229849664955168</c:v>
                </c:pt>
                <c:pt idx="332">
                  <c:v>-8.2843877971030508</c:v>
                </c:pt>
                <c:pt idx="333">
                  <c:v>-8.3470351872963136</c:v>
                </c:pt>
                <c:pt idx="334">
                  <c:v>-8.4095952112246835</c:v>
                </c:pt>
                <c:pt idx="335">
                  <c:v>-8.4720694756962587</c:v>
                </c:pt>
                <c:pt idx="336">
                  <c:v>-8.5344595485616424</c:v>
                </c:pt>
                <c:pt idx="337">
                  <c:v>-8.5982930772186137</c:v>
                </c:pt>
                <c:pt idx="338">
                  <c:v>-8.6620414479834551</c:v>
                </c:pt>
                <c:pt idx="339">
                  <c:v>-8.7257062272237533</c:v>
                </c:pt>
                <c:pt idx="340">
                  <c:v>-8.7892889433749133</c:v>
                </c:pt>
                <c:pt idx="341">
                  <c:v>-8.8543093034266178</c:v>
                </c:pt>
                <c:pt idx="342">
                  <c:v>-8.9192467532360808</c:v>
                </c:pt>
                <c:pt idx="343">
                  <c:v>-8.9841028173421194</c:v>
                </c:pt>
                <c:pt idx="344">
                  <c:v>-9.0488789834293186</c:v>
                </c:pt>
                <c:pt idx="345">
                  <c:v>-9.1149866938715149</c:v>
                </c:pt>
                <c:pt idx="346">
                  <c:v>-9.1810140111254839</c:v>
                </c:pt>
                <c:pt idx="347">
                  <c:v>-9.2469624102021442</c:v>
                </c:pt>
                <c:pt idx="348">
                  <c:v>-9.3128333305893136</c:v>
                </c:pt>
                <c:pt idx="349">
                  <c:v>-9.3802319909566734</c:v>
                </c:pt>
                <c:pt idx="350">
                  <c:v>-9.4475522953804898</c:v>
                </c:pt>
                <c:pt idx="351">
                  <c:v>-9.5147956822011395</c:v>
                </c:pt>
                <c:pt idx="352">
                  <c:v>-9.5819635551603994</c:v>
                </c:pt>
                <c:pt idx="353">
                  <c:v>-9.6506538615720103</c:v>
                </c:pt>
                <c:pt idx="354">
                  <c:v>-9.7192678865556559</c:v>
                </c:pt>
                <c:pt idx="355">
                  <c:v>-9.7878070305029894</c:v>
                </c:pt>
                <c:pt idx="356">
                  <c:v>-9.8562726601790018</c:v>
                </c:pt>
                <c:pt idx="357">
                  <c:v>-9.9261564518196224</c:v>
                </c:pt>
                <c:pt idx="358">
                  <c:v>-9.9959662707317989</c:v>
                </c:pt>
                <c:pt idx="359">
                  <c:v>-10.065703472684334</c:v>
                </c:pt>
                <c:pt idx="360">
                  <c:v>-10.135369381007763</c:v>
                </c:pt>
                <c:pt idx="361">
                  <c:v>-10.206647404864356</c:v>
                </c:pt>
                <c:pt idx="362">
                  <c:v>-10.277853355002406</c:v>
                </c:pt>
                <c:pt idx="363">
                  <c:v>-10.348988553536145</c:v>
                </c:pt>
                <c:pt idx="364">
                  <c:v>-10.420054290987252</c:v>
                </c:pt>
                <c:pt idx="365">
                  <c:v>-10.492628785099782</c:v>
                </c:pt>
                <c:pt idx="366">
                  <c:v>-10.565133326685697</c:v>
                </c:pt>
                <c:pt idx="367">
                  <c:v>-10.637569197899182</c:v>
                </c:pt>
                <c:pt idx="368">
                  <c:v>-10.709937650352629</c:v>
                </c:pt>
                <c:pt idx="369">
                  <c:v>-10.784007348591274</c:v>
                </c:pt>
                <c:pt idx="370">
                  <c:v>-10.858008855012372</c:v>
                </c:pt>
                <c:pt idx="371">
                  <c:v>-10.931943421467906</c:v>
                </c:pt>
                <c:pt idx="372">
                  <c:v>-11.00581227001544</c:v>
                </c:pt>
                <c:pt idx="373">
                  <c:v>-11.081279882328033</c:v>
                </c:pt>
                <c:pt idx="374">
                  <c:v>-11.156681272739377</c:v>
                </c:pt>
                <c:pt idx="375">
                  <c:v>-11.232017656877787</c:v>
                </c:pt>
                <c:pt idx="376">
                  <c:v>-11.307290221517178</c:v>
                </c:pt>
                <c:pt idx="377">
                  <c:v>-11.384352765778175</c:v>
                </c:pt>
                <c:pt idx="378">
                  <c:v>-11.461350739806988</c:v>
                </c:pt>
                <c:pt idx="379">
                  <c:v>-11.538285331553112</c:v>
                </c:pt>
                <c:pt idx="380">
                  <c:v>-11.615157700786767</c:v>
                </c:pt>
                <c:pt idx="381">
                  <c:v>-11.693621217673808</c:v>
                </c:pt>
                <c:pt idx="382">
                  <c:v>-11.772022165430059</c:v>
                </c:pt>
                <c:pt idx="383">
                  <c:v>-11.850361694563162</c:v>
                </c:pt>
                <c:pt idx="384">
                  <c:v>-11.928640928386784</c:v>
                </c:pt>
                <c:pt idx="385">
                  <c:v>-12.008798759989872</c:v>
                </c:pt>
                <c:pt idx="386">
                  <c:v>-12.08889557510966</c:v>
                </c:pt>
                <c:pt idx="387">
                  <c:v>-12.168932498962732</c:v>
                </c:pt>
                <c:pt idx="388">
                  <c:v>-12.248910630177846</c:v>
                </c:pt>
                <c:pt idx="389">
                  <c:v>-12.330666511698439</c:v>
                </c:pt>
                <c:pt idx="390">
                  <c:v>-12.412363112034029</c:v>
                </c:pt>
                <c:pt idx="391">
                  <c:v>-12.494001525952427</c:v>
                </c:pt>
                <c:pt idx="392">
                  <c:v>-12.5755828224043</c:v>
                </c:pt>
                <c:pt idx="393">
                  <c:v>-12.658938354135813</c:v>
                </c:pt>
                <c:pt idx="394">
                  <c:v>-12.742236354788787</c:v>
                </c:pt>
                <c:pt idx="395">
                  <c:v>-12.825477888116779</c:v>
                </c:pt>
                <c:pt idx="396">
                  <c:v>-12.908663992848602</c:v>
                </c:pt>
                <c:pt idx="397">
                  <c:v>-12.99381324124414</c:v>
                </c:pt>
                <c:pt idx="398">
                  <c:v>-13.078906465731365</c:v>
                </c:pt>
                <c:pt idx="399">
                  <c:v>-13.163944705625397</c:v>
                </c:pt>
                <c:pt idx="400">
                  <c:v>-13.248928975804262</c:v>
                </c:pt>
                <c:pt idx="401">
                  <c:v>-13.33577684846631</c:v>
                </c:pt>
                <c:pt idx="402">
                  <c:v>-13.422570358594442</c:v>
                </c:pt>
                <c:pt idx="403">
                  <c:v>-13.509310516676436</c:v>
                </c:pt>
                <c:pt idx="404">
                  <c:v>-13.595998309490398</c:v>
                </c:pt>
                <c:pt idx="405">
                  <c:v>-13.684642227126375</c:v>
                </c:pt>
                <c:pt idx="406">
                  <c:v>-13.773233340841728</c:v>
                </c:pt>
                <c:pt idx="407">
                  <c:v>-13.861772635014603</c:v>
                </c:pt>
                <c:pt idx="408">
                  <c:v>-13.950261070957026</c:v>
                </c:pt>
                <c:pt idx="409">
                  <c:v>-14.040797853209455</c:v>
                </c:pt>
                <c:pt idx="410">
                  <c:v>-14.131283302304155</c:v>
                </c:pt>
                <c:pt idx="411">
                  <c:v>-14.221718378842894</c:v>
                </c:pt>
                <c:pt idx="412">
                  <c:v>-14.312104020934925</c:v>
                </c:pt>
                <c:pt idx="413">
                  <c:v>-14.404534798684409</c:v>
                </c:pt>
                <c:pt idx="414">
                  <c:v>-14.496915741090049</c:v>
                </c:pt>
                <c:pt idx="415">
                  <c:v>-14.589247784115656</c:v>
                </c:pt>
                <c:pt idx="416">
                  <c:v>-14.681531841831401</c:v>
                </c:pt>
                <c:pt idx="417">
                  <c:v>-14.775953052957419</c:v>
                </c:pt>
                <c:pt idx="418">
                  <c:v>-14.870325849503843</c:v>
                </c:pt>
                <c:pt idx="419">
                  <c:v>-14.964651144847352</c:v>
                </c:pt>
                <c:pt idx="420">
                  <c:v>-15.058929831006793</c:v>
                </c:pt>
                <c:pt idx="421">
                  <c:v>-15.155247907128796</c:v>
                </c:pt>
                <c:pt idx="422">
                  <c:v>-15.251519106939355</c:v>
                </c:pt>
                <c:pt idx="423">
                  <c:v>-15.347744317790983</c:v>
                </c:pt>
                <c:pt idx="424">
                  <c:v>-15.443924406321514</c:v>
                </c:pt>
                <c:pt idx="425">
                  <c:v>-15.542425214565952</c:v>
                </c:pt>
                <c:pt idx="426">
                  <c:v>-15.640880430488863</c:v>
                </c:pt>
                <c:pt idx="427">
                  <c:v>-15.739290922485935</c:v>
                </c:pt>
                <c:pt idx="428">
                  <c:v>-15.837657538659755</c:v>
                </c:pt>
                <c:pt idx="429">
                  <c:v>-15.938247432007415</c:v>
                </c:pt>
                <c:pt idx="430">
                  <c:v>-16.03879313637313</c:v>
                </c:pt>
                <c:pt idx="431">
                  <c:v>-16.139295497699862</c:v>
                </c:pt>
                <c:pt idx="432">
                  <c:v>-16.239755342166092</c:v>
                </c:pt>
                <c:pt idx="433">
                  <c:v>-16.342435946230239</c:v>
                </c:pt>
                <c:pt idx="434">
                  <c:v>-16.445073781905307</c:v>
                </c:pt>
                <c:pt idx="435">
                  <c:v>-16.547669672026103</c:v>
                </c:pt>
                <c:pt idx="436">
                  <c:v>-16.650224420207707</c:v>
                </c:pt>
                <c:pt idx="437">
                  <c:v>-16.755185867347905</c:v>
                </c:pt>
                <c:pt idx="438">
                  <c:v>-16.860105830193589</c:v>
                </c:pt>
                <c:pt idx="439">
                  <c:v>-16.964985112225662</c:v>
                </c:pt>
                <c:pt idx="440">
                  <c:v>-17.069824498132334</c:v>
                </c:pt>
                <c:pt idx="441">
                  <c:v>-17.177068066335579</c:v>
                </c:pt>
                <c:pt idx="442">
                  <c:v>-17.284271460699841</c:v>
                </c:pt>
                <c:pt idx="443">
                  <c:v>-17.391435464424575</c:v>
                </c:pt>
                <c:pt idx="444">
                  <c:v>-17.498560842365606</c:v>
                </c:pt>
                <c:pt idx="445">
                  <c:v>-17.60808811185882</c:v>
                </c:pt>
                <c:pt idx="446">
                  <c:v>-17.717576537120721</c:v>
                </c:pt>
                <c:pt idx="447">
                  <c:v>-17.827026880291726</c:v>
                </c:pt>
                <c:pt idx="448">
                  <c:v>-17.936439885636474</c:v>
                </c:pt>
                <c:pt idx="449">
                  <c:v>-18.048440119895332</c:v>
                </c:pt>
                <c:pt idx="450">
                  <c:v>-18.160402727401987</c:v>
                </c:pt>
                <c:pt idx="451">
                  <c:v>-18.272328452280107</c:v>
                </c:pt>
                <c:pt idx="452">
                  <c:v>-18.384218021141947</c:v>
                </c:pt>
                <c:pt idx="453">
                  <c:v>-18.498598987480108</c:v>
                </c:pt>
                <c:pt idx="454">
                  <c:v>-18.612943628388678</c:v>
                </c:pt>
                <c:pt idx="455">
                  <c:v>-18.7272526672146</c:v>
                </c:pt>
                <c:pt idx="456">
                  <c:v>-18.841526810236132</c:v>
                </c:pt>
                <c:pt idx="457">
                  <c:v>-18.958477432246696</c:v>
                </c:pt>
                <c:pt idx="458">
                  <c:v>-19.075392927751153</c:v>
                </c:pt>
                <c:pt idx="459">
                  <c:v>-19.192274002013249</c:v>
                </c:pt>
                <c:pt idx="460">
                  <c:v>-19.309121343576209</c:v>
                </c:pt>
                <c:pt idx="461">
                  <c:v>-19.428643162919599</c:v>
                </c:pt>
                <c:pt idx="462">
                  <c:v>-19.548131074273613</c:v>
                </c:pt>
                <c:pt idx="463">
                  <c:v>-19.667585763836399</c:v>
                </c:pt>
                <c:pt idx="464">
                  <c:v>-19.787007901452199</c:v>
                </c:pt>
                <c:pt idx="465">
                  <c:v>-19.909195972438027</c:v>
                </c:pt>
                <c:pt idx="466">
                  <c:v>-20.031351316871991</c:v>
                </c:pt>
                <c:pt idx="467">
                  <c:v>-20.153474602525733</c:v>
                </c:pt>
                <c:pt idx="468">
                  <c:v>-20.275566481147507</c:v>
                </c:pt>
                <c:pt idx="469">
                  <c:v>-20.400422525978769</c:v>
                </c:pt>
                <c:pt idx="470">
                  <c:v>-20.525247038887272</c:v>
                </c:pt>
                <c:pt idx="471">
                  <c:v>-20.650040668238802</c:v>
                </c:pt>
                <c:pt idx="472">
                  <c:v>-20.77480404672275</c:v>
                </c:pt>
                <c:pt idx="473">
                  <c:v>-20.902516150800381</c:v>
                </c:pt>
                <c:pt idx="474">
                  <c:v>-21.030197835804074</c:v>
                </c:pt>
                <c:pt idx="475">
                  <c:v>-21.157849732529058</c:v>
                </c:pt>
                <c:pt idx="476">
                  <c:v>-21.285472456358605</c:v>
                </c:pt>
                <c:pt idx="477">
                  <c:v>-21.416042228334533</c:v>
                </c:pt>
                <c:pt idx="478">
                  <c:v>-21.546582706964784</c:v>
                </c:pt>
                <c:pt idx="479">
                  <c:v>-21.677094504283559</c:v>
                </c:pt>
                <c:pt idx="480">
                  <c:v>-21.807578217194987</c:v>
                </c:pt>
                <c:pt idx="481">
                  <c:v>-21.941007472742797</c:v>
                </c:pt>
                <c:pt idx="482">
                  <c:v>-22.074408565473192</c:v>
                </c:pt>
                <c:pt idx="483">
                  <c:v>-22.207782087546292</c:v>
                </c:pt>
                <c:pt idx="484">
                  <c:v>-22.341128616286824</c:v>
                </c:pt>
                <c:pt idx="485">
                  <c:v>-22.47751217098795</c:v>
                </c:pt>
                <c:pt idx="486">
                  <c:v>-22.613868653828035</c:v>
                </c:pt>
                <c:pt idx="487">
                  <c:v>-22.750198637197656</c:v>
                </c:pt>
                <c:pt idx="488">
                  <c:v>-22.886502678910091</c:v>
                </c:pt>
                <c:pt idx="489">
                  <c:v>-23.026027955611085</c:v>
                </c:pt>
                <c:pt idx="490">
                  <c:v>-23.165527177946558</c:v>
                </c:pt>
                <c:pt idx="491">
                  <c:v>-23.305000899537475</c:v>
                </c:pt>
                <c:pt idx="492">
                  <c:v>-23.444449659612985</c:v>
                </c:pt>
                <c:pt idx="493">
                  <c:v>-23.58711827857303</c:v>
                </c:pt>
                <c:pt idx="494">
                  <c:v>-23.729761858559812</c:v>
                </c:pt>
                <c:pt idx="495">
                  <c:v>-23.872380932942974</c:v>
                </c:pt>
                <c:pt idx="496">
                  <c:v>-24.014976020898558</c:v>
                </c:pt>
                <c:pt idx="497">
                  <c:v>-24.160882359060253</c:v>
                </c:pt>
                <c:pt idx="498">
                  <c:v>-24.306764631740293</c:v>
                </c:pt>
                <c:pt idx="499">
                  <c:v>-24.452623351574744</c:v>
                </c:pt>
                <c:pt idx="500">
                  <c:v>-24.598459017168693</c:v>
                </c:pt>
                <c:pt idx="501">
                  <c:v>-24.747697296489633</c:v>
                </c:pt>
                <c:pt idx="502">
                  <c:v>-24.896912439049345</c:v>
                </c:pt>
                <c:pt idx="503">
                  <c:v>-25.046104936049517</c:v>
                </c:pt>
                <c:pt idx="504">
                  <c:v>-25.195275264798084</c:v>
                </c:pt>
                <c:pt idx="505">
                  <c:v>-25.347847024370992</c:v>
                </c:pt>
                <c:pt idx="506">
                  <c:v>-25.500396553723334</c:v>
                </c:pt>
                <c:pt idx="507">
                  <c:v>-25.652924320867783</c:v>
                </c:pt>
                <c:pt idx="508">
                  <c:v>-25.805430780057378</c:v>
                </c:pt>
                <c:pt idx="509">
                  <c:v>-25.96143004860923</c:v>
                </c:pt>
                <c:pt idx="510">
                  <c:v>-26.117407934989131</c:v>
                </c:pt>
                <c:pt idx="511">
                  <c:v>-26.273364883023476</c:v>
                </c:pt>
                <c:pt idx="512">
                  <c:v>-26.429301322877137</c:v>
                </c:pt>
                <c:pt idx="513">
                  <c:v>-26.588914321177867</c:v>
                </c:pt>
                <c:pt idx="514">
                  <c:v>-26.74850669707925</c:v>
                </c:pt>
                <c:pt idx="515">
                  <c:v>-26.908078869684829</c:v>
                </c:pt>
                <c:pt idx="516">
                  <c:v>-27.067631244471585</c:v>
                </c:pt>
                <c:pt idx="517">
                  <c:v>-27.230859017855238</c:v>
                </c:pt>
                <c:pt idx="518">
                  <c:v>-27.394066882160701</c:v>
                </c:pt>
                <c:pt idx="519">
                  <c:v>-27.557255229438056</c:v>
                </c:pt>
                <c:pt idx="520">
                  <c:v>-27.720424438138991</c:v>
                </c:pt>
                <c:pt idx="521">
                  <c:v>-27.887360260571569</c:v>
                </c:pt>
                <c:pt idx="522">
                  <c:v>-28.054276805324065</c:v>
                </c:pt>
                <c:pt idx="523">
                  <c:v>-28.221174435577865</c:v>
                </c:pt>
                <c:pt idx="524">
                  <c:v>-28.388053500908057</c:v>
                </c:pt>
                <c:pt idx="525">
                  <c:v>-28.558790315555285</c:v>
                </c:pt>
                <c:pt idx="526">
                  <c:v>-28.729508390893955</c:v>
                </c:pt>
                <c:pt idx="527">
                  <c:v>-28.900208059109758</c:v>
                </c:pt>
                <c:pt idx="528">
                  <c:v>-29.070889638731899</c:v>
                </c:pt>
                <c:pt idx="529">
                  <c:v>-29.245520005942865</c:v>
                </c:pt>
                <c:pt idx="530">
                  <c:v>-29.420132066133505</c:v>
                </c:pt>
                <c:pt idx="531">
                  <c:v>-29.594726118023317</c:v>
                </c:pt>
                <c:pt idx="532">
                  <c:v>-29.769302446583481</c:v>
                </c:pt>
                <c:pt idx="533">
                  <c:v>-29.948010690203262</c:v>
                </c:pt>
                <c:pt idx="534">
                  <c:v>-30.126700919362264</c:v>
                </c:pt>
                <c:pt idx="535">
                  <c:v>-30.305373396869186</c:v>
                </c:pt>
                <c:pt idx="536">
                  <c:v>-30.484028371616773</c:v>
                </c:pt>
                <c:pt idx="537">
                  <c:v>-30.666721638208742</c:v>
                </c:pt>
                <c:pt idx="538">
                  <c:v>-30.849397081438354</c:v>
                </c:pt>
                <c:pt idx="539">
                  <c:v>-31.032054924137555</c:v>
                </c:pt>
                <c:pt idx="540">
                  <c:v>-31.214695375064338</c:v>
                </c:pt>
                <c:pt idx="541">
                  <c:v>-31.40164904402414</c:v>
                </c:pt>
                <c:pt idx="542">
                  <c:v>-31.588584885301429</c:v>
                </c:pt>
                <c:pt idx="543">
                  <c:v>-31.775503078745771</c:v>
                </c:pt>
                <c:pt idx="544">
                  <c:v>-31.962403789872496</c:v>
                </c:pt>
                <c:pt idx="545">
                  <c:v>-32.15361595496509</c:v>
                </c:pt>
                <c:pt idx="546">
                  <c:v>-32.344810124148609</c:v>
                </c:pt>
                <c:pt idx="547">
                  <c:v>-32.535986429771043</c:v>
                </c:pt>
                <c:pt idx="548">
                  <c:v>-32.727144989561396</c:v>
                </c:pt>
                <c:pt idx="549">
                  <c:v>-32.922705142113273</c:v>
                </c:pt>
                <c:pt idx="550">
                  <c:v>-33.118246922249313</c:v>
                </c:pt>
                <c:pt idx="551">
                  <c:v>-33.313770410136925</c:v>
                </c:pt>
                <c:pt idx="552">
                  <c:v>-33.509275670974688</c:v>
                </c:pt>
                <c:pt idx="553">
                  <c:v>-33.709364398261613</c:v>
                </c:pt>
                <c:pt idx="554">
                  <c:v>-33.909434121476977</c:v>
                </c:pt>
                <c:pt idx="555">
                  <c:v>-34.109484863379805</c:v>
                </c:pt>
                <c:pt idx="556">
                  <c:v>-34.309516631326858</c:v>
                </c:pt>
                <c:pt idx="557">
                  <c:v>-34.718906064776007</c:v>
                </c:pt>
                <c:pt idx="558">
                  <c:v>-35.128215689796491</c:v>
                </c:pt>
                <c:pt idx="559">
                  <c:v>-35.54682413146972</c:v>
                </c:pt>
                <c:pt idx="560">
                  <c:v>-35.9653477054039</c:v>
                </c:pt>
                <c:pt idx="561">
                  <c:v>-36.393712057460931</c:v>
                </c:pt>
                <c:pt idx="562">
                  <c:v>-36.821984893635914</c:v>
                </c:pt>
                <c:pt idx="563">
                  <c:v>-37.259351869601119</c:v>
                </c:pt>
                <c:pt idx="564">
                  <c:v>-37.696619460724577</c:v>
                </c:pt>
                <c:pt idx="565">
                  <c:v>-38.144804921039849</c:v>
                </c:pt>
                <c:pt idx="566">
                  <c:v>-38.592880522216831</c:v>
                </c:pt>
                <c:pt idx="567">
                  <c:v>-39.051857104483332</c:v>
                </c:pt>
                <c:pt idx="568">
                  <c:v>-39.510711282066723</c:v>
                </c:pt>
                <c:pt idx="569">
                  <c:v>-39.978612239695224</c:v>
                </c:pt>
                <c:pt idx="570">
                  <c:v>-40.44637700528915</c:v>
                </c:pt>
                <c:pt idx="571">
                  <c:v>-40.92683531393061</c:v>
                </c:pt>
                <c:pt idx="572">
                  <c:v>-41.407138901173568</c:v>
                </c:pt>
                <c:pt idx="573">
                  <c:v>-41.896443125040861</c:v>
                </c:pt>
                <c:pt idx="574">
                  <c:v>-42.385573578487936</c:v>
                </c:pt>
                <c:pt idx="575">
                  <c:v>-42.887339518178237</c:v>
                </c:pt>
                <c:pt idx="576">
                  <c:v>-43.388906824985099</c:v>
                </c:pt>
                <c:pt idx="577">
                  <c:v>-45.509927599121767</c:v>
                </c:pt>
                <c:pt idx="578">
                  <c:v>-47.626510288581159</c:v>
                </c:pt>
                <c:pt idx="579">
                  <c:v>-52.245037688467747</c:v>
                </c:pt>
                <c:pt idx="580">
                  <c:v>-57.272543499516956</c:v>
                </c:pt>
                <c:pt idx="581">
                  <c:v>-62.714176494215749</c:v>
                </c:pt>
                <c:pt idx="582">
                  <c:v>-68.572172232817465</c:v>
                </c:pt>
                <c:pt idx="583">
                  <c:v>-74.821861542749545</c:v>
                </c:pt>
                <c:pt idx="584">
                  <c:v>-81.422792264609754</c:v>
                </c:pt>
                <c:pt idx="585">
                  <c:v>-88.29728230702915</c:v>
                </c:pt>
                <c:pt idx="586">
                  <c:v>-95.343372271207258</c:v>
                </c:pt>
                <c:pt idx="587">
                  <c:v>-102.43876728483067</c:v>
                </c:pt>
                <c:pt idx="588">
                  <c:v>-109.43888289521932</c:v>
                </c:pt>
                <c:pt idx="589">
                  <c:v>-116.2148742898934</c:v>
                </c:pt>
                <c:pt idx="590">
                  <c:v>-122.6475748966825</c:v>
                </c:pt>
                <c:pt idx="591">
                  <c:v>-128.64937841964201</c:v>
                </c:pt>
                <c:pt idx="592">
                  <c:v>-134.16390610138649</c:v>
                </c:pt>
                <c:pt idx="593">
                  <c:v>-139.16819401530739</c:v>
                </c:pt>
                <c:pt idx="594">
                  <c:v>-143.66219268111564</c:v>
                </c:pt>
                <c:pt idx="595">
                  <c:v>-147.66730959702329</c:v>
                </c:pt>
                <c:pt idx="596">
                  <c:v>-151.21580373371651</c:v>
                </c:pt>
                <c:pt idx="597">
                  <c:v>-154.34849087217896</c:v>
                </c:pt>
                <c:pt idx="598">
                  <c:v>-157.10738457201774</c:v>
                </c:pt>
                <c:pt idx="599">
                  <c:v>-159.53569428293903</c:v>
                </c:pt>
                <c:pt idx="600">
                  <c:v>-161.67328274987446</c:v>
                </c:pt>
              </c:numCache>
            </c:numRef>
          </c:yVal>
          <c:smooth val="0"/>
          <c:extLst>
            <c:ext xmlns:c16="http://schemas.microsoft.com/office/drawing/2014/chart" uri="{C3380CC4-5D6E-409C-BE32-E72D297353CC}">
              <c16:uniqueId val="{00000005-417B-42DD-99BF-4436D67A6013}"/>
            </c:ext>
          </c:extLst>
        </c:ser>
        <c:dLbls>
          <c:showLegendKey val="0"/>
          <c:showVal val="0"/>
          <c:showCatName val="0"/>
          <c:showSerName val="0"/>
          <c:showPercent val="0"/>
          <c:showBubbleSize val="0"/>
        </c:dLbls>
        <c:axId val="196945024"/>
        <c:axId val="196946560"/>
      </c:scatterChart>
      <c:valAx>
        <c:axId val="196940928"/>
        <c:scaling>
          <c:logBase val="10"/>
          <c:orientation val="minMax"/>
          <c:max val="1000000"/>
          <c:min val="1"/>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6942848"/>
        <c:crossesAt val="-40"/>
        <c:crossBetween val="midCat"/>
        <c:majorUnit val="10"/>
        <c:minorUnit val="10"/>
      </c:valAx>
      <c:valAx>
        <c:axId val="196942848"/>
        <c:scaling>
          <c:orientation val="minMax"/>
          <c:max val="140"/>
          <c:min val="-1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96940928"/>
        <c:crossesAt val="0.1"/>
        <c:crossBetween val="midCat"/>
        <c:majorUnit val="20"/>
        <c:minorUnit val="4"/>
      </c:valAx>
      <c:valAx>
        <c:axId val="196945024"/>
        <c:scaling>
          <c:logBase val="10"/>
          <c:orientation val="minMax"/>
        </c:scaling>
        <c:delete val="1"/>
        <c:axPos val="t"/>
        <c:numFmt formatCode="General" sourceLinked="1"/>
        <c:majorTickMark val="out"/>
        <c:minorTickMark val="none"/>
        <c:tickLblPos val="none"/>
        <c:crossAx val="196946560"/>
        <c:crossesAt val="0"/>
        <c:crossBetween val="midCat"/>
      </c:valAx>
      <c:valAx>
        <c:axId val="196946560"/>
        <c:scaling>
          <c:orientation val="minMax"/>
          <c:max val="180"/>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9694502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I Limit Amp Bode Plot</a:t>
            </a:r>
          </a:p>
        </c:rich>
      </c:tx>
      <c:layout>
        <c:manualLayout>
          <c:xMode val="edge"/>
          <c:yMode val="edge"/>
          <c:x val="0.24573738419465352"/>
          <c:y val="1.8427405125765264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4"/>
          <c:order val="0"/>
          <c:tx>
            <c:strRef>
              <c:f>'IL Stability Calculations'!$BB$12</c:f>
              <c:strCache>
                <c:ptCount val="1"/>
                <c:pt idx="0">
                  <c:v>Gain(dB)</c:v>
                </c:pt>
              </c:strCache>
            </c:strRef>
          </c:tx>
          <c:spPr>
            <a:ln w="25400">
              <a:solidFill>
                <a:srgbClr val="FF0000"/>
              </a:solidFill>
              <a:prstDash val="solid"/>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Calculations'!$BB$13:$BB$613</c:f>
              <c:numCache>
                <c:formatCode>0.0000</c:formatCode>
                <c:ptCount val="601"/>
                <c:pt idx="0">
                  <c:v>39.968403347465255</c:v>
                </c:pt>
                <c:pt idx="1">
                  <c:v>45.98263873402086</c:v>
                </c:pt>
                <c:pt idx="2">
                  <c:v>45.974999837935499</c:v>
                </c:pt>
                <c:pt idx="3">
                  <c:v>45.965834142691648</c:v>
                </c:pt>
                <c:pt idx="4">
                  <c:v>45.954848326454261</c:v>
                </c:pt>
                <c:pt idx="5">
                  <c:v>45.941664327109152</c:v>
                </c:pt>
                <c:pt idx="6">
                  <c:v>45.9258723289812</c:v>
                </c:pt>
                <c:pt idx="7">
                  <c:v>45.906956257092546</c:v>
                </c:pt>
                <c:pt idx="8">
                  <c:v>45.884332414826474</c:v>
                </c:pt>
                <c:pt idx="9">
                  <c:v>45.85727874422826</c:v>
                </c:pt>
                <c:pt idx="10">
                  <c:v>45.82498185616199</c:v>
                </c:pt>
                <c:pt idx="11">
                  <c:v>45.786471667808812</c:v>
                </c:pt>
                <c:pt idx="12">
                  <c:v>45.74059834973135</c:v>
                </c:pt>
                <c:pt idx="13">
                  <c:v>45.686106987049335</c:v>
                </c:pt>
                <c:pt idx="14">
                  <c:v>45.621467438610217</c:v>
                </c:pt>
                <c:pt idx="15">
                  <c:v>45.545011116200513</c:v>
                </c:pt>
                <c:pt idx="16">
                  <c:v>45.454836407849697</c:v>
                </c:pt>
                <c:pt idx="17">
                  <c:v>45.348858975578999</c:v>
                </c:pt>
                <c:pt idx="18">
                  <c:v>45.224758538444306</c:v>
                </c:pt>
                <c:pt idx="19">
                  <c:v>45.080119669382611</c:v>
                </c:pt>
                <c:pt idx="20">
                  <c:v>44.912355422388721</c:v>
                </c:pt>
                <c:pt idx="21">
                  <c:v>44.718899112571215</c:v>
                </c:pt>
                <c:pt idx="22">
                  <c:v>44.497151334917355</c:v>
                </c:pt>
                <c:pt idx="23">
                  <c:v>44.244757587500459</c:v>
                </c:pt>
                <c:pt idx="24">
                  <c:v>43.959503989487956</c:v>
                </c:pt>
                <c:pt idx="25">
                  <c:v>43.639654878950765</c:v>
                </c:pt>
                <c:pt idx="26">
                  <c:v>43.283829589585274</c:v>
                </c:pt>
                <c:pt idx="27">
                  <c:v>42.891399375527371</c:v>
                </c:pt>
                <c:pt idx="28">
                  <c:v>42.462230147532402</c:v>
                </c:pt>
                <c:pt idx="29">
                  <c:v>41.997117473087606</c:v>
                </c:pt>
                <c:pt idx="30">
                  <c:v>41.496329954533252</c:v>
                </c:pt>
                <c:pt idx="31">
                  <c:v>40.962123183745469</c:v>
                </c:pt>
                <c:pt idx="32">
                  <c:v>40.396149518263059</c:v>
                </c:pt>
                <c:pt idx="33">
                  <c:v>39.801135683359568</c:v>
                </c:pt>
                <c:pt idx="34">
                  <c:v>39.179137806917247</c:v>
                </c:pt>
                <c:pt idx="35">
                  <c:v>38.533096883321399</c:v>
                </c:pt>
                <c:pt idx="36">
                  <c:v>37.865510797921964</c:v>
                </c:pt>
                <c:pt idx="37">
                  <c:v>37.178510362571949</c:v>
                </c:pt>
                <c:pt idx="38">
                  <c:v>36.475111353179436</c:v>
                </c:pt>
                <c:pt idx="39">
                  <c:v>35.756934865619904</c:v>
                </c:pt>
                <c:pt idx="40">
                  <c:v>35.02623125106193</c:v>
                </c:pt>
                <c:pt idx="41">
                  <c:v>34.284715925414083</c:v>
                </c:pt>
                <c:pt idx="42">
                  <c:v>33.534065079671031</c:v>
                </c:pt>
                <c:pt idx="43">
                  <c:v>32.775434779471915</c:v>
                </c:pt>
                <c:pt idx="44">
                  <c:v>32.010221734165412</c:v>
                </c:pt>
                <c:pt idx="45">
                  <c:v>31.239302587787634</c:v>
                </c:pt>
                <c:pt idx="46">
                  <c:v>30.463716405273566</c:v>
                </c:pt>
                <c:pt idx="47">
                  <c:v>29.684049378755489</c:v>
                </c:pt>
                <c:pt idx="48">
                  <c:v>28.901132864659438</c:v>
                </c:pt>
                <c:pt idx="49">
                  <c:v>28.115307836473175</c:v>
                </c:pt>
                <c:pt idx="50">
                  <c:v>27.327151279688508</c:v>
                </c:pt>
                <c:pt idx="51">
                  <c:v>26.536862689873082</c:v>
                </c:pt>
                <c:pt idx="52">
                  <c:v>25.74501574269074</c:v>
                </c:pt>
                <c:pt idx="53">
                  <c:v>24.951850460106154</c:v>
                </c:pt>
                <c:pt idx="54">
                  <c:v>24.158087376992981</c:v>
                </c:pt>
                <c:pt idx="55">
                  <c:v>23.362573491740584</c:v>
                </c:pt>
                <c:pt idx="56">
                  <c:v>22.566578442113627</c:v>
                </c:pt>
                <c:pt idx="57">
                  <c:v>21.769695566875946</c:v>
                </c:pt>
                <c:pt idx="58">
                  <c:v>20.972604351324723</c:v>
                </c:pt>
                <c:pt idx="59">
                  <c:v>20.174783765860404</c:v>
                </c:pt>
                <c:pt idx="60">
                  <c:v>19.376761357688974</c:v>
                </c:pt>
                <c:pt idx="61">
                  <c:v>18.578481251352862</c:v>
                </c:pt>
                <c:pt idx="62">
                  <c:v>17.779569130422384</c:v>
                </c:pt>
                <c:pt idx="63">
                  <c:v>16.980832806139333</c:v>
                </c:pt>
                <c:pt idx="64">
                  <c:v>16.181668465513518</c:v>
                </c:pt>
                <c:pt idx="65">
                  <c:v>15.382411594729961</c:v>
                </c:pt>
                <c:pt idx="66">
                  <c:v>14.583021247998943</c:v>
                </c:pt>
                <c:pt idx="67">
                  <c:v>13.783630577365333</c:v>
                </c:pt>
                <c:pt idx="68">
                  <c:v>12.984023434039615</c:v>
                </c:pt>
                <c:pt idx="69">
                  <c:v>12.18442763739375</c:v>
                </c:pt>
                <c:pt idx="70">
                  <c:v>11.384694105042444</c:v>
                </c:pt>
                <c:pt idx="71">
                  <c:v>10.584994098711174</c:v>
                </c:pt>
                <c:pt idx="72">
                  <c:v>9.7851631555248435</c:v>
                </c:pt>
                <c:pt idx="73">
                  <c:v>8.9854041370518178</c:v>
                </c:pt>
                <c:pt idx="74">
                  <c:v>8.1855173631584535</c:v>
                </c:pt>
                <c:pt idx="75">
                  <c:v>7.3856296525815495</c:v>
                </c:pt>
                <c:pt idx="76">
                  <c:v>6.5855570007661965</c:v>
                </c:pt>
                <c:pt idx="77">
                  <c:v>5.7855560022571506</c:v>
                </c:pt>
                <c:pt idx="78">
                  <c:v>4.9855971204960321</c:v>
                </c:pt>
                <c:pt idx="79">
                  <c:v>4.1861786914233665</c:v>
                </c:pt>
                <c:pt idx="80">
                  <c:v>3.3859502981198619</c:v>
                </c:pt>
                <c:pt idx="81">
                  <c:v>2.5860315794376678</c:v>
                </c:pt>
                <c:pt idx="82">
                  <c:v>1.7858815139980639</c:v>
                </c:pt>
                <c:pt idx="83">
                  <c:v>0.98607204284556282</c:v>
                </c:pt>
                <c:pt idx="84">
                  <c:v>0.18598840832228358</c:v>
                </c:pt>
                <c:pt idx="85">
                  <c:v>-0.61391680199867715</c:v>
                </c:pt>
                <c:pt idx="86">
                  <c:v>-1.4137635068310039</c:v>
                </c:pt>
                <c:pt idx="87">
                  <c:v>-2.2139796927440707</c:v>
                </c:pt>
                <c:pt idx="88">
                  <c:v>-3.0138004470744901</c:v>
                </c:pt>
                <c:pt idx="89">
                  <c:v>-3.8138672737163875</c:v>
                </c:pt>
                <c:pt idx="90">
                  <c:v>-4.6138748803977876</c:v>
                </c:pt>
                <c:pt idx="91">
                  <c:v>-5.413889765008248</c:v>
                </c:pt>
                <c:pt idx="92">
                  <c:v>-6.213799908318693</c:v>
                </c:pt>
                <c:pt idx="93">
                  <c:v>-7.0138392500466251</c:v>
                </c:pt>
                <c:pt idx="94">
                  <c:v>-7.2137671898030575</c:v>
                </c:pt>
                <c:pt idx="95">
                  <c:v>-7.3143500601480271</c:v>
                </c:pt>
                <c:pt idx="96">
                  <c:v>-7.4137815039259278</c:v>
                </c:pt>
                <c:pt idx="97">
                  <c:v>-7.5143533198902741</c:v>
                </c:pt>
                <c:pt idx="98">
                  <c:v>-7.6137739606812849</c:v>
                </c:pt>
                <c:pt idx="99">
                  <c:v>-7.7143599942476087</c:v>
                </c:pt>
                <c:pt idx="100">
                  <c:v>-7.8137945287724389</c:v>
                </c:pt>
                <c:pt idx="101">
                  <c:v>-7.9143420028447746</c:v>
                </c:pt>
                <c:pt idx="102">
                  <c:v>-8.0137388553003888</c:v>
                </c:pt>
                <c:pt idx="103">
                  <c:v>-8.1143443839086267</c:v>
                </c:pt>
                <c:pt idx="104">
                  <c:v>-8.213797969204462</c:v>
                </c:pt>
                <c:pt idx="105">
                  <c:v>-8.3144058191742154</c:v>
                </c:pt>
                <c:pt idx="106">
                  <c:v>-8.4138616727771964</c:v>
                </c:pt>
                <c:pt idx="107">
                  <c:v>-8.5144198277105723</c:v>
                </c:pt>
                <c:pt idx="108">
                  <c:v>-8.613827117362856</c:v>
                </c:pt>
                <c:pt idx="109">
                  <c:v>-8.7143551467301492</c:v>
                </c:pt>
                <c:pt idx="110">
                  <c:v>-8.8137329961574711</c:v>
                </c:pt>
                <c:pt idx="111">
                  <c:v>-8.9143141511240334</c:v>
                </c:pt>
                <c:pt idx="112">
                  <c:v>-9.0137439169448754</c:v>
                </c:pt>
                <c:pt idx="113">
                  <c:v>-9.1143228313309361</c:v>
                </c:pt>
                <c:pt idx="114">
                  <c:v>-9.2137504074106502</c:v>
                </c:pt>
                <c:pt idx="115">
                  <c:v>-9.3143389110427108</c:v>
                </c:pt>
                <c:pt idx="116">
                  <c:v>-9.4137758579168587</c:v>
                </c:pt>
                <c:pt idx="117">
                  <c:v>-9.5143835307000462</c:v>
                </c:pt>
                <c:pt idx="118">
                  <c:v>-9.6138392101376162</c:v>
                </c:pt>
                <c:pt idx="119">
                  <c:v>-9.7144129112205668</c:v>
                </c:pt>
                <c:pt idx="120">
                  <c:v>-9.8138353922165606</c:v>
                </c:pt>
                <c:pt idx="121">
                  <c:v>-9.9143848386818387</c:v>
                </c:pt>
                <c:pt idx="122">
                  <c:v>-10.013783616948647</c:v>
                </c:pt>
                <c:pt idx="123">
                  <c:v>-10.114374475695424</c:v>
                </c:pt>
                <c:pt idx="124">
                  <c:v>-10.213813723507352</c:v>
                </c:pt>
                <c:pt idx="125">
                  <c:v>-10.314391394965538</c:v>
                </c:pt>
                <c:pt idx="126">
                  <c:v>-10.413817755568086</c:v>
                </c:pt>
                <c:pt idx="127">
                  <c:v>-10.514386608266097</c:v>
                </c:pt>
                <c:pt idx="128">
                  <c:v>-10.613804350723665</c:v>
                </c:pt>
                <c:pt idx="129">
                  <c:v>-10.714367216268121</c:v>
                </c:pt>
                <c:pt idx="130">
                  <c:v>-10.813779107729392</c:v>
                </c:pt>
                <c:pt idx="131">
                  <c:v>-10.914337407823931</c:v>
                </c:pt>
                <c:pt idx="132">
                  <c:v>-10.964183332735391</c:v>
                </c:pt>
                <c:pt idx="133">
                  <c:v>-11.013744837633507</c:v>
                </c:pt>
                <c:pt idx="134">
                  <c:v>-11.064193235646352</c:v>
                </c:pt>
                <c:pt idx="135">
                  <c:v>-11.114350316751251</c:v>
                </c:pt>
                <c:pt idx="136">
                  <c:v>-11.164219426083806</c:v>
                </c:pt>
                <c:pt idx="137">
                  <c:v>-11.213803851491026</c:v>
                </c:pt>
                <c:pt idx="138">
                  <c:v>-11.264222947999283</c:v>
                </c:pt>
                <c:pt idx="139">
                  <c:v>-11.314351064907024</c:v>
                </c:pt>
                <c:pt idx="140">
                  <c:v>-11.364191541558659</c:v>
                </c:pt>
                <c:pt idx="141">
                  <c:v>-11.413747660141979</c:v>
                </c:pt>
                <c:pt idx="142">
                  <c:v>-11.464187739218223</c:v>
                </c:pt>
                <c:pt idx="143">
                  <c:v>-11.514336597127986</c:v>
                </c:pt>
                <c:pt idx="144">
                  <c:v>-11.564197577363529</c:v>
                </c:pt>
                <c:pt idx="145">
                  <c:v>-11.613773966165873</c:v>
                </c:pt>
                <c:pt idx="146">
                  <c:v>-11.664207561029681</c:v>
                </c:pt>
                <c:pt idx="147">
                  <c:v>-11.714350009357716</c:v>
                </c:pt>
                <c:pt idx="148">
                  <c:v>-11.764204653361066</c:v>
                </c:pt>
                <c:pt idx="149">
                  <c:v>-11.813774778028815</c:v>
                </c:pt>
                <c:pt idx="150">
                  <c:v>-11.864199936982287</c:v>
                </c:pt>
                <c:pt idx="151">
                  <c:v>-11.914334046487694</c:v>
                </c:pt>
                <c:pt idx="152">
                  <c:v>-11.964180447089579</c:v>
                </c:pt>
                <c:pt idx="153">
                  <c:v>-12.013742422148612</c:v>
                </c:pt>
                <c:pt idx="154">
                  <c:v>-12.064179930965492</c:v>
                </c:pt>
                <c:pt idx="155">
                  <c:v>-12.114326248142351</c:v>
                </c:pt>
                <c:pt idx="156">
                  <c:v>-12.164184716665281</c:v>
                </c:pt>
                <c:pt idx="157">
                  <c:v>-12.213758622281103</c:v>
                </c:pt>
                <c:pt idx="158">
                  <c:v>-12.26420420079088</c:v>
                </c:pt>
                <c:pt idx="159">
                  <c:v>-12.314358494723889</c:v>
                </c:pt>
                <c:pt idx="160">
                  <c:v>-12.364224848662673</c:v>
                </c:pt>
                <c:pt idx="161">
                  <c:v>-12.413806549913854</c:v>
                </c:pt>
                <c:pt idx="162">
                  <c:v>-12.464233584705832</c:v>
                </c:pt>
                <c:pt idx="163">
                  <c:v>-12.514369548396576</c:v>
                </c:pt>
                <c:pt idx="164">
                  <c:v>-12.564217781903494</c:v>
                </c:pt>
                <c:pt idx="165">
                  <c:v>-12.613781568951508</c:v>
                </c:pt>
                <c:pt idx="166">
                  <c:v>-12.664230018326755</c:v>
                </c:pt>
                <c:pt idx="167">
                  <c:v>-12.714387150028019</c:v>
                </c:pt>
                <c:pt idx="168">
                  <c:v>-12.764256309206836</c:v>
                </c:pt>
                <c:pt idx="169">
                  <c:v>-12.813840783726064</c:v>
                </c:pt>
                <c:pt idx="170">
                  <c:v>-12.864198749095266</c:v>
                </c:pt>
                <c:pt idx="171">
                  <c:v>-12.914266437843033</c:v>
                </c:pt>
                <c:pt idx="172">
                  <c:v>-12.964047177257285</c:v>
                </c:pt>
                <c:pt idx="173">
                  <c:v>-13.013544237743337</c:v>
                </c:pt>
                <c:pt idx="174">
                  <c:v>-13.06399799194268</c:v>
                </c:pt>
                <c:pt idx="175">
                  <c:v>-13.114160367341025</c:v>
                </c:pt>
                <c:pt idx="176">
                  <c:v>-13.164034710140465</c:v>
                </c:pt>
                <c:pt idx="177">
                  <c:v>-13.213624309230308</c:v>
                </c:pt>
                <c:pt idx="178">
                  <c:v>-13.26414137228274</c:v>
                </c:pt>
                <c:pt idx="179">
                  <c:v>-13.314366326935778</c:v>
                </c:pt>
                <c:pt idx="180">
                  <c:v>-13.364302531931491</c:v>
                </c:pt>
                <c:pt idx="181">
                  <c:v>-13.413953288413536</c:v>
                </c:pt>
                <c:pt idx="182">
                  <c:v>-13.464306355814703</c:v>
                </c:pt>
                <c:pt idx="183">
                  <c:v>-13.514369202847332</c:v>
                </c:pt>
                <c:pt idx="184">
                  <c:v>-13.56414515583581</c:v>
                </c:pt>
                <c:pt idx="185">
                  <c:v>-13.613637484243759</c:v>
                </c:pt>
                <c:pt idx="186">
                  <c:v>-13.664196393161152</c:v>
                </c:pt>
                <c:pt idx="187">
                  <c:v>-13.714462710911965</c:v>
                </c:pt>
                <c:pt idx="188">
                  <c:v>-13.764439804544788</c:v>
                </c:pt>
                <c:pt idx="189">
                  <c:v>-13.814130983320199</c:v>
                </c:pt>
                <c:pt idx="190">
                  <c:v>-13.864479683034492</c:v>
                </c:pt>
                <c:pt idx="191">
                  <c:v>-13.914538212552731</c:v>
                </c:pt>
                <c:pt idx="192">
                  <c:v>-13.96430989733963</c:v>
                </c:pt>
                <c:pt idx="193">
                  <c:v>-14.013798006018842</c:v>
                </c:pt>
                <c:pt idx="194">
                  <c:v>-14.064292099665231</c:v>
                </c:pt>
                <c:pt idx="195">
                  <c:v>-14.114494349663007</c:v>
                </c:pt>
                <c:pt idx="196">
                  <c:v>-14.164408110203015</c:v>
                </c:pt>
                <c:pt idx="197">
                  <c:v>-14.214036677981509</c:v>
                </c:pt>
                <c:pt idx="198">
                  <c:v>-14.264460745781333</c:v>
                </c:pt>
                <c:pt idx="199">
                  <c:v>-14.314593776492748</c:v>
                </c:pt>
                <c:pt idx="200">
                  <c:v>-14.364439110451602</c:v>
                </c:pt>
                <c:pt idx="201">
                  <c:v>-14.414000030814339</c:v>
                </c:pt>
                <c:pt idx="202">
                  <c:v>-14.464332705380789</c:v>
                </c:pt>
                <c:pt idx="203">
                  <c:v>-14.514375393864825</c:v>
                </c:pt>
                <c:pt idx="204">
                  <c:v>-14.564131418576277</c:v>
                </c:pt>
                <c:pt idx="205">
                  <c:v>-14.613604045055766</c:v>
                </c:pt>
                <c:pt idx="206">
                  <c:v>-14.663997008098363</c:v>
                </c:pt>
                <c:pt idx="207">
                  <c:v>-14.714099291944311</c:v>
                </c:pt>
                <c:pt idx="208">
                  <c:v>-14.76391423078789</c:v>
                </c:pt>
                <c:pt idx="209">
                  <c:v>-14.813445101783795</c:v>
                </c:pt>
                <c:pt idx="210">
                  <c:v>-14.864035928281137</c:v>
                </c:pt>
                <c:pt idx="211">
                  <c:v>-14.914333795066369</c:v>
                </c:pt>
                <c:pt idx="212">
                  <c:v>-14.96434207553466</c:v>
                </c:pt>
                <c:pt idx="213">
                  <c:v>-15.014064085148418</c:v>
                </c:pt>
                <c:pt idx="214">
                  <c:v>-15.064485722798352</c:v>
                </c:pt>
                <c:pt idx="215">
                  <c:v>-15.114616351285326</c:v>
                </c:pt>
                <c:pt idx="216">
                  <c:v>-15.164459310466619</c:v>
                </c:pt>
                <c:pt idx="217">
                  <c:v>-15.214017883030957</c:v>
                </c:pt>
                <c:pt idx="218">
                  <c:v>-15.264415631564574</c:v>
                </c:pt>
                <c:pt idx="219">
                  <c:v>-15.314522645818352</c:v>
                </c:pt>
                <c:pt idx="220">
                  <c:v>-15.364342260931981</c:v>
                </c:pt>
                <c:pt idx="221">
                  <c:v>-15.413877754984565</c:v>
                </c:pt>
                <c:pt idx="222">
                  <c:v>-15.464227206264029</c:v>
                </c:pt>
                <c:pt idx="223">
                  <c:v>-15.514286478618162</c:v>
                </c:pt>
                <c:pt idx="224">
                  <c:v>-15.564058897662855</c:v>
                </c:pt>
                <c:pt idx="225">
                  <c:v>-15.613547732169517</c:v>
                </c:pt>
                <c:pt idx="226">
                  <c:v>-15.663979021047236</c:v>
                </c:pt>
                <c:pt idx="227">
                  <c:v>-15.714119189639188</c:v>
                </c:pt>
                <c:pt idx="228">
                  <c:v>-15.763971579710752</c:v>
                </c:pt>
                <c:pt idx="229">
                  <c:v>-15.813539475815661</c:v>
                </c:pt>
                <c:pt idx="230">
                  <c:v>-15.914211003649845</c:v>
                </c:pt>
                <c:pt idx="231">
                  <c:v>-15.964112569410347</c:v>
                </c:pt>
                <c:pt idx="232">
                  <c:v>-16.013729081257466</c:v>
                </c:pt>
                <c:pt idx="233">
                  <c:v>-16.064231529197595</c:v>
                </c:pt>
                <c:pt idx="234">
                  <c:v>-16.114442037083194</c:v>
                </c:pt>
                <c:pt idx="235">
                  <c:v>-16.164363960764536</c:v>
                </c:pt>
                <c:pt idx="236">
                  <c:v>-16.214000598559139</c:v>
                </c:pt>
                <c:pt idx="237">
                  <c:v>-16.264353693057892</c:v>
                </c:pt>
                <c:pt idx="238">
                  <c:v>-16.314416566722276</c:v>
                </c:pt>
                <c:pt idx="239">
                  <c:v>-16.364192545887263</c:v>
                </c:pt>
                <c:pt idx="240">
                  <c:v>-16.413684900026858</c:v>
                </c:pt>
                <c:pt idx="241">
                  <c:v>-16.464151454576516</c:v>
                </c:pt>
                <c:pt idx="242">
                  <c:v>-16.514326482690652</c:v>
                </c:pt>
                <c:pt idx="243">
                  <c:v>-16.564213333110636</c:v>
                </c:pt>
                <c:pt idx="244">
                  <c:v>-16.613815297207548</c:v>
                </c:pt>
                <c:pt idx="245">
                  <c:v>-16.664225415647497</c:v>
                </c:pt>
                <c:pt idx="246">
                  <c:v>-16.714344657423258</c:v>
                </c:pt>
                <c:pt idx="247">
                  <c:v>-16.764176360119091</c:v>
                </c:pt>
                <c:pt idx="248">
                  <c:v>-16.813723804202485</c:v>
                </c:pt>
                <c:pt idx="249">
                  <c:v>-16.86418835007861</c:v>
                </c:pt>
                <c:pt idx="250">
                  <c:v>-16.914361392643961</c:v>
                </c:pt>
                <c:pt idx="251">
                  <c:v>-16.964246280243167</c:v>
                </c:pt>
                <c:pt idx="252">
                  <c:v>-17.013846303859051</c:v>
                </c:pt>
                <c:pt idx="253">
                  <c:v>-17.064205453935344</c:v>
                </c:pt>
                <c:pt idx="254">
                  <c:v>-17.114274313540289</c:v>
                </c:pt>
                <c:pt idx="255">
                  <c:v>-17.164056210202968</c:v>
                </c:pt>
                <c:pt idx="256">
                  <c:v>-17.213554414564641</c:v>
                </c:pt>
                <c:pt idx="257">
                  <c:v>-17.264043513552121</c:v>
                </c:pt>
                <c:pt idx="258">
                  <c:v>-17.314240826308872</c:v>
                </c:pt>
                <c:pt idx="259">
                  <c:v>-17.364149706041481</c:v>
                </c:pt>
                <c:pt idx="260">
                  <c:v>-17.413773448484037</c:v>
                </c:pt>
                <c:pt idx="261">
                  <c:v>-17.464233447637394</c:v>
                </c:pt>
                <c:pt idx="262">
                  <c:v>-17.51440199583422</c:v>
                </c:pt>
                <c:pt idx="263">
                  <c:v>-17.564282440519957</c:v>
                </c:pt>
                <c:pt idx="264">
                  <c:v>-17.613878071798879</c:v>
                </c:pt>
                <c:pt idx="265">
                  <c:v>-17.664284817814298</c:v>
                </c:pt>
                <c:pt idx="266">
                  <c:v>-17.714400725939214</c:v>
                </c:pt>
                <c:pt idx="267">
                  <c:v>-17.764229133092908</c:v>
                </c:pt>
                <c:pt idx="268">
                  <c:v>-17.813773319093258</c:v>
                </c:pt>
                <c:pt idx="269">
                  <c:v>-17.864222990952136</c:v>
                </c:pt>
                <c:pt idx="270">
                  <c:v>-17.91438133078519</c:v>
                </c:pt>
                <c:pt idx="271">
                  <c:v>-17.964251683995265</c:v>
                </c:pt>
                <c:pt idx="272">
                  <c:v>-18.013837338690493</c:v>
                </c:pt>
                <c:pt idx="273">
                  <c:v>-18.064300990130334</c:v>
                </c:pt>
                <c:pt idx="274">
                  <c:v>-18.114473148526784</c:v>
                </c:pt>
                <c:pt idx="275">
                  <c:v>-18.164357162048596</c:v>
                </c:pt>
                <c:pt idx="276">
                  <c:v>-18.213956321506849</c:v>
                </c:pt>
                <c:pt idx="277">
                  <c:v>-18.264293617818822</c:v>
                </c:pt>
                <c:pt idx="278">
                  <c:v>-18.314340874793476</c:v>
                </c:pt>
                <c:pt idx="279">
                  <c:v>-18.364101415655934</c:v>
                </c:pt>
                <c:pt idx="280">
                  <c:v>-18.413578506840938</c:v>
                </c:pt>
                <c:pt idx="281">
                  <c:v>-18.464104136816243</c:v>
                </c:pt>
                <c:pt idx="282">
                  <c:v>-18.514337559356623</c:v>
                </c:pt>
                <c:pt idx="283">
                  <c:v>-18.564282134911629</c:v>
                </c:pt>
                <c:pt idx="284">
                  <c:v>-18.613941166293358</c:v>
                </c:pt>
                <c:pt idx="285">
                  <c:v>-18.664291757211849</c:v>
                </c:pt>
                <c:pt idx="286">
                  <c:v>-18.714352155999695</c:v>
                </c:pt>
                <c:pt idx="287">
                  <c:v>-18.764125688500826</c:v>
                </c:pt>
                <c:pt idx="288">
                  <c:v>-18.813615623709687</c:v>
                </c:pt>
                <c:pt idx="289">
                  <c:v>-18.864094144866087</c:v>
                </c:pt>
                <c:pt idx="290">
                  <c:v>-18.914281001646714</c:v>
                </c:pt>
                <c:pt idx="291">
                  <c:v>-18.964179545164725</c:v>
                </c:pt>
                <c:pt idx="292">
                  <c:v>-19.013793069108445</c:v>
                </c:pt>
                <c:pt idx="293">
                  <c:v>-19.064261524645211</c:v>
                </c:pt>
                <c:pt idx="294">
                  <c:v>-19.114438431773053</c:v>
                </c:pt>
                <c:pt idx="295">
                  <c:v>-19.164327139612233</c:v>
                </c:pt>
                <c:pt idx="296">
                  <c:v>-19.21393093990396</c:v>
                </c:pt>
                <c:pt idx="297">
                  <c:v>-19.264363892412536</c:v>
                </c:pt>
                <c:pt idx="298">
                  <c:v>-19.314505705372707</c:v>
                </c:pt>
                <c:pt idx="299">
                  <c:v>-19.364359720882661</c:v>
                </c:pt>
                <c:pt idx="300">
                  <c:v>-19.413929223820837</c:v>
                </c:pt>
                <c:pt idx="301">
                  <c:v>-19.464302987840295</c:v>
                </c:pt>
                <c:pt idx="302">
                  <c:v>-19.514386293307744</c:v>
                </c:pt>
                <c:pt idx="303">
                  <c:v>-19.564182470635416</c:v>
                </c:pt>
                <c:pt idx="304">
                  <c:v>-19.613694793282285</c:v>
                </c:pt>
                <c:pt idx="305">
                  <c:v>-19.664180222625504</c:v>
                </c:pt>
                <c:pt idx="306">
                  <c:v>-19.714373907971343</c:v>
                </c:pt>
                <c:pt idx="307">
                  <c:v>-19.764279201801465</c:v>
                </c:pt>
                <c:pt idx="308">
                  <c:v>-19.813899399141707</c:v>
                </c:pt>
                <c:pt idx="309">
                  <c:v>-19.864274426509112</c:v>
                </c:pt>
                <c:pt idx="310">
                  <c:v>-19.91435898078997</c:v>
                </c:pt>
                <c:pt idx="311">
                  <c:v>-19.964156392646082</c:v>
                </c:pt>
                <c:pt idx="312">
                  <c:v>-20.013669935779852</c:v>
                </c:pt>
                <c:pt idx="313">
                  <c:v>-20.064100151213538</c:v>
                </c:pt>
                <c:pt idx="314">
                  <c:v>-20.114239258593656</c:v>
                </c:pt>
                <c:pt idx="315">
                  <c:v>-20.164090599477888</c:v>
                </c:pt>
                <c:pt idx="316">
                  <c:v>-20.21365745821641</c:v>
                </c:pt>
                <c:pt idx="317">
                  <c:v>-20.264113128262512</c:v>
                </c:pt>
                <c:pt idx="318">
                  <c:v>-20.31427739715269</c:v>
                </c:pt>
                <c:pt idx="319">
                  <c:v>-20.364153611478098</c:v>
                </c:pt>
                <c:pt idx="320">
                  <c:v>-20.413745060507999</c:v>
                </c:pt>
                <c:pt idx="321">
                  <c:v>-20.464198395599258</c:v>
                </c:pt>
                <c:pt idx="322">
                  <c:v>-20.514360356423648</c:v>
                </c:pt>
                <c:pt idx="323">
                  <c:v>-20.564234289110516</c:v>
                </c:pt>
                <c:pt idx="324">
                  <c:v>-20.613823482477795</c:v>
                </c:pt>
                <c:pt idx="325">
                  <c:v>-20.664248551946201</c:v>
                </c:pt>
                <c:pt idx="326">
                  <c:v>-20.714382572587642</c:v>
                </c:pt>
                <c:pt idx="327">
                  <c:v>-20.764228884943037</c:v>
                </c:pt>
                <c:pt idx="328">
                  <c:v>-20.813790772369284</c:v>
                </c:pt>
                <c:pt idx="329">
                  <c:v>-20.864247410331323</c:v>
                </c:pt>
                <c:pt idx="330">
                  <c:v>-20.914412635980682</c:v>
                </c:pt>
                <c:pt idx="331">
                  <c:v>-20.964289796100239</c:v>
                </c:pt>
                <c:pt idx="332">
                  <c:v>-21.013882180146688</c:v>
                </c:pt>
                <c:pt idx="333">
                  <c:v>-21.064260109163975</c:v>
                </c:pt>
                <c:pt idx="334">
                  <c:v>-21.114347531709061</c:v>
                </c:pt>
                <c:pt idx="335">
                  <c:v>-21.164147779016655</c:v>
                </c:pt>
                <c:pt idx="336">
                  <c:v>-21.213664125349112</c:v>
                </c:pt>
                <c:pt idx="337">
                  <c:v>-21.264103048634965</c:v>
                </c:pt>
                <c:pt idx="338">
                  <c:v>-21.314250763599251</c:v>
                </c:pt>
                <c:pt idx="339">
                  <c:v>-21.364110613521522</c:v>
                </c:pt>
                <c:pt idx="340">
                  <c:v>-21.413685884434845</c:v>
                </c:pt>
                <c:pt idx="341">
                  <c:v>-21.464155667272689</c:v>
                </c:pt>
                <c:pt idx="342">
                  <c:v>-21.514333886372171</c:v>
                </c:pt>
                <c:pt idx="343">
                  <c:v>-21.564223891117862</c:v>
                </c:pt>
                <c:pt idx="344">
                  <c:v>-21.613828973508753</c:v>
                </c:pt>
                <c:pt idx="345">
                  <c:v>-21.664224843196124</c:v>
                </c:pt>
                <c:pt idx="346">
                  <c:v>-21.714330000052399</c:v>
                </c:pt>
                <c:pt idx="347">
                  <c:v>-21.764147778852223</c:v>
                </c:pt>
                <c:pt idx="348">
                  <c:v>-21.813681457317429</c:v>
                </c:pt>
                <c:pt idx="349">
                  <c:v>-21.8641320631395</c:v>
                </c:pt>
                <c:pt idx="350">
                  <c:v>-21.914291326108753</c:v>
                </c:pt>
                <c:pt idx="351">
                  <c:v>-21.964162591815221</c:v>
                </c:pt>
                <c:pt idx="352">
                  <c:v>-22.013749148549898</c:v>
                </c:pt>
                <c:pt idx="353">
                  <c:v>-22.064224754621744</c:v>
                </c:pt>
                <c:pt idx="354">
                  <c:v>-22.114408729857335</c:v>
                </c:pt>
                <c:pt idx="355">
                  <c:v>-22.164304424794111</c:v>
                </c:pt>
                <c:pt idx="356">
                  <c:v>-22.213915132558032</c:v>
                </c:pt>
                <c:pt idx="357">
                  <c:v>-22.264316461781096</c:v>
                </c:pt>
                <c:pt idx="358">
                  <c:v>-22.314427015357158</c:v>
                </c:pt>
                <c:pt idx="359">
                  <c:v>-22.364250129138878</c:v>
                </c:pt>
                <c:pt idx="360">
                  <c:v>-22.413789081901534</c:v>
                </c:pt>
                <c:pt idx="361">
                  <c:v>-22.464234805342464</c:v>
                </c:pt>
                <c:pt idx="362">
                  <c:v>-22.51438924214888</c:v>
                </c:pt>
                <c:pt idx="363">
                  <c:v>-22.564255736945277</c:v>
                </c:pt>
                <c:pt idx="364">
                  <c:v>-22.613837577079281</c:v>
                </c:pt>
                <c:pt idx="365">
                  <c:v>-22.664230386749821</c:v>
                </c:pt>
                <c:pt idx="366">
                  <c:v>-22.714332518780122</c:v>
                </c:pt>
                <c:pt idx="367">
                  <c:v>-22.764147307341396</c:v>
                </c:pt>
                <c:pt idx="368">
                  <c:v>-22.813678029565722</c:v>
                </c:pt>
                <c:pt idx="369">
                  <c:v>-22.864128896181594</c:v>
                </c:pt>
                <c:pt idx="370">
                  <c:v>-22.914288416931573</c:v>
                </c:pt>
                <c:pt idx="371">
                  <c:v>-22.964159937457605</c:v>
                </c:pt>
                <c:pt idx="372">
                  <c:v>-23.013746746101464</c:v>
                </c:pt>
                <c:pt idx="373">
                  <c:v>-23.064160513895228</c:v>
                </c:pt>
                <c:pt idx="374">
                  <c:v>-23.114283362909546</c:v>
                </c:pt>
                <c:pt idx="375">
                  <c:v>-23.164118631453469</c:v>
                </c:pt>
                <c:pt idx="376">
                  <c:v>-23.213669600702829</c:v>
                </c:pt>
                <c:pt idx="377">
                  <c:v>-23.264150148294167</c:v>
                </c:pt>
                <c:pt idx="378">
                  <c:v>-23.31433900809958</c:v>
                </c:pt>
                <c:pt idx="379">
                  <c:v>-23.364239531635395</c:v>
                </c:pt>
                <c:pt idx="380">
                  <c:v>-23.413855012984083</c:v>
                </c:pt>
                <c:pt idx="381">
                  <c:v>-23.464247227226775</c:v>
                </c:pt>
                <c:pt idx="382">
                  <c:v>-23.514348770672019</c:v>
                </c:pt>
                <c:pt idx="383">
                  <c:v>-23.56416297737368</c:v>
                </c:pt>
                <c:pt idx="384">
                  <c:v>-23.613693124349137</c:v>
                </c:pt>
                <c:pt idx="385">
                  <c:v>-23.664159446725883</c:v>
                </c:pt>
                <c:pt idx="386">
                  <c:v>-23.71433424520912</c:v>
                </c:pt>
                <c:pt idx="387">
                  <c:v>-23.764220868499176</c:v>
                </c:pt>
                <c:pt idx="388">
                  <c:v>-23.813822607926308</c:v>
                </c:pt>
                <c:pt idx="389">
                  <c:v>-23.864272524051305</c:v>
                </c:pt>
                <c:pt idx="390">
                  <c:v>-23.91443110524877</c:v>
                </c:pt>
                <c:pt idx="391">
                  <c:v>-23.964301696973024</c:v>
                </c:pt>
                <c:pt idx="392">
                  <c:v>-24.013887587382197</c:v>
                </c:pt>
                <c:pt idx="393">
                  <c:v>-24.064296111342554</c:v>
                </c:pt>
                <c:pt idx="394">
                  <c:v>-24.114413776858893</c:v>
                </c:pt>
                <c:pt idx="395">
                  <c:v>-24.164243921204935</c:v>
                </c:pt>
                <c:pt idx="396">
                  <c:v>-24.213789824544627</c:v>
                </c:pt>
                <c:pt idx="397">
                  <c:v>-24.264247270082357</c:v>
                </c:pt>
                <c:pt idx="398">
                  <c:v>-24.314413293973665</c:v>
                </c:pt>
                <c:pt idx="399">
                  <c:v>-24.364291243162356</c:v>
                </c:pt>
                <c:pt idx="400">
                  <c:v>-24.413884407262366</c:v>
                </c:pt>
                <c:pt idx="401">
                  <c:v>-24.464305924134322</c:v>
                </c:pt>
                <c:pt idx="402">
                  <c:v>-24.514436433033922</c:v>
                </c:pt>
                <c:pt idx="403">
                  <c:v>-24.564279273801453</c:v>
                </c:pt>
                <c:pt idx="404">
                  <c:v>-24.613837729108994</c:v>
                </c:pt>
                <c:pt idx="405">
                  <c:v>-24.66425390623759</c:v>
                </c:pt>
                <c:pt idx="406">
                  <c:v>-24.714379136848525</c:v>
                </c:pt>
                <c:pt idx="407">
                  <c:v>-24.76421675972707</c:v>
                </c:pt>
                <c:pt idx="408">
                  <c:v>-24.813770056514596</c:v>
                </c:pt>
                <c:pt idx="409">
                  <c:v>-24.864208215276676</c:v>
                </c:pt>
                <c:pt idx="410">
                  <c:v>-24.914355174489163</c:v>
                </c:pt>
                <c:pt idx="411">
                  <c:v>-24.964214277281499</c:v>
                </c:pt>
                <c:pt idx="412">
                  <c:v>-25.013788809539953</c:v>
                </c:pt>
                <c:pt idx="413">
                  <c:v>-25.064221419466712</c:v>
                </c:pt>
                <c:pt idx="414">
                  <c:v>-25.114362893725861</c:v>
                </c:pt>
                <c:pt idx="415">
                  <c:v>-25.164216574349851</c:v>
                </c:pt>
                <c:pt idx="416">
                  <c:v>-25.213785746153192</c:v>
                </c:pt>
                <c:pt idx="417">
                  <c:v>-25.264237732248777</c:v>
                </c:pt>
                <c:pt idx="418">
                  <c:v>-25.314398359570099</c:v>
                </c:pt>
                <c:pt idx="419">
                  <c:v>-25.364270973981068</c:v>
                </c:pt>
                <c:pt idx="420">
                  <c:v>-25.413858864040343</c:v>
                </c:pt>
                <c:pt idx="421">
                  <c:v>-25.464253391078348</c:v>
                </c:pt>
                <c:pt idx="422">
                  <c:v>-25.514357220701974</c:v>
                </c:pt>
                <c:pt idx="423">
                  <c:v>-25.564173687421963</c:v>
                </c:pt>
                <c:pt idx="424">
                  <c:v>-25.613706068702232</c:v>
                </c:pt>
                <c:pt idx="425">
                  <c:v>-25.664165970351334</c:v>
                </c:pt>
                <c:pt idx="426">
                  <c:v>-25.714334422056851</c:v>
                </c:pt>
                <c:pt idx="427">
                  <c:v>-25.764214771248607</c:v>
                </c:pt>
                <c:pt idx="428">
                  <c:v>-25.813810308015764</c:v>
                </c:pt>
                <c:pt idx="429">
                  <c:v>-25.864257892335672</c:v>
                </c:pt>
                <c:pt idx="430">
                  <c:v>-25.91441416856998</c:v>
                </c:pt>
                <c:pt idx="431">
                  <c:v>-25.964282481711969</c:v>
                </c:pt>
                <c:pt idx="432">
                  <c:v>-26.013866119469654</c:v>
                </c:pt>
                <c:pt idx="433">
                  <c:v>-26.064276131046299</c:v>
                </c:pt>
                <c:pt idx="434">
                  <c:v>-26.11439526705054</c:v>
                </c:pt>
                <c:pt idx="435">
                  <c:v>-26.164226865050182</c:v>
                </c:pt>
                <c:pt idx="436">
                  <c:v>-26.213774205496662</c:v>
                </c:pt>
                <c:pt idx="437">
                  <c:v>-26.264213343071674</c:v>
                </c:pt>
                <c:pt idx="438">
                  <c:v>-26.314361269820921</c:v>
                </c:pt>
                <c:pt idx="439">
                  <c:v>-26.364221329067551</c:v>
                </c:pt>
                <c:pt idx="440">
                  <c:v>-26.413796806887166</c:v>
                </c:pt>
                <c:pt idx="441">
                  <c:v>-26.464237061697364</c:v>
                </c:pt>
                <c:pt idx="442">
                  <c:v>-26.514386092817375</c:v>
                </c:pt>
                <c:pt idx="443">
                  <c:v>-26.564247243791172</c:v>
                </c:pt>
                <c:pt idx="444">
                  <c:v>-26.613823800910442</c:v>
                </c:pt>
                <c:pt idx="445">
                  <c:v>-26.66423903180376</c:v>
                </c:pt>
                <c:pt idx="446">
                  <c:v>-26.71436332705996</c:v>
                </c:pt>
                <c:pt idx="447">
                  <c:v>-26.764200025277741</c:v>
                </c:pt>
                <c:pt idx="448">
                  <c:v>-26.813752407916063</c:v>
                </c:pt>
                <c:pt idx="449">
                  <c:v>-26.864202447217028</c:v>
                </c:pt>
                <c:pt idx="450">
                  <c:v>-26.914361150157177</c:v>
                </c:pt>
                <c:pt idx="451">
                  <c:v>-26.96423186221557</c:v>
                </c:pt>
                <c:pt idx="452">
                  <c:v>-27.013817871574723</c:v>
                </c:pt>
                <c:pt idx="453">
                  <c:v>-27.06423317739992</c:v>
                </c:pt>
                <c:pt idx="454">
                  <c:v>-27.114357546724168</c:v>
                </c:pt>
                <c:pt idx="455">
                  <c:v>-27.164194318161236</c:v>
                </c:pt>
                <c:pt idx="456">
                  <c:v>-27.21374677318444</c:v>
                </c:pt>
                <c:pt idx="457">
                  <c:v>-27.26418403669183</c:v>
                </c:pt>
                <c:pt idx="458">
                  <c:v>-27.314330110947033</c:v>
                </c:pt>
                <c:pt idx="459">
                  <c:v>-27.364188338902782</c:v>
                </c:pt>
                <c:pt idx="460">
                  <c:v>-27.413762006272819</c:v>
                </c:pt>
                <c:pt idx="461">
                  <c:v>-27.46419369998495</c:v>
                </c:pt>
                <c:pt idx="462">
                  <c:v>-27.514334268567499</c:v>
                </c:pt>
                <c:pt idx="463">
                  <c:v>-27.564187053872125</c:v>
                </c:pt>
                <c:pt idx="464">
                  <c:v>-27.613755340536684</c:v>
                </c:pt>
                <c:pt idx="465">
                  <c:v>-27.664194174136302</c:v>
                </c:pt>
                <c:pt idx="466">
                  <c:v>-27.714341800405347</c:v>
                </c:pt>
                <c:pt idx="467">
                  <c:v>-27.764201562606992</c:v>
                </c:pt>
                <c:pt idx="468">
                  <c:v>-27.813776746758307</c:v>
                </c:pt>
                <c:pt idx="469">
                  <c:v>-27.864196179272355</c:v>
                </c:pt>
                <c:pt idx="470">
                  <c:v>-27.914324627789973</c:v>
                </c:pt>
                <c:pt idx="471">
                  <c:v>-27.964165431739989</c:v>
                </c:pt>
                <c:pt idx="472">
                  <c:v>-28.013721873392612</c:v>
                </c:pt>
                <c:pt idx="473">
                  <c:v>-28.064170492134242</c:v>
                </c:pt>
                <c:pt idx="474">
                  <c:v>-28.114327790870682</c:v>
                </c:pt>
                <c:pt idx="475">
                  <c:v>-28.164197114800093</c:v>
                </c:pt>
                <c:pt idx="476">
                  <c:v>-28.213781751830602</c:v>
                </c:pt>
                <c:pt idx="477">
                  <c:v>-28.264231529175156</c:v>
                </c:pt>
                <c:pt idx="478">
                  <c:v>-28.314389973171529</c:v>
                </c:pt>
                <c:pt idx="479">
                  <c:v>-28.364260429247121</c:v>
                </c:pt>
                <c:pt idx="480">
                  <c:v>-28.413846185533885</c:v>
                </c:pt>
                <c:pt idx="481">
                  <c:v>-28.464270962998526</c:v>
                </c:pt>
                <c:pt idx="482">
                  <c:v>-28.514404694945547</c:v>
                </c:pt>
                <c:pt idx="483">
                  <c:v>-28.564250721859906</c:v>
                </c:pt>
                <c:pt idx="484">
                  <c:v>-28.61381232704381</c:v>
                </c:pt>
                <c:pt idx="485">
                  <c:v>-28.664221946474747</c:v>
                </c:pt>
                <c:pt idx="486">
                  <c:v>-28.714340694837645</c:v>
                </c:pt>
                <c:pt idx="487">
                  <c:v>-28.764171909623162</c:v>
                </c:pt>
                <c:pt idx="488">
                  <c:v>-28.813718871207413</c:v>
                </c:pt>
                <c:pt idx="489">
                  <c:v>-28.864155199621241</c:v>
                </c:pt>
                <c:pt idx="490">
                  <c:v>-28.914300349544604</c:v>
                </c:pt>
                <c:pt idx="491">
                  <c:v>-28.964157663745517</c:v>
                </c:pt>
                <c:pt idx="492">
                  <c:v>-29.013730427757189</c:v>
                </c:pt>
                <c:pt idx="493">
                  <c:v>-29.064165622071712</c:v>
                </c:pt>
                <c:pt idx="494">
                  <c:v>-29.11430965095219</c:v>
                </c:pt>
                <c:pt idx="495">
                  <c:v>-29.164165856942404</c:v>
                </c:pt>
                <c:pt idx="496">
                  <c:v>-29.213737525356564</c:v>
                </c:pt>
                <c:pt idx="497">
                  <c:v>-29.264177535079394</c:v>
                </c:pt>
                <c:pt idx="498">
                  <c:v>-29.314326323926153</c:v>
                </c:pt>
                <c:pt idx="499">
                  <c:v>-29.36418723539273</c:v>
                </c:pt>
                <c:pt idx="500">
                  <c:v>-29.413763555723644</c:v>
                </c:pt>
                <c:pt idx="501">
                  <c:v>-29.464213198875214</c:v>
                </c:pt>
                <c:pt idx="502">
                  <c:v>-29.51437151022137</c:v>
                </c:pt>
                <c:pt idx="503">
                  <c:v>-29.56424183516306</c:v>
                </c:pt>
                <c:pt idx="504">
                  <c:v>-29.613827461806448</c:v>
                </c:pt>
                <c:pt idx="505">
                  <c:v>-29.664260014329411</c:v>
                </c:pt>
                <c:pt idx="506">
                  <c:v>-29.714401431830943</c:v>
                </c:pt>
                <c:pt idx="507">
                  <c:v>-29.764255056332544</c:v>
                </c:pt>
                <c:pt idx="508">
                  <c:v>-29.813824172638203</c:v>
                </c:pt>
                <c:pt idx="509">
                  <c:v>-29.864244521532811</c:v>
                </c:pt>
                <c:pt idx="510">
                  <c:v>-29.914373875879619</c:v>
                </c:pt>
                <c:pt idx="511">
                  <c:v>-29.964215575288733</c:v>
                </c:pt>
                <c:pt idx="512">
                  <c:v>-30.013772902207375</c:v>
                </c:pt>
                <c:pt idx="513">
                  <c:v>-30.064214071355373</c:v>
                </c:pt>
                <c:pt idx="514">
                  <c:v>-30.114364006276212</c:v>
                </c:pt>
                <c:pt idx="515">
                  <c:v>-30.164226050695014</c:v>
                </c:pt>
                <c:pt idx="516">
                  <c:v>-30.213803491080373</c:v>
                </c:pt>
                <c:pt idx="517">
                  <c:v>-30.264238022838008</c:v>
                </c:pt>
                <c:pt idx="518">
                  <c:v>-30.314381396787297</c:v>
                </c:pt>
                <c:pt idx="519">
                  <c:v>-30.364236955341148</c:v>
                </c:pt>
                <c:pt idx="520">
                  <c:v>-30.413807983685768</c:v>
                </c:pt>
                <c:pt idx="521">
                  <c:v>-30.464238075223903</c:v>
                </c:pt>
                <c:pt idx="522">
                  <c:v>-30.514377060069936</c:v>
                </c:pt>
                <c:pt idx="523">
                  <c:v>-30.564228279759188</c:v>
                </c:pt>
                <c:pt idx="524">
                  <c:v>-30.613795018620188</c:v>
                </c:pt>
                <c:pt idx="525">
                  <c:v>-30.664222094183017</c:v>
                </c:pt>
                <c:pt idx="526">
                  <c:v>-30.71435809777136</c:v>
                </c:pt>
                <c:pt idx="527">
                  <c:v>-30.764206370324434</c:v>
                </c:pt>
                <c:pt idx="528">
                  <c:v>-30.813770195588383</c:v>
                </c:pt>
                <c:pt idx="529">
                  <c:v>-30.864194970373656</c:v>
                </c:pt>
                <c:pt idx="530">
                  <c:v>-30.914328699667749</c:v>
                </c:pt>
                <c:pt idx="531">
                  <c:v>-30.964174723955317</c:v>
                </c:pt>
                <c:pt idx="532">
                  <c:v>-31.013736326538151</c:v>
                </c:pt>
                <c:pt idx="533">
                  <c:v>-31.06418482284543</c:v>
                </c:pt>
                <c:pt idx="534">
                  <c:v>-31.114342000551769</c:v>
                </c:pt>
                <c:pt idx="535">
                  <c:v>-31.164211204831357</c:v>
                </c:pt>
                <c:pt idx="536">
                  <c:v>-31.213795723568847</c:v>
                </c:pt>
                <c:pt idx="537">
                  <c:v>-31.264214913892051</c:v>
                </c:pt>
                <c:pt idx="538">
                  <c:v>-31.314343122999876</c:v>
                </c:pt>
                <c:pt idx="539">
                  <c:v>-31.364183690273432</c:v>
                </c:pt>
                <c:pt idx="540">
                  <c:v>-31.413739897936455</c:v>
                </c:pt>
                <c:pt idx="541">
                  <c:v>-31.464180066643564</c:v>
                </c:pt>
                <c:pt idx="542">
                  <c:v>-31.514329012640619</c:v>
                </c:pt>
                <c:pt idx="543">
                  <c:v>-31.564190079455095</c:v>
                </c:pt>
                <c:pt idx="544">
                  <c:v>-31.613766553362339</c:v>
                </c:pt>
                <c:pt idx="545">
                  <c:v>-31.664200233811503</c:v>
                </c:pt>
                <c:pt idx="546">
                  <c:v>-31.714342766251171</c:v>
                </c:pt>
                <c:pt idx="547">
                  <c:v>-31.764197492926009</c:v>
                </c:pt>
                <c:pt idx="548">
                  <c:v>-31.813767698858015</c:v>
                </c:pt>
                <c:pt idx="549">
                  <c:v>-31.86419293953124</c:v>
                </c:pt>
                <c:pt idx="550">
                  <c:v>-31.91432712934947</c:v>
                </c:pt>
                <c:pt idx="551">
                  <c:v>-31.964173608889375</c:v>
                </c:pt>
                <c:pt idx="552">
                  <c:v>-32.013735661542889</c:v>
                </c:pt>
                <c:pt idx="553">
                  <c:v>-32.064173248421064</c:v>
                </c:pt>
                <c:pt idx="554">
                  <c:v>-32.114319642314953</c:v>
                </c:pt>
                <c:pt idx="555">
                  <c:v>-32.164178186241415</c:v>
                </c:pt>
                <c:pt idx="556">
                  <c:v>-32.213752165977084</c:v>
                </c:pt>
                <c:pt idx="557">
                  <c:v>-32.314352186254808</c:v>
                </c:pt>
                <c:pt idx="558">
                  <c:v>-32.413800384259638</c:v>
                </c:pt>
                <c:pt idx="559">
                  <c:v>-32.51436352387087</c:v>
                </c:pt>
                <c:pt idx="560">
                  <c:v>-32.613775680763737</c:v>
                </c:pt>
                <c:pt idx="561">
                  <c:v>-32.714381396674156</c:v>
                </c:pt>
                <c:pt idx="562">
                  <c:v>-32.813835160627235</c:v>
                </c:pt>
                <c:pt idx="563">
                  <c:v>-32.914260943280198</c:v>
                </c:pt>
                <c:pt idx="564">
                  <c:v>-33.013538867359088</c:v>
                </c:pt>
                <c:pt idx="565">
                  <c:v>-33.114155119946219</c:v>
                </c:pt>
                <c:pt idx="566">
                  <c:v>-33.213619180647868</c:v>
                </c:pt>
                <c:pt idx="567">
                  <c:v>-33.314361315950421</c:v>
                </c:pt>
                <c:pt idx="568">
                  <c:v>-33.413948391026452</c:v>
                </c:pt>
                <c:pt idx="569">
                  <c:v>-33.514364417396777</c:v>
                </c:pt>
                <c:pt idx="570">
                  <c:v>-33.613632806935485</c:v>
                </c:pt>
                <c:pt idx="571">
                  <c:v>-33.714458140940643</c:v>
                </c:pt>
                <c:pt idx="572">
                  <c:v>-33.814126517033067</c:v>
                </c:pt>
                <c:pt idx="573">
                  <c:v>-33.91453384834</c:v>
                </c:pt>
                <c:pt idx="574">
                  <c:v>-34.013793740420809</c:v>
                </c:pt>
                <c:pt idx="575">
                  <c:v>-34.11449018183022</c:v>
                </c:pt>
                <c:pt idx="576">
                  <c:v>-34.21403260459094</c:v>
                </c:pt>
                <c:pt idx="577">
                  <c:v>-34.623254383885552</c:v>
                </c:pt>
                <c:pt idx="578">
                  <c:v>-35.014060697071422</c:v>
                </c:pt>
                <c:pt idx="579">
                  <c:v>-35.813536657395659</c:v>
                </c:pt>
                <c:pt idx="580">
                  <c:v>-36.613812953096968</c:v>
                </c:pt>
                <c:pt idx="581">
                  <c:v>-37.413771498719065</c:v>
                </c:pt>
                <c:pt idx="582">
                  <c:v>-38.21395469983127</c:v>
                </c:pt>
                <c:pt idx="583">
                  <c:v>-39.013791720206868</c:v>
                </c:pt>
                <c:pt idx="584">
                  <c:v>-39.813898277201645</c:v>
                </c:pt>
                <c:pt idx="585">
                  <c:v>-40.613822549272463</c:v>
                </c:pt>
                <c:pt idx="586">
                  <c:v>-41.413685108203893</c:v>
                </c:pt>
                <c:pt idx="587">
                  <c:v>-42.21391448695131</c:v>
                </c:pt>
                <c:pt idx="588">
                  <c:v>-43.013746209088374</c:v>
                </c:pt>
                <c:pt idx="589">
                  <c:v>-43.813822161266096</c:v>
                </c:pt>
                <c:pt idx="590">
                  <c:v>-44.613837357594512</c:v>
                </c:pt>
                <c:pt idx="591">
                  <c:v>-45.413858555029549</c:v>
                </c:pt>
                <c:pt idx="592">
                  <c:v>-46.213773948467683</c:v>
                </c:pt>
                <c:pt idx="593">
                  <c:v>-47.013817657789481</c:v>
                </c:pt>
                <c:pt idx="594">
                  <c:v>-47.813776568937804</c:v>
                </c:pt>
                <c:pt idx="595">
                  <c:v>-48.613812179140353</c:v>
                </c:pt>
                <c:pt idx="596">
                  <c:v>-49.413763432701515</c:v>
                </c:pt>
                <c:pt idx="597">
                  <c:v>-50.213803388755991</c:v>
                </c:pt>
                <c:pt idx="598">
                  <c:v>-51.013736241427083</c:v>
                </c:pt>
                <c:pt idx="599">
                  <c:v>-51.813767628066245</c:v>
                </c:pt>
                <c:pt idx="600">
                  <c:v>-52.613775621881771</c:v>
                </c:pt>
              </c:numCache>
            </c:numRef>
          </c:yVal>
          <c:smooth val="1"/>
          <c:extLst>
            <c:ext xmlns:c16="http://schemas.microsoft.com/office/drawing/2014/chart" uri="{C3380CC4-5D6E-409C-BE32-E72D297353CC}">
              <c16:uniqueId val="{00000000-ED2D-411C-BFB4-2F790B838F13}"/>
            </c:ext>
          </c:extLst>
        </c:ser>
        <c:dLbls>
          <c:showLegendKey val="0"/>
          <c:showVal val="0"/>
          <c:showCatName val="0"/>
          <c:showSerName val="0"/>
          <c:showPercent val="0"/>
          <c:showBubbleSize val="0"/>
        </c:dLbls>
        <c:axId val="196940928"/>
        <c:axId val="196942848"/>
      </c:scatterChart>
      <c:scatterChart>
        <c:scatterStyle val="lineMarker"/>
        <c:varyColors val="0"/>
        <c:ser>
          <c:idx val="8"/>
          <c:order val="1"/>
          <c:tx>
            <c:strRef>
              <c:f>'IL Stability Calculations'!$BC$12</c:f>
              <c:strCache>
                <c:ptCount val="1"/>
                <c:pt idx="0">
                  <c:v>Phase(Deg)</c:v>
                </c:pt>
              </c:strCache>
            </c:strRef>
          </c:tx>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Calculations'!$BC$13:$BC$613</c:f>
              <c:numCache>
                <c:formatCode>0.0000</c:formatCode>
                <c:ptCount val="601"/>
                <c:pt idx="0">
                  <c:v>-4.8841351916767142</c:v>
                </c:pt>
                <c:pt idx="1">
                  <c:v>-5.3528359699078729</c:v>
                </c:pt>
                <c:pt idx="2">
                  <c:v>-5.8658802118175419</c:v>
                </c:pt>
                <c:pt idx="3">
                  <c:v>-6.4273004392003745</c:v>
                </c:pt>
                <c:pt idx="4">
                  <c:v>-7.0410191959675101</c:v>
                </c:pt>
                <c:pt idx="5">
                  <c:v>-7.7127437241130394</c:v>
                </c:pt>
                <c:pt idx="6">
                  <c:v>-8.4465435571671321</c:v>
                </c:pt>
                <c:pt idx="7">
                  <c:v>-9.2481663893025274</c:v>
                </c:pt>
                <c:pt idx="8">
                  <c:v>-10.122562498602841</c:v>
                </c:pt>
                <c:pt idx="9">
                  <c:v>-11.076176358642543</c:v>
                </c:pt>
                <c:pt idx="10">
                  <c:v>-12.114446801071441</c:v>
                </c:pt>
                <c:pt idx="11">
                  <c:v>-13.24355514918804</c:v>
                </c:pt>
                <c:pt idx="12">
                  <c:v>-14.4702119544312</c:v>
                </c:pt>
                <c:pt idx="13">
                  <c:v>-15.799123603918868</c:v>
                </c:pt>
                <c:pt idx="14">
                  <c:v>-17.236851101588183</c:v>
                </c:pt>
                <c:pt idx="15">
                  <c:v>-18.787803689854229</c:v>
                </c:pt>
                <c:pt idx="16">
                  <c:v>-20.456124133114489</c:v>
                </c:pt>
                <c:pt idx="17">
                  <c:v>-22.244348208422988</c:v>
                </c:pt>
                <c:pt idx="18">
                  <c:v>-24.154186727273093</c:v>
                </c:pt>
                <c:pt idx="19">
                  <c:v>-26.184318053239313</c:v>
                </c:pt>
                <c:pt idx="20">
                  <c:v>-28.331932564567925</c:v>
                </c:pt>
                <c:pt idx="21">
                  <c:v>-30.590639786799962</c:v>
                </c:pt>
                <c:pt idx="22">
                  <c:v>-32.951977809542988</c:v>
                </c:pt>
                <c:pt idx="23">
                  <c:v>-35.403307749831257</c:v>
                </c:pt>
                <c:pt idx="24">
                  <c:v>-37.930162796570322</c:v>
                </c:pt>
                <c:pt idx="25">
                  <c:v>-40.51432594873522</c:v>
                </c:pt>
                <c:pt idx="26">
                  <c:v>-43.136337196652491</c:v>
                </c:pt>
                <c:pt idx="27">
                  <c:v>-45.773773128103301</c:v>
                </c:pt>
                <c:pt idx="28">
                  <c:v>-48.404486225304566</c:v>
                </c:pt>
                <c:pt idx="29">
                  <c:v>-51.004905992143826</c:v>
                </c:pt>
                <c:pt idx="30">
                  <c:v>-53.558617286307573</c:v>
                </c:pt>
                <c:pt idx="31">
                  <c:v>-56.043166916959059</c:v>
                </c:pt>
                <c:pt idx="32">
                  <c:v>-58.443962642043047</c:v>
                </c:pt>
                <c:pt idx="33">
                  <c:v>-60.745977034400802</c:v>
                </c:pt>
                <c:pt idx="34">
                  <c:v>-62.940761293405252</c:v>
                </c:pt>
                <c:pt idx="35">
                  <c:v>-65.019886973377808</c:v>
                </c:pt>
                <c:pt idx="36">
                  <c:v>-66.979407788343934</c:v>
                </c:pt>
                <c:pt idx="37">
                  <c:v>-68.818536113538627</c:v>
                </c:pt>
                <c:pt idx="38">
                  <c:v>-70.535922522589061</c:v>
                </c:pt>
                <c:pt idx="39">
                  <c:v>-72.13515272723798</c:v>
                </c:pt>
                <c:pt idx="40">
                  <c:v>-73.619133992762983</c:v>
                </c:pt>
                <c:pt idx="41">
                  <c:v>-74.992589759895054</c:v>
                </c:pt>
                <c:pt idx="42">
                  <c:v>-76.260653734326127</c:v>
                </c:pt>
                <c:pt idx="43">
                  <c:v>-77.429454428114838</c:v>
                </c:pt>
                <c:pt idx="44">
                  <c:v>-78.504675239995066</c:v>
                </c:pt>
                <c:pt idx="45">
                  <c:v>-79.492610786087766</c:v>
                </c:pt>
                <c:pt idx="46">
                  <c:v>-80.399081519188329</c:v>
                </c:pt>
                <c:pt idx="47">
                  <c:v>-81.230148840808596</c:v>
                </c:pt>
                <c:pt idx="48">
                  <c:v>-81.991255826053319</c:v>
                </c:pt>
                <c:pt idx="49">
                  <c:v>-82.68797730111946</c:v>
                </c:pt>
                <c:pt idx="50">
                  <c:v>-83.325281304586909</c:v>
                </c:pt>
                <c:pt idx="51">
                  <c:v>-83.908077782687414</c:v>
                </c:pt>
                <c:pt idx="52">
                  <c:v>-84.440636209023282</c:v>
                </c:pt>
                <c:pt idx="53">
                  <c:v>-84.927141912370516</c:v>
                </c:pt>
                <c:pt idx="54">
                  <c:v>-85.371188163399495</c:v>
                </c:pt>
                <c:pt idx="55">
                  <c:v>-85.777063162885426</c:v>
                </c:pt>
                <c:pt idx="56">
                  <c:v>-86.147444866249344</c:v>
                </c:pt>
                <c:pt idx="57">
                  <c:v>-86.48561145945871</c:v>
                </c:pt>
                <c:pt idx="58">
                  <c:v>-86.794103539713035</c:v>
                </c:pt>
                <c:pt idx="59">
                  <c:v>-87.07571031533827</c:v>
                </c:pt>
                <c:pt idx="60">
                  <c:v>-87.332603393598646</c:v>
                </c:pt>
                <c:pt idx="61">
                  <c:v>-87.566971317810854</c:v>
                </c:pt>
                <c:pt idx="62">
                  <c:v>-87.780885669366597</c:v>
                </c:pt>
                <c:pt idx="63">
                  <c:v>-87.975934269667704</c:v>
                </c:pt>
                <c:pt idx="64">
                  <c:v>-88.153917072783813</c:v>
                </c:pt>
                <c:pt idx="65">
                  <c:v>-88.316257296165617</c:v>
                </c:pt>
                <c:pt idx="66">
                  <c:v>-88.464337788812969</c:v>
                </c:pt>
                <c:pt idx="67">
                  <c:v>-88.599389363582929</c:v>
                </c:pt>
                <c:pt idx="68">
                  <c:v>-88.722591540496552</c:v>
                </c:pt>
                <c:pt idx="69">
                  <c:v>-88.834951656040772</c:v>
                </c:pt>
                <c:pt idx="70">
                  <c:v>-88.937443001406493</c:v>
                </c:pt>
                <c:pt idx="71">
                  <c:v>-89.030912372892161</c:v>
                </c:pt>
                <c:pt idx="72">
                  <c:v>-89.116171466401283</c:v>
                </c:pt>
                <c:pt idx="73">
                  <c:v>-89.193921810700985</c:v>
                </c:pt>
                <c:pt idx="74">
                  <c:v>-89.264842450489198</c:v>
                </c:pt>
                <c:pt idx="75">
                  <c:v>-89.32952277326936</c:v>
                </c:pt>
                <c:pt idx="76">
                  <c:v>-89.388524964466754</c:v>
                </c:pt>
                <c:pt idx="77">
                  <c:v>-89.44232998475502</c:v>
                </c:pt>
                <c:pt idx="78">
                  <c:v>-89.491397844617396</c:v>
                </c:pt>
                <c:pt idx="79">
                  <c:v>-89.536119287085356</c:v>
                </c:pt>
                <c:pt idx="80">
                  <c:v>-89.576947663648824</c:v>
                </c:pt>
                <c:pt idx="81">
                  <c:v>-89.614168662851668</c:v>
                </c:pt>
                <c:pt idx="82">
                  <c:v>-89.64812416524461</c:v>
                </c:pt>
                <c:pt idx="83">
                  <c:v>-89.679078724436664</c:v>
                </c:pt>
                <c:pt idx="84">
                  <c:v>-89.707319393769481</c:v>
                </c:pt>
                <c:pt idx="85">
                  <c:v>-89.733069396915099</c:v>
                </c:pt>
                <c:pt idx="86">
                  <c:v>-89.756552248248923</c:v>
                </c:pt>
                <c:pt idx="87">
                  <c:v>-89.777978650037653</c:v>
                </c:pt>
                <c:pt idx="88">
                  <c:v>-89.797510028876403</c:v>
                </c:pt>
                <c:pt idx="89">
                  <c:v>-89.815328436967519</c:v>
                </c:pt>
                <c:pt idx="90">
                  <c:v>-89.831577729349789</c:v>
                </c:pt>
                <c:pt idx="91">
                  <c:v>-89.846397364016127</c:v>
                </c:pt>
                <c:pt idx="92">
                  <c:v>-89.859911310028039</c:v>
                </c:pt>
                <c:pt idx="93">
                  <c:v>-89.872238196374667</c:v>
                </c:pt>
                <c:pt idx="94">
                  <c:v>-89.875145378916201</c:v>
                </c:pt>
                <c:pt idx="95">
                  <c:v>-89.876582862419511</c:v>
                </c:pt>
                <c:pt idx="96">
                  <c:v>-89.877987622488433</c:v>
                </c:pt>
                <c:pt idx="97">
                  <c:v>-89.879392228913417</c:v>
                </c:pt>
                <c:pt idx="98">
                  <c:v>-89.880764863784776</c:v>
                </c:pt>
                <c:pt idx="99">
                  <c:v>-89.882137691442409</c:v>
                </c:pt>
                <c:pt idx="100">
                  <c:v>-89.883479266550566</c:v>
                </c:pt>
                <c:pt idx="101">
                  <c:v>-89.884820330209834</c:v>
                </c:pt>
                <c:pt idx="102">
                  <c:v>-89.886130875933446</c:v>
                </c:pt>
                <c:pt idx="103">
                  <c:v>-89.887442173851241</c:v>
                </c:pt>
                <c:pt idx="104">
                  <c:v>-89.888723614263071</c:v>
                </c:pt>
                <c:pt idx="105">
                  <c:v>-89.89000508395921</c:v>
                </c:pt>
                <c:pt idx="106">
                  <c:v>-89.891257374659276</c:v>
                </c:pt>
                <c:pt idx="107">
                  <c:v>-89.892509050261665</c:v>
                </c:pt>
                <c:pt idx="108">
                  <c:v>-89.893732239115124</c:v>
                </c:pt>
                <c:pt idx="109">
                  <c:v>-89.894955063539896</c:v>
                </c:pt>
                <c:pt idx="110">
                  <c:v>-89.896150066031566</c:v>
                </c:pt>
                <c:pt idx="111">
                  <c:v>-89.897345696300036</c:v>
                </c:pt>
                <c:pt idx="112">
                  <c:v>-89.89851410923184</c:v>
                </c:pt>
                <c:pt idx="113">
                  <c:v>-89.899682496200683</c:v>
                </c:pt>
                <c:pt idx="114">
                  <c:v>-89.900824286581923</c:v>
                </c:pt>
                <c:pt idx="115">
                  <c:v>-89.901966185113253</c:v>
                </c:pt>
                <c:pt idx="116">
                  <c:v>-89.903082087590903</c:v>
                </c:pt>
                <c:pt idx="117">
                  <c:v>-89.904198201422474</c:v>
                </c:pt>
                <c:pt idx="118">
                  <c:v>-89.905288901446227</c:v>
                </c:pt>
                <c:pt idx="119">
                  <c:v>-89.906379235237353</c:v>
                </c:pt>
                <c:pt idx="120">
                  <c:v>-89.907444750469651</c:v>
                </c:pt>
                <c:pt idx="121">
                  <c:v>-89.908510010159205</c:v>
                </c:pt>
                <c:pt idx="122">
                  <c:v>-89.909551027783152</c:v>
                </c:pt>
                <c:pt idx="123">
                  <c:v>-89.910592471622138</c:v>
                </c:pt>
                <c:pt idx="124">
                  <c:v>-89.911610205777507</c:v>
                </c:pt>
                <c:pt idx="125">
                  <c:v>-89.912627807224268</c:v>
                </c:pt>
                <c:pt idx="126">
                  <c:v>-89.913622244772498</c:v>
                </c:pt>
                <c:pt idx="127">
                  <c:v>-89.914616595578522</c:v>
                </c:pt>
                <c:pt idx="128">
                  <c:v>-89.915588313696489</c:v>
                </c:pt>
                <c:pt idx="129">
                  <c:v>-89.916559974250404</c:v>
                </c:pt>
                <c:pt idx="130">
                  <c:v>-89.917509519869398</c:v>
                </c:pt>
                <c:pt idx="131">
                  <c:v>-89.918459022583221</c:v>
                </c:pt>
                <c:pt idx="132">
                  <c:v>-89.918925623946564</c:v>
                </c:pt>
                <c:pt idx="133">
                  <c:v>-89.919386915637546</c:v>
                </c:pt>
                <c:pt idx="134">
                  <c:v>-89.919853766639832</c:v>
                </c:pt>
                <c:pt idx="135">
                  <c:v>-89.920315241473105</c:v>
                </c:pt>
                <c:pt idx="136">
                  <c:v>-89.920771432472108</c:v>
                </c:pt>
                <c:pt idx="137">
                  <c:v>-89.921222429869147</c:v>
                </c:pt>
                <c:pt idx="138">
                  <c:v>-89.921678386710752</c:v>
                </c:pt>
                <c:pt idx="139">
                  <c:v>-89.922129095861848</c:v>
                </c:pt>
                <c:pt idx="140">
                  <c:v>-89.922574647399003</c:v>
                </c:pt>
                <c:pt idx="141">
                  <c:v>-89.923015129348883</c:v>
                </c:pt>
                <c:pt idx="142">
                  <c:v>-89.923460895105805</c:v>
                </c:pt>
                <c:pt idx="143">
                  <c:v>-89.923901528346647</c:v>
                </c:pt>
                <c:pt idx="144">
                  <c:v>-89.924337117207116</c:v>
                </c:pt>
                <c:pt idx="145">
                  <c:v>-89.924767747816446</c:v>
                </c:pt>
                <c:pt idx="146">
                  <c:v>-89.925203309531597</c:v>
                </c:pt>
                <c:pt idx="147">
                  <c:v>-89.925633856858425</c:v>
                </c:pt>
                <c:pt idx="148">
                  <c:v>-89.926059475893254</c:v>
                </c:pt>
                <c:pt idx="149">
                  <c:v>-89.926480250772556</c:v>
                </c:pt>
                <c:pt idx="150">
                  <c:v>-89.926905826845896</c:v>
                </c:pt>
                <c:pt idx="151">
                  <c:v>-89.92732650430267</c:v>
                </c:pt>
                <c:pt idx="152">
                  <c:v>-89.92774236723757</c:v>
                </c:pt>
                <c:pt idx="153">
                  <c:v>-89.928153497831318</c:v>
                </c:pt>
                <c:pt idx="154">
                  <c:v>-89.928569489706646</c:v>
                </c:pt>
                <c:pt idx="155">
                  <c:v>-89.928980692122281</c:v>
                </c:pt>
                <c:pt idx="156">
                  <c:v>-89.92938718731881</c:v>
                </c:pt>
                <c:pt idx="157">
                  <c:v>-89.929789055664685</c:v>
                </c:pt>
                <c:pt idx="158">
                  <c:v>-89.930195642488712</c:v>
                </c:pt>
                <c:pt idx="159">
                  <c:v>-89.930597547394171</c:v>
                </c:pt>
                <c:pt idx="160">
                  <c:v>-89.930994850787769</c:v>
                </c:pt>
                <c:pt idx="161">
                  <c:v>-89.931387631245471</c:v>
                </c:pt>
                <c:pt idx="162">
                  <c:v>-89.931784815183505</c:v>
                </c:pt>
                <c:pt idx="163">
                  <c:v>-89.932177427145618</c:v>
                </c:pt>
                <c:pt idx="164">
                  <c:v>-89.93256554562187</c:v>
                </c:pt>
                <c:pt idx="165">
                  <c:v>-89.93294924731596</c:v>
                </c:pt>
                <c:pt idx="166">
                  <c:v>-89.933337555700518</c:v>
                </c:pt>
                <c:pt idx="167">
                  <c:v>-89.933721392393664</c:v>
                </c:pt>
                <c:pt idx="168">
                  <c:v>-89.934100834196016</c:v>
                </c:pt>
                <c:pt idx="169">
                  <c:v>-89.934475956159432</c:v>
                </c:pt>
                <c:pt idx="170">
                  <c:v>-89.934854744329328</c:v>
                </c:pt>
                <c:pt idx="171">
                  <c:v>-89.935229178197233</c:v>
                </c:pt>
                <c:pt idx="172">
                  <c:v>-89.935599332415364</c:v>
                </c:pt>
                <c:pt idx="173">
                  <c:v>-89.935965279939126</c:v>
                </c:pt>
                <c:pt idx="174">
                  <c:v>-89.936336160560018</c:v>
                </c:pt>
                <c:pt idx="175">
                  <c:v>-89.93670276973937</c:v>
                </c:pt>
                <c:pt idx="176">
                  <c:v>-89.937065180846119</c:v>
                </c:pt>
                <c:pt idx="177">
                  <c:v>-89.937423465578448</c:v>
                </c:pt>
                <c:pt idx="178">
                  <c:v>-89.937786354032923</c:v>
                </c:pt>
                <c:pt idx="179">
                  <c:v>-89.938145057892982</c:v>
                </c:pt>
                <c:pt idx="180">
                  <c:v>-89.93849964912468</c:v>
                </c:pt>
                <c:pt idx="181">
                  <c:v>-89.938850198053316</c:v>
                </c:pt>
                <c:pt idx="182">
                  <c:v>-89.93920366485051</c:v>
                </c:pt>
                <c:pt idx="183">
                  <c:v>-89.939553068815485</c:v>
                </c:pt>
                <c:pt idx="184">
                  <c:v>-89.939898479596721</c:v>
                </c:pt>
                <c:pt idx="185">
                  <c:v>-89.940239965259735</c:v>
                </c:pt>
                <c:pt idx="186">
                  <c:v>-89.940586806734316</c:v>
                </c:pt>
                <c:pt idx="187">
                  <c:v>-89.940929645373501</c:v>
                </c:pt>
                <c:pt idx="188">
                  <c:v>-89.941268550073701</c:v>
                </c:pt>
                <c:pt idx="189">
                  <c:v>-89.941603588159268</c:v>
                </c:pt>
                <c:pt idx="190">
                  <c:v>-89.941941110212682</c:v>
                </c:pt>
                <c:pt idx="191">
                  <c:v>-89.942274753040209</c:v>
                </c:pt>
                <c:pt idx="192">
                  <c:v>-89.942604583137097</c:v>
                </c:pt>
                <c:pt idx="193">
                  <c:v>-89.942930665487467</c:v>
                </c:pt>
                <c:pt idx="194">
                  <c:v>-89.94326146699801</c:v>
                </c:pt>
                <c:pt idx="195">
                  <c:v>-89.943588455639414</c:v>
                </c:pt>
                <c:pt idx="196">
                  <c:v>-89.943911696955482</c:v>
                </c:pt>
                <c:pt idx="197">
                  <c:v>-89.944231254996325</c:v>
                </c:pt>
                <c:pt idx="198">
                  <c:v>-89.944554070650497</c:v>
                </c:pt>
                <c:pt idx="199">
                  <c:v>-89.944873170597234</c:v>
                </c:pt>
                <c:pt idx="200">
                  <c:v>-89.945188618622836</c:v>
                </c:pt>
                <c:pt idx="201">
                  <c:v>-89.94550047706187</c:v>
                </c:pt>
                <c:pt idx="202">
                  <c:v>-89.945815375729282</c:v>
                </c:pt>
                <c:pt idx="203">
                  <c:v>-89.946126656329099</c:v>
                </c:pt>
                <c:pt idx="204">
                  <c:v>-89.946434380860481</c:v>
                </c:pt>
                <c:pt idx="205">
                  <c:v>-89.946738609914092</c:v>
                </c:pt>
                <c:pt idx="206">
                  <c:v>-89.947046722184467</c:v>
                </c:pt>
                <c:pt idx="207">
                  <c:v>-89.947351290156703</c:v>
                </c:pt>
                <c:pt idx="208">
                  <c:v>-89.947652374637514</c:v>
                </c:pt>
                <c:pt idx="209">
                  <c:v>-89.947950035050667</c:v>
                </c:pt>
                <c:pt idx="210">
                  <c:v>-89.948252318152882</c:v>
                </c:pt>
                <c:pt idx="211">
                  <c:v>-89.948551110476672</c:v>
                </c:pt>
                <c:pt idx="212">
                  <c:v>-89.948846472142364</c:v>
                </c:pt>
                <c:pt idx="213">
                  <c:v>-89.94913846189759</c:v>
                </c:pt>
                <c:pt idx="214">
                  <c:v>-89.949432858173267</c:v>
                </c:pt>
                <c:pt idx="215">
                  <c:v>-89.949723866019184</c:v>
                </c:pt>
                <c:pt idx="216">
                  <c:v>-89.950011543600638</c:v>
                </c:pt>
                <c:pt idx="217">
                  <c:v>-89.950295947759145</c:v>
                </c:pt>
                <c:pt idx="218">
                  <c:v>-89.950583508370883</c:v>
                </c:pt>
                <c:pt idx="219">
                  <c:v>-89.950867760784291</c:v>
                </c:pt>
                <c:pt idx="220">
                  <c:v>-89.951148761760848</c:v>
                </c:pt>
                <c:pt idx="221">
                  <c:v>-89.951426566770934</c:v>
                </c:pt>
                <c:pt idx="222">
                  <c:v>-89.951707317705626</c:v>
                </c:pt>
                <c:pt idx="223">
                  <c:v>-89.951984841851456</c:v>
                </c:pt>
                <c:pt idx="224">
                  <c:v>-89.952259194520806</c:v>
                </c:pt>
                <c:pt idx="225">
                  <c:v>-89.952530429769055</c:v>
                </c:pt>
                <c:pt idx="226">
                  <c:v>-89.952805245118995</c:v>
                </c:pt>
                <c:pt idx="227">
                  <c:v>-89.953076896810657</c:v>
                </c:pt>
                <c:pt idx="228">
                  <c:v>-89.953345439161211</c:v>
                </c:pt>
                <c:pt idx="229">
                  <c:v>-89.953610925251368</c:v>
                </c:pt>
                <c:pt idx="230">
                  <c:v>-89.954145481978202</c:v>
                </c:pt>
                <c:pt idx="231">
                  <c:v>-89.954408166902326</c:v>
                </c:pt>
                <c:pt idx="232">
                  <c:v>-89.954667859305204</c:v>
                </c:pt>
                <c:pt idx="233">
                  <c:v>-89.954930669671185</c:v>
                </c:pt>
                <c:pt idx="234">
                  <c:v>-89.955190450347573</c:v>
                </c:pt>
                <c:pt idx="235">
                  <c:v>-89.955447253423714</c:v>
                </c:pt>
                <c:pt idx="236">
                  <c:v>-89.955701129801653</c:v>
                </c:pt>
                <c:pt idx="237">
                  <c:v>-89.955957192534001</c:v>
                </c:pt>
                <c:pt idx="238">
                  <c:v>-89.9562103120183</c:v>
                </c:pt>
                <c:pt idx="239">
                  <c:v>-89.956460538710147</c:v>
                </c:pt>
                <c:pt idx="240">
                  <c:v>-89.956707921918508</c:v>
                </c:pt>
                <c:pt idx="241">
                  <c:v>-89.956958727276785</c:v>
                </c:pt>
                <c:pt idx="242">
                  <c:v>-89.957206643376892</c:v>
                </c:pt>
                <c:pt idx="243">
                  <c:v>-89.957451719858938</c:v>
                </c:pt>
                <c:pt idx="244">
                  <c:v>-89.957694005232327</c:v>
                </c:pt>
                <c:pt idx="245">
                  <c:v>-89.957938824591608</c:v>
                </c:pt>
                <c:pt idx="246">
                  <c:v>-89.958180826777607</c:v>
                </c:pt>
                <c:pt idx="247">
                  <c:v>-89.958420060138636</c:v>
                </c:pt>
                <c:pt idx="248">
                  <c:v>-89.958656571922887</c:v>
                </c:pt>
                <c:pt idx="249">
                  <c:v>-89.958896078596226</c:v>
                </c:pt>
                <c:pt idx="250">
                  <c:v>-89.959132826280225</c:v>
                </c:pt>
                <c:pt idx="251">
                  <c:v>-89.959366862375006</c:v>
                </c:pt>
                <c:pt idx="252">
                  <c:v>-89.959598233201049</c:v>
                </c:pt>
                <c:pt idx="253">
                  <c:v>-89.959831797329542</c:v>
                </c:pt>
                <c:pt idx="254">
                  <c:v>-89.960062676494374</c:v>
                </c:pt>
                <c:pt idx="255">
                  <c:v>-89.960290916728937</c:v>
                </c:pt>
                <c:pt idx="256">
                  <c:v>-89.960516563020263</c:v>
                </c:pt>
                <c:pt idx="257">
                  <c:v>-89.960745405537338</c:v>
                </c:pt>
                <c:pt idx="258">
                  <c:v>-89.960971610638964</c:v>
                </c:pt>
                <c:pt idx="259">
                  <c:v>-89.961195223658336</c:v>
                </c:pt>
                <c:pt idx="260">
                  <c:v>-89.961416288895606</c:v>
                </c:pt>
                <c:pt idx="261">
                  <c:v>-89.961639788163509</c:v>
                </c:pt>
                <c:pt idx="262">
                  <c:v>-89.96186071306883</c:v>
                </c:pt>
                <c:pt idx="263">
                  <c:v>-89.962079107835791</c:v>
                </c:pt>
                <c:pt idx="264">
                  <c:v>-89.962295015681477</c:v>
                </c:pt>
                <c:pt idx="265">
                  <c:v>-89.962513195021202</c:v>
                </c:pt>
                <c:pt idx="266">
                  <c:v>-89.9627288639049</c:v>
                </c:pt>
                <c:pt idx="267">
                  <c:v>-89.962942065414126</c:v>
                </c:pt>
                <c:pt idx="268">
                  <c:v>-89.963152841650256</c:v>
                </c:pt>
                <c:pt idx="269">
                  <c:v>-89.963366238236475</c:v>
                </c:pt>
                <c:pt idx="270">
                  <c:v>-89.963577177325917</c:v>
                </c:pt>
                <c:pt idx="271">
                  <c:v>-89.963785701126753</c:v>
                </c:pt>
                <c:pt idx="272">
                  <c:v>-89.963991850885989</c:v>
                </c:pt>
                <c:pt idx="273">
                  <c:v>-89.964200446051862</c:v>
                </c:pt>
                <c:pt idx="274">
                  <c:v>-89.964406638354703</c:v>
                </c:pt>
                <c:pt idx="275">
                  <c:v>-89.964610469075609</c:v>
                </c:pt>
                <c:pt idx="276">
                  <c:v>-89.964811978555375</c:v>
                </c:pt>
                <c:pt idx="277">
                  <c:v>-89.965015313796812</c:v>
                </c:pt>
                <c:pt idx="278">
                  <c:v>-89.965216312579912</c:v>
                </c:pt>
                <c:pt idx="279">
                  <c:v>-89.965415014945805</c:v>
                </c:pt>
                <c:pt idx="280">
                  <c:v>-89.965611460025926</c:v>
                </c:pt>
                <c:pt idx="281">
                  <c:v>-89.965810916754208</c:v>
                </c:pt>
                <c:pt idx="282">
                  <c:v>-89.966008073090123</c:v>
                </c:pt>
                <c:pt idx="283">
                  <c:v>-89.966202968602119</c:v>
                </c:pt>
                <c:pt idx="284">
                  <c:v>-89.966395641956368</c:v>
                </c:pt>
                <c:pt idx="285">
                  <c:v>-89.966589877077539</c:v>
                </c:pt>
                <c:pt idx="286">
                  <c:v>-89.96678187972249</c:v>
                </c:pt>
                <c:pt idx="287">
                  <c:v>-89.966971688160299</c:v>
                </c:pt>
                <c:pt idx="288">
                  <c:v>-89.967159339790399</c:v>
                </c:pt>
                <c:pt idx="289">
                  <c:v>-89.967349641588044</c:v>
                </c:pt>
                <c:pt idx="290">
                  <c:v>-89.967537750608486</c:v>
                </c:pt>
                <c:pt idx="291">
                  <c:v>-89.96772370453445</c:v>
                </c:pt>
                <c:pt idx="292">
                  <c:v>-89.967907540190154</c:v>
                </c:pt>
                <c:pt idx="293">
                  <c:v>-89.968093469414711</c:v>
                </c:pt>
                <c:pt idx="294">
                  <c:v>-89.968277256669111</c:v>
                </c:pt>
                <c:pt idx="295">
                  <c:v>-89.968458938755731</c:v>
                </c:pt>
                <c:pt idx="296">
                  <c:v>-89.968638551638691</c:v>
                </c:pt>
                <c:pt idx="297">
                  <c:v>-89.968820118266507</c:v>
                </c:pt>
                <c:pt idx="298">
                  <c:v>-89.968999594641559</c:v>
                </c:pt>
                <c:pt idx="299">
                  <c:v>-89.969177016652736</c:v>
                </c:pt>
                <c:pt idx="300">
                  <c:v>-89.969352419372029</c:v>
                </c:pt>
                <c:pt idx="301">
                  <c:v>-89.969529645438413</c:v>
                </c:pt>
                <c:pt idx="302">
                  <c:v>-89.969704833595799</c:v>
                </c:pt>
                <c:pt idx="303">
                  <c:v>-89.969878018793864</c:v>
                </c:pt>
                <c:pt idx="304">
                  <c:v>-89.970049235187673</c:v>
                </c:pt>
                <c:pt idx="305">
                  <c:v>-89.970222814586009</c:v>
                </c:pt>
                <c:pt idx="306">
                  <c:v>-89.970394393621817</c:v>
                </c:pt>
                <c:pt idx="307">
                  <c:v>-89.970564006675815</c:v>
                </c:pt>
                <c:pt idx="308">
                  <c:v>-89.970731687345364</c:v>
                </c:pt>
                <c:pt idx="309">
                  <c:v>-89.970900941736261</c:v>
                </c:pt>
                <c:pt idx="310">
                  <c:v>-89.97106824983544</c:v>
                </c:pt>
                <c:pt idx="311">
                  <c:v>-89.971233645022224</c:v>
                </c:pt>
                <c:pt idx="312">
                  <c:v>-89.971397159916947</c:v>
                </c:pt>
                <c:pt idx="313">
                  <c:v>-89.971562746660297</c:v>
                </c:pt>
                <c:pt idx="314">
                  <c:v>-89.971726427218968</c:v>
                </c:pt>
                <c:pt idx="315">
                  <c:v>-89.971888234319721</c:v>
                </c:pt>
                <c:pt idx="316">
                  <c:v>-89.972048199944396</c:v>
                </c:pt>
                <c:pt idx="317">
                  <c:v>-89.972210099145244</c:v>
                </c:pt>
                <c:pt idx="318">
                  <c:v>-89.972370133678695</c:v>
                </c:pt>
                <c:pt idx="319">
                  <c:v>-89.972528335574651</c:v>
                </c:pt>
                <c:pt idx="320">
                  <c:v>-89.972684736133587</c:v>
                </c:pt>
                <c:pt idx="321">
                  <c:v>-89.972842941161787</c:v>
                </c:pt>
                <c:pt idx="322">
                  <c:v>-89.972999324153648</c:v>
                </c:pt>
                <c:pt idx="323">
                  <c:v>-89.97315391640538</c:v>
                </c:pt>
                <c:pt idx="324">
                  <c:v>-89.973306748500491</c:v>
                </c:pt>
                <c:pt idx="325">
                  <c:v>-89.973461264583719</c:v>
                </c:pt>
                <c:pt idx="326">
                  <c:v>-89.973614002104298</c:v>
                </c:pt>
                <c:pt idx="327">
                  <c:v>-89.973764991594834</c:v>
                </c:pt>
                <c:pt idx="328">
                  <c:v>-89.973914262892961</c:v>
                </c:pt>
                <c:pt idx="329">
                  <c:v>-89.974065356587175</c:v>
                </c:pt>
                <c:pt idx="330">
                  <c:v>-89.974214710032882</c:v>
                </c:pt>
                <c:pt idx="331">
                  <c:v>-89.97436235312334</c:v>
                </c:pt>
                <c:pt idx="332">
                  <c:v>-89.974508315071091</c:v>
                </c:pt>
                <c:pt idx="333">
                  <c:v>-89.974655738237246</c:v>
                </c:pt>
                <c:pt idx="334">
                  <c:v>-89.974801466056718</c:v>
                </c:pt>
                <c:pt idx="335">
                  <c:v>-89.974945527606693</c:v>
                </c:pt>
                <c:pt idx="336">
                  <c:v>-89.975087951303209</c:v>
                </c:pt>
                <c:pt idx="337">
                  <c:v>-89.975232196250246</c:v>
                </c:pt>
                <c:pt idx="338">
                  <c:v>-89.9753747804087</c:v>
                </c:pt>
                <c:pt idx="339">
                  <c:v>-89.975515732297012</c:v>
                </c:pt>
                <c:pt idx="340">
                  <c:v>-89.97565507978446</c:v>
                </c:pt>
                <c:pt idx="341">
                  <c:v>-89.975796126954521</c:v>
                </c:pt>
                <c:pt idx="342">
                  <c:v>-89.975935549169137</c:v>
                </c:pt>
                <c:pt idx="343">
                  <c:v>-89.976073374348275</c:v>
                </c:pt>
                <c:pt idx="344">
                  <c:v>-89.976209629775994</c:v>
                </c:pt>
                <c:pt idx="345">
                  <c:v>-89.976347262775562</c:v>
                </c:pt>
                <c:pt idx="346">
                  <c:v>-89.976483312455287</c:v>
                </c:pt>
                <c:pt idx="347">
                  <c:v>-89.976617805980453</c:v>
                </c:pt>
                <c:pt idx="348">
                  <c:v>-89.97675076989853</c:v>
                </c:pt>
                <c:pt idx="349">
                  <c:v>-89.976885417934653</c:v>
                </c:pt>
                <c:pt idx="350">
                  <c:v>-89.977018515321873</c:v>
                </c:pt>
                <c:pt idx="351">
                  <c:v>-89.977150088693435</c:v>
                </c:pt>
                <c:pt idx="352">
                  <c:v>-89.977280164076191</c:v>
                </c:pt>
                <c:pt idx="353">
                  <c:v>-89.977411811137671</c:v>
                </c:pt>
                <c:pt idx="354">
                  <c:v>-89.977541941365601</c:v>
                </c:pt>
                <c:pt idx="355">
                  <c:v>-89.977670580825205</c:v>
                </c:pt>
                <c:pt idx="356">
                  <c:v>-89.977797754987861</c:v>
                </c:pt>
                <c:pt idx="357">
                  <c:v>-89.977926214175653</c:v>
                </c:pt>
                <c:pt idx="358">
                  <c:v>-89.978053195419733</c:v>
                </c:pt>
                <c:pt idx="359">
                  <c:v>-89.978178724080152</c:v>
                </c:pt>
                <c:pt idx="360">
                  <c:v>-89.978302824940101</c:v>
                </c:pt>
                <c:pt idx="361">
                  <c:v>-89.978428472115112</c:v>
                </c:pt>
                <c:pt idx="362">
                  <c:v>-89.978552672436749</c:v>
                </c:pt>
                <c:pt idx="363">
                  <c:v>-89.978675450753187</c:v>
                </c:pt>
                <c:pt idx="364">
                  <c:v>-89.978796831346841</c:v>
                </c:pt>
                <c:pt idx="365">
                  <c:v>-89.978919489336562</c:v>
                </c:pt>
                <c:pt idx="366">
                  <c:v>-89.979040736362748</c:v>
                </c:pt>
                <c:pt idx="367">
                  <c:v>-89.979160596632155</c:v>
                </c:pt>
                <c:pt idx="368">
                  <c:v>-89.97927909380094</c:v>
                </c:pt>
                <c:pt idx="369">
                  <c:v>-89.979399099653335</c:v>
                </c:pt>
                <c:pt idx="370">
                  <c:v>-89.979517723473705</c:v>
                </c:pt>
                <c:pt idx="371">
                  <c:v>-89.979634988999351</c:v>
                </c:pt>
                <c:pt idx="372">
                  <c:v>-89.979750919427062</c:v>
                </c:pt>
                <c:pt idx="373">
                  <c:v>-89.979868106698291</c:v>
                </c:pt>
                <c:pt idx="374">
                  <c:v>-89.979983945381122</c:v>
                </c:pt>
                <c:pt idx="375">
                  <c:v>-89.980098458621711</c:v>
                </c:pt>
                <c:pt idx="376">
                  <c:v>-89.980211669039448</c:v>
                </c:pt>
                <c:pt idx="377">
                  <c:v>-89.980326341077259</c:v>
                </c:pt>
                <c:pt idx="378">
                  <c:v>-89.980439691739022</c:v>
                </c:pt>
                <c:pt idx="379">
                  <c:v>-89.980551743733386</c:v>
                </c:pt>
                <c:pt idx="380">
                  <c:v>-89.980662519251638</c:v>
                </c:pt>
                <c:pt idx="381">
                  <c:v>-89.980774383124029</c:v>
                </c:pt>
                <c:pt idx="382">
                  <c:v>-89.980884960215221</c:v>
                </c:pt>
                <c:pt idx="383">
                  <c:v>-89.980994272601194</c:v>
                </c:pt>
                <c:pt idx="384">
                  <c:v>-89.981102341855831</c:v>
                </c:pt>
                <c:pt idx="385">
                  <c:v>-89.981211821734519</c:v>
                </c:pt>
                <c:pt idx="386">
                  <c:v>-89.981320040419277</c:v>
                </c:pt>
                <c:pt idx="387">
                  <c:v>-89.98142701957849</c:v>
                </c:pt>
                <c:pt idx="388">
                  <c:v>-89.981532780387013</c:v>
                </c:pt>
                <c:pt idx="389">
                  <c:v>-89.981639731924687</c:v>
                </c:pt>
                <c:pt idx="390">
                  <c:v>-89.981745451791681</c:v>
                </c:pt>
                <c:pt idx="391">
                  <c:v>-89.981849961142331</c:v>
                </c:pt>
                <c:pt idx="392">
                  <c:v>-89.981953280649364</c:v>
                </c:pt>
                <c:pt idx="393">
                  <c:v>-89.98205771138781</c:v>
                </c:pt>
                <c:pt idx="394">
                  <c:v>-89.9821609404637</c:v>
                </c:pt>
                <c:pt idx="395">
                  <c:v>-89.982262988499301</c:v>
                </c:pt>
                <c:pt idx="396">
                  <c:v>-89.982363875647678</c:v>
                </c:pt>
                <c:pt idx="397">
                  <c:v>-89.982466029157678</c:v>
                </c:pt>
                <c:pt idx="398">
                  <c:v>-89.982567006077787</c:v>
                </c:pt>
                <c:pt idx="399">
                  <c:v>-89.982666826619294</c:v>
                </c:pt>
                <c:pt idx="400">
                  <c:v>-89.982765510533227</c:v>
                </c:pt>
                <c:pt idx="401">
                  <c:v>-89.982865266781545</c:v>
                </c:pt>
                <c:pt idx="402">
                  <c:v>-89.982963874862349</c:v>
                </c:pt>
                <c:pt idx="403">
                  <c:v>-89.983061354484889</c:v>
                </c:pt>
                <c:pt idx="404">
                  <c:v>-89.983157724909844</c:v>
                </c:pt>
                <c:pt idx="405">
                  <c:v>-89.983255200658348</c:v>
                </c:pt>
                <c:pt idx="406">
                  <c:v>-89.983351554605107</c:v>
                </c:pt>
                <c:pt idx="407">
                  <c:v>-89.983446806004707</c:v>
                </c:pt>
                <c:pt idx="408">
                  <c:v>-89.983540973673627</c:v>
                </c:pt>
                <c:pt idx="409">
                  <c:v>-89.983636272757423</c:v>
                </c:pt>
                <c:pt idx="410">
                  <c:v>-89.98373047461557</c:v>
                </c:pt>
                <c:pt idx="411">
                  <c:v>-89.983823598088975</c:v>
                </c:pt>
                <c:pt idx="412">
                  <c:v>-89.98391566158962</c:v>
                </c:pt>
                <c:pt idx="413">
                  <c:v>-89.984008780984468</c:v>
                </c:pt>
                <c:pt idx="414">
                  <c:v>-89.984100828366422</c:v>
                </c:pt>
                <c:pt idx="415">
                  <c:v>-89.984191822141483</c:v>
                </c:pt>
                <c:pt idx="416">
                  <c:v>-89.984281780296627</c:v>
                </c:pt>
                <c:pt idx="417">
                  <c:v>-89.984372814927781</c:v>
                </c:pt>
                <c:pt idx="418">
                  <c:v>-89.984462801147217</c:v>
                </c:pt>
                <c:pt idx="419">
                  <c:v>-89.984551756962475</c:v>
                </c:pt>
                <c:pt idx="420">
                  <c:v>-89.984639699971055</c:v>
                </c:pt>
                <c:pt idx="421">
                  <c:v>-89.984728560628398</c:v>
                </c:pt>
                <c:pt idx="422">
                  <c:v>-89.984816399066318</c:v>
                </c:pt>
                <c:pt idx="423">
                  <c:v>-89.984903232822759</c:v>
                </c:pt>
                <c:pt idx="424">
                  <c:v>-89.984989079036751</c:v>
                </c:pt>
                <c:pt idx="425">
                  <c:v>-89.98507603083219</c:v>
                </c:pt>
                <c:pt idx="426">
                  <c:v>-89.985161981080637</c:v>
                </c:pt>
                <c:pt idx="427">
                  <c:v>-89.985246946987345</c:v>
                </c:pt>
                <c:pt idx="428">
                  <c:v>-89.98533094536576</c:v>
                </c:pt>
                <c:pt idx="429">
                  <c:v>-89.98541589619532</c:v>
                </c:pt>
                <c:pt idx="430">
                  <c:v>-89.985499868762631</c:v>
                </c:pt>
                <c:pt idx="431">
                  <c:v>-89.985582879868929</c:v>
                </c:pt>
                <c:pt idx="432">
                  <c:v>-89.985664945932854</c:v>
                </c:pt>
                <c:pt idx="433">
                  <c:v>-89.985747900861426</c:v>
                </c:pt>
                <c:pt idx="434">
                  <c:v>-89.98582990121713</c:v>
                </c:pt>
                <c:pt idx="435">
                  <c:v>-89.985910963382324</c:v>
                </c:pt>
                <c:pt idx="436">
                  <c:v>-89.985991103366558</c:v>
                </c:pt>
                <c:pt idx="437">
                  <c:v>-89.986072217571646</c:v>
                </c:pt>
                <c:pt idx="438">
                  <c:v>-89.98615239785066</c:v>
                </c:pt>
                <c:pt idx="439">
                  <c:v>-89.986231660240747</c:v>
                </c:pt>
                <c:pt idx="440">
                  <c:v>-89.98631002041391</c:v>
                </c:pt>
                <c:pt idx="441">
                  <c:v>-89.986389289778586</c:v>
                </c:pt>
                <c:pt idx="442">
                  <c:v>-89.986467646438143</c:v>
                </c:pt>
                <c:pt idx="443">
                  <c:v>-89.986545106065634</c:v>
                </c:pt>
                <c:pt idx="444">
                  <c:v>-89.986621683977305</c:v>
                </c:pt>
                <c:pt idx="445">
                  <c:v>-89.986699110390504</c:v>
                </c:pt>
                <c:pt idx="446">
                  <c:v>-89.986775645756708</c:v>
                </c:pt>
                <c:pt idx="447">
                  <c:v>-89.986851305369598</c:v>
                </c:pt>
                <c:pt idx="448">
                  <c:v>-89.986926104174827</c:v>
                </c:pt>
                <c:pt idx="449">
                  <c:v>-89.987001820859376</c:v>
                </c:pt>
                <c:pt idx="450">
                  <c:v>-89.987076665576609</c:v>
                </c:pt>
                <c:pt idx="451">
                  <c:v>-89.987150653302862</c:v>
                </c:pt>
                <c:pt idx="452">
                  <c:v>-89.98722379867354</c:v>
                </c:pt>
                <c:pt idx="453">
                  <c:v>-89.987297740483982</c:v>
                </c:pt>
                <c:pt idx="454">
                  <c:v>-89.987370831348073</c:v>
                </c:pt>
                <c:pt idx="455">
                  <c:v>-89.98744308587122</c:v>
                </c:pt>
                <c:pt idx="456">
                  <c:v>-89.987514518326464</c:v>
                </c:pt>
                <c:pt idx="457">
                  <c:v>-89.987586808987444</c:v>
                </c:pt>
                <c:pt idx="458">
                  <c:v>-89.987658267344827</c:v>
                </c:pt>
                <c:pt idx="459">
                  <c:v>-89.987728907690155</c:v>
                </c:pt>
                <c:pt idx="460">
                  <c:v>-89.987798743989671</c:v>
                </c:pt>
                <c:pt idx="461">
                  <c:v>-89.987869381211624</c:v>
                </c:pt>
                <c:pt idx="462">
                  <c:v>-89.987939205255543</c:v>
                </c:pt>
                <c:pt idx="463">
                  <c:v>-89.98800823008304</c:v>
                </c:pt>
                <c:pt idx="464">
                  <c:v>-89.988076469337997</c:v>
                </c:pt>
                <c:pt idx="465">
                  <c:v>-89.988145508457876</c:v>
                </c:pt>
                <c:pt idx="466">
                  <c:v>-89.988213752685596</c:v>
                </c:pt>
                <c:pt idx="467">
                  <c:v>-89.988281215670696</c:v>
                </c:pt>
                <c:pt idx="468">
                  <c:v>-89.988347910752069</c:v>
                </c:pt>
                <c:pt idx="469">
                  <c:v>-89.98841535230757</c:v>
                </c:pt>
                <c:pt idx="470">
                  <c:v>-89.988482017660786</c:v>
                </c:pt>
                <c:pt idx="471">
                  <c:v>-89.988547920135304</c:v>
                </c:pt>
                <c:pt idx="472">
                  <c:v>-89.988613072751519</c:v>
                </c:pt>
                <c:pt idx="473">
                  <c:v>-89.988679017606813</c:v>
                </c:pt>
                <c:pt idx="474">
                  <c:v>-89.988744203050175</c:v>
                </c:pt>
                <c:pt idx="475">
                  <c:v>-89.988808642124411</c:v>
                </c:pt>
                <c:pt idx="476">
                  <c:v>-89.988872347575395</c:v>
                </c:pt>
                <c:pt idx="477">
                  <c:v>-89.98893679237392</c:v>
                </c:pt>
                <c:pt idx="478">
                  <c:v>-89.989000495018047</c:v>
                </c:pt>
                <c:pt idx="479">
                  <c:v>-89.989063468254514</c:v>
                </c:pt>
                <c:pt idx="480">
                  <c:v>-89.989125724539804</c:v>
                </c:pt>
                <c:pt idx="481">
                  <c:v>-89.989188670811046</c:v>
                </c:pt>
                <c:pt idx="482">
                  <c:v>-89.989250892541278</c:v>
                </c:pt>
                <c:pt idx="483">
                  <c:v>-89.989312402168579</c:v>
                </c:pt>
                <c:pt idx="484">
                  <c:v>-89.98937321184799</c:v>
                </c:pt>
                <c:pt idx="485">
                  <c:v>-89.989434707089117</c:v>
                </c:pt>
                <c:pt idx="486">
                  <c:v>-89.989495494702155</c:v>
                </c:pt>
                <c:pt idx="487">
                  <c:v>-89.989555586831315</c:v>
                </c:pt>
                <c:pt idx="488">
                  <c:v>-89.989614995344468</c:v>
                </c:pt>
                <c:pt idx="489">
                  <c:v>-89.989675123178429</c:v>
                </c:pt>
                <c:pt idx="490">
                  <c:v>-89.989734558755714</c:v>
                </c:pt>
                <c:pt idx="491">
                  <c:v>-89.98979331396292</c:v>
                </c:pt>
                <c:pt idx="492">
                  <c:v>-89.989851400416001</c:v>
                </c:pt>
                <c:pt idx="493">
                  <c:v>-89.989910158177736</c:v>
                </c:pt>
                <c:pt idx="494">
                  <c:v>-89.989968239471636</c:v>
                </c:pt>
                <c:pt idx="495">
                  <c:v>-89.990025655912888</c:v>
                </c:pt>
                <c:pt idx="496">
                  <c:v>-89.990082418852339</c:v>
                </c:pt>
                <c:pt idx="497">
                  <c:v>-89.990139844543592</c:v>
                </c:pt>
                <c:pt idx="498">
                  <c:v>-89.990196609040311</c:v>
                </c:pt>
                <c:pt idx="499">
                  <c:v>-89.990252723696528</c:v>
                </c:pt>
                <c:pt idx="500">
                  <c:v>-89.990308199607824</c:v>
                </c:pt>
                <c:pt idx="501">
                  <c:v>-89.990364328649363</c:v>
                </c:pt>
                <c:pt idx="502">
                  <c:v>-89.990419811303511</c:v>
                </c:pt>
                <c:pt idx="503">
                  <c:v>-89.990474658672156</c:v>
                </c:pt>
                <c:pt idx="504">
                  <c:v>-89.990528881604348</c:v>
                </c:pt>
                <c:pt idx="505">
                  <c:v>-89.990583714061557</c:v>
                </c:pt>
                <c:pt idx="506">
                  <c:v>-89.990637915275045</c:v>
                </c:pt>
                <c:pt idx="507">
                  <c:v>-89.990691496082945</c:v>
                </c:pt>
                <c:pt idx="508">
                  <c:v>-89.990744467076709</c:v>
                </c:pt>
                <c:pt idx="509">
                  <c:v>-89.990798038486361</c:v>
                </c:pt>
                <c:pt idx="510">
                  <c:v>-89.990850993317707</c:v>
                </c:pt>
                <c:pt idx="511">
                  <c:v>-89.990903342154567</c:v>
                </c:pt>
                <c:pt idx="512">
                  <c:v>-89.990955095339913</c:v>
                </c:pt>
                <c:pt idx="513">
                  <c:v>-89.991007469179706</c:v>
                </c:pt>
                <c:pt idx="514">
                  <c:v>-89.991059239977801</c:v>
                </c:pt>
                <c:pt idx="515">
                  <c:v>-89.991110418089903</c:v>
                </c:pt>
                <c:pt idx="516">
                  <c:v>-89.991161013635903</c:v>
                </c:pt>
                <c:pt idx="517">
                  <c:v>-89.99121218840601</c:v>
                </c:pt>
                <c:pt idx="518">
                  <c:v>-89.991262774017585</c:v>
                </c:pt>
                <c:pt idx="519">
                  <c:v>-89.991312780586597</c:v>
                </c:pt>
                <c:pt idx="520">
                  <c:v>-89.991362217998741</c:v>
                </c:pt>
                <c:pt idx="521">
                  <c:v>-89.991412223472906</c:v>
                </c:pt>
                <c:pt idx="522">
                  <c:v>-89.991461653300519</c:v>
                </c:pt>
                <c:pt idx="523">
                  <c:v>-89.991510517364674</c:v>
                </c:pt>
                <c:pt idx="524">
                  <c:v>-89.991558825323537</c:v>
                </c:pt>
                <c:pt idx="525">
                  <c:v>-89.991607689693012</c:v>
                </c:pt>
                <c:pt idx="526">
                  <c:v>-89.991655991585318</c:v>
                </c:pt>
                <c:pt idx="527">
                  <c:v>-89.991703740656874</c:v>
                </c:pt>
                <c:pt idx="528">
                  <c:v>-89.991750946344325</c:v>
                </c:pt>
                <c:pt idx="529">
                  <c:v>-89.991798696388983</c:v>
                </c:pt>
                <c:pt idx="530">
                  <c:v>-89.991845896808329</c:v>
                </c:pt>
                <c:pt idx="531">
                  <c:v>-89.991892557037673</c:v>
                </c:pt>
                <c:pt idx="532">
                  <c:v>-89.991938686297701</c:v>
                </c:pt>
                <c:pt idx="533">
                  <c:v>-89.991985371488894</c:v>
                </c:pt>
                <c:pt idx="534">
                  <c:v>-89.992031519061101</c:v>
                </c:pt>
                <c:pt idx="535">
                  <c:v>-89.992077138247851</c:v>
                </c:pt>
                <c:pt idx="536">
                  <c:v>-89.992122238072454</c:v>
                </c:pt>
                <c:pt idx="537">
                  <c:v>-89.992167833841449</c:v>
                </c:pt>
                <c:pt idx="538">
                  <c:v>-89.992212904839462</c:v>
                </c:pt>
                <c:pt idx="539">
                  <c:v>-89.992257460074185</c:v>
                </c:pt>
                <c:pt idx="540">
                  <c:v>-89.992301508348348</c:v>
                </c:pt>
                <c:pt idx="541">
                  <c:v>-89.992346085003248</c:v>
                </c:pt>
                <c:pt idx="542">
                  <c:v>-89.992390148404738</c:v>
                </c:pt>
                <c:pt idx="543">
                  <c:v>-89.992433707366416</c:v>
                </c:pt>
                <c:pt idx="544">
                  <c:v>-89.99247677050127</c:v>
                </c:pt>
                <c:pt idx="545">
                  <c:v>-89.9925203267467</c:v>
                </c:pt>
                <c:pt idx="546">
                  <c:v>-89.992563381551605</c:v>
                </c:pt>
                <c:pt idx="547">
                  <c:v>-89.992605943525675</c:v>
                </c:pt>
                <c:pt idx="548">
                  <c:v>-89.992648021082587</c:v>
                </c:pt>
                <c:pt idx="549">
                  <c:v>-89.992690578758896</c:v>
                </c:pt>
                <c:pt idx="550">
                  <c:v>-89.992732646571966</c:v>
                </c:pt>
                <c:pt idx="551">
                  <c:v>-89.992774232931311</c:v>
                </c:pt>
                <c:pt idx="552">
                  <c:v>-89.992815346055053</c:v>
                </c:pt>
                <c:pt idx="553">
                  <c:v>-89.992856945306968</c:v>
                </c:pt>
                <c:pt idx="554">
                  <c:v>-89.992898065611442</c:v>
                </c:pt>
                <c:pt idx="555">
                  <c:v>-89.992938715192565</c:v>
                </c:pt>
                <c:pt idx="556">
                  <c:v>-89.992978902087231</c:v>
                </c:pt>
                <c:pt idx="557">
                  <c:v>-89.993059751379008</c:v>
                </c:pt>
                <c:pt idx="558">
                  <c:v>-89.993138759877596</c:v>
                </c:pt>
                <c:pt idx="559">
                  <c:v>-89.993217739578455</c:v>
                </c:pt>
                <c:pt idx="560">
                  <c:v>-89.993294921701334</c:v>
                </c:pt>
                <c:pt idx="561">
                  <c:v>-89.993372136312601</c:v>
                </c:pt>
                <c:pt idx="562">
                  <c:v>-89.993447592788002</c:v>
                </c:pt>
                <c:pt idx="563">
                  <c:v>-89.993522915088178</c:v>
                </c:pt>
                <c:pt idx="564">
                  <c:v>-89.993596525354448</c:v>
                </c:pt>
                <c:pt idx="565">
                  <c:v>-89.99367027442463</c:v>
                </c:pt>
                <c:pt idx="566">
                  <c:v>-89.993742344094628</c:v>
                </c:pt>
                <c:pt idx="567">
                  <c:v>-89.993814503410306</c:v>
                </c:pt>
                <c:pt idx="568">
                  <c:v>-89.993885017506784</c:v>
                </c:pt>
                <c:pt idx="569">
                  <c:v>-89.993955304661355</c:v>
                </c:pt>
                <c:pt idx="570">
                  <c:v>-89.994023994380612</c:v>
                </c:pt>
                <c:pt idx="571">
                  <c:v>-89.994092962465416</c:v>
                </c:pt>
                <c:pt idx="572">
                  <c:v>-89.994160356814106</c:v>
                </c:pt>
                <c:pt idx="573">
                  <c:v>-89.994227473370429</c:v>
                </c:pt>
                <c:pt idx="574">
                  <c:v>-89.994293064680321</c:v>
                </c:pt>
                <c:pt idx="575">
                  <c:v>-89.994358843759386</c:v>
                </c:pt>
                <c:pt idx="576">
                  <c:v>-89.99442312375605</c:v>
                </c:pt>
                <c:pt idx="577">
                  <c:v>-89.994679775997781</c:v>
                </c:pt>
                <c:pt idx="578">
                  <c:v>-89.994913844867142</c:v>
                </c:pt>
                <c:pt idx="579">
                  <c:v>-89.995361091521644</c:v>
                </c:pt>
                <c:pt idx="580">
                  <c:v>-89.995769399762068</c:v>
                </c:pt>
                <c:pt idx="581">
                  <c:v>-89.996141628312159</c:v>
                </c:pt>
                <c:pt idx="582">
                  <c:v>-89.996481197417566</c:v>
                </c:pt>
                <c:pt idx="583">
                  <c:v>-89.996790753686753</c:v>
                </c:pt>
                <c:pt idx="584">
                  <c:v>-89.997073168482515</c:v>
                </c:pt>
                <c:pt idx="585">
                  <c:v>-89.997330674658855</c:v>
                </c:pt>
                <c:pt idx="586">
                  <c:v>-89.9975655078334</c:v>
                </c:pt>
                <c:pt idx="587">
                  <c:v>-89.997779775388764</c:v>
                </c:pt>
                <c:pt idx="588">
                  <c:v>-89.997975091859246</c:v>
                </c:pt>
                <c:pt idx="589">
                  <c:v>-89.998153277975391</c:v>
                </c:pt>
                <c:pt idx="590">
                  <c:v>-89.998315772442965</c:v>
                </c:pt>
                <c:pt idx="591">
                  <c:v>-89.998463969960667</c:v>
                </c:pt>
                <c:pt idx="592">
                  <c:v>-89.998599110309016</c:v>
                </c:pt>
                <c:pt idx="593">
                  <c:v>-89.998722379846384</c:v>
                </c:pt>
                <c:pt idx="594">
                  <c:v>-89.998834791059309</c:v>
                </c:pt>
                <c:pt idx="595">
                  <c:v>-89.998937321172733</c:v>
                </c:pt>
                <c:pt idx="596">
                  <c:v>-89.999030819951628</c:v>
                </c:pt>
                <c:pt idx="597">
                  <c:v>-89.999116101356648</c:v>
                </c:pt>
                <c:pt idx="598">
                  <c:v>-89.999193868624516</c:v>
                </c:pt>
                <c:pt idx="599">
                  <c:v>-89.999264802104264</c:v>
                </c:pt>
                <c:pt idx="600">
                  <c:v>-89.999329492167107</c:v>
                </c:pt>
              </c:numCache>
            </c:numRef>
          </c:yVal>
          <c:smooth val="0"/>
          <c:extLst>
            <c:ext xmlns:c16="http://schemas.microsoft.com/office/drawing/2014/chart" uri="{C3380CC4-5D6E-409C-BE32-E72D297353CC}">
              <c16:uniqueId val="{00000001-ED2D-411C-BFB4-2F790B838F13}"/>
            </c:ext>
          </c:extLst>
        </c:ser>
        <c:dLbls>
          <c:showLegendKey val="0"/>
          <c:showVal val="0"/>
          <c:showCatName val="0"/>
          <c:showSerName val="0"/>
          <c:showPercent val="0"/>
          <c:showBubbleSize val="0"/>
        </c:dLbls>
        <c:axId val="196945024"/>
        <c:axId val="196946560"/>
      </c:scatterChart>
      <c:valAx>
        <c:axId val="196940928"/>
        <c:scaling>
          <c:logBase val="10"/>
          <c:orientation val="minMax"/>
          <c:max val="1000000"/>
          <c:min val="1"/>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6942848"/>
        <c:crossesAt val="-40"/>
        <c:crossBetween val="midCat"/>
        <c:majorUnit val="10"/>
        <c:minorUnit val="10"/>
      </c:valAx>
      <c:valAx>
        <c:axId val="196942848"/>
        <c:scaling>
          <c:orientation val="minMax"/>
          <c:max val="80"/>
          <c:min val="-8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96940928"/>
        <c:crossesAt val="0.1"/>
        <c:crossBetween val="midCat"/>
        <c:majorUnit val="20"/>
        <c:minorUnit val="4"/>
      </c:valAx>
      <c:valAx>
        <c:axId val="196945024"/>
        <c:scaling>
          <c:logBase val="10"/>
          <c:orientation val="minMax"/>
        </c:scaling>
        <c:delete val="1"/>
        <c:axPos val="t"/>
        <c:numFmt formatCode="General" sourceLinked="1"/>
        <c:majorTickMark val="out"/>
        <c:minorTickMark val="none"/>
        <c:tickLblPos val="none"/>
        <c:crossAx val="196946560"/>
        <c:crossesAt val="0"/>
        <c:crossBetween val="midCat"/>
      </c:valAx>
      <c:valAx>
        <c:axId val="196946560"/>
        <c:scaling>
          <c:orientation val="minMax"/>
          <c:max val="180"/>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9694502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Plant Bode Plot</a:t>
            </a:r>
          </a:p>
        </c:rich>
      </c:tx>
      <c:layout>
        <c:manualLayout>
          <c:xMode val="edge"/>
          <c:yMode val="edge"/>
          <c:x val="0.40864917395529671"/>
          <c:y val="2.1377650374348366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4"/>
          <c:order val="0"/>
          <c:tx>
            <c:strRef>
              <c:f>'IL Stability Calculations'!$BE$12</c:f>
              <c:strCache>
                <c:ptCount val="1"/>
                <c:pt idx="0">
                  <c:v>Gain(dB)</c:v>
                </c:pt>
              </c:strCache>
            </c:strRef>
          </c:tx>
          <c:spPr>
            <a:ln w="25400">
              <a:solidFill>
                <a:srgbClr val="FF0000"/>
              </a:solidFill>
              <a:prstDash val="solid"/>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Calculations'!$BE$13:$BE$613</c:f>
              <c:numCache>
                <c:formatCode>0.0000</c:formatCode>
                <c:ptCount val="601"/>
                <c:pt idx="0">
                  <c:v>24.246071287870798</c:v>
                </c:pt>
                <c:pt idx="1">
                  <c:v>24.24607182474027</c:v>
                </c:pt>
                <c:pt idx="2">
                  <c:v>24.246072470146753</c:v>
                </c:pt>
                <c:pt idx="3">
                  <c:v>24.246073246051225</c:v>
                </c:pt>
                <c:pt idx="4">
                  <c:v>24.246074178194661</c:v>
                </c:pt>
                <c:pt idx="5">
                  <c:v>24.246075299970407</c:v>
                </c:pt>
                <c:pt idx="6">
                  <c:v>24.246076648140541</c:v>
                </c:pt>
                <c:pt idx="7">
                  <c:v>24.246078269479881</c:v>
                </c:pt>
                <c:pt idx="8">
                  <c:v>24.246080217916681</c:v>
                </c:pt>
                <c:pt idx="9">
                  <c:v>24.24608256122837</c:v>
                </c:pt>
                <c:pt idx="10">
                  <c:v>24.246085377873282</c:v>
                </c:pt>
                <c:pt idx="11">
                  <c:v>24.246088763878038</c:v>
                </c:pt>
                <c:pt idx="12">
                  <c:v>24.24609283666312</c:v>
                </c:pt>
                <c:pt idx="13">
                  <c:v>24.246097730817485</c:v>
                </c:pt>
                <c:pt idx="14">
                  <c:v>24.246103616617475</c:v>
                </c:pt>
                <c:pt idx="15">
                  <c:v>24.246110692431131</c:v>
                </c:pt>
                <c:pt idx="16">
                  <c:v>24.246119199515466</c:v>
                </c:pt>
                <c:pt idx="17">
                  <c:v>24.246129425828848</c:v>
                </c:pt>
                <c:pt idx="18">
                  <c:v>24.246141722451732</c:v>
                </c:pt>
                <c:pt idx="19">
                  <c:v>24.246156504634225</c:v>
                </c:pt>
                <c:pt idx="20">
                  <c:v>24.246174278361927</c:v>
                </c:pt>
                <c:pt idx="21">
                  <c:v>24.246195644700883</c:v>
                </c:pt>
                <c:pt idx="22">
                  <c:v>24.246221335390889</c:v>
                </c:pt>
                <c:pt idx="23">
                  <c:v>24.246252217962699</c:v>
                </c:pt>
                <c:pt idx="24">
                  <c:v>24.246289351142455</c:v>
                </c:pt>
                <c:pt idx="25">
                  <c:v>24.246333993544869</c:v>
                </c:pt>
                <c:pt idx="26">
                  <c:v>24.246387677149901</c:v>
                </c:pt>
                <c:pt idx="27">
                  <c:v>24.2464522129697</c:v>
                </c:pt>
                <c:pt idx="28">
                  <c:v>24.246529796451188</c:v>
                </c:pt>
                <c:pt idx="29">
                  <c:v>24.246623000723645</c:v>
                </c:pt>
                <c:pt idx="30">
                  <c:v>24.246735163724665</c:v>
                </c:pt>
                <c:pt idx="31">
                  <c:v>24.246869959685476</c:v>
                </c:pt>
                <c:pt idx="32">
                  <c:v>24.247032063189252</c:v>
                </c:pt>
                <c:pt idx="33">
                  <c:v>24.24722686289531</c:v>
                </c:pt>
                <c:pt idx="34">
                  <c:v>24.24746113047625</c:v>
                </c:pt>
                <c:pt idx="35">
                  <c:v>24.247742703099174</c:v>
                </c:pt>
                <c:pt idx="36">
                  <c:v>24.248081170798756</c:v>
                </c:pt>
                <c:pt idx="37">
                  <c:v>24.248488257315763</c:v>
                </c:pt>
                <c:pt idx="38">
                  <c:v>24.248977395391911</c:v>
                </c:pt>
                <c:pt idx="39">
                  <c:v>24.249565574433205</c:v>
                </c:pt>
                <c:pt idx="40">
                  <c:v>24.250272576340453</c:v>
                </c:pt>
                <c:pt idx="41">
                  <c:v>24.251122447353367</c:v>
                </c:pt>
                <c:pt idx="42">
                  <c:v>24.25214386866913</c:v>
                </c:pt>
                <c:pt idx="43">
                  <c:v>24.253371782133225</c:v>
                </c:pt>
                <c:pt idx="44">
                  <c:v>24.254847473592509</c:v>
                </c:pt>
                <c:pt idx="45">
                  <c:v>24.25662119502509</c:v>
                </c:pt>
                <c:pt idx="46">
                  <c:v>24.258752554038637</c:v>
                </c:pt>
                <c:pt idx="47">
                  <c:v>24.261314001705848</c:v>
                </c:pt>
                <c:pt idx="48">
                  <c:v>24.264391251275455</c:v>
                </c:pt>
                <c:pt idx="49">
                  <c:v>24.268088668719123</c:v>
                </c:pt>
                <c:pt idx="50">
                  <c:v>24.272529947245488</c:v>
                </c:pt>
                <c:pt idx="51">
                  <c:v>24.277865146246103</c:v>
                </c:pt>
                <c:pt idx="52">
                  <c:v>24.284270861197037</c:v>
                </c:pt>
                <c:pt idx="53">
                  <c:v>24.291960133392717</c:v>
                </c:pt>
                <c:pt idx="54">
                  <c:v>24.301180986599356</c:v>
                </c:pt>
                <c:pt idx="55">
                  <c:v>24.312253550124773</c:v>
                </c:pt>
                <c:pt idx="56">
                  <c:v>24.325526024972966</c:v>
                </c:pt>
                <c:pt idx="57">
                  <c:v>24.34143788275907</c:v>
                </c:pt>
                <c:pt idx="58">
                  <c:v>24.360488282992193</c:v>
                </c:pt>
                <c:pt idx="59">
                  <c:v>24.383296842428983</c:v>
                </c:pt>
                <c:pt idx="60">
                  <c:v>24.410565761849846</c:v>
                </c:pt>
                <c:pt idx="61">
                  <c:v>24.443137274986864</c:v>
                </c:pt>
                <c:pt idx="62">
                  <c:v>24.482016508488165</c:v>
                </c:pt>
                <c:pt idx="63">
                  <c:v>24.528312523416194</c:v>
                </c:pt>
                <c:pt idx="64">
                  <c:v>24.583388428794709</c:v>
                </c:pt>
                <c:pt idx="65">
                  <c:v>24.6487529053637</c:v>
                </c:pt>
                <c:pt idx="66">
                  <c:v>24.726150312091782</c:v>
                </c:pt>
                <c:pt idx="67">
                  <c:v>24.817529836572383</c:v>
                </c:pt>
                <c:pt idx="68">
                  <c:v>24.925106146576383</c:v>
                </c:pt>
                <c:pt idx="69">
                  <c:v>25.051254940663213</c:v>
                </c:pt>
                <c:pt idx="70">
                  <c:v>25.198598201998955</c:v>
                </c:pt>
                <c:pt idx="71">
                  <c:v>25.369856735034695</c:v>
                </c:pt>
                <c:pt idx="72">
                  <c:v>25.567916116363143</c:v>
                </c:pt>
                <c:pt idx="73">
                  <c:v>25.795596704388334</c:v>
                </c:pt>
                <c:pt idx="74">
                  <c:v>26.055758446786406</c:v>
                </c:pt>
                <c:pt idx="75">
                  <c:v>26.35100070192021</c:v>
                </c:pt>
                <c:pt idx="76">
                  <c:v>26.683771442685853</c:v>
                </c:pt>
                <c:pt idx="77">
                  <c:v>27.05598753529399</c:v>
                </c:pt>
                <c:pt idx="78">
                  <c:v>27.469257144950401</c:v>
                </c:pt>
                <c:pt idx="79">
                  <c:v>27.924444071988972</c:v>
                </c:pt>
                <c:pt idx="80">
                  <c:v>28.423094890109255</c:v>
                </c:pt>
                <c:pt idx="81">
                  <c:v>28.964972095269239</c:v>
                </c:pt>
                <c:pt idx="82">
                  <c:v>29.550644749989353</c:v>
                </c:pt>
                <c:pt idx="83">
                  <c:v>30.179854961681542</c:v>
                </c:pt>
                <c:pt idx="84">
                  <c:v>30.853424919381936</c:v>
                </c:pt>
                <c:pt idx="85">
                  <c:v>31.571751390756337</c:v>
                </c:pt>
                <c:pt idx="86">
                  <c:v>32.336410224787222</c:v>
                </c:pt>
                <c:pt idx="87">
                  <c:v>33.150391751121461</c:v>
                </c:pt>
                <c:pt idx="88">
                  <c:v>34.016957750647769</c:v>
                </c:pt>
                <c:pt idx="89">
                  <c:v>34.942875040117528</c:v>
                </c:pt>
                <c:pt idx="90">
                  <c:v>35.93670454052247</c:v>
                </c:pt>
                <c:pt idx="91">
                  <c:v>37.011342248611797</c:v>
                </c:pt>
                <c:pt idx="92">
                  <c:v>38.185094572189456</c:v>
                </c:pt>
                <c:pt idx="93">
                  <c:v>39.48526384315624</c:v>
                </c:pt>
                <c:pt idx="94">
                  <c:v>39.834213373159614</c:v>
                </c:pt>
                <c:pt idx="95">
                  <c:v>40.013910843084652</c:v>
                </c:pt>
                <c:pt idx="96">
                  <c:v>40.194419100209736</c:v>
                </c:pt>
                <c:pt idx="97">
                  <c:v>40.380014205251193</c:v>
                </c:pt>
                <c:pt idx="98">
                  <c:v>40.566587788872972</c:v>
                </c:pt>
                <c:pt idx="99">
                  <c:v>40.758617965316013</c:v>
                </c:pt>
                <c:pt idx="100">
                  <c:v>40.951818147005696</c:v>
                </c:pt>
                <c:pt idx="101">
                  <c:v>41.150732583806366</c:v>
                </c:pt>
                <c:pt idx="102">
                  <c:v>41.351034400000657</c:v>
                </c:pt>
                <c:pt idx="103">
                  <c:v>41.557646734551604</c:v>
                </c:pt>
                <c:pt idx="104">
                  <c:v>41.765898471420194</c:v>
                </c:pt>
                <c:pt idx="105">
                  <c:v>41.980806713264485</c:v>
                </c:pt>
                <c:pt idx="106">
                  <c:v>42.197642514511735</c:v>
                </c:pt>
                <c:pt idx="107">
                  <c:v>42.421531180894974</c:v>
                </c:pt>
                <c:pt idx="108">
                  <c:v>42.647677635175697</c:v>
                </c:pt>
                <c:pt idx="109">
                  <c:v>42.881491619335144</c:v>
                </c:pt>
                <c:pt idx="110">
                  <c:v>43.11794653417094</c:v>
                </c:pt>
                <c:pt idx="111">
                  <c:v>43.362927061546046</c:v>
                </c:pt>
                <c:pt idx="112">
                  <c:v>43.610999209089741</c:v>
                </c:pt>
                <c:pt idx="113">
                  <c:v>43.868226559434078</c:v>
                </c:pt>
                <c:pt idx="114">
                  <c:v>44.129068906183591</c:v>
                </c:pt>
                <c:pt idx="115">
                  <c:v>44.399969081627759</c:v>
                </c:pt>
                <c:pt idx="116">
                  <c:v>44.675099376010941</c:v>
                </c:pt>
                <c:pt idx="117">
                  <c:v>44.961325263249172</c:v>
                </c:pt>
                <c:pt idx="118">
                  <c:v>45.25250700053698</c:v>
                </c:pt>
                <c:pt idx="119">
                  <c:v>45.555798206097009</c:v>
                </c:pt>
                <c:pt idx="120">
                  <c:v>45.86489686032219</c:v>
                </c:pt>
                <c:pt idx="121">
                  <c:v>46.187482005021565</c:v>
                </c:pt>
                <c:pt idx="122">
                  <c:v>46.516882689560205</c:v>
                </c:pt>
                <c:pt idx="123">
                  <c:v>46.861573435899246</c:v>
                </c:pt>
                <c:pt idx="124">
                  <c:v>47.214281080283492</c:v>
                </c:pt>
                <c:pt idx="125">
                  <c:v>47.583950318944552</c:v>
                </c:pt>
                <c:pt idx="126">
                  <c:v>47.963038269105816</c:v>
                </c:pt>
                <c:pt idx="127">
                  <c:v>48.361243558780259</c:v>
                </c:pt>
                <c:pt idx="128">
                  <c:v>48.770486564861706</c:v>
                </c:pt>
                <c:pt idx="129">
                  <c:v>49.201296516919641</c:v>
                </c:pt>
                <c:pt idx="130">
                  <c:v>49.644943634352856</c:v>
                </c:pt>
                <c:pt idx="131">
                  <c:v>50.112828258961585</c:v>
                </c:pt>
                <c:pt idx="132">
                  <c:v>50.352237112948814</c:v>
                </c:pt>
                <c:pt idx="133">
                  <c:v>50.595376011290405</c:v>
                </c:pt>
                <c:pt idx="134">
                  <c:v>50.848213098090127</c:v>
                </c:pt>
                <c:pt idx="135">
                  <c:v>51.105055750468935</c:v>
                </c:pt>
                <c:pt idx="136">
                  <c:v>51.365927456209349</c:v>
                </c:pt>
                <c:pt idx="137">
                  <c:v>51.630829039429287</c:v>
                </c:pt>
                <c:pt idx="138">
                  <c:v>51.905884421177568</c:v>
                </c:pt>
                <c:pt idx="139">
                  <c:v>52.185059323097747</c:v>
                </c:pt>
                <c:pt idx="140">
                  <c:v>52.468240421187879</c:v>
                </c:pt>
                <c:pt idx="141">
                  <c:v>52.755257469105523</c:v>
                </c:pt>
                <c:pt idx="142">
                  <c:v>53.052803711100367</c:v>
                </c:pt>
                <c:pt idx="143">
                  <c:v>53.353771065093014</c:v>
                </c:pt>
                <c:pt idx="144">
                  <c:v>53.657701303584332</c:v>
                </c:pt>
                <c:pt idx="145">
                  <c:v>53.964003966338787</c:v>
                </c:pt>
                <c:pt idx="146">
                  <c:v>54.279076809245403</c:v>
                </c:pt>
                <c:pt idx="147">
                  <c:v>54.594849663358929</c:v>
                </c:pt>
                <c:pt idx="148">
                  <c:v>54.910086847430215</c:v>
                </c:pt>
                <c:pt idx="149">
                  <c:v>55.223282978401755</c:v>
                </c:pt>
                <c:pt idx="150">
                  <c:v>55.539719901330109</c:v>
                </c:pt>
                <c:pt idx="151">
                  <c:v>55.849827640458464</c:v>
                </c:pt>
                <c:pt idx="152">
                  <c:v>56.15092081790646</c:v>
                </c:pt>
                <c:pt idx="153">
                  <c:v>56.439921370648875</c:v>
                </c:pt>
                <c:pt idx="154">
                  <c:v>56.719599773877299</c:v>
                </c:pt>
                <c:pt idx="155">
                  <c:v>56.978955587859971</c:v>
                </c:pt>
                <c:pt idx="156">
                  <c:v>57.213720629707161</c:v>
                </c:pt>
                <c:pt idx="157">
                  <c:v>57.419569265798678</c:v>
                </c:pt>
                <c:pt idx="158">
                  <c:v>57.595969491417748</c:v>
                </c:pt>
                <c:pt idx="159">
                  <c:v>57.733747450391455</c:v>
                </c:pt>
                <c:pt idx="160">
                  <c:v>57.82971147872064</c:v>
                </c:pt>
                <c:pt idx="161">
                  <c:v>57.881740188919949</c:v>
                </c:pt>
                <c:pt idx="162">
                  <c:v>57.888626837043347</c:v>
                </c:pt>
                <c:pt idx="163">
                  <c:v>57.849217353886779</c:v>
                </c:pt>
                <c:pt idx="164">
                  <c:v>57.765497380147004</c:v>
                </c:pt>
                <c:pt idx="165">
                  <c:v>57.640679360518455</c:v>
                </c:pt>
                <c:pt idx="166">
                  <c:v>57.474652655263974</c:v>
                </c:pt>
                <c:pt idx="167">
                  <c:v>57.274959213952037</c:v>
                </c:pt>
                <c:pt idx="168">
                  <c:v>57.046920538986825</c:v>
                </c:pt>
                <c:pt idx="169">
                  <c:v>56.795791130164005</c:v>
                </c:pt>
                <c:pt idx="170">
                  <c:v>56.52057284623794</c:v>
                </c:pt>
                <c:pt idx="171">
                  <c:v>56.231187299664008</c:v>
                </c:pt>
                <c:pt idx="172">
                  <c:v>55.931805727575956</c:v>
                </c:pt>
                <c:pt idx="173">
                  <c:v>55.625980835528956</c:v>
                </c:pt>
                <c:pt idx="174">
                  <c:v>55.308849491354252</c:v>
                </c:pt>
                <c:pt idx="175">
                  <c:v>54.990645871876318</c:v>
                </c:pt>
                <c:pt idx="176">
                  <c:v>54.673435715857359</c:v>
                </c:pt>
                <c:pt idx="177">
                  <c:v>54.358833659803587</c:v>
                </c:pt>
                <c:pt idx="178">
                  <c:v>54.040492651844914</c:v>
                </c:pt>
                <c:pt idx="179">
                  <c:v>53.727182038385024</c:v>
                </c:pt>
                <c:pt idx="180">
                  <c:v>53.419620928501431</c:v>
                </c:pt>
                <c:pt idx="181">
                  <c:v>53.118308870929205</c:v>
                </c:pt>
                <c:pt idx="182">
                  <c:v>52.817746056485532</c:v>
                </c:pt>
                <c:pt idx="183">
                  <c:v>52.524225431964766</c:v>
                </c:pt>
                <c:pt idx="184">
                  <c:v>52.237835788790392</c:v>
                </c:pt>
                <c:pt idx="185">
                  <c:v>51.958579973111867</c:v>
                </c:pt>
                <c:pt idx="186">
                  <c:v>51.679023226188349</c:v>
                </c:pt>
                <c:pt idx="187">
                  <c:v>51.406812302899411</c:v>
                </c:pt>
                <c:pt idx="188">
                  <c:v>51.141789185557585</c:v>
                </c:pt>
                <c:pt idx="189">
                  <c:v>50.883768970052429</c:v>
                </c:pt>
                <c:pt idx="190">
                  <c:v>50.627819246378998</c:v>
                </c:pt>
                <c:pt idx="191">
                  <c:v>50.378704998372108</c:v>
                </c:pt>
                <c:pt idx="192">
                  <c:v>50.13619337329844</c:v>
                </c:pt>
                <c:pt idx="193">
                  <c:v>49.900049491243465</c:v>
                </c:pt>
                <c:pt idx="194">
                  <c:v>49.664089822402048</c:v>
                </c:pt>
                <c:pt idx="195">
                  <c:v>49.434341295243449</c:v>
                </c:pt>
                <c:pt idx="196">
                  <c:v>49.210560934270909</c:v>
                </c:pt>
                <c:pt idx="197">
                  <c:v>48.992512853132553</c:v>
                </c:pt>
                <c:pt idx="198">
                  <c:v>48.775374803465503</c:v>
                </c:pt>
                <c:pt idx="199">
                  <c:v>48.563750802473066</c:v>
                </c:pt>
                <c:pt idx="200">
                  <c:v>48.35741638848625</c:v>
                </c:pt>
                <c:pt idx="201">
                  <c:v>48.156156788169568</c:v>
                </c:pt>
                <c:pt idx="202">
                  <c:v>47.955610338958969</c:v>
                </c:pt>
                <c:pt idx="203">
                  <c:v>47.759936113572877</c:v>
                </c:pt>
                <c:pt idx="204">
                  <c:v>47.568935714201459</c:v>
                </c:pt>
                <c:pt idx="205">
                  <c:v>47.382420427385377</c:v>
                </c:pt>
                <c:pt idx="206">
                  <c:v>47.195803691134856</c:v>
                </c:pt>
                <c:pt idx="207">
                  <c:v>47.013522823125072</c:v>
                </c:pt>
                <c:pt idx="208">
                  <c:v>46.835403940714706</c:v>
                </c:pt>
                <c:pt idx="209">
                  <c:v>46.661282032619454</c:v>
                </c:pt>
                <c:pt idx="210">
                  <c:v>46.486403603996969</c:v>
                </c:pt>
                <c:pt idx="211">
                  <c:v>46.315417115266939</c:v>
                </c:pt>
                <c:pt idx="212">
                  <c:v>46.148169882486883</c:v>
                </c:pt>
                <c:pt idx="213">
                  <c:v>45.984517105038435</c:v>
                </c:pt>
                <c:pt idx="214">
                  <c:v>45.821162378172559</c:v>
                </c:pt>
                <c:pt idx="215">
                  <c:v>45.661265689197059</c:v>
                </c:pt>
                <c:pt idx="216">
                  <c:v>45.504695887717091</c:v>
                </c:pt>
                <c:pt idx="217">
                  <c:v>45.351328511630975</c:v>
                </c:pt>
                <c:pt idx="218">
                  <c:v>45.197653805654539</c:v>
                </c:pt>
                <c:pt idx="219">
                  <c:v>45.04708557534628</c:v>
                </c:pt>
                <c:pt idx="220">
                  <c:v>44.899509842859324</c:v>
                </c:pt>
                <c:pt idx="221">
                  <c:v>44.754818335434976</c:v>
                </c:pt>
                <c:pt idx="222">
                  <c:v>44.609775469570678</c:v>
                </c:pt>
                <c:pt idx="223">
                  <c:v>44.467534815044388</c:v>
                </c:pt>
                <c:pt idx="224">
                  <c:v>44.32799702843753</c:v>
                </c:pt>
                <c:pt idx="225">
                  <c:v>44.191067621022803</c:v>
                </c:pt>
                <c:pt idx="226">
                  <c:v>44.053338279491626</c:v>
                </c:pt>
                <c:pt idx="227">
                  <c:v>43.918162362263928</c:v>
                </c:pt>
                <c:pt idx="228">
                  <c:v>43.785452176143679</c:v>
                </c:pt>
                <c:pt idx="229">
                  <c:v>43.655124211480128</c:v>
                </c:pt>
                <c:pt idx="230">
                  <c:v>43.395237998345252</c:v>
                </c:pt>
                <c:pt idx="231">
                  <c:v>43.268719003800527</c:v>
                </c:pt>
                <c:pt idx="232">
                  <c:v>43.144382816457643</c:v>
                </c:pt>
                <c:pt idx="233">
                  <c:v>43.019282433868767</c:v>
                </c:pt>
                <c:pt idx="234">
                  <c:v>42.896323371034342</c:v>
                </c:pt>
                <c:pt idx="235">
                  <c:v>42.775436618628547</c:v>
                </c:pt>
                <c:pt idx="236">
                  <c:v>42.656556290520001</c:v>
                </c:pt>
                <c:pt idx="237">
                  <c:v>42.537266506642943</c:v>
                </c:pt>
                <c:pt idx="238">
                  <c:v>42.419936011367625</c:v>
                </c:pt>
                <c:pt idx="239">
                  <c:v>42.304503774419842</c:v>
                </c:pt>
                <c:pt idx="240">
                  <c:v>42.190911446173672</c:v>
                </c:pt>
                <c:pt idx="241">
                  <c:v>42.076267388487423</c:v>
                </c:pt>
                <c:pt idx="242">
                  <c:v>41.963442232546583</c:v>
                </c:pt>
                <c:pt idx="243">
                  <c:v>41.852380879666484</c:v>
                </c:pt>
                <c:pt idx="244">
                  <c:v>41.743030592891031</c:v>
                </c:pt>
                <c:pt idx="245">
                  <c:v>41.632972826621575</c:v>
                </c:pt>
                <c:pt idx="246">
                  <c:v>41.524598388588274</c:v>
                </c:pt>
                <c:pt idx="247">
                  <c:v>41.417857803904205</c:v>
                </c:pt>
                <c:pt idx="248">
                  <c:v>41.312703661707253</c:v>
                </c:pt>
                <c:pt idx="249">
                  <c:v>41.206582234936789</c:v>
                </c:pt>
                <c:pt idx="250">
                  <c:v>41.102031038017429</c:v>
                </c:pt>
                <c:pt idx="251">
                  <c:v>40.999005150755593</c:v>
                </c:pt>
                <c:pt idx="252">
                  <c:v>40.897461482149041</c:v>
                </c:pt>
                <c:pt idx="253">
                  <c:v>40.795255375343032</c:v>
                </c:pt>
                <c:pt idx="254">
                  <c:v>40.694509501199143</c:v>
                </c:pt>
                <c:pt idx="255">
                  <c:v>40.595183286246758</c:v>
                </c:pt>
                <c:pt idx="256">
                  <c:v>40.497237766023446</c:v>
                </c:pt>
                <c:pt idx="257">
                  <c:v>40.398150378648168</c:v>
                </c:pt>
                <c:pt idx="258">
                  <c:v>40.300437919065565</c:v>
                </c:pt>
                <c:pt idx="259">
                  <c:v>40.204063075740009</c:v>
                </c:pt>
                <c:pt idx="260">
                  <c:v>40.108989985831386</c:v>
                </c:pt>
                <c:pt idx="261">
                  <c:v>40.0130666782795</c:v>
                </c:pt>
                <c:pt idx="262">
                  <c:v>39.918433424808036</c:v>
                </c:pt>
                <c:pt idx="263">
                  <c:v>39.825056110255666</c:v>
                </c:pt>
                <c:pt idx="264">
                  <c:v>39.732901913391601</c:v>
                </c:pt>
                <c:pt idx="265">
                  <c:v>39.639931149693616</c:v>
                </c:pt>
                <c:pt idx="266">
                  <c:v>39.548172984624806</c:v>
                </c:pt>
                <c:pt idx="267">
                  <c:v>39.457596156822412</c:v>
                </c:pt>
                <c:pt idx="268">
                  <c:v>39.368170563572839</c:v>
                </c:pt>
                <c:pt idx="269">
                  <c:v>39.277747919938029</c:v>
                </c:pt>
                <c:pt idx="270">
                  <c:v>39.188472375960551</c:v>
                </c:pt>
                <c:pt idx="271">
                  <c:v>39.100315024153495</c:v>
                </c:pt>
                <c:pt idx="272">
                  <c:v>39.013248006757884</c:v>
                </c:pt>
                <c:pt idx="273">
                  <c:v>38.925228705397231</c:v>
                </c:pt>
                <c:pt idx="274">
                  <c:v>38.838295873617831</c:v>
                </c:pt>
                <c:pt idx="275">
                  <c:v>38.752422742849319</c:v>
                </c:pt>
                <c:pt idx="276">
                  <c:v>38.667583497072762</c:v>
                </c:pt>
                <c:pt idx="277">
                  <c:v>38.582025319351636</c:v>
                </c:pt>
                <c:pt idx="278">
                  <c:v>38.497492846578808</c:v>
                </c:pt>
                <c:pt idx="279">
                  <c:v>38.413961420608807</c:v>
                </c:pt>
                <c:pt idx="280">
                  <c:v>38.331407241439884</c:v>
                </c:pt>
                <c:pt idx="281">
                  <c:v>38.247610011670822</c:v>
                </c:pt>
                <c:pt idx="282">
                  <c:v>38.164795411548603</c:v>
                </c:pt>
                <c:pt idx="283">
                  <c:v>38.082940234230264</c:v>
                </c:pt>
                <c:pt idx="284">
                  <c:v>38.002022068078354</c:v>
                </c:pt>
                <c:pt idx="285">
                  <c:v>37.920445877234975</c:v>
                </c:pt>
                <c:pt idx="286">
                  <c:v>37.839799434773596</c:v>
                </c:pt>
                <c:pt idx="287">
                  <c:v>37.760061308147044</c:v>
                </c:pt>
                <c:pt idx="288">
                  <c:v>37.681210783310313</c:v>
                </c:pt>
                <c:pt idx="289">
                  <c:v>37.601222367079018</c:v>
                </c:pt>
                <c:pt idx="290">
                  <c:v>37.522126082018893</c:v>
                </c:pt>
                <c:pt idx="291">
                  <c:v>37.443901723280121</c:v>
                </c:pt>
                <c:pt idx="292">
                  <c:v>37.36652975298761</c:v>
                </c:pt>
                <c:pt idx="293">
                  <c:v>37.288232231628612</c:v>
                </c:pt>
                <c:pt idx="294">
                  <c:v>37.210787591634713</c:v>
                </c:pt>
                <c:pt idx="295">
                  <c:v>37.134176896474173</c:v>
                </c:pt>
                <c:pt idx="296">
                  <c:v>37.058381823848244</c:v>
                </c:pt>
                <c:pt idx="297">
                  <c:v>36.9816997382175</c:v>
                </c:pt>
                <c:pt idx="298">
                  <c:v>36.905833641604737</c:v>
                </c:pt>
                <c:pt idx="299">
                  <c:v>36.830765771539411</c:v>
                </c:pt>
                <c:pt idx="300">
                  <c:v>36.756478931709694</c:v>
                </c:pt>
                <c:pt idx="301">
                  <c:v>36.681340983132024</c:v>
                </c:pt>
                <c:pt idx="302">
                  <c:v>36.606984333998575</c:v>
                </c:pt>
                <c:pt idx="303">
                  <c:v>36.533392309074905</c:v>
                </c:pt>
                <c:pt idx="304">
                  <c:v>36.46054875544398</c:v>
                </c:pt>
                <c:pt idx="305">
                  <c:v>36.386605755374021</c:v>
                </c:pt>
                <c:pt idx="306">
                  <c:v>36.313417130967885</c:v>
                </c:pt>
                <c:pt idx="307">
                  <c:v>36.240967035656006</c:v>
                </c:pt>
                <c:pt idx="308">
                  <c:v>36.169240112495004</c:v>
                </c:pt>
                <c:pt idx="309">
                  <c:v>36.09673242782825</c:v>
                </c:pt>
                <c:pt idx="310">
                  <c:v>36.024947832928319</c:v>
                </c:pt>
                <c:pt idx="311">
                  <c:v>35.953871435949416</c:v>
                </c:pt>
                <c:pt idx="312">
                  <c:v>35.883488797185244</c:v>
                </c:pt>
                <c:pt idx="313">
                  <c:v>35.812094217317629</c:v>
                </c:pt>
                <c:pt idx="314">
                  <c:v>35.741398353603621</c:v>
                </c:pt>
                <c:pt idx="315">
                  <c:v>35.671387045875207</c:v>
                </c:pt>
                <c:pt idx="316">
                  <c:v>35.602046557964286</c:v>
                </c:pt>
                <c:pt idx="317">
                  <c:v>35.531736158245828</c:v>
                </c:pt>
                <c:pt idx="318">
                  <c:v>35.462101054794033</c:v>
                </c:pt>
                <c:pt idx="319">
                  <c:v>35.393127782846577</c:v>
                </c:pt>
                <c:pt idx="320">
                  <c:v>35.324803275185999</c:v>
                </c:pt>
                <c:pt idx="321">
                  <c:v>35.255548166096581</c:v>
                </c:pt>
                <c:pt idx="322">
                  <c:v>35.186945874612682</c:v>
                </c:pt>
                <c:pt idx="323">
                  <c:v>35.118983595951121</c:v>
                </c:pt>
                <c:pt idx="324">
                  <c:v>35.051648898044746</c:v>
                </c:pt>
                <c:pt idx="325">
                  <c:v>34.983420422974262</c:v>
                </c:pt>
                <c:pt idx="326">
                  <c:v>34.915823209735365</c:v>
                </c:pt>
                <c:pt idx="327">
                  <c:v>34.84884507914775</c:v>
                </c:pt>
                <c:pt idx="328">
                  <c:v>34.782474201476596</c:v>
                </c:pt>
                <c:pt idx="329">
                  <c:v>34.715132184341989</c:v>
                </c:pt>
                <c:pt idx="330">
                  <c:v>34.6484027975606</c:v>
                </c:pt>
                <c:pt idx="331">
                  <c:v>34.582274396988311</c:v>
                </c:pt>
                <c:pt idx="332">
                  <c:v>34.516735668297898</c:v>
                </c:pt>
                <c:pt idx="333">
                  <c:v>34.450372132556801</c:v>
                </c:pt>
                <c:pt idx="334">
                  <c:v>34.384601264875315</c:v>
                </c:pt>
                <c:pt idx="335">
                  <c:v>34.31941198764352</c:v>
                </c:pt>
                <c:pt idx="336">
                  <c:v>34.254793532442946</c:v>
                </c:pt>
                <c:pt idx="337">
                  <c:v>34.189172325697726</c:v>
                </c:pt>
                <c:pt idx="338">
                  <c:v>34.124128329509318</c:v>
                </c:pt>
                <c:pt idx="339">
                  <c:v>34.059650901536912</c:v>
                </c:pt>
                <c:pt idx="340">
                  <c:v>33.995729693030768</c:v>
                </c:pt>
                <c:pt idx="341">
                  <c:v>33.930845096360486</c:v>
                </c:pt>
                <c:pt idx="342">
                  <c:v>33.866522589544495</c:v>
                </c:pt>
                <c:pt idx="343">
                  <c:v>33.802751952252102</c:v>
                </c:pt>
                <c:pt idx="344">
                  <c:v>33.739523242739196</c:v>
                </c:pt>
                <c:pt idx="345">
                  <c:v>33.67546543428243</c:v>
                </c:pt>
                <c:pt idx="346">
                  <c:v>33.611953307688985</c:v>
                </c:pt>
                <c:pt idx="347">
                  <c:v>33.548977094778039</c:v>
                </c:pt>
                <c:pt idx="348">
                  <c:v>33.486527289994363</c:v>
                </c:pt>
                <c:pt idx="349">
                  <c:v>33.423090472903041</c:v>
                </c:pt>
                <c:pt idx="350">
                  <c:v>33.360186667628106</c:v>
                </c:pt>
                <c:pt idx="351">
                  <c:v>33.297806453894175</c:v>
                </c:pt>
                <c:pt idx="352">
                  <c:v>33.235940661928986</c:v>
                </c:pt>
                <c:pt idx="353">
                  <c:v>33.173125493340045</c:v>
                </c:pt>
                <c:pt idx="354">
                  <c:v>33.110830849430144</c:v>
                </c:pt>
                <c:pt idx="355">
                  <c:v>33.049047649838855</c:v>
                </c:pt>
                <c:pt idx="356">
                  <c:v>32.987767052949934</c:v>
                </c:pt>
                <c:pt idx="357">
                  <c:v>32.925660597386674</c:v>
                </c:pt>
                <c:pt idx="358">
                  <c:v>32.864060962603759</c:v>
                </c:pt>
                <c:pt idx="359">
                  <c:v>32.802959436006176</c:v>
                </c:pt>
                <c:pt idx="360">
                  <c:v>32.742347531113268</c:v>
                </c:pt>
                <c:pt idx="361">
                  <c:v>32.680768791278552</c:v>
                </c:pt>
                <c:pt idx="362">
                  <c:v>32.619686314447051</c:v>
                </c:pt>
                <c:pt idx="363">
                  <c:v>32.55909167150967</c:v>
                </c:pt>
                <c:pt idx="364">
                  <c:v>32.498976649835782</c:v>
                </c:pt>
                <c:pt idx="365">
                  <c:v>32.438013133508782</c:v>
                </c:pt>
                <c:pt idx="366">
                  <c:v>32.377534098641043</c:v>
                </c:pt>
                <c:pt idx="367">
                  <c:v>32.317531427606745</c:v>
                </c:pt>
                <c:pt idx="368">
                  <c:v>32.257997208744243</c:v>
                </c:pt>
                <c:pt idx="369">
                  <c:v>32.197484705492833</c:v>
                </c:pt>
                <c:pt idx="370">
                  <c:v>32.137447671327834</c:v>
                </c:pt>
                <c:pt idx="371">
                  <c:v>32.077878227990048</c:v>
                </c:pt>
                <c:pt idx="372">
                  <c:v>32.018768695169271</c:v>
                </c:pt>
                <c:pt idx="373">
                  <c:v>31.958794234240564</c:v>
                </c:pt>
                <c:pt idx="374">
                  <c:v>31.899285019606339</c:v>
                </c:pt>
                <c:pt idx="375">
                  <c:v>31.840233439853002</c:v>
                </c:pt>
                <c:pt idx="376">
                  <c:v>31.781632072643006</c:v>
                </c:pt>
                <c:pt idx="377">
                  <c:v>31.722045994688976</c:v>
                </c:pt>
                <c:pt idx="378">
                  <c:v>31.662917396800438</c:v>
                </c:pt>
                <c:pt idx="379">
                  <c:v>31.604238872056523</c:v>
                </c:pt>
                <c:pt idx="380">
                  <c:v>31.546003195850538</c:v>
                </c:pt>
                <c:pt idx="381">
                  <c:v>31.486964263795297</c:v>
                </c:pt>
                <c:pt idx="382">
                  <c:v>31.428372761134508</c:v>
                </c:pt>
                <c:pt idx="383">
                  <c:v>31.370221538285751</c:v>
                </c:pt>
                <c:pt idx="384">
                  <c:v>31.312503619549364</c:v>
                </c:pt>
                <c:pt idx="385">
                  <c:v>31.253797694395075</c:v>
                </c:pt>
                <c:pt idx="386">
                  <c:v>31.195532519642434</c:v>
                </c:pt>
                <c:pt idx="387">
                  <c:v>31.137701120270261</c:v>
                </c:pt>
                <c:pt idx="388">
                  <c:v>31.080296689435873</c:v>
                </c:pt>
                <c:pt idx="389">
                  <c:v>31.022008283263961</c:v>
                </c:pt>
                <c:pt idx="390">
                  <c:v>30.964152795674561</c:v>
                </c:pt>
                <c:pt idx="391">
                  <c:v>30.906723451726435</c:v>
                </c:pt>
                <c:pt idx="392">
                  <c:v>30.849713638173885</c:v>
                </c:pt>
                <c:pt idx="393">
                  <c:v>30.79185050678457</c:v>
                </c:pt>
                <c:pt idx="394">
                  <c:v>30.734412474482532</c:v>
                </c:pt>
                <c:pt idx="395">
                  <c:v>30.677392963979258</c:v>
                </c:pt>
                <c:pt idx="396">
                  <c:v>30.620785553325529</c:v>
                </c:pt>
                <c:pt idx="397">
                  <c:v>30.563224533700012</c:v>
                </c:pt>
                <c:pt idx="398">
                  <c:v>30.506082706242111</c:v>
                </c:pt>
                <c:pt idx="399">
                  <c:v>30.449353645337109</c:v>
                </c:pt>
                <c:pt idx="400">
                  <c:v>30.393031075835147</c:v>
                </c:pt>
                <c:pt idx="401">
                  <c:v>30.335851089945614</c:v>
                </c:pt>
                <c:pt idx="402">
                  <c:v>30.279083344465185</c:v>
                </c:pt>
                <c:pt idx="403">
                  <c:v>30.222721587772732</c:v>
                </c:pt>
                <c:pt idx="404">
                  <c:v>30.166759713178916</c:v>
                </c:pt>
                <c:pt idx="405">
                  <c:v>30.109908379582468</c:v>
                </c:pt>
                <c:pt idx="406">
                  <c:v>30.053463191695432</c:v>
                </c:pt>
                <c:pt idx="407">
                  <c:v>29.997418050736314</c:v>
                </c:pt>
                <c:pt idx="408">
                  <c:v>29.941766998012881</c:v>
                </c:pt>
                <c:pt idx="409">
                  <c:v>29.885197357855169</c:v>
                </c:pt>
                <c:pt idx="410">
                  <c:v>29.829028526746335</c:v>
                </c:pt>
                <c:pt idx="411">
                  <c:v>29.773254540312941</c:v>
                </c:pt>
                <c:pt idx="412">
                  <c:v>29.717869570021268</c:v>
                </c:pt>
                <c:pt idx="413">
                  <c:v>29.661597355749777</c:v>
                </c:pt>
                <c:pt idx="414">
                  <c:v>29.605720475832072</c:v>
                </c:pt>
                <c:pt idx="415">
                  <c:v>29.550233102035392</c:v>
                </c:pt>
                <c:pt idx="416">
                  <c:v>29.495129537693579</c:v>
                </c:pt>
                <c:pt idx="417">
                  <c:v>29.439112480333137</c:v>
                </c:pt>
                <c:pt idx="418">
                  <c:v>29.38348595482811</c:v>
                </c:pt>
                <c:pt idx="419">
                  <c:v>29.32824425299815</c:v>
                </c:pt>
                <c:pt idx="420">
                  <c:v>29.273381794466072</c:v>
                </c:pt>
                <c:pt idx="421">
                  <c:v>29.217691323252609</c:v>
                </c:pt>
                <c:pt idx="422">
                  <c:v>29.162385671451226</c:v>
                </c:pt>
                <c:pt idx="423">
                  <c:v>29.10745926944216</c:v>
                </c:pt>
                <c:pt idx="424">
                  <c:v>29.052906671125225</c:v>
                </c:pt>
                <c:pt idx="425">
                  <c:v>28.99739387998342</c:v>
                </c:pt>
                <c:pt idx="426">
                  <c:v>28.942262321049171</c:v>
                </c:pt>
                <c:pt idx="427">
                  <c:v>28.887506516098181</c:v>
                </c:pt>
                <c:pt idx="428">
                  <c:v>28.833121107557464</c:v>
                </c:pt>
                <c:pt idx="429">
                  <c:v>28.777859696596472</c:v>
                </c:pt>
                <c:pt idx="430">
                  <c:v>28.72297498497575</c:v>
                </c:pt>
                <c:pt idx="431">
                  <c:v>28.668461605201916</c:v>
                </c:pt>
                <c:pt idx="432">
                  <c:v>28.614314307018699</c:v>
                </c:pt>
                <c:pt idx="433">
                  <c:v>28.559319986534575</c:v>
                </c:pt>
                <c:pt idx="434">
                  <c:v>28.50469769070699</c:v>
                </c:pt>
                <c:pt idx="435">
                  <c:v>28.450442164596769</c:v>
                </c:pt>
                <c:pt idx="436">
                  <c:v>28.396548267061252</c:v>
                </c:pt>
                <c:pt idx="437">
                  <c:v>28.341737076006638</c:v>
                </c:pt>
                <c:pt idx="438">
                  <c:v>28.28729443108406</c:v>
                </c:pt>
                <c:pt idx="439">
                  <c:v>28.233215163615995</c:v>
                </c:pt>
                <c:pt idx="440">
                  <c:v>28.179494216059361</c:v>
                </c:pt>
                <c:pt idx="441">
                  <c:v>28.124886369945369</c:v>
                </c:pt>
                <c:pt idx="442">
                  <c:v>28.070643376352749</c:v>
                </c:pt>
                <c:pt idx="443">
                  <c:v>28.016760156495828</c:v>
                </c:pt>
                <c:pt idx="444">
                  <c:v>27.963231739975761</c:v>
                </c:pt>
                <c:pt idx="445">
                  <c:v>27.908845522412058</c:v>
                </c:pt>
                <c:pt idx="446">
                  <c:v>27.854820278589703</c:v>
                </c:pt>
                <c:pt idx="447">
                  <c:v>27.801151022508044</c:v>
                </c:pt>
                <c:pt idx="448">
                  <c:v>27.747832873744557</c:v>
                </c:pt>
                <c:pt idx="449">
                  <c:v>27.693594309400083</c:v>
                </c:pt>
                <c:pt idx="450">
                  <c:v>27.639713871579744</c:v>
                </c:pt>
                <c:pt idx="451">
                  <c:v>27.586186644922563</c:v>
                </c:pt>
                <c:pt idx="452">
                  <c:v>27.533007817477618</c:v>
                </c:pt>
                <c:pt idx="453">
                  <c:v>27.478982847388302</c:v>
                </c:pt>
                <c:pt idx="454">
                  <c:v>27.425312339031205</c:v>
                </c:pt>
                <c:pt idx="455">
                  <c:v>27.371991463642352</c:v>
                </c:pt>
                <c:pt idx="456">
                  <c:v>27.319015493271117</c:v>
                </c:pt>
                <c:pt idx="457">
                  <c:v>27.265134765442664</c:v>
                </c:pt>
                <c:pt idx="458">
                  <c:v>27.211605791123738</c:v>
                </c:pt>
                <c:pt idx="459">
                  <c:v>27.158423807858085</c:v>
                </c:pt>
                <c:pt idx="460">
                  <c:v>27.105584151986051</c:v>
                </c:pt>
                <c:pt idx="461">
                  <c:v>27.051869155223308</c:v>
                </c:pt>
                <c:pt idx="462">
                  <c:v>26.998502968101224</c:v>
                </c:pt>
                <c:pt idx="463">
                  <c:v>26.945480898536388</c:v>
                </c:pt>
                <c:pt idx="464">
                  <c:v>26.89279835112794</c:v>
                </c:pt>
                <c:pt idx="465">
                  <c:v>26.83922791150944</c:v>
                </c:pt>
                <c:pt idx="466">
                  <c:v>26.786003654883658</c:v>
                </c:pt>
                <c:pt idx="467">
                  <c:v>26.733120952461981</c:v>
                </c:pt>
                <c:pt idx="468">
                  <c:v>26.680575270233074</c:v>
                </c:pt>
                <c:pt idx="469">
                  <c:v>26.627170307229136</c:v>
                </c:pt>
                <c:pt idx="470">
                  <c:v>26.574108672904686</c:v>
                </c:pt>
                <c:pt idx="471">
                  <c:v>26.521385805629812</c:v>
                </c:pt>
                <c:pt idx="472">
                  <c:v>26.468997236555786</c:v>
                </c:pt>
                <c:pt idx="473">
                  <c:v>26.415699393293835</c:v>
                </c:pt>
                <c:pt idx="474">
                  <c:v>26.362742810965713</c:v>
                </c:pt>
                <c:pt idx="475">
                  <c:v>26.310122978852554</c:v>
                </c:pt>
                <c:pt idx="476">
                  <c:v>26.257835477473144</c:v>
                </c:pt>
                <c:pt idx="477">
                  <c:v>26.204667972643296</c:v>
                </c:pt>
                <c:pt idx="478">
                  <c:v>26.151839399603286</c:v>
                </c:pt>
                <c:pt idx="479">
                  <c:v>26.09934530315504</c:v>
                </c:pt>
                <c:pt idx="480">
                  <c:v>26.04718131768205</c:v>
                </c:pt>
                <c:pt idx="481">
                  <c:v>25.994165433063067</c:v>
                </c:pt>
                <c:pt idx="482">
                  <c:v>25.941485917350956</c:v>
                </c:pt>
                <c:pt idx="483">
                  <c:v>25.889138374850948</c:v>
                </c:pt>
                <c:pt idx="484">
                  <c:v>25.837118497699791</c:v>
                </c:pt>
                <c:pt idx="485">
                  <c:v>25.784237822403959</c:v>
                </c:pt>
                <c:pt idx="486">
                  <c:v>25.731691196785917</c:v>
                </c:pt>
                <c:pt idx="487">
                  <c:v>25.679474279285625</c:v>
                </c:pt>
                <c:pt idx="488">
                  <c:v>25.627582814581036</c:v>
                </c:pt>
                <c:pt idx="489">
                  <c:v>25.574787818686726</c:v>
                </c:pt>
                <c:pt idx="490">
                  <c:v>25.522325208438197</c:v>
                </c:pt>
                <c:pt idx="491">
                  <c:v>25.470190683169797</c:v>
                </c:pt>
                <c:pt idx="492">
                  <c:v>25.418380027220842</c:v>
                </c:pt>
                <c:pt idx="493">
                  <c:v>25.365694622460349</c:v>
                </c:pt>
                <c:pt idx="494">
                  <c:v>25.313339668001653</c:v>
                </c:pt>
                <c:pt idx="495">
                  <c:v>25.261310908860324</c:v>
                </c:pt>
                <c:pt idx="496">
                  <c:v>25.209604173707053</c:v>
                </c:pt>
                <c:pt idx="497">
                  <c:v>25.157017068415037</c:v>
                </c:pt>
                <c:pt idx="498">
                  <c:v>25.10475864792452</c:v>
                </c:pt>
                <c:pt idx="499">
                  <c:v>25.052824699193287</c:v>
                </c:pt>
                <c:pt idx="500">
                  <c:v>25.001211091593163</c:v>
                </c:pt>
                <c:pt idx="501">
                  <c:v>24.948712464990056</c:v>
                </c:pt>
                <c:pt idx="502">
                  <c:v>24.896540906794222</c:v>
                </c:pt>
                <c:pt idx="503">
                  <c:v>24.844692242615519</c:v>
                </c:pt>
                <c:pt idx="504">
                  <c:v>24.79316237932979</c:v>
                </c:pt>
                <c:pt idx="505">
                  <c:v>24.74077543503585</c:v>
                </c:pt>
                <c:pt idx="506">
                  <c:v>24.688713680965556</c:v>
                </c:pt>
                <c:pt idx="507">
                  <c:v>24.636972985937948</c:v>
                </c:pt>
                <c:pt idx="508">
                  <c:v>24.585549298782908</c:v>
                </c:pt>
                <c:pt idx="509">
                  <c:v>24.533264497435425</c:v>
                </c:pt>
                <c:pt idx="510">
                  <c:v>24.481303152447808</c:v>
                </c:pt>
                <c:pt idx="511">
                  <c:v>24.429661172664478</c:v>
                </c:pt>
                <c:pt idx="512">
                  <c:v>24.37833454577703</c:v>
                </c:pt>
                <c:pt idx="513">
                  <c:v>24.326113476217095</c:v>
                </c:pt>
                <c:pt idx="514">
                  <c:v>24.274214626364412</c:v>
                </c:pt>
                <c:pt idx="515">
                  <c:v>24.22263393530222</c:v>
                </c:pt>
                <c:pt idx="516">
                  <c:v>24.171367420055674</c:v>
                </c:pt>
                <c:pt idx="517">
                  <c:v>24.119234593439344</c:v>
                </c:pt>
                <c:pt idx="518">
                  <c:v>24.067422470224589</c:v>
                </c:pt>
                <c:pt idx="519">
                  <c:v>24.015927024645908</c:v>
                </c:pt>
                <c:pt idx="520">
                  <c:v>23.964744307856915</c:v>
                </c:pt>
                <c:pt idx="521">
                  <c:v>23.912693646904781</c:v>
                </c:pt>
                <c:pt idx="522">
                  <c:v>23.860962269486166</c:v>
                </c:pt>
                <c:pt idx="523">
                  <c:v>23.809546182811854</c:v>
                </c:pt>
                <c:pt idx="524">
                  <c:v>23.758441470051466</c:v>
                </c:pt>
                <c:pt idx="525">
                  <c:v>23.706467889967207</c:v>
                </c:pt>
                <c:pt idx="526">
                  <c:v>23.654812256442455</c:v>
                </c:pt>
                <c:pt idx="527">
                  <c:v>23.603470607769104</c:v>
                </c:pt>
                <c:pt idx="528">
                  <c:v>23.552439057293569</c:v>
                </c:pt>
                <c:pt idx="529">
                  <c:v>23.500538383922688</c:v>
                </c:pt>
                <c:pt idx="530">
                  <c:v>23.448954390687305</c:v>
                </c:pt>
                <c:pt idx="531">
                  <c:v>23.397683145319025</c:v>
                </c:pt>
                <c:pt idx="532">
                  <c:v>23.346720789748169</c:v>
                </c:pt>
                <c:pt idx="533">
                  <c:v>23.294863006639901</c:v>
                </c:pt>
                <c:pt idx="534">
                  <c:v>23.243321020336371</c:v>
                </c:pt>
                <c:pt idx="535">
                  <c:v>23.192090920604361</c:v>
                </c:pt>
                <c:pt idx="536">
                  <c:v>23.141168870745542</c:v>
                </c:pt>
                <c:pt idx="537">
                  <c:v>23.089405392775859</c:v>
                </c:pt>
                <c:pt idx="538">
                  <c:v>23.037956221879554</c:v>
                </c:pt>
                <c:pt idx="539">
                  <c:v>22.986817480787359</c:v>
                </c:pt>
                <c:pt idx="540">
                  <c:v>22.935985364834075</c:v>
                </c:pt>
                <c:pt idx="541">
                  <c:v>22.88426156567569</c:v>
                </c:pt>
                <c:pt idx="542">
                  <c:v>22.832851262576959</c:v>
                </c:pt>
                <c:pt idx="543">
                  <c:v>22.781750598422398</c:v>
                </c:pt>
                <c:pt idx="544">
                  <c:v>22.730955788094626</c:v>
                </c:pt>
                <c:pt idx="545">
                  <c:v>22.679297049533673</c:v>
                </c:pt>
                <c:pt idx="546">
                  <c:v>22.627950704866567</c:v>
                </c:pt>
                <c:pt idx="547">
                  <c:v>22.576912922232019</c:v>
                </c:pt>
                <c:pt idx="548">
                  <c:v>22.526179941039516</c:v>
                </c:pt>
                <c:pt idx="549">
                  <c:v>22.474585547871886</c:v>
                </c:pt>
                <c:pt idx="550">
                  <c:v>22.423302470773411</c:v>
                </c:pt>
                <c:pt idx="551">
                  <c:v>22.372326902424618</c:v>
                </c:pt>
                <c:pt idx="552">
                  <c:v>22.321655106074644</c:v>
                </c:pt>
                <c:pt idx="553">
                  <c:v>22.270101225541801</c:v>
                </c:pt>
                <c:pt idx="554">
                  <c:v>22.218857884511909</c:v>
                </c:pt>
                <c:pt idx="555">
                  <c:v>22.167921294457461</c:v>
                </c:pt>
                <c:pt idx="556">
                  <c:v>22.117287736862728</c:v>
                </c:pt>
                <c:pt idx="557">
                  <c:v>22.014574683459912</c:v>
                </c:pt>
                <c:pt idx="558">
                  <c:v>21.913085631256308</c:v>
                </c:pt>
                <c:pt idx="559">
                  <c:v>21.81050614282897</c:v>
                </c:pt>
                <c:pt idx="560">
                  <c:v>21.70914646517798</c:v>
                </c:pt>
                <c:pt idx="561">
                  <c:v>21.60661507911437</c:v>
                </c:pt>
                <c:pt idx="562">
                  <c:v>21.505301383066552</c:v>
                </c:pt>
                <c:pt idx="563">
                  <c:v>21.403040542826886</c:v>
                </c:pt>
                <c:pt idx="564">
                  <c:v>21.301990076174601</c:v>
                </c:pt>
                <c:pt idx="565">
                  <c:v>21.199618549384951</c:v>
                </c:pt>
                <c:pt idx="566">
                  <c:v>21.098459103400348</c:v>
                </c:pt>
                <c:pt idx="567">
                  <c:v>20.996039187014112</c:v>
                </c:pt>
                <c:pt idx="568">
                  <c:v>20.894831627997998</c:v>
                </c:pt>
                <c:pt idx="569">
                  <c:v>20.792819055258839</c:v>
                </c:pt>
                <c:pt idx="570">
                  <c:v>20.692008453339774</c:v>
                </c:pt>
                <c:pt idx="571">
                  <c:v>20.589652596501459</c:v>
                </c:pt>
                <c:pt idx="572">
                  <c:v>20.488505976522603</c:v>
                </c:pt>
                <c:pt idx="573">
                  <c:v>20.386643533468689</c:v>
                </c:pt>
                <c:pt idx="574">
                  <c:v>20.285978016842638</c:v>
                </c:pt>
                <c:pt idx="575">
                  <c:v>20.183888218245663</c:v>
                </c:pt>
                <c:pt idx="576">
                  <c:v>20.082999944858344</c:v>
                </c:pt>
                <c:pt idx="577">
                  <c:v>19.668559587909836</c:v>
                </c:pt>
                <c:pt idx="578">
                  <c:v>19.27320974819995</c:v>
                </c:pt>
                <c:pt idx="579">
                  <c:v>18.465623392727402</c:v>
                </c:pt>
                <c:pt idx="580">
                  <c:v>17.658595541041507</c:v>
                </c:pt>
                <c:pt idx="581">
                  <c:v>16.85302293089164</c:v>
                </c:pt>
                <c:pt idx="582">
                  <c:v>16.04816663296052</c:v>
                </c:pt>
                <c:pt idx="583">
                  <c:v>15.244441010583227</c:v>
                </c:pt>
                <c:pt idx="584">
                  <c:v>14.441094787860678</c:v>
                </c:pt>
                <c:pt idx="585">
                  <c:v>13.63847186308843</c:v>
                </c:pt>
                <c:pt idx="586">
                  <c:v>12.836359892159155</c:v>
                </c:pt>
                <c:pt idx="587">
                  <c:v>12.034253761199889</c:v>
                </c:pt>
                <c:pt idx="588">
                  <c:v>11.232857022117184</c:v>
                </c:pt>
                <c:pt idx="589">
                  <c:v>10.431474424579239</c:v>
                </c:pt>
                <c:pt idx="590">
                  <c:v>9.6303683861253599</c:v>
                </c:pt>
                <c:pt idx="591">
                  <c:v>8.8294362098863779</c:v>
                </c:pt>
                <c:pt idx="592">
                  <c:v>8.0287600361751483</c:v>
                </c:pt>
                <c:pt idx="593">
                  <c:v>7.228080772198088</c:v>
                </c:pt>
                <c:pt idx="594">
                  <c:v>6.427591095738685</c:v>
                </c:pt>
                <c:pt idx="595">
                  <c:v>5.6271122063497021</c:v>
                </c:pt>
                <c:pt idx="596">
                  <c:v>4.8267908932339205</c:v>
                </c:pt>
                <c:pt idx="597">
                  <c:v>4.0264420181659402</c:v>
                </c:pt>
                <c:pt idx="598">
                  <c:v>3.226251424921045</c:v>
                </c:pt>
                <c:pt idx="599">
                  <c:v>2.4260050090408489</c:v>
                </c:pt>
                <c:pt idx="600">
                  <c:v>1.6258177046437687</c:v>
                </c:pt>
              </c:numCache>
            </c:numRef>
          </c:yVal>
          <c:smooth val="1"/>
          <c:extLst>
            <c:ext xmlns:c16="http://schemas.microsoft.com/office/drawing/2014/chart" uri="{C3380CC4-5D6E-409C-BE32-E72D297353CC}">
              <c16:uniqueId val="{00000000-6E29-403F-BEE6-F2A617B26EB7}"/>
            </c:ext>
          </c:extLst>
        </c:ser>
        <c:dLbls>
          <c:showLegendKey val="0"/>
          <c:showVal val="0"/>
          <c:showCatName val="0"/>
          <c:showSerName val="0"/>
          <c:showPercent val="0"/>
          <c:showBubbleSize val="0"/>
        </c:dLbls>
        <c:axId val="196940928"/>
        <c:axId val="196942848"/>
      </c:scatterChart>
      <c:scatterChart>
        <c:scatterStyle val="lineMarker"/>
        <c:varyColors val="0"/>
        <c:ser>
          <c:idx val="8"/>
          <c:order val="1"/>
          <c:tx>
            <c:strRef>
              <c:f>'IL Stability Calculations'!$BF$12</c:f>
              <c:strCache>
                <c:ptCount val="1"/>
                <c:pt idx="0">
                  <c:v>Phase(Deg)</c:v>
                </c:pt>
              </c:strCache>
            </c:strRef>
          </c:tx>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Calculations'!$BF$13:$BF$613</c:f>
              <c:numCache>
                <c:formatCode>0.0000</c:formatCode>
                <c:ptCount val="601"/>
                <c:pt idx="0">
                  <c:v>4.3105553280580217E-2</c:v>
                </c:pt>
                <c:pt idx="1">
                  <c:v>4.7265237247526813E-2</c:v>
                </c:pt>
                <c:pt idx="2">
                  <c:v>5.1825802061932727E-2</c:v>
                </c:pt>
                <c:pt idx="3">
                  <c:v>5.6826042449898209E-2</c:v>
                </c:pt>
                <c:pt idx="4">
                  <c:v>6.2304753053206118E-2</c:v>
                </c:pt>
                <c:pt idx="5">
                  <c:v>6.8317970604919898E-2</c:v>
                </c:pt>
                <c:pt idx="6">
                  <c:v>7.4908800036154063E-2</c:v>
                </c:pt>
                <c:pt idx="7">
                  <c:v>8.2137588281646232E-2</c:v>
                </c:pt>
                <c:pt idx="8">
                  <c:v>9.0060371469889919E-2</c:v>
                </c:pt>
                <c:pt idx="9">
                  <c:v>9.8750427574176625E-2</c:v>
                </c:pt>
                <c:pt idx="10">
                  <c:v>0.10827672357221384</c:v>
                </c:pt>
                <c:pt idx="11">
                  <c:v>0.11872115748063485</c:v>
                </c:pt>
                <c:pt idx="12">
                  <c:v>0.13017855814265444</c:v>
                </c:pt>
                <c:pt idx="13">
                  <c:v>0.1427351323065518</c:v>
                </c:pt>
                <c:pt idx="14">
                  <c:v>0.15650725909019333</c:v>
                </c:pt>
                <c:pt idx="15">
                  <c:v>0.17160700528142006</c:v>
                </c:pt>
                <c:pt idx="16">
                  <c:v>0.18816367740317799</c:v>
                </c:pt>
                <c:pt idx="17">
                  <c:v>0.20631519990236968</c:v>
                </c:pt>
                <c:pt idx="18">
                  <c:v>0.22622104564252529</c:v>
                </c:pt>
                <c:pt idx="19">
                  <c:v>0.24804499257430887</c:v>
                </c:pt>
                <c:pt idx="20">
                  <c:v>0.27197667442534174</c:v>
                </c:pt>
                <c:pt idx="21">
                  <c:v>0.29821433646934814</c:v>
                </c:pt>
                <c:pt idx="22">
                  <c:v>0.32698638474347702</c:v>
                </c:pt>
                <c:pt idx="23">
                  <c:v>0.35852982983477066</c:v>
                </c:pt>
                <c:pt idx="24">
                  <c:v>0.39312045443467114</c:v>
                </c:pt>
                <c:pt idx="25">
                  <c:v>0.43104694392780296</c:v>
                </c:pt>
                <c:pt idx="26">
                  <c:v>0.47264104953538139</c:v>
                </c:pt>
                <c:pt idx="27">
                  <c:v>0.51824309377307354</c:v>
                </c:pt>
                <c:pt idx="28">
                  <c:v>0.568240747097982</c:v>
                </c:pt>
                <c:pt idx="29">
                  <c:v>0.62302159568575455</c:v>
                </c:pt>
                <c:pt idx="30">
                  <c:v>0.68314551451707395</c:v>
                </c:pt>
                <c:pt idx="31">
                  <c:v>0.74904292860757216</c:v>
                </c:pt>
                <c:pt idx="32">
                  <c:v>0.82131646421077453</c:v>
                </c:pt>
                <c:pt idx="33">
                  <c:v>0.90052539218579752</c:v>
                </c:pt>
                <c:pt idx="34">
                  <c:v>0.98740102601927671</c:v>
                </c:pt>
                <c:pt idx="35">
                  <c:v>1.0826311348018831</c:v>
                </c:pt>
                <c:pt idx="36">
                  <c:v>1.1870321755474147</c:v>
                </c:pt>
                <c:pt idx="37">
                  <c:v>1.3015490813770072</c:v>
                </c:pt>
                <c:pt idx="38">
                  <c:v>1.4270395939421818</c:v>
                </c:pt>
                <c:pt idx="39">
                  <c:v>1.5646616736642902</c:v>
                </c:pt>
                <c:pt idx="40">
                  <c:v>1.7155284071440686</c:v>
                </c:pt>
                <c:pt idx="41">
                  <c:v>1.880922822496411</c:v>
                </c:pt>
                <c:pt idx="42">
                  <c:v>2.0622109846035039</c:v>
                </c:pt>
                <c:pt idx="43">
                  <c:v>2.2609701443022163</c:v>
                </c:pt>
                <c:pt idx="44">
                  <c:v>2.4788152241821111</c:v>
                </c:pt>
                <c:pt idx="45">
                  <c:v>2.7176122763584822</c:v>
                </c:pt>
                <c:pt idx="46">
                  <c:v>2.9793040862361373</c:v>
                </c:pt>
                <c:pt idx="47">
                  <c:v>3.2661221895713211</c:v>
                </c:pt>
                <c:pt idx="48">
                  <c:v>3.5803679921689766</c:v>
                </c:pt>
                <c:pt idx="49">
                  <c:v>3.9247083027769891</c:v>
                </c:pt>
                <c:pt idx="50">
                  <c:v>4.3019108269091628</c:v>
                </c:pt>
                <c:pt idx="51">
                  <c:v>4.7151354869243249</c:v>
                </c:pt>
                <c:pt idx="52">
                  <c:v>5.167579983226152</c:v>
                </c:pt>
                <c:pt idx="53">
                  <c:v>5.6628502036616135</c:v>
                </c:pt>
                <c:pt idx="54">
                  <c:v>6.2044711701798567</c:v>
                </c:pt>
                <c:pt idx="55">
                  <c:v>6.7975643490860094</c:v>
                </c:pt>
                <c:pt idx="56">
                  <c:v>7.4458331384975125</c:v>
                </c:pt>
                <c:pt idx="57">
                  <c:v>8.1544979728522389</c:v>
                </c:pt>
                <c:pt idx="58">
                  <c:v>8.9281193855489516</c:v>
                </c:pt>
                <c:pt idx="59">
                  <c:v>9.7726365615374959</c:v>
                </c:pt>
                <c:pt idx="60">
                  <c:v>10.693170549986469</c:v>
                </c:pt>
                <c:pt idx="61">
                  <c:v>11.695589006339542</c:v>
                </c:pt>
                <c:pt idx="62">
                  <c:v>12.786341342513596</c:v>
                </c:pt>
                <c:pt idx="63">
                  <c:v>13.97022865937717</c:v>
                </c:pt>
                <c:pt idx="64">
                  <c:v>15.253861821039923</c:v>
                </c:pt>
                <c:pt idx="65">
                  <c:v>16.642120297502125</c:v>
                </c:pt>
                <c:pt idx="66">
                  <c:v>18.139853516667856</c:v>
                </c:pt>
                <c:pt idx="67">
                  <c:v>19.750697266551079</c:v>
                </c:pt>
                <c:pt idx="68">
                  <c:v>21.477781399656497</c:v>
                </c:pt>
                <c:pt idx="69">
                  <c:v>23.321720911497366</c:v>
                </c:pt>
                <c:pt idx="70">
                  <c:v>25.281964327961958</c:v>
                </c:pt>
                <c:pt idx="71">
                  <c:v>27.354807498564366</c:v>
                </c:pt>
                <c:pt idx="72">
                  <c:v>29.53464320520051</c:v>
                </c:pt>
                <c:pt idx="73">
                  <c:v>31.81185094730133</c:v>
                </c:pt>
                <c:pt idx="74">
                  <c:v>34.174752031679645</c:v>
                </c:pt>
                <c:pt idx="75">
                  <c:v>36.607585482004261</c:v>
                </c:pt>
                <c:pt idx="76">
                  <c:v>39.092609678170213</c:v>
                </c:pt>
                <c:pt idx="77">
                  <c:v>41.608260746937532</c:v>
                </c:pt>
                <c:pt idx="78">
                  <c:v>44.132058740737271</c:v>
                </c:pt>
                <c:pt idx="79">
                  <c:v>46.638906159577587</c:v>
                </c:pt>
                <c:pt idx="80">
                  <c:v>49.109379707513156</c:v>
                </c:pt>
                <c:pt idx="81">
                  <c:v>51.517082668469975</c:v>
                </c:pt>
                <c:pt idx="82">
                  <c:v>53.842206467245362</c:v>
                </c:pt>
                <c:pt idx="83">
                  <c:v>56.063664620422017</c:v>
                </c:pt>
                <c:pt idx="84">
                  <c:v>58.165981416474317</c:v>
                </c:pt>
                <c:pt idx="85">
                  <c:v>60.132979315717236</c:v>
                </c:pt>
                <c:pt idx="86">
                  <c:v>61.951943299131216</c:v>
                </c:pt>
                <c:pt idx="87">
                  <c:v>63.611930177983176</c:v>
                </c:pt>
                <c:pt idx="88">
                  <c:v>65.099784186515791</c:v>
                </c:pt>
                <c:pt idx="89">
                  <c:v>66.403954502210993</c:v>
                </c:pt>
                <c:pt idx="90">
                  <c:v>67.507729153458541</c:v>
                </c:pt>
                <c:pt idx="91">
                  <c:v>68.38839394212097</c:v>
                </c:pt>
                <c:pt idx="92">
                  <c:v>69.010879695866166</c:v>
                </c:pt>
                <c:pt idx="93">
                  <c:v>69.318325654327055</c:v>
                </c:pt>
                <c:pt idx="94">
                  <c:v>69.335761841542791</c:v>
                </c:pt>
                <c:pt idx="95">
                  <c:v>69.334254231268929</c:v>
                </c:pt>
                <c:pt idx="96">
                  <c:v>69.32561407394121</c:v>
                </c:pt>
                <c:pt idx="97">
                  <c:v>69.309319859437011</c:v>
                </c:pt>
                <c:pt idx="98">
                  <c:v>69.285399019007855</c:v>
                </c:pt>
                <c:pt idx="99">
                  <c:v>69.252912430247534</c:v>
                </c:pt>
                <c:pt idx="100">
                  <c:v>69.212200167649669</c:v>
                </c:pt>
                <c:pt idx="101">
                  <c:v>69.161891455348751</c:v>
                </c:pt>
                <c:pt idx="102">
                  <c:v>69.102642936779873</c:v>
                </c:pt>
                <c:pt idx="103">
                  <c:v>69.032506527105781</c:v>
                </c:pt>
                <c:pt idx="104">
                  <c:v>68.952545091560069</c:v>
                </c:pt>
                <c:pt idx="105">
                  <c:v>68.86026560582458</c:v>
                </c:pt>
                <c:pt idx="106">
                  <c:v>68.757093579952794</c:v>
                </c:pt>
                <c:pt idx="107">
                  <c:v>68.639930954908252</c:v>
                </c:pt>
                <c:pt idx="108">
                  <c:v>68.510579493594861</c:v>
                </c:pt>
                <c:pt idx="109">
                  <c:v>68.365157371483718</c:v>
                </c:pt>
                <c:pt idx="110">
                  <c:v>68.205941633745269</c:v>
                </c:pt>
                <c:pt idx="111">
                  <c:v>68.028006966180726</c:v>
                </c:pt>
                <c:pt idx="112">
                  <c:v>67.834256157612145</c:v>
                </c:pt>
                <c:pt idx="113">
                  <c:v>67.618793677223749</c:v>
                </c:pt>
                <c:pt idx="114">
                  <c:v>67.384994768185933</c:v>
                </c:pt>
                <c:pt idx="115">
                  <c:v>67.125653031785703</c:v>
                </c:pt>
                <c:pt idx="116">
                  <c:v>66.844774758870244</c:v>
                </c:pt>
                <c:pt idx="117">
                  <c:v>66.533559494040048</c:v>
                </c:pt>
                <c:pt idx="118">
                  <c:v>66.196699649220548</c:v>
                </c:pt>
                <c:pt idx="119">
                  <c:v>65.823663077387607</c:v>
                </c:pt>
                <c:pt idx="120">
                  <c:v>65.419681912780902</c:v>
                </c:pt>
                <c:pt idx="121">
                  <c:v>64.971804023697459</c:v>
                </c:pt>
                <c:pt idx="122">
                  <c:v>64.486004998537311</c:v>
                </c:pt>
                <c:pt idx="123">
                  <c:v>63.945916820120466</c:v>
                </c:pt>
                <c:pt idx="124">
                  <c:v>63.358526927715403</c:v>
                </c:pt>
                <c:pt idx="125">
                  <c:v>62.703758729928438</c:v>
                </c:pt>
                <c:pt idx="126">
                  <c:v>61.988999757690792</c:v>
                </c:pt>
                <c:pt idx="127">
                  <c:v>61.188813644417351</c:v>
                </c:pt>
                <c:pt idx="128">
                  <c:v>60.311079950141192</c:v>
                </c:pt>
                <c:pt idx="129">
                  <c:v>59.323067728602616</c:v>
                </c:pt>
                <c:pt idx="130">
                  <c:v>58.23275307156743</c:v>
                </c:pt>
                <c:pt idx="131">
                  <c:v>56.997250627175262</c:v>
                </c:pt>
                <c:pt idx="132">
                  <c:v>56.32895644231148</c:v>
                </c:pt>
                <c:pt idx="133">
                  <c:v>55.623886568425313</c:v>
                </c:pt>
                <c:pt idx="134">
                  <c:v>54.861291413215909</c:v>
                </c:pt>
                <c:pt idx="135">
                  <c:v>54.054502550050834</c:v>
                </c:pt>
                <c:pt idx="136">
                  <c:v>53.200293463926414</c:v>
                </c:pt>
                <c:pt idx="137">
                  <c:v>52.295162977345427</c:v>
                </c:pt>
                <c:pt idx="138">
                  <c:v>51.312855880762172</c:v>
                </c:pt>
                <c:pt idx="139">
                  <c:v>50.268915544754719</c:v>
                </c:pt>
                <c:pt idx="140">
                  <c:v>49.158575106409735</c:v>
                </c:pt>
                <c:pt idx="141">
                  <c:v>47.976684662723173</c:v>
                </c:pt>
                <c:pt idx="142">
                  <c:v>46.686859994776427</c:v>
                </c:pt>
                <c:pt idx="143">
                  <c:v>45.309853570187663</c:v>
                </c:pt>
                <c:pt idx="144">
                  <c:v>43.838848166518602</c:v>
                </c:pt>
                <c:pt idx="145">
                  <c:v>42.266620092243258</c:v>
                </c:pt>
                <c:pt idx="146">
                  <c:v>40.545299877039085</c:v>
                </c:pt>
                <c:pt idx="147">
                  <c:v>38.70167250954421</c:v>
                </c:pt>
                <c:pt idx="148">
                  <c:v>36.727186628768521</c:v>
                </c:pt>
                <c:pt idx="149">
                  <c:v>34.613359758359643</c:v>
                </c:pt>
                <c:pt idx="150">
                  <c:v>32.297984179430117</c:v>
                </c:pt>
                <c:pt idx="151">
                  <c:v>29.820381403211037</c:v>
                </c:pt>
                <c:pt idx="152">
                  <c:v>27.174061237768722</c:v>
                </c:pt>
                <c:pt idx="153">
                  <c:v>24.354594081957838</c:v>
                </c:pt>
                <c:pt idx="154">
                  <c:v>21.28781395175973</c:v>
                </c:pt>
                <c:pt idx="155">
                  <c:v>18.040312619228931</c:v>
                </c:pt>
                <c:pt idx="156">
                  <c:v>14.619402134241088</c:v>
                </c:pt>
                <c:pt idx="157">
                  <c:v>11.038186037188915</c:v>
                </c:pt>
                <c:pt idx="158">
                  <c:v>7.2272401647548392</c:v>
                </c:pt>
                <c:pt idx="159">
                  <c:v>3.296336409010812</c:v>
                </c:pt>
                <c:pt idx="160">
                  <c:v>-0.72065169039406607</c:v>
                </c:pt>
                <c:pt idx="161">
                  <c:v>-4.7850067428647574</c:v>
                </c:pt>
                <c:pt idx="162">
                  <c:v>-8.9482558348655363</c:v>
                </c:pt>
                <c:pt idx="163">
                  <c:v>-13.072892072789692</c:v>
                </c:pt>
                <c:pt idx="164">
                  <c:v>-17.116611374439348</c:v>
                </c:pt>
                <c:pt idx="165">
                  <c:v>-21.041983600155579</c:v>
                </c:pt>
                <c:pt idx="166">
                  <c:v>-24.905764338710089</c:v>
                </c:pt>
                <c:pt idx="167">
                  <c:v>-28.588326957781586</c:v>
                </c:pt>
                <c:pt idx="168">
                  <c:v>-32.07306249361941</c:v>
                </c:pt>
                <c:pt idx="169">
                  <c:v>-35.351017076826139</c:v>
                </c:pt>
                <c:pt idx="170">
                  <c:v>-38.48334042564705</c:v>
                </c:pt>
                <c:pt idx="171">
                  <c:v>-41.400407650669706</c:v>
                </c:pt>
                <c:pt idx="172">
                  <c:v>-44.109402805390268</c:v>
                </c:pt>
                <c:pt idx="173">
                  <c:v>-46.620359450563228</c:v>
                </c:pt>
                <c:pt idx="174">
                  <c:v>-49.001361143314156</c:v>
                </c:pt>
                <c:pt idx="175">
                  <c:v>-51.20022888453034</c:v>
                </c:pt>
                <c:pt idx="176">
                  <c:v>-53.230843663754335</c:v>
                </c:pt>
                <c:pt idx="177">
                  <c:v>-55.106829410827032</c:v>
                </c:pt>
                <c:pt idx="178">
                  <c:v>-56.882196429097569</c:v>
                </c:pt>
                <c:pt idx="179">
                  <c:v>-58.522093521969062</c:v>
                </c:pt>
                <c:pt idx="180">
                  <c:v>-60.038720419645905</c:v>
                </c:pt>
                <c:pt idx="181">
                  <c:v>-61.443266645464284</c:v>
                </c:pt>
                <c:pt idx="182">
                  <c:v>-62.771002966610496</c:v>
                </c:pt>
                <c:pt idx="183">
                  <c:v>-64.002524554340837</c:v>
                </c:pt>
                <c:pt idx="184">
                  <c:v>-65.146660033314888</c:v>
                </c:pt>
                <c:pt idx="185">
                  <c:v>-66.211350087864844</c:v>
                </c:pt>
                <c:pt idx="186">
                  <c:v>-67.23001193738304</c:v>
                </c:pt>
                <c:pt idx="187">
                  <c:v>-68.179268089187929</c:v>
                </c:pt>
                <c:pt idx="188">
                  <c:v>-69.06532579061718</c:v>
                </c:pt>
                <c:pt idx="189">
                  <c:v>-69.893743081532136</c:v>
                </c:pt>
                <c:pt idx="190">
                  <c:v>-70.683823035499259</c:v>
                </c:pt>
                <c:pt idx="191">
                  <c:v>-71.42393632716481</c:v>
                </c:pt>
                <c:pt idx="192">
                  <c:v>-72.118317232506328</c:v>
                </c:pt>
                <c:pt idx="193">
                  <c:v>-72.770766611702541</c:v>
                </c:pt>
                <c:pt idx="194">
                  <c:v>-73.400307818917241</c:v>
                </c:pt>
                <c:pt idx="195">
                  <c:v>-73.992608438230064</c:v>
                </c:pt>
                <c:pt idx="196">
                  <c:v>-74.550656476270944</c:v>
                </c:pt>
                <c:pt idx="197">
                  <c:v>-75.077144920394346</c:v>
                </c:pt>
                <c:pt idx="198">
                  <c:v>-75.585087473418497</c:v>
                </c:pt>
                <c:pt idx="199">
                  <c:v>-76.06495612506663</c:v>
                </c:pt>
                <c:pt idx="200">
                  <c:v>-76.518871136061946</c:v>
                </c:pt>
                <c:pt idx="201">
                  <c:v>-76.948753382843449</c:v>
                </c:pt>
                <c:pt idx="202">
                  <c:v>-77.364848468400439</c:v>
                </c:pt>
                <c:pt idx="203">
                  <c:v>-77.759375910640316</c:v>
                </c:pt>
                <c:pt idx="204">
                  <c:v>-78.133870040246208</c:v>
                </c:pt>
                <c:pt idx="205">
                  <c:v>-78.489728219777604</c:v>
                </c:pt>
                <c:pt idx="206">
                  <c:v>-78.836302611485522</c:v>
                </c:pt>
                <c:pt idx="207">
                  <c:v>-79.165906652844157</c:v>
                </c:pt>
                <c:pt idx="208">
                  <c:v>-79.479683524392996</c:v>
                </c:pt>
                <c:pt idx="209">
                  <c:v>-79.778679273134102</c:v>
                </c:pt>
                <c:pt idx="210">
                  <c:v>-80.071453607950872</c:v>
                </c:pt>
                <c:pt idx="211">
                  <c:v>-80.3505932512019</c:v>
                </c:pt>
                <c:pt idx="212">
                  <c:v>-80.61697261928667</c:v>
                </c:pt>
                <c:pt idx="213">
                  <c:v>-80.871395152444435</c:v>
                </c:pt>
                <c:pt idx="214">
                  <c:v>-81.119338879703221</c:v>
                </c:pt>
                <c:pt idx="215">
                  <c:v>-81.35633569241638</c:v>
                </c:pt>
                <c:pt idx="216">
                  <c:v>-81.58305130908812</c:v>
                </c:pt>
                <c:pt idx="217">
                  <c:v>-81.800100086895341</c:v>
                </c:pt>
                <c:pt idx="218">
                  <c:v>-82.012689415498571</c:v>
                </c:pt>
                <c:pt idx="219">
                  <c:v>-82.216321530230701</c:v>
                </c:pt>
                <c:pt idx="220">
                  <c:v>-82.411516044232584</c:v>
                </c:pt>
                <c:pt idx="221">
                  <c:v>-82.598754274250481</c:v>
                </c:pt>
                <c:pt idx="222">
                  <c:v>-82.782406991812806</c:v>
                </c:pt>
                <c:pt idx="223">
                  <c:v>-82.958653736733552</c:v>
                </c:pt>
                <c:pt idx="224">
                  <c:v>-83.127905364546834</c:v>
                </c:pt>
                <c:pt idx="225">
                  <c:v>-83.290543749727718</c:v>
                </c:pt>
                <c:pt idx="226">
                  <c:v>-83.45074456673629</c:v>
                </c:pt>
                <c:pt idx="227">
                  <c:v>-83.604727739444968</c:v>
                </c:pt>
                <c:pt idx="228">
                  <c:v>-83.75282487999246</c:v>
                </c:pt>
                <c:pt idx="229">
                  <c:v>-83.895345106133476</c:v>
                </c:pt>
                <c:pt idx="230">
                  <c:v>-84.171095990711081</c:v>
                </c:pt>
                <c:pt idx="231">
                  <c:v>-84.301352473355934</c:v>
                </c:pt>
                <c:pt idx="232">
                  <c:v>-84.426872268872401</c:v>
                </c:pt>
                <c:pt idx="233">
                  <c:v>-84.550711691094392</c:v>
                </c:pt>
                <c:pt idx="234">
                  <c:v>-84.670071713505436</c:v>
                </c:pt>
                <c:pt idx="235">
                  <c:v>-84.785174424849117</c:v>
                </c:pt>
                <c:pt idx="236">
                  <c:v>-84.896227915006705</c:v>
                </c:pt>
                <c:pt idx="237">
                  <c:v>-85.005563808399941</c:v>
                </c:pt>
                <c:pt idx="238">
                  <c:v>-85.111082076923566</c:v>
                </c:pt>
                <c:pt idx="239">
                  <c:v>-85.212965205375994</c:v>
                </c:pt>
                <c:pt idx="240">
                  <c:v>-85.311384594381792</c:v>
                </c:pt>
                <c:pt idx="241">
                  <c:v>-85.408891400522592</c:v>
                </c:pt>
                <c:pt idx="242">
                  <c:v>-85.503087929772363</c:v>
                </c:pt>
                <c:pt idx="243">
                  <c:v>-85.594127835337758</c:v>
                </c:pt>
                <c:pt idx="244">
                  <c:v>-85.682155714119361</c:v>
                </c:pt>
                <c:pt idx="245">
                  <c:v>-85.76916320174071</c:v>
                </c:pt>
                <c:pt idx="246">
                  <c:v>-85.85330295516016</c:v>
                </c:pt>
                <c:pt idx="247">
                  <c:v>-85.934704055872473</c:v>
                </c:pt>
                <c:pt idx="248">
                  <c:v>-86.013488213403889</c:v>
                </c:pt>
                <c:pt idx="249">
                  <c:v>-86.091600482713403</c:v>
                </c:pt>
                <c:pt idx="250">
                  <c:v>-86.167203594085692</c:v>
                </c:pt>
                <c:pt idx="251">
                  <c:v>-86.240407500066169</c:v>
                </c:pt>
                <c:pt idx="252">
                  <c:v>-86.311316045224103</c:v>
                </c:pt>
                <c:pt idx="253">
                  <c:v>-86.381458527070706</c:v>
                </c:pt>
                <c:pt idx="254">
                  <c:v>-86.449408580649148</c:v>
                </c:pt>
                <c:pt idx="255">
                  <c:v>-86.515259602457519</c:v>
                </c:pt>
                <c:pt idx="256">
                  <c:v>-86.579099949697962</c:v>
                </c:pt>
                <c:pt idx="257">
                  <c:v>-86.64259235369758</c:v>
                </c:pt>
                <c:pt idx="258">
                  <c:v>-86.704142073637641</c:v>
                </c:pt>
                <c:pt idx="259">
                  <c:v>-86.763830050575848</c:v>
                </c:pt>
                <c:pt idx="260">
                  <c:v>-86.821732958221006</c:v>
                </c:pt>
                <c:pt idx="261">
                  <c:v>-86.879181178249183</c:v>
                </c:pt>
                <c:pt idx="262">
                  <c:v>-86.934911972852731</c:v>
                </c:pt>
                <c:pt idx="263">
                  <c:v>-86.988995208131726</c:v>
                </c:pt>
                <c:pt idx="264">
                  <c:v>-87.041497156975353</c:v>
                </c:pt>
                <c:pt idx="265">
                  <c:v>-87.093596907973392</c:v>
                </c:pt>
                <c:pt idx="266">
                  <c:v>-87.144173807332479</c:v>
                </c:pt>
                <c:pt idx="267">
                  <c:v>-87.193288393811542</c:v>
                </c:pt>
                <c:pt idx="268">
                  <c:v>-87.240998166317937</c:v>
                </c:pt>
                <c:pt idx="269">
                  <c:v>-87.288461304219894</c:v>
                </c:pt>
                <c:pt idx="270">
                  <c:v>-87.334564030777329</c:v>
                </c:pt>
                <c:pt idx="271">
                  <c:v>-87.379359356386303</c:v>
                </c:pt>
                <c:pt idx="272">
                  <c:v>-87.422897684597999</c:v>
                </c:pt>
                <c:pt idx="273">
                  <c:v>-87.466211081316303</c:v>
                </c:pt>
                <c:pt idx="274">
                  <c:v>-87.508306642219722</c:v>
                </c:pt>
                <c:pt idx="275">
                  <c:v>-87.549230907073223</c:v>
                </c:pt>
                <c:pt idx="276">
                  <c:v>-87.58902817297755</c:v>
                </c:pt>
                <c:pt idx="277">
                  <c:v>-87.628532226217914</c:v>
                </c:pt>
                <c:pt idx="278">
                  <c:v>-87.666948725891672</c:v>
                </c:pt>
                <c:pt idx="279">
                  <c:v>-87.704318363103738</c:v>
                </c:pt>
                <c:pt idx="280">
                  <c:v>-87.740679910605394</c:v>
                </c:pt>
                <c:pt idx="281">
                  <c:v>-87.777015814871959</c:v>
                </c:pt>
                <c:pt idx="282">
                  <c:v>-87.812365436305726</c:v>
                </c:pt>
                <c:pt idx="283">
                  <c:v>-87.84676515946758</c:v>
                </c:pt>
                <c:pt idx="284">
                  <c:v>-87.880249678916428</c:v>
                </c:pt>
                <c:pt idx="285">
                  <c:v>-87.913488297081713</c:v>
                </c:pt>
                <c:pt idx="286">
                  <c:v>-87.945843053447277</c:v>
                </c:pt>
                <c:pt idx="287">
                  <c:v>-87.977345898936804</c:v>
                </c:pt>
                <c:pt idx="288">
                  <c:v>-88.008027331128218</c:v>
                </c:pt>
                <c:pt idx="289">
                  <c:v>-88.038679210919639</c:v>
                </c:pt>
                <c:pt idx="290">
                  <c:v>-88.068527307763986</c:v>
                </c:pt>
                <c:pt idx="291">
                  <c:v>-88.097600284913256</c:v>
                </c:pt>
                <c:pt idx="292">
                  <c:v>-88.125925520227128</c:v>
                </c:pt>
                <c:pt idx="293">
                  <c:v>-88.154158746506042</c:v>
                </c:pt>
                <c:pt idx="294">
                  <c:v>-88.181663424325947</c:v>
                </c:pt>
                <c:pt idx="295">
                  <c:v>-88.208465132765383</c:v>
                </c:pt>
                <c:pt idx="296">
                  <c:v>-88.234588322110383</c:v>
                </c:pt>
                <c:pt idx="297">
                  <c:v>-88.260624237581254</c:v>
                </c:pt>
                <c:pt idx="298">
                  <c:v>-88.285998989155757</c:v>
                </c:pt>
                <c:pt idx="299">
                  <c:v>-88.310735436115166</c:v>
                </c:pt>
                <c:pt idx="300">
                  <c:v>-88.334855444779038</c:v>
                </c:pt>
                <c:pt idx="301">
                  <c:v>-88.358892989576518</c:v>
                </c:pt>
                <c:pt idx="302">
                  <c:v>-88.382329799469318</c:v>
                </c:pt>
                <c:pt idx="303">
                  <c:v>-88.405186331586705</c:v>
                </c:pt>
                <c:pt idx="304">
                  <c:v>-88.427482168130894</c:v>
                </c:pt>
                <c:pt idx="305">
                  <c:v>-88.44978472483875</c:v>
                </c:pt>
                <c:pt idx="306">
                  <c:v>-88.471536664672158</c:v>
                </c:pt>
                <c:pt idx="307">
                  <c:v>-88.492756527729981</c:v>
                </c:pt>
                <c:pt idx="308">
                  <c:v>-88.513462070303376</c:v>
                </c:pt>
                <c:pt idx="309">
                  <c:v>-88.534090917864049</c:v>
                </c:pt>
                <c:pt idx="310">
                  <c:v>-88.554218625424582</c:v>
                </c:pt>
                <c:pt idx="311">
                  <c:v>-88.573861815072235</c:v>
                </c:pt>
                <c:pt idx="312">
                  <c:v>-88.593036416796295</c:v>
                </c:pt>
                <c:pt idx="313">
                  <c:v>-88.612208781499518</c:v>
                </c:pt>
                <c:pt idx="314">
                  <c:v>-88.63092118345628</c:v>
                </c:pt>
                <c:pt idx="315">
                  <c:v>-88.649188707139118</c:v>
                </c:pt>
                <c:pt idx="316">
                  <c:v>-88.667025816100107</c:v>
                </c:pt>
                <c:pt idx="317">
                  <c:v>-88.684856192733946</c:v>
                </c:pt>
                <c:pt idx="318">
                  <c:v>-88.70226423304625</c:v>
                </c:pt>
                <c:pt idx="319">
                  <c:v>-88.719263629847958</c:v>
                </c:pt>
                <c:pt idx="320">
                  <c:v>-88.735867518758241</c:v>
                </c:pt>
                <c:pt idx="321">
                  <c:v>-88.752461279838982</c:v>
                </c:pt>
                <c:pt idx="322">
                  <c:v>-88.768667079532122</c:v>
                </c:pt>
                <c:pt idx="323">
                  <c:v>-88.784497351512073</c:v>
                </c:pt>
                <c:pt idx="324">
                  <c:v>-88.799964029298295</c:v>
                </c:pt>
                <c:pt idx="325">
                  <c:v>-88.815418077268433</c:v>
                </c:pt>
                <c:pt idx="326">
                  <c:v>-88.83051556513891</c:v>
                </c:pt>
                <c:pt idx="327">
                  <c:v>-88.845267787600392</c:v>
                </c:pt>
                <c:pt idx="328">
                  <c:v>-88.85968559022362</c:v>
                </c:pt>
                <c:pt idx="329">
                  <c:v>-88.874112792233774</c:v>
                </c:pt>
                <c:pt idx="330">
                  <c:v>-88.888211038663187</c:v>
                </c:pt>
                <c:pt idx="331">
                  <c:v>-88.901990644568343</c:v>
                </c:pt>
                <c:pt idx="332">
                  <c:v>-88.915461518904493</c:v>
                </c:pt>
                <c:pt idx="333">
                  <c:v>-88.928915797936199</c:v>
                </c:pt>
                <c:pt idx="334">
                  <c:v>-88.942067495827843</c:v>
                </c:pt>
                <c:pt idx="335">
                  <c:v>-88.954925987882518</c:v>
                </c:pt>
                <c:pt idx="336">
                  <c:v>-88.967500284581803</c:v>
                </c:pt>
                <c:pt idx="337">
                  <c:v>-88.980097100767864</c:v>
                </c:pt>
                <c:pt idx="338">
                  <c:v>-88.99241366533623</c:v>
                </c:pt>
                <c:pt idx="339">
                  <c:v>-89.004458584538369</c:v>
                </c:pt>
                <c:pt idx="340">
                  <c:v>-89.016240132594859</c:v>
                </c:pt>
                <c:pt idx="341">
                  <c:v>-89.028038947466285</c:v>
                </c:pt>
                <c:pt idx="342">
                  <c:v>-89.039578194914071</c:v>
                </c:pt>
                <c:pt idx="343">
                  <c:v>-89.050865772669425</c:v>
                </c:pt>
                <c:pt idx="344">
                  <c:v>-89.061909276444325</c:v>
                </c:pt>
                <c:pt idx="345">
                  <c:v>-89.072949090146537</c:v>
                </c:pt>
                <c:pt idx="346">
                  <c:v>-89.083749197083407</c:v>
                </c:pt>
                <c:pt idx="347">
                  <c:v>-89.094316810794169</c:v>
                </c:pt>
                <c:pt idx="348">
                  <c:v>-89.104658871846596</c:v>
                </c:pt>
                <c:pt idx="349">
                  <c:v>-89.115026287681772</c:v>
                </c:pt>
                <c:pt idx="350">
                  <c:v>-89.125170932981405</c:v>
                </c:pt>
                <c:pt idx="351">
                  <c:v>-89.135099456363179</c:v>
                </c:pt>
                <c:pt idx="352">
                  <c:v>-89.144818256784532</c:v>
                </c:pt>
                <c:pt idx="353">
                  <c:v>-89.154557616228203</c:v>
                </c:pt>
                <c:pt idx="354">
                  <c:v>-89.164089967356659</c:v>
                </c:pt>
                <c:pt idx="355">
                  <c:v>-89.173421435174291</c:v>
                </c:pt>
                <c:pt idx="356">
                  <c:v>-89.182557916522228</c:v>
                </c:pt>
                <c:pt idx="357">
                  <c:v>-89.191698092233125</c:v>
                </c:pt>
                <c:pt idx="358">
                  <c:v>-89.200646448765013</c:v>
                </c:pt>
                <c:pt idx="359">
                  <c:v>-89.209408603125624</c:v>
                </c:pt>
                <c:pt idx="360">
                  <c:v>-89.217989965093253</c:v>
                </c:pt>
                <c:pt idx="361">
                  <c:v>-89.22659688367915</c:v>
                </c:pt>
                <c:pt idx="362">
                  <c:v>-89.235025019513358</c:v>
                </c:pt>
                <c:pt idx="363">
                  <c:v>-89.243279566741307</c:v>
                </c:pt>
                <c:pt idx="364">
                  <c:v>-89.251365529238541</c:v>
                </c:pt>
                <c:pt idx="365">
                  <c:v>-89.259461953730209</c:v>
                </c:pt>
                <c:pt idx="366">
                  <c:v>-89.267392218359959</c:v>
                </c:pt>
                <c:pt idx="367">
                  <c:v>-89.275161104351298</c:v>
                </c:pt>
                <c:pt idx="368">
                  <c:v>-89.282773219312418</c:v>
                </c:pt>
                <c:pt idx="369">
                  <c:v>-89.290413573443942</c:v>
                </c:pt>
                <c:pt idx="370">
                  <c:v>-89.297898658039045</c:v>
                </c:pt>
                <c:pt idx="371">
                  <c:v>-89.305232908418262</c:v>
                </c:pt>
                <c:pt idx="372">
                  <c:v>-89.312420599876987</c:v>
                </c:pt>
                <c:pt idx="373">
                  <c:v>-89.319623089121166</c:v>
                </c:pt>
                <c:pt idx="374">
                  <c:v>-89.326680894774114</c:v>
                </c:pt>
                <c:pt idx="375">
                  <c:v>-89.333598112619867</c:v>
                </c:pt>
                <c:pt idx="376">
                  <c:v>-89.340378691853701</c:v>
                </c:pt>
                <c:pt idx="377">
                  <c:v>-89.347188618562285</c:v>
                </c:pt>
                <c:pt idx="378">
                  <c:v>-89.353863038868013</c:v>
                </c:pt>
                <c:pt idx="379">
                  <c:v>-89.360405762422062</c:v>
                </c:pt>
                <c:pt idx="380">
                  <c:v>-89.366820463326363</c:v>
                </c:pt>
                <c:pt idx="381">
                  <c:v>-89.373244702545961</c:v>
                </c:pt>
                <c:pt idx="382">
                  <c:v>-89.379542692338916</c:v>
                </c:pt>
                <c:pt idx="383">
                  <c:v>-89.385717947497312</c:v>
                </c:pt>
                <c:pt idx="384">
                  <c:v>-89.391773858839258</c:v>
                </c:pt>
                <c:pt idx="385">
                  <c:v>-89.397859459722696</c:v>
                </c:pt>
                <c:pt idx="386">
                  <c:v>-89.40382656144304</c:v>
                </c:pt>
                <c:pt idx="387">
                  <c:v>-89.409678441521208</c:v>
                </c:pt>
                <c:pt idx="388">
                  <c:v>-89.415418262497795</c:v>
                </c:pt>
                <c:pt idx="389">
                  <c:v>-89.421177185110764</c:v>
                </c:pt>
                <c:pt idx="390">
                  <c:v>-89.426825187732291</c:v>
                </c:pt>
                <c:pt idx="391">
                  <c:v>-89.432365313143279</c:v>
                </c:pt>
                <c:pt idx="392">
                  <c:v>-89.437800498127231</c:v>
                </c:pt>
                <c:pt idx="393">
                  <c:v>-89.443252200615234</c:v>
                </c:pt>
                <c:pt idx="394">
                  <c:v>-89.448600085129485</c:v>
                </c:pt>
                <c:pt idx="395">
                  <c:v>-89.453846975172112</c:v>
                </c:pt>
                <c:pt idx="396">
                  <c:v>-89.458995596610251</c:v>
                </c:pt>
                <c:pt idx="397">
                  <c:v>-89.464170087784439</c:v>
                </c:pt>
                <c:pt idx="398">
                  <c:v>-89.469246973446118</c:v>
                </c:pt>
                <c:pt idx="399">
                  <c:v>-89.474228890154379</c:v>
                </c:pt>
                <c:pt idx="400">
                  <c:v>-89.479118383800127</c:v>
                </c:pt>
                <c:pt idx="401">
                  <c:v>-89.484025235203532</c:v>
                </c:pt>
                <c:pt idx="402">
                  <c:v>-89.4888405539551</c:v>
                </c:pt>
                <c:pt idx="403">
                  <c:v>-89.493566791913452</c:v>
                </c:pt>
                <c:pt idx="404">
                  <c:v>-89.498206317214283</c:v>
                </c:pt>
                <c:pt idx="405">
                  <c:v>-89.502866016224615</c:v>
                </c:pt>
                <c:pt idx="406">
                  <c:v>-89.507439698278844</c:v>
                </c:pt>
                <c:pt idx="407">
                  <c:v>-89.51192964972762</c:v>
                </c:pt>
                <c:pt idx="408">
                  <c:v>-89.516338079346468</c:v>
                </c:pt>
                <c:pt idx="409">
                  <c:v>-89.520768913027268</c:v>
                </c:pt>
                <c:pt idx="410">
                  <c:v>-89.525118758616571</c:v>
                </c:pt>
                <c:pt idx="411">
                  <c:v>-89.529389753438494</c:v>
                </c:pt>
                <c:pt idx="412">
                  <c:v>-89.533583962715468</c:v>
                </c:pt>
                <c:pt idx="413">
                  <c:v>-89.537798008679772</c:v>
                </c:pt>
                <c:pt idx="414">
                  <c:v>-89.541935823319932</c:v>
                </c:pt>
                <c:pt idx="415">
                  <c:v>-89.545999403083812</c:v>
                </c:pt>
                <c:pt idx="416">
                  <c:v>-89.549990677487912</c:v>
                </c:pt>
                <c:pt idx="417">
                  <c:v>-89.554003545170417</c:v>
                </c:pt>
                <c:pt idx="418">
                  <c:v>-89.557944530105914</c:v>
                </c:pt>
                <c:pt idx="419">
                  <c:v>-89.561815501473291</c:v>
                </c:pt>
                <c:pt idx="420">
                  <c:v>-89.565618266141612</c:v>
                </c:pt>
                <c:pt idx="421">
                  <c:v>-89.569436527296091</c:v>
                </c:pt>
                <c:pt idx="422">
                  <c:v>-89.573187157851947</c:v>
                </c:pt>
                <c:pt idx="423">
                  <c:v>-89.57687190136842</c:v>
                </c:pt>
                <c:pt idx="424">
                  <c:v>-89.580492443693657</c:v>
                </c:pt>
                <c:pt idx="425">
                  <c:v>-89.584137188550486</c:v>
                </c:pt>
                <c:pt idx="426">
                  <c:v>-89.587717941154096</c:v>
                </c:pt>
                <c:pt idx="427">
                  <c:v>-89.591236341111767</c:v>
                </c:pt>
                <c:pt idx="428">
                  <c:v>-89.594693974013509</c:v>
                </c:pt>
                <c:pt idx="429">
                  <c:v>-89.598170036200585</c:v>
                </c:pt>
                <c:pt idx="430">
                  <c:v>-89.601585690482537</c:v>
                </c:pt>
                <c:pt idx="431">
                  <c:v>-89.604942472811956</c:v>
                </c:pt>
                <c:pt idx="432">
                  <c:v>-89.608241868848523</c:v>
                </c:pt>
                <c:pt idx="433">
                  <c:v>-89.611557773989418</c:v>
                </c:pt>
                <c:pt idx="434">
                  <c:v>-89.614816666547355</c:v>
                </c:pt>
                <c:pt idx="435">
                  <c:v>-89.618019984409287</c:v>
                </c:pt>
                <c:pt idx="436">
                  <c:v>-89.621169118688996</c:v>
                </c:pt>
                <c:pt idx="437">
                  <c:v>-89.624338705032187</c:v>
                </c:pt>
                <c:pt idx="438">
                  <c:v>-89.627454298726789</c:v>
                </c:pt>
                <c:pt idx="439">
                  <c:v>-89.630517252259978</c:v>
                </c:pt>
                <c:pt idx="440">
                  <c:v>-89.633528874354241</c:v>
                </c:pt>
                <c:pt idx="441">
                  <c:v>-89.63655890303761</c:v>
                </c:pt>
                <c:pt idx="442">
                  <c:v>-89.639537818282449</c:v>
                </c:pt>
                <c:pt idx="443">
                  <c:v>-89.642466891100312</c:v>
                </c:pt>
                <c:pt idx="444">
                  <c:v>-89.645347351610965</c:v>
                </c:pt>
                <c:pt idx="445">
                  <c:v>-89.648244403701156</c:v>
                </c:pt>
                <c:pt idx="446">
                  <c:v>-89.651093081582175</c:v>
                </c:pt>
                <c:pt idx="447">
                  <c:v>-89.653894578782442</c:v>
                </c:pt>
                <c:pt idx="448">
                  <c:v>-89.65665005067045</c:v>
                </c:pt>
                <c:pt idx="449">
                  <c:v>-89.659425108317905</c:v>
                </c:pt>
                <c:pt idx="450">
                  <c:v>-89.662154241295994</c:v>
                </c:pt>
                <c:pt idx="451">
                  <c:v>-89.664838575205991</c:v>
                </c:pt>
                <c:pt idx="452">
                  <c:v>-89.667479199842845</c:v>
                </c:pt>
                <c:pt idx="453">
                  <c:v>-89.670135384771285</c:v>
                </c:pt>
                <c:pt idx="454">
                  <c:v>-89.672748059191321</c:v>
                </c:pt>
                <c:pt idx="455">
                  <c:v>-89.675318281072052</c:v>
                </c:pt>
                <c:pt idx="456">
                  <c:v>-89.677847074942079</c:v>
                </c:pt>
                <c:pt idx="457">
                  <c:v>-89.680394002617518</c:v>
                </c:pt>
                <c:pt idx="458">
                  <c:v>-89.682899583703318</c:v>
                </c:pt>
                <c:pt idx="459">
                  <c:v>-89.685364816700869</c:v>
                </c:pt>
                <c:pt idx="460">
                  <c:v>-89.687790668716943</c:v>
                </c:pt>
                <c:pt idx="461">
                  <c:v>-89.690232971646765</c:v>
                </c:pt>
                <c:pt idx="462">
                  <c:v>-89.692635999484779</c:v>
                </c:pt>
                <c:pt idx="463">
                  <c:v>-89.695000693758331</c:v>
                </c:pt>
                <c:pt idx="464">
                  <c:v>-89.697327966562668</c:v>
                </c:pt>
                <c:pt idx="465">
                  <c:v>-89.699671959556113</c:v>
                </c:pt>
                <c:pt idx="466">
                  <c:v>-89.701978599839492</c:v>
                </c:pt>
                <c:pt idx="467">
                  <c:v>-89.704248776538165</c:v>
                </c:pt>
                <c:pt idx="468">
                  <c:v>-89.706483351137038</c:v>
                </c:pt>
                <c:pt idx="469">
                  <c:v>-89.708733135022314</c:v>
                </c:pt>
                <c:pt idx="470">
                  <c:v>-89.710947406855112</c:v>
                </c:pt>
                <c:pt idx="471">
                  <c:v>-89.713127005572076</c:v>
                </c:pt>
                <c:pt idx="472">
                  <c:v>-89.715272744186763</c:v>
                </c:pt>
                <c:pt idx="473">
                  <c:v>-89.717435464535328</c:v>
                </c:pt>
                <c:pt idx="474">
                  <c:v>-89.719564334145645</c:v>
                </c:pt>
                <c:pt idx="475">
                  <c:v>-89.7216601474518</c:v>
                </c:pt>
                <c:pt idx="476">
                  <c:v>-89.723723674464722</c:v>
                </c:pt>
                <c:pt idx="477">
                  <c:v>-89.725802684457562</c:v>
                </c:pt>
                <c:pt idx="478">
                  <c:v>-89.727849441612904</c:v>
                </c:pt>
                <c:pt idx="479">
                  <c:v>-89.729864697501085</c:v>
                </c:pt>
                <c:pt idx="480">
                  <c:v>-89.731849180716665</c:v>
                </c:pt>
                <c:pt idx="481">
                  <c:v>-89.733847797835608</c:v>
                </c:pt>
                <c:pt idx="482">
                  <c:v>-89.735815695375479</c:v>
                </c:pt>
                <c:pt idx="483">
                  <c:v>-89.737753583769418</c:v>
                </c:pt>
                <c:pt idx="484">
                  <c:v>-89.739662151865019</c:v>
                </c:pt>
                <c:pt idx="485">
                  <c:v>-89.741584937523811</c:v>
                </c:pt>
                <c:pt idx="486">
                  <c:v>-89.743478432376946</c:v>
                </c:pt>
                <c:pt idx="487">
                  <c:v>-89.745343308853393</c:v>
                </c:pt>
                <c:pt idx="488">
                  <c:v>-89.747180219071979</c:v>
                </c:pt>
                <c:pt idx="489">
                  <c:v>-89.749032581783837</c:v>
                </c:pt>
                <c:pt idx="490">
                  <c:v>-89.750856951121875</c:v>
                </c:pt>
                <c:pt idx="491">
                  <c:v>-89.752653965569721</c:v>
                </c:pt>
                <c:pt idx="492">
                  <c:v>-89.754424244424257</c:v>
                </c:pt>
                <c:pt idx="493">
                  <c:v>-89.756208670506567</c:v>
                </c:pt>
                <c:pt idx="494">
                  <c:v>-89.757966355665801</c:v>
                </c:pt>
                <c:pt idx="495">
                  <c:v>-89.759697905567663</c:v>
                </c:pt>
                <c:pt idx="496">
                  <c:v>-89.761403907779567</c:v>
                </c:pt>
                <c:pt idx="497">
                  <c:v>-89.763123960179826</c:v>
                </c:pt>
                <c:pt idx="498">
                  <c:v>-89.764818445624329</c:v>
                </c:pt>
                <c:pt idx="499">
                  <c:v>-89.766487939246844</c:v>
                </c:pt>
                <c:pt idx="500">
                  <c:v>-89.768132999089673</c:v>
                </c:pt>
                <c:pt idx="501">
                  <c:v>-89.769791968363322</c:v>
                </c:pt>
                <c:pt idx="502">
                  <c:v>-89.771426473066896</c:v>
                </c:pt>
                <c:pt idx="503">
                  <c:v>-89.773037059868287</c:v>
                </c:pt>
                <c:pt idx="504">
                  <c:v>-89.774624259277431</c:v>
                </c:pt>
                <c:pt idx="505">
                  <c:v>-89.776224227468603</c:v>
                </c:pt>
                <c:pt idx="506">
                  <c:v>-89.777800796095363</c:v>
                </c:pt>
                <c:pt idx="507">
                  <c:v>-89.77935448430172</c:v>
                </c:pt>
                <c:pt idx="508">
                  <c:v>-89.780885795977568</c:v>
                </c:pt>
                <c:pt idx="509">
                  <c:v>-89.782429749694003</c:v>
                </c:pt>
                <c:pt idx="510">
                  <c:v>-89.783951304079238</c:v>
                </c:pt>
                <c:pt idx="511">
                  <c:v>-89.785450952621872</c:v>
                </c:pt>
                <c:pt idx="512">
                  <c:v>-89.786929174394061</c:v>
                </c:pt>
                <c:pt idx="513">
                  <c:v>-89.788420736597132</c:v>
                </c:pt>
                <c:pt idx="514">
                  <c:v>-89.789890815848878</c:v>
                </c:pt>
                <c:pt idx="515">
                  <c:v>-89.791339882481807</c:v>
                </c:pt>
                <c:pt idx="516">
                  <c:v>-89.792768393158795</c:v>
                </c:pt>
                <c:pt idx="517">
                  <c:v>-89.794209177205147</c:v>
                </c:pt>
                <c:pt idx="518">
                  <c:v>-89.795629367518202</c:v>
                </c:pt>
                <c:pt idx="519">
                  <c:v>-89.797029411925706</c:v>
                </c:pt>
                <c:pt idx="520">
                  <c:v>-89.798409745313151</c:v>
                </c:pt>
                <c:pt idx="521">
                  <c:v>-89.799802144975388</c:v>
                </c:pt>
                <c:pt idx="522">
                  <c:v>-89.801174789931565</c:v>
                </c:pt>
                <c:pt idx="523">
                  <c:v>-89.802528106919269</c:v>
                </c:pt>
                <c:pt idx="524">
                  <c:v>-89.803862510411847</c:v>
                </c:pt>
                <c:pt idx="525">
                  <c:v>-89.805208754515675</c:v>
                </c:pt>
                <c:pt idx="526">
                  <c:v>-89.806536036716906</c:v>
                </c:pt>
                <c:pt idx="527">
                  <c:v>-89.807844763956084</c:v>
                </c:pt>
                <c:pt idx="528">
                  <c:v>-89.809135331542876</c:v>
                </c:pt>
                <c:pt idx="529">
                  <c:v>-89.810437499014185</c:v>
                </c:pt>
                <c:pt idx="530">
                  <c:v>-89.81172145472496</c:v>
                </c:pt>
                <c:pt idx="531">
                  <c:v>-89.812987587003903</c:v>
                </c:pt>
                <c:pt idx="532">
                  <c:v>-89.814236273141532</c:v>
                </c:pt>
                <c:pt idx="533">
                  <c:v>-89.815496952388699</c:v>
                </c:pt>
                <c:pt idx="534">
                  <c:v>-89.816740112680847</c:v>
                </c:pt>
                <c:pt idx="535">
                  <c:v>-89.817966125390143</c:v>
                </c:pt>
                <c:pt idx="536">
                  <c:v>-89.819175351384615</c:v>
                </c:pt>
                <c:pt idx="537">
                  <c:v>-89.820395034155624</c:v>
                </c:pt>
                <c:pt idx="538">
                  <c:v>-89.821597890702435</c:v>
                </c:pt>
                <c:pt idx="539">
                  <c:v>-89.822784275290218</c:v>
                </c:pt>
                <c:pt idx="540">
                  <c:v>-89.823954532223269</c:v>
                </c:pt>
                <c:pt idx="541">
                  <c:v>-89.825136183471884</c:v>
                </c:pt>
                <c:pt idx="542">
                  <c:v>-89.826301632826272</c:v>
                </c:pt>
                <c:pt idx="543">
                  <c:v>-89.827451219452627</c:v>
                </c:pt>
                <c:pt idx="544">
                  <c:v>-89.828585273027613</c:v>
                </c:pt>
                <c:pt idx="545">
                  <c:v>-89.829729853270294</c:v>
                </c:pt>
                <c:pt idx="546">
                  <c:v>-89.830858841741232</c:v>
                </c:pt>
                <c:pt idx="547">
                  <c:v>-89.831972562819573</c:v>
                </c:pt>
                <c:pt idx="548">
                  <c:v>-89.833071331857653</c:v>
                </c:pt>
                <c:pt idx="549">
                  <c:v>-89.834180351104706</c:v>
                </c:pt>
                <c:pt idx="550">
                  <c:v>-89.835274359131077</c:v>
                </c:pt>
                <c:pt idx="551">
                  <c:v>-89.836353666327071</c:v>
                </c:pt>
                <c:pt idx="552">
                  <c:v>-89.83741857449202</c:v>
                </c:pt>
                <c:pt idx="553">
                  <c:v>-89.838493945940243</c:v>
                </c:pt>
                <c:pt idx="554">
                  <c:v>-89.839554845944477</c:v>
                </c:pt>
                <c:pt idx="555">
                  <c:v>-89.840601572052023</c:v>
                </c:pt>
                <c:pt idx="556">
                  <c:v>-89.841634413615324</c:v>
                </c:pt>
                <c:pt idx="557">
                  <c:v>-89.843706433717173</c:v>
                </c:pt>
                <c:pt idx="558">
                  <c:v>-89.845723765592084</c:v>
                </c:pt>
                <c:pt idx="559">
                  <c:v>-89.847733037427275</c:v>
                </c:pt>
                <c:pt idx="560">
                  <c:v>-89.849689594829115</c:v>
                </c:pt>
                <c:pt idx="561">
                  <c:v>-89.851640158477608</c:v>
                </c:pt>
                <c:pt idx="562">
                  <c:v>-89.853539806757922</c:v>
                </c:pt>
                <c:pt idx="563">
                  <c:v>-89.855429750623969</c:v>
                </c:pt>
                <c:pt idx="564">
                  <c:v>-89.857270709389482</c:v>
                </c:pt>
                <c:pt idx="565">
                  <c:v>-89.859109242135261</c:v>
                </c:pt>
                <c:pt idx="566">
                  <c:v>-89.860900279337812</c:v>
                </c:pt>
                <c:pt idx="567">
                  <c:v>-89.862688042755011</c:v>
                </c:pt>
                <c:pt idx="568">
                  <c:v>-89.864429796479868</c:v>
                </c:pt>
                <c:pt idx="569">
                  <c:v>-89.866160848470642</c:v>
                </c:pt>
                <c:pt idx="570">
                  <c:v>-89.867847706449353</c:v>
                </c:pt>
                <c:pt idx="571">
                  <c:v>-89.869536637969944</c:v>
                </c:pt>
                <c:pt idx="572">
                  <c:v>-89.871182480816515</c:v>
                </c:pt>
                <c:pt idx="573">
                  <c:v>-89.87281712815107</c:v>
                </c:pt>
                <c:pt idx="574">
                  <c:v>-89.874410429238253</c:v>
                </c:pt>
                <c:pt idx="575">
                  <c:v>-89.87600417775198</c:v>
                </c:pt>
                <c:pt idx="576">
                  <c:v>-89.87755767697206</c:v>
                </c:pt>
                <c:pt idx="577">
                  <c:v>-89.883722665206633</c:v>
                </c:pt>
                <c:pt idx="578">
                  <c:v>-89.889294588253591</c:v>
                </c:pt>
                <c:pt idx="579">
                  <c:v>-89.899815653205877</c:v>
                </c:pt>
                <c:pt idx="580">
                  <c:v>-89.909288121939156</c:v>
                </c:pt>
                <c:pt idx="581">
                  <c:v>-89.917823128606088</c:v>
                </c:pt>
                <c:pt idx="582">
                  <c:v>-89.925532240588623</c:v>
                </c:pt>
                <c:pt idx="583">
                  <c:v>-89.932499761201811</c:v>
                </c:pt>
                <c:pt idx="584">
                  <c:v>-89.938807903785275</c:v>
                </c:pt>
                <c:pt idx="585">
                  <c:v>-89.944519250215961</c:v>
                </c:pt>
                <c:pt idx="586">
                  <c:v>-89.949692669963653</c:v>
                </c:pt>
                <c:pt idx="587">
                  <c:v>-89.954381493137461</c:v>
                </c:pt>
                <c:pt idx="588">
                  <c:v>-89.958626490699459</c:v>
                </c:pt>
                <c:pt idx="589">
                  <c:v>-89.962471840028371</c:v>
                </c:pt>
                <c:pt idx="590">
                  <c:v>-89.965952777658444</c:v>
                </c:pt>
                <c:pt idx="591">
                  <c:v>-89.969103257898837</c:v>
                </c:pt>
                <c:pt idx="592">
                  <c:v>-89.971953718576771</c:v>
                </c:pt>
                <c:pt idx="593">
                  <c:v>-89.974533281743248</c:v>
                </c:pt>
                <c:pt idx="594">
                  <c:v>-89.976867201418571</c:v>
                </c:pt>
                <c:pt idx="595">
                  <c:v>-89.978979716583098</c:v>
                </c:pt>
                <c:pt idx="596">
                  <c:v>-89.980892069836912</c:v>
                </c:pt>
                <c:pt idx="597">
                  <c:v>-89.982624348128937</c:v>
                </c:pt>
                <c:pt idx="598">
                  <c:v>-89.984193923504449</c:v>
                </c:pt>
                <c:pt idx="599">
                  <c:v>-89.985617236131787</c:v>
                </c:pt>
                <c:pt idx="600">
                  <c:v>-89.986908457791259</c:v>
                </c:pt>
              </c:numCache>
            </c:numRef>
          </c:yVal>
          <c:smooth val="0"/>
          <c:extLst>
            <c:ext xmlns:c16="http://schemas.microsoft.com/office/drawing/2014/chart" uri="{C3380CC4-5D6E-409C-BE32-E72D297353CC}">
              <c16:uniqueId val="{00000001-6E29-403F-BEE6-F2A617B26EB7}"/>
            </c:ext>
          </c:extLst>
        </c:ser>
        <c:dLbls>
          <c:showLegendKey val="0"/>
          <c:showVal val="0"/>
          <c:showCatName val="0"/>
          <c:showSerName val="0"/>
          <c:showPercent val="0"/>
          <c:showBubbleSize val="0"/>
        </c:dLbls>
        <c:axId val="196945024"/>
        <c:axId val="196946560"/>
      </c:scatterChart>
      <c:valAx>
        <c:axId val="196940928"/>
        <c:scaling>
          <c:logBase val="10"/>
          <c:orientation val="minMax"/>
          <c:max val="1000000"/>
          <c:min val="1"/>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6942848"/>
        <c:crossesAt val="-40"/>
        <c:crossBetween val="midCat"/>
        <c:majorUnit val="10"/>
        <c:minorUnit val="10"/>
      </c:valAx>
      <c:valAx>
        <c:axId val="196942848"/>
        <c:scaling>
          <c:orientation val="minMax"/>
          <c:max val="8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96940928"/>
        <c:crossesAt val="0.1"/>
        <c:crossBetween val="midCat"/>
        <c:majorUnit val="20"/>
        <c:minorUnit val="4"/>
      </c:valAx>
      <c:valAx>
        <c:axId val="196945024"/>
        <c:scaling>
          <c:logBase val="10"/>
          <c:orientation val="minMax"/>
        </c:scaling>
        <c:delete val="1"/>
        <c:axPos val="t"/>
        <c:numFmt formatCode="General" sourceLinked="1"/>
        <c:majorTickMark val="out"/>
        <c:minorTickMark val="none"/>
        <c:tickLblPos val="none"/>
        <c:crossAx val="196946560"/>
        <c:crossesAt val="0"/>
        <c:crossBetween val="midCat"/>
      </c:valAx>
      <c:valAx>
        <c:axId val="196946560"/>
        <c:scaling>
          <c:orientation val="minMax"/>
          <c:max val="180"/>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9694502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orientation="portrait"/>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V</a:t>
            </a:r>
            <a:r>
              <a:rPr lang="en-US" sz="1800" b="1" i="0" u="none" strike="noStrike" baseline="-25000"/>
              <a:t>IN</a:t>
            </a:r>
            <a:r>
              <a:rPr lang="en-US" sz="1800" b="1" i="0" u="none" strike="noStrike" baseline="0"/>
              <a:t> = V</a:t>
            </a:r>
            <a:r>
              <a:rPr lang="en-US" sz="1800" b="1" i="0" u="none" strike="noStrike" baseline="-25000"/>
              <a:t>IN(nom)</a:t>
            </a:r>
            <a:endParaRPr lang="en-US" sz="1800">
              <a:latin typeface="Arial" pitchFamily="34" charset="0"/>
              <a:cs typeface="Arial" pitchFamily="34" charset="0"/>
            </a:endParaRPr>
          </a:p>
        </c:rich>
      </c:tx>
      <c:layout>
        <c:manualLayout>
          <c:xMode val="edge"/>
          <c:yMode val="edge"/>
          <c:x val="8.1772222786336932E-2"/>
          <c:y val="4.614939768388470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Calculations'!$BO$9:$BO$109</c:f>
              <c:numCache>
                <c:formatCode>0.00</c:formatCode>
                <c:ptCount val="101"/>
                <c:pt idx="0">
                  <c:v>0</c:v>
                </c:pt>
                <c:pt idx="1">
                  <c:v>42.981308682967686</c:v>
                </c:pt>
                <c:pt idx="2">
                  <c:v>59.81594128981358</c:v>
                </c:pt>
                <c:pt idx="3">
                  <c:v>68.791394396117369</c:v>
                </c:pt>
                <c:pt idx="4">
                  <c:v>74.365269277402803</c:v>
                </c:pt>
                <c:pt idx="5">
                  <c:v>78.160112828883172</c:v>
                </c:pt>
                <c:pt idx="6">
                  <c:v>80.908095170861685</c:v>
                </c:pt>
                <c:pt idx="7">
                  <c:v>82.988075774419855</c:v>
                </c:pt>
                <c:pt idx="8">
                  <c:v>84.615774919496573</c:v>
                </c:pt>
                <c:pt idx="9">
                  <c:v>85.92305009224556</c:v>
                </c:pt>
                <c:pt idx="10">
                  <c:v>86.995038695697374</c:v>
                </c:pt>
                <c:pt idx="11">
                  <c:v>87.874772487805274</c:v>
                </c:pt>
                <c:pt idx="12">
                  <c:v>88.610541703267756</c:v>
                </c:pt>
                <c:pt idx="13">
                  <c:v>89.240105768403183</c:v>
                </c:pt>
                <c:pt idx="14">
                  <c:v>89.784343428524792</c:v>
                </c:pt>
                <c:pt idx="15">
                  <c:v>90.258994183940843</c:v>
                </c:pt>
                <c:pt idx="16">
                  <c:v>90.676147789014124</c:v>
                </c:pt>
                <c:pt idx="17">
                  <c:v>91.045244094338329</c:v>
                </c:pt>
                <c:pt idx="18">
                  <c:v>91.373761274747977</c:v>
                </c:pt>
                <c:pt idx="19">
                  <c:v>91.667700153396595</c:v>
                </c:pt>
                <c:pt idx="20">
                  <c:v>91.931931785357861</c:v>
                </c:pt>
                <c:pt idx="21">
                  <c:v>92.170451317228625</c:v>
                </c:pt>
                <c:pt idx="22">
                  <c:v>92.386566338829155</c:v>
                </c:pt>
                <c:pt idx="23">
                  <c:v>92.583038635288304</c:v>
                </c:pt>
                <c:pt idx="24">
                  <c:v>92.762192257423948</c:v>
                </c:pt>
                <c:pt idx="25">
                  <c:v>92.9259968916746</c:v>
                </c:pt>
                <c:pt idx="26">
                  <c:v>93.076132874288632</c:v>
                </c:pt>
                <c:pt idx="27">
                  <c:v>93.214042397845049</c:v>
                </c:pt>
                <c:pt idx="28">
                  <c:v>93.340970214328181</c:v>
                </c:pt>
                <c:pt idx="29">
                  <c:v>93.457996265178849</c:v>
                </c:pt>
                <c:pt idx="30">
                  <c:v>93.566062046587788</c:v>
                </c:pt>
                <c:pt idx="31">
                  <c:v>93.665992069755774</c:v>
                </c:pt>
                <c:pt idx="32">
                  <c:v>93.758511448709172</c:v>
                </c:pt>
                <c:pt idx="33">
                  <c:v>93.84426040708108</c:v>
                </c:pt>
                <c:pt idx="34">
                  <c:v>93.923806315665644</c:v>
                </c:pt>
                <c:pt idx="35">
                  <c:v>93.997653737539082</c:v>
                </c:pt>
                <c:pt idx="36">
                  <c:v>94.066252855146629</c:v>
                </c:pt>
                <c:pt idx="37">
                  <c:v>94.130006575451631</c:v>
                </c:pt>
                <c:pt idx="38">
                  <c:v>94.189276548895137</c:v>
                </c:pt>
                <c:pt idx="39">
                  <c:v>94.244388291058428</c:v>
                </c:pt>
                <c:pt idx="40">
                  <c:v>94.295635559289138</c:v>
                </c:pt>
                <c:pt idx="41">
                  <c:v>94.343284107722113</c:v>
                </c:pt>
                <c:pt idx="42">
                  <c:v>94.387574921295098</c:v>
                </c:pt>
                <c:pt idx="43">
                  <c:v>94.428727011173194</c:v>
                </c:pt>
                <c:pt idx="44">
                  <c:v>94.466939839425308</c:v>
                </c:pt>
                <c:pt idx="45">
                  <c:v>94.502395429061337</c:v>
                </c:pt>
                <c:pt idx="46">
                  <c:v>94.535260206039169</c:v>
                </c:pt>
                <c:pt idx="47">
                  <c:v>94.565686612122789</c:v>
                </c:pt>
                <c:pt idx="48">
                  <c:v>94.593814521156929</c:v>
                </c:pt>
                <c:pt idx="49">
                  <c:v>94.619772486139624</c:v>
                </c:pt>
                <c:pt idx="50">
                  <c:v>94.643678840199541</c:v>
                </c:pt>
                <c:pt idx="51">
                  <c:v>94.665642671047067</c:v>
                </c:pt>
                <c:pt idx="52">
                  <c:v>94.685764685528412</c:v>
                </c:pt>
                <c:pt idx="53">
                  <c:v>94.704137978459585</c:v>
                </c:pt>
                <c:pt idx="54">
                  <c:v>94.720848717864087</c:v>
                </c:pt>
                <c:pt idx="55">
                  <c:v>94.735976757014257</c:v>
                </c:pt>
                <c:pt idx="56">
                  <c:v>94.749596182222319</c:v>
                </c:pt>
                <c:pt idx="57">
                  <c:v>94.761775804098889</c:v>
                </c:pt>
                <c:pt idx="58">
                  <c:v>94.77257959895438</c:v>
                </c:pt>
                <c:pt idx="59">
                  <c:v>94.782067106132274</c:v>
                </c:pt>
                <c:pt idx="60">
                  <c:v>94.790293786306862</c:v>
                </c:pt>
                <c:pt idx="61">
                  <c:v>94.797311345131547</c:v>
                </c:pt>
                <c:pt idx="62">
                  <c:v>94.803168026068519</c:v>
                </c:pt>
                <c:pt idx="63">
                  <c:v>94.807908875753654</c:v>
                </c:pt>
                <c:pt idx="64">
                  <c:v>94.811575984839408</c:v>
                </c:pt>
                <c:pt idx="65">
                  <c:v>94.814208706902278</c:v>
                </c:pt>
                <c:pt idx="66">
                  <c:v>94.815843857694645</c:v>
                </c:pt>
                <c:pt idx="67">
                  <c:v>94.81651589675208</c:v>
                </c:pt>
                <c:pt idx="68">
                  <c:v>94.816257093136088</c:v>
                </c:pt>
                <c:pt idx="69">
                  <c:v>94.815097676888286</c:v>
                </c:pt>
                <c:pt idx="70">
                  <c:v>94.813065977595656</c:v>
                </c:pt>
                <c:pt idx="71">
                  <c:v>94.810188551310787</c:v>
                </c:pt>
                <c:pt idx="72">
                  <c:v>94.806490296935507</c:v>
                </c:pt>
                <c:pt idx="73">
                  <c:v>94.801994563056269</c:v>
                </c:pt>
                <c:pt idx="74">
                  <c:v>94.796723246114539</c:v>
                </c:pt>
                <c:pt idx="75">
                  <c:v>94.790696880702811</c:v>
                </c:pt>
                <c:pt idx="76">
                  <c:v>94.783934722694312</c:v>
                </c:pt>
                <c:pt idx="77">
                  <c:v>94.776454825842222</c:v>
                </c:pt>
                <c:pt idx="78">
                  <c:v>94.768274112419675</c:v>
                </c:pt>
                <c:pt idx="79">
                  <c:v>94.759408438414908</c:v>
                </c:pt>
                <c:pt idx="80">
                  <c:v>94.749872653744319</c:v>
                </c:pt>
                <c:pt idx="81">
                  <c:v>94.739680657901957</c:v>
                </c:pt>
                <c:pt idx="82">
                  <c:v>94.728845451422643</c:v>
                </c:pt>
                <c:pt idx="83">
                  <c:v>94.717379183500299</c:v>
                </c:pt>
                <c:pt idx="84">
                  <c:v>94.705293196070457</c:v>
                </c:pt>
                <c:pt idx="85">
                  <c:v>94.692598064637536</c:v>
                </c:pt>
                <c:pt idx="86">
                  <c:v>94.679303636100386</c:v>
                </c:pt>
                <c:pt idx="87">
                  <c:v>94.665419063807619</c:v>
                </c:pt>
                <c:pt idx="88">
                  <c:v>94.650952840052184</c:v>
                </c:pt>
                <c:pt idx="89">
                  <c:v>94.635912826196204</c:v>
                </c:pt>
                <c:pt idx="90">
                  <c:v>94.620306280599806</c:v>
                </c:pt>
                <c:pt idx="91">
                  <c:v>94.604139884512634</c:v>
                </c:pt>
                <c:pt idx="92">
                  <c:v>94.587419766072045</c:v>
                </c:pt>
                <c:pt idx="93">
                  <c:v>94.570151522540385</c:v>
                </c:pt>
                <c:pt idx="94">
                  <c:v>94.552340240901003</c:v>
                </c:pt>
                <c:pt idx="95">
                  <c:v>94.53399051692351</c:v>
                </c:pt>
                <c:pt idx="96">
                  <c:v>94.515106472798479</c:v>
                </c:pt>
                <c:pt idx="97">
                  <c:v>94.495691773433379</c:v>
                </c:pt>
                <c:pt idx="98">
                  <c:v>94.475749641493834</c:v>
                </c:pt>
                <c:pt idx="99">
                  <c:v>94.455282871266917</c:v>
                </c:pt>
                <c:pt idx="100">
                  <c:v>94.434293841416704</c:v>
                </c:pt>
              </c:numCache>
            </c:numRef>
          </c:val>
          <c:smooth val="0"/>
          <c:extLst>
            <c:ext xmlns:c16="http://schemas.microsoft.com/office/drawing/2014/chart" uri="{C3380CC4-5D6E-409C-BE32-E72D297353CC}">
              <c16:uniqueId val="{00000000-1848-48F1-BFB9-1935770FC147}"/>
            </c:ext>
          </c:extLst>
        </c:ser>
        <c:dLbls>
          <c:showLegendKey val="0"/>
          <c:showVal val="0"/>
          <c:showCatName val="0"/>
          <c:showSerName val="0"/>
          <c:showPercent val="0"/>
          <c:showBubbleSize val="0"/>
        </c:dLbls>
        <c:marker val="1"/>
        <c:smooth val="0"/>
        <c:axId val="196357120"/>
        <c:axId val="196359296"/>
      </c:lineChart>
      <c:lineChart>
        <c:grouping val="standard"/>
        <c:varyColors val="0"/>
        <c:ser>
          <c:idx val="3"/>
          <c:order val="1"/>
          <c:tx>
            <c:v>Inductor Loss</c:v>
          </c:tx>
          <c:spPr>
            <a:ln w="38100">
              <a:solidFill>
                <a:srgbClr val="800080"/>
              </a:solidFill>
              <a:prstDash val="dash"/>
            </a:ln>
          </c:spPr>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Calculations'!$BP$9:$BP$109</c:f>
              <c:numCache>
                <c:formatCode>0.000</c:formatCode>
                <c:ptCount val="101"/>
                <c:pt idx="0">
                  <c:v>0.26565911720848034</c:v>
                </c:pt>
                <c:pt idx="1">
                  <c:v>0.26579630391885301</c:v>
                </c:pt>
                <c:pt idx="2">
                  <c:v>0.26610062303457804</c:v>
                </c:pt>
                <c:pt idx="3">
                  <c:v>0.26657209470366122</c:v>
                </c:pt>
                <c:pt idx="4">
                  <c:v>0.2672107524827117</c:v>
                </c:pt>
                <c:pt idx="5">
                  <c:v>0.26801664334367359</c:v>
                </c:pt>
                <c:pt idx="6">
                  <c:v>0.26898982768324814</c:v>
                </c:pt>
                <c:pt idx="7">
                  <c:v>0.27013037933500927</c:v>
                </c:pt>
                <c:pt idx="8">
                  <c:v>0.2714383855842224</c:v>
                </c:pt>
                <c:pt idx="9">
                  <c:v>0.27291394718536693</c:v>
                </c:pt>
                <c:pt idx="10">
                  <c:v>0.27455717838236804</c:v>
                </c:pt>
                <c:pt idx="11">
                  <c:v>0.27636820693155761</c:v>
                </c:pt>
                <c:pt idx="12">
                  <c:v>0.27834717412735172</c:v>
                </c:pt>
                <c:pt idx="13">
                  <c:v>0.28049423483067404</c:v>
                </c:pt>
                <c:pt idx="14">
                  <c:v>0.28280955750012549</c:v>
                </c:pt>
                <c:pt idx="15">
                  <c:v>0.28529332422591619</c:v>
                </c:pt>
                <c:pt idx="16">
                  <c:v>0.28794573076656566</c:v>
                </c:pt>
                <c:pt idx="17">
                  <c:v>0.29076698658839467</c:v>
                </c:pt>
                <c:pt idx="18">
                  <c:v>0.29375731490781998</c:v>
                </c:pt>
                <c:pt idx="19">
                  <c:v>0.29691695273646257</c:v>
                </c:pt>
                <c:pt idx="20">
                  <c:v>0.30024615092909224</c:v>
                </c:pt>
                <c:pt idx="21">
                  <c:v>0.30374517423442832</c:v>
                </c:pt>
                <c:pt idx="22">
                  <c:v>0.30741430134881009</c:v>
                </c:pt>
                <c:pt idx="23">
                  <c:v>0.3112538249727585</c:v>
                </c:pt>
                <c:pt idx="24">
                  <c:v>0.31526405187045703</c:v>
                </c:pt>
                <c:pt idx="25">
                  <c:v>0.31944530293216483</c:v>
                </c:pt>
                <c:pt idx="26">
                  <c:v>0.32379791323959262</c:v>
                </c:pt>
                <c:pt idx="27">
                  <c:v>0.32832223213426426</c:v>
                </c:pt>
                <c:pt idx="28">
                  <c:v>0.33301862328889148</c:v>
                </c:pt>
                <c:pt idx="29">
                  <c:v>0.33788746478178272</c:v>
                </c:pt>
                <c:pt idx="30">
                  <c:v>0.3429291491743271</c:v>
                </c:pt>
                <c:pt idx="31">
                  <c:v>0.34814408359157223</c:v>
                </c:pt>
                <c:pt idx="32">
                  <c:v>0.353532689805929</c:v>
                </c:pt>
                <c:pt idx="33">
                  <c:v>0.35909540432404125</c:v>
                </c:pt>
                <c:pt idx="34">
                  <c:v>0.36483267847684897</c:v>
                </c:pt>
                <c:pt idx="35">
                  <c:v>0.3707449785128798</c:v>
                </c:pt>
                <c:pt idx="36">
                  <c:v>0.37683278569480932</c:v>
                </c:pt>
                <c:pt idx="37">
                  <c:v>0.38309659639932347</c:v>
                </c:pt>
                <c:pt idx="38">
                  <c:v>0.38953692222032232</c:v>
                </c:pt>
                <c:pt idx="39">
                  <c:v>0.39615429007551195</c:v>
                </c:pt>
                <c:pt idx="40">
                  <c:v>0.40294924231641738</c:v>
                </c:pt>
                <c:pt idx="41">
                  <c:v>0.40992233684186491</c:v>
                </c:pt>
                <c:pt idx="42">
                  <c:v>0.4170741472149796</c:v>
                </c:pt>
                <c:pt idx="43">
                  <c:v>0.42440526278374296</c:v>
                </c:pt>
                <c:pt idx="44">
                  <c:v>0.43191628880515298</c:v>
                </c:pt>
                <c:pt idx="45">
                  <c:v>0.43960784657305269</c:v>
                </c:pt>
                <c:pt idx="46">
                  <c:v>0.44748057354965576</c:v>
                </c:pt>
                <c:pt idx="47">
                  <c:v>0.45553512350083925</c:v>
                </c:pt>
                <c:pt idx="48">
                  <c:v>0.46377216663525433</c:v>
                </c:pt>
                <c:pt idx="49">
                  <c:v>0.47219238974730104</c:v>
                </c:pt>
                <c:pt idx="50">
                  <c:v>0.48079649636404337</c:v>
                </c:pt>
                <c:pt idx="51">
                  <c:v>0.48958520689610618</c:v>
                </c:pt>
                <c:pt idx="52">
                  <c:v>0.49855925879262619</c:v>
                </c:pt>
                <c:pt idx="53">
                  <c:v>0.5077194067003199</c:v>
                </c:pt>
                <c:pt idx="54">
                  <c:v>0.51706642262672653</c:v>
                </c:pt>
                <c:pt idx="55">
                  <c:v>0.52660109610770411</c:v>
                </c:pt>
                <c:pt idx="56">
                  <c:v>0.53632423437923926</c:v>
                </c:pt>
                <c:pt idx="57">
                  <c:v>0.54623666255364267</c:v>
                </c:pt>
                <c:pt idx="58">
                  <c:v>0.55633922380021561</c:v>
                </c:pt>
                <c:pt idx="59">
                  <c:v>0.56663277953044044</c:v>
                </c:pt>
                <c:pt idx="60">
                  <c:v>0.57711820958779669</c:v>
                </c:pt>
                <c:pt idx="61">
                  <c:v>0.58779641244227177</c:v>
                </c:pt>
                <c:pt idx="62">
                  <c:v>0.59866830538964078</c:v>
                </c:pt>
                <c:pt idx="63">
                  <c:v>0.60973482475561869</c:v>
                </c:pt>
                <c:pt idx="64">
                  <c:v>0.6209969261049576</c:v>
                </c:pt>
                <c:pt idx="65">
                  <c:v>0.63245558445558303</c:v>
                </c:pt>
                <c:pt idx="66">
                  <c:v>0.64411179449786404</c:v>
                </c:pt>
                <c:pt idx="67">
                  <c:v>0.65596657081910603</c:v>
                </c:pt>
                <c:pt idx="68">
                  <c:v>0.66802094813337676</c:v>
                </c:pt>
                <c:pt idx="69">
                  <c:v>0.68027598151674229</c:v>
                </c:pt>
                <c:pt idx="70">
                  <c:v>0.6927327466480433</c:v>
                </c:pt>
                <c:pt idx="71">
                  <c:v>0.70539234005530105</c:v>
                </c:pt>
                <c:pt idx="72">
                  <c:v>0.71825587936786417</c:v>
                </c:pt>
                <c:pt idx="73">
                  <c:v>0.73132450357441148</c:v>
                </c:pt>
                <c:pt idx="74">
                  <c:v>0.74459937328692516</c:v>
                </c:pt>
                <c:pt idx="75">
                  <c:v>0.75808167101075397</c:v>
                </c:pt>
                <c:pt idx="76">
                  <c:v>0.77177260142088411</c:v>
                </c:pt>
                <c:pt idx="77">
                  <c:v>0.7856733916445483</c:v>
                </c:pt>
                <c:pt idx="78">
                  <c:v>0.79978529155029532</c:v>
                </c:pt>
                <c:pt idx="79">
                  <c:v>0.8141095740436628</c:v>
                </c:pt>
                <c:pt idx="80">
                  <c:v>0.82864753536957614</c:v>
                </c:pt>
                <c:pt idx="81">
                  <c:v>0.84340049542162476</c:v>
                </c:pt>
                <c:pt idx="82">
                  <c:v>0.85836979805835045</c:v>
                </c:pt>
                <c:pt idx="83">
                  <c:v>0.87355681142670383</c:v>
                </c:pt>
                <c:pt idx="84">
                  <c:v>0.88896292829281243</c:v>
                </c:pt>
                <c:pt idx="85">
                  <c:v>0.90458956638023058</c:v>
                </c:pt>
                <c:pt idx="86">
                  <c:v>0.92043816871580642</c:v>
                </c:pt>
                <c:pt idx="87">
                  <c:v>0.93651020398335882</c:v>
                </c:pt>
                <c:pt idx="88">
                  <c:v>0.95280716688532241</c:v>
                </c:pt>
                <c:pt idx="89">
                  <c:v>0.96933057851252258</c:v>
                </c:pt>
                <c:pt idx="90">
                  <c:v>0.98608198672228875</c:v>
                </c:pt>
                <c:pt idx="91">
                  <c:v>1.0030629665250581</c:v>
                </c:pt>
                <c:pt idx="92">
                  <c:v>1.0202751204796838</c:v>
                </c:pt>
                <c:pt idx="93">
                  <c:v>1.037720079097634</c:v>
                </c:pt>
                <c:pt idx="94">
                  <c:v>1.0553995012562762</c:v>
                </c:pt>
                <c:pt idx="95">
                  <c:v>1.0733150746214648</c:v>
                </c:pt>
                <c:pt idx="96">
                  <c:v>1.0914685160796367</c:v>
                </c:pt>
                <c:pt idx="97">
                  <c:v>1.1098615721796328</c:v>
                </c:pt>
                <c:pt idx="98">
                  <c:v>1.1284960195844715</c:v>
                </c:pt>
                <c:pt idx="99">
                  <c:v>1.1473736655333138</c:v>
                </c:pt>
                <c:pt idx="100">
                  <c:v>1.1664963483138355</c:v>
                </c:pt>
              </c:numCache>
            </c:numRef>
          </c:val>
          <c:smooth val="0"/>
          <c:extLst>
            <c:ext xmlns:c16="http://schemas.microsoft.com/office/drawing/2014/chart" uri="{C3380CC4-5D6E-409C-BE32-E72D297353CC}">
              <c16:uniqueId val="{00000002-1848-48F1-BFB9-1935770FC147}"/>
            </c:ext>
          </c:extLst>
        </c:ser>
        <c:ser>
          <c:idx val="6"/>
          <c:order val="2"/>
          <c:tx>
            <c:strRef>
              <c:f>'Efficiency vs Load Calculations'!$BV$8</c:f>
              <c:strCache>
                <c:ptCount val="1"/>
                <c:pt idx="0">
                  <c:v>Shunt Loss</c:v>
                </c:pt>
              </c:strCache>
            </c:strRef>
          </c:tx>
          <c:spPr>
            <a:ln>
              <a:solidFill>
                <a:srgbClr val="0000FF"/>
              </a:solidFill>
              <a:prstDash val="sysDot"/>
            </a:ln>
          </c:spPr>
          <c:marker>
            <c:symbol val="none"/>
          </c:marker>
          <c:val>
            <c:numRef>
              <c:f>'Efficiency vs Load Calculations'!$BV$9:$BV$109</c:f>
              <c:numCache>
                <c:formatCode>0.000</c:formatCode>
                <c:ptCount val="101"/>
                <c:pt idx="0">
                  <c:v>3.4837374096074401E-4</c:v>
                </c:pt>
                <c:pt idx="1">
                  <c:v>1.3264995376249494E-3</c:v>
                </c:pt>
                <c:pt idx="2">
                  <c:v>1.4347259736522163E-3</c:v>
                </c:pt>
                <c:pt idx="3">
                  <c:v>1.6149524227497408E-3</c:v>
                </c:pt>
                <c:pt idx="4">
                  <c:v>1.8671788849160423E-3</c:v>
                </c:pt>
                <c:pt idx="5">
                  <c:v>2.1914053601496371E-3</c:v>
                </c:pt>
                <c:pt idx="6">
                  <c:v>2.5876318484490436E-3</c:v>
                </c:pt>
                <c:pt idx="7">
                  <c:v>3.0558583498127827E-3</c:v>
                </c:pt>
                <c:pt idx="8">
                  <c:v>3.5960848642393678E-3</c:v>
                </c:pt>
                <c:pt idx="9">
                  <c:v>4.2083113917273278E-3</c:v>
                </c:pt>
                <c:pt idx="10">
                  <c:v>4.8925379322751709E-3</c:v>
                </c:pt>
                <c:pt idx="11">
                  <c:v>5.6487644858814233E-3</c:v>
                </c:pt>
                <c:pt idx="12">
                  <c:v>6.4769910525445959E-3</c:v>
                </c:pt>
                <c:pt idx="13">
                  <c:v>7.3772176322632246E-3</c:v>
                </c:pt>
                <c:pt idx="14">
                  <c:v>8.3494442250358052E-3</c:v>
                </c:pt>
                <c:pt idx="15">
                  <c:v>9.3936708308608799E-3</c:v>
                </c:pt>
                <c:pt idx="16">
                  <c:v>1.0509897449736958E-2</c:v>
                </c:pt>
                <c:pt idx="17">
                  <c:v>1.1698124081662559E-2</c:v>
                </c:pt>
                <c:pt idx="18">
                  <c:v>1.29583507266362E-2</c:v>
                </c:pt>
                <c:pt idx="19">
                  <c:v>1.4290577384656404E-2</c:v>
                </c:pt>
                <c:pt idx="20">
                  <c:v>1.5694804055721698E-2</c:v>
                </c:pt>
                <c:pt idx="21">
                  <c:v>1.71710307398306E-2</c:v>
                </c:pt>
                <c:pt idx="22">
                  <c:v>1.8719257436981631E-2</c:v>
                </c:pt>
                <c:pt idx="23">
                  <c:v>2.0339484147173296E-2</c:v>
                </c:pt>
                <c:pt idx="24">
                  <c:v>2.2031710870404134E-2</c:v>
                </c:pt>
                <c:pt idx="25">
                  <c:v>2.379593760667267E-2</c:v>
                </c:pt>
                <c:pt idx="26">
                  <c:v>2.5632164355977417E-2</c:v>
                </c:pt>
                <c:pt idx="27">
                  <c:v>2.7540391118316878E-2</c:v>
                </c:pt>
                <c:pt idx="28">
                  <c:v>2.9520617893689597E-2</c:v>
                </c:pt>
                <c:pt idx="29">
                  <c:v>3.1572844682094099E-2</c:v>
                </c:pt>
                <c:pt idx="30">
                  <c:v>3.3697071483528886E-2</c:v>
                </c:pt>
                <c:pt idx="31">
                  <c:v>3.589329829799251E-2</c:v>
                </c:pt>
                <c:pt idx="32">
                  <c:v>3.8161525125483466E-2</c:v>
                </c:pt>
                <c:pt idx="33">
                  <c:v>4.0501751966000275E-2</c:v>
                </c:pt>
                <c:pt idx="34">
                  <c:v>4.2913978819541496E-2</c:v>
                </c:pt>
                <c:pt idx="35">
                  <c:v>4.5398205686105593E-2</c:v>
                </c:pt>
                <c:pt idx="36">
                  <c:v>4.7954432565691145E-2</c:v>
                </c:pt>
                <c:pt idx="37">
                  <c:v>5.0582659458296639E-2</c:v>
                </c:pt>
                <c:pt idx="38">
                  <c:v>5.3282886363920597E-2</c:v>
                </c:pt>
                <c:pt idx="39">
                  <c:v>5.6055113282561575E-2</c:v>
                </c:pt>
                <c:pt idx="40">
                  <c:v>5.8899340214218075E-2</c:v>
                </c:pt>
                <c:pt idx="41">
                  <c:v>6.1815567158888599E-2</c:v>
                </c:pt>
                <c:pt idx="42">
                  <c:v>6.4803794116571709E-2</c:v>
                </c:pt>
                <c:pt idx="43">
                  <c:v>6.7864021087265927E-2</c:v>
                </c:pt>
                <c:pt idx="44">
                  <c:v>7.0996248070969742E-2</c:v>
                </c:pt>
                <c:pt idx="45">
                  <c:v>7.4200475067681695E-2</c:v>
                </c:pt>
                <c:pt idx="46">
                  <c:v>7.7476702077400303E-2</c:v>
                </c:pt>
                <c:pt idx="47">
                  <c:v>8.0824929100124093E-2</c:v>
                </c:pt>
                <c:pt idx="48">
                  <c:v>8.4245156135851651E-2</c:v>
                </c:pt>
                <c:pt idx="49">
                  <c:v>8.7737383184581422E-2</c:v>
                </c:pt>
                <c:pt idx="50">
                  <c:v>9.1301610246311948E-2</c:v>
                </c:pt>
                <c:pt idx="51">
                  <c:v>9.493783732104176E-2</c:v>
                </c:pt>
                <c:pt idx="52">
                  <c:v>9.8646064408769371E-2</c:v>
                </c:pt>
                <c:pt idx="53">
                  <c:v>0.10242629150949335</c:v>
                </c:pt>
                <c:pt idx="54">
                  <c:v>0.10627851862321216</c:v>
                </c:pt>
                <c:pt idx="55">
                  <c:v>0.11020274574992436</c:v>
                </c:pt>
                <c:pt idx="56">
                  <c:v>0.11419897288962853</c:v>
                </c:pt>
                <c:pt idx="57">
                  <c:v>0.11826720004232305</c:v>
                </c:pt>
                <c:pt idx="58">
                  <c:v>0.12240742720800656</c:v>
                </c:pt>
                <c:pt idx="59">
                  <c:v>0.12661965438667769</c:v>
                </c:pt>
                <c:pt idx="60">
                  <c:v>0.13090388157833466</c:v>
                </c:pt>
                <c:pt idx="61">
                  <c:v>0.13526010878297626</c:v>
                </c:pt>
                <c:pt idx="62">
                  <c:v>0.13968833600060093</c:v>
                </c:pt>
                <c:pt idx="63">
                  <c:v>0.1441885632312071</c:v>
                </c:pt>
                <c:pt idx="64">
                  <c:v>0.14876079047479349</c:v>
                </c:pt>
                <c:pt idx="65">
                  <c:v>0.15340501773135851</c:v>
                </c:pt>
                <c:pt idx="66">
                  <c:v>0.15812124500090069</c:v>
                </c:pt>
                <c:pt idx="67">
                  <c:v>0.16290947228341854</c:v>
                </c:pt>
                <c:pt idx="68">
                  <c:v>0.16776969957891066</c:v>
                </c:pt>
                <c:pt idx="69">
                  <c:v>0.1727019268873756</c:v>
                </c:pt>
                <c:pt idx="70">
                  <c:v>0.17770615420881183</c:v>
                </c:pt>
                <c:pt idx="71">
                  <c:v>0.1827823815432178</c:v>
                </c:pt>
                <c:pt idx="72">
                  <c:v>0.1879306088905921</c:v>
                </c:pt>
                <c:pt idx="73">
                  <c:v>0.19315083625093329</c:v>
                </c:pt>
                <c:pt idx="74">
                  <c:v>0.19844306362423988</c:v>
                </c:pt>
                <c:pt idx="75">
                  <c:v>0.20380729101051043</c:v>
                </c:pt>
                <c:pt idx="76">
                  <c:v>0.20924351840974328</c:v>
                </c:pt>
                <c:pt idx="77">
                  <c:v>0.21475174582193732</c:v>
                </c:pt>
                <c:pt idx="78">
                  <c:v>0.22033197324709078</c:v>
                </c:pt>
                <c:pt idx="79">
                  <c:v>0.22598420068520234</c:v>
                </c:pt>
                <c:pt idx="80">
                  <c:v>0.23170842813627029</c:v>
                </c:pt>
                <c:pt idx="81">
                  <c:v>0.23750465560029352</c:v>
                </c:pt>
                <c:pt idx="82">
                  <c:v>0.24337288307727034</c:v>
                </c:pt>
                <c:pt idx="83">
                  <c:v>0.24931311056719932</c:v>
                </c:pt>
                <c:pt idx="84">
                  <c:v>0.25532533807007884</c:v>
                </c:pt>
                <c:pt idx="85">
                  <c:v>0.26140956558590761</c:v>
                </c:pt>
                <c:pt idx="86">
                  <c:v>0.26756579311468431</c:v>
                </c:pt>
                <c:pt idx="87">
                  <c:v>0.27379402065640707</c:v>
                </c:pt>
                <c:pt idx="88">
                  <c:v>0.28009424821107476</c:v>
                </c:pt>
                <c:pt idx="89">
                  <c:v>0.28646647577868573</c:v>
                </c:pt>
                <c:pt idx="90">
                  <c:v>0.29291070335923863</c:v>
                </c:pt>
                <c:pt idx="91">
                  <c:v>0.29942693095273193</c:v>
                </c:pt>
                <c:pt idx="92">
                  <c:v>0.30601515855916411</c:v>
                </c:pt>
                <c:pt idx="93">
                  <c:v>0.31267538617853385</c:v>
                </c:pt>
                <c:pt idx="94">
                  <c:v>0.31940761381083937</c:v>
                </c:pt>
                <c:pt idx="95">
                  <c:v>0.32621184145607951</c:v>
                </c:pt>
                <c:pt idx="96">
                  <c:v>0.33308806911425265</c:v>
                </c:pt>
                <c:pt idx="97">
                  <c:v>0.34003629678535752</c:v>
                </c:pt>
                <c:pt idx="98">
                  <c:v>0.34705652446939228</c:v>
                </c:pt>
                <c:pt idx="99">
                  <c:v>0.35414875216635594</c:v>
                </c:pt>
                <c:pt idx="100">
                  <c:v>0.3613129798762465</c:v>
                </c:pt>
              </c:numCache>
            </c:numRef>
          </c:val>
          <c:smooth val="0"/>
          <c:extLst>
            <c:ext xmlns:c16="http://schemas.microsoft.com/office/drawing/2014/chart" uri="{C3380CC4-5D6E-409C-BE32-E72D297353CC}">
              <c16:uniqueId val="{00000002-6DE2-4BDD-A0AC-7CB4E4B8A287}"/>
            </c:ext>
          </c:extLst>
        </c:ser>
        <c:ser>
          <c:idx val="2"/>
          <c:order val="3"/>
          <c:tx>
            <c:strRef>
              <c:f>'Efficiency vs Load Calculations'!$BR$8</c:f>
              <c:strCache>
                <c:ptCount val="1"/>
                <c:pt idx="0">
                  <c:v>Buck ''Control'' MOSFET Loss</c:v>
                </c:pt>
              </c:strCache>
            </c:strRef>
          </c:tx>
          <c:spPr>
            <a:ln w="28575">
              <a:solidFill>
                <a:srgbClr val="808000"/>
              </a:solidFill>
              <a:prstDash val="sysDash"/>
            </a:ln>
          </c:spPr>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Calculations'!$BR$9:$BR$109</c:f>
              <c:numCache>
                <c:formatCode>0.000</c:formatCode>
                <c:ptCount val="101"/>
                <c:pt idx="0">
                  <c:v>3.1529105136505538E-2</c:v>
                </c:pt>
                <c:pt idx="1">
                  <c:v>5.4690673352102183E-2</c:v>
                </c:pt>
                <c:pt idx="2">
                  <c:v>7.7385953848884345E-2</c:v>
                </c:pt>
                <c:pt idx="3">
                  <c:v>0.10020680619968501</c:v>
                </c:pt>
                <c:pt idx="4">
                  <c:v>0.12315510877160887</c:v>
                </c:pt>
                <c:pt idx="5">
                  <c:v>0.14623276282052239</c:v>
                </c:pt>
                <c:pt idx="6">
                  <c:v>0.16944169305522361</c:v>
                </c:pt>
                <c:pt idx="7">
                  <c:v>0.19278384821223077</c:v>
                </c:pt>
                <c:pt idx="8">
                  <c:v>0.21626120164155113</c:v>
                </c:pt>
                <c:pt idx="9">
                  <c:v>0.23987575190379914</c:v>
                </c:pt>
                <c:pt idx="10">
                  <c:v>0.26362952337904461</c:v>
                </c:pt>
                <c:pt idx="11">
                  <c:v>0.2893204591322821</c:v>
                </c:pt>
                <c:pt idx="12">
                  <c:v>0.31625123740263961</c:v>
                </c:pt>
                <c:pt idx="13">
                  <c:v>0.34332962955552204</c:v>
                </c:pt>
                <c:pt idx="14">
                  <c:v>0.37055802488475886</c:v>
                </c:pt>
                <c:pt idx="15">
                  <c:v>0.39793884254681378</c:v>
                </c:pt>
                <c:pt idx="16">
                  <c:v>0.42547453232484467</c:v>
                </c:pt>
                <c:pt idx="17">
                  <c:v>0.45316757540803548</c:v>
                </c:pt>
                <c:pt idx="18">
                  <c:v>0.48102048518672286</c:v>
                </c:pt>
                <c:pt idx="19">
                  <c:v>0.50903580806385684</c:v>
                </c:pt>
                <c:pt idx="20">
                  <c:v>0.5372161242833452</c:v>
                </c:pt>
                <c:pt idx="21">
                  <c:v>0.56556404877585409</c:v>
                </c:pt>
                <c:pt idx="22">
                  <c:v>0.59408223202264832</c:v>
                </c:pt>
                <c:pt idx="23">
                  <c:v>0.62277336093807478</c:v>
                </c:pt>
                <c:pt idx="24">
                  <c:v>0.65164015977131173</c:v>
                </c:pt>
                <c:pt idx="25">
                  <c:v>0.68068539102802017</c:v>
                </c:pt>
                <c:pt idx="26">
                  <c:v>0.70991185641256338</c:v>
                </c:pt>
                <c:pt idx="27">
                  <c:v>0.73932239779146713</c:v>
                </c:pt>
                <c:pt idx="28">
                  <c:v>0.76891989817882811</c:v>
                </c:pt>
                <c:pt idx="29">
                  <c:v>0.79870728274439262</c:v>
                </c:pt>
                <c:pt idx="30">
                  <c:v>0.82868751984504985</c:v>
                </c:pt>
                <c:pt idx="31">
                  <c:v>0.85886362208051414</c:v>
                </c:pt>
                <c:pt idx="32">
                  <c:v>0.88923864737398972</c:v>
                </c:pt>
                <c:pt idx="33">
                  <c:v>0.91981570007864144</c:v>
                </c:pt>
                <c:pt idx="34">
                  <c:v>0.95059793211071986</c:v>
                </c:pt>
                <c:pt idx="35">
                  <c:v>0.98158854411021823</c:v>
                </c:pt>
                <c:pt idx="36">
                  <c:v>1.0127907866299692</c:v>
                </c:pt>
                <c:pt idx="37">
                  <c:v>1.0442079613541166</c:v>
                </c:pt>
                <c:pt idx="38">
                  <c:v>1.0758434223469351</c:v>
                </c:pt>
                <c:pt idx="39">
                  <c:v>1.107700577333</c:v>
                </c:pt>
                <c:pt idx="40">
                  <c:v>1.1397828890097406</c:v>
                </c:pt>
                <c:pt idx="41">
                  <c:v>1.172093876393457</c:v>
                </c:pt>
                <c:pt idx="42">
                  <c:v>1.2046371161999092</c:v>
                </c:pt>
                <c:pt idx="43">
                  <c:v>1.2374162442606262</c:v>
                </c:pt>
                <c:pt idx="44">
                  <c:v>1.2704349569761337</c:v>
                </c:pt>
                <c:pt idx="45">
                  <c:v>1.3036970128073253</c:v>
                </c:pt>
                <c:pt idx="46">
                  <c:v>1.3372062338062658</c:v>
                </c:pt>
                <c:pt idx="47">
                  <c:v>1.370966507187743</c:v>
                </c:pt>
                <c:pt idx="48">
                  <c:v>1.4049817869429471</c:v>
                </c:pt>
                <c:pt idx="49">
                  <c:v>1.4392560954966971</c:v>
                </c:pt>
                <c:pt idx="50">
                  <c:v>1.4737935254096961</c:v>
                </c:pt>
                <c:pt idx="51">
                  <c:v>1.5085982411273378</c:v>
                </c:pt>
                <c:pt idx="52">
                  <c:v>1.5436744807766634</c:v>
                </c:pt>
                <c:pt idx="53">
                  <c:v>1.579026558013104</c:v>
                </c:pt>
                <c:pt idx="54">
                  <c:v>1.6146588639187323</c:v>
                </c:pt>
                <c:pt idx="55">
                  <c:v>1.6505758689537862</c:v>
                </c:pt>
                <c:pt idx="56">
                  <c:v>1.6867821249633188</c:v>
                </c:pt>
                <c:pt idx="57">
                  <c:v>1.7232822672408754</c:v>
                </c:pt>
                <c:pt idx="58">
                  <c:v>1.7600810166512018</c:v>
                </c:pt>
                <c:pt idx="59">
                  <c:v>1.7971831818140327</c:v>
                </c:pt>
                <c:pt idx="60">
                  <c:v>1.8345936613511173</c:v>
                </c:pt>
                <c:pt idx="61">
                  <c:v>1.8723174461987104</c:v>
                </c:pt>
                <c:pt idx="62">
                  <c:v>1.910359621987842</c:v>
                </c:pt>
                <c:pt idx="63">
                  <c:v>1.9487253714947848</c:v>
                </c:pt>
                <c:pt idx="64">
                  <c:v>1.9874199771642205</c:v>
                </c:pt>
                <c:pt idx="65">
                  <c:v>2.0264488237077152</c:v>
                </c:pt>
                <c:pt idx="66">
                  <c:v>2.0658174007802188</c:v>
                </c:pt>
                <c:pt idx="67">
                  <c:v>2.1055313057374074</c:v>
                </c:pt>
                <c:pt idx="68">
                  <c:v>2.1455962464768232</c:v>
                </c:pt>
                <c:pt idx="69">
                  <c:v>2.1860180443658423</c:v>
                </c:pt>
                <c:pt idx="70">
                  <c:v>2.2268026372596972</c:v>
                </c:pt>
                <c:pt idx="71">
                  <c:v>2.267956082612836</c:v>
                </c:pt>
                <c:pt idx="72">
                  <c:v>2.3094845606871077</c:v>
                </c:pt>
                <c:pt idx="73">
                  <c:v>2.3513943778603479</c:v>
                </c:pt>
                <c:pt idx="74">
                  <c:v>2.393691970039153</c:v>
                </c:pt>
                <c:pt idx="75">
                  <c:v>2.4363839061797279</c:v>
                </c:pt>
                <c:pt idx="76">
                  <c:v>2.4794768919209149</c:v>
                </c:pt>
                <c:pt idx="77">
                  <c:v>2.5229777733336531</c:v>
                </c:pt>
                <c:pt idx="78">
                  <c:v>2.5668935407912987</c:v>
                </c:pt>
                <c:pt idx="79">
                  <c:v>2.6112313329654775</c:v>
                </c:pt>
                <c:pt idx="80">
                  <c:v>2.6559984409522674</c:v>
                </c:pt>
                <c:pt idx="81">
                  <c:v>2.7012023125337961</c:v>
                </c:pt>
                <c:pt idx="82">
                  <c:v>2.7468505565805077</c:v>
                </c:pt>
                <c:pt idx="83">
                  <c:v>2.7929509475996261</c:v>
                </c:pt>
                <c:pt idx="84">
                  <c:v>2.8395114304355569</c:v>
                </c:pt>
                <c:pt idx="85">
                  <c:v>2.8865401251282545</c:v>
                </c:pt>
                <c:pt idx="86">
                  <c:v>2.9340453319358417</c:v>
                </c:pt>
                <c:pt idx="87">
                  <c:v>2.9820355365280493</c:v>
                </c:pt>
                <c:pt idx="88">
                  <c:v>3.0305194153573622</c:v>
                </c:pt>
                <c:pt idx="89">
                  <c:v>3.0795058412150556</c:v>
                </c:pt>
                <c:pt idx="90">
                  <c:v>3.1290038889796574</c:v>
                </c:pt>
                <c:pt idx="91">
                  <c:v>3.1790228415657049</c:v>
                </c:pt>
                <c:pt idx="92">
                  <c:v>3.2295721960810408</c:v>
                </c:pt>
                <c:pt idx="93">
                  <c:v>3.2806616702013041</c:v>
                </c:pt>
                <c:pt idx="94">
                  <c:v>3.3323012087706214</c:v>
                </c:pt>
                <c:pt idx="95">
                  <c:v>3.3845009906380308</c:v>
                </c:pt>
                <c:pt idx="96">
                  <c:v>3.4372714357395071</c:v>
                </c:pt>
                <c:pt idx="97">
                  <c:v>3.4906232124360623</c:v>
                </c:pt>
                <c:pt idx="98">
                  <c:v>3.5445672451187948</c:v>
                </c:pt>
                <c:pt idx="99">
                  <c:v>3.5991147220923625</c:v>
                </c:pt>
                <c:pt idx="100">
                  <c:v>3.6542771037488824</c:v>
                </c:pt>
              </c:numCache>
            </c:numRef>
          </c:val>
          <c:smooth val="0"/>
          <c:extLst>
            <c:ext xmlns:c16="http://schemas.microsoft.com/office/drawing/2014/chart" uri="{C3380CC4-5D6E-409C-BE32-E72D297353CC}">
              <c16:uniqueId val="{00000001-1848-48F1-BFB9-1935770FC147}"/>
            </c:ext>
          </c:extLst>
        </c:ser>
        <c:ser>
          <c:idx val="1"/>
          <c:order val="4"/>
          <c:tx>
            <c:strRef>
              <c:f>'Efficiency vs Load Calculations'!$BS$8</c:f>
              <c:strCache>
                <c:ptCount val="1"/>
                <c:pt idx="0">
                  <c:v>Buck ''SYNC'' MOSFET Loss</c:v>
                </c:pt>
              </c:strCache>
            </c:strRef>
          </c:tx>
          <c:spPr>
            <a:ln w="28575">
              <a:solidFill>
                <a:srgbClr val="002060"/>
              </a:solidFill>
              <a:prstDash val="sysDash"/>
            </a:ln>
          </c:spPr>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Calculations'!$BS$9:$BS$109</c:f>
              <c:numCache>
                <c:formatCode>0.000</c:formatCode>
                <c:ptCount val="101"/>
                <c:pt idx="0">
                  <c:v>3.052429571815201E-2</c:v>
                </c:pt>
                <c:pt idx="1">
                  <c:v>3.5863480897242485E-2</c:v>
                </c:pt>
                <c:pt idx="2">
                  <c:v>3.9730033943421873E-2</c:v>
                </c:pt>
                <c:pt idx="3">
                  <c:v>4.3719051772311196E-2</c:v>
                </c:pt>
                <c:pt idx="4">
                  <c:v>4.7830839760933039E-2</c:v>
                </c:pt>
                <c:pt idx="5">
                  <c:v>5.2065724803173591E-2</c:v>
                </c:pt>
                <c:pt idx="6">
                  <c:v>5.6424055415732977E-2</c:v>
                </c:pt>
                <c:pt idx="7">
                  <c:v>6.0906201853576758E-2</c:v>
                </c:pt>
                <c:pt idx="8">
                  <c:v>6.5512556234968183E-2</c:v>
                </c:pt>
                <c:pt idx="9">
                  <c:v>7.0243532676168036E-2</c:v>
                </c:pt>
                <c:pt idx="10">
                  <c:v>7.5099567435896991E-2</c:v>
                </c:pt>
                <c:pt idx="11">
                  <c:v>8.187701131416586E-2</c:v>
                </c:pt>
                <c:pt idx="12">
                  <c:v>8.9876945672302339E-2</c:v>
                </c:pt>
                <c:pt idx="13">
                  <c:v>9.8005539913078019E-2</c:v>
                </c:pt>
                <c:pt idx="14">
                  <c:v>0.10626357580770966</c:v>
                </c:pt>
                <c:pt idx="15">
                  <c:v>0.11465185895149579</c:v>
                </c:pt>
                <c:pt idx="16">
                  <c:v>0.12317121904557357</c:v>
                </c:pt>
                <c:pt idx="17">
                  <c:v>0.13182251018991303</c:v>
                </c:pt>
                <c:pt idx="18">
                  <c:v>0.14060661118776147</c:v>
                </c:pt>
                <c:pt idx="19">
                  <c:v>0.14952442586176073</c:v>
                </c:pt>
                <c:pt idx="20">
                  <c:v>0.15857688338197146</c:v>
                </c:pt>
                <c:pt idx="21">
                  <c:v>0.16776493860604672</c:v>
                </c:pt>
                <c:pt idx="22">
                  <c:v>0.17708957243181245</c:v>
                </c:pt>
                <c:pt idx="23">
                  <c:v>0.18655179216251841</c:v>
                </c:pt>
                <c:pt idx="24">
                  <c:v>0.19615263188503948</c:v>
                </c:pt>
                <c:pt idx="25">
                  <c:v>0.2058931528613164</c:v>
                </c:pt>
                <c:pt idx="26">
                  <c:v>0.21577444393333833</c:v>
                </c:pt>
                <c:pt idx="27">
                  <c:v>0.22579762194198238</c:v>
                </c:pt>
                <c:pt idx="28">
                  <c:v>0.23596383216003858</c:v>
                </c:pt>
                <c:pt idx="29">
                  <c:v>0.24627424873976173</c:v>
                </c:pt>
                <c:pt idx="30">
                  <c:v>0.25673007517530622</c:v>
                </c:pt>
                <c:pt idx="31">
                  <c:v>0.26733254478041429</c:v>
                </c:pt>
                <c:pt idx="32">
                  <c:v>0.27808292118174366</c:v>
                </c:pt>
                <c:pt idx="33">
                  <c:v>0.28898249882823435</c:v>
                </c:pt>
                <c:pt idx="34">
                  <c:v>0.30003260351693373</c:v>
                </c:pt>
                <c:pt idx="35">
                  <c:v>0.31123459293571176</c:v>
                </c:pt>
                <c:pt idx="36">
                  <c:v>0.32258985722331895</c:v>
                </c:pt>
                <c:pt idx="37">
                  <c:v>0.33409981954725509</c:v>
                </c:pt>
                <c:pt idx="38">
                  <c:v>0.3457659366999376</c:v>
                </c:pt>
                <c:pt idx="39">
                  <c:v>0.35758969971367538</c:v>
                </c:pt>
                <c:pt idx="40">
                  <c:v>0.36957263449497507</c:v>
                </c:pt>
                <c:pt idx="41">
                  <c:v>0.38171630247872812</c:v>
                </c:pt>
                <c:pt idx="42">
                  <c:v>0.39402230130284821</c:v>
                </c:pt>
                <c:pt idx="43">
                  <c:v>0.40649226550394868</c:v>
                </c:pt>
                <c:pt idx="44">
                  <c:v>0.41912786723467699</c:v>
                </c:pt>
                <c:pt idx="45">
                  <c:v>0.43193081700334474</c:v>
                </c:pt>
                <c:pt idx="46">
                  <c:v>0.44490286443651672</c:v>
                </c:pt>
                <c:pt idx="47">
                  <c:v>0.45804579906524978</c:v>
                </c:pt>
                <c:pt idx="48">
                  <c:v>0.47136145113570016</c:v>
                </c:pt>
                <c:pt idx="49">
                  <c:v>0.48485169244484244</c:v>
                </c:pt>
                <c:pt idx="50">
                  <c:v>0.49851843720207956</c:v>
                </c:pt>
                <c:pt idx="51">
                  <c:v>0.51236364291754555</c:v>
                </c:pt>
                <c:pt idx="52">
                  <c:v>0.52638931131794175</c:v>
                </c:pt>
                <c:pt idx="53">
                  <c:v>0.540597489290778</c:v>
                </c:pt>
                <c:pt idx="54">
                  <c:v>0.55499026985792177</c:v>
                </c:pt>
                <c:pt idx="55">
                  <c:v>0.56956979317940171</c:v>
                </c:pt>
                <c:pt idx="56">
                  <c:v>0.58433824758844199</c:v>
                </c:pt>
                <c:pt idx="57">
                  <c:v>0.59929787065874707</c:v>
                </c:pt>
                <c:pt idx="58">
                  <c:v>0.61445095030510011</c:v>
                </c:pt>
                <c:pt idx="59">
                  <c:v>0.62979982591837347</c:v>
                </c:pt>
                <c:pt idx="60">
                  <c:v>0.64534688953610186</c:v>
                </c:pt>
                <c:pt idx="61">
                  <c:v>0.66109458704981328</c:v>
                </c:pt>
                <c:pt idx="62">
                  <c:v>0.67704541945035701</c:v>
                </c:pt>
                <c:pt idx="63">
                  <c:v>0.69320194411252578</c:v>
                </c:pt>
                <c:pt idx="64">
                  <c:v>0.70956677612032049</c:v>
                </c:pt>
                <c:pt idx="65">
                  <c:v>0.72614258963425315</c:v>
                </c:pt>
                <c:pt idx="66">
                  <c:v>0.74293211930215808</c:v>
                </c:pt>
                <c:pt idx="67">
                  <c:v>0.7599381617150256</c:v>
                </c:pt>
                <c:pt idx="68">
                  <c:v>0.77716357690944671</c:v>
                </c:pt>
                <c:pt idx="69">
                  <c:v>0.79461128991831809</c:v>
                </c:pt>
                <c:pt idx="70">
                  <c:v>0.81228429237153121</c:v>
                </c:pt>
                <c:pt idx="71">
                  <c:v>0.83018564414843499</c:v>
                </c:pt>
                <c:pt idx="72">
                  <c:v>0.84831847508394675</c:v>
                </c:pt>
                <c:pt idx="73">
                  <c:v>0.86668598673025643</c:v>
                </c:pt>
                <c:pt idx="74">
                  <c:v>0.88529145417616006</c:v>
                </c:pt>
                <c:pt idx="75">
                  <c:v>0.90413822792614384</c:v>
                </c:pt>
                <c:pt idx="76">
                  <c:v>0.9232297358414272</c:v>
                </c:pt>
                <c:pt idx="77">
                  <c:v>0.94256948514528183</c:v>
                </c:pt>
                <c:pt idx="78">
                  <c:v>0.96216106449502303</c:v>
                </c:pt>
                <c:pt idx="79">
                  <c:v>0.98200814612320586</c:v>
                </c:pt>
                <c:pt idx="80">
                  <c:v>1.0021144880506363</c:v>
                </c:pt>
                <c:pt idx="81">
                  <c:v>1.0224839363739522</c:v>
                </c:pt>
                <c:pt idx="82">
                  <c:v>1.0431204276306318</c:v>
                </c:pt>
                <c:pt idx="83">
                  <c:v>1.064027991244429</c:v>
                </c:pt>
                <c:pt idx="84">
                  <c:v>1.0852107520543592</c:v>
                </c:pt>
                <c:pt idx="85">
                  <c:v>1.1066729329305103</c:v>
                </c:pt>
                <c:pt idx="86">
                  <c:v>1.1284188574800955</c:v>
                </c:pt>
                <c:pt idx="87">
                  <c:v>1.1504529528473215</c:v>
                </c:pt>
                <c:pt idx="88">
                  <c:v>1.1727797526108215</c:v>
                </c:pt>
                <c:pt idx="89">
                  <c:v>1.1954038997825518</c:v>
                </c:pt>
                <c:pt idx="90">
                  <c:v>1.218330149912265</c:v>
                </c:pt>
                <c:pt idx="91">
                  <c:v>1.2415633743018315</c:v>
                </c:pt>
                <c:pt idx="92">
                  <c:v>1.2651085633339079</c:v>
                </c:pt>
                <c:pt idx="93">
                  <c:v>1.2889708299196529</c:v>
                </c:pt>
                <c:pt idx="94">
                  <c:v>1.3131554130704117</c:v>
                </c:pt>
                <c:pt idx="95">
                  <c:v>1.337667681598538</c:v>
                </c:pt>
                <c:pt idx="96">
                  <c:v>1.3625131379527535</c:v>
                </c:pt>
                <c:pt idx="97">
                  <c:v>1.3876974221937302</c:v>
                </c:pt>
                <c:pt idx="98">
                  <c:v>1.4132263161158303</c:v>
                </c:pt>
                <c:pt idx="99">
                  <c:v>1.4391057475212585</c:v>
                </c:pt>
                <c:pt idx="100">
                  <c:v>1.4653417946531597</c:v>
                </c:pt>
              </c:numCache>
            </c:numRef>
          </c:val>
          <c:smooth val="0"/>
          <c:extLst>
            <c:ext xmlns:c16="http://schemas.microsoft.com/office/drawing/2014/chart" uri="{C3380CC4-5D6E-409C-BE32-E72D297353CC}">
              <c16:uniqueId val="{00000003-1848-48F1-BFB9-1935770FC147}"/>
            </c:ext>
          </c:extLst>
        </c:ser>
        <c:ser>
          <c:idx val="4"/>
          <c:order val="5"/>
          <c:tx>
            <c:strRef>
              <c:f>'Efficiency vs Load Calculations'!$BT$8</c:f>
              <c:strCache>
                <c:ptCount val="1"/>
                <c:pt idx="0">
                  <c:v>Boost ''Control'' MOSFET Loss</c:v>
                </c:pt>
              </c:strCache>
            </c:strRef>
          </c:tx>
          <c:spPr>
            <a:ln>
              <a:prstDash val="sysDash"/>
            </a:ln>
          </c:spPr>
          <c:marker>
            <c:symbol val="none"/>
          </c:marker>
          <c:val>
            <c:numRef>
              <c:f>'Efficiency vs Load Calculations'!$BT$9:$BT$109</c:f>
              <c:numCache>
                <c:formatCode>0.000</c:formatCode>
                <c:ptCount val="101"/>
                <c:pt idx="0">
                  <c:v>0</c:v>
                </c:pt>
                <c:pt idx="1">
                  <c:v>3.8136718557412732E-3</c:v>
                </c:pt>
                <c:pt idx="2">
                  <c:v>5.5795751125190286E-3</c:v>
                </c:pt>
                <c:pt idx="3">
                  <c:v>7.4665286150415559E-3</c:v>
                </c:pt>
                <c:pt idx="4">
                  <c:v>9.4745852116529371E-3</c:v>
                </c:pt>
                <c:pt idx="5">
                  <c:v>1.1603818895747299E-2</c:v>
                </c:pt>
                <c:pt idx="6">
                  <c:v>1.3854324838035082E-2</c:v>
                </c:pt>
                <c:pt idx="7">
                  <c:v>1.6226219428064993E-2</c:v>
                </c:pt>
                <c:pt idx="8">
                  <c:v>1.8719640325035491E-2</c:v>
                </c:pt>
                <c:pt idx="9">
                  <c:v>2.1334746517937223E-2</c:v>
                </c:pt>
                <c:pt idx="10">
                  <c:v>2.4071718395075513E-2</c:v>
                </c:pt>
                <c:pt idx="11">
                  <c:v>2.6930757823029769E-2</c:v>
                </c:pt>
                <c:pt idx="12">
                  <c:v>2.9912088235114265E-2</c:v>
                </c:pt>
                <c:pt idx="13">
                  <c:v>3.3015954729413065E-2</c:v>
                </c:pt>
                <c:pt idx="14">
                  <c:v>3.6242624176469153E-2</c:v>
                </c:pt>
                <c:pt idx="15">
                  <c:v>3.959238533671687E-2</c:v>
                </c:pt>
                <c:pt idx="16">
                  <c:v>4.3065548987753825E-2</c:v>
                </c:pt>
                <c:pt idx="17">
                  <c:v>4.6662448061557789E-2</c:v>
                </c:pt>
                <c:pt idx="18">
                  <c:v>5.0383437791761979E-2</c:v>
                </c:pt>
                <c:pt idx="19">
                  <c:v>5.422889587111096E-2</c:v>
                </c:pt>
                <c:pt idx="20">
                  <c:v>5.8199222619227969E-2</c:v>
                </c:pt>
                <c:pt idx="21">
                  <c:v>6.2294841160833739E-2</c:v>
                </c:pt>
                <c:pt idx="22">
                  <c:v>6.6516197614565981E-2</c:v>
                </c:pt>
                <c:pt idx="23">
                  <c:v>7.0863761292557614E-2</c:v>
                </c:pt>
                <c:pt idx="24">
                  <c:v>7.5338024910942186E-2</c:v>
                </c:pt>
                <c:pt idx="25">
                  <c:v>7.9939504811463752E-2</c:v>
                </c:pt>
                <c:pt idx="26">
                  <c:v>8.4668741194379504E-2</c:v>
                </c:pt>
                <c:pt idx="27">
                  <c:v>8.9526298362853099E-2</c:v>
                </c:pt>
                <c:pt idx="28">
                  <c:v>9.4512764979047231E-2</c:v>
                </c:pt>
                <c:pt idx="29">
                  <c:v>9.962875433213518E-2</c:v>
                </c:pt>
                <c:pt idx="30">
                  <c:v>0.10487490461846197</c:v>
                </c:pt>
                <c:pt idx="31">
                  <c:v>0.11025187923409749</c:v>
                </c:pt>
                <c:pt idx="32">
                  <c:v>0.11576036708003536</c:v>
                </c:pt>
                <c:pt idx="33">
                  <c:v>0.12140108288030389</c:v>
                </c:pt>
                <c:pt idx="34">
                  <c:v>0.12717476751326831</c:v>
                </c:pt>
                <c:pt idx="35">
                  <c:v>0.1330821883564148</c:v>
                </c:pt>
                <c:pt idx="36">
                  <c:v>0.13912413964492359</c:v>
                </c:pt>
                <c:pt idx="37">
                  <c:v>0.14530144284434759</c:v>
                </c:pt>
                <c:pt idx="38">
                  <c:v>0.15161494703773185</c:v>
                </c:pt>
                <c:pt idx="39">
                  <c:v>0.15806552932752105</c:v>
                </c:pt>
                <c:pt idx="40">
                  <c:v>0.16465409525261818</c:v>
                </c:pt>
                <c:pt idx="41">
                  <c:v>0.17138157922097375</c:v>
                </c:pt>
                <c:pt idx="42">
                  <c:v>0.17824894495810195</c:v>
                </c:pt>
                <c:pt idx="43">
                  <c:v>0.18525718597193458</c:v>
                </c:pt>
                <c:pt idx="44">
                  <c:v>0.19240732603444466</c:v>
                </c:pt>
                <c:pt idx="45">
                  <c:v>0.19970041968048707</c:v>
                </c:pt>
                <c:pt idx="46">
                  <c:v>0.20713755272432452</c:v>
                </c:pt>
                <c:pt idx="47">
                  <c:v>0.21471984279432471</c:v>
                </c:pt>
                <c:pt idx="48">
                  <c:v>0.22244843988633778</c:v>
                </c:pt>
                <c:pt idx="49">
                  <c:v>0.23032452693628144</c:v>
                </c:pt>
                <c:pt idx="50">
                  <c:v>0.23834932041248585</c:v>
                </c:pt>
                <c:pt idx="51">
                  <c:v>0.24652407092837081</c:v>
                </c:pt>
                <c:pt idx="52">
                  <c:v>0.25485006387605447</c:v>
                </c:pt>
                <c:pt idx="53">
                  <c:v>0.26332862008151459</c:v>
                </c:pt>
                <c:pt idx="54">
                  <c:v>0.27196109648195138</c:v>
                </c:pt>
                <c:pt idx="55">
                  <c:v>0.28074888682602794</c:v>
                </c:pt>
                <c:pt idx="56">
                  <c:v>0.28969342239769058</c:v>
                </c:pt>
                <c:pt idx="57">
                  <c:v>0.29879617276430165</c:v>
                </c:pt>
                <c:pt idx="58">
                  <c:v>0.30805864654984905</c:v>
                </c:pt>
                <c:pt idx="59">
                  <c:v>0.3174823922340263</c:v>
                </c:pt>
                <c:pt idx="60">
                  <c:v>0.32706899897800951</c:v>
                </c:pt>
                <c:pt idx="61">
                  <c:v>0.33682009747779912</c:v>
                </c:pt>
                <c:pt idx="62">
                  <c:v>0.34673736084601703</c:v>
                </c:pt>
                <c:pt idx="63">
                  <c:v>0.35682250552310174</c:v>
                </c:pt>
                <c:pt idx="64">
                  <c:v>0.36707729221887481</c:v>
                </c:pt>
                <c:pt idx="65">
                  <c:v>0.37750352688549321</c:v>
                </c:pt>
                <c:pt idx="66">
                  <c:v>0.38810306172284992</c:v>
                </c:pt>
                <c:pt idx="67">
                  <c:v>0.39887779621752517</c:v>
                </c:pt>
                <c:pt idx="68">
                  <c:v>0.40982967821644023</c:v>
                </c:pt>
                <c:pt idx="69">
                  <c:v>0.42096070503641247</c:v>
                </c:pt>
                <c:pt idx="70">
                  <c:v>0.43227292461086442</c:v>
                </c:pt>
                <c:pt idx="71">
                  <c:v>0.44376843667499127</c:v>
                </c:pt>
                <c:pt idx="72">
                  <c:v>0.45544939399074752</c:v>
                </c:pt>
                <c:pt idx="73">
                  <c:v>0.46731800361307296</c:v>
                </c:pt>
                <c:pt idx="74">
                  <c:v>0.4793765281988378</c:v>
                </c:pt>
                <c:pt idx="75">
                  <c:v>0.49162728736005679</c:v>
                </c:pt>
                <c:pt idx="76">
                  <c:v>0.50407265906297871</c:v>
                </c:pt>
                <c:pt idx="77">
                  <c:v>0.5167150810747444</c:v>
                </c:pt>
                <c:pt idx="78">
                  <c:v>0.5295570524593608</c:v>
                </c:pt>
                <c:pt idx="79">
                  <c:v>0.54260113512483821</c:v>
                </c:pt>
                <c:pt idx="80">
                  <c:v>0.55584995542339866</c:v>
                </c:pt>
                <c:pt idx="81">
                  <c:v>0.56930620580676705</c:v>
                </c:pt>
                <c:pt idx="82">
                  <c:v>0.58297264653862946</c:v>
                </c:pt>
                <c:pt idx="83">
                  <c:v>0.59685210746645612</c:v>
                </c:pt>
                <c:pt idx="84">
                  <c:v>0.61094748985496616</c:v>
                </c:pt>
                <c:pt idx="85">
                  <c:v>0.625261768283633</c:v>
                </c:pt>
                <c:pt idx="86">
                  <c:v>0.6397979926107239</c:v>
                </c:pt>
                <c:pt idx="87">
                  <c:v>0.65455929000649204</c:v>
                </c:pt>
                <c:pt idx="88">
                  <c:v>0.66954886705826011</c:v>
                </c:pt>
                <c:pt idx="89">
                  <c:v>0.68477001195024889</c:v>
                </c:pt>
                <c:pt idx="90">
                  <c:v>0.70022609672116154</c:v>
                </c:pt>
                <c:pt idx="91">
                  <c:v>0.71592057960264666</c:v>
                </c:pt>
                <c:pt idx="92">
                  <c:v>0.73185700744193738</c:v>
                </c:pt>
                <c:pt idx="93">
                  <c:v>0.74803901821210228</c:v>
                </c:pt>
                <c:pt idx="94">
                  <c:v>0.76447034361351429</c:v>
                </c:pt>
                <c:pt idx="95">
                  <c:v>0.78115481177032264</c:v>
                </c:pt>
                <c:pt idx="96">
                  <c:v>0.7980963500258782</c:v>
                </c:pt>
                <c:pt idx="97">
                  <c:v>0.81529898784127974</c:v>
                </c:pt>
                <c:pt idx="98">
                  <c:v>0.83276685980138654</c:v>
                </c:pt>
                <c:pt idx="99">
                  <c:v>0.85050420873287902</c:v>
                </c:pt>
                <c:pt idx="100">
                  <c:v>0.86851538893915037</c:v>
                </c:pt>
              </c:numCache>
            </c:numRef>
          </c:val>
          <c:smooth val="0"/>
          <c:extLst>
            <c:ext xmlns:c16="http://schemas.microsoft.com/office/drawing/2014/chart" uri="{C3380CC4-5D6E-409C-BE32-E72D297353CC}">
              <c16:uniqueId val="{00000000-6DE2-4BDD-A0AC-7CB4E4B8A287}"/>
            </c:ext>
          </c:extLst>
        </c:ser>
        <c:ser>
          <c:idx val="5"/>
          <c:order val="6"/>
          <c:tx>
            <c:strRef>
              <c:f>'Efficiency vs Load Calculations'!$BU$8</c:f>
              <c:strCache>
                <c:ptCount val="1"/>
                <c:pt idx="0">
                  <c:v>Boost ''SYNC'' MOSFET Loss</c:v>
                </c:pt>
              </c:strCache>
            </c:strRef>
          </c:tx>
          <c:spPr>
            <a:ln>
              <a:prstDash val="sysDash"/>
            </a:ln>
          </c:spPr>
          <c:marker>
            <c:symbol val="none"/>
          </c:marker>
          <c:val>
            <c:numRef>
              <c:f>'Efficiency vs Load Calculations'!$BU$9:$BU$109</c:f>
              <c:numCache>
                <c:formatCode>0.000</c:formatCode>
                <c:ptCount val="101"/>
                <c:pt idx="0">
                  <c:v>2.1687871183774165E-3</c:v>
                </c:pt>
                <c:pt idx="1">
                  <c:v>3.0216918141412735E-3</c:v>
                </c:pt>
                <c:pt idx="2">
                  <c:v>3.995654946119029E-3</c:v>
                </c:pt>
                <c:pt idx="3">
                  <c:v>5.0907082406415564E-3</c:v>
                </c:pt>
                <c:pt idx="4">
                  <c:v>6.3069045460529367E-3</c:v>
                </c:pt>
                <c:pt idx="5">
                  <c:v>7.6443178557472988E-3</c:v>
                </c:pt>
                <c:pt idx="6">
                  <c:v>9.1030433404350811E-3</c:v>
                </c:pt>
                <c:pt idx="7">
                  <c:v>1.0683197389664995E-2</c:v>
                </c:pt>
                <c:pt idx="8">
                  <c:v>1.2384917662635489E-2</c:v>
                </c:pt>
                <c:pt idx="9">
                  <c:v>1.4208363148337223E-2</c:v>
                </c:pt>
                <c:pt idx="10">
                  <c:v>1.6153714235075511E-2</c:v>
                </c:pt>
                <c:pt idx="11">
                  <c:v>1.8221172789429765E-2</c:v>
                </c:pt>
                <c:pt idx="12">
                  <c:v>2.0410962244714264E-2</c:v>
                </c:pt>
                <c:pt idx="13">
                  <c:v>2.2723327699013064E-2</c:v>
                </c:pt>
                <c:pt idx="14">
                  <c:v>2.5158536022869153E-2</c:v>
                </c:pt>
                <c:pt idx="15">
                  <c:v>2.7716875976716876E-2</c:v>
                </c:pt>
                <c:pt idx="16">
                  <c:v>3.0398658338153826E-2</c:v>
                </c:pt>
                <c:pt idx="17">
                  <c:v>3.3204216039157783E-2</c:v>
                </c:pt>
                <c:pt idx="18">
                  <c:v>3.6133904313361977E-2</c:v>
                </c:pt>
                <c:pt idx="19">
                  <c:v>3.918810085351096E-2</c:v>
                </c:pt>
                <c:pt idx="20">
                  <c:v>4.2367205979227961E-2</c:v>
                </c:pt>
                <c:pt idx="21">
                  <c:v>4.5671642815233733E-2</c:v>
                </c:pt>
                <c:pt idx="22">
                  <c:v>4.9101857480165975E-2</c:v>
                </c:pt>
                <c:pt idx="23">
                  <c:v>5.2658319286157614E-2</c:v>
                </c:pt>
                <c:pt idx="24">
                  <c:v>5.634152094934218E-2</c:v>
                </c:pt>
                <c:pt idx="25">
                  <c:v>6.0151978811463738E-2</c:v>
                </c:pt>
                <c:pt idx="26">
                  <c:v>6.4090233072779515E-2</c:v>
                </c:pt>
                <c:pt idx="27">
                  <c:v>6.8156848036453097E-2</c:v>
                </c:pt>
                <c:pt idx="28">
                  <c:v>7.2352412364647234E-2</c:v>
                </c:pt>
                <c:pt idx="29">
                  <c:v>7.6677539346535178E-2</c:v>
                </c:pt>
                <c:pt idx="30">
                  <c:v>8.1132867178461965E-2</c:v>
                </c:pt>
                <c:pt idx="31">
                  <c:v>8.571905925649749E-2</c:v>
                </c:pt>
                <c:pt idx="32">
                  <c:v>9.0436804481635352E-2</c:v>
                </c:pt>
                <c:pt idx="33">
                  <c:v>9.5286817577903887E-2</c:v>
                </c:pt>
                <c:pt idx="34">
                  <c:v>0.10026983942366831</c:v>
                </c:pt>
                <c:pt idx="35">
                  <c:v>0.1053866373964148</c:v>
                </c:pt>
                <c:pt idx="36">
                  <c:v>0.1106380057313236</c:v>
                </c:pt>
                <c:pt idx="37">
                  <c:v>0.11602476589394758</c:v>
                </c:pt>
                <c:pt idx="38">
                  <c:v>0.12154776696733184</c:v>
                </c:pt>
                <c:pt idx="39">
                  <c:v>0.12720788605392108</c:v>
                </c:pt>
                <c:pt idx="40">
                  <c:v>0.13300602869261818</c:v>
                </c:pt>
                <c:pt idx="41">
                  <c:v>0.13894312929137373</c:v>
                </c:pt>
                <c:pt idx="42">
                  <c:v>0.14502015157570194</c:v>
                </c:pt>
                <c:pt idx="43">
                  <c:v>0.15123808905353459</c:v>
                </c:pt>
                <c:pt idx="44">
                  <c:v>0.15759796549684463</c:v>
                </c:pt>
                <c:pt idx="45">
                  <c:v>0.16410083544048709</c:v>
                </c:pt>
                <c:pt idx="46">
                  <c:v>0.17074778469872454</c:v>
                </c:pt>
                <c:pt idx="47">
                  <c:v>0.1775399308999247</c:v>
                </c:pt>
                <c:pt idx="48">
                  <c:v>0.18447842403993778</c:v>
                </c:pt>
                <c:pt idx="49">
                  <c:v>0.19156444705468145</c:v>
                </c:pt>
                <c:pt idx="50">
                  <c:v>0.19879921641248585</c:v>
                </c:pt>
                <c:pt idx="51">
                  <c:v>0.20618398272677083</c:v>
                </c:pt>
                <c:pt idx="52">
                  <c:v>0.21372003138965451</c:v>
                </c:pt>
                <c:pt idx="53">
                  <c:v>0.2214086832271146</c:v>
                </c:pt>
                <c:pt idx="54">
                  <c:v>0.22925129517635137</c:v>
                </c:pt>
                <c:pt idx="55">
                  <c:v>0.23724926098602794</c:v>
                </c:pt>
                <c:pt idx="56">
                  <c:v>0.24540401194009059</c:v>
                </c:pt>
                <c:pt idx="57">
                  <c:v>0.25371701760590165</c:v>
                </c:pt>
                <c:pt idx="58">
                  <c:v>0.26218978660744907</c:v>
                </c:pt>
                <c:pt idx="59">
                  <c:v>0.27082386742442627</c:v>
                </c:pt>
                <c:pt idx="60">
                  <c:v>0.2796208492180095</c:v>
                </c:pt>
                <c:pt idx="61">
                  <c:v>0.28858236268419912</c:v>
                </c:pt>
                <c:pt idx="62">
                  <c:v>0.29771008093561702</c:v>
                </c:pt>
                <c:pt idx="63">
                  <c:v>0.30700572041270174</c:v>
                </c:pt>
                <c:pt idx="64">
                  <c:v>0.3164710418252748</c:v>
                </c:pt>
                <c:pt idx="65">
                  <c:v>0.32610785112549318</c:v>
                </c:pt>
                <c:pt idx="66">
                  <c:v>0.33591800051324988</c:v>
                </c:pt>
                <c:pt idx="67">
                  <c:v>0.34590338947512517</c:v>
                </c:pt>
                <c:pt idx="68">
                  <c:v>0.35606596585804023</c:v>
                </c:pt>
                <c:pt idx="69">
                  <c:v>0.36640772697881246</c:v>
                </c:pt>
                <c:pt idx="70">
                  <c:v>0.37693072077086442</c:v>
                </c:pt>
                <c:pt idx="71">
                  <c:v>0.38763704696939127</c:v>
                </c:pt>
                <c:pt idx="72">
                  <c:v>0.39852885833634755</c:v>
                </c:pt>
                <c:pt idx="73">
                  <c:v>0.40960836192667294</c:v>
                </c:pt>
                <c:pt idx="74">
                  <c:v>0.42087782039723781</c:v>
                </c:pt>
                <c:pt idx="75">
                  <c:v>0.43233955336005675</c:v>
                </c:pt>
                <c:pt idx="76">
                  <c:v>0.44399593878137866</c:v>
                </c:pt>
                <c:pt idx="77">
                  <c:v>0.45584941442834437</c:v>
                </c:pt>
                <c:pt idx="78">
                  <c:v>0.46790247936496077</c:v>
                </c:pt>
                <c:pt idx="79">
                  <c:v>0.4801576954992382</c:v>
                </c:pt>
                <c:pt idx="80">
                  <c:v>0.49261768918339865</c:v>
                </c:pt>
                <c:pt idx="81">
                  <c:v>0.50528515286916698</c:v>
                </c:pt>
                <c:pt idx="82">
                  <c:v>0.51816284682022939</c:v>
                </c:pt>
                <c:pt idx="83">
                  <c:v>0.53125360088405604</c:v>
                </c:pt>
                <c:pt idx="84">
                  <c:v>0.54456031632536617</c:v>
                </c:pt>
                <c:pt idx="85">
                  <c:v>0.55808596772363295</c:v>
                </c:pt>
                <c:pt idx="86">
                  <c:v>0.57183360493712387</c:v>
                </c:pt>
                <c:pt idx="87">
                  <c:v>0.58580635513609203</c:v>
                </c:pt>
                <c:pt idx="88">
                  <c:v>0.60000742490786008</c:v>
                </c:pt>
                <c:pt idx="89">
                  <c:v>0.61444010243664882</c:v>
                </c:pt>
                <c:pt idx="90">
                  <c:v>0.62910775976116151</c:v>
                </c:pt>
                <c:pt idx="91">
                  <c:v>0.64401385511304665</c:v>
                </c:pt>
                <c:pt idx="92">
                  <c:v>0.65916193533953737</c:v>
                </c:pt>
                <c:pt idx="93">
                  <c:v>0.67455563841370225</c:v>
                </c:pt>
                <c:pt idx="94">
                  <c:v>0.69019869603591422</c:v>
                </c:pt>
                <c:pt idx="95">
                  <c:v>0.70609493633032272</c:v>
                </c:pt>
                <c:pt idx="96">
                  <c:v>0.72224828664027818</c:v>
                </c:pt>
                <c:pt idx="97">
                  <c:v>0.73866277642687972</c:v>
                </c:pt>
                <c:pt idx="98">
                  <c:v>0.75534254027498648</c:v>
                </c:pt>
                <c:pt idx="99">
                  <c:v>0.77229182101127902</c:v>
                </c:pt>
                <c:pt idx="100">
                  <c:v>0.78951497293915041</c:v>
                </c:pt>
              </c:numCache>
            </c:numRef>
          </c:val>
          <c:smooth val="0"/>
          <c:extLst>
            <c:ext xmlns:c16="http://schemas.microsoft.com/office/drawing/2014/chart" uri="{C3380CC4-5D6E-409C-BE32-E72D297353CC}">
              <c16:uniqueId val="{00000001-6DE2-4BDD-A0AC-7CB4E4B8A287}"/>
            </c:ext>
          </c:extLst>
        </c:ser>
        <c:dLbls>
          <c:showLegendKey val="0"/>
          <c:showVal val="0"/>
          <c:showCatName val="0"/>
          <c:showSerName val="0"/>
          <c:showPercent val="0"/>
          <c:showBubbleSize val="0"/>
        </c:dLbls>
        <c:marker val="1"/>
        <c:smooth val="0"/>
        <c:axId val="196371584"/>
        <c:axId val="196361216"/>
      </c:lineChart>
      <c:catAx>
        <c:axId val="19635712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359296"/>
        <c:crosses val="autoZero"/>
        <c:auto val="1"/>
        <c:lblAlgn val="ctr"/>
        <c:lblOffset val="100"/>
        <c:tickLblSkip val="20"/>
        <c:tickMarkSkip val="20"/>
        <c:noMultiLvlLbl val="1"/>
      </c:catAx>
      <c:valAx>
        <c:axId val="196359296"/>
        <c:scaling>
          <c:orientation val="minMax"/>
          <c:max val="100"/>
          <c:min val="7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357120"/>
        <c:crosses val="autoZero"/>
        <c:crossBetween val="between"/>
        <c:majorUnit val="5"/>
        <c:minorUnit val="2.5"/>
      </c:valAx>
      <c:valAx>
        <c:axId val="19636121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371584"/>
        <c:crosses val="max"/>
        <c:crossBetween val="between"/>
      </c:valAx>
      <c:catAx>
        <c:axId val="196371584"/>
        <c:scaling>
          <c:orientation val="minMax"/>
        </c:scaling>
        <c:delete val="1"/>
        <c:axPos val="b"/>
        <c:numFmt formatCode="General" sourceLinked="1"/>
        <c:majorTickMark val="out"/>
        <c:minorTickMark val="none"/>
        <c:tickLblPos val="nextTo"/>
        <c:crossAx val="196361216"/>
        <c:crosses val="autoZero"/>
        <c:auto val="1"/>
        <c:lblAlgn val="ctr"/>
        <c:lblOffset val="100"/>
        <c:noMultiLvlLbl val="0"/>
      </c:catAx>
      <c:spPr>
        <a:noFill/>
        <a:ln w="25400">
          <a:noFill/>
        </a:ln>
      </c:spPr>
    </c:plotArea>
    <c:legend>
      <c:legendPos val="t"/>
      <c:layout>
        <c:manualLayout>
          <c:xMode val="edge"/>
          <c:yMode val="edge"/>
          <c:x val="0.70196219610883936"/>
          <c:y val="1.1892626175886978E-2"/>
          <c:w val="0.29803780389116075"/>
          <c:h val="0.22140238015534561"/>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I</a:t>
            </a:r>
            <a:r>
              <a:rPr lang="en-US" sz="1800" b="1" i="0" u="none" strike="noStrike" baseline="-25000"/>
              <a:t>OUT</a:t>
            </a:r>
            <a:r>
              <a:rPr lang="en-US" sz="1800" b="1" i="0" u="none" strike="noStrike" baseline="0"/>
              <a:t> = I</a:t>
            </a:r>
            <a:r>
              <a:rPr lang="en-US" sz="1800" b="1" i="0" u="none" strike="noStrike" baseline="-25000"/>
              <a:t>OUT(max)</a:t>
            </a:r>
            <a:endParaRPr lang="en-US" sz="1800">
              <a:latin typeface="Arial" pitchFamily="34" charset="0"/>
              <a:cs typeface="Arial" pitchFamily="34" charset="0"/>
            </a:endParaRPr>
          </a:p>
        </c:rich>
      </c:tx>
      <c:layout>
        <c:manualLayout>
          <c:xMode val="edge"/>
          <c:yMode val="edge"/>
          <c:x val="8.6461554556559683E-2"/>
          <c:y val="5.1078541245190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31750">
              <a:solidFill>
                <a:srgbClr val="FF0000"/>
              </a:solidFill>
              <a:prstDash val="solid"/>
            </a:ln>
          </c:spPr>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Calculations'!$BO$9:$BO$209</c:f>
              <c:numCache>
                <c:formatCode>0.00</c:formatCode>
                <c:ptCount val="201"/>
                <c:pt idx="0">
                  <c:v>95.549377136149715</c:v>
                </c:pt>
                <c:pt idx="1">
                  <c:v>95.532263889966728</c:v>
                </c:pt>
                <c:pt idx="2">
                  <c:v>95.515110946792703</c:v>
                </c:pt>
                <c:pt idx="3">
                  <c:v>95.497921563735773</c:v>
                </c:pt>
                <c:pt idx="4">
                  <c:v>95.480698874935015</c:v>
                </c:pt>
                <c:pt idx="5">
                  <c:v>95.46344589523342</c:v>
                </c:pt>
                <c:pt idx="6">
                  <c:v>95.446165523831439</c:v>
                </c:pt>
                <c:pt idx="7">
                  <c:v>95.428860547907206</c:v>
                </c:pt>
                <c:pt idx="8">
                  <c:v>95.411533646191657</c:v>
                </c:pt>
                <c:pt idx="9">
                  <c:v>95.394187392488902</c:v>
                </c:pt>
                <c:pt idx="10">
                  <c:v>95.37682425913394</c:v>
                </c:pt>
                <c:pt idx="11">
                  <c:v>95.359446620381874</c:v>
                </c:pt>
                <c:pt idx="12">
                  <c:v>95.342056755723192</c:v>
                </c:pt>
                <c:pt idx="13">
                  <c:v>95.324656853121752</c:v>
                </c:pt>
                <c:pt idx="14">
                  <c:v>95.307249012172193</c:v>
                </c:pt>
                <c:pt idx="15">
                  <c:v>95.289835247175219</c:v>
                </c:pt>
                <c:pt idx="16">
                  <c:v>95.272417490129016</c:v>
                </c:pt>
                <c:pt idx="17">
                  <c:v>95.254997593636375</c:v>
                </c:pt>
                <c:pt idx="18">
                  <c:v>95.237577333727103</c:v>
                </c:pt>
                <c:pt idx="19">
                  <c:v>95.220158412596007</c:v>
                </c:pt>
                <c:pt idx="20">
                  <c:v>95.202742461257046</c:v>
                </c:pt>
                <c:pt idx="21">
                  <c:v>95.185331042114257</c:v>
                </c:pt>
                <c:pt idx="22">
                  <c:v>95.167925651451057</c:v>
                </c:pt>
                <c:pt idx="23">
                  <c:v>95.150527721838614</c:v>
                </c:pt>
                <c:pt idx="24">
                  <c:v>95.133138624465204</c:v>
                </c:pt>
                <c:pt idx="25">
                  <c:v>95.11575967138802</c:v>
                </c:pt>
                <c:pt idx="26">
                  <c:v>95.09839211770911</c:v>
                </c:pt>
                <c:pt idx="27">
                  <c:v>95.081037163677209</c:v>
                </c:pt>
                <c:pt idx="28">
                  <c:v>95.063695956717481</c:v>
                </c:pt>
                <c:pt idx="29">
                  <c:v>95.046369593390949</c:v>
                </c:pt>
                <c:pt idx="30">
                  <c:v>95.029059121285471</c:v>
                </c:pt>
                <c:pt idx="31">
                  <c:v>95.011765540840386</c:v>
                </c:pt>
                <c:pt idx="32">
                  <c:v>94.99448980710666</c:v>
                </c:pt>
                <c:pt idx="33">
                  <c:v>94.977232831444454</c:v>
                </c:pt>
                <c:pt idx="34">
                  <c:v>94.959995483160171</c:v>
                </c:pt>
                <c:pt idx="35">
                  <c:v>94.942778591084732</c:v>
                </c:pt>
                <c:pt idx="36">
                  <c:v>94.925582945095016</c:v>
                </c:pt>
                <c:pt idx="37">
                  <c:v>94.908409297580505</c:v>
                </c:pt>
                <c:pt idx="38">
                  <c:v>94.89125836485654</c:v>
                </c:pt>
                <c:pt idx="39">
                  <c:v>94.874130828526404</c:v>
                </c:pt>
                <c:pt idx="40">
                  <c:v>94.85702733679372</c:v>
                </c:pt>
                <c:pt idx="41">
                  <c:v>94.839948505726966</c:v>
                </c:pt>
                <c:pt idx="42">
                  <c:v>94.822894920477651</c:v>
                </c:pt>
                <c:pt idx="43">
                  <c:v>94.805867136453983</c:v>
                </c:pt>
                <c:pt idx="44">
                  <c:v>94.788865680451295</c:v>
                </c:pt>
                <c:pt idx="45">
                  <c:v>94.771891051741136</c:v>
                </c:pt>
                <c:pt idx="46">
                  <c:v>94.754943723120022</c:v>
                </c:pt>
                <c:pt idx="47">
                  <c:v>94.738024141919936</c:v>
                </c:pt>
                <c:pt idx="48">
                  <c:v>94.721132730981111</c:v>
                </c:pt>
                <c:pt idx="49">
                  <c:v>94.704269889589369</c:v>
                </c:pt>
                <c:pt idx="50">
                  <c:v>94.687435994378674</c:v>
                </c:pt>
                <c:pt idx="51">
                  <c:v>94.670631400200222</c:v>
                </c:pt>
                <c:pt idx="52">
                  <c:v>94.653856440959743</c:v>
                </c:pt>
                <c:pt idx="53">
                  <c:v>94.637111430423587</c:v>
                </c:pt>
                <c:pt idx="54">
                  <c:v>94.620396662995148</c:v>
                </c:pt>
                <c:pt idx="55">
                  <c:v>94.603712414462677</c:v>
                </c:pt>
                <c:pt idx="56">
                  <c:v>94.587058942719167</c:v>
                </c:pt>
                <c:pt idx="57">
                  <c:v>94.570436488455982</c:v>
                </c:pt>
                <c:pt idx="58">
                  <c:v>94.553845275830568</c:v>
                </c:pt>
                <c:pt idx="59">
                  <c:v>94.537285513109723</c:v>
                </c:pt>
                <c:pt idx="60">
                  <c:v>94.520757393288861</c:v>
                </c:pt>
                <c:pt idx="61">
                  <c:v>94.504261094688616</c:v>
                </c:pt>
                <c:pt idx="62">
                  <c:v>94.487796781529269</c:v>
                </c:pt>
                <c:pt idx="63">
                  <c:v>94.471364604484052</c:v>
                </c:pt>
                <c:pt idx="64">
                  <c:v>94.454964701211992</c:v>
                </c:pt>
                <c:pt idx="65">
                  <c:v>94.438597196871086</c:v>
                </c:pt>
                <c:pt idx="66">
                  <c:v>94.422262204612551</c:v>
                </c:pt>
                <c:pt idx="67">
                  <c:v>94.405959826056929</c:v>
                </c:pt>
                <c:pt idx="68">
                  <c:v>94.38969015175249</c:v>
                </c:pt>
                <c:pt idx="69">
                  <c:v>94.373453261616874</c:v>
                </c:pt>
                <c:pt idx="70">
                  <c:v>94.357249225362452</c:v>
                </c:pt>
                <c:pt idx="71">
                  <c:v>94.341078102905968</c:v>
                </c:pt>
                <c:pt idx="72">
                  <c:v>94.324939944763088</c:v>
                </c:pt>
                <c:pt idx="73">
                  <c:v>94.308834792428613</c:v>
                </c:pt>
                <c:pt idx="74">
                  <c:v>94.292762678742449</c:v>
                </c:pt>
                <c:pt idx="75">
                  <c:v>94.276723628242337</c:v>
                </c:pt>
                <c:pt idx="76">
                  <c:v>94.260717657503506</c:v>
                </c:pt>
                <c:pt idx="77">
                  <c:v>94.244744775465847</c:v>
                </c:pt>
                <c:pt idx="78">
                  <c:v>94.228804983749185</c:v>
                </c:pt>
                <c:pt idx="79">
                  <c:v>94.212898276956778</c:v>
                </c:pt>
                <c:pt idx="80">
                  <c:v>94.197024642967918</c:v>
                </c:pt>
                <c:pt idx="81">
                  <c:v>94.181184063219547</c:v>
                </c:pt>
                <c:pt idx="82">
                  <c:v>94.165376512977744</c:v>
                </c:pt>
                <c:pt idx="83">
                  <c:v>94.149601961599117</c:v>
                </c:pt>
                <c:pt idx="84">
                  <c:v>94.133860372782678</c:v>
                </c:pt>
                <c:pt idx="85">
                  <c:v>94.118151704812476</c:v>
                </c:pt>
                <c:pt idx="86">
                  <c:v>94.102475910791313</c:v>
                </c:pt>
                <c:pt idx="87">
                  <c:v>94.086832938865825</c:v>
                </c:pt>
                <c:pt idx="88">
                  <c:v>94.071222732443502</c:v>
                </c:pt>
                <c:pt idx="89">
                  <c:v>94.055645230401524</c:v>
                </c:pt>
                <c:pt idx="90">
                  <c:v>94.040100367288105</c:v>
                </c:pt>
                <c:pt idx="91">
                  <c:v>94.024588073516355</c:v>
                </c:pt>
                <c:pt idx="92">
                  <c:v>94.009108275551071</c:v>
                </c:pt>
                <c:pt idx="93">
                  <c:v>93.993660896088684</c:v>
                </c:pt>
                <c:pt idx="94">
                  <c:v>93.978245854230579</c:v>
                </c:pt>
                <c:pt idx="95">
                  <c:v>93.962863065650055</c:v>
                </c:pt>
                <c:pt idx="96">
                  <c:v>93.947512442753165</c:v>
                </c:pt>
                <c:pt idx="97">
                  <c:v>93.932193894833617</c:v>
                </c:pt>
                <c:pt idx="98">
                  <c:v>93.916907328222067</c:v>
                </c:pt>
                <c:pt idx="99">
                  <c:v>93.901652646429781</c:v>
                </c:pt>
                <c:pt idx="100">
                  <c:v>93.886429750287149</c:v>
                </c:pt>
                <c:pt idx="101">
                  <c:v>93.871238538076966</c:v>
                </c:pt>
                <c:pt idx="102">
                  <c:v>93.856078905662983</c:v>
                </c:pt>
                <c:pt idx="103">
                  <c:v>93.840950746613487</c:v>
                </c:pt>
                <c:pt idx="104">
                  <c:v>93.825853952320529</c:v>
                </c:pt>
                <c:pt idx="105">
                  <c:v>93.810788412114604</c:v>
                </c:pt>
                <c:pt idx="106">
                  <c:v>93.795754013375131</c:v>
                </c:pt>
                <c:pt idx="107">
                  <c:v>93.780750641636914</c:v>
                </c:pt>
                <c:pt idx="108">
                  <c:v>93.765778180692536</c:v>
                </c:pt>
                <c:pt idx="109">
                  <c:v>93.750836512691038</c:v>
                </c:pt>
                <c:pt idx="110">
                  <c:v>93.735925518232875</c:v>
                </c:pt>
                <c:pt idx="111">
                  <c:v>93.721045076461408</c:v>
                </c:pt>
                <c:pt idx="112">
                  <c:v>93.706195065150894</c:v>
                </c:pt>
                <c:pt idx="113">
                  <c:v>93.691375360791255</c:v>
                </c:pt>
                <c:pt idx="114">
                  <c:v>93.676585838669695</c:v>
                </c:pt>
                <c:pt idx="115">
                  <c:v>93.661826372949122</c:v>
                </c:pt>
                <c:pt idx="116">
                  <c:v>93.647096836743856</c:v>
                </c:pt>
                <c:pt idx="117">
                  <c:v>93.632397102192272</c:v>
                </c:pt>
                <c:pt idx="118">
                  <c:v>93.617727040526759</c:v>
                </c:pt>
                <c:pt idx="119">
                  <c:v>93.60308652214114</c:v>
                </c:pt>
                <c:pt idx="120">
                  <c:v>93.588475416655456</c:v>
                </c:pt>
                <c:pt idx="121">
                  <c:v>93.573893592978251</c:v>
                </c:pt>
                <c:pt idx="122">
                  <c:v>93.559340919366534</c:v>
                </c:pt>
                <c:pt idx="123">
                  <c:v>93.54481726348348</c:v>
                </c:pt>
                <c:pt idx="124">
                  <c:v>93.530322492453863</c:v>
                </c:pt>
                <c:pt idx="125">
                  <c:v>93.515856472917392</c:v>
                </c:pt>
                <c:pt idx="126">
                  <c:v>93.501419071079965</c:v>
                </c:pt>
                <c:pt idx="127">
                  <c:v>93.48701015276302</c:v>
                </c:pt>
                <c:pt idx="128">
                  <c:v>93.472629583450811</c:v>
                </c:pt>
                <c:pt idx="129">
                  <c:v>93.458277228336087</c:v>
                </c:pt>
                <c:pt idx="130">
                  <c:v>93.443952952363645</c:v>
                </c:pt>
                <c:pt idx="131">
                  <c:v>93.429656620272553</c:v>
                </c:pt>
                <c:pt idx="132">
                  <c:v>93.415388096636448</c:v>
                </c:pt>
                <c:pt idx="133">
                  <c:v>93.401147245902294</c:v>
                </c:pt>
                <c:pt idx="134">
                  <c:v>93.386933932427667</c:v>
                </c:pt>
                <c:pt idx="135">
                  <c:v>93.372748020516511</c:v>
                </c:pt>
                <c:pt idx="136">
                  <c:v>93.358589374453373</c:v>
                </c:pt>
                <c:pt idx="137">
                  <c:v>93.34445785853643</c:v>
                </c:pt>
                <c:pt idx="138">
                  <c:v>93.330353337109045</c:v>
                </c:pt>
                <c:pt idx="139">
                  <c:v>93.316275674590059</c:v>
                </c:pt>
                <c:pt idx="140">
                  <c:v>93.302224735502875</c:v>
                </c:pt>
                <c:pt idx="141">
                  <c:v>93.288200384503256</c:v>
                </c:pt>
                <c:pt idx="142">
                  <c:v>93.274202486406182</c:v>
                </c:pt>
                <c:pt idx="143">
                  <c:v>93.260230906211234</c:v>
                </c:pt>
                <c:pt idx="144">
                  <c:v>93.246285509127276</c:v>
                </c:pt>
                <c:pt idx="145">
                  <c:v>93.23236616059576</c:v>
                </c:pt>
                <c:pt idx="146">
                  <c:v>93.218472726313394</c:v>
                </c:pt>
                <c:pt idx="147">
                  <c:v>93.204605072253472</c:v>
                </c:pt>
                <c:pt idx="148">
                  <c:v>93.190763064686479</c:v>
                </c:pt>
                <c:pt idx="149">
                  <c:v>93.176946570199775</c:v>
                </c:pt>
                <c:pt idx="150">
                  <c:v>93.163155455716378</c:v>
                </c:pt>
                <c:pt idx="151">
                  <c:v>93.14938958851296</c:v>
                </c:pt>
                <c:pt idx="152">
                  <c:v>93.135648836236882</c:v>
                </c:pt>
                <c:pt idx="153">
                  <c:v>93.121933066922693</c:v>
                </c:pt>
                <c:pt idx="154">
                  <c:v>93.108242149007651</c:v>
                </c:pt>
                <c:pt idx="155">
                  <c:v>93.094575951346641</c:v>
                </c:pt>
                <c:pt idx="156">
                  <c:v>93.080934343226374</c:v>
                </c:pt>
                <c:pt idx="157">
                  <c:v>93.06731719437883</c:v>
                </c:pt>
                <c:pt idx="158">
                  <c:v>93.053724374994232</c:v>
                </c:pt>
                <c:pt idx="159">
                  <c:v>93.040155755733153</c:v>
                </c:pt>
                <c:pt idx="160">
                  <c:v>93.026611207738256</c:v>
                </c:pt>
                <c:pt idx="161">
                  <c:v>93.013090602645221</c:v>
                </c:pt>
                <c:pt idx="162">
                  <c:v>92.999593812593289</c:v>
                </c:pt>
                <c:pt idx="163">
                  <c:v>92.986120710235198</c:v>
                </c:pt>
                <c:pt idx="164">
                  <c:v>92.97267116874653</c:v>
                </c:pt>
                <c:pt idx="165">
                  <c:v>92.959245061834693</c:v>
                </c:pt>
                <c:pt idx="166">
                  <c:v>92.945842263747238</c:v>
                </c:pt>
                <c:pt idx="167">
                  <c:v>92.932462649279884</c:v>
                </c:pt>
                <c:pt idx="168">
                  <c:v>92.919106093784023</c:v>
                </c:pt>
                <c:pt idx="169">
                  <c:v>92.905772473173627</c:v>
                </c:pt>
                <c:pt idx="170">
                  <c:v>92.892461663932096</c:v>
                </c:pt>
                <c:pt idx="171">
                  <c:v>92.879173543118284</c:v>
                </c:pt>
                <c:pt idx="172">
                  <c:v>92.86590798837247</c:v>
                </c:pt>
                <c:pt idx="173">
                  <c:v>92.852664877921754</c:v>
                </c:pt>
                <c:pt idx="174">
                  <c:v>92.839444090585204</c:v>
                </c:pt>
                <c:pt idx="175">
                  <c:v>92.826245505778488</c:v>
                </c:pt>
                <c:pt idx="176">
                  <c:v>92.813069003518436</c:v>
                </c:pt>
                <c:pt idx="177">
                  <c:v>92.799914464427019</c:v>
                </c:pt>
                <c:pt idx="178">
                  <c:v>92.786781769735157</c:v>
                </c:pt>
                <c:pt idx="179">
                  <c:v>92.773670801286173</c:v>
                </c:pt>
                <c:pt idx="180">
                  <c:v>92.76058144153896</c:v>
                </c:pt>
                <c:pt idx="181">
                  <c:v>92.747513573570956</c:v>
                </c:pt>
                <c:pt idx="182">
                  <c:v>92.73446708108068</c:v>
                </c:pt>
                <c:pt idx="183">
                  <c:v>92.721441848390143</c:v>
                </c:pt>
                <c:pt idx="184">
                  <c:v>92.708437760446998</c:v>
                </c:pt>
                <c:pt idx="185">
                  <c:v>92.695454702826368</c:v>
                </c:pt>
                <c:pt idx="186">
                  <c:v>92.682492561732573</c:v>
                </c:pt>
                <c:pt idx="187">
                  <c:v>92.669551224000486</c:v>
                </c:pt>
                <c:pt idx="188">
                  <c:v>92.656630577096749</c:v>
                </c:pt>
                <c:pt idx="189">
                  <c:v>92.6437305091209</c:v>
                </c:pt>
                <c:pt idx="190">
                  <c:v>92.630850908806082</c:v>
                </c:pt>
                <c:pt idx="191">
                  <c:v>92.617991665519611</c:v>
                </c:pt>
                <c:pt idx="192">
                  <c:v>92.605152669263575</c:v>
                </c:pt>
                <c:pt idx="193">
                  <c:v>92.592333810675029</c:v>
                </c:pt>
                <c:pt idx="194">
                  <c:v>92.579534981026043</c:v>
                </c:pt>
                <c:pt idx="195">
                  <c:v>92.56675607222374</c:v>
                </c:pt>
                <c:pt idx="196">
                  <c:v>92.553996976809941</c:v>
                </c:pt>
                <c:pt idx="197">
                  <c:v>92.541257587960942</c:v>
                </c:pt>
                <c:pt idx="198">
                  <c:v>92.528537799486955</c:v>
                </c:pt>
                <c:pt idx="199">
                  <c:v>92.515837505831371</c:v>
                </c:pt>
                <c:pt idx="200">
                  <c:v>92.503156602070149</c:v>
                </c:pt>
              </c:numCache>
            </c:numRef>
          </c:val>
          <c:smooth val="0"/>
          <c:extLst>
            <c:ext xmlns:c16="http://schemas.microsoft.com/office/drawing/2014/chart" uri="{C3380CC4-5D6E-409C-BE32-E72D297353CC}">
              <c16:uniqueId val="{00000000-9AA8-4F44-9279-F2DFD4BF490C}"/>
            </c:ext>
          </c:extLst>
        </c:ser>
        <c:dLbls>
          <c:showLegendKey val="0"/>
          <c:showVal val="0"/>
          <c:showCatName val="0"/>
          <c:showSerName val="0"/>
          <c:showPercent val="0"/>
          <c:showBubbleSize val="0"/>
        </c:dLbls>
        <c:marker val="1"/>
        <c:smooth val="0"/>
        <c:axId val="196417792"/>
        <c:axId val="196419968"/>
      </c:lineChart>
      <c:lineChart>
        <c:grouping val="standard"/>
        <c:varyColors val="0"/>
        <c:ser>
          <c:idx val="3"/>
          <c:order val="1"/>
          <c:tx>
            <c:v>Inductor Loss</c:v>
          </c:tx>
          <c:spPr>
            <a:ln w="38100">
              <a:solidFill>
                <a:srgbClr val="800080"/>
              </a:solidFill>
              <a:prstDash val="dash"/>
            </a:ln>
          </c:spPr>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Calculations'!$BP$9:$BP$209</c:f>
              <c:numCache>
                <c:formatCode>0.000</c:formatCode>
                <c:ptCount val="201"/>
                <c:pt idx="0">
                  <c:v>1.1664963483138355</c:v>
                </c:pt>
                <c:pt idx="1">
                  <c:v>1.1783832701555945</c:v>
                </c:pt>
                <c:pt idx="2">
                  <c:v>1.1903891876899488</c:v>
                </c:pt>
                <c:pt idx="3">
                  <c:v>1.2025073878656187</c:v>
                </c:pt>
                <c:pt idx="4">
                  <c:v>1.2147313975756808</c:v>
                </c:pt>
                <c:pt idx="5">
                  <c:v>1.2270549766372592</c:v>
                </c:pt>
                <c:pt idx="6">
                  <c:v>1.2394721108087612</c:v>
                </c:pt>
                <c:pt idx="7">
                  <c:v>1.2519770048712224</c:v>
                </c:pt>
                <c:pt idx="8">
                  <c:v>1.2645640757957135</c:v>
                </c:pt>
                <c:pt idx="9">
                  <c:v>1.2772279460147808</c:v>
                </c:pt>
                <c:pt idx="10">
                  <c:v>1.2899634368125192</c:v>
                </c:pt>
                <c:pt idx="11">
                  <c:v>1.3027655618449869</c:v>
                </c:pt>
                <c:pt idx="12">
                  <c:v>1.3156295208001829</c:v>
                </c:pt>
                <c:pt idx="13">
                  <c:v>1.3285506932047102</c:v>
                </c:pt>
                <c:pt idx="14">
                  <c:v>1.3415246323824344</c:v>
                </c:pt>
                <c:pt idx="15">
                  <c:v>1.3545470595689051</c:v>
                </c:pt>
                <c:pt idx="16">
                  <c:v>1.3676138581840214</c:v>
                </c:pt>
                <c:pt idx="17">
                  <c:v>1.3807210682642745</c:v>
                </c:pt>
                <c:pt idx="18">
                  <c:v>1.3938648810549974</c:v>
                </c:pt>
                <c:pt idx="19">
                  <c:v>1.4070416337622322</c:v>
                </c:pt>
                <c:pt idx="20">
                  <c:v>1.4202478044631612</c:v>
                </c:pt>
                <c:pt idx="21">
                  <c:v>1.4334800071735168</c:v>
                </c:pt>
                <c:pt idx="22">
                  <c:v>1.4467349870698509</c:v>
                </c:pt>
                <c:pt idx="23">
                  <c:v>1.4600096158642786</c:v>
                </c:pt>
                <c:pt idx="24">
                  <c:v>1.4733008873288647</c:v>
                </c:pt>
                <c:pt idx="25">
                  <c:v>1.4866059129666853</c:v>
                </c:pt>
                <c:pt idx="26">
                  <c:v>1.4999219178263286</c:v>
                </c:pt>
                <c:pt idx="27">
                  <c:v>1.5132462364564618</c:v>
                </c:pt>
                <c:pt idx="28">
                  <c:v>1.5265763089970132</c:v>
                </c:pt>
                <c:pt idx="29">
                  <c:v>1.5399096774033554</c:v>
                </c:pt>
                <c:pt idx="30">
                  <c:v>1.5532439817999366</c:v>
                </c:pt>
                <c:pt idx="31">
                  <c:v>1.5665769569596513</c:v>
                </c:pt>
                <c:pt idx="32">
                  <c:v>1.5799064289053455</c:v>
                </c:pt>
                <c:pt idx="33">
                  <c:v>1.5932303116297901</c:v>
                </c:pt>
                <c:pt idx="34">
                  <c:v>1.6065466039305125</c:v>
                </c:pt>
                <c:pt idx="35">
                  <c:v>1.6198533863558988</c:v>
                </c:pt>
                <c:pt idx="36">
                  <c:v>1.6331488182590457</c:v>
                </c:pt>
                <c:pt idx="37">
                  <c:v>1.6464311349558671</c:v>
                </c:pt>
                <c:pt idx="38">
                  <c:v>1.6596986449840616</c:v>
                </c:pt>
                <c:pt idx="39">
                  <c:v>1.6729497274595779</c:v>
                </c:pt>
                <c:pt idx="40">
                  <c:v>1.6861828295273189</c:v>
                </c:pt>
                <c:pt idx="41">
                  <c:v>1.6993964639028876</c:v>
                </c:pt>
                <c:pt idx="42">
                  <c:v>1.7125892065022597</c:v>
                </c:pt>
                <c:pt idx="43">
                  <c:v>1.7257596941563396</c:v>
                </c:pt>
                <c:pt idx="44">
                  <c:v>1.7389066224074852</c:v>
                </c:pt>
                <c:pt idx="45">
                  <c:v>1.7520287433850754</c:v>
                </c:pt>
                <c:pt idx="46">
                  <c:v>1.7651248637574086</c:v>
                </c:pt>
                <c:pt idx="47">
                  <c:v>1.778193842757178</c:v>
                </c:pt>
                <c:pt idx="48">
                  <c:v>1.7912345902779312</c:v>
                </c:pt>
                <c:pt idx="49">
                  <c:v>1.8042460650389902</c:v>
                </c:pt>
                <c:pt idx="50">
                  <c:v>1.8172272728163485</c:v>
                </c:pt>
                <c:pt idx="51">
                  <c:v>1.8301772647372176</c:v>
                </c:pt>
                <c:pt idx="52">
                  <c:v>1.8430951356358847</c:v>
                </c:pt>
                <c:pt idx="53">
                  <c:v>1.855980022468706</c:v>
                </c:pt>
                <c:pt idx="54">
                  <c:v>1.8688311027860562</c:v>
                </c:pt>
                <c:pt idx="55">
                  <c:v>1.8816475932591961</c:v>
                </c:pt>
                <c:pt idx="56">
                  <c:v>1.894428748260059</c:v>
                </c:pt>
                <c:pt idx="57">
                  <c:v>1.9071738584920055</c:v>
                </c:pt>
                <c:pt idx="58">
                  <c:v>1.919882249669723</c:v>
                </c:pt>
                <c:pt idx="59">
                  <c:v>1.932553281246455</c:v>
                </c:pt>
                <c:pt idx="60">
                  <c:v>1.9451863451868334</c:v>
                </c:pt>
                <c:pt idx="61">
                  <c:v>1.9577808647836685</c:v>
                </c:pt>
                <c:pt idx="62">
                  <c:v>1.9703362935170581</c:v>
                </c:pt>
                <c:pt idx="63">
                  <c:v>1.9828521139542974</c:v>
                </c:pt>
                <c:pt idx="64">
                  <c:v>1.9953278366890872</c:v>
                </c:pt>
                <c:pt idx="65">
                  <c:v>2.0077629993186012</c:v>
                </c:pt>
                <c:pt idx="66">
                  <c:v>2.0201571654570234</c:v>
                </c:pt>
                <c:pt idx="67">
                  <c:v>2.0325099237842568</c:v>
                </c:pt>
                <c:pt idx="68">
                  <c:v>2.0448208871284654</c:v>
                </c:pt>
                <c:pt idx="69">
                  <c:v>2.0570896915812473</c:v>
                </c:pt>
                <c:pt idx="70">
                  <c:v>2.0693159956442653</c:v>
                </c:pt>
                <c:pt idx="71">
                  <c:v>2.0814994794061419</c:v>
                </c:pt>
                <c:pt idx="72">
                  <c:v>2.0936398437485524</c:v>
                </c:pt>
                <c:pt idx="73">
                  <c:v>2.1057368095804256</c:v>
                </c:pt>
                <c:pt idx="74">
                  <c:v>2.1177901170992759</c:v>
                </c:pt>
                <c:pt idx="75">
                  <c:v>2.1297995250786137</c:v>
                </c:pt>
                <c:pt idx="76">
                  <c:v>2.1417648101805451</c:v>
                </c:pt>
                <c:pt idx="77">
                  <c:v>2.1536857662926252</c:v>
                </c:pt>
                <c:pt idx="78">
                  <c:v>2.1655622038880722</c:v>
                </c:pt>
                <c:pt idx="79">
                  <c:v>2.1773939494085326</c:v>
                </c:pt>
                <c:pt idx="80">
                  <c:v>2.1891808446685435</c:v>
                </c:pt>
                <c:pt idx="81">
                  <c:v>2.2009227462809351</c:v>
                </c:pt>
                <c:pt idx="82">
                  <c:v>2.2126195251023999</c:v>
                </c:pt>
                <c:pt idx="83">
                  <c:v>2.2242710656985385</c:v>
                </c:pt>
                <c:pt idx="84">
                  <c:v>2.2358772658276242</c:v>
                </c:pt>
                <c:pt idx="85">
                  <c:v>2.2474380359424622</c:v>
                </c:pt>
                <c:pt idx="86">
                  <c:v>2.2589532987096708</c:v>
                </c:pt>
                <c:pt idx="87">
                  <c:v>2.2704229885457834</c:v>
                </c:pt>
                <c:pt idx="88">
                  <c:v>2.2818470511695303</c:v>
                </c:pt>
                <c:pt idx="89">
                  <c:v>2.2932254431697614</c:v>
                </c:pt>
                <c:pt idx="90">
                  <c:v>2.3045581315884411</c:v>
                </c:pt>
                <c:pt idx="91">
                  <c:v>2.315845093518158</c:v>
                </c:pt>
                <c:pt idx="92">
                  <c:v>2.3270863157136645</c:v>
                </c:pt>
                <c:pt idx="93">
                  <c:v>2.3382817942169294</c:v>
                </c:pt>
                <c:pt idx="94">
                  <c:v>2.3494315339952312</c:v>
                </c:pt>
                <c:pt idx="95">
                  <c:v>2.3605355485918111</c:v>
                </c:pt>
                <c:pt idx="96">
                  <c:v>2.371593859788693</c:v>
                </c:pt>
                <c:pt idx="97">
                  <c:v>2.3826064972811754</c:v>
                </c:pt>
                <c:pt idx="98">
                  <c:v>2.3935734983636308</c:v>
                </c:pt>
                <c:pt idx="99">
                  <c:v>2.4044949076261926</c:v>
                </c:pt>
                <c:pt idx="100">
                  <c:v>2.4153707766619683</c:v>
                </c:pt>
                <c:pt idx="101">
                  <c:v>2.4262011637843726</c:v>
                </c:pt>
                <c:pt idx="102">
                  <c:v>2.4369861337542753</c:v>
                </c:pt>
                <c:pt idx="103">
                  <c:v>2.4477257575165736</c:v>
                </c:pt>
                <c:pt idx="104">
                  <c:v>2.4584201119458911</c:v>
                </c:pt>
                <c:pt idx="105">
                  <c:v>2.4690692796010674</c:v>
                </c:pt>
                <c:pt idx="106">
                  <c:v>2.4796733484881606</c:v>
                </c:pt>
                <c:pt idx="107">
                  <c:v>2.4902324118316193</c:v>
                </c:pt>
                <c:pt idx="108">
                  <c:v>2.500746567853386</c:v>
                </c:pt>
                <c:pt idx="109">
                  <c:v>2.5112159195596222</c:v>
                </c:pt>
                <c:pt idx="110">
                  <c:v>2.5216405745348349</c:v>
                </c:pt>
                <c:pt idx="111">
                  <c:v>2.5320206447430897</c:v>
                </c:pt>
                <c:pt idx="112">
                  <c:v>2.5423562463361331</c:v>
                </c:pt>
                <c:pt idx="113">
                  <c:v>2.5526474994681063</c:v>
                </c:pt>
                <c:pt idx="114">
                  <c:v>2.5628945281167259</c:v>
                </c:pt>
                <c:pt idx="115">
                  <c:v>2.5730974599105907</c:v>
                </c:pt>
                <c:pt idx="116">
                  <c:v>2.5832564259625181</c:v>
                </c:pt>
                <c:pt idx="117">
                  <c:v>2.5933715607086176</c:v>
                </c:pt>
                <c:pt idx="118">
                  <c:v>2.603443001752956</c:v>
                </c:pt>
                <c:pt idx="119">
                  <c:v>2.6134708897176</c:v>
                </c:pt>
                <c:pt idx="120">
                  <c:v>2.6234553680978552</c:v>
                </c:pt>
                <c:pt idx="121">
                  <c:v>2.6333965831225461</c:v>
                </c:pt>
                <c:pt idx="122">
                  <c:v>2.6432946836191182</c:v>
                </c:pt>
                <c:pt idx="123">
                  <c:v>2.6531498208834532</c:v>
                </c:pt>
                <c:pt idx="124">
                  <c:v>2.6629621485542092</c:v>
                </c:pt>
                <c:pt idx="125">
                  <c:v>2.6727318224915084</c:v>
                </c:pt>
                <c:pt idx="126">
                  <c:v>2.6824590006599012</c:v>
                </c:pt>
                <c:pt idx="127">
                  <c:v>2.6921438430153604</c:v>
                </c:pt>
                <c:pt idx="128">
                  <c:v>2.7017865113962718</c:v>
                </c:pt>
                <c:pt idx="129">
                  <c:v>2.7113871694181775</c:v>
                </c:pt>
                <c:pt idx="130">
                  <c:v>2.7209459823722768</c:v>
                </c:pt>
                <c:pt idx="131">
                  <c:v>2.7304631171274143</c:v>
                </c:pt>
                <c:pt idx="132">
                  <c:v>2.7399387420355716</c:v>
                </c:pt>
                <c:pt idx="133">
                  <c:v>2.7493730268406344</c:v>
                </c:pt>
                <c:pt idx="134">
                  <c:v>2.7587661425904031</c:v>
                </c:pt>
                <c:pt idx="135">
                  <c:v>2.7681182615516926</c:v>
                </c:pt>
                <c:pt idx="136">
                  <c:v>2.7774295571284675</c:v>
                </c:pt>
                <c:pt idx="137">
                  <c:v>2.786700203782805</c:v>
                </c:pt>
                <c:pt idx="138">
                  <c:v>2.7959303769587605</c:v>
                </c:pt>
                <c:pt idx="139">
                  <c:v>2.8051202530088668</c:v>
                </c:pt>
                <c:pt idx="140">
                  <c:v>2.8142700091232733</c:v>
                </c:pt>
                <c:pt idx="141">
                  <c:v>2.8233798232614471</c:v>
                </c:pt>
                <c:pt idx="142">
                  <c:v>2.8324498740862958</c:v>
                </c:pt>
                <c:pt idx="143">
                  <c:v>2.8414803409006462</c:v>
                </c:pt>
                <c:pt idx="144">
                  <c:v>2.8504714035860528</c:v>
                </c:pt>
                <c:pt idx="145">
                  <c:v>2.8594232425437807</c:v>
                </c:pt>
                <c:pt idx="146">
                  <c:v>2.8683360386379468</c:v>
                </c:pt>
                <c:pt idx="147">
                  <c:v>2.8772099731407152</c:v>
                </c:pt>
                <c:pt idx="148">
                  <c:v>2.8860452276795168</c:v>
                </c:pt>
                <c:pt idx="149">
                  <c:v>2.8948419841861779</c:v>
                </c:pt>
                <c:pt idx="150">
                  <c:v>2.9036004248479235</c:v>
                </c:pt>
                <c:pt idx="151">
                  <c:v>2.9123207320601949</c:v>
                </c:pt>
                <c:pt idx="152">
                  <c:v>2.9210030883812217</c:v>
                </c:pt>
                <c:pt idx="153">
                  <c:v>2.9296476764882482</c:v>
                </c:pt>
                <c:pt idx="154">
                  <c:v>2.9382546791354534</c:v>
                </c:pt>
                <c:pt idx="155">
                  <c:v>2.946824279113383</c:v>
                </c:pt>
                <c:pt idx="156">
                  <c:v>2.9553566592099756</c:v>
                </c:pt>
                <c:pt idx="157">
                  <c:v>2.9638520021730042</c:v>
                </c:pt>
                <c:pt idx="158">
                  <c:v>2.9723104906739937</c:v>
                </c:pt>
                <c:pt idx="159">
                  <c:v>2.9807323072734979</c:v>
                </c:pt>
                <c:pt idx="160">
                  <c:v>2.9891176343877293</c:v>
                </c:pt>
                <c:pt idx="161">
                  <c:v>2.9974666542564368</c:v>
                </c:pt>
                <c:pt idx="162">
                  <c:v>3.0057795489121002</c:v>
                </c:pt>
                <c:pt idx="163">
                  <c:v>3.0140565001502693</c:v>
                </c:pt>
                <c:pt idx="164">
                  <c:v>3.022297689501122</c:v>
                </c:pt>
                <c:pt idx="165">
                  <c:v>3.0305032982021118</c:v>
                </c:pt>
                <c:pt idx="166">
                  <c:v>3.0386735071717261</c:v>
                </c:pt>
                <c:pt idx="167">
                  <c:v>3.0468084969843141</c:v>
                </c:pt>
                <c:pt idx="168">
                  <c:v>3.0549084478459001</c:v>
                </c:pt>
                <c:pt idx="169">
                  <c:v>3.0629735395710243</c:v>
                </c:pt>
                <c:pt idx="170">
                  <c:v>3.0710039515605132</c:v>
                </c:pt>
                <c:pt idx="171">
                  <c:v>3.0789998627801798</c:v>
                </c:pt>
                <c:pt idx="172">
                  <c:v>3.0869614517404202</c:v>
                </c:pt>
                <c:pt idx="173">
                  <c:v>3.0948888964766708</c:v>
                </c:pt>
                <c:pt idx="174">
                  <c:v>3.1027823745307059</c:v>
                </c:pt>
                <c:pt idx="175">
                  <c:v>3.1106420629327314</c:v>
                </c:pt>
                <c:pt idx="176">
                  <c:v>3.1184681381842694</c:v>
                </c:pt>
                <c:pt idx="177">
                  <c:v>3.1262607762417902</c:v>
                </c:pt>
                <c:pt idx="178">
                  <c:v>3.1340201525010878</c:v>
                </c:pt>
                <c:pt idx="179">
                  <c:v>3.1417464417823471</c:v>
                </c:pt>
                <c:pt idx="180">
                  <c:v>3.1494398183158863</c:v>
                </c:pt>
                <c:pt idx="181">
                  <c:v>3.1571004557285822</c:v>
                </c:pt>
                <c:pt idx="182">
                  <c:v>3.1647285270309249</c:v>
                </c:pt>
                <c:pt idx="183">
                  <c:v>3.1723242046046685</c:v>
                </c:pt>
                <c:pt idx="184">
                  <c:v>3.1798876601911026</c:v>
                </c:pt>
                <c:pt idx="185">
                  <c:v>3.1874190648798884</c:v>
                </c:pt>
                <c:pt idx="186">
                  <c:v>3.1949185890984602</c:v>
                </c:pt>
                <c:pt idx="187">
                  <c:v>3.2023864026019524</c:v>
                </c:pt>
                <c:pt idx="188">
                  <c:v>3.2098226744636373</c:v>
                </c:pt>
                <c:pt idx="189">
                  <c:v>3.2172275730659141</c:v>
                </c:pt>
                <c:pt idx="190">
                  <c:v>3.2246012660917165</c:v>
                </c:pt>
                <c:pt idx="191">
                  <c:v>3.2319439205164397</c:v>
                </c:pt>
                <c:pt idx="192">
                  <c:v>3.2392557026002953</c:v>
                </c:pt>
                <c:pt idx="193">
                  <c:v>3.2465367778811265</c:v>
                </c:pt>
                <c:pt idx="194">
                  <c:v>3.2537873111676001</c:v>
                </c:pt>
                <c:pt idx="195">
                  <c:v>3.2610074665328819</c:v>
                </c:pt>
                <c:pt idx="196">
                  <c:v>3.2681974073086364</c:v>
                </c:pt>
                <c:pt idx="197">
                  <c:v>3.275357296079433</c:v>
                </c:pt>
                <c:pt idx="198">
                  <c:v>3.2824872946775505</c:v>
                </c:pt>
                <c:pt idx="199">
                  <c:v>3.289587564178075</c:v>
                </c:pt>
                <c:pt idx="200">
                  <c:v>3.2966582648944049</c:v>
                </c:pt>
              </c:numCache>
            </c:numRef>
          </c:val>
          <c:smooth val="0"/>
          <c:extLst>
            <c:ext xmlns:c16="http://schemas.microsoft.com/office/drawing/2014/chart" uri="{C3380CC4-5D6E-409C-BE32-E72D297353CC}">
              <c16:uniqueId val="{00000001-9AA8-4F44-9279-F2DFD4BF490C}"/>
            </c:ext>
          </c:extLst>
        </c:ser>
        <c:ser>
          <c:idx val="1"/>
          <c:order val="3"/>
          <c:tx>
            <c:v>Shunt Loss</c:v>
          </c:tx>
          <c:spPr>
            <a:ln w="25400">
              <a:solidFill>
                <a:srgbClr val="0000FF"/>
              </a:solidFill>
              <a:prstDash val="sysDot"/>
            </a:ln>
          </c:spPr>
          <c:marker>
            <c:symbol val="none"/>
          </c:marker>
          <c:cat>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f>'Efficiency vs VIN Calculations'!$BV$9:$BV$209</c:f>
              <c:numCache>
                <c:formatCode>0.000</c:formatCode>
                <c:ptCount val="201"/>
                <c:pt idx="0">
                  <c:v>9.5243761045760475E-2</c:v>
                </c:pt>
                <c:pt idx="1">
                  <c:v>9.7103942143320229E-2</c:v>
                </c:pt>
                <c:pt idx="2">
                  <c:v>9.8939226247063222E-2</c:v>
                </c:pt>
                <c:pt idx="3">
                  <c:v>0.10075012281131032</c:v>
                </c:pt>
                <c:pt idx="4">
                  <c:v>0.10253712712614538</c:v>
                </c:pt>
                <c:pt idx="5">
                  <c:v>0.10430072081800383</c:v>
                </c:pt>
                <c:pt idx="6">
                  <c:v>0.10604137232874646</c:v>
                </c:pt>
                <c:pt idx="7">
                  <c:v>0.10775953737430781</c:v>
                </c:pt>
                <c:pt idx="8">
                  <c:v>0.10945565938394397</c:v>
                </c:pt>
                <c:pt idx="9">
                  <c:v>0.11113016992104552</c:v>
                </c:pt>
                <c:pt idx="10">
                  <c:v>0.11278348908642792</c:v>
                </c:pt>
                <c:pt idx="11">
                  <c:v>0.11441602590495836</c:v>
                </c:pt>
                <c:pt idx="12">
                  <c:v>0.11602817869632817</c:v>
                </c:pt>
                <c:pt idx="13">
                  <c:v>0.11762033543073909</c:v>
                </c:pt>
                <c:pt idx="14">
                  <c:v>0.11919287407022439</c:v>
                </c:pt>
                <c:pt idx="15">
                  <c:v>0.1207461628962888</c:v>
                </c:pt>
                <c:pt idx="16">
                  <c:v>0.12228056082451272</c:v>
                </c:pt>
                <c:pt idx="17">
                  <c:v>0.12379641770673275</c:v>
                </c:pt>
                <c:pt idx="18">
                  <c:v>0.12529407462137399</c:v>
                </c:pt>
                <c:pt idx="19">
                  <c:v>0.12677386415248401</c:v>
                </c:pt>
                <c:pt idx="20">
                  <c:v>0.12823611065798432</c:v>
                </c:pt>
                <c:pt idx="21">
                  <c:v>0.12968113052763078</c:v>
                </c:pt>
                <c:pt idx="22">
                  <c:v>0.13110923243114761</c:v>
                </c:pt>
                <c:pt idx="23">
                  <c:v>0.13252071755697739</c:v>
                </c:pt>
                <c:pt idx="24">
                  <c:v>0.13391587984206133</c:v>
                </c:pt>
                <c:pt idx="25">
                  <c:v>0.13529500619305165</c:v>
                </c:pt>
                <c:pt idx="26">
                  <c:v>0.13665837669932793</c:v>
                </c:pt>
                <c:pt idx="27">
                  <c:v>0.13800626483817699</c:v>
                </c:pt>
                <c:pt idx="28">
                  <c:v>0.1393389376724771</c:v>
                </c:pt>
                <c:pt idx="29">
                  <c:v>0.1406566560412052</c:v>
                </c:pt>
                <c:pt idx="30">
                  <c:v>0.14195967474307819</c:v>
                </c:pt>
                <c:pt idx="31">
                  <c:v>0.14324824271361644</c:v>
                </c:pt>
                <c:pt idx="32">
                  <c:v>0.14452260319590926</c:v>
                </c:pt>
                <c:pt idx="33">
                  <c:v>0.14578299390534422</c:v>
                </c:pt>
                <c:pt idx="34">
                  <c:v>0.14702964718855258</c:v>
                </c:pt>
                <c:pt idx="35">
                  <c:v>0.14826279017681024</c:v>
                </c:pt>
                <c:pt idx="36">
                  <c:v>0.1494826449341207</c:v>
                </c:pt>
                <c:pt idx="37">
                  <c:v>0.15068942860019804</c:v>
                </c:pt>
                <c:pt idx="38">
                  <c:v>0.1518833535285565</c:v>
                </c:pt>
                <c:pt idx="39">
                  <c:v>0.15306462741990351</c:v>
                </c:pt>
                <c:pt idx="40">
                  <c:v>0.15423345345102449</c:v>
                </c:pt>
                <c:pt idx="41">
                  <c:v>0.15539003039933866</c:v>
                </c:pt>
                <c:pt idx="42">
                  <c:v>0.15653455276329697</c:v>
                </c:pt>
                <c:pt idx="43">
                  <c:v>0.15766721087878552</c:v>
                </c:pt>
                <c:pt idx="44">
                  <c:v>0.15878819103169034</c:v>
                </c:pt>
                <c:pt idx="45">
                  <c:v>0.15989767556677256</c:v>
                </c:pt>
                <c:pt idx="46">
                  <c:v>0.16099584299299696</c:v>
                </c:pt>
                <c:pt idx="47">
                  <c:v>0.16208286808544808</c:v>
                </c:pt>
                <c:pt idx="48">
                  <c:v>0.163158921983966</c:v>
                </c:pt>
                <c:pt idx="49">
                  <c:v>0.16422417228862493</c:v>
                </c:pt>
                <c:pt idx="50">
                  <c:v>0.1652787831521734</c:v>
                </c:pt>
                <c:pt idx="51">
                  <c:v>0.1663229153695501</c:v>
                </c:pt>
                <c:pt idx="52">
                  <c:v>0.16735672646458483</c:v>
                </c:pt>
                <c:pt idx="53">
                  <c:v>0.16838037077398726</c:v>
                </c:pt>
                <c:pt idx="54">
                  <c:v>0.16939399952872411</c:v>
                </c:pt>
                <c:pt idx="55">
                  <c:v>0.17039776093288103</c:v>
                </c:pt>
                <c:pt idx="56">
                  <c:v>0.17139180024009879</c:v>
                </c:pt>
                <c:pt idx="57">
                  <c:v>0.17237625982767349</c:v>
                </c:pt>
                <c:pt idx="58">
                  <c:v>0.17335127926840257</c:v>
                </c:pt>
                <c:pt idx="59">
                  <c:v>0.17431699540026038</c:v>
                </c:pt>
                <c:pt idx="60">
                  <c:v>0.17527354239397575</c:v>
                </c:pt>
                <c:pt idx="61">
                  <c:v>0.17622105181859207</c:v>
                </c:pt>
                <c:pt idx="62">
                  <c:v>0.17715965270507372</c:v>
                </c:pt>
                <c:pt idx="63">
                  <c:v>0.17808947160803332</c:v>
                </c:pt>
                <c:pt idx="64">
                  <c:v>0.17901063266564149</c:v>
                </c:pt>
                <c:pt idx="65">
                  <c:v>0.17992325765778311</c:v>
                </c:pt>
                <c:pt idx="66">
                  <c:v>0.18082746606252023</c:v>
                </c:pt>
                <c:pt idx="67">
                  <c:v>0.18172337511092054</c:v>
                </c:pt>
                <c:pt idx="68">
                  <c:v>0.18261109984030491</c:v>
                </c:pt>
                <c:pt idx="69">
                  <c:v>0.18349075314596974</c:v>
                </c:pt>
                <c:pt idx="70">
                  <c:v>0.18436244583143466</c:v>
                </c:pt>
                <c:pt idx="71">
                  <c:v>0.18522628665726396</c:v>
                </c:pt>
                <c:pt idx="72">
                  <c:v>0.18608238238851102</c:v>
                </c:pt>
                <c:pt idx="73">
                  <c:v>0.18693083784083039</c:v>
                </c:pt>
                <c:pt idx="74">
                  <c:v>0.18777175592530185</c:v>
                </c:pt>
                <c:pt idx="75">
                  <c:v>0.18860523769200777</c:v>
                </c:pt>
                <c:pt idx="76">
                  <c:v>0.18943138237240628</c:v>
                </c:pt>
                <c:pt idx="77">
                  <c:v>0.19025028742053757</c:v>
                </c:pt>
                <c:pt idx="78">
                  <c:v>0.19106204855310263</c:v>
                </c:pt>
                <c:pt idx="79">
                  <c:v>0.19186675978844844</c:v>
                </c:pt>
                <c:pt idx="80">
                  <c:v>0.19266451348449792</c:v>
                </c:pt>
                <c:pt idx="81">
                  <c:v>0.19345540037565465</c:v>
                </c:pt>
                <c:pt idx="82">
                  <c:v>0.19423950960871764</c:v>
                </c:pt>
                <c:pt idx="83">
                  <c:v>0.19501692877783569</c:v>
                </c:pt>
                <c:pt idx="84">
                  <c:v>0.19578774395853263</c:v>
                </c:pt>
                <c:pt idx="85">
                  <c:v>0.1965520397408313</c:v>
                </c:pt>
                <c:pt idx="86">
                  <c:v>0.197309899261505</c:v>
                </c:pt>
                <c:pt idx="87">
                  <c:v>0.19806140423548393</c:v>
                </c:pt>
                <c:pt idx="88">
                  <c:v>0.19880663498644066</c:v>
                </c:pt>
                <c:pt idx="89">
                  <c:v>0.19954567047658259</c:v>
                </c:pt>
                <c:pt idx="90">
                  <c:v>0.20027858833567269</c:v>
                </c:pt>
                <c:pt idx="91">
                  <c:v>0.20100546488930435</c:v>
                </c:pt>
                <c:pt idx="92">
                  <c:v>0.20172637518645123</c:v>
                </c:pt>
                <c:pt idx="93">
                  <c:v>0.202441393026315</c:v>
                </c:pt>
                <c:pt idx="94">
                  <c:v>0.20315059098449087</c:v>
                </c:pt>
                <c:pt idx="95">
                  <c:v>0.20385404043847249</c:v>
                </c:pt>
                <c:pt idx="96">
                  <c:v>0.2045518115925147</c:v>
                </c:pt>
                <c:pt idx="97">
                  <c:v>0.20524397350187404</c:v>
                </c:pt>
                <c:pt idx="98">
                  <c:v>0.20593059409644426</c:v>
                </c:pt>
                <c:pt idx="99">
                  <c:v>0.20661174020380574</c:v>
                </c:pt>
                <c:pt idx="100">
                  <c:v>0.20728747757170468</c:v>
                </c:pt>
                <c:pt idx="101">
                  <c:v>0.20795787088997914</c:v>
                </c:pt>
                <c:pt idx="102">
                  <c:v>0.20862298381194871</c:v>
                </c:pt>
                <c:pt idx="103">
                  <c:v>0.20928287897528172</c:v>
                </c:pt>
                <c:pt idx="104">
                  <c:v>0.20993761802235544</c:v>
                </c:pt>
                <c:pt idx="105">
                  <c:v>0.21058726162012459</c:v>
                </c:pt>
                <c:pt idx="106">
                  <c:v>0.21123186947951084</c:v>
                </c:pt>
                <c:pt idx="107">
                  <c:v>0.21187150037432789</c:v>
                </c:pt>
                <c:pt idx="108">
                  <c:v>0.21250621215975474</c:v>
                </c:pt>
                <c:pt idx="109">
                  <c:v>0.21313606179036876</c:v>
                </c:pt>
                <c:pt idx="110">
                  <c:v>0.21376110533775314</c:v>
                </c:pt>
                <c:pt idx="111">
                  <c:v>0.21438139800768866</c:v>
                </c:pt>
                <c:pt idx="112">
                  <c:v>0.21499699415694171</c:v>
                </c:pt>
                <c:pt idx="113">
                  <c:v>0.21560794730966026</c:v>
                </c:pt>
                <c:pt idx="114">
                  <c:v>0.2162143101733871</c:v>
                </c:pt>
                <c:pt idx="115">
                  <c:v>0.21681613465470315</c:v>
                </c:pt>
                <c:pt idx="116">
                  <c:v>0.21741347187450827</c:v>
                </c:pt>
                <c:pt idx="117">
                  <c:v>0.21800637218295166</c:v>
                </c:pt>
                <c:pt idx="118">
                  <c:v>0.21859488517401926</c:v>
                </c:pt>
                <c:pt idx="119">
                  <c:v>0.21917905969978904</c:v>
                </c:pt>
                <c:pt idx="120">
                  <c:v>0.21975894388436168</c:v>
                </c:pt>
                <c:pt idx="121">
                  <c:v>0.22033458513747775</c:v>
                </c:pt>
                <c:pt idx="122">
                  <c:v>0.22090603016782495</c:v>
                </c:pt>
                <c:pt idx="123">
                  <c:v>0.2214733249960496</c:v>
                </c:pt>
                <c:pt idx="124">
                  <c:v>0.22203651496747479</c:v>
                </c:pt>
                <c:pt idx="125">
                  <c:v>0.22259564476453733</c:v>
                </c:pt>
                <c:pt idx="126">
                  <c:v>0.22315075841894647</c:v>
                </c:pt>
                <c:pt idx="127">
                  <c:v>0.22370189932357584</c:v>
                </c:pt>
                <c:pt idx="128">
                  <c:v>0.22424911024409255</c:v>
                </c:pt>
                <c:pt idx="129">
                  <c:v>0.22479243333033139</c:v>
                </c:pt>
                <c:pt idx="130">
                  <c:v>0.22533191012742079</c:v>
                </c:pt>
                <c:pt idx="131">
                  <c:v>0.22586758158666595</c:v>
                </c:pt>
                <c:pt idx="132">
                  <c:v>0.22639948807619728</c:v>
                </c:pt>
                <c:pt idx="133">
                  <c:v>0.22692766939138773</c:v>
                </c:pt>
                <c:pt idx="134">
                  <c:v>0.22745216476504573</c:v>
                </c:pt>
                <c:pt idx="135">
                  <c:v>0.22797301287739116</c:v>
                </c:pt>
                <c:pt idx="136">
                  <c:v>0.22849025186581715</c:v>
                </c:pt>
                <c:pt idx="137">
                  <c:v>0.22900391933444325</c:v>
                </c:pt>
                <c:pt idx="138">
                  <c:v>0.22951405236346914</c:v>
                </c:pt>
                <c:pt idx="139">
                  <c:v>0.23002068751832727</c:v>
                </c:pt>
                <c:pt idx="140">
                  <c:v>0.23052386085864507</c:v>
                </c:pt>
                <c:pt idx="141">
                  <c:v>0.23102360794701915</c:v>
                </c:pt>
                <c:pt idx="142">
                  <c:v>0.23151996385760495</c:v>
                </c:pt>
                <c:pt idx="143">
                  <c:v>0.23201296318452952</c:v>
                </c:pt>
                <c:pt idx="144">
                  <c:v>0.23250264005012811</c:v>
                </c:pt>
                <c:pt idx="145">
                  <c:v>0.23298902811301139</c:v>
                </c:pt>
                <c:pt idx="146">
                  <c:v>0.23347216057596715</c:v>
                </c:pt>
                <c:pt idx="147">
                  <c:v>0.23395207019369849</c:v>
                </c:pt>
                <c:pt idx="148">
                  <c:v>0.23442878928040528</c:v>
                </c:pt>
                <c:pt idx="149">
                  <c:v>0.23490234971721058</c:v>
                </c:pt>
                <c:pt idx="150">
                  <c:v>0.23537278295943564</c:v>
                </c:pt>
                <c:pt idx="151">
                  <c:v>0.23584012004372967</c:v>
                </c:pt>
                <c:pt idx="152">
                  <c:v>0.23630439159505356</c:v>
                </c:pt>
                <c:pt idx="153">
                  <c:v>0.23676562783352612</c:v>
                </c:pt>
                <c:pt idx="154">
                  <c:v>0.23722385858113001</c:v>
                </c:pt>
                <c:pt idx="155">
                  <c:v>0.23767911326828725</c:v>
                </c:pt>
                <c:pt idx="156">
                  <c:v>0.2381314209403014</c:v>
                </c:pt>
                <c:pt idx="157">
                  <c:v>0.23858081026367448</c:v>
                </c:pt>
                <c:pt idx="158">
                  <c:v>0.23902730953229676</c:v>
                </c:pt>
                <c:pt idx="159">
                  <c:v>0.23947094667351709</c:v>
                </c:pt>
                <c:pt idx="160">
                  <c:v>0.23991174925409328</c:v>
                </c:pt>
                <c:pt idx="161">
                  <c:v>0.24034974448602492</c:v>
                </c:pt>
                <c:pt idx="162">
                  <c:v>0.24078495923227614</c:v>
                </c:pt>
                <c:pt idx="163">
                  <c:v>0.24121742001238292</c:v>
                </c:pt>
                <c:pt idx="164">
                  <c:v>0.24164715300795586</c:v>
                </c:pt>
                <c:pt idx="165">
                  <c:v>0.24207418406807468</c:v>
                </c:pt>
                <c:pt idx="166">
                  <c:v>0.24249853871457924</c:v>
                </c:pt>
                <c:pt idx="167">
                  <c:v>0.24292024214726035</c:v>
                </c:pt>
                <c:pt idx="168">
                  <c:v>0.2433393192489508</c:v>
                </c:pt>
                <c:pt idx="169">
                  <c:v>0.24375579459051933</c:v>
                </c:pt>
                <c:pt idx="170">
                  <c:v>0.24416969243577061</c:v>
                </c:pt>
                <c:pt idx="171">
                  <c:v>0.24458103674625206</c:v>
                </c:pt>
                <c:pt idx="172">
                  <c:v>0.24498985118597091</c:v>
                </c:pt>
                <c:pt idx="173">
                  <c:v>0.24539615912602142</c:v>
                </c:pt>
                <c:pt idx="174">
                  <c:v>0.245799983649127</c:v>
                </c:pt>
                <c:pt idx="175">
                  <c:v>0.24620134755409687</c:v>
                </c:pt>
                <c:pt idx="176">
                  <c:v>0.24660027336019974</c:v>
                </c:pt>
                <c:pt idx="177">
                  <c:v>0.24699678331145661</c:v>
                </c:pt>
                <c:pt idx="178">
                  <c:v>0.2473908993808549</c:v>
                </c:pt>
                <c:pt idx="179">
                  <c:v>0.24778264327448393</c:v>
                </c:pt>
                <c:pt idx="180">
                  <c:v>0.2481720364355956</c:v>
                </c:pt>
                <c:pt idx="181">
                  <c:v>0.24855910004858903</c:v>
                </c:pt>
                <c:pt idx="182">
                  <c:v>0.24894385504292538</c:v>
                </c:pt>
                <c:pt idx="183">
                  <c:v>0.24932632209696848</c:v>
                </c:pt>
                <c:pt idx="184">
                  <c:v>0.24970652164175824</c:v>
                </c:pt>
                <c:pt idx="185">
                  <c:v>0.25008447386471383</c:v>
                </c:pt>
                <c:pt idx="186">
                  <c:v>0.2504601987132723</c:v>
                </c:pt>
                <c:pt idx="187">
                  <c:v>0.25083371589846032</c:v>
                </c:pt>
                <c:pt idx="188">
                  <c:v>0.25120504489840212</c:v>
                </c:pt>
                <c:pt idx="189">
                  <c:v>0.25157420496176591</c:v>
                </c:pt>
                <c:pt idx="190">
                  <c:v>0.25194121511114775</c:v>
                </c:pt>
                <c:pt idx="191">
                  <c:v>0.25230609414639615</c:v>
                </c:pt>
                <c:pt idx="192">
                  <c:v>0.25266886064787791</c:v>
                </c:pt>
                <c:pt idx="193">
                  <c:v>0.25302953297968561</c:v>
                </c:pt>
                <c:pt idx="194">
                  <c:v>0.25338812929278987</c:v>
                </c:pt>
                <c:pt idx="195">
                  <c:v>0.25374466752813574</c:v>
                </c:pt>
                <c:pt idx="196">
                  <c:v>0.25409916541968491</c:v>
                </c:pt>
                <c:pt idx="197">
                  <c:v>0.25445164049740482</c:v>
                </c:pt>
                <c:pt idx="198">
                  <c:v>0.25480211009020742</c:v>
                </c:pt>
                <c:pt idx="199">
                  <c:v>0.25515059132883422</c:v>
                </c:pt>
                <c:pt idx="200">
                  <c:v>0.25549710114869434</c:v>
                </c:pt>
              </c:numCache>
            </c:numRef>
          </c:val>
          <c:smooth val="0"/>
          <c:extLst>
            <c:ext xmlns:c16="http://schemas.microsoft.com/office/drawing/2014/chart" uri="{C3380CC4-5D6E-409C-BE32-E72D297353CC}">
              <c16:uniqueId val="{00000003-9AA8-4F44-9279-F2DFD4BF490C}"/>
            </c:ext>
          </c:extLst>
        </c:ser>
        <c:ser>
          <c:idx val="4"/>
          <c:order val="4"/>
          <c:tx>
            <c:strRef>
              <c:f>'Efficiency vs VIN Calculations'!$BR$8</c:f>
              <c:strCache>
                <c:ptCount val="1"/>
                <c:pt idx="0">
                  <c:v>Buck ''Control'' MOSFET Loss</c:v>
                </c:pt>
              </c:strCache>
            </c:strRef>
          </c:tx>
          <c:spPr>
            <a:ln>
              <a:prstDash val="sysDash"/>
            </a:ln>
          </c:spPr>
          <c:marker>
            <c:symbol val="none"/>
          </c:marker>
          <c:val>
            <c:numRef>
              <c:f>'Efficiency vs VIN Calculations'!$BR$9:$BR$209</c:f>
              <c:numCache>
                <c:formatCode>0.000</c:formatCode>
                <c:ptCount val="201"/>
                <c:pt idx="0">
                  <c:v>3.324639344119233</c:v>
                </c:pt>
                <c:pt idx="1">
                  <c:v>3.338403251944559</c:v>
                </c:pt>
                <c:pt idx="2">
                  <c:v>3.3522298482546824</c:v>
                </c:pt>
                <c:pt idx="3">
                  <c:v>3.3661176447596666</c:v>
                </c:pt>
                <c:pt idx="4">
                  <c:v>3.3800652006049869</c:v>
                </c:pt>
                <c:pt idx="5">
                  <c:v>3.3940711204760441</c:v>
                </c:pt>
                <c:pt idx="6">
                  <c:v>3.4081340527935251</c:v>
                </c:pt>
                <c:pt idx="7">
                  <c:v>3.422252687994578</c:v>
                </c:pt>
                <c:pt idx="8">
                  <c:v>3.4364257568950225</c:v>
                </c:pt>
                <c:pt idx="9">
                  <c:v>3.450652029128169</c:v>
                </c:pt>
                <c:pt idx="10">
                  <c:v>3.4649303116560688</c:v>
                </c:pt>
                <c:pt idx="11">
                  <c:v>3.4792594473492926</c:v>
                </c:pt>
                <c:pt idx="12">
                  <c:v>3.4936383136315499</c:v>
                </c:pt>
                <c:pt idx="13">
                  <c:v>3.5080658211857298</c:v>
                </c:pt>
                <c:pt idx="14">
                  <c:v>3.5225409127180889</c:v>
                </c:pt>
                <c:pt idx="15">
                  <c:v>3.5370625617775882</c:v>
                </c:pt>
                <c:pt idx="16">
                  <c:v>3.5516297716274554</c:v>
                </c:pt>
                <c:pt idx="17">
                  <c:v>3.5662415741663525</c:v>
                </c:pt>
                <c:pt idx="18">
                  <c:v>3.5808970288965387</c:v>
                </c:pt>
                <c:pt idx="19">
                  <c:v>3.5955952219367062</c:v>
                </c:pt>
                <c:pt idx="20">
                  <c:v>3.6103352650771865</c:v>
                </c:pt>
                <c:pt idx="21">
                  <c:v>3.6251162948754505</c:v>
                </c:pt>
                <c:pt idx="22">
                  <c:v>3.6399374717898576</c:v>
                </c:pt>
                <c:pt idx="23">
                  <c:v>3.6547979793498189</c:v>
                </c:pt>
                <c:pt idx="24">
                  <c:v>3.6696970233605462</c:v>
                </c:pt>
                <c:pt idx="25">
                  <c:v>3.6846338311407325</c:v>
                </c:pt>
                <c:pt idx="26">
                  <c:v>3.6996076507915694</c:v>
                </c:pt>
                <c:pt idx="27">
                  <c:v>3.7146177504955951</c:v>
                </c:pt>
                <c:pt idx="28">
                  <c:v>3.7296634178439678</c:v>
                </c:pt>
                <c:pt idx="29">
                  <c:v>3.7447439591908016</c:v>
                </c:pt>
                <c:pt idx="30">
                  <c:v>3.7598586990333134</c:v>
                </c:pt>
                <c:pt idx="31">
                  <c:v>3.7750069794165677</c:v>
                </c:pt>
                <c:pt idx="32">
                  <c:v>3.7901881593616911</c:v>
                </c:pt>
                <c:pt idx="33">
                  <c:v>3.8054016143164602</c:v>
                </c:pt>
                <c:pt idx="34">
                  <c:v>3.8206467356272715</c:v>
                </c:pt>
                <c:pt idx="35">
                  <c:v>3.8359229300314879</c:v>
                </c:pt>
                <c:pt idx="36">
                  <c:v>3.8512296191692741</c:v>
                </c:pt>
                <c:pt idx="37">
                  <c:v>3.8665662391140292</c:v>
                </c:pt>
                <c:pt idx="38">
                  <c:v>3.8819322399206091</c:v>
                </c:pt>
                <c:pt idx="39">
                  <c:v>3.8973270851905251</c:v>
                </c:pt>
                <c:pt idx="40">
                  <c:v>3.9127502516534158</c:v>
                </c:pt>
                <c:pt idx="41">
                  <c:v>3.9282012287640278</c:v>
                </c:pt>
                <c:pt idx="42">
                  <c:v>3.9436795183140956</c:v>
                </c:pt>
                <c:pt idx="43">
                  <c:v>3.9591846340584205</c:v>
                </c:pt>
                <c:pt idx="44">
                  <c:v>3.9747161013545913</c:v>
                </c:pt>
                <c:pt idx="45">
                  <c:v>3.9902734568157339</c:v>
                </c:pt>
                <c:pt idx="46">
                  <c:v>4.005856247975748</c:v>
                </c:pt>
                <c:pt idx="47">
                  <c:v>4.021464032966521</c:v>
                </c:pt>
                <c:pt idx="48">
                  <c:v>4.037096380206604</c:v>
                </c:pt>
                <c:pt idx="49">
                  <c:v>4.0527528681008711</c:v>
                </c:pt>
                <c:pt idx="50">
                  <c:v>4.0684330847507315</c:v>
                </c:pt>
                <c:pt idx="51">
                  <c:v>4.0841366276744386</c:v>
                </c:pt>
                <c:pt idx="52">
                  <c:v>4.0998631035371069</c:v>
                </c:pt>
                <c:pt idx="53">
                  <c:v>4.1156121278900173</c:v>
                </c:pt>
                <c:pt idx="54">
                  <c:v>4.1313833249188656</c:v>
                </c:pt>
                <c:pt idx="55">
                  <c:v>4.1471763272005768</c:v>
                </c:pt>
                <c:pt idx="56">
                  <c:v>4.1629907754683559</c:v>
                </c:pt>
                <c:pt idx="57">
                  <c:v>4.1788263183846475</c:v>
                </c:pt>
                <c:pt idx="58">
                  <c:v>4.1946826123216834</c:v>
                </c:pt>
                <c:pt idx="59">
                  <c:v>4.2105593211493408</c:v>
                </c:pt>
                <c:pt idx="60">
                  <c:v>4.2264561160300032</c:v>
                </c:pt>
                <c:pt idx="61">
                  <c:v>4.242372675220194</c:v>
                </c:pt>
                <c:pt idx="62">
                  <c:v>4.2583086838786572</c:v>
                </c:pt>
                <c:pt idx="63">
                  <c:v>4.2742638338807222</c:v>
                </c:pt>
                <c:pt idx="64">
                  <c:v>4.2902378236386252</c:v>
                </c:pt>
                <c:pt idx="65">
                  <c:v>4.3062303579276575</c:v>
                </c:pt>
                <c:pt idx="66">
                  <c:v>4.3222411477178193</c:v>
                </c:pt>
                <c:pt idx="67">
                  <c:v>4.3382699100108733</c:v>
                </c:pt>
                <c:pt idx="68">
                  <c:v>4.3543163676825163</c:v>
                </c:pt>
                <c:pt idx="69">
                  <c:v>4.3703802493295401</c:v>
                </c:pt>
                <c:pt idx="70">
                  <c:v>4.3864612891217512</c:v>
                </c:pt>
                <c:pt idx="71">
                  <c:v>4.4025592266585152</c:v>
                </c:pt>
                <c:pt idx="72">
                  <c:v>4.4186738068297302</c:v>
                </c:pt>
                <c:pt idx="73">
                  <c:v>4.434804779681075</c:v>
                </c:pt>
                <c:pt idx="74">
                  <c:v>4.4509519002834042</c:v>
                </c:pt>
                <c:pt idx="75">
                  <c:v>4.4671149286060867</c:v>
                </c:pt>
                <c:pt idx="76">
                  <c:v>4.4832936293942147</c:v>
                </c:pt>
                <c:pt idx="77">
                  <c:v>4.4994877720494904</c:v>
                </c:pt>
                <c:pt idx="78">
                  <c:v>4.5156971305146936</c:v>
                </c:pt>
                <c:pt idx="79">
                  <c:v>4.5319214831615922</c:v>
                </c:pt>
                <c:pt idx="80">
                  <c:v>4.5481606126821745</c:v>
                </c:pt>
                <c:pt idx="81">
                  <c:v>4.5644143059831013</c:v>
                </c:pt>
                <c:pt idx="82">
                  <c:v>4.5806823540832502</c:v>
                </c:pt>
                <c:pt idx="83">
                  <c:v>4.5969645520142528</c:v>
                </c:pt>
                <c:pt idx="84">
                  <c:v>4.6132606987239315</c:v>
                </c:pt>
                <c:pt idx="85">
                  <c:v>4.6295705969825152</c:v>
                </c:pt>
                <c:pt idx="86">
                  <c:v>4.645894053291574</c:v>
                </c:pt>
                <c:pt idx="87">
                  <c:v>4.6622308777955404</c:v>
                </c:pt>
                <c:pt idx="88">
                  <c:v>4.6785808841957737</c:v>
                </c:pt>
                <c:pt idx="89">
                  <c:v>4.6949438896670346</c:v>
                </c:pt>
                <c:pt idx="90">
                  <c:v>4.7113197147763515</c:v>
                </c:pt>
                <c:pt idx="91">
                  <c:v>4.7277081834041264</c:v>
                </c:pt>
                <c:pt idx="92">
                  <c:v>4.7441091226674796</c:v>
                </c:pt>
                <c:pt idx="93">
                  <c:v>4.7605223628457054</c:v>
                </c:pt>
                <c:pt idx="94">
                  <c:v>4.776947737307796</c:v>
                </c:pt>
                <c:pt idx="95">
                  <c:v>4.793385082441965</c:v>
                </c:pt>
                <c:pt idx="96">
                  <c:v>4.8098342375871042</c:v>
                </c:pt>
                <c:pt idx="97">
                  <c:v>4.8262950449661037</c:v>
                </c:pt>
                <c:pt idx="98">
                  <c:v>4.8427673496209866</c:v>
                </c:pt>
                <c:pt idx="99">
                  <c:v>4.8592509993497979</c:v>
                </c:pt>
                <c:pt idx="100">
                  <c:v>4.8757458446451922</c:v>
                </c:pt>
                <c:pt idx="101">
                  <c:v>4.8922517386346662</c:v>
                </c:pt>
                <c:pt idx="102">
                  <c:v>4.908768537022377</c:v>
                </c:pt>
                <c:pt idx="103">
                  <c:v>4.9252960980325158</c:v>
                </c:pt>
                <c:pt idx="104">
                  <c:v>4.941834282354165</c:v>
                </c:pt>
                <c:pt idx="105">
                  <c:v>4.9583829530876224</c:v>
                </c:pt>
                <c:pt idx="106">
                  <c:v>4.9749419756921087</c:v>
                </c:pt>
                <c:pt idx="107">
                  <c:v>4.9915112179348551</c:v>
                </c:pt>
                <c:pt idx="108">
                  <c:v>5.0080905498415049</c:v>
                </c:pt>
                <c:pt idx="109">
                  <c:v>5.0246798436477924</c:v>
                </c:pt>
                <c:pt idx="110">
                  <c:v>5.0412789737524717</c:v>
                </c:pt>
                <c:pt idx="111">
                  <c:v>5.0578878166714425</c:v>
                </c:pt>
                <c:pt idx="112">
                  <c:v>5.0745062509930543</c:v>
                </c:pt>
                <c:pt idx="113">
                  <c:v>5.0911341573345386</c:v>
                </c:pt>
                <c:pt idx="114">
                  <c:v>5.1077714182995342</c:v>
                </c:pt>
                <c:pt idx="115">
                  <c:v>5.1244179184366985</c:v>
                </c:pt>
                <c:pt idx="116">
                  <c:v>5.1410735441993429</c:v>
                </c:pt>
                <c:pt idx="117">
                  <c:v>5.157738183906079</c:v>
                </c:pt>
                <c:pt idx="118">
                  <c:v>5.1744117277024344</c:v>
                </c:pt>
                <c:pt idx="119">
                  <c:v>5.1910940675234301</c:v>
                </c:pt>
                <c:pt idx="120">
                  <c:v>5.2077850970570712</c:v>
                </c:pt>
                <c:pt idx="121">
                  <c:v>5.2244847117087332</c:v>
                </c:pt>
                <c:pt idx="122">
                  <c:v>5.2411928085664155</c:v>
                </c:pt>
                <c:pt idx="123">
                  <c:v>5.2579092863668491</c:v>
                </c:pt>
                <c:pt idx="124">
                  <c:v>5.2746340454624141</c:v>
                </c:pt>
                <c:pt idx="125">
                  <c:v>5.2913669877888552</c:v>
                </c:pt>
                <c:pt idx="126">
                  <c:v>5.308108016833784</c:v>
                </c:pt>
                <c:pt idx="127">
                  <c:v>5.3248570376059225</c:v>
                </c:pt>
                <c:pt idx="128">
                  <c:v>5.3416139566050758</c:v>
                </c:pt>
                <c:pt idx="129">
                  <c:v>5.3583786817928374</c:v>
                </c:pt>
                <c:pt idx="130">
                  <c:v>5.3751511225639579</c:v>
                </c:pt>
                <c:pt idx="131">
                  <c:v>5.3919311897184103</c:v>
                </c:pt>
                <c:pt idx="132">
                  <c:v>5.4087187954341012</c:v>
                </c:pt>
                <c:pt idx="133">
                  <c:v>5.4255138532402132</c:v>
                </c:pt>
                <c:pt idx="134">
                  <c:v>5.4423162779911785</c:v>
                </c:pt>
                <c:pt idx="135">
                  <c:v>5.4591259858412391</c:v>
                </c:pt>
                <c:pt idx="136">
                  <c:v>5.4759428942196164</c:v>
                </c:pt>
                <c:pt idx="137">
                  <c:v>5.4927669218062229</c:v>
                </c:pt>
                <c:pt idx="138">
                  <c:v>5.5095979885079602</c:v>
                </c:pt>
                <c:pt idx="139">
                  <c:v>5.5264360154355217</c:v>
                </c:pt>
                <c:pt idx="140">
                  <c:v>5.5432809248807589</c:v>
                </c:pt>
                <c:pt idx="141">
                  <c:v>5.5601326402945261</c:v>
                </c:pt>
                <c:pt idx="142">
                  <c:v>5.5769910862650489</c:v>
                </c:pt>
                <c:pt idx="143">
                  <c:v>5.5938561884967699</c:v>
                </c:pt>
                <c:pt idx="144">
                  <c:v>5.6107278737896529</c:v>
                </c:pt>
                <c:pt idx="145">
                  <c:v>5.6276060700189738</c:v>
                </c:pt>
                <c:pt idx="146">
                  <c:v>5.6444907061155378</c:v>
                </c:pt>
                <c:pt idx="147">
                  <c:v>5.6613817120463441</c:v>
                </c:pt>
                <c:pt idx="148">
                  <c:v>5.6782790187956769</c:v>
                </c:pt>
                <c:pt idx="149">
                  <c:v>5.6951825583466036</c:v>
                </c:pt>
                <c:pt idx="150">
                  <c:v>5.7120922636628846</c:v>
                </c:pt>
                <c:pt idx="151">
                  <c:v>5.7290080686712699</c:v>
                </c:pt>
                <c:pt idx="152">
                  <c:v>5.7459299082441895</c:v>
                </c:pt>
                <c:pt idx="153">
                  <c:v>5.7628577181828016</c:v>
                </c:pt>
                <c:pt idx="154">
                  <c:v>5.7797914352004254</c:v>
                </c:pt>
                <c:pt idx="155">
                  <c:v>5.796730996906315</c:v>
                </c:pt>
                <c:pt idx="156">
                  <c:v>5.813676341789785</c:v>
                </c:pt>
                <c:pt idx="157">
                  <c:v>5.8306274092046664</c:v>
                </c:pt>
                <c:pt idx="158">
                  <c:v>5.8475841393541108</c:v>
                </c:pt>
                <c:pt idx="159">
                  <c:v>5.8645464732756922</c:v>
                </c:pt>
                <c:pt idx="160">
                  <c:v>5.8815143528268425</c:v>
                </c:pt>
                <c:pt idx="161">
                  <c:v>5.8984877206705768</c:v>
                </c:pt>
                <c:pt idx="162">
                  <c:v>5.9154665202615266</c:v>
                </c:pt>
                <c:pt idx="163">
                  <c:v>5.9324506958322676</c:v>
                </c:pt>
                <c:pt idx="164">
                  <c:v>5.949440192379913</c:v>
                </c:pt>
                <c:pt idx="165">
                  <c:v>5.9664349556530052</c:v>
                </c:pt>
                <c:pt idx="166">
                  <c:v>5.9834349321386666</c:v>
                </c:pt>
                <c:pt idx="167">
                  <c:v>6.0004400690500175</c:v>
                </c:pt>
                <c:pt idx="168">
                  <c:v>6.01745031431384</c:v>
                </c:pt>
                <c:pt idx="169">
                  <c:v>6.0344656165585198</c:v>
                </c:pt>
                <c:pt idx="170">
                  <c:v>6.0514859251022015</c:v>
                </c:pt>
                <c:pt idx="171">
                  <c:v>6.0685111899412156</c:v>
                </c:pt>
                <c:pt idx="172">
                  <c:v>6.0855413617387022</c:v>
                </c:pt>
                <c:pt idx="173">
                  <c:v>6.1025763918135016</c:v>
                </c:pt>
                <c:pt idx="174">
                  <c:v>6.1196162321292373</c:v>
                </c:pt>
                <c:pt idx="175">
                  <c:v>6.1366608352836396</c:v>
                </c:pt>
                <c:pt idx="176">
                  <c:v>6.1537101544980644</c:v>
                </c:pt>
                <c:pt idx="177">
                  <c:v>6.170764143607224</c:v>
                </c:pt>
                <c:pt idx="178">
                  <c:v>6.187822757049136</c:v>
                </c:pt>
                <c:pt idx="179">
                  <c:v>6.204885949855246</c:v>
                </c:pt>
                <c:pt idx="180">
                  <c:v>6.2219536776407685</c:v>
                </c:pt>
                <c:pt idx="181">
                  <c:v>6.2390258965951872</c:v>
                </c:pt>
                <c:pt idx="182">
                  <c:v>6.2561025634729752</c:v>
                </c:pt>
                <c:pt idx="183">
                  <c:v>6.2731836355844734</c:v>
                </c:pt>
                <c:pt idx="184">
                  <c:v>6.2902690707869438</c:v>
                </c:pt>
                <c:pt idx="185">
                  <c:v>6.3073588274758112</c:v>
                </c:pt>
                <c:pt idx="186">
                  <c:v>6.3244528645760605</c:v>
                </c:pt>
                <c:pt idx="187">
                  <c:v>6.3415511415338077</c:v>
                </c:pt>
                <c:pt idx="188">
                  <c:v>6.3586536183080229</c:v>
                </c:pt>
                <c:pt idx="189">
                  <c:v>6.3757602553624153</c:v>
                </c:pt>
                <c:pt idx="190">
                  <c:v>6.3928710136574756</c:v>
                </c:pt>
                <c:pt idx="191">
                  <c:v>6.4099858546426729</c:v>
                </c:pt>
                <c:pt idx="192">
                  <c:v>6.4271047402487813</c:v>
                </c:pt>
                <c:pt idx="193">
                  <c:v>6.4442276328803647</c:v>
                </c:pt>
                <c:pt idx="194">
                  <c:v>6.4613544954084015</c:v>
                </c:pt>
                <c:pt idx="195">
                  <c:v>6.4784852911630519</c:v>
                </c:pt>
                <c:pt idx="196">
                  <c:v>6.495619983926546</c:v>
                </c:pt>
                <c:pt idx="197">
                  <c:v>6.5127585379262092</c:v>
                </c:pt>
                <c:pt idx="198">
                  <c:v>6.5299009178276295</c:v>
                </c:pt>
                <c:pt idx="199">
                  <c:v>6.5470470887279308</c:v>
                </c:pt>
                <c:pt idx="200">
                  <c:v>6.5641970161491869</c:v>
                </c:pt>
              </c:numCache>
            </c:numRef>
          </c:val>
          <c:smooth val="0"/>
          <c:extLst>
            <c:ext xmlns:c16="http://schemas.microsoft.com/office/drawing/2014/chart" uri="{C3380CC4-5D6E-409C-BE32-E72D297353CC}">
              <c16:uniqueId val="{00000000-E67B-4930-9B0B-95621CA3ED28}"/>
            </c:ext>
          </c:extLst>
        </c:ser>
        <c:ser>
          <c:idx val="5"/>
          <c:order val="5"/>
          <c:tx>
            <c:strRef>
              <c:f>'Efficiency vs VIN Calculations'!$BS$8</c:f>
              <c:strCache>
                <c:ptCount val="1"/>
                <c:pt idx="0">
                  <c:v>Buck ''SYNC'' MOSFET Loss</c:v>
                </c:pt>
              </c:strCache>
            </c:strRef>
          </c:tx>
          <c:spPr>
            <a:ln>
              <a:prstDash val="sysDash"/>
            </a:ln>
          </c:spPr>
          <c:marker>
            <c:symbol val="none"/>
          </c:marker>
          <c:val>
            <c:numRef>
              <c:f>'Efficiency vs VIN Calculations'!$BS$9:$BS$209</c:f>
              <c:numCache>
                <c:formatCode>0.000</c:formatCode>
                <c:ptCount val="201"/>
                <c:pt idx="0">
                  <c:v>0.84582934581848412</c:v>
                </c:pt>
                <c:pt idx="1">
                  <c:v>0.85023476733071668</c:v>
                </c:pt>
                <c:pt idx="2">
                  <c:v>0.85459454257974099</c:v>
                </c:pt>
                <c:pt idx="3">
                  <c:v>0.85890950524239706</c:v>
                </c:pt>
                <c:pt idx="4">
                  <c:v>0.86318046807250448</c:v>
                </c:pt>
                <c:pt idx="5">
                  <c:v>0.86740822357727099</c:v>
                </c:pt>
                <c:pt idx="6">
                  <c:v>0.87159354466675165</c:v>
                </c:pt>
                <c:pt idx="7">
                  <c:v>0.87573718527764488</c:v>
                </c:pt>
                <c:pt idx="8">
                  <c:v>0.87983988097262822</c:v>
                </c:pt>
                <c:pt idx="9">
                  <c:v>0.88390234951637692</c:v>
                </c:pt>
                <c:pt idx="10">
                  <c:v>0.88792529142934762</c:v>
                </c:pt>
                <c:pt idx="11">
                  <c:v>0.89190939052034757</c:v>
                </c:pt>
                <c:pt idx="12">
                  <c:v>0.89585531439885502</c:v>
                </c:pt>
                <c:pt idx="13">
                  <c:v>0.89976371496801433</c:v>
                </c:pt>
                <c:pt idx="14">
                  <c:v>0.90363522889916603</c:v>
                </c:pt>
                <c:pt idx="15">
                  <c:v>0.90747047808874104</c:v>
                </c:pt>
                <c:pt idx="16">
                  <c:v>0.91127007009829553</c:v>
                </c:pt>
                <c:pt idx="17">
                  <c:v>0.91503459857843228</c:v>
                </c:pt>
                <c:pt idx="18">
                  <c:v>0.91876464367730459</c:v>
                </c:pt>
                <c:pt idx="19">
                  <c:v>0.92246077243437541</c:v>
                </c:pt>
                <c:pt idx="20">
                  <c:v>0.92612353916006462</c:v>
                </c:pt>
                <c:pt idx="21">
                  <c:v>0.92975348580188322</c:v>
                </c:pt>
                <c:pt idx="22">
                  <c:v>0.93335114229763083</c:v>
                </c:pt>
                <c:pt idx="23">
                  <c:v>0.93691702691620027</c:v>
                </c:pt>
                <c:pt idx="24">
                  <c:v>0.94045164658650149</c:v>
                </c:pt>
                <c:pt idx="25">
                  <c:v>0.94395549721500782</c:v>
                </c:pt>
                <c:pt idx="26">
                  <c:v>0.94742906399238191</c:v>
                </c:pt>
                <c:pt idx="27">
                  <c:v>0.95087282168963516</c:v>
                </c:pt>
                <c:pt idx="28">
                  <c:v>0.9542872349442465</c:v>
                </c:pt>
                <c:pt idx="29">
                  <c:v>0.95767275853663691</c:v>
                </c:pt>
                <c:pt idx="30">
                  <c:v>0.96102983765739936</c:v>
                </c:pt>
                <c:pt idx="31">
                  <c:v>0.96435890816563918</c:v>
                </c:pt>
                <c:pt idx="32">
                  <c:v>0.96766039683878602</c:v>
                </c:pt>
                <c:pt idx="33">
                  <c:v>0.97093472161420691</c:v>
                </c:pt>
                <c:pt idx="34">
                  <c:v>0.97418229182294169</c:v>
                </c:pt>
                <c:pt idx="35">
                  <c:v>0.97740350841586832</c:v>
                </c:pt>
                <c:pt idx="36">
                  <c:v>0.9805987641825854</c:v>
                </c:pt>
                <c:pt idx="37">
                  <c:v>0.98376844396329544</c:v>
                </c:pt>
                <c:pt idx="38">
                  <c:v>0.98691292485394944</c:v>
                </c:pt>
                <c:pt idx="39">
                  <c:v>0.99003257640491416</c:v>
                </c:pt>
                <c:pt idx="40">
                  <c:v>0.99312776081339904</c:v>
                </c:pt>
                <c:pt idx="41">
                  <c:v>0.99619883310987722</c:v>
                </c:pt>
                <c:pt idx="42">
                  <c:v>0.99924614133872869</c:v>
                </c:pt>
                <c:pt idx="43">
                  <c:v>1.0022700267333082</c:v>
                </c:pt>
                <c:pt idx="44">
                  <c:v>1.0052708238856518</c:v>
                </c:pt>
                <c:pt idx="45">
                  <c:v>1.0082488609110107</c:v>
                </c:pt>
                <c:pt idx="46">
                  <c:v>1.0112044596074059</c:v>
                </c:pt>
                <c:pt idx="47">
                  <c:v>1.0141379356103721</c:v>
                </c:pt>
                <c:pt idx="48">
                  <c:v>1.0170495985430774</c:v>
                </c:pt>
                <c:pt idx="49">
                  <c:v>1.0199397521619689</c:v>
                </c:pt>
                <c:pt idx="50">
                  <c:v>1.022808694498111</c:v>
                </c:pt>
                <c:pt idx="51">
                  <c:v>1.0256567179943665</c:v>
                </c:pt>
                <c:pt idx="52">
                  <c:v>1.0284841096385606</c:v>
                </c:pt>
                <c:pt idx="53">
                  <c:v>1.0312911510927754</c:v>
                </c:pt>
                <c:pt idx="54">
                  <c:v>1.0340781188188994</c:v>
                </c:pt>
                <c:pt idx="55">
                  <c:v>1.0368452842005689</c:v>
                </c:pt>
                <c:pt idx="56">
                  <c:v>1.039592913661618</c:v>
                </c:pt>
                <c:pt idx="57">
                  <c:v>1.0423212687811592</c:v>
                </c:pt>
                <c:pt idx="58">
                  <c:v>1.045030606405406</c:v>
                </c:pt>
                <c:pt idx="59">
                  <c:v>1.0477211787563516</c:v>
                </c:pt>
                <c:pt idx="60">
                  <c:v>1.0503932335373978</c:v>
                </c:pt>
                <c:pt idx="61">
                  <c:v>1.0530470140360522</c:v>
                </c:pt>
                <c:pt idx="62">
                  <c:v>1.0556827592237705</c:v>
                </c:pt>
                <c:pt idx="63">
                  <c:v>1.0583007038530567</c:v>
                </c:pt>
                <c:pt idx="64">
                  <c:v>1.0609010785518949</c:v>
                </c:pt>
                <c:pt idx="65">
                  <c:v>1.0634841099156109</c:v>
                </c:pt>
                <c:pt idx="66">
                  <c:v>1.0660500205962387</c:v>
                </c:pt>
                <c:pt idx="67">
                  <c:v>1.0685990293894767</c:v>
                </c:pt>
                <c:pt idx="68">
                  <c:v>1.0711313513193101</c:v>
                </c:pt>
                <c:pt idx="69">
                  <c:v>1.0736471977203703</c:v>
                </c:pt>
                <c:pt idx="70">
                  <c:v>1.0761467763181074</c:v>
                </c:pt>
                <c:pt idx="71">
                  <c:v>1.0786302913068411</c:v>
                </c:pt>
                <c:pt idx="72">
                  <c:v>1.0810979434257579</c:v>
                </c:pt>
                <c:pt idx="73">
                  <c:v>1.0835499300329194</c:v>
                </c:pt>
                <c:pt idx="74">
                  <c:v>1.0859864451773418</c:v>
                </c:pt>
                <c:pt idx="75">
                  <c:v>1.088407679669205</c:v>
                </c:pt>
                <c:pt idx="76">
                  <c:v>1.0908138211482532</c:v>
                </c:pt>
                <c:pt idx="77">
                  <c:v>1.0932050541504352</c:v>
                </c:pt>
                <c:pt idx="78">
                  <c:v>1.0955815601728469</c:v>
                </c:pt>
                <c:pt idx="79">
                  <c:v>1.0979435177370165</c:v>
                </c:pt>
                <c:pt idx="80">
                  <c:v>1.1002911024505937</c:v>
                </c:pt>
                <c:pt idx="81">
                  <c:v>1.1026244870674788</c:v>
                </c:pt>
                <c:pt idx="82">
                  <c:v>1.1049438415464496</c:v>
                </c:pt>
                <c:pt idx="83">
                  <c:v>1.1072493331083215</c:v>
                </c:pt>
                <c:pt idx="84">
                  <c:v>1.1095411262916903</c:v>
                </c:pt>
                <c:pt idx="85">
                  <c:v>1.1118193830072953</c:v>
                </c:pt>
                <c:pt idx="86">
                  <c:v>1.1140842625910439</c:v>
                </c:pt>
                <c:pt idx="87">
                  <c:v>1.1163359218557389</c:v>
                </c:pt>
                <c:pt idx="88">
                  <c:v>1.1185745151415434</c:v>
                </c:pt>
                <c:pt idx="89">
                  <c:v>1.1208001943652195</c:v>
                </c:pt>
                <c:pt idx="90">
                  <c:v>1.1230131090681792</c:v>
                </c:pt>
                <c:pt idx="91">
                  <c:v>1.125213406463377</c:v>
                </c:pt>
                <c:pt idx="92">
                  <c:v>1.1274012314810806</c:v>
                </c:pt>
                <c:pt idx="93">
                  <c:v>1.1295767268135504</c:v>
                </c:pt>
                <c:pt idx="94">
                  <c:v>1.1317400329586551</c:v>
                </c:pt>
                <c:pt idx="95">
                  <c:v>1.1338912882624617</c:v>
                </c:pt>
                <c:pt idx="96">
                  <c:v>1.1360306289608175</c:v>
                </c:pt>
                <c:pt idx="97">
                  <c:v>1.1381581892199615</c:v>
                </c:pt>
                <c:pt idx="98">
                  <c:v>1.1402741011761863</c:v>
                </c:pt>
                <c:pt idx="99">
                  <c:v>1.1423784949745803</c:v>
                </c:pt>
                <c:pt idx="100">
                  <c:v>1.1444714988068709</c:v>
                </c:pt>
                <c:pt idx="101">
                  <c:v>1.1465532389483981</c:v>
                </c:pt>
                <c:pt idx="102">
                  <c:v>1.1486238397942397</c:v>
                </c:pt>
                <c:pt idx="103">
                  <c:v>1.1506834238945107</c:v>
                </c:pt>
                <c:pt idx="104">
                  <c:v>1.1527321119888612</c:v>
                </c:pt>
                <c:pt idx="105">
                  <c:v>1.1547700230401894</c:v>
                </c:pt>
                <c:pt idx="106">
                  <c:v>1.1567972742675985</c:v>
                </c:pt>
                <c:pt idx="107">
                  <c:v>1.1588139811786096</c:v>
                </c:pt>
                <c:pt idx="108">
                  <c:v>1.1608202576006574</c:v>
                </c:pt>
                <c:pt idx="109">
                  <c:v>1.1628162157118798</c:v>
                </c:pt>
                <c:pt idx="110">
                  <c:v>1.1648019660712283</c:v>
                </c:pt>
                <c:pt idx="111">
                  <c:v>1.1667776176479097</c:v>
                </c:pt>
                <c:pt idx="112">
                  <c:v>1.1687432778501821</c:v>
                </c:pt>
                <c:pt idx="113">
                  <c:v>1.1706990525535188</c:v>
                </c:pt>
                <c:pt idx="114">
                  <c:v>1.1726450461281552</c:v>
                </c:pt>
                <c:pt idx="115">
                  <c:v>1.1745813614660403</c:v>
                </c:pt>
                <c:pt idx="116">
                  <c:v>1.1765081000072013</c:v>
                </c:pt>
                <c:pt idx="117">
                  <c:v>1.1784253617655385</c:v>
                </c:pt>
                <c:pt idx="118">
                  <c:v>1.1803332453540711</c:v>
                </c:pt>
                <c:pt idx="119">
                  <c:v>1.1822318480096352</c:v>
                </c:pt>
                <c:pt idx="120">
                  <c:v>1.1841212656170583</c:v>
                </c:pt>
                <c:pt idx="121">
                  <c:v>1.1860015927328253</c:v>
                </c:pt>
                <c:pt idx="122">
                  <c:v>1.187872922608231</c:v>
                </c:pt>
                <c:pt idx="123">
                  <c:v>1.1897353472120578</c:v>
                </c:pt>
                <c:pt idx="124">
                  <c:v>1.1915889572527689</c:v>
                </c:pt>
                <c:pt idx="125">
                  <c:v>1.1934338422002404</c:v>
                </c:pt>
                <c:pt idx="126">
                  <c:v>1.1952700903070377</c:v>
                </c:pt>
                <c:pt idx="127">
                  <c:v>1.1970977886292535</c:v>
                </c:pt>
                <c:pt idx="128">
                  <c:v>1.1989170230469128</c:v>
                </c:pt>
                <c:pt idx="129">
                  <c:v>1.2007278782839554</c:v>
                </c:pt>
                <c:pt idx="130">
                  <c:v>1.2025304379278123</c:v>
                </c:pt>
                <c:pt idx="131">
                  <c:v>1.2043247844485769</c:v>
                </c:pt>
                <c:pt idx="132">
                  <c:v>1.2061109992177901</c:v>
                </c:pt>
                <c:pt idx="133">
                  <c:v>1.20788916252684</c:v>
                </c:pt>
                <c:pt idx="134">
                  <c:v>1.2096593536049893</c:v>
                </c:pt>
                <c:pt idx="135">
                  <c:v>1.211421650637043</c:v>
                </c:pt>
                <c:pt idx="136">
                  <c:v>1.2131761307806566</c:v>
                </c:pt>
                <c:pt idx="137">
                  <c:v>1.2149228701833008</c:v>
                </c:pt>
                <c:pt idx="138">
                  <c:v>1.2166619439988866</c:v>
                </c:pt>
                <c:pt idx="139">
                  <c:v>1.2183934264040599</c:v>
                </c:pt>
                <c:pt idx="140">
                  <c:v>1.2201173906141727</c:v>
                </c:pt>
                <c:pt idx="141">
                  <c:v>1.2218339088989416</c:v>
                </c:pt>
                <c:pt idx="142">
                  <c:v>1.2235430525977951</c:v>
                </c:pt>
                <c:pt idx="143">
                  <c:v>1.2252448921349228</c:v>
                </c:pt>
                <c:pt idx="144">
                  <c:v>1.2269394970340288</c:v>
                </c:pt>
                <c:pt idx="145">
                  <c:v>1.2286269359327993</c:v>
                </c:pt>
                <c:pt idx="146">
                  <c:v>1.2303072765970882</c:v>
                </c:pt>
                <c:pt idx="147">
                  <c:v>1.2319805859348296</c:v>
                </c:pt>
                <c:pt idx="148">
                  <c:v>1.2336469300096835</c:v>
                </c:pt>
                <c:pt idx="149">
                  <c:v>1.2353063740544168</c:v>
                </c:pt>
                <c:pt idx="150">
                  <c:v>1.236958982484029</c:v>
                </c:pt>
                <c:pt idx="151">
                  <c:v>1.2386048189086298</c:v>
                </c:pt>
                <c:pt idx="152">
                  <c:v>1.2402439461460695</c:v>
                </c:pt>
                <c:pt idx="153">
                  <c:v>1.2418764262343331</c:v>
                </c:pt>
                <c:pt idx="154">
                  <c:v>1.2435023204436957</c:v>
                </c:pt>
                <c:pt idx="155">
                  <c:v>1.2451216892886554</c:v>
                </c:pt>
                <c:pt idx="156">
                  <c:v>1.246734592539636</c:v>
                </c:pt>
                <c:pt idx="157">
                  <c:v>1.2483410892344777</c:v>
                </c:pt>
                <c:pt idx="158">
                  <c:v>1.2499412376897083</c:v>
                </c:pt>
                <c:pt idx="159">
                  <c:v>1.2515350955116076</c:v>
                </c:pt>
                <c:pt idx="160">
                  <c:v>1.2531227196070689</c:v>
                </c:pt>
                <c:pt idx="161">
                  <c:v>1.2547041661942528</c:v>
                </c:pt>
                <c:pt idx="162">
                  <c:v>1.2562794908130592</c:v>
                </c:pt>
                <c:pt idx="163">
                  <c:v>1.2578487483353888</c:v>
                </c:pt>
                <c:pt idx="164">
                  <c:v>1.2594119929752357</c:v>
                </c:pt>
                <c:pt idx="165">
                  <c:v>1.2609692782985831</c:v>
                </c:pt>
                <c:pt idx="166">
                  <c:v>1.2625206572331247</c:v>
                </c:pt>
                <c:pt idx="167">
                  <c:v>1.2640661820778107</c:v>
                </c:pt>
                <c:pt idx="168">
                  <c:v>1.2656059045122205</c:v>
                </c:pt>
                <c:pt idx="169">
                  <c:v>1.2671398756057664</c:v>
                </c:pt>
                <c:pt idx="170">
                  <c:v>1.2686681458267342</c:v>
                </c:pt>
                <c:pt idx="171">
                  <c:v>1.2701907650511599</c:v>
                </c:pt>
                <c:pt idx="172">
                  <c:v>1.2717077825715521</c:v>
                </c:pt>
                <c:pt idx="173">
                  <c:v>1.2732192471054542</c:v>
                </c:pt>
                <c:pt idx="174">
                  <c:v>1.2747252068038608</c:v>
                </c:pt>
                <c:pt idx="175">
                  <c:v>1.2762257092594829</c:v>
                </c:pt>
                <c:pt idx="176">
                  <c:v>1.2777208015148649</c:v>
                </c:pt>
                <c:pt idx="177">
                  <c:v>1.2792105300703669</c:v>
                </c:pt>
                <c:pt idx="178">
                  <c:v>1.2806949408920003</c:v>
                </c:pt>
                <c:pt idx="179">
                  <c:v>1.2821740794191299</c:v>
                </c:pt>
                <c:pt idx="180">
                  <c:v>1.2836479905720428</c:v>
                </c:pt>
                <c:pt idx="181">
                  <c:v>1.2851167187593837</c:v>
                </c:pt>
                <c:pt idx="182">
                  <c:v>1.2865803078854658</c:v>
                </c:pt>
                <c:pt idx="183">
                  <c:v>1.2880388013574522</c:v>
                </c:pt>
                <c:pt idx="184">
                  <c:v>1.289492242092416</c:v>
                </c:pt>
                <c:pt idx="185">
                  <c:v>1.2909406725242787</c:v>
                </c:pt>
                <c:pt idx="186">
                  <c:v>1.2923841346106311</c:v>
                </c:pt>
                <c:pt idx="187">
                  <c:v>1.2938226698394386</c:v>
                </c:pt>
                <c:pt idx="188">
                  <c:v>1.2952563192356301</c:v>
                </c:pt>
                <c:pt idx="189">
                  <c:v>1.2966851233675798</c:v>
                </c:pt>
                <c:pt idx="190">
                  <c:v>1.2981091223534753</c:v>
                </c:pt>
                <c:pt idx="191">
                  <c:v>1.2995283558675825</c:v>
                </c:pt>
                <c:pt idx="192">
                  <c:v>1.3009428631464033</c:v>
                </c:pt>
                <c:pt idx="193">
                  <c:v>1.3023526829947294</c:v>
                </c:pt>
                <c:pt idx="194">
                  <c:v>1.3037578537916006</c:v>
                </c:pt>
                <c:pt idx="195">
                  <c:v>1.3051584134961574</c:v>
                </c:pt>
                <c:pt idx="196">
                  <c:v>1.3065543996533993</c:v>
                </c:pt>
                <c:pt idx="197">
                  <c:v>1.3079458493998499</c:v>
                </c:pt>
                <c:pt idx="198">
                  <c:v>1.3093327994691288</c:v>
                </c:pt>
                <c:pt idx="199">
                  <c:v>1.3107152861974256</c:v>
                </c:pt>
                <c:pt idx="200">
                  <c:v>1.3120933455288937</c:v>
                </c:pt>
              </c:numCache>
            </c:numRef>
          </c:val>
          <c:smooth val="0"/>
          <c:extLst>
            <c:ext xmlns:c16="http://schemas.microsoft.com/office/drawing/2014/chart" uri="{C3380CC4-5D6E-409C-BE32-E72D297353CC}">
              <c16:uniqueId val="{00000001-E67B-4930-9B0B-95621CA3ED28}"/>
            </c:ext>
          </c:extLst>
        </c:ser>
        <c:ser>
          <c:idx val="6"/>
          <c:order val="6"/>
          <c:tx>
            <c:strRef>
              <c:f>'Efficiency vs VIN Calculations'!$BT$8</c:f>
              <c:strCache>
                <c:ptCount val="1"/>
                <c:pt idx="0">
                  <c:v>Boost ''Control'' MOSFET Loss</c:v>
                </c:pt>
              </c:strCache>
            </c:strRef>
          </c:tx>
          <c:spPr>
            <a:ln>
              <a:prstDash val="sysDash"/>
            </a:ln>
          </c:spPr>
          <c:marker>
            <c:symbol val="none"/>
          </c:marker>
          <c:val>
            <c:numRef>
              <c:f>'Efficiency vs VIN Calculations'!$BT$9:$BT$209</c:f>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2-E67B-4930-9B0B-95621CA3ED28}"/>
            </c:ext>
          </c:extLst>
        </c:ser>
        <c:ser>
          <c:idx val="7"/>
          <c:order val="7"/>
          <c:tx>
            <c:strRef>
              <c:f>'Efficiency vs VIN Calculations'!$BU$8</c:f>
              <c:strCache>
                <c:ptCount val="1"/>
                <c:pt idx="0">
                  <c:v>Boost ''SYNC'' MOSFET Loss</c:v>
                </c:pt>
              </c:strCache>
            </c:strRef>
          </c:tx>
          <c:spPr>
            <a:ln>
              <a:prstDash val="sysDash"/>
            </a:ln>
          </c:spPr>
          <c:marker>
            <c:symbol val="none"/>
          </c:marker>
          <c:val>
            <c:numRef>
              <c:f>'Efficiency vs VIN Calculations'!$BU$9:$BU$209</c:f>
              <c:numCache>
                <c:formatCode>0.000</c:formatCode>
                <c:ptCount val="201"/>
                <c:pt idx="0">
                  <c:v>0.71051455693915033</c:v>
                </c:pt>
                <c:pt idx="1">
                  <c:v>0.71062929431359978</c:v>
                </c:pt>
                <c:pt idx="2">
                  <c:v>0.7107445488526366</c:v>
                </c:pt>
                <c:pt idx="3">
                  <c:v>0.71086026741060471</c:v>
                </c:pt>
                <c:pt idx="4">
                  <c:v>0.71097639943322877</c:v>
                </c:pt>
                <c:pt idx="5">
                  <c:v>0.71109289683160382</c:v>
                </c:pt>
                <c:pt idx="6">
                  <c:v>0.71120971386280474</c:v>
                </c:pt>
                <c:pt idx="7">
                  <c:v>0.71132680701673412</c:v>
                </c:pt>
                <c:pt idx="8">
                  <c:v>0.71144413490885572</c:v>
                </c:pt>
                <c:pt idx="9">
                  <c:v>0.71156165817847028</c:v>
                </c:pt>
                <c:pt idx="10">
                  <c:v>0.71167933939222783</c:v>
                </c:pt>
                <c:pt idx="11">
                  <c:v>0.71179714295257812</c:v>
                </c:pt>
                <c:pt idx="12">
                  <c:v>0.71191503501088294</c:v>
                </c:pt>
                <c:pt idx="13">
                  <c:v>0.71203298338493093</c:v>
                </c:pt>
                <c:pt idx="14">
                  <c:v>0.7121509574806143</c:v>
                </c:pt>
                <c:pt idx="15">
                  <c:v>0.71226892821753163</c:v>
                </c:pt>
                <c:pt idx="16">
                  <c:v>0.71238686795830952</c:v>
                </c:pt>
                <c:pt idx="17">
                  <c:v>0.71250475044143669</c:v>
                </c:pt>
                <c:pt idx="18">
                  <c:v>0.71262255071741665</c:v>
                </c:pt>
                <c:pt idx="19">
                  <c:v>0.71274024508807221</c:v>
                </c:pt>
                <c:pt idx="20">
                  <c:v>0.7128578110488154</c:v>
                </c:pt>
                <c:pt idx="21">
                  <c:v>0.71297522723374396</c:v>
                </c:pt>
                <c:pt idx="22">
                  <c:v>0.71309247336339565</c:v>
                </c:pt>
                <c:pt idx="23">
                  <c:v>0.71320953019503774</c:v>
                </c:pt>
                <c:pt idx="24">
                  <c:v>0.71332637947534305</c:v>
                </c:pt>
                <c:pt idx="25">
                  <c:v>0.71344300389534065</c:v>
                </c:pt>
                <c:pt idx="26">
                  <c:v>0.71355938704751409</c:v>
                </c:pt>
                <c:pt idx="27">
                  <c:v>0.71367551338493884</c:v>
                </c:pt>
                <c:pt idx="28">
                  <c:v>0.71379136818235966</c:v>
                </c:pt>
                <c:pt idx="29">
                  <c:v>0.71390693749909595</c:v>
                </c:pt>
                <c:pt idx="30">
                  <c:v>0.71402220814369499</c:v>
                </c:pt>
                <c:pt idx="31">
                  <c:v>0.71413716764023671</c:v>
                </c:pt>
                <c:pt idx="32">
                  <c:v>0.71425180419620959</c:v>
                </c:pt>
                <c:pt idx="33">
                  <c:v>0.71436610667187483</c:v>
                </c:pt>
                <c:pt idx="34">
                  <c:v>0.7144800645510524</c:v>
                </c:pt>
                <c:pt idx="35">
                  <c:v>0.71459366791324774</c:v>
                </c:pt>
                <c:pt idx="36">
                  <c:v>0.71470690740706289</c:v>
                </c:pt>
                <c:pt idx="37">
                  <c:v>0.71481977422481846</c:v>
                </c:pt>
                <c:pt idx="38">
                  <c:v>0.7149322600783371</c:v>
                </c:pt>
                <c:pt idx="39">
                  <c:v>0.71504435717582426</c:v>
                </c:pt>
                <c:pt idx="40">
                  <c:v>0.71515605819979522</c:v>
                </c:pt>
                <c:pt idx="41">
                  <c:v>0.71526735628599858</c:v>
                </c:pt>
                <c:pt idx="42">
                  <c:v>0.71537824500328751</c:v>
                </c:pt>
                <c:pt idx="43">
                  <c:v>0.71548871833439087</c:v>
                </c:pt>
                <c:pt idx="44">
                  <c:v>0.71559877065754696</c:v>
                </c:pt>
                <c:pt idx="45">
                  <c:v>0.7157083967289497</c:v>
                </c:pt>
                <c:pt idx="46">
                  <c:v>0.71581759166598036</c:v>
                </c:pt>
                <c:pt idx="47">
                  <c:v>0.71592635093117518</c:v>
                </c:pt>
                <c:pt idx="48">
                  <c:v>0.71603467031690382</c:v>
                </c:pt>
                <c:pt idx="49">
                  <c:v>0.71614254593072213</c:v>
                </c:pt>
                <c:pt idx="50">
                  <c:v>0.71624997418136394</c:v>
                </c:pt>
                <c:pt idx="51">
                  <c:v>0.71635695176534997</c:v>
                </c:pt>
                <c:pt idx="52">
                  <c:v>0.71646347565417712</c:v>
                </c:pt>
                <c:pt idx="53">
                  <c:v>0.71656954308206799</c:v>
                </c:pt>
                <c:pt idx="54">
                  <c:v>0.71667515153424932</c:v>
                </c:pt>
                <c:pt idx="55">
                  <c:v>0.71678029873573956</c:v>
                </c:pt>
                <c:pt idx="56">
                  <c:v>0.71688498264061973</c:v>
                </c:pt>
                <c:pt idx="57">
                  <c:v>0.71698920142176636</c:v>
                </c:pt>
                <c:pt idx="58">
                  <c:v>0.71709295346102542</c:v>
                </c:pt>
                <c:pt idx="59">
                  <c:v>0.71719623733980808</c:v>
                </c:pt>
                <c:pt idx="60">
                  <c:v>0.71729905183008602</c:v>
                </c:pt>
                <c:pt idx="61">
                  <c:v>0.71740139588577734</c:v>
                </c:pt>
                <c:pt idx="62">
                  <c:v>0.71750326863448888</c:v>
                </c:pt>
                <c:pt idx="63">
                  <c:v>0.71760466936962075</c:v>
                </c:pt>
                <c:pt idx="64">
                  <c:v>0.71770559754279717</c:v>
                </c:pt>
                <c:pt idx="65">
                  <c:v>0.71780605275662246</c:v>
                </c:pt>
                <c:pt idx="66">
                  <c:v>0.71790603475773995</c:v>
                </c:pt>
                <c:pt idx="67">
                  <c:v>0.71800554343018774</c:v>
                </c:pt>
                <c:pt idx="68">
                  <c:v>0.71810457878902823</c:v>
                </c:pt>
                <c:pt idx="69">
                  <c:v>0.7182031409742512</c:v>
                </c:pt>
                <c:pt idx="70">
                  <c:v>0.71830123024492853</c:v>
                </c:pt>
                <c:pt idx="71">
                  <c:v>0.71839884697361778</c:v>
                </c:pt>
                <c:pt idx="72">
                  <c:v>0.71849599164099476</c:v>
                </c:pt>
                <c:pt idx="73">
                  <c:v>0.71859266483071604</c:v>
                </c:pt>
                <c:pt idx="74">
                  <c:v>0.71868886722449099</c:v>
                </c:pt>
                <c:pt idx="75">
                  <c:v>0.71878459959736318</c:v>
                </c:pt>
                <c:pt idx="76">
                  <c:v>0.71887986281318372</c:v>
                </c:pt>
                <c:pt idx="77">
                  <c:v>0.71897465782027836</c:v>
                </c:pt>
                <c:pt idx="78">
                  <c:v>0.71906898564729005</c:v>
                </c:pt>
                <c:pt idx="79">
                  <c:v>0.719162847399196</c:v>
                </c:pt>
                <c:pt idx="80">
                  <c:v>0.71925624425349088</c:v>
                </c:pt>
                <c:pt idx="81">
                  <c:v>0.71934917745652505</c:v>
                </c:pt>
                <c:pt idx="82">
                  <c:v>0.71944164831999735</c:v>
                </c:pt>
                <c:pt idx="83">
                  <c:v>0.71953365821759319</c:v>
                </c:pt>
                <c:pt idx="84">
                  <c:v>0.7196252085817596</c:v>
                </c:pt>
                <c:pt idx="85">
                  <c:v>0.71971630090061556</c:v>
                </c:pt>
                <c:pt idx="86">
                  <c:v>0.71980693671498774</c:v>
                </c:pt>
                <c:pt idx="87">
                  <c:v>0.71989711761557373</c:v>
                </c:pt>
                <c:pt idx="88">
                  <c:v>0.71998684524021606</c:v>
                </c:pt>
                <c:pt idx="89">
                  <c:v>0.72007612127129417</c:v>
                </c:pt>
                <c:pt idx="90">
                  <c:v>0.72016494743322113</c:v>
                </c:pt>
                <c:pt idx="91">
                  <c:v>0.72025332549004506</c:v>
                </c:pt>
                <c:pt idx="92">
                  <c:v>0.72034125724315157</c:v>
                </c:pt>
                <c:pt idx="93">
                  <c:v>0.72042874452905614</c:v>
                </c:pt>
                <c:pt idx="94">
                  <c:v>0.72051578921729431</c:v>
                </c:pt>
                <c:pt idx="95">
                  <c:v>0.7206023932083947</c:v>
                </c:pt>
                <c:pt idx="96">
                  <c:v>0.72068855843193713</c:v>
                </c:pt>
                <c:pt idx="97">
                  <c:v>0.72077428684469491</c:v>
                </c:pt>
                <c:pt idx="98">
                  <c:v>0.72085958042884679</c:v>
                </c:pt>
                <c:pt idx="99">
                  <c:v>0.72094444119027157</c:v>
                </c:pt>
                <c:pt idx="100">
                  <c:v>0.7210288711569085</c:v>
                </c:pt>
                <c:pt idx="101">
                  <c:v>0.72111287237718669</c:v>
                </c:pt>
                <c:pt idx="102">
                  <c:v>0.72119644691852336</c:v>
                </c:pt>
                <c:pt idx="103">
                  <c:v>0.72127959686588061</c:v>
                </c:pt>
                <c:pt idx="104">
                  <c:v>0.72136232432038594</c:v>
                </c:pt>
                <c:pt idx="105">
                  <c:v>0.72144463139800885</c:v>
                </c:pt>
                <c:pt idx="106">
                  <c:v>0.72152652022829278</c:v>
                </c:pt>
                <c:pt idx="107">
                  <c:v>0.72160799295314437</c:v>
                </c:pt>
                <c:pt idx="108">
                  <c:v>0.72168905172567044</c:v>
                </c:pt>
                <c:pt idx="109">
                  <c:v>0.72176969870906138</c:v>
                </c:pt>
                <c:pt idx="110">
                  <c:v>0.72184993607553116</c:v>
                </c:pt>
                <c:pt idx="111">
                  <c:v>0.72192976600529313</c:v>
                </c:pt>
                <c:pt idx="112">
                  <c:v>0.72200919068558667</c:v>
                </c:pt>
                <c:pt idx="113">
                  <c:v>0.7220882123097393</c:v>
                </c:pt>
                <c:pt idx="114">
                  <c:v>0.72216683307627494</c:v>
                </c:pt>
                <c:pt idx="115">
                  <c:v>0.72224505518805848</c:v>
                </c:pt>
                <c:pt idx="116">
                  <c:v>0.72232288085147489</c:v>
                </c:pt>
                <c:pt idx="117">
                  <c:v>0.72240031227564994</c:v>
                </c:pt>
                <c:pt idx="118">
                  <c:v>0.72247735167169913</c:v>
                </c:pt>
                <c:pt idx="119">
                  <c:v>0.72255400125201374</c:v>
                </c:pt>
                <c:pt idx="120">
                  <c:v>0.72263026322957558</c:v>
                </c:pt>
                <c:pt idx="121">
                  <c:v>0.72270613981730636</c:v>
                </c:pt>
                <c:pt idx="122">
                  <c:v>0.72278163322743916</c:v>
                </c:pt>
                <c:pt idx="123">
                  <c:v>0.72285674567092728</c:v>
                </c:pt>
                <c:pt idx="124">
                  <c:v>0.7229314793568713</c:v>
                </c:pt>
                <c:pt idx="125">
                  <c:v>0.72300583649197769</c:v>
                </c:pt>
                <c:pt idx="126">
                  <c:v>0.7230798192800395</c:v>
                </c:pt>
                <c:pt idx="127">
                  <c:v>0.72315342992144316</c:v>
                </c:pt>
                <c:pt idx="128">
                  <c:v>0.72322667061269541</c:v>
                </c:pt>
                <c:pt idx="129">
                  <c:v>0.72329954354597548</c:v>
                </c:pt>
                <c:pt idx="130">
                  <c:v>0.72337205090870649</c:v>
                </c:pt>
                <c:pt idx="131">
                  <c:v>0.72344419488314715</c:v>
                </c:pt>
                <c:pt idx="132">
                  <c:v>0.72351597764600373</c:v>
                </c:pt>
                <c:pt idx="133">
                  <c:v>0.72358740136806232</c:v>
                </c:pt>
                <c:pt idx="134">
                  <c:v>0.7236584682138355</c:v>
                </c:pt>
                <c:pt idx="135">
                  <c:v>0.72372918034122879</c:v>
                </c:pt>
                <c:pt idx="136">
                  <c:v>0.72379953990122581</c:v>
                </c:pt>
                <c:pt idx="137">
                  <c:v>0.7238695490375836</c:v>
                </c:pt>
                <c:pt idx="138">
                  <c:v>0.72393920988655047</c:v>
                </c:pt>
                <c:pt idx="139">
                  <c:v>0.72400852457659237</c:v>
                </c:pt>
                <c:pt idx="140">
                  <c:v>0.72407749522813869</c:v>
                </c:pt>
                <c:pt idx="141">
                  <c:v>0.72414612395333677</c:v>
                </c:pt>
                <c:pt idx="142">
                  <c:v>0.72421441285582466</c:v>
                </c:pt>
                <c:pt idx="143">
                  <c:v>0.72428236403051205</c:v>
                </c:pt>
                <c:pt idx="144">
                  <c:v>0.72434997956337643</c:v>
                </c:pt>
                <c:pt idx="145">
                  <c:v>0.72441726153126862</c:v>
                </c:pt>
                <c:pt idx="146">
                  <c:v>0.72448421200173219</c:v>
                </c:pt>
                <c:pt idx="147">
                  <c:v>0.72455083303282952</c:v>
                </c:pt>
                <c:pt idx="148">
                  <c:v>0.72461712667298406</c:v>
                </c:pt>
                <c:pt idx="149">
                  <c:v>0.72468309496082528</c:v>
                </c:pt>
                <c:pt idx="150">
                  <c:v>0.7247487399250504</c:v>
                </c:pt>
                <c:pt idx="151">
                  <c:v>0.72481406358428946</c:v>
                </c:pt>
                <c:pt idx="152">
                  <c:v>0.72487906794698231</c:v>
                </c:pt>
                <c:pt idx="153">
                  <c:v>0.72494375501126473</c:v>
                </c:pt>
                <c:pt idx="154">
                  <c:v>0.72500812676485804</c:v>
                </c:pt>
                <c:pt idx="155">
                  <c:v>0.72507218518497207</c:v>
                </c:pt>
                <c:pt idx="156">
                  <c:v>0.72513593223821315</c:v>
                </c:pt>
                <c:pt idx="157">
                  <c:v>0.72519936988049805</c:v>
                </c:pt>
                <c:pt idx="158">
                  <c:v>0.72526250005697446</c:v>
                </c:pt>
                <c:pt idx="159">
                  <c:v>0.72532532470195432</c:v>
                </c:pt>
                <c:pt idx="160">
                  <c:v>0.72538784573884518</c:v>
                </c:pt>
                <c:pt idx="161">
                  <c:v>0.72545006508009025</c:v>
                </c:pt>
                <c:pt idx="162">
                  <c:v>0.7255119846271183</c:v>
                </c:pt>
                <c:pt idx="163">
                  <c:v>0.72557360627029333</c:v>
                </c:pt>
                <c:pt idx="164">
                  <c:v>0.72563493188887418</c:v>
                </c:pt>
                <c:pt idx="165">
                  <c:v>0.72569596335097608</c:v>
                </c:pt>
                <c:pt idx="166">
                  <c:v>0.72575670251353852</c:v>
                </c:pt>
                <c:pt idx="167">
                  <c:v>0.72581715122229762</c:v>
                </c:pt>
                <c:pt idx="168">
                  <c:v>0.72587731131176469</c:v>
                </c:pt>
                <c:pt idx="169">
                  <c:v>0.7259371846052034</c:v>
                </c:pt>
                <c:pt idx="170">
                  <c:v>0.7259967729146205</c:v>
                </c:pt>
                <c:pt idx="171">
                  <c:v>0.72605607804075101</c:v>
                </c:pt>
                <c:pt idx="172">
                  <c:v>0.72611510177305316</c:v>
                </c:pt>
                <c:pt idx="173">
                  <c:v>0.72617384588970457</c:v>
                </c:pt>
                <c:pt idx="174">
                  <c:v>0.72623231215760287</c:v>
                </c:pt>
                <c:pt idx="175">
                  <c:v>0.7262905023323688</c:v>
                </c:pt>
                <c:pt idx="176">
                  <c:v>0.72634841815835371</c:v>
                </c:pt>
                <c:pt idx="177">
                  <c:v>0.72640606136864783</c:v>
                </c:pt>
                <c:pt idx="178">
                  <c:v>0.72646343368509503</c:v>
                </c:pt>
                <c:pt idx="179">
                  <c:v>0.72652053681830564</c:v>
                </c:pt>
                <c:pt idx="180">
                  <c:v>0.7265773724676784</c:v>
                </c:pt>
                <c:pt idx="181">
                  <c:v>0.72663394232141587</c:v>
                </c:pt>
                <c:pt idx="182">
                  <c:v>0.72669024805655202</c:v>
                </c:pt>
                <c:pt idx="183">
                  <c:v>0.72674629133897484</c:v>
                </c:pt>
                <c:pt idx="184">
                  <c:v>0.72680207382345574</c:v>
                </c:pt>
                <c:pt idx="185">
                  <c:v>0.7268575971536767</c:v>
                </c:pt>
                <c:pt idx="186">
                  <c:v>0.72691286296226487</c:v>
                </c:pt>
                <c:pt idx="187">
                  <c:v>0.72696787287082365</c:v>
                </c:pt>
                <c:pt idx="188">
                  <c:v>0.7270226284899689</c:v>
                </c:pt>
                <c:pt idx="189">
                  <c:v>0.7270771314193657</c:v>
                </c:pt>
                <c:pt idx="190">
                  <c:v>0.72713138324776716</c:v>
                </c:pt>
                <c:pt idx="191">
                  <c:v>0.7271853855530559</c:v>
                </c:pt>
                <c:pt idx="192">
                  <c:v>0.72723913990228151</c:v>
                </c:pt>
                <c:pt idx="193">
                  <c:v>0.72729264785170977</c:v>
                </c:pt>
                <c:pt idx="194">
                  <c:v>0.72734591094686085</c:v>
                </c:pt>
                <c:pt idx="195">
                  <c:v>0.72739893072255946</c:v>
                </c:pt>
                <c:pt idx="196">
                  <c:v>0.72745170870297959</c:v>
                </c:pt>
                <c:pt idx="197">
                  <c:v>0.72750424640169165</c:v>
                </c:pt>
                <c:pt idx="198">
                  <c:v>0.72755654532171454</c:v>
                </c:pt>
                <c:pt idx="199">
                  <c:v>0.72760860695556173</c:v>
                </c:pt>
                <c:pt idx="200">
                  <c:v>0.7276604327852948</c:v>
                </c:pt>
              </c:numCache>
            </c:numRef>
          </c:val>
          <c:smooth val="0"/>
          <c:extLst>
            <c:ext xmlns:c16="http://schemas.microsoft.com/office/drawing/2014/chart" uri="{C3380CC4-5D6E-409C-BE32-E72D297353CC}">
              <c16:uniqueId val="{00000003-E67B-4930-9B0B-95621CA3ED28}"/>
            </c:ext>
          </c:extLst>
        </c:ser>
        <c:dLbls>
          <c:showLegendKey val="0"/>
          <c:showVal val="0"/>
          <c:showCatName val="0"/>
          <c:showSerName val="0"/>
          <c:showPercent val="0"/>
          <c:showBubbleSize val="0"/>
        </c:dLbls>
        <c:marker val="1"/>
        <c:smooth val="0"/>
        <c:axId val="196432256"/>
        <c:axId val="196421888"/>
        <c:extLst>
          <c:ext xmlns:c15="http://schemas.microsoft.com/office/drawing/2012/chart" uri="{02D57815-91ED-43cb-92C2-25804820EDAC}">
            <c15:filteredLineSeries>
              <c15:ser>
                <c:idx val="2"/>
                <c:order val="2"/>
                <c:tx>
                  <c:v>Total MOSFET Loss</c:v>
                </c:tx>
                <c:spPr>
                  <a:ln w="38100">
                    <a:solidFill>
                      <a:srgbClr val="808000"/>
                    </a:solidFill>
                    <a:prstDash val="sysDash"/>
                  </a:ln>
                </c:spPr>
                <c:marker>
                  <c:symbol val="none"/>
                </c:marker>
                <c:cat>
                  <c:numRef>
                    <c:extLst>
                      <c:ext uri="{02D57815-91ED-43cb-92C2-25804820EDAC}">
                        <c15:formulaRef>
                          <c15:sqref>'Efficiency vs VIN Calculations'!$H$9:$H$209</c15:sqref>
                        </c15:formulaRef>
                      </c:ext>
                    </c:extLst>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cat>
                <c:val>
                  <c:numRef>
                    <c:extLst>
                      <c:ext uri="{02D57815-91ED-43cb-92C2-25804820EDAC}">
                        <c15:formulaRef>
                          <c15:sqref>'Efficiency vs VIN Calculations'!$BQ$9:$BQ$209</c15:sqref>
                        </c15:formulaRef>
                      </c:ext>
                    </c:extLst>
                    <c:numCache>
                      <c:formatCode>0.000</c:formatCode>
                      <c:ptCount val="201"/>
                      <c:pt idx="0">
                        <c:v>4.8833771988768673</c:v>
                      </c:pt>
                      <c:pt idx="1">
                        <c:v>4.9016780655888761</c:v>
                      </c:pt>
                      <c:pt idx="2">
                        <c:v>4.9199964916870602</c:v>
                      </c:pt>
                      <c:pt idx="3">
                        <c:v>4.9383317694126685</c:v>
                      </c:pt>
                      <c:pt idx="4">
                        <c:v>4.9566832201107207</c:v>
                      </c:pt>
                      <c:pt idx="5">
                        <c:v>4.9750501928849182</c:v>
                      </c:pt>
                      <c:pt idx="6">
                        <c:v>4.9934320633230813</c:v>
                      </c:pt>
                      <c:pt idx="7">
                        <c:v>5.0118282322889574</c:v>
                      </c:pt>
                      <c:pt idx="8">
                        <c:v>5.0302381247765062</c:v>
                      </c:pt>
                      <c:pt idx="9">
                        <c:v>5.0486611888230168</c:v>
                      </c:pt>
                      <c:pt idx="10">
                        <c:v>5.0670968944776442</c:v>
                      </c:pt>
                      <c:pt idx="11">
                        <c:v>5.0855447328222185</c:v>
                      </c:pt>
                      <c:pt idx="12">
                        <c:v>5.1040042150412885</c:v>
                      </c:pt>
                      <c:pt idx="13">
                        <c:v>5.1224748715386745</c:v>
                      </c:pt>
                      <c:pt idx="14">
                        <c:v>5.1409562510978697</c:v>
                      </c:pt>
                      <c:pt idx="15">
                        <c:v>5.1594479200838617</c:v>
                      </c:pt>
                      <c:pt idx="16">
                        <c:v>5.1779494616840598</c:v>
                      </c:pt>
                      <c:pt idx="17">
                        <c:v>5.196460475186222</c:v>
                      </c:pt>
                      <c:pt idx="18">
                        <c:v>5.2149805752912588</c:v>
                      </c:pt>
                      <c:pt idx="19">
                        <c:v>5.2335093914591546</c:v>
                      </c:pt>
                      <c:pt idx="20">
                        <c:v>5.252046567286067</c:v>
                      </c:pt>
                      <c:pt idx="21">
                        <c:v>5.2705917599110776</c:v>
                      </c:pt>
                      <c:pt idx="22">
                        <c:v>5.2891446394508845</c:v>
                      </c:pt>
                      <c:pt idx="23">
                        <c:v>5.3077048884610569</c:v>
                      </c:pt>
                      <c:pt idx="24">
                        <c:v>5.3262722014223911</c:v>
                      </c:pt>
                      <c:pt idx="25">
                        <c:v>5.3448462842510818</c:v>
                      </c:pt>
                      <c:pt idx="26">
                        <c:v>5.3634268538314656</c:v>
                      </c:pt>
                      <c:pt idx="27">
                        <c:v>5.3820136375701688</c:v>
                      </c:pt>
                      <c:pt idx="28">
                        <c:v>5.4006063729705733</c:v>
                      </c:pt>
                      <c:pt idx="29">
                        <c:v>5.4192048072265342</c:v>
                      </c:pt>
                      <c:pt idx="30">
                        <c:v>5.4378086968344084</c:v>
                      </c:pt>
                      <c:pt idx="31">
                        <c:v>5.4564178072224436</c:v>
                      </c:pt>
                      <c:pt idx="32">
                        <c:v>5.4750319123966866</c:v>
                      </c:pt>
                      <c:pt idx="33">
                        <c:v>5.4936507946025417</c:v>
                      </c:pt>
                      <c:pt idx="34">
                        <c:v>5.512274244001266</c:v>
                      </c:pt>
                      <c:pt idx="35">
                        <c:v>5.5309020583606046</c:v>
                      </c:pt>
                      <c:pt idx="36">
                        <c:v>5.5495340427589221</c:v>
                      </c:pt>
                      <c:pt idx="37">
                        <c:v>5.5681700093021433</c:v>
                      </c:pt>
                      <c:pt idx="38">
                        <c:v>5.5868097768528955</c:v>
                      </c:pt>
                      <c:pt idx="39">
                        <c:v>5.6054531707712627</c:v>
                      </c:pt>
                      <c:pt idx="40">
                        <c:v>5.6241000226666111</c:v>
                      </c:pt>
                      <c:pt idx="41">
                        <c:v>5.6427501701599034</c:v>
                      </c:pt>
                      <c:pt idx="42">
                        <c:v>5.661403456656112</c:v>
                      </c:pt>
                      <c:pt idx="43">
                        <c:v>5.6800597311261196</c:v>
                      </c:pt>
                      <c:pt idx="44">
                        <c:v>5.6987188478977897</c:v>
                      </c:pt>
                      <c:pt idx="45">
                        <c:v>5.7173806664556945</c:v>
                      </c:pt>
                      <c:pt idx="46">
                        <c:v>5.7360450512491337</c:v>
                      </c:pt>
                      <c:pt idx="47">
                        <c:v>5.7547118715080687</c:v>
                      </c:pt>
                      <c:pt idx="48">
                        <c:v>5.7733810010665865</c:v>
                      </c:pt>
                      <c:pt idx="49">
                        <c:v>5.7920523181935621</c:v>
                      </c:pt>
                      <c:pt idx="50">
                        <c:v>5.8107257054302064</c:v>
                      </c:pt>
                      <c:pt idx="51">
                        <c:v>5.8294010494341553</c:v>
                      </c:pt>
                      <c:pt idx="52">
                        <c:v>5.8480782408298451</c:v>
                      </c:pt>
                      <c:pt idx="53">
                        <c:v>5.866757174064861</c:v>
                      </c:pt>
                      <c:pt idx="54">
                        <c:v>5.8854377472720136</c:v>
                      </c:pt>
                      <c:pt idx="55">
                        <c:v>5.9041198621368851</c:v>
                      </c:pt>
                      <c:pt idx="56">
                        <c:v>5.9228034237705929</c:v>
                      </c:pt>
                      <c:pt idx="57">
                        <c:v>5.9414883405875729</c:v>
                      </c:pt>
                      <c:pt idx="58">
                        <c:v>5.9601745241881154</c:v>
                      </c:pt>
                      <c:pt idx="59">
                        <c:v>5.9788618892454997</c:v>
                      </c:pt>
                      <c:pt idx="60">
                        <c:v>5.9975503533974868</c:v>
                      </c:pt>
                      <c:pt idx="61">
                        <c:v>6.0162398371420229</c:v>
                      </c:pt>
                      <c:pt idx="62">
                        <c:v>6.0349302637369169</c:v>
                      </c:pt>
                      <c:pt idx="63">
                        <c:v>6.0536215591033997</c:v>
                      </c:pt>
                      <c:pt idx="64">
                        <c:v>6.0723136517333165</c:v>
                      </c:pt>
                      <c:pt idx="65">
                        <c:v>6.0910064725998909</c:v>
                      </c:pt>
                      <c:pt idx="66">
                        <c:v>6.1096999550717968</c:v>
                      </c:pt>
                      <c:pt idx="67">
                        <c:v>6.1283940348305377</c:v>
                      </c:pt>
                      <c:pt idx="68">
                        <c:v>6.147088649790855</c:v>
                      </c:pt>
                      <c:pt idx="69">
                        <c:v>6.1657837400241613</c:v>
                      </c:pt>
                      <c:pt idx="70">
                        <c:v>6.184479247684787</c:v>
                      </c:pt>
                      <c:pt idx="71">
                        <c:v>6.2031751169389739</c:v>
                      </c:pt>
                      <c:pt idx="72">
                        <c:v>6.2218712938964833</c:v>
                      </c:pt>
                      <c:pt idx="73">
                        <c:v>6.240567726544711</c:v>
                      </c:pt>
                      <c:pt idx="74">
                        <c:v>6.2592643646852357</c:v>
                      </c:pt>
                      <c:pt idx="75">
                        <c:v>6.277961159872655</c:v>
                      </c:pt>
                      <c:pt idx="76">
                        <c:v>6.2966580653556523</c:v>
                      </c:pt>
                      <c:pt idx="77">
                        <c:v>6.315355036020204</c:v>
                      </c:pt>
                      <c:pt idx="78">
                        <c:v>6.3340520283348303</c:v>
                      </c:pt>
                      <c:pt idx="79">
                        <c:v>6.3527490002978046</c:v>
                      </c:pt>
                      <c:pt idx="80">
                        <c:v>6.3714459113862594</c:v>
                      </c:pt>
                      <c:pt idx="81">
                        <c:v>6.3901427225071057</c:v>
                      </c:pt>
                      <c:pt idx="82">
                        <c:v>6.4088393959496974</c:v>
                      </c:pt>
                      <c:pt idx="83">
                        <c:v>6.4275358953401689</c:v>
                      </c:pt>
                      <c:pt idx="84">
                        <c:v>6.4462321855973803</c:v>
                      </c:pt>
                      <c:pt idx="85">
                        <c:v>6.4649282328904256</c:v>
                      </c:pt>
                      <c:pt idx="86">
                        <c:v>6.4836240045976057</c:v>
                      </c:pt>
                      <c:pt idx="87">
                        <c:v>6.5023194692668529</c:v>
                      </c:pt>
                      <c:pt idx="88">
                        <c:v>6.5210145965775332</c:v>
                      </c:pt>
                      <c:pt idx="89">
                        <c:v>6.5397093573035479</c:v>
                      </c:pt>
                      <c:pt idx="90">
                        <c:v>6.5584037232777517</c:v>
                      </c:pt>
                      <c:pt idx="91">
                        <c:v>6.577097667357549</c:v>
                      </c:pt>
                      <c:pt idx="92">
                        <c:v>6.5957911633917119</c:v>
                      </c:pt>
                      <c:pt idx="93">
                        <c:v>6.6144841861883119</c:v>
                      </c:pt>
                      <c:pt idx="94">
                        <c:v>6.6331767114837445</c:v>
                      </c:pt>
                      <c:pt idx="95">
                        <c:v>6.6518687159128209</c:v>
                      </c:pt>
                      <c:pt idx="96">
                        <c:v>6.6705601769798593</c:v>
                      </c:pt>
                      <c:pt idx="97">
                        <c:v>6.6892510730307597</c:v>
                      </c:pt>
                      <c:pt idx="98">
                        <c:v>6.7079413832260206</c:v>
                      </c:pt>
                      <c:pt idx="99">
                        <c:v>6.7266310875146491</c:v>
                      </c:pt>
                      <c:pt idx="100">
                        <c:v>6.7453201666089724</c:v>
                      </c:pt>
                      <c:pt idx="101">
                        <c:v>6.764008601960251</c:v>
                      </c:pt>
                      <c:pt idx="102">
                        <c:v>6.7826963757351404</c:v>
                      </c:pt>
                      <c:pt idx="103">
                        <c:v>6.8013834707929064</c:v>
                      </c:pt>
                      <c:pt idx="104">
                        <c:v>6.8200698706634117</c:v>
                      </c:pt>
                      <c:pt idx="105">
                        <c:v>6.8387555595258203</c:v>
                      </c:pt>
                      <c:pt idx="106">
                        <c:v>6.8574405221879999</c:v>
                      </c:pt>
                      <c:pt idx="107">
                        <c:v>6.8761247440666082</c:v>
                      </c:pt>
                      <c:pt idx="108">
                        <c:v>6.8948082111678328</c:v>
                      </c:pt>
                      <c:pt idx="109">
                        <c:v>6.9134909100687345</c:v>
                      </c:pt>
                      <c:pt idx="110">
                        <c:v>6.9321728278992314</c:v>
                      </c:pt>
                      <c:pt idx="111">
                        <c:v>6.9508539523246453</c:v>
                      </c:pt>
                      <c:pt idx="112">
                        <c:v>6.9695342715288229</c:v>
                      </c:pt>
                      <c:pt idx="113">
                        <c:v>6.9882137741977957</c:v>
                      </c:pt>
                      <c:pt idx="114">
                        <c:v>7.0068924495039644</c:v>
                      </c:pt>
                      <c:pt idx="115">
                        <c:v>7.0255702870907966</c:v>
                      </c:pt>
                      <c:pt idx="116">
                        <c:v>7.0442472770580187</c:v>
                      </c:pt>
                      <c:pt idx="117">
                        <c:v>7.0629234099472669</c:v>
                      </c:pt>
                      <c:pt idx="118">
                        <c:v>7.0815986767282046</c:v>
                      </c:pt>
                      <c:pt idx="119">
                        <c:v>7.1002730687850795</c:v>
                      </c:pt>
                      <c:pt idx="120">
                        <c:v>7.1189465779037047</c:v>
                      </c:pt>
                      <c:pt idx="121">
                        <c:v>7.137619196258866</c:v>
                      </c:pt>
                      <c:pt idx="122">
                        <c:v>7.1562909164020851</c:v>
                      </c:pt>
                      <c:pt idx="123">
                        <c:v>7.1749617312498337</c:v>
                      </c:pt>
                      <c:pt idx="124">
                        <c:v>7.1936316340720543</c:v>
                      </c:pt>
                      <c:pt idx="125">
                        <c:v>7.2123006184810725</c:v>
                      </c:pt>
                      <c:pt idx="126">
                        <c:v>7.2309686784208616</c:v>
                      </c:pt>
                      <c:pt idx="127">
                        <c:v>7.2496358081566195</c:v>
                      </c:pt>
                      <c:pt idx="128">
                        <c:v>7.2683020022646838</c:v>
                      </c:pt>
                      <c:pt idx="129">
                        <c:v>7.2869672556227689</c:v>
                      </c:pt>
                      <c:pt idx="130">
                        <c:v>7.3056315634004765</c:v>
                      </c:pt>
                      <c:pt idx="131">
                        <c:v>7.324294921050134</c:v>
                      </c:pt>
                      <c:pt idx="132">
                        <c:v>7.3429573242978963</c:v>
                      </c:pt>
                      <c:pt idx="133">
                        <c:v>7.3616187691351156</c:v>
                      </c:pt>
                      <c:pt idx="134">
                        <c:v>7.3802792518100029</c:v>
                      </c:pt>
                      <c:pt idx="135">
                        <c:v>7.3989387688195105</c:v>
                      </c:pt>
                      <c:pt idx="136">
                        <c:v>7.4175973169014986</c:v>
                      </c:pt>
                      <c:pt idx="137">
                        <c:v>7.4362548930271082</c:v>
                      </c:pt>
                      <c:pt idx="138">
                        <c:v>7.4549114943933974</c:v>
                      </c:pt>
                      <c:pt idx="139">
                        <c:v>7.4735671184161738</c:v>
                      </c:pt>
                      <c:pt idx="140">
                        <c:v>7.4922217627230703</c:v>
                      </c:pt>
                      <c:pt idx="141">
                        <c:v>7.5108754251468044</c:v>
                      </c:pt>
                      <c:pt idx="142">
                        <c:v>7.5295281037186692</c:v>
                      </c:pt>
                      <c:pt idx="143">
                        <c:v>7.548179796662204</c:v>
                      </c:pt>
                      <c:pt idx="144">
                        <c:v>7.5668305023870577</c:v>
                      </c:pt>
                      <c:pt idx="145">
                        <c:v>7.585480219483042</c:v>
                      </c:pt>
                      <c:pt idx="146">
                        <c:v>7.6041289467143578</c:v>
                      </c:pt>
                      <c:pt idx="147">
                        <c:v>7.6227766830140027</c:v>
                      </c:pt>
                      <c:pt idx="148">
                        <c:v>7.6414234274783448</c:v>
                      </c:pt>
                      <c:pt idx="149">
                        <c:v>7.6600691793618463</c:v>
                      </c:pt>
                      <c:pt idx="150">
                        <c:v>7.6787139380719642</c:v>
                      </c:pt>
                      <c:pt idx="151">
                        <c:v>7.6973577031641893</c:v>
                      </c:pt>
                      <c:pt idx="152">
                        <c:v>7.7160004743372408</c:v>
                      </c:pt>
                      <c:pt idx="153">
                        <c:v>7.734642251428399</c:v>
                      </c:pt>
                      <c:pt idx="154">
                        <c:v>7.7532830344089785</c:v>
                      </c:pt>
                      <c:pt idx="155">
                        <c:v>7.7719228233799429</c:v>
                      </c:pt>
                      <c:pt idx="156">
                        <c:v>7.7905616185676347</c:v>
                      </c:pt>
                      <c:pt idx="157">
                        <c:v>7.8091994203196418</c:v>
                      </c:pt>
                      <c:pt idx="158">
                        <c:v>7.827836229100793</c:v>
                      </c:pt>
                      <c:pt idx="159">
                        <c:v>7.8464720454892545</c:v>
                      </c:pt>
                      <c:pt idx="160">
                        <c:v>7.8651068701727569</c:v>
                      </c:pt>
                      <c:pt idx="161">
                        <c:v>7.8837407039449197</c:v>
                      </c:pt>
                      <c:pt idx="162">
                        <c:v>7.9023735477017043</c:v>
                      </c:pt>
                      <c:pt idx="163">
                        <c:v>7.9210054024379488</c:v>
                      </c:pt>
                      <c:pt idx="164">
                        <c:v>7.9396362692440228</c:v>
                      </c:pt>
                      <c:pt idx="165">
                        <c:v>7.9582661493025642</c:v>
                      </c:pt>
                      <c:pt idx="166">
                        <c:v>7.976895043885329</c:v>
                      </c:pt>
                      <c:pt idx="167">
                        <c:v>7.9955229543501263</c:v>
                      </c:pt>
                      <c:pt idx="168">
                        <c:v>8.0141498821378256</c:v>
                      </c:pt>
                      <c:pt idx="169">
                        <c:v>8.0327758287694895</c:v>
                      </c:pt>
                      <c:pt idx="170">
                        <c:v>8.0514007958435556</c:v>
                      </c:pt>
                      <c:pt idx="171">
                        <c:v>8.0700247850331266</c:v>
                      </c:pt>
                      <c:pt idx="172">
                        <c:v>8.0886477980833078</c:v>
                      </c:pt>
                      <c:pt idx="173">
                        <c:v>8.1072698368086602</c:v>
                      </c:pt>
                      <c:pt idx="174">
                        <c:v>8.1258909030907009</c:v>
                      </c:pt>
                      <c:pt idx="175">
                        <c:v>8.1445109988754911</c:v>
                      </c:pt>
                      <c:pt idx="176">
                        <c:v>8.1631301261712839</c:v>
                      </c:pt>
                      <c:pt idx="177">
                        <c:v>8.1817482870462399</c:v>
                      </c:pt>
                      <c:pt idx="178">
                        <c:v>8.2003654836262303</c:v>
                      </c:pt>
                      <c:pt idx="179">
                        <c:v>8.2189817180926816</c:v>
                      </c:pt>
                      <c:pt idx="180">
                        <c:v>8.2375969926804906</c:v>
                      </c:pt>
                      <c:pt idx="181">
                        <c:v>8.2562113096759866</c:v>
                      </c:pt>
                      <c:pt idx="182">
                        <c:v>8.2748246714149936</c:v>
                      </c:pt>
                      <c:pt idx="183">
                        <c:v>8.2934370802808992</c:v>
                      </c:pt>
                      <c:pt idx="184">
                        <c:v>8.3120485387028165</c:v>
                      </c:pt>
                      <c:pt idx="185">
                        <c:v>8.3306590491537662</c:v>
                      </c:pt>
                      <c:pt idx="186">
                        <c:v>8.349268614148956</c:v>
                      </c:pt>
                      <c:pt idx="187">
                        <c:v>8.3678772362440696</c:v>
                      </c:pt>
                      <c:pt idx="188">
                        <c:v>8.3864849180336218</c:v>
                      </c:pt>
                      <c:pt idx="189">
                        <c:v>8.4050916621493617</c:v>
                      </c:pt>
                      <c:pt idx="190">
                        <c:v>8.423697471258718</c:v>
                      </c:pt>
                      <c:pt idx="191">
                        <c:v>8.4423023480633113</c:v>
                      </c:pt>
                      <c:pt idx="192">
                        <c:v>8.4609062952974661</c:v>
                      </c:pt>
                      <c:pt idx="193">
                        <c:v>8.4795093157268031</c:v>
                      </c:pt>
                      <c:pt idx="194">
                        <c:v>8.4981114121468622</c:v>
                      </c:pt>
                      <c:pt idx="195">
                        <c:v>8.5167125873817682</c:v>
                      </c:pt>
                      <c:pt idx="196">
                        <c:v>8.5353128442829238</c:v>
                      </c:pt>
                      <c:pt idx="197">
                        <c:v>8.5539121857277518</c:v>
                      </c:pt>
                      <c:pt idx="198">
                        <c:v>8.5725106146184729</c:v>
                      </c:pt>
                      <c:pt idx="199">
                        <c:v>8.591108133880919</c:v>
                      </c:pt>
                      <c:pt idx="200">
                        <c:v>8.6097047464633754</c:v>
                      </c:pt>
                    </c:numCache>
                  </c:numRef>
                </c:val>
                <c:smooth val="0"/>
                <c:extLst>
                  <c:ext xmlns:c16="http://schemas.microsoft.com/office/drawing/2014/chart" uri="{C3380CC4-5D6E-409C-BE32-E72D297353CC}">
                    <c16:uniqueId val="{00000002-9AA8-4F44-9279-F2DFD4BF490C}"/>
                  </c:ext>
                </c:extLst>
              </c15:ser>
            </c15:filteredLineSeries>
          </c:ext>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70039908551876506"/>
          <c:y val="1.1892546194234431E-2"/>
          <c:w val="0.29960091448123499"/>
          <c:h val="0.19716826524226061"/>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CB9-497D-B84D-5596E75D8DAE}"/>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Calculations'!$B$627</c:f>
              <c:numCache>
                <c:formatCode>0</c:formatCode>
                <c:ptCount val="1"/>
                <c:pt idx="0">
                  <c:v>1579.9437757626504</c:v>
                </c:pt>
              </c:numCache>
            </c:numRef>
          </c:xVal>
          <c:yVal>
            <c:numRef>
              <c:f>'Stability Calculations'!$AG$627</c:f>
              <c:numCache>
                <c:formatCode>0.0000</c:formatCode>
                <c:ptCount val="1"/>
                <c:pt idx="0">
                  <c:v>35.513653293528222</c:v>
                </c:pt>
              </c:numCache>
            </c:numRef>
          </c:yVal>
          <c:smooth val="0"/>
          <c:extLst>
            <c:ext xmlns:c16="http://schemas.microsoft.com/office/drawing/2014/chart" uri="{C3380CC4-5D6E-409C-BE32-E72D297353CC}">
              <c16:uniqueId val="{00000001-DCB9-497D-B84D-5596E75D8DAE}"/>
            </c:ext>
          </c:extLst>
        </c:ser>
        <c:ser>
          <c:idx val="11"/>
          <c:order val="9"/>
          <c:tx>
            <c:v>FzRHP</c:v>
          </c:tx>
          <c:spPr>
            <a:ln>
              <a:solidFill>
                <a:srgbClr val="FF00FF"/>
              </a:solidFill>
            </a:ln>
          </c:spPr>
          <c:marker>
            <c:symbol val="circle"/>
            <c:size val="8"/>
            <c:spPr>
              <a:noFill/>
              <a:ln w="19050">
                <a:solidFill>
                  <a:srgbClr val="FF00FF"/>
                </a:solidFill>
              </a:ln>
            </c:spPr>
          </c:marker>
          <c:dLbls>
            <c:dLbl>
              <c:idx val="0"/>
              <c:layout>
                <c:manualLayout>
                  <c:x val="-2.3423587921912771E-2"/>
                  <c:y val="2.9171863622686083E-2"/>
                </c:manualLayout>
              </c:layout>
              <c:tx>
                <c:rich>
                  <a:bodyPr/>
                  <a:lstStyle/>
                  <a:p>
                    <a:r>
                      <a:rPr lang="en-US"/>
                      <a:t>f</a:t>
                    </a:r>
                    <a:r>
                      <a:rPr lang="en-US" baseline="-25000"/>
                      <a:t>ZRHP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DCB9-497D-B84D-5596E75D8DAE}"/>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Calculations'!$B$628</c:f>
              <c:numCache>
                <c:formatCode>0</c:formatCode>
                <c:ptCount val="1"/>
                <c:pt idx="0">
                  <c:v>10000000</c:v>
                </c:pt>
              </c:numCache>
            </c:numRef>
          </c:xVal>
          <c:yVal>
            <c:numRef>
              <c:f>'Stability Calculations'!$F$637</c:f>
              <c:numCache>
                <c:formatCode>0.00</c:formatCode>
                <c:ptCount val="1"/>
                <c:pt idx="0">
                  <c:v>-154.27362338126335</c:v>
                </c:pt>
              </c:numCache>
            </c:numRef>
          </c:yVal>
          <c:smooth val="0"/>
          <c:extLst>
            <c:ext xmlns:c16="http://schemas.microsoft.com/office/drawing/2014/chart" uri="{C3380CC4-5D6E-409C-BE32-E72D297353CC}">
              <c16:uniqueId val="{00000003-DCB9-497D-B84D-5596E75D8DAE}"/>
            </c:ext>
          </c:extLst>
        </c:ser>
        <c:dLbls>
          <c:showLegendKey val="0"/>
          <c:showVal val="0"/>
          <c:showCatName val="0"/>
          <c:showSerName val="0"/>
          <c:showPercent val="0"/>
          <c:showBubbleSize val="0"/>
        </c:dLbls>
        <c:axId val="196130688"/>
        <c:axId val="196141056"/>
      </c:scatterChart>
      <c:scatterChart>
        <c:scatterStyle val="smoothMarker"/>
        <c:varyColors val="0"/>
        <c:ser>
          <c:idx val="2"/>
          <c:order val="0"/>
          <c:tx>
            <c:v>Loop Gain</c:v>
          </c:tx>
          <c:spPr>
            <a:ln w="31750">
              <a:solidFill>
                <a:srgbClr val="FF0000"/>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Calculations'!$AG$13:$AG$617</c:f>
              <c:numCache>
                <c:formatCode>0.0000</c:formatCode>
                <c:ptCount val="605"/>
                <c:pt idx="0">
                  <c:v>66.378592305129189</c:v>
                </c:pt>
                <c:pt idx="1">
                  <c:v>65.599615164032357</c:v>
                </c:pt>
                <c:pt idx="2">
                  <c:v>64.818489294626332</c:v>
                </c:pt>
                <c:pt idx="3">
                  <c:v>64.035798657376347</c:v>
                </c:pt>
                <c:pt idx="4">
                  <c:v>63.252596925249307</c:v>
                </c:pt>
                <c:pt idx="5">
                  <c:v>62.468094646744355</c:v>
                </c:pt>
                <c:pt idx="6">
                  <c:v>61.683907856543158</c:v>
                </c:pt>
                <c:pt idx="7">
                  <c:v>60.900025687194528</c:v>
                </c:pt>
                <c:pt idx="8">
                  <c:v>60.117543407135429</c:v>
                </c:pt>
                <c:pt idx="9">
                  <c:v>59.336426419361182</c:v>
                </c:pt>
                <c:pt idx="10">
                  <c:v>58.557731714645023</c:v>
                </c:pt>
                <c:pt idx="11">
                  <c:v>57.782021266522428</c:v>
                </c:pt>
                <c:pt idx="12">
                  <c:v>57.009644782386616</c:v>
                </c:pt>
                <c:pt idx="13">
                  <c:v>56.242204482658877</c:v>
                </c:pt>
                <c:pt idx="14">
                  <c:v>55.480068663630959</c:v>
                </c:pt>
                <c:pt idx="15">
                  <c:v>54.724655384889971</c:v>
                </c:pt>
                <c:pt idx="16">
                  <c:v>53.977185828655642</c:v>
                </c:pt>
                <c:pt idx="17">
                  <c:v>53.239224152006919</c:v>
                </c:pt>
                <c:pt idx="18">
                  <c:v>52.512207163650174</c:v>
                </c:pt>
                <c:pt idx="19">
                  <c:v>51.798181610793677</c:v>
                </c:pt>
                <c:pt idx="20">
                  <c:v>51.099056738458977</c:v>
                </c:pt>
                <c:pt idx="21">
                  <c:v>50.417217698677888</c:v>
                </c:pt>
                <c:pt idx="22">
                  <c:v>49.754929487390164</c:v>
                </c:pt>
                <c:pt idx="23">
                  <c:v>49.114891658165746</c:v>
                </c:pt>
                <c:pt idx="24">
                  <c:v>48.499543620088716</c:v>
                </c:pt>
                <c:pt idx="25">
                  <c:v>47.911572459746949</c:v>
                </c:pt>
                <c:pt idx="26">
                  <c:v>47.353325390018469</c:v>
                </c:pt>
                <c:pt idx="27">
                  <c:v>46.827238015286866</c:v>
                </c:pt>
                <c:pt idx="28">
                  <c:v>46.335196058725565</c:v>
                </c:pt>
                <c:pt idx="29">
                  <c:v>45.878932321817928</c:v>
                </c:pt>
                <c:pt idx="30">
                  <c:v>45.458622608634784</c:v>
                </c:pt>
                <c:pt idx="31">
                  <c:v>45.0752208349829</c:v>
                </c:pt>
                <c:pt idx="32">
                  <c:v>44.728174511899311</c:v>
                </c:pt>
                <c:pt idx="33">
                  <c:v>44.416835767774792</c:v>
                </c:pt>
                <c:pt idx="34">
                  <c:v>44.1395277260306</c:v>
                </c:pt>
                <c:pt idx="35">
                  <c:v>43.894523800296056</c:v>
                </c:pt>
                <c:pt idx="36">
                  <c:v>43.679534083810019</c:v>
                </c:pt>
                <c:pt idx="37">
                  <c:v>43.491985315962467</c:v>
                </c:pt>
                <c:pt idx="38">
                  <c:v>43.329457004762972</c:v>
                </c:pt>
                <c:pt idx="39">
                  <c:v>43.189187444451179</c:v>
                </c:pt>
                <c:pt idx="40">
                  <c:v>43.068669993982283</c:v>
                </c:pt>
                <c:pt idx="41">
                  <c:v>42.965442436460108</c:v>
                </c:pt>
                <c:pt idx="42">
                  <c:v>42.877226242227209</c:v>
                </c:pt>
                <c:pt idx="43">
                  <c:v>42.801890319210408</c:v>
                </c:pt>
                <c:pt idx="44">
                  <c:v>42.737544100023399</c:v>
                </c:pt>
                <c:pt idx="45">
                  <c:v>42.682454826727337</c:v>
                </c:pt>
                <c:pt idx="46">
                  <c:v>42.63509636409438</c:v>
                </c:pt>
                <c:pt idx="47">
                  <c:v>42.594087624663182</c:v>
                </c:pt>
                <c:pt idx="48">
                  <c:v>42.5582146006927</c:v>
                </c:pt>
                <c:pt idx="49">
                  <c:v>42.526369111189446</c:v>
                </c:pt>
                <c:pt idx="50">
                  <c:v>42.497560035769979</c:v>
                </c:pt>
                <c:pt idx="51">
                  <c:v>42.470863612038379</c:v>
                </c:pt>
                <c:pt idx="52">
                  <c:v>42.445426625510201</c:v>
                </c:pt>
                <c:pt idx="53">
                  <c:v>42.42041826471484</c:v>
                </c:pt>
                <c:pt idx="54">
                  <c:v>42.395034081800986</c:v>
                </c:pt>
                <c:pt idx="55">
                  <c:v>42.368395416347468</c:v>
                </c:pt>
                <c:pt idx="56">
                  <c:v>42.339663273912606</c:v>
                </c:pt>
                <c:pt idx="57">
                  <c:v>42.307877595681312</c:v>
                </c:pt>
                <c:pt idx="58">
                  <c:v>42.272028987012433</c:v>
                </c:pt>
                <c:pt idx="59">
                  <c:v>42.230935930503328</c:v>
                </c:pt>
                <c:pt idx="60">
                  <c:v>42.183314390721982</c:v>
                </c:pt>
                <c:pt idx="61">
                  <c:v>42.127669028222883</c:v>
                </c:pt>
                <c:pt idx="62">
                  <c:v>42.062253223175816</c:v>
                </c:pt>
                <c:pt idx="63">
                  <c:v>41.985162746966324</c:v>
                </c:pt>
                <c:pt idx="64">
                  <c:v>41.894078607006676</c:v>
                </c:pt>
                <c:pt idx="65">
                  <c:v>41.786442485669603</c:v>
                </c:pt>
                <c:pt idx="66">
                  <c:v>41.65929935474103</c:v>
                </c:pt>
                <c:pt idx="67">
                  <c:v>41.509339888495575</c:v>
                </c:pt>
                <c:pt idx="68">
                  <c:v>41.332790931918012</c:v>
                </c:pt>
                <c:pt idx="69">
                  <c:v>41.125576096386276</c:v>
                </c:pt>
                <c:pt idx="70">
                  <c:v>40.883164913823499</c:v>
                </c:pt>
                <c:pt idx="71">
                  <c:v>40.600805763687937</c:v>
                </c:pt>
                <c:pt idx="72">
                  <c:v>40.273411637560685</c:v>
                </c:pt>
                <c:pt idx="73">
                  <c:v>39.895941193191959</c:v>
                </c:pt>
                <c:pt idx="74">
                  <c:v>39.463238257283855</c:v>
                </c:pt>
                <c:pt idx="75">
                  <c:v>38.970558598996526</c:v>
                </c:pt>
                <c:pt idx="76">
                  <c:v>38.413438201067549</c:v>
                </c:pt>
                <c:pt idx="77">
                  <c:v>37.788402484349646</c:v>
                </c:pt>
                <c:pt idx="78">
                  <c:v>37.092695421449427</c:v>
                </c:pt>
                <c:pt idx="79">
                  <c:v>36.32513693619822</c:v>
                </c:pt>
                <c:pt idx="80">
                  <c:v>35.483860276887206</c:v>
                </c:pt>
                <c:pt idx="81">
                  <c:v>34.570632910513112</c:v>
                </c:pt>
                <c:pt idx="82">
                  <c:v>33.586657265663646</c:v>
                </c:pt>
                <c:pt idx="83">
                  <c:v>32.535495974876611</c:v>
                </c:pt>
                <c:pt idx="84">
                  <c:v>31.420063065973803</c:v>
                </c:pt>
                <c:pt idx="85">
                  <c:v>30.245352677309544</c:v>
                </c:pt>
                <c:pt idx="86">
                  <c:v>29.016031323077556</c:v>
                </c:pt>
                <c:pt idx="87">
                  <c:v>27.736458228913314</c:v>
                </c:pt>
                <c:pt idx="88">
                  <c:v>26.412942901047298</c:v>
                </c:pt>
                <c:pt idx="89">
                  <c:v>25.049400385620061</c:v>
                </c:pt>
                <c:pt idx="90">
                  <c:v>23.651057044714562</c:v>
                </c:pt>
                <c:pt idx="91">
                  <c:v>22.22219032182808</c:v>
                </c:pt>
                <c:pt idx="92">
                  <c:v>20.767012172575612</c:v>
                </c:pt>
                <c:pt idx="93">
                  <c:v>19.288694512215237</c:v>
                </c:pt>
                <c:pt idx="94">
                  <c:v>18.916071237541729</c:v>
                </c:pt>
                <c:pt idx="95">
                  <c:v>18.72815571736384</c:v>
                </c:pt>
                <c:pt idx="96">
                  <c:v>18.542102460750193</c:v>
                </c:pt>
                <c:pt idx="97">
                  <c:v>18.353628692764477</c:v>
                </c:pt>
                <c:pt idx="98">
                  <c:v>18.167034214000807</c:v>
                </c:pt>
                <c:pt idx="99">
                  <c:v>17.977976520554755</c:v>
                </c:pt>
                <c:pt idx="100">
                  <c:v>17.790815455998136</c:v>
                </c:pt>
                <c:pt idx="101">
                  <c:v>17.601294068117106</c:v>
                </c:pt>
                <c:pt idx="102">
                  <c:v>17.413684048762704</c:v>
                </c:pt>
                <c:pt idx="103">
                  <c:v>17.223536991456342</c:v>
                </c:pt>
                <c:pt idx="104">
                  <c:v>17.035319106013656</c:v>
                </c:pt>
                <c:pt idx="105">
                  <c:v>16.844670617120279</c:v>
                </c:pt>
                <c:pt idx="106">
                  <c:v>16.655966419610703</c:v>
                </c:pt>
                <c:pt idx="107">
                  <c:v>16.464934057863793</c:v>
                </c:pt>
                <c:pt idx="108">
                  <c:v>16.275858524199414</c:v>
                </c:pt>
                <c:pt idx="109">
                  <c:v>16.084423677758338</c:v>
                </c:pt>
                <c:pt idx="110">
                  <c:v>15.89495837467264</c:v>
                </c:pt>
                <c:pt idx="111">
                  <c:v>15.702979726873741</c:v>
                </c:pt>
                <c:pt idx="112">
                  <c:v>15.512986053522502</c:v>
                </c:pt>
                <c:pt idx="113">
                  <c:v>15.320585495496399</c:v>
                </c:pt>
                <c:pt idx="114">
                  <c:v>15.130182666150931</c:v>
                </c:pt>
                <c:pt idx="115">
                  <c:v>14.937353481917764</c:v>
                </c:pt>
                <c:pt idx="116">
                  <c:v>14.746534743632543</c:v>
                </c:pt>
                <c:pt idx="117">
                  <c:v>14.553273704392129</c:v>
                </c:pt>
                <c:pt idx="118">
                  <c:v>14.362035725990637</c:v>
                </c:pt>
                <c:pt idx="119">
                  <c:v>14.168459609809926</c:v>
                </c:pt>
                <c:pt idx="120">
                  <c:v>13.976916563449384</c:v>
                </c:pt>
                <c:pt idx="121">
                  <c:v>13.783021037251611</c:v>
                </c:pt>
                <c:pt idx="122">
                  <c:v>13.591168502463324</c:v>
                </c:pt>
                <c:pt idx="123">
                  <c:v>13.396840328706825</c:v>
                </c:pt>
                <c:pt idx="124">
                  <c:v>13.204567278176963</c:v>
                </c:pt>
                <c:pt idx="125">
                  <c:v>13.009924578482746</c:v>
                </c:pt>
                <c:pt idx="126">
                  <c:v>12.817346489203686</c:v>
                </c:pt>
                <c:pt idx="127">
                  <c:v>12.622393183564933</c:v>
                </c:pt>
                <c:pt idx="128">
                  <c:v>12.4295137282691</c:v>
                </c:pt>
                <c:pt idx="129">
                  <c:v>12.234256095756857</c:v>
                </c:pt>
                <c:pt idx="130">
                  <c:v>12.041081259529037</c:v>
                </c:pt>
                <c:pt idx="131">
                  <c:v>11.845527733812581</c:v>
                </c:pt>
                <c:pt idx="132">
                  <c:v>11.748537977865476</c:v>
                </c:pt>
                <c:pt idx="133">
                  <c:v>11.652065613109073</c:v>
                </c:pt>
                <c:pt idx="134">
                  <c:v>11.553830319254113</c:v>
                </c:pt>
                <c:pt idx="135">
                  <c:v>11.45612602805484</c:v>
                </c:pt>
                <c:pt idx="136">
                  <c:v>11.358947161497055</c:v>
                </c:pt>
                <c:pt idx="137">
                  <c:v>11.262288225504165</c:v>
                </c:pt>
                <c:pt idx="138">
                  <c:v>11.163966894450841</c:v>
                </c:pt>
                <c:pt idx="139">
                  <c:v>11.066178009441202</c:v>
                </c:pt>
                <c:pt idx="140">
                  <c:v>10.968915955724217</c:v>
                </c:pt>
                <c:pt idx="141">
                  <c:v>10.872175203533736</c:v>
                </c:pt>
                <c:pt idx="142">
                  <c:v>10.773674702277567</c:v>
                </c:pt>
                <c:pt idx="143">
                  <c:v>10.675709057527724</c:v>
                </c:pt>
                <c:pt idx="144">
                  <c:v>10.578272602915039</c:v>
                </c:pt>
                <c:pt idx="145">
                  <c:v>10.481359758392511</c:v>
                </c:pt>
                <c:pt idx="146">
                  <c:v>10.382738225872609</c:v>
                </c:pt>
                <c:pt idx="147">
                  <c:v>10.284653293456497</c:v>
                </c:pt>
                <c:pt idx="148">
                  <c:v>10.187099254049709</c:v>
                </c:pt>
                <c:pt idx="149">
                  <c:v>10.090070487989857</c:v>
                </c:pt>
                <c:pt idx="150">
                  <c:v>9.9913361425955731</c:v>
                </c:pt>
                <c:pt idx="151">
                  <c:v>9.8931400132901253</c:v>
                </c:pt>
                <c:pt idx="152">
                  <c:v>9.7954763546392929</c:v>
                </c:pt>
                <c:pt idx="153">
                  <c:v>9.6983395096927367</c:v>
                </c:pt>
                <c:pt idx="154">
                  <c:v>9.5994557645238316</c:v>
                </c:pt>
                <c:pt idx="155">
                  <c:v>9.5011122120235587</c:v>
                </c:pt>
                <c:pt idx="156">
                  <c:v>9.4033030629727108</c:v>
                </c:pt>
                <c:pt idx="157">
                  <c:v>9.3060226177921184</c:v>
                </c:pt>
                <c:pt idx="158">
                  <c:v>9.2070016627062081</c:v>
                </c:pt>
                <c:pt idx="159">
                  <c:v>9.1085227078952578</c:v>
                </c:pt>
                <c:pt idx="160">
                  <c:v>9.0105799233395683</c:v>
                </c:pt>
                <c:pt idx="161">
                  <c:v>8.9131675697469319</c:v>
                </c:pt>
                <c:pt idx="162">
                  <c:v>8.8140653109815332</c:v>
                </c:pt>
                <c:pt idx="163">
                  <c:v>8.7155062126464973</c:v>
                </c:pt>
                <c:pt idx="164">
                  <c:v>8.6174844146400549</c:v>
                </c:pt>
                <c:pt idx="165">
                  <c:v>8.5199941484457291</c:v>
                </c:pt>
                <c:pt idx="166">
                  <c:v>8.4207355138229971</c:v>
                </c:pt>
                <c:pt idx="167">
                  <c:v>8.3220219840316929</c:v>
                </c:pt>
                <c:pt idx="168">
                  <c:v>8.2238476564993128</c:v>
                </c:pt>
                <c:pt idx="169">
                  <c:v>8.1262067213477387</c:v>
                </c:pt>
                <c:pt idx="170">
                  <c:v>8.0270152254293841</c:v>
                </c:pt>
                <c:pt idx="171">
                  <c:v>7.9283682937154314</c:v>
                </c:pt>
                <c:pt idx="172">
                  <c:v>7.8302600217246567</c:v>
                </c:pt>
                <c:pt idx="173">
                  <c:v>7.7326845979222689</c:v>
                </c:pt>
                <c:pt idx="174">
                  <c:v>7.6331964687911613</c:v>
                </c:pt>
                <c:pt idx="175">
                  <c:v>7.5342563138509639</c:v>
                </c:pt>
                <c:pt idx="176">
                  <c:v>7.4358581628184215</c:v>
                </c:pt>
                <c:pt idx="177">
                  <c:v>7.3379961399416826</c:v>
                </c:pt>
                <c:pt idx="178">
                  <c:v>7.2382776925467232</c:v>
                </c:pt>
                <c:pt idx="179">
                  <c:v>7.1391098721501489</c:v>
                </c:pt>
                <c:pt idx="180">
                  <c:v>7.040486655012109</c:v>
                </c:pt>
                <c:pt idx="181">
                  <c:v>6.9424021132478755</c:v>
                </c:pt>
                <c:pt idx="182">
                  <c:v>6.8429047742364251</c:v>
                </c:pt>
                <c:pt idx="183">
                  <c:v>6.7439557111482209</c:v>
                </c:pt>
                <c:pt idx="184">
                  <c:v>6.6455489288824152</c:v>
                </c:pt>
                <c:pt idx="185">
                  <c:v>6.5476785277734422</c:v>
                </c:pt>
                <c:pt idx="186">
                  <c:v>6.4476740555978216</c:v>
                </c:pt>
                <c:pt idx="187">
                  <c:v>6.3482234912683477</c:v>
                </c:pt>
                <c:pt idx="188">
                  <c:v>6.2493207376751609</c:v>
                </c:pt>
                <c:pt idx="189">
                  <c:v>6.1509597954892286</c:v>
                </c:pt>
                <c:pt idx="190">
                  <c:v>6.0512730441976972</c:v>
                </c:pt>
                <c:pt idx="191">
                  <c:v>5.9521367028024441</c:v>
                </c:pt>
                <c:pt idx="192">
                  <c:v>5.8535447223881363</c:v>
                </c:pt>
                <c:pt idx="193">
                  <c:v>5.755491150962893</c:v>
                </c:pt>
                <c:pt idx="194">
                  <c:v>5.6554205120557688</c:v>
                </c:pt>
                <c:pt idx="195">
                  <c:v>5.5559044873852113</c:v>
                </c:pt>
                <c:pt idx="196">
                  <c:v>5.4569369496263578</c:v>
                </c:pt>
                <c:pt idx="197">
                  <c:v>5.3585118702159482</c:v>
                </c:pt>
                <c:pt idx="198">
                  <c:v>5.2584857311491371</c:v>
                </c:pt>
                <c:pt idx="199">
                  <c:v>5.1590136456573585</c:v>
                </c:pt>
                <c:pt idx="200">
                  <c:v>5.0600894867411323</c:v>
                </c:pt>
                <c:pt idx="201">
                  <c:v>4.9617072263109883</c:v>
                </c:pt>
                <c:pt idx="202">
                  <c:v>4.8617700491766893</c:v>
                </c:pt>
                <c:pt idx="203">
                  <c:v>4.7623858370607852</c:v>
                </c:pt>
                <c:pt idx="204">
                  <c:v>4.663548472264508</c:v>
                </c:pt>
                <c:pt idx="205">
                  <c:v>4.5652519359470967</c:v>
                </c:pt>
                <c:pt idx="206">
                  <c:v>4.465104195658272</c:v>
                </c:pt>
                <c:pt idx="207">
                  <c:v>4.3655116023203391</c:v>
                </c:pt>
                <c:pt idx="208">
                  <c:v>4.2664679935295382</c:v>
                </c:pt>
                <c:pt idx="209">
                  <c:v>4.167967306844135</c:v>
                </c:pt>
                <c:pt idx="210">
                  <c:v>4.0673362748677553</c:v>
                </c:pt>
                <c:pt idx="211">
                  <c:v>3.9672655616848544</c:v>
                </c:pt>
                <c:pt idx="212">
                  <c:v>3.8677489102861067</c:v>
                </c:pt>
                <c:pt idx="213">
                  <c:v>3.7687801658084856</c:v>
                </c:pt>
                <c:pt idx="214">
                  <c:v>3.6683967427353368</c:v>
                </c:pt>
                <c:pt idx="215">
                  <c:v>3.5685706699853821</c:v>
                </c:pt>
                <c:pt idx="216">
                  <c:v>3.4692957317420152</c:v>
                </c:pt>
                <c:pt idx="217">
                  <c:v>3.3705658135720915</c:v>
                </c:pt>
                <c:pt idx="218">
                  <c:v>3.270142257910662</c:v>
                </c:pt>
                <c:pt idx="219">
                  <c:v>3.1702762366983501</c:v>
                </c:pt>
                <c:pt idx="220">
                  <c:v>3.0709615228644811</c:v>
                </c:pt>
                <c:pt idx="221">
                  <c:v>2.9721919910906722</c:v>
                </c:pt>
                <c:pt idx="222">
                  <c:v>2.8717778644625258</c:v>
                </c:pt>
                <c:pt idx="223">
                  <c:v>2.771920868773595</c:v>
                </c:pt>
                <c:pt idx="224">
                  <c:v>2.6726147756378626</c:v>
                </c:pt>
                <c:pt idx="225">
                  <c:v>2.5738534585694968</c:v>
                </c:pt>
                <c:pt idx="226">
                  <c:v>2.473189805722956</c:v>
                </c:pt>
                <c:pt idx="227">
                  <c:v>2.3730857084413768</c:v>
                </c:pt>
                <c:pt idx="228">
                  <c:v>2.2735348897393597</c:v>
                </c:pt>
                <c:pt idx="229">
                  <c:v>2.1745311757050709</c:v>
                </c:pt>
                <c:pt idx="230">
                  <c:v>1.9733919709213574</c:v>
                </c:pt>
                <c:pt idx="231">
                  <c:v>1.8736579210756248</c:v>
                </c:pt>
                <c:pt idx="232">
                  <c:v>1.7744725924894935</c:v>
                </c:pt>
                <c:pt idx="233">
                  <c:v>1.6734947547050187</c:v>
                </c:pt>
                <c:pt idx="234">
                  <c:v>1.5730791539326008</c:v>
                </c:pt>
                <c:pt idx="235">
                  <c:v>1.4732194522049826</c:v>
                </c:pt>
                <c:pt idx="236">
                  <c:v>1.3739094161814538</c:v>
                </c:pt>
                <c:pt idx="237">
                  <c:v>1.2731445406789161</c:v>
                </c:pt>
                <c:pt idx="238">
                  <c:v>1.1729390761400278</c:v>
                </c:pt>
                <c:pt idx="239">
                  <c:v>1.0732867243690738</c:v>
                </c:pt>
                <c:pt idx="240">
                  <c:v>0.97418129102603856</c:v>
                </c:pt>
                <c:pt idx="241">
                  <c:v>0.87310360304560863</c:v>
                </c:pt>
                <c:pt idx="242">
                  <c:v>0.77258828709009753</c:v>
                </c:pt>
                <c:pt idx="243">
                  <c:v>0.67262898719422703</c:v>
                </c:pt>
                <c:pt idx="244">
                  <c:v>0.5732194526153449</c:v>
                </c:pt>
                <c:pt idx="245">
                  <c:v>0.4721687116929596</c:v>
                </c:pt>
                <c:pt idx="246">
                  <c:v>0.37167949256507882</c:v>
                </c:pt>
                <c:pt idx="247">
                  <c:v>0.27174544582740051</c:v>
                </c:pt>
                <c:pt idx="248">
                  <c:v>0.17236032724785386</c:v>
                </c:pt>
                <c:pt idx="249">
                  <c:v>7.1113936572484604E-2</c:v>
                </c:pt>
                <c:pt idx="250">
                  <c:v>-2.9569358822296499E-2</c:v>
                </c:pt>
                <c:pt idx="251">
                  <c:v>-0.12969594280284022</c:v>
                </c:pt>
                <c:pt idx="252">
                  <c:v>-0.22927209320991371</c:v>
                </c:pt>
                <c:pt idx="253">
                  <c:v>-0.33039406034957952</c:v>
                </c:pt>
                <c:pt idx="254">
                  <c:v>-0.4309549517872025</c:v>
                </c:pt>
                <c:pt idx="255">
                  <c:v>-0.53096112496522285</c:v>
                </c:pt>
                <c:pt idx="256">
                  <c:v>-0.63041883179741509</c:v>
                </c:pt>
                <c:pt idx="257">
                  <c:v>-0.73188964347916874</c:v>
                </c:pt>
                <c:pt idx="258">
                  <c:v>-0.83279620232446949</c:v>
                </c:pt>
                <c:pt idx="259">
                  <c:v>-0.93314492757371226</c:v>
                </c:pt>
                <c:pt idx="260">
                  <c:v>-1.0329421314860507</c:v>
                </c:pt>
                <c:pt idx="261">
                  <c:v>-1.1344434569136159</c:v>
                </c:pt>
                <c:pt idx="262">
                  <c:v>-1.235380929409071</c:v>
                </c:pt>
                <c:pt idx="263">
                  <c:v>-1.3357609693195893</c:v>
                </c:pt>
                <c:pt idx="264">
                  <c:v>-1.4355898899046391</c:v>
                </c:pt>
                <c:pt idx="265">
                  <c:v>-1.5370740688397877</c:v>
                </c:pt>
                <c:pt idx="266">
                  <c:v>-1.6379953702786554</c:v>
                </c:pt>
                <c:pt idx="267">
                  <c:v>-1.7383602058920522</c:v>
                </c:pt>
                <c:pt idx="268">
                  <c:v>-1.8381748803753937</c:v>
                </c:pt>
                <c:pt idx="269">
                  <c:v>-1.9398367599459634</c:v>
                </c:pt>
                <c:pt idx="270">
                  <c:v>-2.0409346313792747</c:v>
                </c:pt>
                <c:pt idx="271">
                  <c:v>-2.1414749336275305</c:v>
                </c:pt>
                <c:pt idx="272">
                  <c:v>-2.2414639979830575</c:v>
                </c:pt>
                <c:pt idx="273">
                  <c:v>-2.3432469004894383</c:v>
                </c:pt>
                <c:pt idx="274">
                  <c:v>-2.4444653446735849</c:v>
                </c:pt>
                <c:pt idx="275">
                  <c:v>-2.5451257852684432</c:v>
                </c:pt>
                <c:pt idx="276">
                  <c:v>-2.6452345689195016</c:v>
                </c:pt>
                <c:pt idx="277">
                  <c:v>-2.7468568861200096</c:v>
                </c:pt>
                <c:pt idx="278">
                  <c:v>-2.8479174576891348</c:v>
                </c:pt>
                <c:pt idx="279">
                  <c:v>-2.9484227001252306</c:v>
                </c:pt>
                <c:pt idx="280">
                  <c:v>-3.0483789226163331</c:v>
                </c:pt>
                <c:pt idx="281">
                  <c:v>-3.1504777498834793</c:v>
                </c:pt>
                <c:pt idx="282">
                  <c:v>-3.2520105645354196</c:v>
                </c:pt>
                <c:pt idx="283">
                  <c:v>-3.3529838643988166</c:v>
                </c:pt>
                <c:pt idx="284">
                  <c:v>-3.4534040381033231</c:v>
                </c:pt>
                <c:pt idx="285">
                  <c:v>-3.5552474106924929</c:v>
                </c:pt>
                <c:pt idx="286">
                  <c:v>-3.6565286414675398</c:v>
                </c:pt>
                <c:pt idx="287">
                  <c:v>-3.7572541702207434</c:v>
                </c:pt>
                <c:pt idx="288">
                  <c:v>-3.8574303287703509</c:v>
                </c:pt>
                <c:pt idx="289">
                  <c:v>-3.9596329092574294</c:v>
                </c:pt>
                <c:pt idx="290">
                  <c:v>-4.0612704973566762</c:v>
                </c:pt>
                <c:pt idx="291">
                  <c:v>-4.1623495902473993</c:v>
                </c:pt>
                <c:pt idx="292">
                  <c:v>-4.2628765757827516</c:v>
                </c:pt>
                <c:pt idx="293">
                  <c:v>-4.3651618207609122</c:v>
                </c:pt>
                <c:pt idx="294">
                  <c:v>-4.4668823334485435</c:v>
                </c:pt>
                <c:pt idx="295">
                  <c:v>-4.5680446151644007</c:v>
                </c:pt>
                <c:pt idx="296">
                  <c:v>-4.668655057738162</c:v>
                </c:pt>
                <c:pt idx="297">
                  <c:v>-4.7709738863420519</c:v>
                </c:pt>
                <c:pt idx="298">
                  <c:v>-4.8727288437913927</c:v>
                </c:pt>
                <c:pt idx="299">
                  <c:v>-4.973926425303782</c:v>
                </c:pt>
                <c:pt idx="300">
                  <c:v>-5.0745730166752185</c:v>
                </c:pt>
                <c:pt idx="301">
                  <c:v>-5.1768798808098886</c:v>
                </c:pt>
                <c:pt idx="302">
                  <c:v>-5.2786242950789033</c:v>
                </c:pt>
                <c:pt idx="303">
                  <c:v>-5.3798127390493686</c:v>
                </c:pt>
                <c:pt idx="304">
                  <c:v>-5.4804515831471265</c:v>
                </c:pt>
                <c:pt idx="305">
                  <c:v>-5.5830964968793833</c:v>
                </c:pt>
                <c:pt idx="306">
                  <c:v>-5.6851766076664942</c:v>
                </c:pt>
                <c:pt idx="307">
                  <c:v>-5.7866984446868699</c:v>
                </c:pt>
                <c:pt idx="308">
                  <c:v>-5.887668426796858</c:v>
                </c:pt>
                <c:pt idx="309">
                  <c:v>-5.9902032647429877</c:v>
                </c:pt>
                <c:pt idx="310">
                  <c:v>-6.0921759288261335</c:v>
                </c:pt>
                <c:pt idx="311">
                  <c:v>-6.1935929119425275</c:v>
                </c:pt>
                <c:pt idx="312">
                  <c:v>-6.2944605974114607</c:v>
                </c:pt>
                <c:pt idx="313">
                  <c:v>-6.3972254729403835</c:v>
                </c:pt>
                <c:pt idx="314">
                  <c:v>-6.499427147387868</c:v>
                </c:pt>
                <c:pt idx="315">
                  <c:v>-6.6010721407031809</c:v>
                </c:pt>
                <c:pt idx="316">
                  <c:v>-6.7021668625812545</c:v>
                </c:pt>
                <c:pt idx="317">
                  <c:v>-6.8051051015912236</c:v>
                </c:pt>
                <c:pt idx="318">
                  <c:v>-6.9074798073233765</c:v>
                </c:pt>
                <c:pt idx="319">
                  <c:v>-7.0092975149641497</c:v>
                </c:pt>
                <c:pt idx="320">
                  <c:v>-7.1105646490315646</c:v>
                </c:pt>
                <c:pt idx="321">
                  <c:v>-7.2136234926184777</c:v>
                </c:pt>
                <c:pt idx="322">
                  <c:v>-7.3161191225438751</c:v>
                </c:pt>
                <c:pt idx="323">
                  <c:v>-7.4180580781037904</c:v>
                </c:pt>
                <c:pt idx="324">
                  <c:v>-7.5194467877610585</c:v>
                </c:pt>
                <c:pt idx="325">
                  <c:v>-7.622577225966217</c:v>
                </c:pt>
                <c:pt idx="326">
                  <c:v>-7.7251453793741707</c:v>
                </c:pt>
                <c:pt idx="327">
                  <c:v>-7.8271577809600279</c:v>
                </c:pt>
                <c:pt idx="328">
                  <c:v>-7.9286208529345039</c:v>
                </c:pt>
                <c:pt idx="329">
                  <c:v>-8.0319494884527742</c:v>
                </c:pt>
                <c:pt idx="330">
                  <c:v>-8.1347154694936528</c:v>
                </c:pt>
                <c:pt idx="331">
                  <c:v>-8.236925345447581</c:v>
                </c:pt>
                <c:pt idx="332">
                  <c:v>-8.3385855544950722</c:v>
                </c:pt>
                <c:pt idx="333">
                  <c:v>-8.4418909719280357</c:v>
                </c:pt>
                <c:pt idx="334">
                  <c:v>-8.5446358476390376</c:v>
                </c:pt>
                <c:pt idx="335">
                  <c:v>-8.6468267043828426</c:v>
                </c:pt>
                <c:pt idx="336">
                  <c:v>-8.748469954229348</c:v>
                </c:pt>
                <c:pt idx="337">
                  <c:v>-8.8520431464518765</c:v>
                </c:pt>
                <c:pt idx="338">
                  <c:v>-8.9550548392141707</c:v>
                </c:pt>
                <c:pt idx="339">
                  <c:v>-9.0575115822606627</c:v>
                </c:pt>
                <c:pt idx="340">
                  <c:v>-9.1594198139612431</c:v>
                </c:pt>
                <c:pt idx="341">
                  <c:v>-9.2632042999685176</c:v>
                </c:pt>
                <c:pt idx="342">
                  <c:v>-9.36642703073246</c:v>
                </c:pt>
                <c:pt idx="343">
                  <c:v>-9.4690945709709897</c:v>
                </c:pt>
                <c:pt idx="344">
                  <c:v>-9.5712133736070975</c:v>
                </c:pt>
                <c:pt idx="345">
                  <c:v>-9.6749988482479594</c:v>
                </c:pt>
                <c:pt idx="346">
                  <c:v>-9.7782246673007656</c:v>
                </c:pt>
                <c:pt idx="347">
                  <c:v>-9.8808973694472151</c:v>
                </c:pt>
                <c:pt idx="348">
                  <c:v>-9.9830233820777607</c:v>
                </c:pt>
                <c:pt idx="349">
                  <c:v>-10.087080024326308</c:v>
                </c:pt>
                <c:pt idx="350">
                  <c:v>-10.190576290749769</c:v>
                </c:pt>
                <c:pt idx="351">
                  <c:v>-10.293518743433538</c:v>
                </c:pt>
                <c:pt idx="352">
                  <c:v>-10.395913832553667</c:v>
                </c:pt>
                <c:pt idx="353">
                  <c:v>-10.500186453070878</c:v>
                </c:pt>
                <c:pt idx="354">
                  <c:v>-10.603898669090004</c:v>
                </c:pt>
                <c:pt idx="355">
                  <c:v>-10.707057054190468</c:v>
                </c:pt>
                <c:pt idx="356">
                  <c:v>-10.809668069688064</c:v>
                </c:pt>
                <c:pt idx="357">
                  <c:v>-10.913957451230885</c:v>
                </c:pt>
                <c:pt idx="358">
                  <c:v>-11.01768862670408</c:v>
                </c:pt>
                <c:pt idx="359">
                  <c:v>-11.120868142238491</c:v>
                </c:pt>
                <c:pt idx="360">
                  <c:v>-11.223502432227836</c:v>
                </c:pt>
                <c:pt idx="361">
                  <c:v>-11.328060079126699</c:v>
                </c:pt>
                <c:pt idx="362">
                  <c:v>-11.432059125713216</c:v>
                </c:pt>
                <c:pt idx="363">
                  <c:v>-11.535506136268516</c:v>
                </c:pt>
                <c:pt idx="364">
                  <c:v>-11.638407562823339</c:v>
                </c:pt>
                <c:pt idx="365">
                  <c:v>-11.743038386110214</c:v>
                </c:pt>
                <c:pt idx="366">
                  <c:v>-11.847112393433044</c:v>
                </c:pt>
                <c:pt idx="367">
                  <c:v>-11.950636129054606</c:v>
                </c:pt>
                <c:pt idx="368">
                  <c:v>-12.053616025335733</c:v>
                </c:pt>
                <c:pt idx="369">
                  <c:v>-12.158557108662574</c:v>
                </c:pt>
                <c:pt idx="370">
                  <c:v>-12.262940744048681</c:v>
                </c:pt>
                <c:pt idx="371">
                  <c:v>-12.36677349832126</c:v>
                </c:pt>
                <c:pt idx="372">
                  <c:v>-12.470061825780331</c:v>
                </c:pt>
                <c:pt idx="373">
                  <c:v>-12.575122566800918</c:v>
                </c:pt>
                <c:pt idx="374">
                  <c:v>-12.67962735461011</c:v>
                </c:pt>
                <c:pt idx="375">
                  <c:v>-12.783582741230253</c:v>
                </c:pt>
                <c:pt idx="376">
                  <c:v>-12.886995166376154</c:v>
                </c:pt>
                <c:pt idx="377">
                  <c:v>-12.992399439218854</c:v>
                </c:pt>
                <c:pt idx="378">
                  <c:v>-13.097246998061667</c:v>
                </c:pt>
                <c:pt idx="379">
                  <c:v>-13.201544419957198</c:v>
                </c:pt>
                <c:pt idx="380">
                  <c:v>-13.305298168954824</c:v>
                </c:pt>
                <c:pt idx="381">
                  <c:v>-13.410729852444545</c:v>
                </c:pt>
                <c:pt idx="382">
                  <c:v>-13.515607498590033</c:v>
                </c:pt>
                <c:pt idx="383">
                  <c:v>-13.619937648797048</c:v>
                </c:pt>
                <c:pt idx="384">
                  <c:v>-13.723726732150752</c:v>
                </c:pt>
                <c:pt idx="385">
                  <c:v>-13.829533298243931</c:v>
                </c:pt>
                <c:pt idx="386">
                  <c:v>-13.934784966340221</c:v>
                </c:pt>
                <c:pt idx="387">
                  <c:v>-14.03948830468684</c:v>
                </c:pt>
                <c:pt idx="388">
                  <c:v>-14.143649768457776</c:v>
                </c:pt>
                <c:pt idx="389">
                  <c:v>-14.24965022390117</c:v>
                </c:pt>
                <c:pt idx="390">
                  <c:v>-14.355096934221475</c:v>
                </c:pt>
                <c:pt idx="391">
                  <c:v>-14.459996458875304</c:v>
                </c:pt>
                <c:pt idx="392">
                  <c:v>-14.564355244299225</c:v>
                </c:pt>
                <c:pt idx="393">
                  <c:v>-14.670505292370164</c:v>
                </c:pt>
                <c:pt idx="394">
                  <c:v>-14.776103319070078</c:v>
                </c:pt>
                <c:pt idx="395">
                  <c:v>-14.88115586485007</c:v>
                </c:pt>
                <c:pt idx="396">
                  <c:v>-14.985669357421756</c:v>
                </c:pt>
                <c:pt idx="397">
                  <c:v>-15.092167931195776</c:v>
                </c:pt>
                <c:pt idx="398">
                  <c:v>-15.198114259619956</c:v>
                </c:pt>
                <c:pt idx="399">
                  <c:v>-15.303514898550453</c:v>
                </c:pt>
                <c:pt idx="400">
                  <c:v>-15.408376290585226</c:v>
                </c:pt>
                <c:pt idx="401">
                  <c:v>-15.515053710258302</c:v>
                </c:pt>
                <c:pt idx="402">
                  <c:v>-15.621180537023145</c:v>
                </c:pt>
                <c:pt idx="403">
                  <c:v>-15.726763308686532</c:v>
                </c:pt>
                <c:pt idx="404">
                  <c:v>-15.831808450037403</c:v>
                </c:pt>
                <c:pt idx="405">
                  <c:v>-15.938738530756194</c:v>
                </c:pt>
                <c:pt idx="406">
                  <c:v>-16.045119025698277</c:v>
                </c:pt>
                <c:pt idx="407">
                  <c:v>-16.150956465853405</c:v>
                </c:pt>
                <c:pt idx="408">
                  <c:v>-16.256257269166614</c:v>
                </c:pt>
                <c:pt idx="409">
                  <c:v>-16.363507813902448</c:v>
                </c:pt>
                <c:pt idx="410">
                  <c:v>-16.470209208062556</c:v>
                </c:pt>
                <c:pt idx="411">
                  <c:v>-16.576367985728758</c:v>
                </c:pt>
                <c:pt idx="412">
                  <c:v>-16.681990567671463</c:v>
                </c:pt>
                <c:pt idx="413">
                  <c:v>-16.78951331946072</c:v>
                </c:pt>
                <c:pt idx="414">
                  <c:v>-16.896487974209332</c:v>
                </c:pt>
                <c:pt idx="415">
                  <c:v>-17.002921057775712</c:v>
                </c:pt>
                <c:pt idx="416">
                  <c:v>-17.108818982690238</c:v>
                </c:pt>
                <c:pt idx="417">
                  <c:v>-17.216677558477787</c:v>
                </c:pt>
                <c:pt idx="418">
                  <c:v>-17.323988568960026</c:v>
                </c:pt>
                <c:pt idx="419">
                  <c:v>-17.430758540685073</c:v>
                </c:pt>
                <c:pt idx="420">
                  <c:v>-17.53699388663842</c:v>
                </c:pt>
                <c:pt idx="421">
                  <c:v>-17.645034572224539</c:v>
                </c:pt>
                <c:pt idx="422">
                  <c:v>-17.752529900868371</c:v>
                </c:pt>
                <c:pt idx="423">
                  <c:v>-17.859486369472389</c:v>
                </c:pt>
                <c:pt idx="424">
                  <c:v>-17.965910361832652</c:v>
                </c:pt>
                <c:pt idx="425">
                  <c:v>-18.074407323297599</c:v>
                </c:pt>
                <c:pt idx="426">
                  <c:v>-18.182358497040291</c:v>
                </c:pt>
                <c:pt idx="427">
                  <c:v>-18.289770396841277</c:v>
                </c:pt>
                <c:pt idx="428">
                  <c:v>-18.396649422740985</c:v>
                </c:pt>
                <c:pt idx="429">
                  <c:v>-18.505447632350261</c:v>
                </c:pt>
                <c:pt idx="430">
                  <c:v>-18.613701312287795</c:v>
                </c:pt>
                <c:pt idx="431">
                  <c:v>-18.721416962502005</c:v>
                </c:pt>
                <c:pt idx="432">
                  <c:v>-18.828600969265004</c:v>
                </c:pt>
                <c:pt idx="433">
                  <c:v>-18.93765717775516</c:v>
                </c:pt>
                <c:pt idx="434">
                  <c:v>-19.046170663800183</c:v>
                </c:pt>
                <c:pt idx="435">
                  <c:v>-19.154147903023862</c:v>
                </c:pt>
                <c:pt idx="436">
                  <c:v>-19.261595257670049</c:v>
                </c:pt>
                <c:pt idx="437">
                  <c:v>-19.371065446017358</c:v>
                </c:pt>
                <c:pt idx="438">
                  <c:v>-19.479993291010604</c:v>
                </c:pt>
                <c:pt idx="439">
                  <c:v>-19.58838526866705</c:v>
                </c:pt>
                <c:pt idx="440">
                  <c:v>-19.696247741331543</c:v>
                </c:pt>
                <c:pt idx="441">
                  <c:v>-19.806083744216053</c:v>
                </c:pt>
                <c:pt idx="442">
                  <c:v>-19.915378386655068</c:v>
                </c:pt>
                <c:pt idx="443">
                  <c:v>-20.024138133420344</c:v>
                </c:pt>
                <c:pt idx="444">
                  <c:v>-20.132369335575746</c:v>
                </c:pt>
                <c:pt idx="445">
                  <c:v>-20.242526560707766</c:v>
                </c:pt>
                <c:pt idx="446">
                  <c:v>-20.352143964753125</c:v>
                </c:pt>
                <c:pt idx="447">
                  <c:v>-20.461227990340312</c:v>
                </c:pt>
                <c:pt idx="448">
                  <c:v>-20.569784966595677</c:v>
                </c:pt>
                <c:pt idx="449">
                  <c:v>-20.680406891342461</c:v>
                </c:pt>
                <c:pt idx="450">
                  <c:v>-20.790489250730229</c:v>
                </c:pt>
                <c:pt idx="451">
                  <c:v>-20.900038487095266</c:v>
                </c:pt>
                <c:pt idx="452">
                  <c:v>-21.009060928952291</c:v>
                </c:pt>
                <c:pt idx="453">
                  <c:v>-21.12000833404894</c:v>
                </c:pt>
                <c:pt idx="454">
                  <c:v>-21.230417902480344</c:v>
                </c:pt>
                <c:pt idx="455">
                  <c:v>-21.34029604882716</c:v>
                </c:pt>
                <c:pt idx="456">
                  <c:v>-21.449649074159428</c:v>
                </c:pt>
                <c:pt idx="457">
                  <c:v>-21.561059720850203</c:v>
                </c:pt>
                <c:pt idx="458">
                  <c:v>-21.671933037545628</c:v>
                </c:pt>
                <c:pt idx="459">
                  <c:v>-21.78227543159047</c:v>
                </c:pt>
                <c:pt idx="460">
                  <c:v>-21.892093196632519</c:v>
                </c:pt>
                <c:pt idx="461">
                  <c:v>-22.003920132740976</c:v>
                </c:pt>
                <c:pt idx="462">
                  <c:v>-22.115210811546739</c:v>
                </c:pt>
                <c:pt idx="463">
                  <c:v>-22.225971621660833</c:v>
                </c:pt>
                <c:pt idx="464">
                  <c:v>-22.336208838069677</c:v>
                </c:pt>
                <c:pt idx="465">
                  <c:v>-22.44849402567008</c:v>
                </c:pt>
                <c:pt idx="466">
                  <c:v>-22.56024373423157</c:v>
                </c:pt>
                <c:pt idx="467">
                  <c:v>-22.6714643373546</c:v>
                </c:pt>
                <c:pt idx="468">
                  <c:v>-22.782162094985576</c:v>
                </c:pt>
                <c:pt idx="469">
                  <c:v>-22.894860382461388</c:v>
                </c:pt>
                <c:pt idx="470">
                  <c:v>-23.007024500015085</c:v>
                </c:pt>
                <c:pt idx="471">
                  <c:v>-23.118660795148777</c:v>
                </c:pt>
                <c:pt idx="472">
                  <c:v>-23.229775501931389</c:v>
                </c:pt>
                <c:pt idx="473">
                  <c:v>-23.343009667542471</c:v>
                </c:pt>
                <c:pt idx="474">
                  <c:v>-23.45570990920594</c:v>
                </c:pt>
                <c:pt idx="475">
                  <c:v>-23.567882565445263</c:v>
                </c:pt>
                <c:pt idx="476">
                  <c:v>-23.679533861152933</c:v>
                </c:pt>
                <c:pt idx="477">
                  <c:v>-23.793255904319089</c:v>
                </c:pt>
                <c:pt idx="478">
                  <c:v>-23.90644481934789</c:v>
                </c:pt>
                <c:pt idx="479">
                  <c:v>-24.019106924102683</c:v>
                </c:pt>
                <c:pt idx="480">
                  <c:v>-24.131248422883985</c:v>
                </c:pt>
                <c:pt idx="481">
                  <c:v>-24.245413664052784</c:v>
                </c:pt>
                <c:pt idx="482">
                  <c:v>-24.359047073539102</c:v>
                </c:pt>
                <c:pt idx="483">
                  <c:v>-24.472154937660846</c:v>
                </c:pt>
                <c:pt idx="484">
                  <c:v>-24.584743429492313</c:v>
                </c:pt>
                <c:pt idx="485">
                  <c:v>-24.699388169137734</c:v>
                </c:pt>
                <c:pt idx="486">
                  <c:v>-24.813502108171704</c:v>
                </c:pt>
                <c:pt idx="487">
                  <c:v>-24.927091503937714</c:v>
                </c:pt>
                <c:pt idx="488">
                  <c:v>-25.040162500785193</c:v>
                </c:pt>
                <c:pt idx="489">
                  <c:v>-25.155396724249741</c:v>
                </c:pt>
                <c:pt idx="490">
                  <c:v>-25.2701002349745</c:v>
                </c:pt>
                <c:pt idx="491">
                  <c:v>-25.384279275660042</c:v>
                </c:pt>
                <c:pt idx="492">
                  <c:v>-25.497939975910647</c:v>
                </c:pt>
                <c:pt idx="493">
                  <c:v>-25.613715409825339</c:v>
                </c:pt>
                <c:pt idx="494">
                  <c:v>-25.728960731974727</c:v>
                </c:pt>
                <c:pt idx="495">
                  <c:v>-25.84368215894181</c:v>
                </c:pt>
                <c:pt idx="496">
                  <c:v>-25.957885794381244</c:v>
                </c:pt>
                <c:pt idx="497">
                  <c:v>-26.074231011562915</c:v>
                </c:pt>
                <c:pt idx="498">
                  <c:v>-26.190046513261194</c:v>
                </c:pt>
                <c:pt idx="499">
                  <c:v>-26.305338490979317</c:v>
                </c:pt>
                <c:pt idx="500">
                  <c:v>-26.420113023430964</c:v>
                </c:pt>
                <c:pt idx="501">
                  <c:v>-26.537054252884946</c:v>
                </c:pt>
                <c:pt idx="502">
                  <c:v>-26.653465973992617</c:v>
                </c:pt>
                <c:pt idx="503">
                  <c:v>-26.769354353792231</c:v>
                </c:pt>
                <c:pt idx="504">
                  <c:v>-26.884725446653853</c:v>
                </c:pt>
                <c:pt idx="505">
                  <c:v>-27.00221559925275</c:v>
                </c:pt>
                <c:pt idx="506">
                  <c:v>-27.119176912574648</c:v>
                </c:pt>
                <c:pt idx="507">
                  <c:v>-27.235615518369659</c:v>
                </c:pt>
                <c:pt idx="508">
                  <c:v>-27.351537436105762</c:v>
                </c:pt>
                <c:pt idx="509">
                  <c:v>-27.469602166404528</c:v>
                </c:pt>
                <c:pt idx="510">
                  <c:v>-27.587138517576722</c:v>
                </c:pt>
                <c:pt idx="511">
                  <c:v>-27.704152586865419</c:v>
                </c:pt>
                <c:pt idx="512">
                  <c:v>-27.820650359602329</c:v>
                </c:pt>
                <c:pt idx="513">
                  <c:v>-27.939381709246188</c:v>
                </c:pt>
                <c:pt idx="514">
                  <c:v>-28.057584334197678</c:v>
                </c:pt>
                <c:pt idx="515">
                  <c:v>-28.175264308087137</c:v>
                </c:pt>
                <c:pt idx="516">
                  <c:v>-28.292427592744581</c:v>
                </c:pt>
                <c:pt idx="517">
                  <c:v>-28.411775885751148</c:v>
                </c:pt>
                <c:pt idx="518">
                  <c:v>-28.53059555744171</c:v>
                </c:pt>
                <c:pt idx="519">
                  <c:v>-28.648892646997311</c:v>
                </c:pt>
                <c:pt idx="520">
                  <c:v>-28.766673082183672</c:v>
                </c:pt>
                <c:pt idx="521">
                  <c:v>-28.88665769025803</c:v>
                </c:pt>
                <c:pt idx="522">
                  <c:v>-29.006113599836137</c:v>
                </c:pt>
                <c:pt idx="523">
                  <c:v>-29.125046815584849</c:v>
                </c:pt>
                <c:pt idx="524">
                  <c:v>-29.243463231156362</c:v>
                </c:pt>
                <c:pt idx="525">
                  <c:v>-29.364101557075802</c:v>
                </c:pt>
                <c:pt idx="526">
                  <c:v>-29.484210933193317</c:v>
                </c:pt>
                <c:pt idx="527">
                  <c:v>-29.603797329394492</c:v>
                </c:pt>
                <c:pt idx="528">
                  <c:v>-29.722866604973358</c:v>
                </c:pt>
                <c:pt idx="529">
                  <c:v>-29.844174145908209</c:v>
                </c:pt>
                <c:pt idx="530">
                  <c:v>-29.964952316573964</c:v>
                </c:pt>
                <c:pt idx="531">
                  <c:v>-30.085207051645536</c:v>
                </c:pt>
                <c:pt idx="532">
                  <c:v>-30.204944175661225</c:v>
                </c:pt>
                <c:pt idx="533">
                  <c:v>-30.326997420180177</c:v>
                </c:pt>
                <c:pt idx="534">
                  <c:v>-30.448520164198349</c:v>
                </c:pt>
                <c:pt idx="535">
                  <c:v>-30.569518315685073</c:v>
                </c:pt>
                <c:pt idx="536">
                  <c:v>-30.689997672741455</c:v>
                </c:pt>
                <c:pt idx="537">
                  <c:v>-30.812681705221621</c:v>
                </c:pt>
                <c:pt idx="538">
                  <c:v>-30.934835044477396</c:v>
                </c:pt>
                <c:pt idx="539">
                  <c:v>-31.056463552806093</c:v>
                </c:pt>
                <c:pt idx="540">
                  <c:v>-31.177572983403429</c:v>
                </c:pt>
                <c:pt idx="541">
                  <c:v>-31.301022540280616</c:v>
                </c:pt>
                <c:pt idx="542">
                  <c:v>-31.423939971749611</c:v>
                </c:pt>
                <c:pt idx="543">
                  <c:v>-31.546331111582898</c:v>
                </c:pt>
                <c:pt idx="544">
                  <c:v>-31.668201684826734</c:v>
                </c:pt>
                <c:pt idx="545">
                  <c:v>-31.792362348683817</c:v>
                </c:pt>
                <c:pt idx="546">
                  <c:v>-31.91598983784845</c:v>
                </c:pt>
                <c:pt idx="547">
                  <c:v>-32.039089947883049</c:v>
                </c:pt>
                <c:pt idx="548">
                  <c:v>-32.161668366277468</c:v>
                </c:pt>
                <c:pt idx="549">
                  <c:v>-32.286546864328038</c:v>
                </c:pt>
                <c:pt idx="550">
                  <c:v>-32.410890976836541</c:v>
                </c:pt>
                <c:pt idx="551">
                  <c:v>-32.534706460514712</c:v>
                </c:pt>
                <c:pt idx="552">
                  <c:v>-32.657998964712249</c:v>
                </c:pt>
                <c:pt idx="553">
                  <c:v>-32.783658029984508</c:v>
                </c:pt>
                <c:pt idx="554">
                  <c:v>-32.908780846415084</c:v>
                </c:pt>
                <c:pt idx="555">
                  <c:v>-33.033373139104491</c:v>
                </c:pt>
                <c:pt idx="556">
                  <c:v>-33.15744052637119</c:v>
                </c:pt>
                <c:pt idx="557">
                  <c:v>-33.409782530945847</c:v>
                </c:pt>
                <c:pt idx="558">
                  <c:v>-33.659994217747283</c:v>
                </c:pt>
                <c:pt idx="559">
                  <c:v>-33.913783126974593</c:v>
                </c:pt>
                <c:pt idx="560">
                  <c:v>-34.165434913927903</c:v>
                </c:pt>
                <c:pt idx="561">
                  <c:v>-34.420889458348732</c:v>
                </c:pt>
                <c:pt idx="562">
                  <c:v>-34.674195762968402</c:v>
                </c:pt>
                <c:pt idx="563">
                  <c:v>-34.93076542885926</c:v>
                </c:pt>
                <c:pt idx="564">
                  <c:v>-35.185184231565586</c:v>
                </c:pt>
                <c:pt idx="565">
                  <c:v>-35.443829358853463</c:v>
                </c:pt>
                <c:pt idx="566">
                  <c:v>-35.700304197213882</c:v>
                </c:pt>
                <c:pt idx="567">
                  <c:v>-35.960880033526543</c:v>
                </c:pt>
                <c:pt idx="568">
                  <c:v>-36.219267787025146</c:v>
                </c:pt>
                <c:pt idx="569">
                  <c:v>-36.480613923153022</c:v>
                </c:pt>
                <c:pt idx="570">
                  <c:v>-36.739772686531083</c:v>
                </c:pt>
                <c:pt idx="571">
                  <c:v>-37.003812078499585</c:v>
                </c:pt>
                <c:pt idx="572">
                  <c:v>-37.265631784462734</c:v>
                </c:pt>
                <c:pt idx="573">
                  <c:v>-37.53020881009089</c:v>
                </c:pt>
                <c:pt idx="574">
                  <c:v>-37.792568898419397</c:v>
                </c:pt>
                <c:pt idx="575">
                  <c:v>-38.059546682216677</c:v>
                </c:pt>
                <c:pt idx="576">
                  <c:v>-38.324278120918528</c:v>
                </c:pt>
                <c:pt idx="577">
                  <c:v>-39.421101420270091</c:v>
                </c:pt>
                <c:pt idx="578">
                  <c:v>-40.481326401924413</c:v>
                </c:pt>
                <c:pt idx="579">
                  <c:v>-42.688703096101335</c:v>
                </c:pt>
                <c:pt idx="580">
                  <c:v>-44.948672426571086</c:v>
                </c:pt>
                <c:pt idx="581">
                  <c:v>-47.255442668427669</c:v>
                </c:pt>
                <c:pt idx="582">
                  <c:v>-49.606778020282761</c:v>
                </c:pt>
                <c:pt idx="583">
                  <c:v>-51.996248629827832</c:v>
                </c:pt>
                <c:pt idx="584">
                  <c:v>-54.420215934504519</c:v>
                </c:pt>
                <c:pt idx="585">
                  <c:v>-56.871393112295145</c:v>
                </c:pt>
                <c:pt idx="586">
                  <c:v>-59.344061450250791</c:v>
                </c:pt>
                <c:pt idx="587">
                  <c:v>-61.833619840559024</c:v>
                </c:pt>
                <c:pt idx="588">
                  <c:v>-64.332157902981578</c:v>
                </c:pt>
                <c:pt idx="589">
                  <c:v>-66.836757134269959</c:v>
                </c:pt>
                <c:pt idx="590">
                  <c:v>-69.342296071346993</c:v>
                </c:pt>
                <c:pt idx="591">
                  <c:v>-71.84563432810431</c:v>
                </c:pt>
                <c:pt idx="592">
                  <c:v>-74.343893636514451</c:v>
                </c:pt>
                <c:pt idx="593">
                  <c:v>-76.83604112968888</c:v>
                </c:pt>
                <c:pt idx="594">
                  <c:v>-79.320321374165829</c:v>
                </c:pt>
                <c:pt idx="595">
                  <c:v>-81.796703446040965</c:v>
                </c:pt>
                <c:pt idx="596">
                  <c:v>-84.264594754146614</c:v>
                </c:pt>
                <c:pt idx="597">
                  <c:v>-86.724758531340484</c:v>
                </c:pt>
                <c:pt idx="598">
                  <c:v>-89.177044253428818</c:v>
                </c:pt>
                <c:pt idx="599">
                  <c:v>-91.622671277779602</c:v>
                </c:pt>
                <c:pt idx="600">
                  <c:v>-94.061925673189378</c:v>
                </c:pt>
                <c:pt idx="604">
                  <c:v>7.1113936572484604E-2</c:v>
                </c:pt>
              </c:numCache>
            </c:numRef>
          </c:yVal>
          <c:smooth val="1"/>
          <c:extLst>
            <c:ext xmlns:c16="http://schemas.microsoft.com/office/drawing/2014/chart" uri="{C3380CC4-5D6E-409C-BE32-E72D297353CC}">
              <c16:uniqueId val="{00000004-DCB9-497D-B84D-5596E75D8DAE}"/>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DCB9-497D-B84D-5596E75D8DAE}"/>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Calculations'!$E$635</c:f>
              <c:numCache>
                <c:formatCode>0.00</c:formatCode>
                <c:ptCount val="1"/>
                <c:pt idx="0">
                  <c:v>15.915494309189533</c:v>
                </c:pt>
              </c:numCache>
            </c:numRef>
          </c:xVal>
          <c:yVal>
            <c:numRef>
              <c:f>'Stability Calculations'!$F$635</c:f>
              <c:numCache>
                <c:formatCode>0.00</c:formatCode>
                <c:ptCount val="1"/>
                <c:pt idx="0">
                  <c:v>45.440396428128132</c:v>
                </c:pt>
              </c:numCache>
            </c:numRef>
          </c:yVal>
          <c:smooth val="1"/>
          <c:extLst>
            <c:ext xmlns:c16="http://schemas.microsoft.com/office/drawing/2014/chart" uri="{C3380CC4-5D6E-409C-BE32-E72D297353CC}">
              <c16:uniqueId val="{00000006-DCB9-497D-B84D-5596E75D8DAE}"/>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DCB9-497D-B84D-5596E75D8DAE}"/>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Calculations'!$C$5</c:f>
              <c:numCache>
                <c:formatCode>0.0</c:formatCode>
                <c:ptCount val="1"/>
                <c:pt idx="0">
                  <c:v>0.157579151576134</c:v>
                </c:pt>
              </c:numCache>
            </c:numRef>
          </c:xVal>
          <c:yVal>
            <c:numRef>
              <c:f>'Stability Calculations'!$AG$624</c:f>
              <c:numCache>
                <c:formatCode>0.0000</c:formatCode>
                <c:ptCount val="1"/>
                <c:pt idx="0">
                  <c:v>79.508158914764977</c:v>
                </c:pt>
              </c:numCache>
            </c:numRef>
          </c:yVal>
          <c:smooth val="1"/>
          <c:extLst>
            <c:ext xmlns:c16="http://schemas.microsoft.com/office/drawing/2014/chart" uri="{C3380CC4-5D6E-409C-BE32-E72D297353CC}">
              <c16:uniqueId val="{00000008-DCB9-497D-B84D-5596E75D8DAE}"/>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DCB9-497D-B84D-5596E75D8DAE}"/>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Calculations'!$L$4</c:f>
              <c:numCache>
                <c:formatCode>0</c:formatCode>
                <c:ptCount val="1"/>
                <c:pt idx="0">
                  <c:v>1308.1228199333864</c:v>
                </c:pt>
              </c:numCache>
            </c:numRef>
          </c:xVal>
          <c:yVal>
            <c:numRef>
              <c:f>'Stability Calculations'!$F$632</c:f>
              <c:numCache>
                <c:formatCode>0.00</c:formatCode>
                <c:ptCount val="1"/>
                <c:pt idx="0">
                  <c:v>37.154006224402323</c:v>
                </c:pt>
              </c:numCache>
            </c:numRef>
          </c:yVal>
          <c:smooth val="1"/>
          <c:extLst>
            <c:ext xmlns:c16="http://schemas.microsoft.com/office/drawing/2014/chart" uri="{C3380CC4-5D6E-409C-BE32-E72D297353CC}">
              <c16:uniqueId val="{0000000A-DCB9-497D-B84D-5596E75D8DAE}"/>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DCB9-497D-B84D-5596E75D8DAE}"/>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Calculations'!$B$623</c:f>
              <c:numCache>
                <c:formatCode>0</c:formatCode>
                <c:ptCount val="1"/>
                <c:pt idx="0">
                  <c:v>318309.88618379069</c:v>
                </c:pt>
              </c:numCache>
            </c:numRef>
          </c:xVal>
          <c:yVal>
            <c:numRef>
              <c:f>'Stability Calculations'!$AG$623</c:f>
              <c:numCache>
                <c:formatCode>0.0000</c:formatCode>
                <c:ptCount val="1"/>
                <c:pt idx="0">
                  <c:v>-63.259864775733384</c:v>
                </c:pt>
              </c:numCache>
            </c:numRef>
          </c:yVal>
          <c:smooth val="1"/>
          <c:extLst>
            <c:ext xmlns:c16="http://schemas.microsoft.com/office/drawing/2014/chart" uri="{C3380CC4-5D6E-409C-BE32-E72D297353CC}">
              <c16:uniqueId val="{0000000C-DCB9-497D-B84D-5596E75D8DAE}"/>
            </c:ext>
          </c:extLst>
        </c:ser>
        <c:dLbls>
          <c:showLegendKey val="0"/>
          <c:showVal val="0"/>
          <c:showCatName val="0"/>
          <c:showSerName val="0"/>
          <c:showPercent val="0"/>
          <c:showBubbleSize val="0"/>
        </c:dLbls>
        <c:axId val="196130688"/>
        <c:axId val="196141056"/>
      </c:scatterChart>
      <c:scatterChart>
        <c:scatterStyle val="lineMarker"/>
        <c:varyColors val="0"/>
        <c:ser>
          <c:idx val="3"/>
          <c:order val="1"/>
          <c:tx>
            <c:v>Loop Phase</c:v>
          </c:tx>
          <c:spPr>
            <a:ln w="34925">
              <a:solidFill>
                <a:srgbClr val="002060"/>
              </a:solidFill>
              <a:prstDash val="sysDash"/>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Calculations'!$AI$13:$AI$617</c:f>
              <c:numCache>
                <c:formatCode>0.00</c:formatCode>
                <c:ptCount val="605"/>
                <c:pt idx="0">
                  <c:v>102.46959726981662</c:v>
                </c:pt>
                <c:pt idx="1">
                  <c:v>102.03077074402447</c:v>
                </c:pt>
                <c:pt idx="2">
                  <c:v>101.68999257783622</c:v>
                </c:pt>
                <c:pt idx="3">
                  <c:v>101.44507917920585</c:v>
                </c:pt>
                <c:pt idx="4">
                  <c:v>101.29449671480084</c:v>
                </c:pt>
                <c:pt idx="5">
                  <c:v>101.23704178887725</c:v>
                </c:pt>
                <c:pt idx="6">
                  <c:v>101.2724839405476</c:v>
                </c:pt>
                <c:pt idx="7">
                  <c:v>101.40103640159201</c:v>
                </c:pt>
                <c:pt idx="8">
                  <c:v>101.62338696801217</c:v>
                </c:pt>
                <c:pt idx="9">
                  <c:v>101.94107650875063</c:v>
                </c:pt>
                <c:pt idx="10">
                  <c:v>102.35588291682832</c:v>
                </c:pt>
                <c:pt idx="11">
                  <c:v>102.87028933082846</c:v>
                </c:pt>
                <c:pt idx="12">
                  <c:v>103.48756963802373</c:v>
                </c:pt>
                <c:pt idx="13">
                  <c:v>104.21047364470215</c:v>
                </c:pt>
                <c:pt idx="14">
                  <c:v>105.04321165697095</c:v>
                </c:pt>
                <c:pt idx="15">
                  <c:v>105.98935808879996</c:v>
                </c:pt>
                <c:pt idx="16">
                  <c:v>107.05287314445141</c:v>
                </c:pt>
                <c:pt idx="17">
                  <c:v>108.23732116787059</c:v>
                </c:pt>
                <c:pt idx="18">
                  <c:v>109.54639168695361</c:v>
                </c:pt>
                <c:pt idx="19">
                  <c:v>110.98239663069501</c:v>
                </c:pt>
                <c:pt idx="20">
                  <c:v>112.54725123477215</c:v>
                </c:pt>
                <c:pt idx="21">
                  <c:v>114.24086464869285</c:v>
                </c:pt>
                <c:pt idx="22">
                  <c:v>116.06202468328576</c:v>
                </c:pt>
                <c:pt idx="23">
                  <c:v>118.00648903411823</c:v>
                </c:pt>
                <c:pt idx="24">
                  <c:v>120.0683730100881</c:v>
                </c:pt>
                <c:pt idx="25">
                  <c:v>122.2381042972296</c:v>
                </c:pt>
                <c:pt idx="26">
                  <c:v>124.50387164151962</c:v>
                </c:pt>
                <c:pt idx="27">
                  <c:v>126.84954350724011</c:v>
                </c:pt>
                <c:pt idx="28">
                  <c:v>129.25689157485269</c:v>
                </c:pt>
                <c:pt idx="29">
                  <c:v>131.70363241905662</c:v>
                </c:pt>
                <c:pt idx="30">
                  <c:v>134.17137260127032</c:v>
                </c:pt>
                <c:pt idx="31">
                  <c:v>136.63313577383923</c:v>
                </c:pt>
                <c:pt idx="32">
                  <c:v>139.06694110054477</c:v>
                </c:pt>
                <c:pt idx="33">
                  <c:v>141.4482380936999</c:v>
                </c:pt>
                <c:pt idx="34">
                  <c:v>143.75767246100958</c:v>
                </c:pt>
                <c:pt idx="35">
                  <c:v>145.97502936525169</c:v>
                </c:pt>
                <c:pt idx="36">
                  <c:v>148.08452485074281</c:v>
                </c:pt>
                <c:pt idx="37">
                  <c:v>150.0740117674199</c:v>
                </c:pt>
                <c:pt idx="38">
                  <c:v>151.93134810515738</c:v>
                </c:pt>
                <c:pt idx="39">
                  <c:v>153.65060126680061</c:v>
                </c:pt>
                <c:pt idx="40">
                  <c:v>155.2260986185681</c:v>
                </c:pt>
                <c:pt idx="41">
                  <c:v>156.65512807795716</c:v>
                </c:pt>
                <c:pt idx="42">
                  <c:v>157.93635597553589</c:v>
                </c:pt>
                <c:pt idx="43">
                  <c:v>159.07027045858902</c:v>
                </c:pt>
                <c:pt idx="44">
                  <c:v>160.05756627537448</c:v>
                </c:pt>
                <c:pt idx="45">
                  <c:v>160.89999117326008</c:v>
                </c:pt>
                <c:pt idx="46">
                  <c:v>161.59915457442992</c:v>
                </c:pt>
                <c:pt idx="47">
                  <c:v>162.15695586701946</c:v>
                </c:pt>
                <c:pt idx="48">
                  <c:v>162.57477050905473</c:v>
                </c:pt>
                <c:pt idx="49">
                  <c:v>162.85379973351203</c:v>
                </c:pt>
                <c:pt idx="50">
                  <c:v>162.99451808195298</c:v>
                </c:pt>
                <c:pt idx="51">
                  <c:v>162.99679345800399</c:v>
                </c:pt>
                <c:pt idx="52">
                  <c:v>162.8597253412762</c:v>
                </c:pt>
                <c:pt idx="53">
                  <c:v>162.58164852269783</c:v>
                </c:pt>
                <c:pt idx="54">
                  <c:v>162.16033543588048</c:v>
                </c:pt>
                <c:pt idx="55">
                  <c:v>161.59154138464251</c:v>
                </c:pt>
                <c:pt idx="56">
                  <c:v>160.87154184157478</c:v>
                </c:pt>
                <c:pt idx="57">
                  <c:v>159.99455896923541</c:v>
                </c:pt>
                <c:pt idx="58">
                  <c:v>158.9550255688205</c:v>
                </c:pt>
                <c:pt idx="59">
                  <c:v>157.74504865665435</c:v>
                </c:pt>
                <c:pt idx="60">
                  <c:v>156.3573401101674</c:v>
                </c:pt>
                <c:pt idx="61">
                  <c:v>154.78308825344331</c:v>
                </c:pt>
                <c:pt idx="62">
                  <c:v>153.01203656036768</c:v>
                </c:pt>
                <c:pt idx="63">
                  <c:v>151.03614652010137</c:v>
                </c:pt>
                <c:pt idx="64">
                  <c:v>148.8439410358026</c:v>
                </c:pt>
                <c:pt idx="65">
                  <c:v>146.4263312461355</c:v>
                </c:pt>
                <c:pt idx="66">
                  <c:v>143.77377457236625</c:v>
                </c:pt>
                <c:pt idx="67">
                  <c:v>140.87828736775242</c:v>
                </c:pt>
                <c:pt idx="68">
                  <c:v>137.73214501876234</c:v>
                </c:pt>
                <c:pt idx="69">
                  <c:v>134.33148946775177</c:v>
                </c:pt>
                <c:pt idx="70">
                  <c:v>130.67388185946061</c:v>
                </c:pt>
                <c:pt idx="71">
                  <c:v>126.76199480302043</c:v>
                </c:pt>
                <c:pt idx="72">
                  <c:v>122.60135989661629</c:v>
                </c:pt>
                <c:pt idx="73">
                  <c:v>118.20450668358279</c:v>
                </c:pt>
                <c:pt idx="74">
                  <c:v>113.58745099642586</c:v>
                </c:pt>
                <c:pt idx="75">
                  <c:v>108.77390303199554</c:v>
                </c:pt>
                <c:pt idx="76">
                  <c:v>103.79153907042891</c:v>
                </c:pt>
                <c:pt idx="77">
                  <c:v>98.676098617904358</c:v>
                </c:pt>
                <c:pt idx="78">
                  <c:v>93.466011709406956</c:v>
                </c:pt>
                <c:pt idx="79">
                  <c:v>88.206285276520433</c:v>
                </c:pt>
                <c:pt idx="80">
                  <c:v>82.931251218139678</c:v>
                </c:pt>
                <c:pt idx="81">
                  <c:v>77.691308543609111</c:v>
                </c:pt>
                <c:pt idx="82">
                  <c:v>72.524010810255362</c:v>
                </c:pt>
                <c:pt idx="83">
                  <c:v>67.470600610366546</c:v>
                </c:pt>
                <c:pt idx="84">
                  <c:v>62.55998951974621</c:v>
                </c:pt>
                <c:pt idx="85">
                  <c:v>57.822151039550548</c:v>
                </c:pt>
                <c:pt idx="86">
                  <c:v>53.277389011930438</c:v>
                </c:pt>
                <c:pt idx="87">
                  <c:v>48.938360687724554</c:v>
                </c:pt>
                <c:pt idx="88">
                  <c:v>44.81832709603836</c:v>
                </c:pt>
                <c:pt idx="89">
                  <c:v>40.917725611399277</c:v>
                </c:pt>
                <c:pt idx="90">
                  <c:v>37.237276046972795</c:v>
                </c:pt>
                <c:pt idx="91">
                  <c:v>33.771901020615957</c:v>
                </c:pt>
                <c:pt idx="92">
                  <c:v>30.514140235031249</c:v>
                </c:pt>
                <c:pt idx="93">
                  <c:v>27.452684266474904</c:v>
                </c:pt>
                <c:pt idx="94">
                  <c:v>26.716978984359031</c:v>
                </c:pt>
                <c:pt idx="95">
                  <c:v>26.351146608101885</c:v>
                </c:pt>
                <c:pt idx="96">
                  <c:v>25.992295374124012</c:v>
                </c:pt>
                <c:pt idx="97">
                  <c:v>25.632127085460695</c:v>
                </c:pt>
                <c:pt idx="98">
                  <c:v>25.278821387423733</c:v>
                </c:pt>
                <c:pt idx="99">
                  <c:v>24.924119540808931</c:v>
                </c:pt>
                <c:pt idx="100">
                  <c:v>24.576165402565152</c:v>
                </c:pt>
                <c:pt idx="101">
                  <c:v>24.227005882826234</c:v>
                </c:pt>
                <c:pt idx="102">
                  <c:v>23.884472590846059</c:v>
                </c:pt>
                <c:pt idx="103">
                  <c:v>23.540409483833855</c:v>
                </c:pt>
                <c:pt idx="104">
                  <c:v>23.202864217520982</c:v>
                </c:pt>
                <c:pt idx="105">
                  <c:v>22.8639813012351</c:v>
                </c:pt>
                <c:pt idx="106">
                  <c:v>22.53150107962702</c:v>
                </c:pt>
                <c:pt idx="107">
                  <c:v>22.197856947175865</c:v>
                </c:pt>
                <c:pt idx="108">
                  <c:v>21.870494607522886</c:v>
                </c:pt>
                <c:pt idx="109">
                  <c:v>21.541903363693166</c:v>
                </c:pt>
                <c:pt idx="110">
                  <c:v>21.219476451053254</c:v>
                </c:pt>
                <c:pt idx="111">
                  <c:v>20.895550909255775</c:v>
                </c:pt>
                <c:pt idx="112">
                  <c:v>20.577683192822207</c:v>
                </c:pt>
                <c:pt idx="113">
                  <c:v>20.258489278133737</c:v>
                </c:pt>
                <c:pt idx="114">
                  <c:v>19.94524085694087</c:v>
                </c:pt>
                <c:pt idx="115">
                  <c:v>19.63062390812803</c:v>
                </c:pt>
                <c:pt idx="116">
                  <c:v>19.321842509075026</c:v>
                </c:pt>
                <c:pt idx="117">
                  <c:v>19.011656252458351</c:v>
                </c:pt>
                <c:pt idx="118">
                  <c:v>18.707197712902598</c:v>
                </c:pt>
                <c:pt idx="119">
                  <c:v>18.401486916792862</c:v>
                </c:pt>
                <c:pt idx="120">
                  <c:v>18.101391174036877</c:v>
                </c:pt>
                <c:pt idx="121">
                  <c:v>17.800003417063351</c:v>
                </c:pt>
                <c:pt idx="122">
                  <c:v>17.504120483821907</c:v>
                </c:pt>
                <c:pt idx="123">
                  <c:v>17.206740019871319</c:v>
                </c:pt>
                <c:pt idx="124">
                  <c:v>16.914762503055016</c:v>
                </c:pt>
                <c:pt idx="125">
                  <c:v>16.621433472303949</c:v>
                </c:pt>
                <c:pt idx="126">
                  <c:v>16.333400900162133</c:v>
                </c:pt>
                <c:pt idx="127">
                  <c:v>16.043989524892311</c:v>
                </c:pt>
                <c:pt idx="128">
                  <c:v>15.759769967234774</c:v>
                </c:pt>
                <c:pt idx="129">
                  <c:v>15.474147506109261</c:v>
                </c:pt>
                <c:pt idx="130">
                  <c:v>15.193613918407038</c:v>
                </c:pt>
                <c:pt idx="131">
                  <c:v>14.911656052698106</c:v>
                </c:pt>
                <c:pt idx="132">
                  <c:v>14.772557683084642</c:v>
                </c:pt>
                <c:pt idx="133">
                  <c:v>14.634685685412592</c:v>
                </c:pt>
                <c:pt idx="134">
                  <c:v>14.49478584158544</c:v>
                </c:pt>
                <c:pt idx="135">
                  <c:v>14.3561295136208</c:v>
                </c:pt>
                <c:pt idx="136">
                  <c:v>14.218696212295839</c:v>
                </c:pt>
                <c:pt idx="137">
                  <c:v>14.082465892381919</c:v>
                </c:pt>
                <c:pt idx="138">
                  <c:v>13.94436644681258</c:v>
                </c:pt>
                <c:pt idx="139">
                  <c:v>13.807484190699569</c:v>
                </c:pt>
                <c:pt idx="140">
                  <c:v>13.671799047344848</c:v>
                </c:pt>
                <c:pt idx="141">
                  <c:v>13.537291375848042</c:v>
                </c:pt>
                <c:pt idx="142">
                  <c:v>13.400793692624035</c:v>
                </c:pt>
                <c:pt idx="143">
                  <c:v>13.265489681517977</c:v>
                </c:pt>
                <c:pt idx="144">
                  <c:v>13.13135961530088</c:v>
                </c:pt>
                <c:pt idx="145">
                  <c:v>12.99838419606391</c:v>
                </c:pt>
                <c:pt idx="146">
                  <c:v>12.86350390497455</c:v>
                </c:pt>
                <c:pt idx="147">
                  <c:v>12.729792827722548</c:v>
                </c:pt>
                <c:pt idx="148">
                  <c:v>12.597231615692493</c:v>
                </c:pt>
                <c:pt idx="149">
                  <c:v>12.465801342174899</c:v>
                </c:pt>
                <c:pt idx="150">
                  <c:v>12.332483373984473</c:v>
                </c:pt>
                <c:pt idx="151">
                  <c:v>12.200310468377666</c:v>
                </c:pt>
                <c:pt idx="152">
                  <c:v>12.069263653696396</c:v>
                </c:pt>
                <c:pt idx="153">
                  <c:v>11.939324372728663</c:v>
                </c:pt>
                <c:pt idx="154">
                  <c:v>11.807454260803951</c:v>
                </c:pt>
                <c:pt idx="155">
                  <c:v>11.676706382356514</c:v>
                </c:pt>
                <c:pt idx="156">
                  <c:v>11.5470621157246</c:v>
                </c:pt>
                <c:pt idx="157">
                  <c:v>11.418503246923933</c:v>
                </c:pt>
                <c:pt idx="158">
                  <c:v>11.288033806746</c:v>
                </c:pt>
                <c:pt idx="159">
                  <c:v>11.158663942768584</c:v>
                </c:pt>
                <c:pt idx="160">
                  <c:v>11.030375384654803</c:v>
                </c:pt>
                <c:pt idx="161">
                  <c:v>10.903150262851</c:v>
                </c:pt>
                <c:pt idx="162">
                  <c:v>10.774091027392757</c:v>
                </c:pt>
                <c:pt idx="163">
                  <c:v>10.646107950523941</c:v>
                </c:pt>
                <c:pt idx="164">
                  <c:v>10.519183137680386</c:v>
                </c:pt>
                <c:pt idx="165">
                  <c:v>10.393299087389096</c:v>
                </c:pt>
                <c:pt idx="166">
                  <c:v>10.265488556819889</c:v>
                </c:pt>
                <c:pt idx="167">
                  <c:v>10.138732858359788</c:v>
                </c:pt>
                <c:pt idx="168">
                  <c:v>10.013014426737044</c:v>
                </c:pt>
                <c:pt idx="169">
                  <c:v>9.888316083350702</c:v>
                </c:pt>
                <c:pt idx="170">
                  <c:v>9.7619774992367923</c:v>
                </c:pt>
                <c:pt idx="171">
                  <c:v>9.6366682104452366</c:v>
                </c:pt>
                <c:pt idx="172">
                  <c:v>9.5123710911454111</c:v>
                </c:pt>
                <c:pt idx="173">
                  <c:v>9.3890693924523134</c:v>
                </c:pt>
                <c:pt idx="174">
                  <c:v>9.2636754790310079</c:v>
                </c:pt>
                <c:pt idx="175">
                  <c:v>9.1392933276712256</c:v>
                </c:pt>
                <c:pt idx="176">
                  <c:v>9.0159060582130337</c:v>
                </c:pt>
                <c:pt idx="177">
                  <c:v>8.8934971633082398</c:v>
                </c:pt>
                <c:pt idx="178">
                  <c:v>8.7690760914964869</c:v>
                </c:pt>
                <c:pt idx="179">
                  <c:v>8.6456481744987457</c:v>
                </c:pt>
                <c:pt idx="180">
                  <c:v>8.5231968092037675</c:v>
                </c:pt>
                <c:pt idx="181">
                  <c:v>8.4017057601963643</c:v>
                </c:pt>
                <c:pt idx="182">
                  <c:v>8.2787577435351238</c:v>
                </c:pt>
                <c:pt idx="183">
                  <c:v>8.1567758451166696</c:v>
                </c:pt>
                <c:pt idx="184">
                  <c:v>8.0357439543464295</c:v>
                </c:pt>
                <c:pt idx="185">
                  <c:v>7.9156463167973357</c:v>
                </c:pt>
                <c:pt idx="186">
                  <c:v>7.7932087631977254</c:v>
                </c:pt>
                <c:pt idx="187">
                  <c:v>7.6717248537170235</c:v>
                </c:pt>
                <c:pt idx="188">
                  <c:v>7.5511786119628255</c:v>
                </c:pt>
                <c:pt idx="189">
                  <c:v>7.4315544166527445</c:v>
                </c:pt>
                <c:pt idx="190">
                  <c:v>7.3105801113659652</c:v>
                </c:pt>
                <c:pt idx="191">
                  <c:v>7.1905317090801759</c:v>
                </c:pt>
                <c:pt idx="192">
                  <c:v>7.0713937536455944</c:v>
                </c:pt>
                <c:pt idx="193">
                  <c:v>6.9531511315189789</c:v>
                </c:pt>
                <c:pt idx="194">
                  <c:v>6.8327238676065747</c:v>
                </c:pt>
                <c:pt idx="195">
                  <c:v>6.7132083159932563</c:v>
                </c:pt>
                <c:pt idx="196">
                  <c:v>6.5945892074361723</c:v>
                </c:pt>
                <c:pt idx="197">
                  <c:v>6.4768516125552935</c:v>
                </c:pt>
                <c:pt idx="198">
                  <c:v>6.3574313118897408</c:v>
                </c:pt>
                <c:pt idx="199">
                  <c:v>6.2389010777048952</c:v>
                </c:pt>
                <c:pt idx="200">
                  <c:v>6.1212460184973168</c:v>
                </c:pt>
                <c:pt idx="201">
                  <c:v>6.0044515741844009</c:v>
                </c:pt>
                <c:pt idx="202">
                  <c:v>5.8860280649661263</c:v>
                </c:pt>
                <c:pt idx="203">
                  <c:v>5.768472760752104</c:v>
                </c:pt>
                <c:pt idx="204">
                  <c:v>5.6517711580644061</c:v>
                </c:pt>
                <c:pt idx="205">
                  <c:v>5.5359090760291565</c:v>
                </c:pt>
                <c:pt idx="206">
                  <c:v>5.4180673066855434</c:v>
                </c:pt>
                <c:pt idx="207">
                  <c:v>5.3010775249495055</c:v>
                </c:pt>
                <c:pt idx="208">
                  <c:v>5.1849254791727617</c:v>
                </c:pt>
                <c:pt idx="209">
                  <c:v>5.0695972354560865</c:v>
                </c:pt>
                <c:pt idx="210">
                  <c:v>4.9519636312184048</c:v>
                </c:pt>
                <c:pt idx="211">
                  <c:v>4.8351706098083014</c:v>
                </c:pt>
                <c:pt idx="212">
                  <c:v>4.7192040550523302</c:v>
                </c:pt>
                <c:pt idx="213">
                  <c:v>4.6040501670806009</c:v>
                </c:pt>
                <c:pt idx="214">
                  <c:v>4.4874239907954916</c:v>
                </c:pt>
                <c:pt idx="215">
                  <c:v>4.3716151733790127</c:v>
                </c:pt>
                <c:pt idx="216">
                  <c:v>4.2566100344825486</c:v>
                </c:pt>
                <c:pt idx="217">
                  <c:v>4.1423951996333983</c:v>
                </c:pt>
                <c:pt idx="218">
                  <c:v>4.0263800283714204</c:v>
                </c:pt>
                <c:pt idx="219">
                  <c:v>3.9111642537398552</c:v>
                </c:pt>
                <c:pt idx="220">
                  <c:v>3.7967345042574721</c:v>
                </c:pt>
                <c:pt idx="221">
                  <c:v>3.6830777076021661</c:v>
                </c:pt>
                <c:pt idx="222">
                  <c:v>3.5676728442081469</c:v>
                </c:pt>
                <c:pt idx="223">
                  <c:v>3.4530490741731796</c:v>
                </c:pt>
                <c:pt idx="224">
                  <c:v>3.3391933479134366</c:v>
                </c:pt>
                <c:pt idx="225">
                  <c:v>3.2260929078406662</c:v>
                </c:pt>
                <c:pt idx="226">
                  <c:v>3.1109444713914627</c:v>
                </c:pt>
                <c:pt idx="227">
                  <c:v>2.9965632061480107</c:v>
                </c:pt>
                <c:pt idx="228">
                  <c:v>2.8829362794359099</c:v>
                </c:pt>
                <c:pt idx="229">
                  <c:v>2.7700511464831834</c:v>
                </c:pt>
                <c:pt idx="230">
                  <c:v>2.5410560850866091</c:v>
                </c:pt>
                <c:pt idx="231">
                  <c:v>2.4276747920231685</c:v>
                </c:pt>
                <c:pt idx="232">
                  <c:v>2.3150211482139014</c:v>
                </c:pt>
                <c:pt idx="233">
                  <c:v>2.2004344337771329</c:v>
                </c:pt>
                <c:pt idx="234">
                  <c:v>2.0865850898597387</c:v>
                </c:pt>
                <c:pt idx="235">
                  <c:v>1.9734607791871497</c:v>
                </c:pt>
                <c:pt idx="236">
                  <c:v>1.861049442228051</c:v>
                </c:pt>
                <c:pt idx="237">
                  <c:v>1.7470798836668564</c:v>
                </c:pt>
                <c:pt idx="238">
                  <c:v>1.6338280125759468</c:v>
                </c:pt>
                <c:pt idx="239">
                  <c:v>1.5212818653147906</c:v>
                </c:pt>
                <c:pt idx="240">
                  <c:v>1.409429747066099</c:v>
                </c:pt>
                <c:pt idx="241">
                  <c:v>1.2954266717880216</c:v>
                </c:pt>
                <c:pt idx="242">
                  <c:v>1.1821294894037919</c:v>
                </c:pt>
                <c:pt idx="243">
                  <c:v>1.0695264176523551</c:v>
                </c:pt>
                <c:pt idx="244">
                  <c:v>0.95760593987381526</c:v>
                </c:pt>
                <c:pt idx="245">
                  <c:v>0.84389896163528988</c:v>
                </c:pt>
                <c:pt idx="246">
                  <c:v>0.73088165143724382</c:v>
                </c:pt>
                <c:pt idx="247">
                  <c:v>0.61854252300497592</c:v>
                </c:pt>
                <c:pt idx="248">
                  <c:v>0.50687034896915861</c:v>
                </c:pt>
                <c:pt idx="249">
                  <c:v>0.39315454548278694</c:v>
                </c:pt>
                <c:pt idx="250">
                  <c:v>0.28011557866702219</c:v>
                </c:pt>
                <c:pt idx="251">
                  <c:v>0.16774217811922654</c:v>
                </c:pt>
                <c:pt idx="252">
                  <c:v>5.6023328003334427E-2</c:v>
                </c:pt>
                <c:pt idx="253">
                  <c:v>-5.7395655516302213E-2</c:v>
                </c:pt>
                <c:pt idx="254">
                  <c:v>-0.17015452548127996</c:v>
                </c:pt>
                <c:pt idx="255">
                  <c:v>-0.28226423542000134</c:v>
                </c:pt>
                <c:pt idx="256">
                  <c:v>-0.39373549170815636</c:v>
                </c:pt>
                <c:pt idx="257">
                  <c:v>-0.50744209475786306</c:v>
                </c:pt>
                <c:pt idx="258">
                  <c:v>-0.62049879485152815</c:v>
                </c:pt>
                <c:pt idx="259">
                  <c:v>-0.73291638587073749</c:v>
                </c:pt>
                <c:pt idx="260">
                  <c:v>-0.84470541728001081</c:v>
                </c:pt>
                <c:pt idx="261">
                  <c:v>-0.95839570388844209</c:v>
                </c:pt>
                <c:pt idx="262">
                  <c:v>-1.0714501015519318</c:v>
                </c:pt>
                <c:pt idx="263">
                  <c:v>-1.1838791459184392</c:v>
                </c:pt>
                <c:pt idx="264">
                  <c:v>-1.2956931339540745</c:v>
                </c:pt>
                <c:pt idx="265">
                  <c:v>-1.409366645886962</c:v>
                </c:pt>
                <c:pt idx="266">
                  <c:v>-1.5224184857153773</c:v>
                </c:pt>
                <c:pt idx="267">
                  <c:v>-1.6348589215180027</c:v>
                </c:pt>
                <c:pt idx="268">
                  <c:v>-1.7466979887489344</c:v>
                </c:pt>
                <c:pt idx="269">
                  <c:v>-1.8606253980707947</c:v>
                </c:pt>
                <c:pt idx="270">
                  <c:v>-1.973942622836347</c:v>
                </c:pt>
                <c:pt idx="271">
                  <c:v>-2.0866597265239193</c:v>
                </c:pt>
                <c:pt idx="272">
                  <c:v>-2.1987865441860777</c:v>
                </c:pt>
                <c:pt idx="273">
                  <c:v>-2.3129565620110668</c:v>
                </c:pt>
                <c:pt idx="274">
                  <c:v>-2.4265282678895232</c:v>
                </c:pt>
                <c:pt idx="275">
                  <c:v>-2.5395115067655922</c:v>
                </c:pt>
                <c:pt idx="276">
                  <c:v>-2.6519158998107457</c:v>
                </c:pt>
                <c:pt idx="277">
                  <c:v>-2.7660640477541278</c:v>
                </c:pt>
                <c:pt idx="278">
                  <c:v>-2.8796286642111681</c:v>
                </c:pt>
                <c:pt idx="279">
                  <c:v>-2.992619299867215</c:v>
                </c:pt>
                <c:pt idx="280">
                  <c:v>-3.1050452886116204</c:v>
                </c:pt>
                <c:pt idx="281">
                  <c:v>-3.2199384612424922</c:v>
                </c:pt>
                <c:pt idx="282">
                  <c:v>-3.3342552652928248</c:v>
                </c:pt>
                <c:pt idx="283">
                  <c:v>-3.4480051391165887</c:v>
                </c:pt>
                <c:pt idx="284">
                  <c:v>-3.5611973057838213</c:v>
                </c:pt>
                <c:pt idx="285">
                  <c:v>-3.6760634179626379</c:v>
                </c:pt>
                <c:pt idx="286">
                  <c:v>-3.7903682564551104</c:v>
                </c:pt>
                <c:pt idx="287">
                  <c:v>-3.9041209490784183</c:v>
                </c:pt>
                <c:pt idx="288">
                  <c:v>-4.017330415905775</c:v>
                </c:pt>
                <c:pt idx="289">
                  <c:v>-4.1329123689147309</c:v>
                </c:pt>
                <c:pt idx="290">
                  <c:v>-4.2479410065061813</c:v>
                </c:pt>
                <c:pt idx="291">
                  <c:v>-4.3624253150172763</c:v>
                </c:pt>
                <c:pt idx="292">
                  <c:v>-4.4763740754945616</c:v>
                </c:pt>
                <c:pt idx="293">
                  <c:v>-4.5924107989626179</c:v>
                </c:pt>
                <c:pt idx="294">
                  <c:v>-4.7079048983674738</c:v>
                </c:pt>
                <c:pt idx="295">
                  <c:v>-4.8228651474805986</c:v>
                </c:pt>
                <c:pt idx="296">
                  <c:v>-4.9373001194171593</c:v>
                </c:pt>
                <c:pt idx="297">
                  <c:v>-5.0537853850085526</c:v>
                </c:pt>
                <c:pt idx="298">
                  <c:v>-5.1697388901560259</c:v>
                </c:pt>
                <c:pt idx="299">
                  <c:v>-5.2851691872356525</c:v>
                </c:pt>
                <c:pt idx="300">
                  <c:v>-5.4000846328992225</c:v>
                </c:pt>
                <c:pt idx="301">
                  <c:v>-5.5170148362508371</c:v>
                </c:pt>
                <c:pt idx="302">
                  <c:v>-5.6334242430549182</c:v>
                </c:pt>
                <c:pt idx="303">
                  <c:v>-5.7493211772803363</c:v>
                </c:pt>
                <c:pt idx="304">
                  <c:v>-5.8647137723465903</c:v>
                </c:pt>
                <c:pt idx="305">
                  <c:v>-5.9825380253188314</c:v>
                </c:pt>
                <c:pt idx="306">
                  <c:v>-6.0998485831258336</c:v>
                </c:pt>
                <c:pt idx="307">
                  <c:v>-6.2166536286022449</c:v>
                </c:pt>
                <c:pt idx="308">
                  <c:v>-6.3329611565787332</c:v>
                </c:pt>
                <c:pt idx="309">
                  <c:v>-6.4512143718126538</c:v>
                </c:pt>
                <c:pt idx="310">
                  <c:v>-6.5689651500884167</c:v>
                </c:pt>
                <c:pt idx="311">
                  <c:v>-6.6862214293036857</c:v>
                </c:pt>
                <c:pt idx="312">
                  <c:v>-6.8029909650876164</c:v>
                </c:pt>
                <c:pt idx="313">
                  <c:v>-6.9221117632129676</c:v>
                </c:pt>
                <c:pt idx="314">
                  <c:v>-7.0407376960341708</c:v>
                </c:pt>
                <c:pt idx="315">
                  <c:v>-7.1588765386605928</c:v>
                </c:pt>
                <c:pt idx="316">
                  <c:v>-7.2765358871863555</c:v>
                </c:pt>
                <c:pt idx="317">
                  <c:v>-7.3965076432370154</c:v>
                </c:pt>
                <c:pt idx="318">
                  <c:v>-7.5159923607756411</c:v>
                </c:pt>
                <c:pt idx="319">
                  <c:v>-7.6349976407114184</c:v>
                </c:pt>
                <c:pt idx="320">
                  <c:v>-7.753530908562027</c:v>
                </c:pt>
                <c:pt idx="321">
                  <c:v>-7.8743397260950019</c:v>
                </c:pt>
                <c:pt idx="322">
                  <c:v>-7.9946695115563955</c:v>
                </c:pt>
                <c:pt idx="323">
                  <c:v>-8.1145276820781191</c:v>
                </c:pt>
                <c:pt idx="324">
                  <c:v>-8.2339214833390031</c:v>
                </c:pt>
                <c:pt idx="325">
                  <c:v>-8.3555558368475999</c:v>
                </c:pt>
                <c:pt idx="326">
                  <c:v>-8.4767192750013578</c:v>
                </c:pt>
                <c:pt idx="327">
                  <c:v>-8.5974190232889498</c:v>
                </c:pt>
                <c:pt idx="328">
                  <c:v>-8.7176621399488567</c:v>
                </c:pt>
                <c:pt idx="329">
                  <c:v>-8.840316916585607</c:v>
                </c:pt>
                <c:pt idx="330">
                  <c:v>-8.9625074043933068</c:v>
                </c:pt>
                <c:pt idx="331">
                  <c:v>-9.0842406658366883</c:v>
                </c:pt>
                <c:pt idx="332">
                  <c:v>-9.2055235994752422</c:v>
                </c:pt>
                <c:pt idx="333">
                  <c:v>-9.3289806327711631</c:v>
                </c:pt>
                <c:pt idx="334">
                  <c:v>-9.4519816345719505</c:v>
                </c:pt>
                <c:pt idx="335">
                  <c:v>-9.5745334618144966</c:v>
                </c:pt>
                <c:pt idx="336">
                  <c:v>-9.6966428122081538</c:v>
                </c:pt>
                <c:pt idx="337">
                  <c:v>-9.8212930015097584</c:v>
                </c:pt>
                <c:pt idx="338">
                  <c:v>-9.9454924974092478</c:v>
                </c:pt>
                <c:pt idx="339">
                  <c:v>-10.069248011264705</c:v>
                </c:pt>
                <c:pt idx="340">
                  <c:v>-10.192566098054357</c:v>
                </c:pt>
                <c:pt idx="341">
                  <c:v>-10.318387815528382</c:v>
                </c:pt>
                <c:pt idx="342">
                  <c:v>-10.443764351749394</c:v>
                </c:pt>
                <c:pt idx="343">
                  <c:v>-10.568702262294977</c:v>
                </c:pt>
                <c:pt idx="344">
                  <c:v>-10.693207949543506</c:v>
                </c:pt>
                <c:pt idx="345">
                  <c:v>-10.819988755559336</c:v>
                </c:pt>
                <c:pt idx="346">
                  <c:v>-10.946331326187959</c:v>
                </c:pt>
                <c:pt idx="347">
                  <c:v>-11.072242023867318</c:v>
                </c:pt>
                <c:pt idx="348">
                  <c:v>-11.197727062196634</c:v>
                </c:pt>
                <c:pt idx="349">
                  <c:v>-11.325837695429612</c:v>
                </c:pt>
                <c:pt idx="350">
                  <c:v>-11.453514391330344</c:v>
                </c:pt>
                <c:pt idx="351">
                  <c:v>-11.580763370637897</c:v>
                </c:pt>
                <c:pt idx="352">
                  <c:v>-11.707590708037429</c:v>
                </c:pt>
                <c:pt idx="353">
                  <c:v>-11.837007118142054</c:v>
                </c:pt>
                <c:pt idx="354">
                  <c:v>-11.965994004195721</c:v>
                </c:pt>
                <c:pt idx="355">
                  <c:v>-12.094557436028964</c:v>
                </c:pt>
                <c:pt idx="356">
                  <c:v>-12.222703340503841</c:v>
                </c:pt>
                <c:pt idx="357">
                  <c:v>-12.353217863812631</c:v>
                </c:pt>
                <c:pt idx="358">
                  <c:v>-12.483308527040577</c:v>
                </c:pt>
                <c:pt idx="359">
                  <c:v>-12.612981216575605</c:v>
                </c:pt>
                <c:pt idx="360">
                  <c:v>-12.742241679963769</c:v>
                </c:pt>
                <c:pt idx="361">
                  <c:v>-12.874206494344264</c:v>
                </c:pt>
                <c:pt idx="362">
                  <c:v>-13.005750678635792</c:v>
                </c:pt>
                <c:pt idx="363">
                  <c:v>-13.136879980017198</c:v>
                </c:pt>
                <c:pt idx="364">
                  <c:v>-13.267600009587966</c:v>
                </c:pt>
                <c:pt idx="365">
                  <c:v>-13.400807617522474</c:v>
                </c:pt>
                <c:pt idx="366">
                  <c:v>-13.53359899991321</c:v>
                </c:pt>
                <c:pt idx="367">
                  <c:v>-13.665979734158896</c:v>
                </c:pt>
                <c:pt idx="368">
                  <c:v>-13.797955265326095</c:v>
                </c:pt>
                <c:pt idx="369">
                  <c:v>-13.93274382716254</c:v>
                </c:pt>
                <c:pt idx="370">
                  <c:v>-14.067118283311004</c:v>
                </c:pt>
                <c:pt idx="371">
                  <c:v>-14.201084080422106</c:v>
                </c:pt>
                <c:pt idx="372">
                  <c:v>-14.334646535351993</c:v>
                </c:pt>
                <c:pt idx="373">
                  <c:v>-14.470808667039819</c:v>
                </c:pt>
                <c:pt idx="374">
                  <c:v>-14.606559908083995</c:v>
                </c:pt>
                <c:pt idx="375">
                  <c:v>-14.741905545847317</c:v>
                </c:pt>
                <c:pt idx="376">
                  <c:v>-14.87685074136391</c:v>
                </c:pt>
                <c:pt idx="377">
                  <c:v>-15.014711336629603</c:v>
                </c:pt>
                <c:pt idx="378">
                  <c:v>-15.152162089442754</c:v>
                </c:pt>
                <c:pt idx="379">
                  <c:v>-15.289208162444368</c:v>
                </c:pt>
                <c:pt idx="380">
                  <c:v>-15.425854594338745</c:v>
                </c:pt>
                <c:pt idx="381">
                  <c:v>-15.565033999609938</c:v>
                </c:pt>
                <c:pt idx="382">
                  <c:v>-15.703806627551529</c:v>
                </c:pt>
                <c:pt idx="383">
                  <c:v>-15.842177471260726</c:v>
                </c:pt>
                <c:pt idx="384">
                  <c:v>-15.980151403747584</c:v>
                </c:pt>
                <c:pt idx="385">
                  <c:v>-16.121137951041362</c:v>
                </c:pt>
                <c:pt idx="386">
                  <c:v>-16.261717659877775</c:v>
                </c:pt>
                <c:pt idx="387">
                  <c:v>-16.401895404344572</c:v>
                </c:pt>
                <c:pt idx="388">
                  <c:v>-16.541675940705545</c:v>
                </c:pt>
                <c:pt idx="389">
                  <c:v>-16.684261717612628</c:v>
                </c:pt>
                <c:pt idx="390">
                  <c:v>-16.826441531338247</c:v>
                </c:pt>
                <c:pt idx="391">
                  <c:v>-16.968220112568929</c:v>
                </c:pt>
                <c:pt idx="392">
                  <c:v>-17.109602077246223</c:v>
                </c:pt>
                <c:pt idx="393">
                  <c:v>-17.253753900842469</c:v>
                </c:pt>
                <c:pt idx="394">
                  <c:v>-17.397500499514649</c:v>
                </c:pt>
                <c:pt idx="395">
                  <c:v>-17.540846456353961</c:v>
                </c:pt>
                <c:pt idx="396">
                  <c:v>-17.68379624296</c:v>
                </c:pt>
                <c:pt idx="397">
                  <c:v>-17.829810332270142</c:v>
                </c:pt>
                <c:pt idx="398">
                  <c:v>-17.975417933721616</c:v>
                </c:pt>
                <c:pt idx="399">
                  <c:v>-18.120623509544288</c:v>
                </c:pt>
                <c:pt idx="400">
                  <c:v>-18.265431412903069</c:v>
                </c:pt>
                <c:pt idx="401">
                  <c:v>-18.413101303305865</c:v>
                </c:pt>
                <c:pt idx="402">
                  <c:v>-18.560364236046411</c:v>
                </c:pt>
                <c:pt idx="403">
                  <c:v>-18.707224532266764</c:v>
                </c:pt>
                <c:pt idx="404">
                  <c:v>-18.853686407171892</c:v>
                </c:pt>
                <c:pt idx="405">
                  <c:v>-19.003135001725497</c:v>
                </c:pt>
                <c:pt idx="406">
                  <c:v>-19.152175092656222</c:v>
                </c:pt>
                <c:pt idx="407">
                  <c:v>-19.300810870555296</c:v>
                </c:pt>
                <c:pt idx="408">
                  <c:v>-19.449046422912119</c:v>
                </c:pt>
                <c:pt idx="409">
                  <c:v>-19.60038954789735</c:v>
                </c:pt>
                <c:pt idx="410">
                  <c:v>-19.751321576373442</c:v>
                </c:pt>
                <c:pt idx="411">
                  <c:v>-19.901846577404683</c:v>
                </c:pt>
                <c:pt idx="412">
                  <c:v>-20.051968519548154</c:v>
                </c:pt>
                <c:pt idx="413">
                  <c:v>-20.205157487260323</c:v>
                </c:pt>
                <c:pt idx="414">
                  <c:v>-20.357932587912529</c:v>
                </c:pt>
                <c:pt idx="415">
                  <c:v>-20.510297764732286</c:v>
                </c:pt>
                <c:pt idx="416">
                  <c:v>-20.662256863234973</c:v>
                </c:pt>
                <c:pt idx="417">
                  <c:v>-20.817398699604695</c:v>
                </c:pt>
                <c:pt idx="418">
                  <c:v>-20.972122846126297</c:v>
                </c:pt>
                <c:pt idx="419">
                  <c:v>-21.12643312845762</c:v>
                </c:pt>
                <c:pt idx="420">
                  <c:v>-21.280333277132797</c:v>
                </c:pt>
                <c:pt idx="421">
                  <c:v>-21.437219603439218</c:v>
                </c:pt>
                <c:pt idx="422">
                  <c:v>-21.593685029607428</c:v>
                </c:pt>
                <c:pt idx="423">
                  <c:v>-21.749733249330262</c:v>
                </c:pt>
                <c:pt idx="424">
                  <c:v>-21.905367864317242</c:v>
                </c:pt>
                <c:pt idx="425">
                  <c:v>-22.064406747833971</c:v>
                </c:pt>
                <c:pt idx="426">
                  <c:v>-22.223018792641255</c:v>
                </c:pt>
                <c:pt idx="427">
                  <c:v>-22.381207590139809</c:v>
                </c:pt>
                <c:pt idx="428">
                  <c:v>-22.538976641987261</c:v>
                </c:pt>
                <c:pt idx="429">
                  <c:v>-22.699952208023177</c:v>
                </c:pt>
                <c:pt idx="430">
                  <c:v>-22.86049558940789</c:v>
                </c:pt>
                <c:pt idx="431">
                  <c:v>-23.020610261305933</c:v>
                </c:pt>
                <c:pt idx="432">
                  <c:v>-23.180299611928831</c:v>
                </c:pt>
                <c:pt idx="433">
                  <c:v>-23.343151231069186</c:v>
                </c:pt>
                <c:pt idx="434">
                  <c:v>-23.505565041624578</c:v>
                </c:pt>
                <c:pt idx="435">
                  <c:v>-23.667544400879279</c:v>
                </c:pt>
                <c:pt idx="436">
                  <c:v>-23.829092582113105</c:v>
                </c:pt>
                <c:pt idx="437">
                  <c:v>-23.994054335046741</c:v>
                </c:pt>
                <c:pt idx="438">
                  <c:v>-24.158570761276252</c:v>
                </c:pt>
                <c:pt idx="439">
                  <c:v>-24.322645116917784</c:v>
                </c:pt>
                <c:pt idx="440">
                  <c:v>-24.486280576586978</c:v>
                </c:pt>
                <c:pt idx="441">
                  <c:v>-24.653280613379053</c:v>
                </c:pt>
                <c:pt idx="442">
                  <c:v>-24.819827522505165</c:v>
                </c:pt>
                <c:pt idx="443">
                  <c:v>-24.985924456908862</c:v>
                </c:pt>
                <c:pt idx="444">
                  <c:v>-25.15157449072359</c:v>
                </c:pt>
                <c:pt idx="445">
                  <c:v>-25.320540028859227</c:v>
                </c:pt>
                <c:pt idx="446">
                  <c:v>-25.489044330296196</c:v>
                </c:pt>
                <c:pt idx="447">
                  <c:v>-25.657090443975591</c:v>
                </c:pt>
                <c:pt idx="448">
                  <c:v>-25.824681342881973</c:v>
                </c:pt>
                <c:pt idx="449">
                  <c:v>-25.995824573819476</c:v>
                </c:pt>
                <c:pt idx="450">
                  <c:v>-26.16649655951025</c:v>
                </c:pt>
                <c:pt idx="451">
                  <c:v>-26.336700259828064</c:v>
                </c:pt>
                <c:pt idx="452">
                  <c:v>-26.506438561195637</c:v>
                </c:pt>
                <c:pt idx="453">
                  <c:v>-26.679533596167943</c:v>
                </c:pt>
                <c:pt idx="454">
                  <c:v>-26.852147843734201</c:v>
                </c:pt>
                <c:pt idx="455">
                  <c:v>-27.024284167038587</c:v>
                </c:pt>
                <c:pt idx="456">
                  <c:v>-27.195945358690125</c:v>
                </c:pt>
                <c:pt idx="457">
                  <c:v>-27.371191008049323</c:v>
                </c:pt>
                <c:pt idx="458">
                  <c:v>-27.545944413029275</c:v>
                </c:pt>
                <c:pt idx="459">
                  <c:v>-27.720208354634451</c:v>
                </c:pt>
                <c:pt idx="460">
                  <c:v>-27.893985545943764</c:v>
                </c:pt>
                <c:pt idx="461">
                  <c:v>-28.071290099831231</c:v>
                </c:pt>
                <c:pt idx="462">
                  <c:v>-28.248090612863848</c:v>
                </c:pt>
                <c:pt idx="463">
                  <c:v>-28.42438978456849</c:v>
                </c:pt>
                <c:pt idx="464">
                  <c:v>-28.600190249322651</c:v>
                </c:pt>
                <c:pt idx="465">
                  <c:v>-28.779597343788367</c:v>
                </c:pt>
                <c:pt idx="466">
                  <c:v>-28.958487463938582</c:v>
                </c:pt>
                <c:pt idx="467">
                  <c:v>-29.136863235580535</c:v>
                </c:pt>
                <c:pt idx="468">
                  <c:v>-29.314727222097673</c:v>
                </c:pt>
                <c:pt idx="469">
                  <c:v>-29.496137539060015</c:v>
                </c:pt>
                <c:pt idx="470">
                  <c:v>-29.67701759661648</c:v>
                </c:pt>
                <c:pt idx="471">
                  <c:v>-29.857369948996848</c:v>
                </c:pt>
                <c:pt idx="472">
                  <c:v>-30.037197090877584</c:v>
                </c:pt>
                <c:pt idx="473">
                  <c:v>-30.220776983397855</c:v>
                </c:pt>
                <c:pt idx="474">
                  <c:v>-30.403811391559259</c:v>
                </c:pt>
                <c:pt idx="475">
                  <c:v>-30.586302812050292</c:v>
                </c:pt>
                <c:pt idx="476">
                  <c:v>-30.768253684668792</c:v>
                </c:pt>
                <c:pt idx="477">
                  <c:v>-30.953891191060904</c:v>
                </c:pt>
                <c:pt idx="478">
                  <c:v>-31.138967635909466</c:v>
                </c:pt>
                <c:pt idx="479">
                  <c:v>-31.323485461380358</c:v>
                </c:pt>
                <c:pt idx="480">
                  <c:v>-31.507447055559311</c:v>
                </c:pt>
                <c:pt idx="481">
                  <c:v>-31.695028548812786</c:v>
                </c:pt>
                <c:pt idx="482">
                  <c:v>-31.882033054855327</c:v>
                </c:pt>
                <c:pt idx="483">
                  <c:v>-32.068462965506484</c:v>
                </c:pt>
                <c:pt idx="484">
                  <c:v>-32.254320621438069</c:v>
                </c:pt>
                <c:pt idx="485">
                  <c:v>-32.443859636459422</c:v>
                </c:pt>
                <c:pt idx="486">
                  <c:v>-32.632804592442085</c:v>
                </c:pt>
                <c:pt idx="487">
                  <c:v>-32.821157840862867</c:v>
                </c:pt>
                <c:pt idx="488">
                  <c:v>-33.008921684950309</c:v>
                </c:pt>
                <c:pt idx="489">
                  <c:v>-33.20055086026602</c:v>
                </c:pt>
                <c:pt idx="490">
                  <c:v>-33.391566949465755</c:v>
                </c:pt>
                <c:pt idx="491">
                  <c:v>-33.581972278640478</c:v>
                </c:pt>
                <c:pt idx="492">
                  <c:v>-33.771769128385785</c:v>
                </c:pt>
                <c:pt idx="493">
                  <c:v>-33.965355242007689</c:v>
                </c:pt>
                <c:pt idx="494">
                  <c:v>-34.158308919506567</c:v>
                </c:pt>
                <c:pt idx="495">
                  <c:v>-34.350632467562832</c:v>
                </c:pt>
                <c:pt idx="496">
                  <c:v>-34.542328150229139</c:v>
                </c:pt>
                <c:pt idx="497">
                  <c:v>-34.73786019430645</c:v>
                </c:pt>
                <c:pt idx="498">
                  <c:v>-34.932739323882856</c:v>
                </c:pt>
                <c:pt idx="499">
                  <c:v>-35.126967837630701</c:v>
                </c:pt>
                <c:pt idx="500">
                  <c:v>-35.320547994445121</c:v>
                </c:pt>
                <c:pt idx="501">
                  <c:v>-35.518006683259415</c:v>
                </c:pt>
                <c:pt idx="502">
                  <c:v>-35.714790862189773</c:v>
                </c:pt>
                <c:pt idx="503">
                  <c:v>-35.910902833913354</c:v>
                </c:pt>
                <c:pt idx="504">
                  <c:v>-36.10634486416879</c:v>
                </c:pt>
                <c:pt idx="505">
                  <c:v>-36.305581988351292</c:v>
                </c:pt>
                <c:pt idx="506">
                  <c:v>-36.504122748492421</c:v>
                </c:pt>
                <c:pt idx="507">
                  <c:v>-36.701969459783015</c:v>
                </c:pt>
                <c:pt idx="508">
                  <c:v>-36.89912440338037</c:v>
                </c:pt>
                <c:pt idx="509">
                  <c:v>-37.100109119886042</c:v>
                </c:pt>
                <c:pt idx="510">
                  <c:v>-37.300374545986301</c:v>
                </c:pt>
                <c:pt idx="511">
                  <c:v>-37.499923022975423</c:v>
                </c:pt>
                <c:pt idx="512">
                  <c:v>-37.698756860978762</c:v>
                </c:pt>
                <c:pt idx="513">
                  <c:v>-37.901567318049871</c:v>
                </c:pt>
                <c:pt idx="514">
                  <c:v>-38.103633650371478</c:v>
                </c:pt>
                <c:pt idx="515">
                  <c:v>-38.304958243729544</c:v>
                </c:pt>
                <c:pt idx="516">
                  <c:v>-38.505543455500373</c:v>
                </c:pt>
                <c:pt idx="517">
                  <c:v>-38.710011694638041</c:v>
                </c:pt>
                <c:pt idx="518">
                  <c:v>-38.91371081250125</c:v>
                </c:pt>
                <c:pt idx="519">
                  <c:v>-39.116643250189128</c:v>
                </c:pt>
                <c:pt idx="520">
                  <c:v>-39.318811423172889</c:v>
                </c:pt>
                <c:pt idx="521">
                  <c:v>-39.524881961959778</c:v>
                </c:pt>
                <c:pt idx="522">
                  <c:v>-39.730157397414786</c:v>
                </c:pt>
                <c:pt idx="523">
                  <c:v>-39.934640241729682</c:v>
                </c:pt>
                <c:pt idx="524">
                  <c:v>-40.138332984192971</c:v>
                </c:pt>
                <c:pt idx="525">
                  <c:v>-40.345942254707836</c:v>
                </c:pt>
                <c:pt idx="526">
                  <c:v>-40.552729493400761</c:v>
                </c:pt>
                <c:pt idx="527">
                  <c:v>-40.758697300099357</c:v>
                </c:pt>
                <c:pt idx="528">
                  <c:v>-40.963848254378121</c:v>
                </c:pt>
                <c:pt idx="529">
                  <c:v>-41.172924700468258</c:v>
                </c:pt>
                <c:pt idx="530">
                  <c:v>-41.381151284498941</c:v>
                </c:pt>
                <c:pt idx="531">
                  <c:v>-41.588530711235165</c:v>
                </c:pt>
                <c:pt idx="532">
                  <c:v>-41.79506566775575</c:v>
                </c:pt>
                <c:pt idx="533">
                  <c:v>-42.005638297584909</c:v>
                </c:pt>
                <c:pt idx="534">
                  <c:v>-42.215331478017731</c:v>
                </c:pt>
                <c:pt idx="535">
                  <c:v>-42.424148041180814</c:v>
                </c:pt>
                <c:pt idx="536">
                  <c:v>-42.632090803945687</c:v>
                </c:pt>
                <c:pt idx="537">
                  <c:v>-42.843853798484474</c:v>
                </c:pt>
                <c:pt idx="538">
                  <c:v>-43.054708779463851</c:v>
                </c:pt>
                <c:pt idx="539">
                  <c:v>-43.26465871638166</c:v>
                </c:pt>
                <c:pt idx="540">
                  <c:v>-43.473706565852183</c:v>
                </c:pt>
                <c:pt idx="541">
                  <c:v>-43.686780300672609</c:v>
                </c:pt>
                <c:pt idx="542">
                  <c:v>-43.898914890313705</c:v>
                </c:pt>
                <c:pt idx="543">
                  <c:v>-44.110113470130386</c:v>
                </c:pt>
                <c:pt idx="544">
                  <c:v>-44.320379164769321</c:v>
                </c:pt>
                <c:pt idx="545">
                  <c:v>-44.53455317817793</c:v>
                </c:pt>
                <c:pt idx="546">
                  <c:v>-44.747757173733191</c:v>
                </c:pt>
                <c:pt idx="547">
                  <c:v>-44.959994468247004</c:v>
                </c:pt>
                <c:pt idx="548">
                  <c:v>-45.171268369859547</c:v>
                </c:pt>
                <c:pt idx="549">
                  <c:v>-45.386433596036539</c:v>
                </c:pt>
                <c:pt idx="550">
                  <c:v>-45.600597345177249</c:v>
                </c:pt>
                <c:pt idx="551">
                  <c:v>-45.813763136222775</c:v>
                </c:pt>
                <c:pt idx="552">
                  <c:v>-46.025934481283912</c:v>
                </c:pt>
                <c:pt idx="553">
                  <c:v>-46.242074266625252</c:v>
                </c:pt>
                <c:pt idx="554">
                  <c:v>-46.457179661349358</c:v>
                </c:pt>
                <c:pt idx="555">
                  <c:v>-46.671254412831246</c:v>
                </c:pt>
                <c:pt idx="556">
                  <c:v>-46.884302263229273</c:v>
                </c:pt>
                <c:pt idx="557">
                  <c:v>-47.31720720235819</c:v>
                </c:pt>
                <c:pt idx="558">
                  <c:v>-47.745857209981153</c:v>
                </c:pt>
                <c:pt idx="559">
                  <c:v>-48.17996340812266</c:v>
                </c:pt>
                <c:pt idx="560">
                  <c:v>-48.609684931556473</c:v>
                </c:pt>
                <c:pt idx="561">
                  <c:v>-49.045095591600102</c:v>
                </c:pt>
                <c:pt idx="562">
                  <c:v>-49.475983304846977</c:v>
                </c:pt>
                <c:pt idx="563">
                  <c:v>-49.91148591315303</c:v>
                </c:pt>
                <c:pt idx="564">
                  <c:v>-50.34234633319673</c:v>
                </c:pt>
                <c:pt idx="565">
                  <c:v>-50.77929024328219</c:v>
                </c:pt>
                <c:pt idx="566">
                  <c:v>-51.211437629667955</c:v>
                </c:pt>
                <c:pt idx="567">
                  <c:v>-51.649280425102887</c:v>
                </c:pt>
                <c:pt idx="568">
                  <c:v>-52.082176756939518</c:v>
                </c:pt>
                <c:pt idx="569">
                  <c:v>-52.518681761558668</c:v>
                </c:pt>
                <c:pt idx="570">
                  <c:v>-52.950134852866128</c:v>
                </c:pt>
                <c:pt idx="571">
                  <c:v>-53.388219955757279</c:v>
                </c:pt>
                <c:pt idx="572">
                  <c:v>-53.821073820441512</c:v>
                </c:pt>
                <c:pt idx="573">
                  <c:v>-54.256859664533394</c:v>
                </c:pt>
                <c:pt idx="574">
                  <c:v>-54.687320675787404</c:v>
                </c:pt>
                <c:pt idx="575">
                  <c:v>-55.12358814496568</c:v>
                </c:pt>
                <c:pt idx="576">
                  <c:v>-55.554363848209775</c:v>
                </c:pt>
                <c:pt idx="577">
                  <c:v>-57.318590993543367</c:v>
                </c:pt>
                <c:pt idx="578">
                  <c:v>-58.98984499897476</c:v>
                </c:pt>
                <c:pt idx="579">
                  <c:v>-62.348208213934413</c:v>
                </c:pt>
                <c:pt idx="580">
                  <c:v>-65.596606187541923</c:v>
                </c:pt>
                <c:pt idx="581">
                  <c:v>-68.693656354535577</c:v>
                </c:pt>
                <c:pt idx="582">
                  <c:v>-71.608344232434192</c:v>
                </c:pt>
                <c:pt idx="583">
                  <c:v>-74.310829256146008</c:v>
                </c:pt>
                <c:pt idx="584">
                  <c:v>-76.782082736405485</c:v>
                </c:pt>
                <c:pt idx="585">
                  <c:v>-79.007090574420303</c:v>
                </c:pt>
                <c:pt idx="586">
                  <c:v>-80.980597089427121</c:v>
                </c:pt>
                <c:pt idx="587">
                  <c:v>-82.70543892719212</c:v>
                </c:pt>
                <c:pt idx="588">
                  <c:v>-84.188760068931359</c:v>
                </c:pt>
                <c:pt idx="589">
                  <c:v>-85.446279634646871</c:v>
                </c:pt>
                <c:pt idx="590">
                  <c:v>-86.496146845710172</c:v>
                </c:pt>
                <c:pt idx="591">
                  <c:v>-87.359907671835302</c:v>
                </c:pt>
                <c:pt idx="592">
                  <c:v>-88.06018763630837</c:v>
                </c:pt>
                <c:pt idx="593">
                  <c:v>-88.619919815177113</c:v>
                </c:pt>
                <c:pt idx="594">
                  <c:v>-89.060697692972226</c:v>
                </c:pt>
                <c:pt idx="595">
                  <c:v>-89.402682250130425</c:v>
                </c:pt>
                <c:pt idx="596">
                  <c:v>-89.663756019841784</c:v>
                </c:pt>
                <c:pt idx="597">
                  <c:v>-89.859617684633037</c:v>
                </c:pt>
                <c:pt idx="598">
                  <c:v>-90.003545592126073</c:v>
                </c:pt>
                <c:pt idx="599">
                  <c:v>-90.106711142487541</c:v>
                </c:pt>
                <c:pt idx="600">
                  <c:v>-90.178238158261721</c:v>
                </c:pt>
                <c:pt idx="604">
                  <c:v>0.39315454548278694</c:v>
                </c:pt>
              </c:numCache>
            </c:numRef>
          </c:yVal>
          <c:smooth val="0"/>
          <c:extLst>
            <c:ext xmlns:c16="http://schemas.microsoft.com/office/drawing/2014/chart" uri="{C3380CC4-5D6E-409C-BE32-E72D297353CC}">
              <c16:uniqueId val="{0000000D-DCB9-497D-B84D-5596E75D8DAE}"/>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DCB9-497D-B84D-5596E75D8DAE}"/>
              </c:ext>
            </c:extLst>
          </c:dPt>
          <c:xVal>
            <c:numRef>
              <c:f>'Stability Calculations'!$B$617:$B$618</c:f>
              <c:numCache>
                <c:formatCode>General</c:formatCode>
                <c:ptCount val="2"/>
                <c:pt idx="0">
                  <c:v>16312.5</c:v>
                </c:pt>
                <c:pt idx="1">
                  <c:v>16312.5</c:v>
                </c:pt>
              </c:numCache>
            </c:numRef>
          </c:xVal>
          <c:yVal>
            <c:numRef>
              <c:f>'Stability Calculations'!$AI$617:$AI$618</c:f>
              <c:numCache>
                <c:formatCode>0.00</c:formatCode>
                <c:ptCount val="2"/>
                <c:pt idx="0">
                  <c:v>0.39315454548278694</c:v>
                </c:pt>
                <c:pt idx="1">
                  <c:v>0</c:v>
                </c:pt>
              </c:numCache>
            </c:numRef>
          </c:yVal>
          <c:smooth val="0"/>
          <c:extLst>
            <c:ext xmlns:c16="http://schemas.microsoft.com/office/drawing/2014/chart" uri="{C3380CC4-5D6E-409C-BE32-E72D297353CC}">
              <c16:uniqueId val="{0000000F-DCB9-497D-B84D-5596E75D8DAE}"/>
            </c:ext>
          </c:extLst>
        </c:ser>
        <c:ser>
          <c:idx val="0"/>
          <c:order val="8"/>
          <c:tx>
            <c:v>Fc2</c:v>
          </c:tx>
          <c:spPr>
            <a:ln w="22225">
              <a:solidFill>
                <a:schemeClr val="tx1">
                  <a:lumMod val="50000"/>
                  <a:lumOff val="50000"/>
                </a:schemeClr>
              </a:solidFill>
              <a:prstDash val="sysDash"/>
            </a:ln>
          </c:spPr>
          <c:marker>
            <c:symbol val="none"/>
          </c:marker>
          <c:dLbls>
            <c:dLbl>
              <c:idx val="1"/>
              <c:layout>
                <c:manualLayout>
                  <c:x val="-5.4702293288449298E-2"/>
                  <c:y val="-1.88634230614630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DCB9-497D-B84D-5596E75D8DAE}"/>
                </c:ext>
              </c:extLst>
            </c:dLbl>
            <c:spPr>
              <a:solidFill>
                <a:schemeClr val="lt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'Stability Calculations'!$B$619:$B$620</c:f>
              <c:numCache>
                <c:formatCode>General</c:formatCode>
                <c:ptCount val="2"/>
                <c:pt idx="0">
                  <c:v>16312.5</c:v>
                </c:pt>
                <c:pt idx="1">
                  <c:v>1000000</c:v>
                </c:pt>
              </c:numCache>
            </c:numRef>
          </c:xVal>
          <c:yVal>
            <c:numRef>
              <c:f>'Stability Calculations'!$AI$619:$AI$620</c:f>
              <c:numCache>
                <c:formatCode>0.00</c:formatCode>
                <c:ptCount val="2"/>
                <c:pt idx="0">
                  <c:v>0.39315454548278694</c:v>
                </c:pt>
                <c:pt idx="1">
                  <c:v>0.39315454548278694</c:v>
                </c:pt>
              </c:numCache>
            </c:numRef>
          </c:yVal>
          <c:smooth val="0"/>
          <c:extLst>
            <c:ext xmlns:c16="http://schemas.microsoft.com/office/drawing/2014/chart" uri="{C3380CC4-5D6E-409C-BE32-E72D297353CC}">
              <c16:uniqueId val="{00000011-DCB9-497D-B84D-5596E75D8DAE}"/>
            </c:ext>
          </c:extLst>
        </c:ser>
        <c:dLbls>
          <c:showLegendKey val="0"/>
          <c:showVal val="0"/>
          <c:showCatName val="0"/>
          <c:showSerName val="0"/>
          <c:showPercent val="0"/>
          <c:showBubbleSize val="0"/>
        </c:dLbls>
        <c:axId val="196142976"/>
        <c:axId val="196144512"/>
      </c:scatterChart>
      <c:valAx>
        <c:axId val="196130688"/>
        <c:scaling>
          <c:logBase val="10"/>
          <c:orientation val="minMax"/>
          <c:max val="1000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96141056"/>
        <c:crossesAt val="-80"/>
        <c:crossBetween val="midCat"/>
      </c:valAx>
      <c:valAx>
        <c:axId val="196141056"/>
        <c:scaling>
          <c:orientation val="minMax"/>
          <c:max val="80"/>
          <c:min val="-8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130688"/>
        <c:crossesAt val="1.0000000000000005E-2"/>
        <c:crossBetween val="midCat"/>
        <c:majorUnit val="20"/>
      </c:valAx>
      <c:valAx>
        <c:axId val="196142976"/>
        <c:scaling>
          <c:logBase val="10"/>
          <c:orientation val="minMax"/>
        </c:scaling>
        <c:delete val="1"/>
        <c:axPos val="b"/>
        <c:numFmt formatCode="General" sourceLinked="1"/>
        <c:majorTickMark val="out"/>
        <c:minorTickMark val="none"/>
        <c:tickLblPos val="none"/>
        <c:crossAx val="196144512"/>
        <c:crosses val="autoZero"/>
        <c:crossBetween val="midCat"/>
      </c:valAx>
      <c:valAx>
        <c:axId val="196144512"/>
        <c:scaling>
          <c:orientation val="minMax"/>
          <c:max val="18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 Phase</a:t>
                </a:r>
                <a:r>
                  <a:rPr lang="en-US" sz="1200" b="1" baseline="0">
                    <a:solidFill>
                      <a:srgbClr val="002060"/>
                    </a:solidFill>
                    <a:latin typeface="Arial" pitchFamily="34" charset="0"/>
                    <a:cs typeface="Arial" pitchFamily="34" charset="0"/>
                  </a:rPr>
                  <a:t> Margin</a:t>
                </a:r>
                <a:r>
                  <a:rPr lang="en-US" sz="1200" b="1">
                    <a:solidFill>
                      <a:srgbClr val="002060"/>
                    </a:solidFill>
                    <a:latin typeface="Arial" pitchFamily="34" charset="0"/>
                    <a:cs typeface="Arial" pitchFamily="34" charset="0"/>
                  </a:rPr>
                  <a:t>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96142976"/>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I Limit 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3275042965703677E-2"/>
          <c:y val="2.0629983389669971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smoothMarker"/>
        <c:varyColors val="0"/>
        <c:ser>
          <c:idx val="2"/>
          <c:order val="0"/>
          <c:tx>
            <c:v>Loop Gain</c:v>
          </c:tx>
          <c:spPr>
            <a:ln w="31750">
              <a:solidFill>
                <a:srgbClr val="FF0000"/>
              </a:solidFill>
              <a:prstDash val="solid"/>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Calculations'!$AW$13:$AW$613</c:f>
              <c:numCache>
                <c:formatCode>0.0000</c:formatCode>
                <c:ptCount val="601"/>
                <c:pt idx="0">
                  <c:v>106.45210602491116</c:v>
                </c:pt>
                <c:pt idx="1">
                  <c:v>111.68736469873132</c:v>
                </c:pt>
                <c:pt idx="2">
                  <c:v>110.89860044820159</c:v>
                </c:pt>
                <c:pt idx="3">
                  <c:v>110.10674473479222</c:v>
                </c:pt>
                <c:pt idx="4">
                  <c:v>109.31255793017328</c:v>
                </c:pt>
                <c:pt idx="5">
                  <c:v>108.51487254737398</c:v>
                </c:pt>
                <c:pt idx="6">
                  <c:v>107.71489483473263</c:v>
                </c:pt>
                <c:pt idx="7">
                  <c:v>106.91209788714158</c:v>
                </c:pt>
                <c:pt idx="8">
                  <c:v>106.10699331944926</c:v>
                </c:pt>
                <c:pt idx="9">
                  <c:v>105.29882453077539</c:v>
                </c:pt>
                <c:pt idx="10">
                  <c:v>104.48783518535765</c:v>
                </c:pt>
                <c:pt idx="11">
                  <c:v>103.67361725053144</c:v>
                </c:pt>
                <c:pt idx="12">
                  <c:v>102.85537069794066</c:v>
                </c:pt>
                <c:pt idx="13">
                  <c:v>102.03344294051251</c:v>
                </c:pt>
                <c:pt idx="14">
                  <c:v>101.20667226924763</c:v>
                </c:pt>
                <c:pt idx="15">
                  <c:v>100.37480831379412</c:v>
                </c:pt>
                <c:pt idx="16">
                  <c:v>99.537170836896649</c:v>
                </c:pt>
                <c:pt idx="17">
                  <c:v>98.693239887412133</c:v>
                </c:pt>
                <c:pt idx="18">
                  <c:v>97.842132273224038</c:v>
                </c:pt>
                <c:pt idx="19">
                  <c:v>96.983479645797829</c:v>
                </c:pt>
                <c:pt idx="20">
                  <c:v>96.116604707866003</c:v>
                </c:pt>
                <c:pt idx="21">
                  <c:v>95.241326406146385</c:v>
                </c:pt>
                <c:pt idx="22">
                  <c:v>94.357310915404469</c:v>
                </c:pt>
                <c:pt idx="23">
                  <c:v>93.464903979464367</c:v>
                </c:pt>
                <c:pt idx="24">
                  <c:v>92.564331971305833</c:v>
                </c:pt>
                <c:pt idx="25">
                  <c:v>91.656547319797312</c:v>
                </c:pt>
                <c:pt idx="26">
                  <c:v>90.742517793827076</c:v>
                </c:pt>
                <c:pt idx="27">
                  <c:v>89.824051696850006</c:v>
                </c:pt>
                <c:pt idx="28">
                  <c:v>88.902902414444114</c:v>
                </c:pt>
                <c:pt idx="29">
                  <c:v>87.981600368547049</c:v>
                </c:pt>
                <c:pt idx="30">
                  <c:v>87.06059262871959</c:v>
                </c:pt>
                <c:pt idx="31">
                  <c:v>86.143091634056859</c:v>
                </c:pt>
                <c:pt idx="32">
                  <c:v>85.230200982617745</c:v>
                </c:pt>
                <c:pt idx="33">
                  <c:v>84.324003827169435</c:v>
                </c:pt>
                <c:pt idx="34">
                  <c:v>83.424884821403097</c:v>
                </c:pt>
                <c:pt idx="35">
                  <c:v>82.534064625587718</c:v>
                </c:pt>
                <c:pt idx="36">
                  <c:v>81.651758868741254</c:v>
                </c:pt>
                <c:pt idx="37">
                  <c:v>80.777534454385886</c:v>
                </c:pt>
                <c:pt idx="38">
                  <c:v>79.911997381478244</c:v>
                </c:pt>
                <c:pt idx="39">
                  <c:v>79.054020591703164</c:v>
                </c:pt>
                <c:pt idx="40">
                  <c:v>78.203363573085028</c:v>
                </c:pt>
                <c:pt idx="41">
                  <c:v>77.359298702384805</c:v>
                </c:pt>
                <c:pt idx="42">
                  <c:v>76.521246513133306</c:v>
                </c:pt>
                <c:pt idx="43">
                  <c:v>75.68825984090266</c:v>
                </c:pt>
                <c:pt idx="44">
                  <c:v>74.85987774372083</c:v>
                </c:pt>
                <c:pt idx="45">
                  <c:v>74.035284166314156</c:v>
                </c:pt>
                <c:pt idx="46">
                  <c:v>73.214039545591618</c:v>
                </c:pt>
                <c:pt idx="47">
                  <c:v>72.395406717328996</c:v>
                </c:pt>
                <c:pt idx="48">
                  <c:v>71.579071309460247</c:v>
                </c:pt>
                <c:pt idx="49">
                  <c:v>70.76434922707476</c:v>
                </c:pt>
                <c:pt idx="50">
                  <c:v>69.950924798845037</c:v>
                </c:pt>
                <c:pt idx="51">
                  <c:v>69.13819315619962</c:v>
                </c:pt>
                <c:pt idx="52">
                  <c:v>68.326015187084678</c:v>
                </c:pt>
                <c:pt idx="53">
                  <c:v>67.513969397867655</c:v>
                </c:pt>
                <c:pt idx="54">
                  <c:v>66.702168790471916</c:v>
                </c:pt>
                <c:pt idx="55">
                  <c:v>65.888835690303964</c:v>
                </c:pt>
                <c:pt idx="56">
                  <c:v>65.074676544614064</c:v>
                </c:pt>
                <c:pt idx="57">
                  <c:v>64.258672345638175</c:v>
                </c:pt>
                <c:pt idx="58">
                  <c:v>63.440887302408875</c:v>
                </c:pt>
                <c:pt idx="59">
                  <c:v>62.620107249402686</c:v>
                </c:pt>
                <c:pt idx="60">
                  <c:v>61.796127507183542</c:v>
                </c:pt>
                <c:pt idx="61">
                  <c:v>60.968056794520741</c:v>
                </c:pt>
                <c:pt idx="62">
                  <c:v>60.134558957044383</c:v>
                </c:pt>
                <c:pt idx="63">
                  <c:v>59.295398575145882</c:v>
                </c:pt>
                <c:pt idx="64">
                  <c:v>58.448706445004902</c:v>
                </c:pt>
                <c:pt idx="65">
                  <c:v>57.593416444676777</c:v>
                </c:pt>
                <c:pt idx="66">
                  <c:v>56.72785904597</c:v>
                </c:pt>
                <c:pt idx="67">
                  <c:v>55.850323713431244</c:v>
                </c:pt>
                <c:pt idx="68">
                  <c:v>54.958465682097355</c:v>
                </c:pt>
                <c:pt idx="69">
                  <c:v>54.05016783743622</c:v>
                </c:pt>
                <c:pt idx="70">
                  <c:v>53.122623685078914</c:v>
                </c:pt>
                <c:pt idx="71">
                  <c:v>52.173138304156936</c:v>
                </c:pt>
                <c:pt idx="72">
                  <c:v>51.198393625045568</c:v>
                </c:pt>
                <c:pt idx="73">
                  <c:v>50.195338815899298</c:v>
                </c:pt>
                <c:pt idx="74">
                  <c:v>49.160325858264279</c:v>
                </c:pt>
                <c:pt idx="75">
                  <c:v>48.090125081395684</c:v>
                </c:pt>
                <c:pt idx="76">
                  <c:v>46.98123508677682</c:v>
                </c:pt>
                <c:pt idx="77">
                  <c:v>45.831065101433097</c:v>
                </c:pt>
                <c:pt idx="78">
                  <c:v>44.637123441083574</c:v>
                </c:pt>
                <c:pt idx="79">
                  <c:v>43.398402634779458</c:v>
                </c:pt>
                <c:pt idx="80">
                  <c:v>42.111803485158305</c:v>
                </c:pt>
                <c:pt idx="81">
                  <c:v>40.779043272203921</c:v>
                </c:pt>
                <c:pt idx="82">
                  <c:v>39.400207615082209</c:v>
                </c:pt>
                <c:pt idx="83">
                  <c:v>37.97829766369852</c:v>
                </c:pt>
                <c:pt idx="84">
                  <c:v>36.515194197754283</c:v>
                </c:pt>
                <c:pt idx="85">
                  <c:v>35.015508320780036</c:v>
                </c:pt>
                <c:pt idx="86">
                  <c:v>33.483445900104122</c:v>
                </c:pt>
                <c:pt idx="87">
                  <c:v>31.922969948635817</c:v>
                </c:pt>
                <c:pt idx="88">
                  <c:v>30.340499861704689</c:v>
                </c:pt>
                <c:pt idx="89">
                  <c:v>28.739581683242399</c:v>
                </c:pt>
                <c:pt idx="90">
                  <c:v>27.125297957547701</c:v>
                </c:pt>
                <c:pt idx="91">
                  <c:v>25.501503675503375</c:v>
                </c:pt>
                <c:pt idx="92">
                  <c:v>23.871825521424434</c:v>
                </c:pt>
                <c:pt idx="93">
                  <c:v>22.238556252371037</c:v>
                </c:pt>
                <c:pt idx="94">
                  <c:v>21.830151519989958</c:v>
                </c:pt>
                <c:pt idx="95">
                  <c:v>21.624667073258806</c:v>
                </c:pt>
                <c:pt idx="96">
                  <c:v>21.421527589914117</c:v>
                </c:pt>
                <c:pt idx="97">
                  <c:v>21.216054074631629</c:v>
                </c:pt>
                <c:pt idx="98">
                  <c:v>21.012931274716532</c:v>
                </c:pt>
                <c:pt idx="99">
                  <c:v>20.807429204830825</c:v>
                </c:pt>
                <c:pt idx="100">
                  <c:v>20.604284130734388</c:v>
                </c:pt>
                <c:pt idx="101">
                  <c:v>20.398872456395836</c:v>
                </c:pt>
                <c:pt idx="102">
                  <c:v>20.195820981274618</c:v>
                </c:pt>
                <c:pt idx="103">
                  <c:v>19.990312479263505</c:v>
                </c:pt>
                <c:pt idx="104">
                  <c:v>19.78717130945709</c:v>
                </c:pt>
                <c:pt idx="105">
                  <c:v>19.581689071839747</c:v>
                </c:pt>
                <c:pt idx="106">
                  <c:v>19.378578146571652</c:v>
                </c:pt>
                <c:pt idx="107">
                  <c:v>19.173236720364869</c:v>
                </c:pt>
                <c:pt idx="108">
                  <c:v>18.970267624610432</c:v>
                </c:pt>
                <c:pt idx="109">
                  <c:v>18.765034469990841</c:v>
                </c:pt>
                <c:pt idx="110">
                  <c:v>18.562175088027782</c:v>
                </c:pt>
                <c:pt idx="111">
                  <c:v>18.356886916966367</c:v>
                </c:pt>
                <c:pt idx="112">
                  <c:v>18.153977414565102</c:v>
                </c:pt>
                <c:pt idx="113">
                  <c:v>17.948753187505318</c:v>
                </c:pt>
                <c:pt idx="114">
                  <c:v>17.745909497191686</c:v>
                </c:pt>
                <c:pt idx="115">
                  <c:v>17.54073027414821</c:v>
                </c:pt>
                <c:pt idx="116">
                  <c:v>17.337933614621125</c:v>
                </c:pt>
                <c:pt idx="117">
                  <c:v>17.13278440042431</c:v>
                </c:pt>
                <c:pt idx="118">
                  <c:v>16.930019858934124</c:v>
                </c:pt>
                <c:pt idx="119">
                  <c:v>16.725012892487957</c:v>
                </c:pt>
                <c:pt idx="120">
                  <c:v>16.522389861067765</c:v>
                </c:pt>
                <c:pt idx="121">
                  <c:v>16.317508561845198</c:v>
                </c:pt>
                <c:pt idx="122">
                  <c:v>16.115010602187542</c:v>
                </c:pt>
                <c:pt idx="123">
                  <c:v>15.910123914026892</c:v>
                </c:pt>
                <c:pt idx="124">
                  <c:v>15.707622776463687</c:v>
                </c:pt>
                <c:pt idx="125">
                  <c:v>15.502844181859656</c:v>
                </c:pt>
                <c:pt idx="126">
                  <c:v>15.300450509706645</c:v>
                </c:pt>
                <c:pt idx="127">
                  <c:v>15.095772840133293</c:v>
                </c:pt>
                <c:pt idx="128">
                  <c:v>14.893479429566707</c:v>
                </c:pt>
                <c:pt idx="129">
                  <c:v>14.688898217483624</c:v>
                </c:pt>
                <c:pt idx="130">
                  <c:v>14.486700515611123</c:v>
                </c:pt>
                <c:pt idx="131">
                  <c:v>14.282213765173795</c:v>
                </c:pt>
                <c:pt idx="132">
                  <c:v>14.18086731376941</c:v>
                </c:pt>
                <c:pt idx="133">
                  <c:v>14.080109645527951</c:v>
                </c:pt>
                <c:pt idx="134">
                  <c:v>13.977559703942614</c:v>
                </c:pt>
                <c:pt idx="135">
                  <c:v>13.87561271614979</c:v>
                </c:pt>
                <c:pt idx="136">
                  <c:v>13.774261701735018</c:v>
                </c:pt>
                <c:pt idx="137">
                  <c:v>13.673499798026389</c:v>
                </c:pt>
                <c:pt idx="138">
                  <c:v>13.571052508336743</c:v>
                </c:pt>
                <c:pt idx="139">
                  <c:v>13.469207230588136</c:v>
                </c:pt>
                <c:pt idx="140">
                  <c:v>13.367956989716284</c:v>
                </c:pt>
                <c:pt idx="141">
                  <c:v>13.267294928624871</c:v>
                </c:pt>
                <c:pt idx="142">
                  <c:v>13.164848054617359</c:v>
                </c:pt>
                <c:pt idx="143">
                  <c:v>13.063003411669694</c:v>
                </c:pt>
                <c:pt idx="144">
                  <c:v>12.961754010818659</c:v>
                </c:pt>
                <c:pt idx="145">
                  <c:v>12.861092981704354</c:v>
                </c:pt>
                <c:pt idx="146">
                  <c:v>12.758702157527321</c:v>
                </c:pt>
                <c:pt idx="147">
                  <c:v>12.656913096844946</c:v>
                </c:pt>
                <c:pt idx="148">
                  <c:v>12.555718809523482</c:v>
                </c:pt>
                <c:pt idx="149">
                  <c:v>12.455112424361179</c:v>
                </c:pt>
                <c:pt idx="150">
                  <c:v>12.352781284826733</c:v>
                </c:pt>
                <c:pt idx="151">
                  <c:v>12.251051366458999</c:v>
                </c:pt>
                <c:pt idx="152">
                  <c:v>12.149915680035212</c:v>
                </c:pt>
                <c:pt idx="153">
                  <c:v>12.04936735552474</c:v>
                </c:pt>
                <c:pt idx="154">
                  <c:v>11.947053291076923</c:v>
                </c:pt>
                <c:pt idx="155">
                  <c:v>11.845340374840124</c:v>
                </c:pt>
                <c:pt idx="156">
                  <c:v>11.744221611069836</c:v>
                </c:pt>
                <c:pt idx="157">
                  <c:v>11.643690123623692</c:v>
                </c:pt>
                <c:pt idx="158">
                  <c:v>11.541401312242957</c:v>
                </c:pt>
                <c:pt idx="159">
                  <c:v>11.439713452608588</c:v>
                </c:pt>
                <c:pt idx="160">
                  <c:v>11.338619545281706</c:v>
                </c:pt>
                <c:pt idx="161">
                  <c:v>11.238112710752631</c:v>
                </c:pt>
                <c:pt idx="162">
                  <c:v>11.135902486537292</c:v>
                </c:pt>
                <c:pt idx="163">
                  <c:v>11.034292367345301</c:v>
                </c:pt>
                <c:pt idx="164">
                  <c:v>10.933275362015246</c:v>
                </c:pt>
                <c:pt idx="165">
                  <c:v>10.832844599351628</c:v>
                </c:pt>
                <c:pt idx="166">
                  <c:v>10.730631253531037</c:v>
                </c:pt>
                <c:pt idx="167">
                  <c:v>10.629018099204524</c:v>
                </c:pt>
                <c:pt idx="168">
                  <c:v>10.527998137826337</c:v>
                </c:pt>
                <c:pt idx="169">
                  <c:v>10.427564491193781</c:v>
                </c:pt>
                <c:pt idx="170">
                  <c:v>10.325573909620495</c:v>
                </c:pt>
                <c:pt idx="171">
                  <c:v>10.224180941811172</c:v>
                </c:pt>
                <c:pt idx="172">
                  <c:v>10.123378628837687</c:v>
                </c:pt>
                <c:pt idx="173">
                  <c:v>10.023160131400392</c:v>
                </c:pt>
                <c:pt idx="174">
                  <c:v>9.9210141587529055</c:v>
                </c:pt>
                <c:pt idx="175">
                  <c:v>9.8194676247345853</c:v>
                </c:pt>
                <c:pt idx="176">
                  <c:v>9.7185135338113717</c:v>
                </c:pt>
                <c:pt idx="177">
                  <c:v>9.6181450110914675</c:v>
                </c:pt>
                <c:pt idx="178">
                  <c:v>9.5159086890717397</c:v>
                </c:pt>
                <c:pt idx="179">
                  <c:v>9.414272852607585</c:v>
                </c:pt>
                <c:pt idx="180">
                  <c:v>9.3132304835415187</c:v>
                </c:pt>
                <c:pt idx="181">
                  <c:v>9.2127746850398857</c:v>
                </c:pt>
                <c:pt idx="182">
                  <c:v>9.110907026658662</c:v>
                </c:pt>
                <c:pt idx="183">
                  <c:v>9.0096355156802321</c:v>
                </c:pt>
                <c:pt idx="184">
                  <c:v>8.9089532057862346</c:v>
                </c:pt>
                <c:pt idx="185">
                  <c:v>8.8088532704806841</c:v>
                </c:pt>
                <c:pt idx="186">
                  <c:v>8.7066050166680622</c:v>
                </c:pt>
                <c:pt idx="187">
                  <c:v>8.6049573161868249</c:v>
                </c:pt>
                <c:pt idx="188">
                  <c:v>8.5039031423075677</c:v>
                </c:pt>
                <c:pt idx="189">
                  <c:v>8.4034355901079145</c:v>
                </c:pt>
                <c:pt idx="190">
                  <c:v>8.3016472141129753</c:v>
                </c:pt>
                <c:pt idx="191">
                  <c:v>8.2004539590498098</c:v>
                </c:pt>
                <c:pt idx="192">
                  <c:v>8.0998488899672445</c:v>
                </c:pt>
                <c:pt idx="193">
                  <c:v>7.9998251917319134</c:v>
                </c:pt>
                <c:pt idx="194">
                  <c:v>7.8977765590888236</c:v>
                </c:pt>
                <c:pt idx="195">
                  <c:v>7.7963260139603276</c:v>
                </c:pt>
                <c:pt idx="196">
                  <c:v>7.695466566880417</c:v>
                </c:pt>
                <c:pt idx="197">
                  <c:v>7.5951913495674797</c:v>
                </c:pt>
                <c:pt idx="198">
                  <c:v>7.4933168610216825</c:v>
                </c:pt>
                <c:pt idx="199">
                  <c:v>7.3920383426066074</c:v>
                </c:pt>
                <c:pt idx="200">
                  <c:v>7.2913488394093804</c:v>
                </c:pt>
                <c:pt idx="201">
                  <c:v>7.1912415170061292</c:v>
                </c:pt>
                <c:pt idx="202">
                  <c:v>7.0895830821064312</c:v>
                </c:pt>
                <c:pt idx="203">
                  <c:v>6.9885180048806674</c:v>
                </c:pt>
                <c:pt idx="204">
                  <c:v>6.8880393738444248</c:v>
                </c:pt>
                <c:pt idx="205">
                  <c:v>6.7881403970923548</c:v>
                </c:pt>
                <c:pt idx="206">
                  <c:v>6.6863904715593412</c:v>
                </c:pt>
                <c:pt idx="207">
                  <c:v>6.5852348639420928</c:v>
                </c:pt>
                <c:pt idx="208">
                  <c:v>6.4846666441550225</c:v>
                </c:pt>
                <c:pt idx="209">
                  <c:v>6.3846790022016435</c:v>
                </c:pt>
                <c:pt idx="210">
                  <c:v>6.2825588625703199</c:v>
                </c:pt>
                <c:pt idx="211">
                  <c:v>6.1810372449931803</c:v>
                </c:pt>
                <c:pt idx="212">
                  <c:v>6.0801071442843231</c:v>
                </c:pt>
                <c:pt idx="213">
                  <c:v>5.9797616771544506</c:v>
                </c:pt>
                <c:pt idx="214">
                  <c:v>5.8780111851458861</c:v>
                </c:pt>
                <c:pt idx="215">
                  <c:v>5.7768547784095068</c:v>
                </c:pt>
                <c:pt idx="216">
                  <c:v>5.6762855278580515</c:v>
                </c:pt>
                <c:pt idx="217">
                  <c:v>5.5762966246077861</c:v>
                </c:pt>
                <c:pt idx="218">
                  <c:v>5.4746212173047351</c:v>
                </c:pt>
                <c:pt idx="219">
                  <c:v>5.3735388892971727</c:v>
                </c:pt>
                <c:pt idx="220">
                  <c:v>5.2730427278104708</c:v>
                </c:pt>
                <c:pt idx="221">
                  <c:v>5.1731259399543532</c:v>
                </c:pt>
                <c:pt idx="222">
                  <c:v>5.0715736480884583</c:v>
                </c:pt>
                <c:pt idx="223">
                  <c:v>4.9706128648663599</c:v>
                </c:pt>
                <c:pt idx="224">
                  <c:v>4.8702367038198568</c:v>
                </c:pt>
                <c:pt idx="225">
                  <c:v>4.7704383978104348</c:v>
                </c:pt>
                <c:pt idx="226">
                  <c:v>4.6687455853471693</c:v>
                </c:pt>
                <c:pt idx="227">
                  <c:v>4.5676457678214311</c:v>
                </c:pt>
                <c:pt idx="228">
                  <c:v>4.4671320319585046</c:v>
                </c:pt>
                <c:pt idx="229">
                  <c:v>4.3671975844748507</c:v>
                </c:pt>
                <c:pt idx="230">
                  <c:v>4.1642496276169174</c:v>
                </c:pt>
                <c:pt idx="231">
                  <c:v>4.0636593446096034</c:v>
                </c:pt>
                <c:pt idx="232">
                  <c:v>3.9636490759697383</c:v>
                </c:pt>
                <c:pt idx="233">
                  <c:v>3.8618585239970731</c:v>
                </c:pt>
                <c:pt idx="234">
                  <c:v>3.7606617885541764</c:v>
                </c:pt>
                <c:pt idx="235">
                  <c:v>3.6600519405851233</c:v>
                </c:pt>
                <c:pt idx="236">
                  <c:v>3.5600221714624478</c:v>
                </c:pt>
                <c:pt idx="237">
                  <c:v>3.4585537236296542</c:v>
                </c:pt>
                <c:pt idx="238">
                  <c:v>3.3576751848100743</c:v>
                </c:pt>
                <c:pt idx="239">
                  <c:v>3.2573796934674486</c:v>
                </c:pt>
                <c:pt idx="240">
                  <c:v>3.1576605069641999</c:v>
                </c:pt>
                <c:pt idx="241">
                  <c:v>3.0559833373164897</c:v>
                </c:pt>
                <c:pt idx="242">
                  <c:v>2.954898326391719</c:v>
                </c:pt>
                <c:pt idx="243">
                  <c:v>2.8543985729971806</c:v>
                </c:pt>
                <c:pt idx="244">
                  <c:v>2.7544772957762209</c:v>
                </c:pt>
                <c:pt idx="245">
                  <c:v>2.6529326063140735</c:v>
                </c:pt>
                <c:pt idx="246">
                  <c:v>2.5519783597649406</c:v>
                </c:pt>
                <c:pt idx="247">
                  <c:v>2.4516076844101002</c:v>
                </c:pt>
                <c:pt idx="248">
                  <c:v>2.3518138277065601</c:v>
                </c:pt>
                <c:pt idx="249">
                  <c:v>2.2501771317673289</c:v>
                </c:pt>
                <c:pt idx="250">
                  <c:v>2.1491317620047163</c:v>
                </c:pt>
                <c:pt idx="251">
                  <c:v>2.0486708309624473</c:v>
                </c:pt>
                <c:pt idx="252">
                  <c:v>1.9487875707402169</c:v>
                </c:pt>
                <c:pt idx="253">
                  <c:v>1.8473796065162285</c:v>
                </c:pt>
                <c:pt idx="254">
                  <c:v>1.7465601287708798</c:v>
                </c:pt>
                <c:pt idx="255">
                  <c:v>1.646322299148113</c:v>
                </c:pt>
                <c:pt idx="256">
                  <c:v>1.5466593977282912</c:v>
                </c:pt>
                <c:pt idx="257">
                  <c:v>1.4450050972115014</c:v>
                </c:pt>
                <c:pt idx="258">
                  <c:v>1.3439419422435626</c:v>
                </c:pt>
                <c:pt idx="259">
                  <c:v>1.2434630479231621</c:v>
                </c:pt>
                <c:pt idx="260">
                  <c:v>1.1435616488685107</c:v>
                </c:pt>
                <c:pt idx="261">
                  <c:v>1.041980166816433</c:v>
                </c:pt>
                <c:pt idx="262">
                  <c:v>0.94098878541421527</c:v>
                </c:pt>
                <c:pt idx="263">
                  <c:v>0.84058063769748848</c:v>
                </c:pt>
                <c:pt idx="264">
                  <c:v>0.74074897581311028</c:v>
                </c:pt>
                <c:pt idx="265">
                  <c:v>0.6392877726467312</c:v>
                </c:pt>
                <c:pt idx="266">
                  <c:v>0.5384150718574463</c:v>
                </c:pt>
                <c:pt idx="267">
                  <c:v>0.4381240340362757</c:v>
                </c:pt>
                <c:pt idx="268">
                  <c:v>0.33840793825411936</c:v>
                </c:pt>
                <c:pt idx="269">
                  <c:v>0.23687228130082341</c:v>
                </c:pt>
                <c:pt idx="270">
                  <c:v>0.1359257766731056</c:v>
                </c:pt>
                <c:pt idx="271">
                  <c:v>3.5561573419435152E-2</c:v>
                </c:pt>
                <c:pt idx="272">
                  <c:v>-6.4227060663015589E-2</c:v>
                </c:pt>
                <c:pt idx="273">
                  <c:v>-0.16578001415141877</c:v>
                </c:pt>
                <c:pt idx="274">
                  <c:v>-0.26674383274748725</c:v>
                </c:pt>
                <c:pt idx="275">
                  <c:v>-0.36712536734741852</c:v>
                </c:pt>
                <c:pt idx="276">
                  <c:v>-0.46693135009992554</c:v>
                </c:pt>
                <c:pt idx="277">
                  <c:v>-0.56822033336629163</c:v>
                </c:pt>
                <c:pt idx="278">
                  <c:v>-0.66892345396445518</c:v>
                </c:pt>
                <c:pt idx="279">
                  <c:v>-0.76904750621722018</c:v>
                </c:pt>
                <c:pt idx="280">
                  <c:v>-0.86859916700296924</c:v>
                </c:pt>
                <c:pt idx="281">
                  <c:v>-0.97025851991019663</c:v>
                </c:pt>
                <c:pt idx="282">
                  <c:v>-1.0713279602022461</c:v>
                </c:pt>
                <c:pt idx="283">
                  <c:v>-1.1718143528534906</c:v>
                </c:pt>
                <c:pt idx="284">
                  <c:v>-1.2717244437717423</c:v>
                </c:pt>
                <c:pt idx="285">
                  <c:v>-1.3730241367201625</c:v>
                </c:pt>
                <c:pt idx="286">
                  <c:v>-1.47373830685671</c:v>
                </c:pt>
                <c:pt idx="287">
                  <c:v>-1.5738737432033154</c:v>
                </c:pt>
                <c:pt idx="288">
                  <c:v>-1.6734371174679354</c:v>
                </c:pt>
                <c:pt idx="289">
                  <c:v>-1.7749878327492135</c:v>
                </c:pt>
                <c:pt idx="290">
                  <c:v>-1.8759503706564842</c:v>
                </c:pt>
                <c:pt idx="291">
                  <c:v>-1.9763315666484558</c:v>
                </c:pt>
                <c:pt idx="292">
                  <c:v>-2.0761381378078276</c:v>
                </c:pt>
                <c:pt idx="293">
                  <c:v>-2.1776633503203353</c:v>
                </c:pt>
                <c:pt idx="294">
                  <c:v>-2.2786009297846408</c:v>
                </c:pt>
                <c:pt idx="295">
                  <c:v>-2.3789577025941293</c:v>
                </c:pt>
                <c:pt idx="296">
                  <c:v>-2.4787403769825329</c:v>
                </c:pt>
                <c:pt idx="297">
                  <c:v>-2.5801900421392547</c:v>
                </c:pt>
                <c:pt idx="298">
                  <c:v>-2.6810532026076936</c:v>
                </c:pt>
                <c:pt idx="299">
                  <c:v>-2.7813366656284275</c:v>
                </c:pt>
                <c:pt idx="300">
                  <c:v>-2.8810471207308508</c:v>
                </c:pt>
                <c:pt idx="301">
                  <c:v>-2.9823747260266331</c:v>
                </c:pt>
                <c:pt idx="302">
                  <c:v>-3.0831174965417221</c:v>
                </c:pt>
                <c:pt idx="303">
                  <c:v>-3.1832822110453254</c:v>
                </c:pt>
                <c:pt idx="304">
                  <c:v>-3.2828755312583575</c:v>
                </c:pt>
                <c:pt idx="305">
                  <c:v>-3.3844258787242021</c:v>
                </c:pt>
                <c:pt idx="306">
                  <c:v>-3.4853890974926665</c:v>
                </c:pt>
                <c:pt idx="307">
                  <c:v>-3.5857720067005312</c:v>
                </c:pt>
                <c:pt idx="308">
                  <c:v>-3.6855813075181736</c:v>
                </c:pt>
                <c:pt idx="309">
                  <c:v>-3.7869088450796493</c:v>
                </c:pt>
                <c:pt idx="310">
                  <c:v>-3.8876521004195514</c:v>
                </c:pt>
                <c:pt idx="311">
                  <c:v>-3.9878178439129224</c:v>
                </c:pt>
                <c:pt idx="312">
                  <c:v>-4.0874127290998201</c:v>
                </c:pt>
                <c:pt idx="313">
                  <c:v>-4.1888516796469011</c:v>
                </c:pt>
                <c:pt idx="314">
                  <c:v>-4.2897053556120994</c:v>
                </c:pt>
                <c:pt idx="315">
                  <c:v>-4.3899805452766332</c:v>
                </c:pt>
                <c:pt idx="316">
                  <c:v>-4.4896839196864589</c:v>
                </c:pt>
                <c:pt idx="317">
                  <c:v>-4.5911756303820841</c:v>
                </c:pt>
                <c:pt idx="318">
                  <c:v>-4.6920817588579746</c:v>
                </c:pt>
                <c:pt idx="319">
                  <c:v>-4.792409099514046</c:v>
                </c:pt>
                <c:pt idx="320">
                  <c:v>-4.8921643293853103</c:v>
                </c:pt>
                <c:pt idx="321">
                  <c:v>-4.9936540705097157</c:v>
                </c:pt>
                <c:pt idx="322">
                  <c:v>-5.094558561809639</c:v>
                </c:pt>
                <c:pt idx="323">
                  <c:v>-5.1948845927834517</c:v>
                </c:pt>
                <c:pt idx="324">
                  <c:v>-5.2946388356890681</c:v>
                </c:pt>
                <c:pt idx="325">
                  <c:v>-5.3960756256399476</c:v>
                </c:pt>
                <c:pt idx="326">
                  <c:v>-5.4969280945112509</c:v>
                </c:pt>
                <c:pt idx="327">
                  <c:v>-5.5972030166473257</c:v>
                </c:pt>
                <c:pt idx="328">
                  <c:v>-5.696907049512153</c:v>
                </c:pt>
                <c:pt idx="329">
                  <c:v>-5.7984124489883886</c:v>
                </c:pt>
                <c:pt idx="330">
                  <c:v>-5.8993330704892841</c:v>
                </c:pt>
                <c:pt idx="331">
                  <c:v>-5.9996756973352197</c:v>
                </c:pt>
                <c:pt idx="332">
                  <c:v>-6.0994469957728095</c:v>
                </c:pt>
                <c:pt idx="333">
                  <c:v>-6.2008003674189203</c:v>
                </c:pt>
                <c:pt idx="334">
                  <c:v>-6.3015710488334866</c:v>
                </c:pt>
                <c:pt idx="335">
                  <c:v>-6.4017657882957373</c:v>
                </c:pt>
                <c:pt idx="336">
                  <c:v>-6.5013912178281483</c:v>
                </c:pt>
                <c:pt idx="337">
                  <c:v>-6.6028748502041559</c:v>
                </c:pt>
                <c:pt idx="338">
                  <c:v>-6.703774653437959</c:v>
                </c:pt>
                <c:pt idx="339">
                  <c:v>-6.804097396805485</c:v>
                </c:pt>
                <c:pt idx="340">
                  <c:v>-6.903849732856723</c:v>
                </c:pt>
                <c:pt idx="341">
                  <c:v>-7.0054042770516567</c:v>
                </c:pt>
                <c:pt idx="342">
                  <c:v>-7.1063745478988762</c:v>
                </c:pt>
                <c:pt idx="343">
                  <c:v>-7.2067673237551517</c:v>
                </c:pt>
                <c:pt idx="344">
                  <c:v>-7.3065892660563572</c:v>
                </c:pt>
                <c:pt idx="345">
                  <c:v>-7.4080051808628147</c:v>
                </c:pt>
                <c:pt idx="346">
                  <c:v>-7.5088387944635659</c:v>
                </c:pt>
                <c:pt idx="347">
                  <c:v>-7.60909685251307</c:v>
                </c:pt>
                <c:pt idx="348">
                  <c:v>-7.7087859845078874</c:v>
                </c:pt>
                <c:pt idx="349">
                  <c:v>-7.8103234596428361</c:v>
                </c:pt>
                <c:pt idx="350">
                  <c:v>-7.9112776388692581</c:v>
                </c:pt>
                <c:pt idx="351">
                  <c:v>-8.0116552867025455</c:v>
                </c:pt>
                <c:pt idx="352">
                  <c:v>-8.1114630510820067</c:v>
                </c:pt>
                <c:pt idx="353">
                  <c:v>-8.213063615106881</c:v>
                </c:pt>
                <c:pt idx="354">
                  <c:v>-8.314080574813044</c:v>
                </c:pt>
                <c:pt idx="355">
                  <c:v>-8.4145207018216013</c:v>
                </c:pt>
                <c:pt idx="356">
                  <c:v>-8.514390651028636</c:v>
                </c:pt>
                <c:pt idx="357">
                  <c:v>-8.615855842035284</c:v>
                </c:pt>
                <c:pt idx="358">
                  <c:v>-8.7167394084175527</c:v>
                </c:pt>
                <c:pt idx="359">
                  <c:v>-8.8170480893566303</c:v>
                </c:pt>
                <c:pt idx="360">
                  <c:v>-8.916788508064494</c:v>
                </c:pt>
                <c:pt idx="361">
                  <c:v>-9.0183586178345703</c:v>
                </c:pt>
                <c:pt idx="362">
                  <c:v>-9.1193463509100461</c:v>
                </c:pt>
                <c:pt idx="363">
                  <c:v>-9.2197584615462098</c:v>
                </c:pt>
                <c:pt idx="364">
                  <c:v>-9.3196015876990277</c:v>
                </c:pt>
                <c:pt idx="365">
                  <c:v>-9.4210821515743106</c:v>
                </c:pt>
                <c:pt idx="366">
                  <c:v>-9.5219818279478758</c:v>
                </c:pt>
                <c:pt idx="367">
                  <c:v>-9.6223073474445417</c:v>
                </c:pt>
                <c:pt idx="368">
                  <c:v>-9.7220653249447277</c:v>
                </c:pt>
                <c:pt idx="369">
                  <c:v>-9.8236813002014962</c:v>
                </c:pt>
                <c:pt idx="370">
                  <c:v>-9.9247153273115778</c:v>
                </c:pt>
                <c:pt idx="371">
                  <c:v>-10.025174157643246</c:v>
                </c:pt>
                <c:pt idx="372">
                  <c:v>-10.125064426359673</c:v>
                </c:pt>
                <c:pt idx="373">
                  <c:v>-10.226625722126347</c:v>
                </c:pt>
                <c:pt idx="374">
                  <c:v>-10.327606200560112</c:v>
                </c:pt>
                <c:pt idx="375">
                  <c:v>-10.428012595937336</c:v>
                </c:pt>
                <c:pt idx="376">
                  <c:v>-10.527851526735041</c:v>
                </c:pt>
                <c:pt idx="377">
                  <c:v>-10.629569009562152</c:v>
                </c:pt>
                <c:pt idx="378">
                  <c:v>-10.730704421992833</c:v>
                </c:pt>
                <c:pt idx="379">
                  <c:v>-10.831264522755269</c:v>
                </c:pt>
                <c:pt idx="380">
                  <c:v>-10.931255954233428</c:v>
                </c:pt>
                <c:pt idx="381">
                  <c:v>-11.032818732004589</c:v>
                </c:pt>
                <c:pt idx="382">
                  <c:v>-11.133801754700453</c:v>
                </c:pt>
                <c:pt idx="383">
                  <c:v>-11.234211743764543</c:v>
                </c:pt>
                <c:pt idx="384">
                  <c:v>-11.334055305164206</c:v>
                </c:pt>
                <c:pt idx="385">
                  <c:v>-11.435792437293362</c:v>
                </c:pt>
                <c:pt idx="386">
                  <c:v>-11.536948404425758</c:v>
                </c:pt>
                <c:pt idx="387">
                  <c:v>-11.637529955563279</c:v>
                </c:pt>
                <c:pt idx="388">
                  <c:v>-11.737543723616955</c:v>
                </c:pt>
                <c:pt idx="389">
                  <c:v>-11.839274565726223</c:v>
                </c:pt>
                <c:pt idx="390">
                  <c:v>-11.940424917104425</c:v>
                </c:pt>
                <c:pt idx="391">
                  <c:v>-12.041001518351703</c:v>
                </c:pt>
                <c:pt idx="392">
                  <c:v>-12.141010994184256</c:v>
                </c:pt>
                <c:pt idx="393">
                  <c:v>-12.242686954214674</c:v>
                </c:pt>
                <c:pt idx="394">
                  <c:v>-12.343783676392084</c:v>
                </c:pt>
                <c:pt idx="395">
                  <c:v>-12.444307883085697</c:v>
                </c:pt>
                <c:pt idx="396">
                  <c:v>-12.544266181213448</c:v>
                </c:pt>
                <c:pt idx="397">
                  <c:v>-12.646071315306164</c:v>
                </c:pt>
                <c:pt idx="398">
                  <c:v>-12.747296401185572</c:v>
                </c:pt>
                <c:pt idx="399">
                  <c:v>-12.847948179051853</c:v>
                </c:pt>
                <c:pt idx="400">
                  <c:v>-12.948033273263269</c:v>
                </c:pt>
                <c:pt idx="401">
                  <c:v>-13.049798392010638</c:v>
                </c:pt>
                <c:pt idx="402">
                  <c:v>-13.150984604956545</c:v>
                </c:pt>
                <c:pt idx="403">
                  <c:v>-13.251598636456158</c:v>
                </c:pt>
                <c:pt idx="404">
                  <c:v>-13.351647095401235</c:v>
                </c:pt>
                <c:pt idx="405">
                  <c:v>-13.453435944873625</c:v>
                </c:pt>
                <c:pt idx="406">
                  <c:v>-13.554646338448567</c:v>
                </c:pt>
                <c:pt idx="407">
                  <c:v>-13.655284996922488</c:v>
                </c:pt>
                <c:pt idx="408">
                  <c:v>-13.755358525727726</c:v>
                </c:pt>
                <c:pt idx="409">
                  <c:v>-13.857228418061286</c:v>
                </c:pt>
                <c:pt idx="410">
                  <c:v>-13.958519689084767</c:v>
                </c:pt>
                <c:pt idx="411">
                  <c:v>-14.05923906700647</c:v>
                </c:pt>
                <c:pt idx="412">
                  <c:v>-14.159393164519363</c:v>
                </c:pt>
                <c:pt idx="413">
                  <c:v>-14.261290753924802</c:v>
                </c:pt>
                <c:pt idx="414">
                  <c:v>-14.362610197245615</c:v>
                </c:pt>
                <c:pt idx="415">
                  <c:v>-14.463358219255188</c:v>
                </c:pt>
                <c:pt idx="416">
                  <c:v>-14.563541429307719</c:v>
                </c:pt>
                <c:pt idx="417">
                  <c:v>-14.665519414383423</c:v>
                </c:pt>
                <c:pt idx="418">
                  <c:v>-14.766919170427695</c:v>
                </c:pt>
                <c:pt idx="419">
                  <c:v>-14.867747428798774</c:v>
                </c:pt>
                <c:pt idx="420">
                  <c:v>-14.968010805304788</c:v>
                </c:pt>
                <c:pt idx="421">
                  <c:v>-15.069916286221396</c:v>
                </c:pt>
                <c:pt idx="422">
                  <c:v>-15.17124522241393</c:v>
                </c:pt>
                <c:pt idx="423">
                  <c:v>-15.272004321384316</c:v>
                </c:pt>
                <c:pt idx="424">
                  <c:v>-15.372200175649262</c:v>
                </c:pt>
                <c:pt idx="425">
                  <c:v>-15.474284050522426</c:v>
                </c:pt>
                <c:pt idx="426">
                  <c:v>-15.575790274250554</c:v>
                </c:pt>
                <c:pt idx="427">
                  <c:v>-15.676725579410499</c:v>
                </c:pt>
                <c:pt idx="428">
                  <c:v>-15.777096583043527</c:v>
                </c:pt>
                <c:pt idx="429">
                  <c:v>-15.87920443118681</c:v>
                </c:pt>
                <c:pt idx="430">
                  <c:v>-15.980735310210108</c:v>
                </c:pt>
                <c:pt idx="431">
                  <c:v>-16.081695946985437</c:v>
                </c:pt>
                <c:pt idx="432">
                  <c:v>-16.182092953001487</c:v>
                </c:pt>
                <c:pt idx="433">
                  <c:v>-16.284176370466856</c:v>
                </c:pt>
                <c:pt idx="434">
                  <c:v>-16.385684091309216</c:v>
                </c:pt>
                <c:pt idx="435">
                  <c:v>-16.486622826776014</c:v>
                </c:pt>
                <c:pt idx="436">
                  <c:v>-16.5869991731102</c:v>
                </c:pt>
                <c:pt idx="437">
                  <c:v>-16.68919609684438</c:v>
                </c:pt>
                <c:pt idx="438">
                  <c:v>-16.790817093528702</c:v>
                </c:pt>
                <c:pt idx="439">
                  <c:v>-16.891868885402346</c:v>
                </c:pt>
                <c:pt idx="440">
                  <c:v>-16.992358079474471</c:v>
                </c:pt>
                <c:pt idx="441">
                  <c:v>-17.09461486517786</c:v>
                </c:pt>
                <c:pt idx="442">
                  <c:v>-17.196296149905937</c:v>
                </c:pt>
                <c:pt idx="443">
                  <c:v>-17.297408655875234</c:v>
                </c:pt>
                <c:pt idx="444">
                  <c:v>-17.397958990100161</c:v>
                </c:pt>
                <c:pt idx="445">
                  <c:v>-17.500225803142641</c:v>
                </c:pt>
                <c:pt idx="446">
                  <c:v>-17.601918154990429</c:v>
                </c:pt>
                <c:pt idx="447">
                  <c:v>-17.703042757570657</c:v>
                </c:pt>
                <c:pt idx="448">
                  <c:v>-17.803606207869517</c:v>
                </c:pt>
                <c:pt idx="449">
                  <c:v>-17.9060077550443</c:v>
                </c:pt>
                <c:pt idx="450">
                  <c:v>-18.007834541842602</c:v>
                </c:pt>
                <c:pt idx="451">
                  <c:v>-18.109093293797468</c:v>
                </c:pt>
                <c:pt idx="452">
                  <c:v>-18.209790621220602</c:v>
                </c:pt>
                <c:pt idx="453">
                  <c:v>-18.312189292737692</c:v>
                </c:pt>
                <c:pt idx="454">
                  <c:v>-18.414014506717635</c:v>
                </c:pt>
                <c:pt idx="455">
                  <c:v>-18.515272974791706</c:v>
                </c:pt>
                <c:pt idx="456">
                  <c:v>-18.61597129371798</c:v>
                </c:pt>
                <c:pt idx="457">
                  <c:v>-18.718485866500568</c:v>
                </c:pt>
                <c:pt idx="458">
                  <c:v>-18.820427021794849</c:v>
                </c:pt>
                <c:pt idx="459">
                  <c:v>-18.921801479986346</c:v>
                </c:pt>
                <c:pt idx="460">
                  <c:v>-19.022615846420326</c:v>
                </c:pt>
                <c:pt idx="461">
                  <c:v>-19.125194290380247</c:v>
                </c:pt>
                <c:pt idx="462">
                  <c:v>-19.227200007102724</c:v>
                </c:pt>
                <c:pt idx="463">
                  <c:v>-19.328639714926435</c:v>
                </c:pt>
                <c:pt idx="464">
                  <c:v>-19.42952001723209</c:v>
                </c:pt>
                <c:pt idx="465">
                  <c:v>-19.532192248715777</c:v>
                </c:pt>
                <c:pt idx="466">
                  <c:v>-19.634292182847048</c:v>
                </c:pt>
                <c:pt idx="467">
                  <c:v>-19.735826541110775</c:v>
                </c:pt>
                <c:pt idx="468">
                  <c:v>-19.836801930000075</c:v>
                </c:pt>
                <c:pt idx="469">
                  <c:v>-19.939518184721187</c:v>
                </c:pt>
                <c:pt idx="470">
                  <c:v>-20.041663201498523</c:v>
                </c:pt>
                <c:pt idx="471">
                  <c:v>-20.143243694565001</c:v>
                </c:pt>
                <c:pt idx="472">
                  <c:v>-20.244266263366526</c:v>
                </c:pt>
                <c:pt idx="473">
                  <c:v>-20.347130017041792</c:v>
                </c:pt>
                <c:pt idx="474">
                  <c:v>-20.449422525658207</c:v>
                </c:pt>
                <c:pt idx="475">
                  <c:v>-20.551150515661249</c:v>
                </c:pt>
                <c:pt idx="476">
                  <c:v>-20.652320598474205</c:v>
                </c:pt>
                <c:pt idx="477">
                  <c:v>-20.755279535602462</c:v>
                </c:pt>
                <c:pt idx="478">
                  <c:v>-20.857667887864679</c:v>
                </c:pt>
                <c:pt idx="479">
                  <c:v>-20.959492382943381</c:v>
                </c:pt>
                <c:pt idx="480">
                  <c:v>-21.060759633516128</c:v>
                </c:pt>
                <c:pt idx="481">
                  <c:v>-21.163765303876989</c:v>
                </c:pt>
                <c:pt idx="482">
                  <c:v>-21.266201674461986</c:v>
                </c:pt>
                <c:pt idx="483">
                  <c:v>-21.368075463960139</c:v>
                </c:pt>
                <c:pt idx="484">
                  <c:v>-21.469393276309404</c:v>
                </c:pt>
                <c:pt idx="485">
                  <c:v>-21.572470901964607</c:v>
                </c:pt>
                <c:pt idx="486">
                  <c:v>-21.674980327802306</c:v>
                </c:pt>
                <c:pt idx="487">
                  <c:v>-21.776928267614124</c:v>
                </c:pt>
                <c:pt idx="488">
                  <c:v>-21.878321320602613</c:v>
                </c:pt>
                <c:pt idx="489">
                  <c:v>-21.981562035680358</c:v>
                </c:pt>
                <c:pt idx="490">
                  <c:v>-22.084234750558306</c:v>
                </c:pt>
                <c:pt idx="491">
                  <c:v>-22.186346190959139</c:v>
                </c:pt>
                <c:pt idx="492">
                  <c:v>-22.287902967801962</c:v>
                </c:pt>
                <c:pt idx="493">
                  <c:v>-22.391255704000695</c:v>
                </c:pt>
                <c:pt idx="494">
                  <c:v>-22.494041309311132</c:v>
                </c:pt>
                <c:pt idx="495">
                  <c:v>-22.596266510520465</c:v>
                </c:pt>
                <c:pt idx="496">
                  <c:v>-22.697937919646961</c:v>
                </c:pt>
                <c:pt idx="497">
                  <c:v>-22.801421013959725</c:v>
                </c:pt>
                <c:pt idx="498">
                  <c:v>-22.904337759723319</c:v>
                </c:pt>
                <c:pt idx="499">
                  <c:v>-23.006694887366997</c:v>
                </c:pt>
                <c:pt idx="500">
                  <c:v>-23.108499012531777</c:v>
                </c:pt>
                <c:pt idx="501">
                  <c:v>-23.212128871328915</c:v>
                </c:pt>
                <c:pt idx="502">
                  <c:v>-23.315193106032375</c:v>
                </c:pt>
                <c:pt idx="503">
                  <c:v>-23.417698452855568</c:v>
                </c:pt>
                <c:pt idx="504">
                  <c:v>-23.519651533159273</c:v>
                </c:pt>
                <c:pt idx="505">
                  <c:v>-23.623380087263527</c:v>
                </c:pt>
                <c:pt idx="506">
                  <c:v>-23.726544391573213</c:v>
                </c:pt>
                <c:pt idx="507">
                  <c:v>-23.829151177677026</c:v>
                </c:pt>
                <c:pt idx="508">
                  <c:v>-23.931207062487548</c:v>
                </c:pt>
                <c:pt idx="509">
                  <c:v>-24.035051442807202</c:v>
                </c:pt>
                <c:pt idx="510">
                  <c:v>-24.138332893080737</c:v>
                </c:pt>
                <c:pt idx="511">
                  <c:v>-24.241058142462101</c:v>
                </c:pt>
                <c:pt idx="512">
                  <c:v>-24.343233805559137</c:v>
                </c:pt>
                <c:pt idx="513">
                  <c:v>-24.447269629039738</c:v>
                </c:pt>
                <c:pt idx="514">
                  <c:v>-24.550743166833406</c:v>
                </c:pt>
                <c:pt idx="515">
                  <c:v>-24.653661159068903</c:v>
                </c:pt>
                <c:pt idx="516">
                  <c:v>-24.756030231159446</c:v>
                </c:pt>
                <c:pt idx="517">
                  <c:v>-24.860208984397634</c:v>
                </c:pt>
                <c:pt idx="518">
                  <c:v>-24.963826771158793</c:v>
                </c:pt>
                <c:pt idx="519">
                  <c:v>-25.066890331877634</c:v>
                </c:pt>
                <c:pt idx="520">
                  <c:v>-25.169406292351351</c:v>
                </c:pt>
                <c:pt idx="521">
                  <c:v>-25.273740934966508</c:v>
                </c:pt>
                <c:pt idx="522">
                  <c:v>-25.377515948656558</c:v>
                </c:pt>
                <c:pt idx="523">
                  <c:v>-25.480738075317994</c:v>
                </c:pt>
                <c:pt idx="524">
                  <c:v>-25.583413942265494</c:v>
                </c:pt>
                <c:pt idx="525">
                  <c:v>-25.687916332770342</c:v>
                </c:pt>
                <c:pt idx="526">
                  <c:v>-25.79186047200238</c:v>
                </c:pt>
                <c:pt idx="527">
                  <c:v>-25.895253104179197</c:v>
                </c:pt>
                <c:pt idx="528">
                  <c:v>-25.998100858977786</c:v>
                </c:pt>
                <c:pt idx="529">
                  <c:v>-26.102781905863587</c:v>
                </c:pt>
                <c:pt idx="530">
                  <c:v>-26.206906139678697</c:v>
                </c:pt>
                <c:pt idx="531">
                  <c:v>-26.310480307550801</c:v>
                </c:pt>
                <c:pt idx="532">
                  <c:v>-26.413511042097969</c:v>
                </c:pt>
                <c:pt idx="533">
                  <c:v>-26.518434845177246</c:v>
                </c:pt>
                <c:pt idx="534">
                  <c:v>-26.622802783170382</c:v>
                </c:pt>
                <c:pt idx="535">
                  <c:v>-26.726621616825739</c:v>
                </c:pt>
                <c:pt idx="536">
                  <c:v>-26.829897992175376</c:v>
                </c:pt>
                <c:pt idx="537">
                  <c:v>-26.934964872284397</c:v>
                </c:pt>
                <c:pt idx="538">
                  <c:v>-27.039478086889154</c:v>
                </c:pt>
                <c:pt idx="539">
                  <c:v>-27.143444389494395</c:v>
                </c:pt>
                <c:pt idx="540">
                  <c:v>-27.246870419157901</c:v>
                </c:pt>
                <c:pt idx="541">
                  <c:v>-27.352196205337407</c:v>
                </c:pt>
                <c:pt idx="542">
                  <c:v>-27.456969515314942</c:v>
                </c:pt>
                <c:pt idx="543">
                  <c:v>-27.56119711578032</c:v>
                </c:pt>
                <c:pt idx="544">
                  <c:v>-27.664885658786392</c:v>
                </c:pt>
                <c:pt idx="545">
                  <c:v>-27.770424944016877</c:v>
                </c:pt>
                <c:pt idx="546">
                  <c:v>-27.875413641511656</c:v>
                </c:pt>
                <c:pt idx="547">
                  <c:v>-27.979858520497412</c:v>
                </c:pt>
                <c:pt idx="548">
                  <c:v>-28.083766235618135</c:v>
                </c:pt>
                <c:pt idx="549">
                  <c:v>-28.189527326697508</c:v>
                </c:pt>
                <c:pt idx="550">
                  <c:v>-28.294739863561695</c:v>
                </c:pt>
                <c:pt idx="551">
                  <c:v>-28.399410617525078</c:v>
                </c:pt>
                <c:pt idx="552">
                  <c:v>-28.503546245382768</c:v>
                </c:pt>
                <c:pt idx="553">
                  <c:v>-28.609585937134341</c:v>
                </c:pt>
                <c:pt idx="554">
                  <c:v>-28.715078767542515</c:v>
                </c:pt>
                <c:pt idx="555">
                  <c:v>-28.82003151866946</c:v>
                </c:pt>
                <c:pt idx="556">
                  <c:v>-28.924450857927933</c:v>
                </c:pt>
                <c:pt idx="557">
                  <c:v>-29.136552761876629</c:v>
                </c:pt>
                <c:pt idx="558">
                  <c:v>-29.346501888091218</c:v>
                </c:pt>
                <c:pt idx="559">
                  <c:v>-29.559091184475989</c:v>
                </c:pt>
                <c:pt idx="560">
                  <c:v>-29.76953809977616</c:v>
                </c:pt>
                <c:pt idx="561">
                  <c:v>-29.98281410117912</c:v>
                </c:pt>
                <c:pt idx="562">
                  <c:v>-30.193955276475663</c:v>
                </c:pt>
                <c:pt idx="563">
                  <c:v>-30.407478529195664</c:v>
                </c:pt>
                <c:pt idx="564">
                  <c:v>-30.618884411546151</c:v>
                </c:pt>
                <c:pt idx="565">
                  <c:v>-30.833477063926825</c:v>
                </c:pt>
                <c:pt idx="566">
                  <c:v>-31.045954842304543</c:v>
                </c:pt>
                <c:pt idx="567">
                  <c:v>-31.261519594007524</c:v>
                </c:pt>
                <c:pt idx="568">
                  <c:v>-31.474975354381115</c:v>
                </c:pt>
                <c:pt idx="569">
                  <c:v>-31.690582986552688</c:v>
                </c:pt>
                <c:pt idx="570">
                  <c:v>-31.90410688790644</c:v>
                </c:pt>
                <c:pt idx="571">
                  <c:v>-32.121377621169515</c:v>
                </c:pt>
                <c:pt idx="572">
                  <c:v>-32.336560183953658</c:v>
                </c:pt>
                <c:pt idx="573">
                  <c:v>-32.553756561932872</c:v>
                </c:pt>
                <c:pt idx="574">
                  <c:v>-32.768895033062108</c:v>
                </c:pt>
                <c:pt idx="575">
                  <c:v>-32.987589985389924</c:v>
                </c:pt>
                <c:pt idx="576">
                  <c:v>-33.204229117395492</c:v>
                </c:pt>
                <c:pt idx="577">
                  <c:v>-34.099814216120471</c:v>
                </c:pt>
                <c:pt idx="578">
                  <c:v>-34.963207826083384</c:v>
                </c:pt>
                <c:pt idx="579">
                  <c:v>-36.758013043778433</c:v>
                </c:pt>
                <c:pt idx="580">
                  <c:v>-38.60054070548594</c:v>
                </c:pt>
                <c:pt idx="581">
                  <c:v>-40.498842973370763</c:v>
                </c:pt>
                <c:pt idx="582">
                  <c:v>-42.466487494024314</c:v>
                </c:pt>
                <c:pt idx="583">
                  <c:v>-44.515675409405034</c:v>
                </c:pt>
                <c:pt idx="584">
                  <c:v>-46.662122861227211</c:v>
                </c:pt>
                <c:pt idx="585">
                  <c:v>-48.917973327795458</c:v>
                </c:pt>
                <c:pt idx="586">
                  <c:v>-51.294304943710323</c:v>
                </c:pt>
                <c:pt idx="587">
                  <c:v>-53.798897906449987</c:v>
                </c:pt>
                <c:pt idx="588">
                  <c:v>-56.43008598828456</c:v>
                </c:pt>
                <c:pt idx="589">
                  <c:v>-59.184571535468621</c:v>
                </c:pt>
                <c:pt idx="590">
                  <c:v>-62.05057817324564</c:v>
                </c:pt>
                <c:pt idx="591">
                  <c:v>-65.013749797110719</c:v>
                </c:pt>
                <c:pt idx="592">
                  <c:v>-68.057199494886746</c:v>
                </c:pt>
                <c:pt idx="593">
                  <c:v>-71.165274599029217</c:v>
                </c:pt>
                <c:pt idx="594">
                  <c:v>-74.32183699746264</c:v>
                </c:pt>
                <c:pt idx="595">
                  <c:v>-77.514208876344398</c:v>
                </c:pt>
                <c:pt idx="596">
                  <c:v>-80.730744452591225</c:v>
                </c:pt>
                <c:pt idx="597">
                  <c:v>-83.963425231726404</c:v>
                </c:pt>
                <c:pt idx="598">
                  <c:v>-87.204822655059914</c:v>
                </c:pt>
                <c:pt idx="599">
                  <c:v>-90.450904631764558</c:v>
                </c:pt>
                <c:pt idx="600">
                  <c:v>-93.697757544002798</c:v>
                </c:pt>
              </c:numCache>
            </c:numRef>
          </c:yVal>
          <c:smooth val="1"/>
          <c:extLst>
            <c:ext xmlns:c16="http://schemas.microsoft.com/office/drawing/2014/chart" uri="{C3380CC4-5D6E-409C-BE32-E72D297353CC}">
              <c16:uniqueId val="{00000000-62A0-439C-911C-8B918FC81F8B}"/>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2A0-439C-911C-8B918FC81F8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'IL Stability Calculations'!$G$635</c:f>
              <c:numCache>
                <c:formatCode>0.00</c:formatCode>
                <c:ptCount val="1"/>
                <c:pt idx="0">
                  <c:v>99.596334850998332</c:v>
                </c:pt>
              </c:numCache>
            </c:numRef>
          </c:xVal>
          <c:yVal>
            <c:numRef>
              <c:f>'IL Stability Calculations'!$H$635</c:f>
              <c:numCache>
                <c:formatCode>0.00</c:formatCode>
                <c:ptCount val="1"/>
                <c:pt idx="0">
                  <c:v>69.986625854987295</c:v>
                </c:pt>
              </c:numCache>
            </c:numRef>
          </c:yVal>
          <c:smooth val="1"/>
          <c:extLst>
            <c:ext xmlns:c16="http://schemas.microsoft.com/office/drawing/2014/chart" uri="{C3380CC4-5D6E-409C-BE32-E72D297353CC}">
              <c16:uniqueId val="{00000002-62A0-439C-911C-8B918FC81F8B}"/>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62A0-439C-911C-8B918FC81F8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'IL Stability Calculations'!$E$5</c:f>
              <c:numCache>
                <c:formatCode>0.0</c:formatCode>
                <c:ptCount val="1"/>
                <c:pt idx="0">
                  <c:v>0.16902642432534409</c:v>
                </c:pt>
              </c:numCache>
            </c:numRef>
          </c:xVal>
          <c:yVal>
            <c:numRef>
              <c:f>'IL Stability Calculations'!$AW$624</c:f>
              <c:numCache>
                <c:formatCode>0.0000</c:formatCode>
                <c:ptCount val="1"/>
                <c:pt idx="0">
                  <c:v>125.31779667546168</c:v>
                </c:pt>
              </c:numCache>
            </c:numRef>
          </c:yVal>
          <c:smooth val="1"/>
          <c:extLst>
            <c:ext xmlns:c16="http://schemas.microsoft.com/office/drawing/2014/chart" uri="{C3380CC4-5D6E-409C-BE32-E72D297353CC}">
              <c16:uniqueId val="{00000004-62A0-439C-911C-8B918FC81F8B}"/>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62A0-439C-911C-8B918FC81F8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'IL Stability Calculations'!$O$4</c:f>
              <c:numCache>
                <c:formatCode>0</c:formatCode>
                <c:ptCount val="1"/>
                <c:pt idx="0">
                  <c:v>1308.1228199333864</c:v>
                </c:pt>
              </c:numCache>
            </c:numRef>
          </c:xVal>
          <c:yVal>
            <c:numRef>
              <c:f>'IL Stability Calculations'!$H$632</c:f>
              <c:numCache>
                <c:formatCode>0.00</c:formatCode>
                <c:ptCount val="1"/>
                <c:pt idx="0">
                  <c:v>44.739320964376887</c:v>
                </c:pt>
              </c:numCache>
            </c:numRef>
          </c:yVal>
          <c:smooth val="1"/>
          <c:extLst>
            <c:ext xmlns:c16="http://schemas.microsoft.com/office/drawing/2014/chart" uri="{C3380CC4-5D6E-409C-BE32-E72D297353CC}">
              <c16:uniqueId val="{00000006-62A0-439C-911C-8B918FC81F8B}"/>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62A0-439C-911C-8B918FC81F8B}"/>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'IL Stability Calculations'!$D$623</c:f>
              <c:numCache>
                <c:formatCode>0</c:formatCode>
                <c:ptCount val="1"/>
                <c:pt idx="0">
                  <c:v>318309.88618379069</c:v>
                </c:pt>
              </c:numCache>
            </c:numRef>
          </c:xVal>
          <c:yVal>
            <c:numRef>
              <c:f>'IL Stability Calculations'!$AW$623</c:f>
              <c:numCache>
                <c:formatCode>0.0000</c:formatCode>
                <c:ptCount val="1"/>
                <c:pt idx="0">
                  <c:v>-55.286387694790548</c:v>
                </c:pt>
              </c:numCache>
            </c:numRef>
          </c:yVal>
          <c:smooth val="1"/>
          <c:extLst>
            <c:ext xmlns:c16="http://schemas.microsoft.com/office/drawing/2014/chart" uri="{C3380CC4-5D6E-409C-BE32-E72D297353CC}">
              <c16:uniqueId val="{00000008-62A0-439C-911C-8B918FC81F8B}"/>
            </c:ext>
          </c:extLst>
        </c:ser>
        <c:dLbls>
          <c:showLegendKey val="0"/>
          <c:showVal val="0"/>
          <c:showCatName val="0"/>
          <c:showSerName val="0"/>
          <c:showPercent val="0"/>
          <c:showBubbleSize val="0"/>
        </c:dLbls>
        <c:axId val="196130688"/>
        <c:axId val="196141056"/>
      </c:scatterChar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62A0-439C-911C-8B918FC81F8B}"/>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'IL Stability Calculations'!$D$627</c:f>
              <c:numCache>
                <c:formatCode>0</c:formatCode>
                <c:ptCount val="1"/>
                <c:pt idx="0">
                  <c:v>2053.4628879370248</c:v>
                </c:pt>
              </c:numCache>
            </c:numRef>
          </c:xVal>
          <c:yVal>
            <c:numRef>
              <c:f>'IL Stability Calculations'!$AW$627</c:f>
              <c:numCache>
                <c:formatCode>0.0000</c:formatCode>
                <c:ptCount val="1"/>
                <c:pt idx="0">
                  <c:v>38.248662523172598</c:v>
                </c:pt>
              </c:numCache>
            </c:numRef>
          </c:yVal>
          <c:smooth val="0"/>
          <c:extLst>
            <c:ext xmlns:c16="http://schemas.microsoft.com/office/drawing/2014/chart" uri="{C3380CC4-5D6E-409C-BE32-E72D297353CC}">
              <c16:uniqueId val="{0000000A-62A0-439C-911C-8B918FC81F8B}"/>
            </c:ext>
          </c:extLst>
        </c:ser>
        <c:ser>
          <c:idx val="11"/>
          <c:order val="9"/>
          <c:tx>
            <c:v>FzRHP</c:v>
          </c:tx>
          <c:spPr>
            <a:ln>
              <a:solidFill>
                <a:srgbClr val="FF00FF"/>
              </a:solidFill>
            </a:ln>
          </c:spPr>
          <c:marker>
            <c:symbol val="circle"/>
            <c:size val="8"/>
            <c:spPr>
              <a:noFill/>
              <a:ln w="19050">
                <a:solidFill>
                  <a:srgbClr val="FF00FF"/>
                </a:solidFill>
              </a:ln>
            </c:spPr>
          </c:marker>
          <c:dLbls>
            <c:dLbl>
              <c:idx val="0"/>
              <c:layout>
                <c:manualLayout>
                  <c:x val="-2.3423587921912771E-2"/>
                  <c:y val="2.9171863622686083E-2"/>
                </c:manualLayout>
              </c:layout>
              <c:tx>
                <c:rich>
                  <a:bodyPr/>
                  <a:lstStyle/>
                  <a:p>
                    <a:r>
                      <a:rPr lang="en-US"/>
                      <a:t>f</a:t>
                    </a:r>
                    <a:r>
                      <a:rPr lang="en-US" baseline="-25000"/>
                      <a:t>ZRHP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62A0-439C-911C-8B918FC81F8B}"/>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'IL Stability Calculations'!$D$628</c:f>
              <c:numCache>
                <c:formatCode>0</c:formatCode>
                <c:ptCount val="1"/>
                <c:pt idx="0">
                  <c:v>10000000</c:v>
                </c:pt>
              </c:numCache>
            </c:numRef>
          </c:xVal>
          <c:yVal>
            <c:numRef>
              <c:f>'IL Stability Calculations'!$H$637</c:f>
              <c:numCache>
                <c:formatCode>0.00</c:formatCode>
                <c:ptCount val="1"/>
                <c:pt idx="0">
                  <c:v>-174.06548233767265</c:v>
                </c:pt>
              </c:numCache>
            </c:numRef>
          </c:yVal>
          <c:smooth val="0"/>
          <c:extLst>
            <c:ext xmlns:c16="http://schemas.microsoft.com/office/drawing/2014/chart" uri="{C3380CC4-5D6E-409C-BE32-E72D297353CC}">
              <c16:uniqueId val="{0000000C-62A0-439C-911C-8B918FC81F8B}"/>
            </c:ext>
          </c:extLst>
        </c:ser>
        <c:dLbls>
          <c:showLegendKey val="0"/>
          <c:showVal val="0"/>
          <c:showCatName val="0"/>
          <c:showSerName val="0"/>
          <c:showPercent val="0"/>
          <c:showBubbleSize val="0"/>
        </c:dLbls>
        <c:axId val="196130688"/>
        <c:axId val="196141056"/>
      </c:scatterChart>
      <c:scatterChart>
        <c:scatterStyle val="lineMarker"/>
        <c:varyColors val="0"/>
        <c:ser>
          <c:idx val="3"/>
          <c:order val="1"/>
          <c:tx>
            <c:v>Loop Phase</c:v>
          </c:tx>
          <c:spPr>
            <a:ln w="34925">
              <a:solidFill>
                <a:srgbClr val="002060"/>
              </a:solidFill>
              <a:prstDash val="sysDash"/>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Calculations'!$AY$13:$AY$613</c:f>
              <c:numCache>
                <c:formatCode>0.00</c:formatCode>
                <c:ptCount val="601"/>
                <c:pt idx="0">
                  <c:v>97.621902175433576</c:v>
                </c:pt>
                <c:pt idx="1">
                  <c:v>96.717891339134084</c:v>
                </c:pt>
                <c:pt idx="2">
                  <c:v>95.8679242909744</c:v>
                </c:pt>
                <c:pt idx="3">
                  <c:v>95.065817712966322</c:v>
                </c:pt>
                <c:pt idx="4">
                  <c:v>94.306148023645434</c:v>
                </c:pt>
                <c:pt idx="5">
                  <c:v>93.582051956979726</c:v>
                </c:pt>
                <c:pt idx="6">
                  <c:v>92.889265958110641</c:v>
                </c:pt>
                <c:pt idx="7">
                  <c:v>92.222306580054962</c:v>
                </c:pt>
                <c:pt idx="8">
                  <c:v>91.576958711913889</c:v>
                </c:pt>
                <c:pt idx="9">
                  <c:v>90.948380695951386</c:v>
                </c:pt>
                <c:pt idx="10">
                  <c:v>90.332969896044006</c:v>
                </c:pt>
                <c:pt idx="11">
                  <c:v>89.72709736146868</c:v>
                </c:pt>
                <c:pt idx="12">
                  <c:v>89.127406593354337</c:v>
                </c:pt>
                <c:pt idx="13">
                  <c:v>88.532013887295307</c:v>
                </c:pt>
                <c:pt idx="14">
                  <c:v>87.938666928640885</c:v>
                </c:pt>
                <c:pt idx="15">
                  <c:v>87.346625626580106</c:v>
                </c:pt>
                <c:pt idx="16">
                  <c:v>86.755816732500165</c:v>
                </c:pt>
                <c:pt idx="17">
                  <c:v>86.167385410077287</c:v>
                </c:pt>
                <c:pt idx="18">
                  <c:v>85.583445188775855</c:v>
                </c:pt>
                <c:pt idx="19">
                  <c:v>85.007768086356833</c:v>
                </c:pt>
                <c:pt idx="20">
                  <c:v>84.44523927011484</c:v>
                </c:pt>
                <c:pt idx="21">
                  <c:v>83.902325953624796</c:v>
                </c:pt>
                <c:pt idx="22">
                  <c:v>83.386470944431238</c:v>
                </c:pt>
                <c:pt idx="23">
                  <c:v>82.906271181082772</c:v>
                </c:pt>
                <c:pt idx="24">
                  <c:v>82.470541919869873</c:v>
                </c:pt>
                <c:pt idx="25">
                  <c:v>82.088171891114541</c:v>
                </c:pt>
                <c:pt idx="26">
                  <c:v>81.767090299468776</c:v>
                </c:pt>
                <c:pt idx="27">
                  <c:v>81.513876715358364</c:v>
                </c:pt>
                <c:pt idx="28">
                  <c:v>81.332778056089523</c:v>
                </c:pt>
                <c:pt idx="29">
                  <c:v>81.225409038624804</c:v>
                </c:pt>
                <c:pt idx="30">
                  <c:v>81.190264657826958</c:v>
                </c:pt>
                <c:pt idx="31">
                  <c:v>81.223185612398339</c:v>
                </c:pt>
                <c:pt idx="32">
                  <c:v>81.317292732926219</c:v>
                </c:pt>
                <c:pt idx="33">
                  <c:v>81.46353572740945</c:v>
                </c:pt>
                <c:pt idx="34">
                  <c:v>81.65162730473439</c:v>
                </c:pt>
                <c:pt idx="35">
                  <c:v>81.870362454201967</c:v>
                </c:pt>
                <c:pt idx="36">
                  <c:v>82.108593663368552</c:v>
                </c:pt>
                <c:pt idx="37">
                  <c:v>82.355760157411822</c:v>
                </c:pt>
                <c:pt idx="38">
                  <c:v>82.601794374873975</c:v>
                </c:pt>
                <c:pt idx="39">
                  <c:v>82.838156795002234</c:v>
                </c:pt>
                <c:pt idx="40">
                  <c:v>83.05720833738647</c:v>
                </c:pt>
                <c:pt idx="41">
                  <c:v>83.25259791231052</c:v>
                </c:pt>
                <c:pt idx="42">
                  <c:v>83.419012713087952</c:v>
                </c:pt>
                <c:pt idx="43">
                  <c:v>83.552145389127901</c:v>
                </c:pt>
                <c:pt idx="44">
                  <c:v>83.648372045600354</c:v>
                </c:pt>
                <c:pt idx="45">
                  <c:v>83.704722721895479</c:v>
                </c:pt>
                <c:pt idx="46">
                  <c:v>83.718627981911169</c:v>
                </c:pt>
                <c:pt idx="47">
                  <c:v>83.687811259790763</c:v>
                </c:pt>
                <c:pt idx="48">
                  <c:v>83.610149143188664</c:v>
                </c:pt>
                <c:pt idx="49">
                  <c:v>83.483520720946132</c:v>
                </c:pt>
                <c:pt idx="50">
                  <c:v>83.30576994673639</c:v>
                </c:pt>
                <c:pt idx="51">
                  <c:v>83.074523085189895</c:v>
                </c:pt>
                <c:pt idx="52">
                  <c:v>82.787309516144873</c:v>
                </c:pt>
                <c:pt idx="53">
                  <c:v>82.441321979383574</c:v>
                </c:pt>
                <c:pt idx="54">
                  <c:v>82.033713170012177</c:v>
                </c:pt>
                <c:pt idx="55">
                  <c:v>81.560271137145648</c:v>
                </c:pt>
                <c:pt idx="56">
                  <c:v>81.017713606721401</c:v>
                </c:pt>
                <c:pt idx="57">
                  <c:v>80.40138398454117</c:v>
                </c:pt>
                <c:pt idx="58">
                  <c:v>79.707012820468989</c:v>
                </c:pt>
                <c:pt idx="59">
                  <c:v>78.92891700900222</c:v>
                </c:pt>
                <c:pt idx="60">
                  <c:v>78.06193980627819</c:v>
                </c:pt>
                <c:pt idx="61">
                  <c:v>77.100009354412606</c:v>
                </c:pt>
                <c:pt idx="62">
                  <c:v>76.036211483656601</c:v>
                </c:pt>
                <c:pt idx="63">
                  <c:v>74.864936508366341</c:v>
                </c:pt>
                <c:pt idx="64">
                  <c:v>73.578448726211036</c:v>
                </c:pt>
                <c:pt idx="65">
                  <c:v>72.170315617764032</c:v>
                </c:pt>
                <c:pt idx="66">
                  <c:v>70.633673507894656</c:v>
                </c:pt>
                <c:pt idx="67">
                  <c:v>68.962365511524837</c:v>
                </c:pt>
                <c:pt idx="68">
                  <c:v>67.150158990060675</c:v>
                </c:pt>
                <c:pt idx="69">
                  <c:v>65.192811658492516</c:v>
                </c:pt>
                <c:pt idx="70">
                  <c:v>63.086672961303734</c:v>
                </c:pt>
                <c:pt idx="71">
                  <c:v>60.83086376908696</c:v>
                </c:pt>
                <c:pt idx="72">
                  <c:v>58.426085033749501</c:v>
                </c:pt>
                <c:pt idx="73">
                  <c:v>55.87717966543245</c:v>
                </c:pt>
                <c:pt idx="74">
                  <c:v>53.191347813542791</c:v>
                </c:pt>
                <c:pt idx="75">
                  <c:v>50.380902631025066</c:v>
                </c:pt>
                <c:pt idx="76">
                  <c:v>47.461471634988158</c:v>
                </c:pt>
                <c:pt idx="77">
                  <c:v>44.454780812046749</c:v>
                </c:pt>
                <c:pt idx="78">
                  <c:v>41.385857991528979</c:v>
                </c:pt>
                <c:pt idx="79">
                  <c:v>38.285550066379301</c:v>
                </c:pt>
                <c:pt idx="80">
                  <c:v>35.180408074950975</c:v>
                </c:pt>
                <c:pt idx="81">
                  <c:v>32.108258128255301</c:v>
                </c:pt>
                <c:pt idx="82">
                  <c:v>29.100713479943238</c:v>
                </c:pt>
                <c:pt idx="83">
                  <c:v>26.192140597040293</c:v>
                </c:pt>
                <c:pt idx="84">
                  <c:v>23.409451109641509</c:v>
                </c:pt>
                <c:pt idx="85">
                  <c:v>20.778837377702303</c:v>
                </c:pt>
                <c:pt idx="86">
                  <c:v>18.318718742595848</c:v>
                </c:pt>
                <c:pt idx="87">
                  <c:v>16.040342993969745</c:v>
                </c:pt>
                <c:pt idx="88">
                  <c:v>13.951700729096302</c:v>
                </c:pt>
                <c:pt idx="89">
                  <c:v>12.05053816725038</c:v>
                </c:pt>
                <c:pt idx="90">
                  <c:v>10.331491645744563</c:v>
                </c:pt>
                <c:pt idx="91">
                  <c:v>8.7836445491157065</c:v>
                </c:pt>
                <c:pt idx="92">
                  <c:v>7.3930188113361339</c:v>
                </c:pt>
                <c:pt idx="93">
                  <c:v>6.1428424809572562</c:v>
                </c:pt>
                <c:pt idx="94">
                  <c:v>5.8503606036017288</c:v>
                </c:pt>
                <c:pt idx="95">
                  <c:v>5.706036074438515</c:v>
                </c:pt>
                <c:pt idx="96">
                  <c:v>5.5651743003620879</c:v>
                </c:pt>
                <c:pt idx="97">
                  <c:v>5.424493274945263</c:v>
                </c:pt>
                <c:pt idx="98">
                  <c:v>5.2871637647713499</c:v>
                </c:pt>
                <c:pt idx="99">
                  <c:v>5.1499514206091419</c:v>
                </c:pt>
                <c:pt idx="100">
                  <c:v>5.0159829053760348</c:v>
                </c:pt>
                <c:pt idx="101">
                  <c:v>4.8821717295998042</c:v>
                </c:pt>
                <c:pt idx="102">
                  <c:v>4.7514954079455265</c:v>
                </c:pt>
                <c:pt idx="103">
                  <c:v>4.62081922536467</c:v>
                </c:pt>
                <c:pt idx="104">
                  <c:v>4.4931770221306522</c:v>
                </c:pt>
                <c:pt idx="105">
                  <c:v>4.3655749320448649</c:v>
                </c:pt>
                <c:pt idx="106">
                  <c:v>4.2409047205532318</c:v>
                </c:pt>
                <c:pt idx="107">
                  <c:v>4.1163058475289631</c:v>
                </c:pt>
                <c:pt idx="108">
                  <c:v>3.9945362202777233</c:v>
                </c:pt>
                <c:pt idx="109">
                  <c:v>3.8727794491268241</c:v>
                </c:pt>
                <c:pt idx="110">
                  <c:v>3.7537530201395271</c:v>
                </c:pt>
                <c:pt idx="111">
                  <c:v>3.6346065430076067</c:v>
                </c:pt>
                <c:pt idx="112">
                  <c:v>3.5180984484105409</c:v>
                </c:pt>
                <c:pt idx="113">
                  <c:v>3.4015008664698883</c:v>
                </c:pt>
                <c:pt idx="114">
                  <c:v>3.2874492525365042</c:v>
                </c:pt>
                <c:pt idx="115">
                  <c:v>3.1732598423120066</c:v>
                </c:pt>
                <c:pt idx="116">
                  <c:v>3.0615271525576588</c:v>
                </c:pt>
                <c:pt idx="117">
                  <c:v>2.9496110732160048</c:v>
                </c:pt>
                <c:pt idx="118">
                  <c:v>2.8400654815730775</c:v>
                </c:pt>
                <c:pt idx="119">
                  <c:v>2.7303591329113033</c:v>
                </c:pt>
                <c:pt idx="120">
                  <c:v>2.6229372047152424</c:v>
                </c:pt>
                <c:pt idx="121">
                  <c:v>2.5153081143473344</c:v>
                </c:pt>
                <c:pt idx="122">
                  <c:v>2.4098805601867639</c:v>
                </c:pt>
                <c:pt idx="123">
                  <c:v>2.3041412163353527</c:v>
                </c:pt>
                <c:pt idx="124">
                  <c:v>2.2005259654222868</c:v>
                </c:pt>
                <c:pt idx="125">
                  <c:v>2.0966199713626281</c:v>
                </c:pt>
                <c:pt idx="126">
                  <c:v>1.9947608785138584</c:v>
                </c:pt>
                <c:pt idx="127">
                  <c:v>1.8925708593154411</c:v>
                </c:pt>
                <c:pt idx="128">
                  <c:v>1.7923533418143904</c:v>
                </c:pt>
                <c:pt idx="129">
                  <c:v>1.6917664200838658</c:v>
                </c:pt>
                <c:pt idx="130">
                  <c:v>1.5930802793027965</c:v>
                </c:pt>
                <c:pt idx="131">
                  <c:v>1.4939877825731003</c:v>
                </c:pt>
                <c:pt idx="132">
                  <c:v>1.4451331180902969</c:v>
                </c:pt>
                <c:pt idx="133">
                  <c:v>1.3967269208663708</c:v>
                </c:pt>
                <c:pt idx="134">
                  <c:v>1.3476250698896877</c:v>
                </c:pt>
                <c:pt idx="135">
                  <c:v>1.2989741414932041</c:v>
                </c:pt>
                <c:pt idx="136">
                  <c:v>1.2507648406297278</c:v>
                </c:pt>
                <c:pt idx="137">
                  <c:v>1.2029881155193607</c:v>
                </c:pt>
                <c:pt idx="138">
                  <c:v>1.1545649090072629</c:v>
                </c:pt>
                <c:pt idx="139">
                  <c:v>1.106575740166079</c:v>
                </c:pt>
                <c:pt idx="140">
                  <c:v>1.0590116677212507</c:v>
                </c:pt>
                <c:pt idx="141">
                  <c:v>1.0118639848162445</c:v>
                </c:pt>
                <c:pt idx="142">
                  <c:v>0.96402073488516749</c:v>
                </c:pt>
                <c:pt idx="143">
                  <c:v>0.91659611227632354</c:v>
                </c:pt>
                <c:pt idx="144">
                  <c:v>0.86958149238671467</c:v>
                </c:pt>
                <c:pt idx="145">
                  <c:v>0.82296847727519662</c:v>
                </c:pt>
                <c:pt idx="146">
                  <c:v>0.77568285062349673</c:v>
                </c:pt>
                <c:pt idx="147">
                  <c:v>0.72880055950636802</c:v>
                </c:pt>
                <c:pt idx="148">
                  <c:v>0.68231330005062318</c:v>
                </c:pt>
                <c:pt idx="149">
                  <c:v>0.63621298696534723</c:v>
                </c:pt>
                <c:pt idx="150">
                  <c:v>0.58943903027557099</c:v>
                </c:pt>
                <c:pt idx="151">
                  <c:v>0.54305366888684148</c:v>
                </c:pt>
                <c:pt idx="152">
                  <c:v>0.49704891000544649</c:v>
                </c:pt>
                <c:pt idx="153">
                  <c:v>0.45141697150097571</c:v>
                </c:pt>
                <c:pt idx="154">
                  <c:v>0.40508901489778282</c:v>
                </c:pt>
                <c:pt idx="155">
                  <c:v>0.35913578806824376</c:v>
                </c:pt>
                <c:pt idx="156">
                  <c:v>0.31354958929222221</c:v>
                </c:pt>
                <c:pt idx="157">
                  <c:v>0.26832292012682046</c:v>
                </c:pt>
                <c:pt idx="158">
                  <c:v>0.22239993713421313</c:v>
                </c:pt>
                <c:pt idx="159">
                  <c:v>0.17683828174398286</c:v>
                </c:pt>
                <c:pt idx="160">
                  <c:v>0.13163053550746895</c:v>
                </c:pt>
                <c:pt idx="161">
                  <c:v>8.6769475984226574E-2</c:v>
                </c:pt>
                <c:pt idx="162">
                  <c:v>4.1231507279093194E-2</c:v>
                </c:pt>
                <c:pt idx="163">
                  <c:v>-3.9583860257152992E-3</c:v>
                </c:pt>
                <c:pt idx="164">
                  <c:v>-4.8807337673110851E-2</c:v>
                </c:pt>
                <c:pt idx="165">
                  <c:v>-9.3322292864826295E-2</c:v>
                </c:pt>
                <c:pt idx="166">
                  <c:v>-0.13855448508678592</c:v>
                </c:pt>
                <c:pt idx="167">
                  <c:v>-0.18345079446362433</c:v>
                </c:pt>
                <c:pt idx="168">
                  <c:v>-0.22801809678836094</c:v>
                </c:pt>
                <c:pt idx="169">
                  <c:v>-0.27226308598002902</c:v>
                </c:pt>
                <c:pt idx="170">
                  <c:v>-0.31713155255229708</c:v>
                </c:pt>
                <c:pt idx="171">
                  <c:v>-0.36167728725405368</c:v>
                </c:pt>
                <c:pt idx="172">
                  <c:v>-0.40590687339417286</c:v>
                </c:pt>
                <c:pt idx="173">
                  <c:v>-0.44982672041942351</c:v>
                </c:pt>
                <c:pt idx="174">
                  <c:v>-0.49453877259941237</c:v>
                </c:pt>
                <c:pt idx="175">
                  <c:v>-0.53893837814547396</c:v>
                </c:pt>
                <c:pt idx="176">
                  <c:v>-0.58303191022267242</c:v>
                </c:pt>
                <c:pt idx="177">
                  <c:v>-0.62682557337896583</c:v>
                </c:pt>
                <c:pt idx="178">
                  <c:v>-0.67139142589610401</c:v>
                </c:pt>
                <c:pt idx="179">
                  <c:v>-0.71565514797271135</c:v>
                </c:pt>
                <c:pt idx="180">
                  <c:v>-0.75962289715533871</c:v>
                </c:pt>
                <c:pt idx="181">
                  <c:v>-0.80330066791898957</c:v>
                </c:pt>
                <c:pt idx="182">
                  <c:v>-0.84755931052296773</c:v>
                </c:pt>
                <c:pt idx="183">
                  <c:v>-0.89152836164464588</c:v>
                </c:pt>
                <c:pt idx="184">
                  <c:v>-0.93521369140225374</c:v>
                </c:pt>
                <c:pt idx="185">
                  <c:v>-0.97862101502047949</c:v>
                </c:pt>
                <c:pt idx="186">
                  <c:v>-1.0229362025653757</c:v>
                </c:pt>
                <c:pt idx="187">
                  <c:v>-1.0669696624876792</c:v>
                </c:pt>
                <c:pt idx="188">
                  <c:v>-1.1107271150529812</c:v>
                </c:pt>
                <c:pt idx="189">
                  <c:v>-1.1542141290850907</c:v>
                </c:pt>
                <c:pt idx="190">
                  <c:v>-1.1982584318633656</c:v>
                </c:pt>
                <c:pt idx="191">
                  <c:v>-1.2420330933502157</c:v>
                </c:pt>
                <c:pt idx="192">
                  <c:v>-1.2855435525860628</c:v>
                </c:pt>
                <c:pt idx="193">
                  <c:v>-1.3287951053209781</c:v>
                </c:pt>
                <c:pt idx="194">
                  <c:v>-1.3729168242585388</c:v>
                </c:pt>
                <c:pt idx="195">
                  <c:v>-1.4167767399346758</c:v>
                </c:pt>
                <c:pt idx="196">
                  <c:v>-1.4603801347130059</c:v>
                </c:pt>
                <c:pt idx="197">
                  <c:v>-1.5037321515438293</c:v>
                </c:pt>
                <c:pt idx="198">
                  <c:v>-1.5477789981885621</c:v>
                </c:pt>
                <c:pt idx="199">
                  <c:v>-1.5915737697547172</c:v>
                </c:pt>
                <c:pt idx="200">
                  <c:v>-1.6351215318474885</c:v>
                </c:pt>
                <c:pt idx="201">
                  <c:v>-1.6784272167191148</c:v>
                </c:pt>
                <c:pt idx="202">
                  <c:v>-1.7224159600916096</c:v>
                </c:pt>
                <c:pt idx="203">
                  <c:v>-1.7661621352087025</c:v>
                </c:pt>
                <c:pt idx="204">
                  <c:v>-1.8096705945715144</c:v>
                </c:pt>
                <c:pt idx="205">
                  <c:v>-1.8529460633342012</c:v>
                </c:pt>
                <c:pt idx="206">
                  <c:v>-1.8970439180418737</c:v>
                </c:pt>
                <c:pt idx="207">
                  <c:v>-1.9409068851451536</c:v>
                </c:pt>
                <c:pt idx="208">
                  <c:v>-1.9845396557678043</c:v>
                </c:pt>
                <c:pt idx="209">
                  <c:v>-2.027946797960027</c:v>
                </c:pt>
                <c:pt idx="210">
                  <c:v>-2.0723088389364079</c:v>
                </c:pt>
                <c:pt idx="211">
                  <c:v>-2.1164421536121836</c:v>
                </c:pt>
                <c:pt idx="212">
                  <c:v>-2.1603513144467854</c:v>
                </c:pt>
                <c:pt idx="213">
                  <c:v>-2.2040407736744498</c:v>
                </c:pt>
                <c:pt idx="214">
                  <c:v>-2.2483793002057268</c:v>
                </c:pt>
                <c:pt idx="215">
                  <c:v>-2.2924982687647173</c:v>
                </c:pt>
                <c:pt idx="216">
                  <c:v>-2.3364020411614206</c:v>
                </c:pt>
                <c:pt idx="217">
                  <c:v>-2.380094865094776</c:v>
                </c:pt>
                <c:pt idx="218">
                  <c:v>-2.4245700359117279</c:v>
                </c:pt>
                <c:pt idx="219">
                  <c:v>-2.4688331675259292</c:v>
                </c:pt>
                <c:pt idx="220">
                  <c:v>-2.5128884578099928</c:v>
                </c:pt>
                <c:pt idx="221">
                  <c:v>-2.5567399950702736</c:v>
                </c:pt>
                <c:pt idx="222">
                  <c:v>-2.6013626437170672</c:v>
                </c:pt>
                <c:pt idx="223">
                  <c:v>-2.6457806586198274</c:v>
                </c:pt>
                <c:pt idx="224">
                  <c:v>-2.6899980749595329</c:v>
                </c:pt>
                <c:pt idx="225">
                  <c:v>-2.7340188229040336</c:v>
                </c:pt>
                <c:pt idx="226">
                  <c:v>-2.778936584764125</c:v>
                </c:pt>
                <c:pt idx="227">
                  <c:v>-2.8236557892941505</c:v>
                </c:pt>
                <c:pt idx="228">
                  <c:v>-2.8681803461282414</c:v>
                </c:pt>
                <c:pt idx="229">
                  <c:v>-2.9125140632039859</c:v>
                </c:pt>
                <c:pt idx="230">
                  <c:v>-3.0027571247394462</c:v>
                </c:pt>
                <c:pt idx="231">
                  <c:v>-3.0475937489350429</c:v>
                </c:pt>
                <c:pt idx="232">
                  <c:v>-3.0922453792815077</c:v>
                </c:pt>
                <c:pt idx="233">
                  <c:v>-3.1377691015480025</c:v>
                </c:pt>
                <c:pt idx="234">
                  <c:v>-3.183106452829719</c:v>
                </c:pt>
                <c:pt idx="235">
                  <c:v>-3.2282610852399216</c:v>
                </c:pt>
                <c:pt idx="236">
                  <c:v>-3.2732365561853101</c:v>
                </c:pt>
                <c:pt idx="237">
                  <c:v>-3.31894351744387</c:v>
                </c:pt>
                <c:pt idx="238">
                  <c:v>-3.3644711664366014</c:v>
                </c:pt>
                <c:pt idx="239">
                  <c:v>-3.4098229958758566</c:v>
                </c:pt>
                <c:pt idx="240">
                  <c:v>-3.4550024083729056</c:v>
                </c:pt>
                <c:pt idx="241">
                  <c:v>-3.5011613628198006</c:v>
                </c:pt>
                <c:pt idx="242">
                  <c:v>-3.5471459415403217</c:v>
                </c:pt>
                <c:pt idx="243">
                  <c:v>-3.5929595381116428</c:v>
                </c:pt>
                <c:pt idx="244">
                  <c:v>-3.6386054585844363</c:v>
                </c:pt>
                <c:pt idx="245">
                  <c:v>-3.685092985312366</c:v>
                </c:pt>
                <c:pt idx="246">
                  <c:v>-3.7314120390119569</c:v>
                </c:pt>
                <c:pt idx="247">
                  <c:v>-3.7775658846896931</c:v>
                </c:pt>
                <c:pt idx="248">
                  <c:v>-3.8235577034426456</c:v>
                </c:pt>
                <c:pt idx="249">
                  <c:v>-3.8705065107524206</c:v>
                </c:pt>
                <c:pt idx="250">
                  <c:v>-3.917291790249493</c:v>
                </c:pt>
                <c:pt idx="251">
                  <c:v>-3.9639167047673141</c:v>
                </c:pt>
                <c:pt idx="252">
                  <c:v>-4.010384335973157</c:v>
                </c:pt>
                <c:pt idx="253">
                  <c:v>-4.057676217983186</c:v>
                </c:pt>
                <c:pt idx="254">
                  <c:v>-4.1048103359439665</c:v>
                </c:pt>
                <c:pt idx="255">
                  <c:v>-4.151789725703793</c:v>
                </c:pt>
                <c:pt idx="256">
                  <c:v>-4.1986173455616438</c:v>
                </c:pt>
                <c:pt idx="257">
                  <c:v>-4.2465034191586994</c:v>
                </c:pt>
                <c:pt idx="258">
                  <c:v>-4.2942358250925281</c:v>
                </c:pt>
                <c:pt idx="259">
                  <c:v>-4.3418175190130341</c:v>
                </c:pt>
                <c:pt idx="260">
                  <c:v>-4.3892513810760079</c:v>
                </c:pt>
                <c:pt idx="261">
                  <c:v>-4.43761330074733</c:v>
                </c:pt>
                <c:pt idx="262">
                  <c:v>-4.4858264546423925</c:v>
                </c:pt>
                <c:pt idx="263">
                  <c:v>-4.5338936940379426</c:v>
                </c:pt>
                <c:pt idx="264">
                  <c:v>-4.5818177976151446</c:v>
                </c:pt>
                <c:pt idx="265">
                  <c:v>-4.6306617585856884</c:v>
                </c:pt>
                <c:pt idx="266">
                  <c:v>-4.6793618007531848</c:v>
                </c:pt>
                <c:pt idx="267">
                  <c:v>-4.7279206716067392</c:v>
                </c:pt>
                <c:pt idx="268">
                  <c:v>-4.7763410489417026</c:v>
                </c:pt>
                <c:pt idx="269">
                  <c:v>-4.8257901758104254</c:v>
                </c:pt>
                <c:pt idx="270">
                  <c:v>-4.875099508486727</c:v>
                </c:pt>
                <c:pt idx="271">
                  <c:v>-4.9242717103255416</c:v>
                </c:pt>
                <c:pt idx="272">
                  <c:v>-4.9733093772459256</c:v>
                </c:pt>
                <c:pt idx="273">
                  <c:v>-5.0233669021375249</c:v>
                </c:pt>
                <c:pt idx="274">
                  <c:v>-5.0732887676958853</c:v>
                </c:pt>
                <c:pt idx="275">
                  <c:v>-5.1230775519660199</c:v>
                </c:pt>
                <c:pt idx="276">
                  <c:v>-5.172735767875082</c:v>
                </c:pt>
                <c:pt idx="277">
                  <c:v>-5.2232916482836345</c:v>
                </c:pt>
                <c:pt idx="278">
                  <c:v>-5.2737165810139288</c:v>
                </c:pt>
                <c:pt idx="279">
                  <c:v>-5.3240130416519662</c:v>
                </c:pt>
                <c:pt idx="280">
                  <c:v>-5.3741834435760438</c:v>
                </c:pt>
                <c:pt idx="281">
                  <c:v>-5.4255841074647435</c:v>
                </c:pt>
                <c:pt idx="282">
                  <c:v>-5.4768567582957814</c:v>
                </c:pt>
                <c:pt idx="283">
                  <c:v>-5.5280038186279512</c:v>
                </c:pt>
                <c:pt idx="284">
                  <c:v>-5.579027650087852</c:v>
                </c:pt>
                <c:pt idx="285">
                  <c:v>-5.6309362216404679</c:v>
                </c:pt>
                <c:pt idx="286">
                  <c:v>-5.6827214162496489</c:v>
                </c:pt>
                <c:pt idx="287">
                  <c:v>-5.734385554752464</c:v>
                </c:pt>
                <c:pt idx="288">
                  <c:v>-5.7859308999677808</c:v>
                </c:pt>
                <c:pt idx="289">
                  <c:v>-5.8386881854229102</c:v>
                </c:pt>
                <c:pt idx="290">
                  <c:v>-5.8913250983556793</c:v>
                </c:pt>
                <c:pt idx="291">
                  <c:v>-5.9438439030732866</c:v>
                </c:pt>
                <c:pt idx="292">
                  <c:v>-5.9962468072897934</c:v>
                </c:pt>
                <c:pt idx="293">
                  <c:v>-6.0497429989103182</c:v>
                </c:pt>
                <c:pt idx="294">
                  <c:v>-6.1031223727874533</c:v>
                </c:pt>
                <c:pt idx="295">
                  <c:v>-6.1563871206147951</c:v>
                </c:pt>
                <c:pt idx="296">
                  <c:v>-6.2095393794669178</c:v>
                </c:pt>
                <c:pt idx="297">
                  <c:v>-6.2637780450095875</c:v>
                </c:pt>
                <c:pt idx="298">
                  <c:v>-6.3179034348620462</c:v>
                </c:pt>
                <c:pt idx="299">
                  <c:v>-6.3719176678549729</c:v>
                </c:pt>
                <c:pt idx="300">
                  <c:v>-6.4258228101918462</c:v>
                </c:pt>
                <c:pt idx="301">
                  <c:v>-6.4808079941624328</c:v>
                </c:pt>
                <c:pt idx="302">
                  <c:v>-6.5356834183932051</c:v>
                </c:pt>
                <c:pt idx="303">
                  <c:v>-6.5904511290142409</c:v>
                </c:pt>
                <c:pt idx="304">
                  <c:v>-6.6451131215284818</c:v>
                </c:pt>
                <c:pt idx="305">
                  <c:v>-6.7010634322096223</c:v>
                </c:pt>
                <c:pt idx="306">
                  <c:v>-6.7569066500927875</c:v>
                </c:pt>
                <c:pt idx="307">
                  <c:v>-6.8126447717073688</c:v>
                </c:pt>
                <c:pt idx="308">
                  <c:v>-6.8682797442066033</c:v>
                </c:pt>
                <c:pt idx="309">
                  <c:v>-6.9249826419744522</c:v>
                </c:pt>
                <c:pt idx="310">
                  <c:v>-6.9815819496015763</c:v>
                </c:pt>
                <c:pt idx="311">
                  <c:v>-7.0380795902792954</c:v>
                </c:pt>
                <c:pt idx="312">
                  <c:v>-7.0944774398626862</c:v>
                </c:pt>
                <c:pt idx="313">
                  <c:v>-7.1521492876929358</c:v>
                </c:pt>
                <c:pt idx="314">
                  <c:v>-7.2097202561328402</c:v>
                </c:pt>
                <c:pt idx="315">
                  <c:v>-7.2671922165143314</c:v>
                </c:pt>
                <c:pt idx="316">
                  <c:v>-7.3245669941795484</c:v>
                </c:pt>
                <c:pt idx="317">
                  <c:v>-7.3832090161454573</c:v>
                </c:pt>
                <c:pt idx="318">
                  <c:v>-7.4417529030466767</c:v>
                </c:pt>
                <c:pt idx="319">
                  <c:v>-7.5002004729759904</c:v>
                </c:pt>
                <c:pt idx="320">
                  <c:v>-7.5585534994377497</c:v>
                </c:pt>
                <c:pt idx="321">
                  <c:v>-7.61816751070279</c:v>
                </c:pt>
                <c:pt idx="322">
                  <c:v>-7.6776861499470783</c:v>
                </c:pt>
                <c:pt idx="323">
                  <c:v>-7.7371111810775517</c:v>
                </c:pt>
                <c:pt idx="324">
                  <c:v>-7.7964443248524447</c:v>
                </c:pt>
                <c:pt idx="325">
                  <c:v>-7.8570326550711798</c:v>
                </c:pt>
                <c:pt idx="326">
                  <c:v>-7.9175283818827893</c:v>
                </c:pt>
                <c:pt idx="327">
                  <c:v>-7.9779332144456703</c:v>
                </c:pt>
                <c:pt idx="328">
                  <c:v>-8.0382488202361344</c:v>
                </c:pt>
                <c:pt idx="329">
                  <c:v>-8.099917120227758</c:v>
                </c:pt>
                <c:pt idx="330">
                  <c:v>-8.1614952815146751</c:v>
                </c:pt>
                <c:pt idx="331">
                  <c:v>-8.2229849664955168</c:v>
                </c:pt>
                <c:pt idx="332">
                  <c:v>-8.2843877971030508</c:v>
                </c:pt>
                <c:pt idx="333">
                  <c:v>-8.3470351872963136</c:v>
                </c:pt>
                <c:pt idx="334">
                  <c:v>-8.4095952112246835</c:v>
                </c:pt>
                <c:pt idx="335">
                  <c:v>-8.4720694756962587</c:v>
                </c:pt>
                <c:pt idx="336">
                  <c:v>-8.5344595485616424</c:v>
                </c:pt>
                <c:pt idx="337">
                  <c:v>-8.5982930772186137</c:v>
                </c:pt>
                <c:pt idx="338">
                  <c:v>-8.6620414479834551</c:v>
                </c:pt>
                <c:pt idx="339">
                  <c:v>-8.7257062272237533</c:v>
                </c:pt>
                <c:pt idx="340">
                  <c:v>-8.7892889433749133</c:v>
                </c:pt>
                <c:pt idx="341">
                  <c:v>-8.8543093034266178</c:v>
                </c:pt>
                <c:pt idx="342">
                  <c:v>-8.9192467532360808</c:v>
                </c:pt>
                <c:pt idx="343">
                  <c:v>-8.9841028173421194</c:v>
                </c:pt>
                <c:pt idx="344">
                  <c:v>-9.0488789834293186</c:v>
                </c:pt>
                <c:pt idx="345">
                  <c:v>-9.1149866938715149</c:v>
                </c:pt>
                <c:pt idx="346">
                  <c:v>-9.1810140111254839</c:v>
                </c:pt>
                <c:pt idx="347">
                  <c:v>-9.2469624102021442</c:v>
                </c:pt>
                <c:pt idx="348">
                  <c:v>-9.3128333305893136</c:v>
                </c:pt>
                <c:pt idx="349">
                  <c:v>-9.3802319909566734</c:v>
                </c:pt>
                <c:pt idx="350">
                  <c:v>-9.4475522953804898</c:v>
                </c:pt>
                <c:pt idx="351">
                  <c:v>-9.5147956822011395</c:v>
                </c:pt>
                <c:pt idx="352">
                  <c:v>-9.5819635551603994</c:v>
                </c:pt>
                <c:pt idx="353">
                  <c:v>-9.6506538615720103</c:v>
                </c:pt>
                <c:pt idx="354">
                  <c:v>-9.7192678865556559</c:v>
                </c:pt>
                <c:pt idx="355">
                  <c:v>-9.7878070305029894</c:v>
                </c:pt>
                <c:pt idx="356">
                  <c:v>-9.8562726601790018</c:v>
                </c:pt>
                <c:pt idx="357">
                  <c:v>-9.9261564518196224</c:v>
                </c:pt>
                <c:pt idx="358">
                  <c:v>-9.9959662707317989</c:v>
                </c:pt>
                <c:pt idx="359">
                  <c:v>-10.065703472684334</c:v>
                </c:pt>
                <c:pt idx="360">
                  <c:v>-10.135369381007763</c:v>
                </c:pt>
                <c:pt idx="361">
                  <c:v>-10.206647404864356</c:v>
                </c:pt>
                <c:pt idx="362">
                  <c:v>-10.277853355002406</c:v>
                </c:pt>
                <c:pt idx="363">
                  <c:v>-10.348988553536145</c:v>
                </c:pt>
                <c:pt idx="364">
                  <c:v>-10.420054290987252</c:v>
                </c:pt>
                <c:pt idx="365">
                  <c:v>-10.492628785099782</c:v>
                </c:pt>
                <c:pt idx="366">
                  <c:v>-10.565133326685697</c:v>
                </c:pt>
                <c:pt idx="367">
                  <c:v>-10.637569197899182</c:v>
                </c:pt>
                <c:pt idx="368">
                  <c:v>-10.709937650352629</c:v>
                </c:pt>
                <c:pt idx="369">
                  <c:v>-10.784007348591274</c:v>
                </c:pt>
                <c:pt idx="370">
                  <c:v>-10.858008855012372</c:v>
                </c:pt>
                <c:pt idx="371">
                  <c:v>-10.931943421467906</c:v>
                </c:pt>
                <c:pt idx="372">
                  <c:v>-11.00581227001544</c:v>
                </c:pt>
                <c:pt idx="373">
                  <c:v>-11.081279882328033</c:v>
                </c:pt>
                <c:pt idx="374">
                  <c:v>-11.156681272739377</c:v>
                </c:pt>
                <c:pt idx="375">
                  <c:v>-11.232017656877787</c:v>
                </c:pt>
                <c:pt idx="376">
                  <c:v>-11.307290221517178</c:v>
                </c:pt>
                <c:pt idx="377">
                  <c:v>-11.384352765778175</c:v>
                </c:pt>
                <c:pt idx="378">
                  <c:v>-11.461350739806988</c:v>
                </c:pt>
                <c:pt idx="379">
                  <c:v>-11.538285331553112</c:v>
                </c:pt>
                <c:pt idx="380">
                  <c:v>-11.615157700786767</c:v>
                </c:pt>
                <c:pt idx="381">
                  <c:v>-11.693621217673808</c:v>
                </c:pt>
                <c:pt idx="382">
                  <c:v>-11.772022165430059</c:v>
                </c:pt>
                <c:pt idx="383">
                  <c:v>-11.850361694563162</c:v>
                </c:pt>
                <c:pt idx="384">
                  <c:v>-11.928640928386784</c:v>
                </c:pt>
                <c:pt idx="385">
                  <c:v>-12.008798759989872</c:v>
                </c:pt>
                <c:pt idx="386">
                  <c:v>-12.08889557510966</c:v>
                </c:pt>
                <c:pt idx="387">
                  <c:v>-12.168932498962732</c:v>
                </c:pt>
                <c:pt idx="388">
                  <c:v>-12.248910630177846</c:v>
                </c:pt>
                <c:pt idx="389">
                  <c:v>-12.330666511698439</c:v>
                </c:pt>
                <c:pt idx="390">
                  <c:v>-12.412363112034029</c:v>
                </c:pt>
                <c:pt idx="391">
                  <c:v>-12.494001525952427</c:v>
                </c:pt>
                <c:pt idx="392">
                  <c:v>-12.5755828224043</c:v>
                </c:pt>
                <c:pt idx="393">
                  <c:v>-12.658938354135813</c:v>
                </c:pt>
                <c:pt idx="394">
                  <c:v>-12.742236354788787</c:v>
                </c:pt>
                <c:pt idx="395">
                  <c:v>-12.825477888116779</c:v>
                </c:pt>
                <c:pt idx="396">
                  <c:v>-12.908663992848602</c:v>
                </c:pt>
                <c:pt idx="397">
                  <c:v>-12.99381324124414</c:v>
                </c:pt>
                <c:pt idx="398">
                  <c:v>-13.078906465731365</c:v>
                </c:pt>
                <c:pt idx="399">
                  <c:v>-13.163944705625397</c:v>
                </c:pt>
                <c:pt idx="400">
                  <c:v>-13.248928975804262</c:v>
                </c:pt>
                <c:pt idx="401">
                  <c:v>-13.33577684846631</c:v>
                </c:pt>
                <c:pt idx="402">
                  <c:v>-13.422570358594442</c:v>
                </c:pt>
                <c:pt idx="403">
                  <c:v>-13.509310516676436</c:v>
                </c:pt>
                <c:pt idx="404">
                  <c:v>-13.595998309490398</c:v>
                </c:pt>
                <c:pt idx="405">
                  <c:v>-13.684642227126375</c:v>
                </c:pt>
                <c:pt idx="406">
                  <c:v>-13.773233340841728</c:v>
                </c:pt>
                <c:pt idx="407">
                  <c:v>-13.861772635014603</c:v>
                </c:pt>
                <c:pt idx="408">
                  <c:v>-13.950261070957026</c:v>
                </c:pt>
                <c:pt idx="409">
                  <c:v>-14.040797853209455</c:v>
                </c:pt>
                <c:pt idx="410">
                  <c:v>-14.131283302304155</c:v>
                </c:pt>
                <c:pt idx="411">
                  <c:v>-14.221718378842894</c:v>
                </c:pt>
                <c:pt idx="412">
                  <c:v>-14.312104020934925</c:v>
                </c:pt>
                <c:pt idx="413">
                  <c:v>-14.404534798684409</c:v>
                </c:pt>
                <c:pt idx="414">
                  <c:v>-14.496915741090049</c:v>
                </c:pt>
                <c:pt idx="415">
                  <c:v>-14.589247784115656</c:v>
                </c:pt>
                <c:pt idx="416">
                  <c:v>-14.681531841831401</c:v>
                </c:pt>
                <c:pt idx="417">
                  <c:v>-14.775953052957419</c:v>
                </c:pt>
                <c:pt idx="418">
                  <c:v>-14.870325849503843</c:v>
                </c:pt>
                <c:pt idx="419">
                  <c:v>-14.964651144847352</c:v>
                </c:pt>
                <c:pt idx="420">
                  <c:v>-15.058929831006793</c:v>
                </c:pt>
                <c:pt idx="421">
                  <c:v>-15.155247907128796</c:v>
                </c:pt>
                <c:pt idx="422">
                  <c:v>-15.251519106939355</c:v>
                </c:pt>
                <c:pt idx="423">
                  <c:v>-15.347744317790983</c:v>
                </c:pt>
                <c:pt idx="424">
                  <c:v>-15.443924406321514</c:v>
                </c:pt>
                <c:pt idx="425">
                  <c:v>-15.542425214565952</c:v>
                </c:pt>
                <c:pt idx="426">
                  <c:v>-15.640880430488863</c:v>
                </c:pt>
                <c:pt idx="427">
                  <c:v>-15.739290922485935</c:v>
                </c:pt>
                <c:pt idx="428">
                  <c:v>-15.837657538659755</c:v>
                </c:pt>
                <c:pt idx="429">
                  <c:v>-15.938247432007415</c:v>
                </c:pt>
                <c:pt idx="430">
                  <c:v>-16.03879313637313</c:v>
                </c:pt>
                <c:pt idx="431">
                  <c:v>-16.139295497699862</c:v>
                </c:pt>
                <c:pt idx="432">
                  <c:v>-16.239755342166092</c:v>
                </c:pt>
                <c:pt idx="433">
                  <c:v>-16.342435946230239</c:v>
                </c:pt>
                <c:pt idx="434">
                  <c:v>-16.445073781905307</c:v>
                </c:pt>
                <c:pt idx="435">
                  <c:v>-16.547669672026103</c:v>
                </c:pt>
                <c:pt idx="436">
                  <c:v>-16.650224420207707</c:v>
                </c:pt>
                <c:pt idx="437">
                  <c:v>-16.755185867347905</c:v>
                </c:pt>
                <c:pt idx="438">
                  <c:v>-16.860105830193589</c:v>
                </c:pt>
                <c:pt idx="439">
                  <c:v>-16.964985112225662</c:v>
                </c:pt>
                <c:pt idx="440">
                  <c:v>-17.069824498132334</c:v>
                </c:pt>
                <c:pt idx="441">
                  <c:v>-17.177068066335579</c:v>
                </c:pt>
                <c:pt idx="442">
                  <c:v>-17.284271460699841</c:v>
                </c:pt>
                <c:pt idx="443">
                  <c:v>-17.391435464424575</c:v>
                </c:pt>
                <c:pt idx="444">
                  <c:v>-17.498560842365606</c:v>
                </c:pt>
                <c:pt idx="445">
                  <c:v>-17.60808811185882</c:v>
                </c:pt>
                <c:pt idx="446">
                  <c:v>-17.717576537120721</c:v>
                </c:pt>
                <c:pt idx="447">
                  <c:v>-17.827026880291726</c:v>
                </c:pt>
                <c:pt idx="448">
                  <c:v>-17.936439885636474</c:v>
                </c:pt>
                <c:pt idx="449">
                  <c:v>-18.048440119895332</c:v>
                </c:pt>
                <c:pt idx="450">
                  <c:v>-18.160402727401987</c:v>
                </c:pt>
                <c:pt idx="451">
                  <c:v>-18.272328452280107</c:v>
                </c:pt>
                <c:pt idx="452">
                  <c:v>-18.384218021141947</c:v>
                </c:pt>
                <c:pt idx="453">
                  <c:v>-18.498598987480108</c:v>
                </c:pt>
                <c:pt idx="454">
                  <c:v>-18.612943628388678</c:v>
                </c:pt>
                <c:pt idx="455">
                  <c:v>-18.7272526672146</c:v>
                </c:pt>
                <c:pt idx="456">
                  <c:v>-18.841526810236132</c:v>
                </c:pt>
                <c:pt idx="457">
                  <c:v>-18.958477432246696</c:v>
                </c:pt>
                <c:pt idx="458">
                  <c:v>-19.075392927751153</c:v>
                </c:pt>
                <c:pt idx="459">
                  <c:v>-19.192274002013249</c:v>
                </c:pt>
                <c:pt idx="460">
                  <c:v>-19.309121343576209</c:v>
                </c:pt>
                <c:pt idx="461">
                  <c:v>-19.428643162919599</c:v>
                </c:pt>
                <c:pt idx="462">
                  <c:v>-19.548131074273613</c:v>
                </c:pt>
                <c:pt idx="463">
                  <c:v>-19.667585763836399</c:v>
                </c:pt>
                <c:pt idx="464">
                  <c:v>-19.787007901452199</c:v>
                </c:pt>
                <c:pt idx="465">
                  <c:v>-19.909195972438027</c:v>
                </c:pt>
                <c:pt idx="466">
                  <c:v>-20.031351316871991</c:v>
                </c:pt>
                <c:pt idx="467">
                  <c:v>-20.153474602525733</c:v>
                </c:pt>
                <c:pt idx="468">
                  <c:v>-20.275566481147507</c:v>
                </c:pt>
                <c:pt idx="469">
                  <c:v>-20.400422525978769</c:v>
                </c:pt>
                <c:pt idx="470">
                  <c:v>-20.525247038887272</c:v>
                </c:pt>
                <c:pt idx="471">
                  <c:v>-20.650040668238802</c:v>
                </c:pt>
                <c:pt idx="472">
                  <c:v>-20.77480404672275</c:v>
                </c:pt>
                <c:pt idx="473">
                  <c:v>-20.902516150800381</c:v>
                </c:pt>
                <c:pt idx="474">
                  <c:v>-21.030197835804074</c:v>
                </c:pt>
                <c:pt idx="475">
                  <c:v>-21.157849732529058</c:v>
                </c:pt>
                <c:pt idx="476">
                  <c:v>-21.285472456358605</c:v>
                </c:pt>
                <c:pt idx="477">
                  <c:v>-21.416042228334533</c:v>
                </c:pt>
                <c:pt idx="478">
                  <c:v>-21.546582706964784</c:v>
                </c:pt>
                <c:pt idx="479">
                  <c:v>-21.677094504283559</c:v>
                </c:pt>
                <c:pt idx="480">
                  <c:v>-21.807578217194987</c:v>
                </c:pt>
                <c:pt idx="481">
                  <c:v>-21.941007472742797</c:v>
                </c:pt>
                <c:pt idx="482">
                  <c:v>-22.074408565473192</c:v>
                </c:pt>
                <c:pt idx="483">
                  <c:v>-22.207782087546292</c:v>
                </c:pt>
                <c:pt idx="484">
                  <c:v>-22.341128616286824</c:v>
                </c:pt>
                <c:pt idx="485">
                  <c:v>-22.47751217098795</c:v>
                </c:pt>
                <c:pt idx="486">
                  <c:v>-22.613868653828035</c:v>
                </c:pt>
                <c:pt idx="487">
                  <c:v>-22.750198637197656</c:v>
                </c:pt>
                <c:pt idx="488">
                  <c:v>-22.886502678910091</c:v>
                </c:pt>
                <c:pt idx="489">
                  <c:v>-23.026027955611085</c:v>
                </c:pt>
                <c:pt idx="490">
                  <c:v>-23.165527177946558</c:v>
                </c:pt>
                <c:pt idx="491">
                  <c:v>-23.305000899537475</c:v>
                </c:pt>
                <c:pt idx="492">
                  <c:v>-23.444449659612985</c:v>
                </c:pt>
                <c:pt idx="493">
                  <c:v>-23.58711827857303</c:v>
                </c:pt>
                <c:pt idx="494">
                  <c:v>-23.729761858559812</c:v>
                </c:pt>
                <c:pt idx="495">
                  <c:v>-23.872380932942974</c:v>
                </c:pt>
                <c:pt idx="496">
                  <c:v>-24.014976020898558</c:v>
                </c:pt>
                <c:pt idx="497">
                  <c:v>-24.160882359060253</c:v>
                </c:pt>
                <c:pt idx="498">
                  <c:v>-24.306764631740293</c:v>
                </c:pt>
                <c:pt idx="499">
                  <c:v>-24.452623351574744</c:v>
                </c:pt>
                <c:pt idx="500">
                  <c:v>-24.598459017168693</c:v>
                </c:pt>
                <c:pt idx="501">
                  <c:v>-24.747697296489633</c:v>
                </c:pt>
                <c:pt idx="502">
                  <c:v>-24.896912439049345</c:v>
                </c:pt>
                <c:pt idx="503">
                  <c:v>-25.046104936049517</c:v>
                </c:pt>
                <c:pt idx="504">
                  <c:v>-25.195275264798084</c:v>
                </c:pt>
                <c:pt idx="505">
                  <c:v>-25.347847024370992</c:v>
                </c:pt>
                <c:pt idx="506">
                  <c:v>-25.500396553723334</c:v>
                </c:pt>
                <c:pt idx="507">
                  <c:v>-25.652924320867783</c:v>
                </c:pt>
                <c:pt idx="508">
                  <c:v>-25.805430780057378</c:v>
                </c:pt>
                <c:pt idx="509">
                  <c:v>-25.96143004860923</c:v>
                </c:pt>
                <c:pt idx="510">
                  <c:v>-26.117407934989131</c:v>
                </c:pt>
                <c:pt idx="511">
                  <c:v>-26.273364883023476</c:v>
                </c:pt>
                <c:pt idx="512">
                  <c:v>-26.429301322877137</c:v>
                </c:pt>
                <c:pt idx="513">
                  <c:v>-26.588914321177867</c:v>
                </c:pt>
                <c:pt idx="514">
                  <c:v>-26.74850669707925</c:v>
                </c:pt>
                <c:pt idx="515">
                  <c:v>-26.908078869684829</c:v>
                </c:pt>
                <c:pt idx="516">
                  <c:v>-27.067631244471585</c:v>
                </c:pt>
                <c:pt idx="517">
                  <c:v>-27.230859017855238</c:v>
                </c:pt>
                <c:pt idx="518">
                  <c:v>-27.394066882160701</c:v>
                </c:pt>
                <c:pt idx="519">
                  <c:v>-27.557255229438056</c:v>
                </c:pt>
                <c:pt idx="520">
                  <c:v>-27.720424438138991</c:v>
                </c:pt>
                <c:pt idx="521">
                  <c:v>-27.887360260571569</c:v>
                </c:pt>
                <c:pt idx="522">
                  <c:v>-28.054276805324065</c:v>
                </c:pt>
                <c:pt idx="523">
                  <c:v>-28.221174435577865</c:v>
                </c:pt>
                <c:pt idx="524">
                  <c:v>-28.388053500908057</c:v>
                </c:pt>
                <c:pt idx="525">
                  <c:v>-28.558790315555285</c:v>
                </c:pt>
                <c:pt idx="526">
                  <c:v>-28.729508390893955</c:v>
                </c:pt>
                <c:pt idx="527">
                  <c:v>-28.900208059109758</c:v>
                </c:pt>
                <c:pt idx="528">
                  <c:v>-29.070889638731899</c:v>
                </c:pt>
                <c:pt idx="529">
                  <c:v>-29.245520005942865</c:v>
                </c:pt>
                <c:pt idx="530">
                  <c:v>-29.420132066133505</c:v>
                </c:pt>
                <c:pt idx="531">
                  <c:v>-29.594726118023317</c:v>
                </c:pt>
                <c:pt idx="532">
                  <c:v>-29.769302446583481</c:v>
                </c:pt>
                <c:pt idx="533">
                  <c:v>-29.948010690203262</c:v>
                </c:pt>
                <c:pt idx="534">
                  <c:v>-30.126700919362264</c:v>
                </c:pt>
                <c:pt idx="535">
                  <c:v>-30.305373396869186</c:v>
                </c:pt>
                <c:pt idx="536">
                  <c:v>-30.484028371616773</c:v>
                </c:pt>
                <c:pt idx="537">
                  <c:v>-30.666721638208742</c:v>
                </c:pt>
                <c:pt idx="538">
                  <c:v>-30.849397081438354</c:v>
                </c:pt>
                <c:pt idx="539">
                  <c:v>-31.032054924137555</c:v>
                </c:pt>
                <c:pt idx="540">
                  <c:v>-31.214695375064338</c:v>
                </c:pt>
                <c:pt idx="541">
                  <c:v>-31.40164904402414</c:v>
                </c:pt>
                <c:pt idx="542">
                  <c:v>-31.588584885301429</c:v>
                </c:pt>
                <c:pt idx="543">
                  <c:v>-31.775503078745771</c:v>
                </c:pt>
                <c:pt idx="544">
                  <c:v>-31.962403789872496</c:v>
                </c:pt>
                <c:pt idx="545">
                  <c:v>-32.15361595496509</c:v>
                </c:pt>
                <c:pt idx="546">
                  <c:v>-32.344810124148609</c:v>
                </c:pt>
                <c:pt idx="547">
                  <c:v>-32.535986429771043</c:v>
                </c:pt>
                <c:pt idx="548">
                  <c:v>-32.727144989561396</c:v>
                </c:pt>
                <c:pt idx="549">
                  <c:v>-32.922705142113273</c:v>
                </c:pt>
                <c:pt idx="550">
                  <c:v>-33.118246922249313</c:v>
                </c:pt>
                <c:pt idx="551">
                  <c:v>-33.313770410136925</c:v>
                </c:pt>
                <c:pt idx="552">
                  <c:v>-33.509275670974688</c:v>
                </c:pt>
                <c:pt idx="553">
                  <c:v>-33.709364398261613</c:v>
                </c:pt>
                <c:pt idx="554">
                  <c:v>-33.909434121476977</c:v>
                </c:pt>
                <c:pt idx="555">
                  <c:v>-34.109484863379805</c:v>
                </c:pt>
                <c:pt idx="556">
                  <c:v>-34.309516631326858</c:v>
                </c:pt>
                <c:pt idx="557">
                  <c:v>-34.718906064776007</c:v>
                </c:pt>
                <c:pt idx="558">
                  <c:v>-35.128215689796491</c:v>
                </c:pt>
                <c:pt idx="559">
                  <c:v>-35.54682413146972</c:v>
                </c:pt>
                <c:pt idx="560">
                  <c:v>-35.9653477054039</c:v>
                </c:pt>
                <c:pt idx="561">
                  <c:v>-36.393712057460931</c:v>
                </c:pt>
                <c:pt idx="562">
                  <c:v>-36.821984893635914</c:v>
                </c:pt>
                <c:pt idx="563">
                  <c:v>-37.259351869601119</c:v>
                </c:pt>
                <c:pt idx="564">
                  <c:v>-37.696619460724577</c:v>
                </c:pt>
                <c:pt idx="565">
                  <c:v>-38.144804921039849</c:v>
                </c:pt>
                <c:pt idx="566">
                  <c:v>-38.592880522216831</c:v>
                </c:pt>
                <c:pt idx="567">
                  <c:v>-39.051857104483332</c:v>
                </c:pt>
                <c:pt idx="568">
                  <c:v>-39.510711282066723</c:v>
                </c:pt>
                <c:pt idx="569">
                  <c:v>-39.978612239695224</c:v>
                </c:pt>
                <c:pt idx="570">
                  <c:v>-40.44637700528915</c:v>
                </c:pt>
                <c:pt idx="571">
                  <c:v>-40.92683531393061</c:v>
                </c:pt>
                <c:pt idx="572">
                  <c:v>-41.407138901173568</c:v>
                </c:pt>
                <c:pt idx="573">
                  <c:v>-41.896443125040861</c:v>
                </c:pt>
                <c:pt idx="574">
                  <c:v>-42.385573578487936</c:v>
                </c:pt>
                <c:pt idx="575">
                  <c:v>-42.887339518178237</c:v>
                </c:pt>
                <c:pt idx="576">
                  <c:v>-43.388906824985099</c:v>
                </c:pt>
                <c:pt idx="577">
                  <c:v>-45.509927599121767</c:v>
                </c:pt>
                <c:pt idx="578">
                  <c:v>-47.626510288581159</c:v>
                </c:pt>
                <c:pt idx="579">
                  <c:v>-52.245037688467747</c:v>
                </c:pt>
                <c:pt idx="580">
                  <c:v>-57.272543499516956</c:v>
                </c:pt>
                <c:pt idx="581">
                  <c:v>-62.714176494215749</c:v>
                </c:pt>
                <c:pt idx="582">
                  <c:v>-68.572172232817465</c:v>
                </c:pt>
                <c:pt idx="583">
                  <c:v>-74.821861542749545</c:v>
                </c:pt>
                <c:pt idx="584">
                  <c:v>-81.422792264609754</c:v>
                </c:pt>
                <c:pt idx="585">
                  <c:v>-88.29728230702915</c:v>
                </c:pt>
                <c:pt idx="586">
                  <c:v>-95.343372271207258</c:v>
                </c:pt>
                <c:pt idx="587">
                  <c:v>-102.43876728483067</c:v>
                </c:pt>
                <c:pt idx="588">
                  <c:v>-109.43888289521932</c:v>
                </c:pt>
                <c:pt idx="589">
                  <c:v>-116.2148742898934</c:v>
                </c:pt>
                <c:pt idx="590">
                  <c:v>-122.6475748966825</c:v>
                </c:pt>
                <c:pt idx="591">
                  <c:v>-128.64937841964201</c:v>
                </c:pt>
                <c:pt idx="592">
                  <c:v>-134.16390610138649</c:v>
                </c:pt>
                <c:pt idx="593">
                  <c:v>-139.16819401530739</c:v>
                </c:pt>
                <c:pt idx="594">
                  <c:v>-143.66219268111564</c:v>
                </c:pt>
                <c:pt idx="595">
                  <c:v>-147.66730959702329</c:v>
                </c:pt>
                <c:pt idx="596">
                  <c:v>-151.21580373371651</c:v>
                </c:pt>
                <c:pt idx="597">
                  <c:v>-154.34849087217896</c:v>
                </c:pt>
                <c:pt idx="598">
                  <c:v>-157.10738457201774</c:v>
                </c:pt>
                <c:pt idx="599">
                  <c:v>-159.53569428293903</c:v>
                </c:pt>
                <c:pt idx="600">
                  <c:v>-161.67328274987446</c:v>
                </c:pt>
              </c:numCache>
            </c:numRef>
          </c:yVal>
          <c:smooth val="0"/>
          <c:extLst>
            <c:ext xmlns:c16="http://schemas.microsoft.com/office/drawing/2014/chart" uri="{C3380CC4-5D6E-409C-BE32-E72D297353CC}">
              <c16:uniqueId val="{0000000D-62A0-439C-911C-8B918FC81F8B}"/>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62A0-439C-911C-8B918FC81F8B}"/>
              </c:ext>
            </c:extLst>
          </c:dPt>
          <c:xVal>
            <c:numRef>
              <c:f>'IL Stability Calculations'!$D$617:$D$618</c:f>
              <c:numCache>
                <c:formatCode>General</c:formatCode>
                <c:ptCount val="2"/>
                <c:pt idx="0">
                  <c:v>18515</c:v>
                </c:pt>
                <c:pt idx="1">
                  <c:v>18515</c:v>
                </c:pt>
              </c:numCache>
            </c:numRef>
          </c:xVal>
          <c:yVal>
            <c:numRef>
              <c:f>'IL Stability Calculations'!$AY$617:$AY$618</c:f>
              <c:numCache>
                <c:formatCode>0.00</c:formatCode>
                <c:ptCount val="2"/>
                <c:pt idx="0">
                  <c:v>-4.9242717103255416</c:v>
                </c:pt>
                <c:pt idx="1">
                  <c:v>0</c:v>
                </c:pt>
              </c:numCache>
            </c:numRef>
          </c:yVal>
          <c:smooth val="0"/>
          <c:extLst>
            <c:ext xmlns:c16="http://schemas.microsoft.com/office/drawing/2014/chart" uri="{C3380CC4-5D6E-409C-BE32-E72D297353CC}">
              <c16:uniqueId val="{0000000F-62A0-439C-911C-8B918FC81F8B}"/>
            </c:ext>
          </c:extLst>
        </c:ser>
        <c:ser>
          <c:idx val="0"/>
          <c:order val="8"/>
          <c:tx>
            <c:v>Fc2</c:v>
          </c:tx>
          <c:spPr>
            <a:ln w="22225">
              <a:solidFill>
                <a:schemeClr val="tx1">
                  <a:lumMod val="50000"/>
                  <a:lumOff val="50000"/>
                </a:schemeClr>
              </a:solidFill>
              <a:prstDash val="sysDash"/>
            </a:ln>
          </c:spPr>
          <c:marker>
            <c:symbol val="none"/>
          </c:marker>
          <c:dLbls>
            <c:dLbl>
              <c:idx val="1"/>
              <c:layout>
                <c:manualLayout>
                  <c:x val="-5.4702293288449298E-2"/>
                  <c:y val="-1.88634230614630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62A0-439C-911C-8B918FC81F8B}"/>
                </c:ext>
              </c:extLst>
            </c:dLbl>
            <c:spPr>
              <a:solidFill>
                <a:schemeClr val="lt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'IL Stability Calculations'!$D$619:$D$620</c:f>
              <c:numCache>
                <c:formatCode>General</c:formatCode>
                <c:ptCount val="2"/>
                <c:pt idx="0">
                  <c:v>18515</c:v>
                </c:pt>
                <c:pt idx="1">
                  <c:v>1000000</c:v>
                </c:pt>
              </c:numCache>
            </c:numRef>
          </c:xVal>
          <c:yVal>
            <c:numRef>
              <c:f>'IL Stability Calculations'!$AY$619:$AY$620</c:f>
              <c:numCache>
                <c:formatCode>0.00</c:formatCode>
                <c:ptCount val="2"/>
                <c:pt idx="0">
                  <c:v>-4.9242717103255416</c:v>
                </c:pt>
                <c:pt idx="1">
                  <c:v>-4.9242717103255416</c:v>
                </c:pt>
              </c:numCache>
            </c:numRef>
          </c:yVal>
          <c:smooth val="0"/>
          <c:extLst>
            <c:ext xmlns:c16="http://schemas.microsoft.com/office/drawing/2014/chart" uri="{C3380CC4-5D6E-409C-BE32-E72D297353CC}">
              <c16:uniqueId val="{00000011-62A0-439C-911C-8B918FC81F8B}"/>
            </c:ext>
          </c:extLst>
        </c:ser>
        <c:dLbls>
          <c:showLegendKey val="0"/>
          <c:showVal val="0"/>
          <c:showCatName val="0"/>
          <c:showSerName val="0"/>
          <c:showPercent val="0"/>
          <c:showBubbleSize val="0"/>
        </c:dLbls>
        <c:axId val="196142976"/>
        <c:axId val="196144512"/>
      </c:scatterChart>
      <c:valAx>
        <c:axId val="196130688"/>
        <c:scaling>
          <c:logBase val="10"/>
          <c:orientation val="minMax"/>
          <c:max val="1000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96141056"/>
        <c:crossesAt val="-80"/>
        <c:crossBetween val="midCat"/>
      </c:valAx>
      <c:valAx>
        <c:axId val="196141056"/>
        <c:scaling>
          <c:orientation val="minMax"/>
          <c:max val="80"/>
          <c:min val="-8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130688"/>
        <c:crossesAt val="1.0000000000000005E-2"/>
        <c:crossBetween val="midCat"/>
        <c:majorUnit val="20"/>
      </c:valAx>
      <c:valAx>
        <c:axId val="196142976"/>
        <c:scaling>
          <c:logBase val="10"/>
          <c:orientation val="minMax"/>
        </c:scaling>
        <c:delete val="1"/>
        <c:axPos val="b"/>
        <c:numFmt formatCode="General" sourceLinked="1"/>
        <c:majorTickMark val="out"/>
        <c:minorTickMark val="none"/>
        <c:tickLblPos val="none"/>
        <c:crossAx val="196144512"/>
        <c:crosses val="autoZero"/>
        <c:crossBetween val="midCat"/>
      </c:valAx>
      <c:valAx>
        <c:axId val="196144512"/>
        <c:scaling>
          <c:orientation val="minMax"/>
          <c:max val="18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 Phase</a:t>
                </a:r>
                <a:r>
                  <a:rPr lang="en-US" sz="1200" b="1" baseline="0">
                    <a:solidFill>
                      <a:srgbClr val="002060"/>
                    </a:solidFill>
                    <a:latin typeface="Arial" pitchFamily="34" charset="0"/>
                    <a:cs typeface="Arial" pitchFamily="34" charset="0"/>
                  </a:rPr>
                  <a:t> Margin</a:t>
                </a:r>
                <a:r>
                  <a:rPr lang="en-US" sz="1200" b="1">
                    <a:solidFill>
                      <a:srgbClr val="002060"/>
                    </a:solidFill>
                    <a:latin typeface="Arial" pitchFamily="34" charset="0"/>
                    <a:cs typeface="Arial" pitchFamily="34" charset="0"/>
                  </a:rPr>
                  <a:t>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96142976"/>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4262520126160700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v>High-side MOSFET</c:v>
          </c:tx>
          <c:spPr>
            <a:ln w="31750">
              <a:solidFill>
                <a:srgbClr val="000080"/>
              </a:solidFill>
              <a:prstDash val="dash"/>
            </a:ln>
          </c:spPr>
          <c:marker>
            <c:symbol val="none"/>
          </c:marker>
          <c:xVal>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xVal>
          <c:yVal>
            <c:numRef>
              <c:f>'Efficiency vs VIN Calculations'!$BL$9:$BL$209</c:f>
              <c:numCache>
                <c:formatCode>0.0</c:formatCode>
                <c:ptCount val="201"/>
                <c:pt idx="0">
                  <c:v>189.99831072715398</c:v>
                </c:pt>
                <c:pt idx="1">
                  <c:v>190.75761719667355</c:v>
                </c:pt>
                <c:pt idx="2">
                  <c:v>191.52068497528094</c:v>
                </c:pt>
                <c:pt idx="3">
                  <c:v>192.28742476558</c:v>
                </c:pt>
                <c:pt idx="4">
                  <c:v>193.05775011629922</c:v>
                </c:pt>
                <c:pt idx="5">
                  <c:v>193.83157730856266</c:v>
                </c:pt>
                <c:pt idx="6">
                  <c:v>194.60882524761152</c:v>
                </c:pt>
                <c:pt idx="7">
                  <c:v>195.38941535967467</c:v>
                </c:pt>
                <c:pt idx="8">
                  <c:v>196.17327149370135</c:v>
                </c:pt>
                <c:pt idx="9">
                  <c:v>196.96031982769014</c:v>
                </c:pt>
                <c:pt idx="10">
                  <c:v>197.75048877936413</c:v>
                </c:pt>
                <c:pt idx="11">
                  <c:v>198.54370892095756</c:v>
                </c:pt>
                <c:pt idx="12">
                  <c:v>199.33991289789299</c:v>
                </c:pt>
                <c:pt idx="13">
                  <c:v>200.13903535114378</c:v>
                </c:pt>
                <c:pt idx="14">
                  <c:v>200.94101284308533</c:v>
                </c:pt>
                <c:pt idx="15">
                  <c:v>201.74578378665529</c:v>
                </c:pt>
                <c:pt idx="16">
                  <c:v>202.55328837764731</c:v>
                </c:pt>
                <c:pt idx="17">
                  <c:v>203.36346852998113</c:v>
                </c:pt>
                <c:pt idx="18">
                  <c:v>204.17626781379232</c:v>
                </c:pt>
                <c:pt idx="19">
                  <c:v>204.99163139620237</c:v>
                </c:pt>
                <c:pt idx="20">
                  <c:v>205.80950598463119</c:v>
                </c:pt>
                <c:pt idx="21">
                  <c:v>206.62983977252705</c:v>
                </c:pt>
                <c:pt idx="22">
                  <c:v>207.45258238739146</c:v>
                </c:pt>
                <c:pt idx="23">
                  <c:v>208.27768484098914</c:v>
                </c:pt>
                <c:pt idx="24">
                  <c:v>209.10509948163278</c:v>
                </c:pt>
                <c:pt idx="25">
                  <c:v>209.93477994844395</c:v>
                </c:pt>
                <c:pt idx="26">
                  <c:v>210.76668112749417</c:v>
                </c:pt>
                <c:pt idx="27">
                  <c:v>211.60075910973569</c:v>
                </c:pt>
                <c:pt idx="28">
                  <c:v>212.43697115063807</c:v>
                </c:pt>
                <c:pt idx="29">
                  <c:v>213.2752756314481</c:v>
                </c:pt>
                <c:pt idx="30">
                  <c:v>214.11563202199881</c:v>
                </c:pt>
                <c:pt idx="31">
                  <c:v>214.95800084499407</c:v>
                </c:pt>
                <c:pt idx="32">
                  <c:v>215.80234364170144</c:v>
                </c:pt>
                <c:pt idx="33">
                  <c:v>216.64862293898761</c:v>
                </c:pt>
                <c:pt idx="34">
                  <c:v>217.49680221763629</c:v>
                </c:pt>
                <c:pt idx="35">
                  <c:v>218.34684588188929</c:v>
                </c:pt>
                <c:pt idx="36">
                  <c:v>219.19871923015646</c:v>
                </c:pt>
                <c:pt idx="37">
                  <c:v>220.05238842684173</c:v>
                </c:pt>
                <c:pt idx="38">
                  <c:v>220.90782047523655</c:v>
                </c:pt>
                <c:pt idx="39">
                  <c:v>221.7649831914315</c:v>
                </c:pt>
                <c:pt idx="40">
                  <c:v>222.62384517920495</c:v>
                </c:pt>
                <c:pt idx="41">
                  <c:v>223.48437580584169</c:v>
                </c:pt>
                <c:pt idx="42">
                  <c:v>224.34654517884573</c:v>
                </c:pt>
                <c:pt idx="43">
                  <c:v>225.21032412350522</c:v>
                </c:pt>
                <c:pt idx="44">
                  <c:v>226.07568416127549</c:v>
                </c:pt>
                <c:pt idx="45">
                  <c:v>226.94259748894405</c:v>
                </c:pt>
                <c:pt idx="46">
                  <c:v>227.81103695854486</c:v>
                </c:pt>
                <c:pt idx="47">
                  <c:v>228.68097605799127</c:v>
                </c:pt>
                <c:pt idx="48">
                  <c:v>229.55238889239627</c:v>
                </c:pt>
                <c:pt idx="49">
                  <c:v>230.42525016605225</c:v>
                </c:pt>
                <c:pt idx="50">
                  <c:v>231.29953516504386</c:v>
                </c:pt>
                <c:pt idx="51">
                  <c:v>232.17521974046633</c:v>
                </c:pt>
                <c:pt idx="52">
                  <c:v>233.05228029222644</c:v>
                </c:pt>
                <c:pt idx="53">
                  <c:v>233.93069375340104</c:v>
                </c:pt>
                <c:pt idx="54">
                  <c:v>234.81043757513191</c:v>
                </c:pt>
                <c:pt idx="55">
                  <c:v>235.69148971203458</c:v>
                </c:pt>
                <c:pt idx="56">
                  <c:v>236.57382860810134</c:v>
                </c:pt>
                <c:pt idx="57">
                  <c:v>237.45743318307888</c:v>
                </c:pt>
                <c:pt idx="58">
                  <c:v>238.34228281930103</c:v>
                </c:pt>
                <c:pt idx="59">
                  <c:v>239.22835734896043</c:v>
                </c:pt>
                <c:pt idx="60">
                  <c:v>240.1156370418002</c:v>
                </c:pt>
                <c:pt idx="61">
                  <c:v>241.00410259321166</c:v>
                </c:pt>
                <c:pt idx="62">
                  <c:v>241.89373511271947</c:v>
                </c:pt>
                <c:pt idx="63">
                  <c:v>242.78451611284331</c:v>
                </c:pt>
                <c:pt idx="64">
                  <c:v>243.67642749831748</c:v>
                </c:pt>
                <c:pt idx="65">
                  <c:v>244.56945155565944</c:v>
                </c:pt>
                <c:pt idx="66">
                  <c:v>245.46357094306916</c:v>
                </c:pt>
                <c:pt idx="67">
                  <c:v>246.35876868065239</c:v>
                </c:pt>
                <c:pt idx="68">
                  <c:v>247.25502814095097</c:v>
                </c:pt>
                <c:pt idx="69">
                  <c:v>248.1523330397724</c:v>
                </c:pt>
                <c:pt idx="70">
                  <c:v>249.05066742730509</c:v>
                </c:pt>
                <c:pt idx="71">
                  <c:v>249.95001567951093</c:v>
                </c:pt>
                <c:pt idx="72">
                  <c:v>250.85036248978383</c:v>
                </c:pt>
                <c:pt idx="73">
                  <c:v>251.75169286086452</c:v>
                </c:pt>
                <c:pt idx="74">
                  <c:v>252.65399209700422</c:v>
                </c:pt>
                <c:pt idx="75">
                  <c:v>253.55724579636518</c:v>
                </c:pt>
                <c:pt idx="76">
                  <c:v>254.46143984365287</c:v>
                </c:pt>
                <c:pt idx="77">
                  <c:v>255.36656040296941</c:v>
                </c:pt>
                <c:pt idx="78">
                  <c:v>256.2725939108816</c:v>
                </c:pt>
                <c:pt idx="79">
                  <c:v>257.17952706969555</c:v>
                </c:pt>
                <c:pt idx="80">
                  <c:v>258.08734684093048</c:v>
                </c:pt>
                <c:pt idx="81">
                  <c:v>258.99604043898609</c:v>
                </c:pt>
                <c:pt idx="82">
                  <c:v>259.90559532499503</c:v>
                </c:pt>
                <c:pt idx="83">
                  <c:v>260.81599920085517</c:v>
                </c:pt>
                <c:pt idx="84">
                  <c:v>261.7272400034359</c:v>
                </c:pt>
                <c:pt idx="85">
                  <c:v>262.63930589895091</c:v>
                </c:pt>
                <c:pt idx="86">
                  <c:v>263.55218527749446</c:v>
                </c:pt>
                <c:pt idx="87">
                  <c:v>264.46586674773243</c:v>
                </c:pt>
                <c:pt idx="88">
                  <c:v>265.38033913174644</c:v>
                </c:pt>
                <c:pt idx="89">
                  <c:v>266.29559146002208</c:v>
                </c:pt>
                <c:pt idx="90">
                  <c:v>267.21161296658113</c:v>
                </c:pt>
                <c:pt idx="91">
                  <c:v>268.12839308424759</c:v>
                </c:pt>
                <c:pt idx="92">
                  <c:v>269.0459214400488</c:v>
                </c:pt>
                <c:pt idx="93">
                  <c:v>269.96418785074229</c:v>
                </c:pt>
                <c:pt idx="94">
                  <c:v>270.88318231846773</c:v>
                </c:pt>
                <c:pt idx="95">
                  <c:v>271.80289502651789</c:v>
                </c:pt>
                <c:pt idx="96">
                  <c:v>272.72331633522623</c:v>
                </c:pt>
                <c:pt idx="97">
                  <c:v>273.64443677796623</c:v>
                </c:pt>
                <c:pt idx="98">
                  <c:v>274.5662470572592</c:v>
                </c:pt>
                <c:pt idx="99">
                  <c:v>275.48873804098787</c:v>
                </c:pt>
                <c:pt idx="100">
                  <c:v>276.41190075871157</c:v>
                </c:pt>
                <c:pt idx="101">
                  <c:v>277.33572639808</c:v>
                </c:pt>
                <c:pt idx="102">
                  <c:v>278.26020630134263</c:v>
                </c:pt>
                <c:pt idx="103">
                  <c:v>279.18533196195091</c:v>
                </c:pt>
                <c:pt idx="104">
                  <c:v>280.11109502124987</c:v>
                </c:pt>
                <c:pt idx="105">
                  <c:v>281.03748726525731</c:v>
                </c:pt>
                <c:pt idx="106">
                  <c:v>281.9645006215265</c:v>
                </c:pt>
                <c:pt idx="107">
                  <c:v>282.89212715609131</c:v>
                </c:pt>
                <c:pt idx="108">
                  <c:v>283.82035907049033</c:v>
                </c:pt>
                <c:pt idx="109">
                  <c:v>284.74918869886756</c:v>
                </c:pt>
                <c:pt idx="110">
                  <c:v>285.6786085051483</c:v>
                </c:pt>
                <c:pt idx="111">
                  <c:v>286.60861108028655</c:v>
                </c:pt>
                <c:pt idx="112">
                  <c:v>287.5391891395833</c:v>
                </c:pt>
                <c:pt idx="113">
                  <c:v>288.4703355200723</c:v>
                </c:pt>
                <c:pt idx="114">
                  <c:v>289.40204317797202</c:v>
                </c:pt>
                <c:pt idx="115">
                  <c:v>290.3343051862019</c:v>
                </c:pt>
                <c:pt idx="116">
                  <c:v>291.26711473196059</c:v>
                </c:pt>
                <c:pt idx="117">
                  <c:v>292.20046511436476</c:v>
                </c:pt>
                <c:pt idx="118">
                  <c:v>293.13434974214607</c:v>
                </c:pt>
                <c:pt idx="119">
                  <c:v>294.06876213140583</c:v>
                </c:pt>
                <c:pt idx="120">
                  <c:v>295.00369590342427</c:v>
                </c:pt>
                <c:pt idx="121">
                  <c:v>295.93914478252401</c:v>
                </c:pt>
                <c:pt idx="122">
                  <c:v>296.87510259398493</c:v>
                </c:pt>
                <c:pt idx="123">
                  <c:v>297.81156326201091</c:v>
                </c:pt>
                <c:pt idx="124">
                  <c:v>298.74852080774485</c:v>
                </c:pt>
                <c:pt idx="125">
                  <c:v>299.68596934733131</c:v>
                </c:pt>
                <c:pt idx="126">
                  <c:v>300.62390309002706</c:v>
                </c:pt>
                <c:pt idx="127">
                  <c:v>301.56231633635537</c:v>
                </c:pt>
                <c:pt idx="128">
                  <c:v>302.50120347630457</c:v>
                </c:pt>
                <c:pt idx="129">
                  <c:v>303.44055898757023</c:v>
                </c:pt>
                <c:pt idx="130">
                  <c:v>304.38037743383751</c:v>
                </c:pt>
                <c:pt idx="131">
                  <c:v>305.32065346310463</c:v>
                </c:pt>
                <c:pt idx="132">
                  <c:v>306.26138180604607</c:v>
                </c:pt>
                <c:pt idx="133">
                  <c:v>307.20255727441275</c:v>
                </c:pt>
                <c:pt idx="134">
                  <c:v>308.14417475947067</c:v>
                </c:pt>
                <c:pt idx="135">
                  <c:v>309.08622923047432</c:v>
                </c:pt>
                <c:pt idx="136">
                  <c:v>310.02871573317697</c:v>
                </c:pt>
                <c:pt idx="137">
                  <c:v>310.9716293883734</c:v>
                </c:pt>
                <c:pt idx="138">
                  <c:v>311.91496539047762</c:v>
                </c:pt>
                <c:pt idx="139">
                  <c:v>312.85871900613131</c:v>
                </c:pt>
                <c:pt idx="140">
                  <c:v>313.80288557284553</c:v>
                </c:pt>
                <c:pt idx="141">
                  <c:v>314.74746049767157</c:v>
                </c:pt>
                <c:pt idx="142">
                  <c:v>315.69243925590297</c:v>
                </c:pt>
                <c:pt idx="143">
                  <c:v>316.63781738980617</c:v>
                </c:pt>
                <c:pt idx="144">
                  <c:v>317.58359050737914</c:v>
                </c:pt>
                <c:pt idx="145">
                  <c:v>318.52975428113842</c:v>
                </c:pt>
                <c:pt idx="146">
                  <c:v>319.47630444693226</c:v>
                </c:pt>
                <c:pt idx="147">
                  <c:v>320.42323680278065</c:v>
                </c:pt>
                <c:pt idx="148">
                  <c:v>321.37054720774063</c:v>
                </c:pt>
                <c:pt idx="149">
                  <c:v>322.31823158079624</c:v>
                </c:pt>
                <c:pt idx="150">
                  <c:v>323.2662858997731</c:v>
                </c:pt>
                <c:pt idx="151">
                  <c:v>324.21470620027623</c:v>
                </c:pt>
                <c:pt idx="152">
                  <c:v>325.16348857465135</c:v>
                </c:pt>
                <c:pt idx="153">
                  <c:v>326.11262917096809</c:v>
                </c:pt>
                <c:pt idx="154">
                  <c:v>327.06212419202552</c:v>
                </c:pt>
                <c:pt idx="155">
                  <c:v>328.01196989437886</c:v>
                </c:pt>
                <c:pt idx="156">
                  <c:v>328.96216258738707</c:v>
                </c:pt>
                <c:pt idx="157">
                  <c:v>329.91269863228001</c:v>
                </c:pt>
                <c:pt idx="158">
                  <c:v>330.86357444124667</c:v>
                </c:pt>
                <c:pt idx="159">
                  <c:v>331.81478647654154</c:v>
                </c:pt>
                <c:pt idx="160">
                  <c:v>332.76633124961057</c:v>
                </c:pt>
                <c:pt idx="161">
                  <c:v>333.71820532023463</c:v>
                </c:pt>
                <c:pt idx="162">
                  <c:v>334.67040529569158</c:v>
                </c:pt>
                <c:pt idx="163">
                  <c:v>335.62292782993603</c:v>
                </c:pt>
                <c:pt idx="164">
                  <c:v>336.57576962279478</c:v>
                </c:pt>
                <c:pt idx="165">
                  <c:v>337.52892741918032</c:v>
                </c:pt>
                <c:pt idx="166">
                  <c:v>338.48239800831999</c:v>
                </c:pt>
                <c:pt idx="167">
                  <c:v>339.43617822300104</c:v>
                </c:pt>
                <c:pt idx="168">
                  <c:v>340.3902649388304</c:v>
                </c:pt>
                <c:pt idx="169">
                  <c:v>341.34465507351121</c:v>
                </c:pt>
                <c:pt idx="170">
                  <c:v>342.29934558613212</c:v>
                </c:pt>
                <c:pt idx="171">
                  <c:v>343.25433347647294</c:v>
                </c:pt>
                <c:pt idx="172">
                  <c:v>344.20961578432218</c:v>
                </c:pt>
                <c:pt idx="173">
                  <c:v>345.16518958881011</c:v>
                </c:pt>
                <c:pt idx="174">
                  <c:v>346.1210520077542</c:v>
                </c:pt>
                <c:pt idx="175">
                  <c:v>347.07720019701839</c:v>
                </c:pt>
                <c:pt idx="176">
                  <c:v>348.03363134988388</c:v>
                </c:pt>
                <c:pt idx="177">
                  <c:v>348.99034269643346</c:v>
                </c:pt>
                <c:pt idx="178">
                  <c:v>349.94733150294815</c:v>
                </c:pt>
                <c:pt idx="179">
                  <c:v>350.90459507131476</c:v>
                </c:pt>
                <c:pt idx="180">
                  <c:v>351.86213073844613</c:v>
                </c:pt>
                <c:pt idx="181">
                  <c:v>352.81993587571122</c:v>
                </c:pt>
                <c:pt idx="182">
                  <c:v>353.77800788837851</c:v>
                </c:pt>
                <c:pt idx="183">
                  <c:v>354.73634421506841</c:v>
                </c:pt>
                <c:pt idx="184">
                  <c:v>355.69494232721661</c:v>
                </c:pt>
                <c:pt idx="185">
                  <c:v>356.65379972854868</c:v>
                </c:pt>
                <c:pt idx="186">
                  <c:v>357.61291395456362</c:v>
                </c:pt>
                <c:pt idx="187">
                  <c:v>358.57228257202848</c:v>
                </c:pt>
                <c:pt idx="188">
                  <c:v>359.5319031784814</c:v>
                </c:pt>
                <c:pt idx="189">
                  <c:v>360.49177340174492</c:v>
                </c:pt>
                <c:pt idx="190">
                  <c:v>361.45189089944853</c:v>
                </c:pt>
                <c:pt idx="191">
                  <c:v>362.41225335856041</c:v>
                </c:pt>
                <c:pt idx="192">
                  <c:v>363.37285849492685</c:v>
                </c:pt>
                <c:pt idx="193">
                  <c:v>364.33370405282187</c:v>
                </c:pt>
                <c:pt idx="194">
                  <c:v>365.2947878045041</c:v>
                </c:pt>
                <c:pt idx="195">
                  <c:v>366.25610754978311</c:v>
                </c:pt>
                <c:pt idx="196">
                  <c:v>367.21766111559276</c:v>
                </c:pt>
                <c:pt idx="197">
                  <c:v>368.17944635557257</c:v>
                </c:pt>
                <c:pt idx="198">
                  <c:v>369.1414611496578</c:v>
                </c:pt>
                <c:pt idx="199">
                  <c:v>370.10370340367587</c:v>
                </c:pt>
                <c:pt idx="200">
                  <c:v>371.06617104895122</c:v>
                </c:pt>
              </c:numCache>
            </c:numRef>
          </c:yVal>
          <c:smooth val="0"/>
          <c:extLst>
            <c:ext xmlns:c16="http://schemas.microsoft.com/office/drawing/2014/chart" uri="{C3380CC4-5D6E-409C-BE32-E72D297353CC}">
              <c16:uniqueId val="{00000000-9C39-475F-94ED-BBFF43B330D6}"/>
            </c:ext>
          </c:extLst>
        </c:ser>
        <c:ser>
          <c:idx val="1"/>
          <c:order val="1"/>
          <c:tx>
            <c:v>Low-side MOSFET</c:v>
          </c:tx>
          <c:spPr>
            <a:ln w="25400">
              <a:solidFill>
                <a:srgbClr val="FF0000"/>
              </a:solidFill>
              <a:prstDash val="solid"/>
            </a:ln>
          </c:spPr>
          <c:marker>
            <c:symbol val="none"/>
          </c:marker>
          <c:xVal>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xVal>
          <c:yVal>
            <c:numRef>
              <c:f>'Efficiency vs VIN Calculations'!$BM$9:$BM$209</c:f>
              <c:numCache>
                <c:formatCode>0.0</c:formatCode>
                <c:ptCount val="201"/>
                <c:pt idx="0">
                  <c:v>46.009735789109051</c:v>
                </c:pt>
                <c:pt idx="1">
                  <c:v>46.240797079842999</c:v>
                </c:pt>
                <c:pt idx="2">
                  <c:v>46.469119594784459</c:v>
                </c:pt>
                <c:pt idx="3">
                  <c:v>46.69475335454382</c:v>
                </c:pt>
                <c:pt idx="4">
                  <c:v>46.917747124350271</c:v>
                </c:pt>
                <c:pt idx="5">
                  <c:v>47.138148454636259</c:v>
                </c:pt>
                <c:pt idx="6">
                  <c:v>47.356003720005099</c:v>
                </c:pt>
                <c:pt idx="7">
                  <c:v>47.571358156658697</c:v>
                </c:pt>
                <c:pt idx="8">
                  <c:v>47.784255898357692</c:v>
                </c:pt>
                <c:pt idx="9">
                  <c:v>47.994740010982618</c:v>
                </c:pt>
                <c:pt idx="10">
                  <c:v>48.202852525760861</c:v>
                </c:pt>
                <c:pt idx="11">
                  <c:v>48.40863447122085</c:v>
                </c:pt>
                <c:pt idx="12">
                  <c:v>48.6121259039313</c:v>
                </c:pt>
                <c:pt idx="13">
                  <c:v>48.813365938080857</c:v>
                </c:pt>
                <c:pt idx="14">
                  <c:v>49.012392773949962</c:v>
                </c:pt>
                <c:pt idx="15">
                  <c:v>49.209243725324455</c:v>
                </c:pt>
                <c:pt idx="16">
                  <c:v>49.403955245897734</c:v>
                </c:pt>
                <c:pt idx="17">
                  <c:v>49.596562954705938</c:v>
                </c:pt>
                <c:pt idx="18">
                  <c:v>49.787101660638271</c:v>
                </c:pt>
                <c:pt idx="19">
                  <c:v>49.975605386062526</c:v>
                </c:pt>
                <c:pt idx="20">
                  <c:v>50.162107389603875</c:v>
                </c:pt>
                <c:pt idx="21">
                  <c:v>50.346640188112993</c:v>
                </c:pt>
                <c:pt idx="22">
                  <c:v>50.529235577857854</c:v>
                </c:pt>
                <c:pt idx="23">
                  <c:v>50.709924654972014</c:v>
                </c:pt>
                <c:pt idx="24">
                  <c:v>50.888737835190092</c:v>
                </c:pt>
                <c:pt idx="25">
                  <c:v>51.065704872900469</c:v>
                </c:pt>
                <c:pt idx="26">
                  <c:v>51.240854879542916</c:v>
                </c:pt>
                <c:pt idx="27">
                  <c:v>51.414216341378115</c:v>
                </c:pt>
                <c:pt idx="28">
                  <c:v>51.585817136654789</c:v>
                </c:pt>
                <c:pt idx="29">
                  <c:v>51.755684552198218</c:v>
                </c:pt>
                <c:pt idx="30">
                  <c:v>51.923845299443968</c:v>
                </c:pt>
                <c:pt idx="31">
                  <c:v>52.090325529938347</c:v>
                </c:pt>
                <c:pt idx="32">
                  <c:v>52.255150850327162</c:v>
                </c:pt>
                <c:pt idx="33">
                  <c:v>52.418346336852416</c:v>
                </c:pt>
                <c:pt idx="34">
                  <c:v>52.579936549376505</c:v>
                </c:pt>
                <c:pt idx="35">
                  <c:v>52.739945544952093</c:v>
                </c:pt>
                <c:pt idx="36">
                  <c:v>52.898396890955127</c:v>
                </c:pt>
                <c:pt idx="37">
                  <c:v>53.05531367779772</c:v>
                </c:pt>
                <c:pt idx="38">
                  <c:v>53.210718531236964</c:v>
                </c:pt>
                <c:pt idx="39">
                  <c:v>53.364633624294854</c:v>
                </c:pt>
                <c:pt idx="40">
                  <c:v>53.517080688803937</c:v>
                </c:pt>
                <c:pt idx="41">
                  <c:v>53.668081026592631</c:v>
                </c:pt>
                <c:pt idx="42">
                  <c:v>53.817655520323726</c:v>
                </c:pt>
                <c:pt idx="43">
                  <c:v>53.965824643998502</c:v>
                </c:pt>
                <c:pt idx="44">
                  <c:v>54.112608473139105</c:v>
                </c:pt>
                <c:pt idx="45">
                  <c:v>54.25802669466065</c:v>
                </c:pt>
                <c:pt idx="46">
                  <c:v>54.402098616444349</c:v>
                </c:pt>
                <c:pt idx="47">
                  <c:v>54.544843176622329</c:v>
                </c:pt>
                <c:pt idx="48">
                  <c:v>54.686278952584651</c:v>
                </c:pt>
                <c:pt idx="49">
                  <c:v>54.82642416971813</c:v>
                </c:pt>
                <c:pt idx="50">
                  <c:v>54.965296709886658</c:v>
                </c:pt>
                <c:pt idx="51">
                  <c:v>55.102914119661989</c:v>
                </c:pt>
                <c:pt idx="52">
                  <c:v>55.239293618313631</c:v>
                </c:pt>
                <c:pt idx="53">
                  <c:v>55.374452105566519</c:v>
                </c:pt>
                <c:pt idx="54">
                  <c:v>55.508406169133963</c:v>
                </c:pt>
                <c:pt idx="55">
                  <c:v>55.641172092034139</c:v>
                </c:pt>
                <c:pt idx="56">
                  <c:v>55.772765859697074</c:v>
                </c:pt>
                <c:pt idx="57">
                  <c:v>55.903203166869545</c:v>
                </c:pt>
                <c:pt idx="58">
                  <c:v>56.032499424324357</c:v>
                </c:pt>
                <c:pt idx="59">
                  <c:v>56.160669765381094</c:v>
                </c:pt>
                <c:pt idx="60">
                  <c:v>56.287729052243861</c:v>
                </c:pt>
                <c:pt idx="61">
                  <c:v>56.413691882163121</c:v>
                </c:pt>
                <c:pt idx="62">
                  <c:v>56.538572593426238</c:v>
                </c:pt>
                <c:pt idx="63">
                  <c:v>56.662385271183396</c:v>
                </c:pt>
                <c:pt idx="64">
                  <c:v>56.785143753113694</c:v>
                </c:pt>
                <c:pt idx="65">
                  <c:v>56.906861634936661</c:v>
                </c:pt>
                <c:pt idx="66">
                  <c:v>57.027552275774312</c:v>
                </c:pt>
                <c:pt idx="67">
                  <c:v>57.147228803368598</c:v>
                </c:pt>
                <c:pt idx="68">
                  <c:v>57.265904119158606</c:v>
                </c:pt>
                <c:pt idx="69">
                  <c:v>57.383590903222213</c:v>
                </c:pt>
                <c:pt idx="70">
                  <c:v>57.50030161908645</c:v>
                </c:pt>
                <c:pt idx="71">
                  <c:v>57.616048518410466</c:v>
                </c:pt>
                <c:pt idx="72">
                  <c:v>57.730843645545477</c:v>
                </c:pt>
                <c:pt idx="73">
                  <c:v>57.844698841975166</c:v>
                </c:pt>
                <c:pt idx="74">
                  <c:v>57.95762575064051</c:v>
                </c:pt>
                <c:pt idx="75">
                  <c:v>58.069635820152307</c:v>
                </c:pt>
                <c:pt idx="76">
                  <c:v>58.180740308895196</c:v>
                </c:pt>
                <c:pt idx="77">
                  <c:v>58.290950289026114</c:v>
                </c:pt>
                <c:pt idx="78">
                  <c:v>58.400276650370806</c:v>
                </c:pt>
                <c:pt idx="79">
                  <c:v>58.508730104220994</c:v>
                </c:pt>
                <c:pt idx="80">
                  <c:v>58.616321187035624</c:v>
                </c:pt>
                <c:pt idx="81">
                  <c:v>58.723060264048733</c:v>
                </c:pt>
                <c:pt idx="82">
                  <c:v>58.828957532786973</c:v>
                </c:pt>
                <c:pt idx="83">
                  <c:v>58.93402302649929</c:v>
                </c:pt>
                <c:pt idx="84">
                  <c:v>59.038266617501421</c:v>
                </c:pt>
                <c:pt idx="85">
                  <c:v>59.141698020437723</c:v>
                </c:pt>
                <c:pt idx="86">
                  <c:v>59.244326795462634</c:v>
                </c:pt>
                <c:pt idx="87">
                  <c:v>59.34616235134434</c:v>
                </c:pt>
                <c:pt idx="88">
                  <c:v>59.447213948492596</c:v>
                </c:pt>
                <c:pt idx="89">
                  <c:v>59.547490701913169</c:v>
                </c:pt>
                <c:pt idx="90">
                  <c:v>59.647001584090752</c:v>
                </c:pt>
                <c:pt idx="91">
                  <c:v>59.745755427802621</c:v>
                </c:pt>
                <c:pt idx="92">
                  <c:v>59.843760928864839</c:v>
                </c:pt>
                <c:pt idx="93">
                  <c:v>59.941026648813015</c:v>
                </c:pt>
                <c:pt idx="94">
                  <c:v>60.037561017519309</c:v>
                </c:pt>
                <c:pt idx="95">
                  <c:v>60.133372335747708</c:v>
                </c:pt>
                <c:pt idx="96">
                  <c:v>60.228468777649049</c:v>
                </c:pt>
                <c:pt idx="97">
                  <c:v>60.322858393197684</c:v>
                </c:pt>
                <c:pt idx="98">
                  <c:v>60.416549110571182</c:v>
                </c:pt>
                <c:pt idx="99">
                  <c:v>60.50954873847482</c:v>
                </c:pt>
                <c:pt idx="100">
                  <c:v>60.601864968412265</c:v>
                </c:pt>
                <c:pt idx="101">
                  <c:v>60.693505376903886</c:v>
                </c:pt>
                <c:pt idx="102">
                  <c:v>60.78447742765438</c:v>
                </c:pt>
                <c:pt idx="103">
                  <c:v>60.874788473670648</c:v>
                </c:pt>
                <c:pt idx="104">
                  <c:v>60.964445759331674</c:v>
                </c:pt>
                <c:pt idx="105">
                  <c:v>61.053456422411372</c:v>
                </c:pt>
                <c:pt idx="106">
                  <c:v>61.141827496055903</c:v>
                </c:pt>
                <c:pt idx="107">
                  <c:v>61.229565910716573</c:v>
                </c:pt>
                <c:pt idx="108">
                  <c:v>61.316678496039444</c:v>
                </c:pt>
                <c:pt idx="109">
                  <c:v>61.403171982712792</c:v>
                </c:pt>
                <c:pt idx="110">
                  <c:v>61.489053004273693</c:v>
                </c:pt>
                <c:pt idx="111">
                  <c:v>61.574328098874574</c:v>
                </c:pt>
                <c:pt idx="112">
                  <c:v>61.659003711010925</c:v>
                </c:pt>
                <c:pt idx="113">
                  <c:v>61.743086193211127</c:v>
                </c:pt>
                <c:pt idx="114">
                  <c:v>61.826581807689315</c:v>
                </c:pt>
                <c:pt idx="115">
                  <c:v>61.909496727962427</c:v>
                </c:pt>
                <c:pt idx="116">
                  <c:v>61.991837040432074</c:v>
                </c:pt>
                <c:pt idx="117">
                  <c:v>62.073608745932304</c:v>
                </c:pt>
                <c:pt idx="118">
                  <c:v>62.154817761244267</c:v>
                </c:pt>
                <c:pt idx="119">
                  <c:v>62.235469920578119</c:v>
                </c:pt>
                <c:pt idx="120">
                  <c:v>62.315570977023505</c:v>
                </c:pt>
                <c:pt idx="121">
                  <c:v>62.395126603969516</c:v>
                </c:pt>
                <c:pt idx="122">
                  <c:v>62.47414239649386</c:v>
                </c:pt>
                <c:pt idx="123">
                  <c:v>62.552623872723466</c:v>
                </c:pt>
                <c:pt idx="124">
                  <c:v>62.630576475166137</c:v>
                </c:pt>
                <c:pt idx="125">
                  <c:v>62.708005572014414</c:v>
                </c:pt>
                <c:pt idx="126">
                  <c:v>62.784916458422259</c:v>
                </c:pt>
                <c:pt idx="127">
                  <c:v>62.861314357755212</c:v>
                </c:pt>
                <c:pt idx="128">
                  <c:v>62.937204422814773</c:v>
                </c:pt>
                <c:pt idx="129">
                  <c:v>63.012591737037333</c:v>
                </c:pt>
                <c:pt idx="130">
                  <c:v>63.087481315668732</c:v>
                </c:pt>
                <c:pt idx="131">
                  <c:v>63.161878106914614</c:v>
                </c:pt>
                <c:pt idx="132">
                  <c:v>63.235786993067407</c:v>
                </c:pt>
                <c:pt idx="133">
                  <c:v>63.309212791610399</c:v>
                </c:pt>
                <c:pt idx="134">
                  <c:v>63.382160256299365</c:v>
                </c:pt>
                <c:pt idx="135">
                  <c:v>63.454634078222576</c:v>
                </c:pt>
                <c:pt idx="136">
                  <c:v>63.526638886839393</c:v>
                </c:pt>
                <c:pt idx="137">
                  <c:v>63.598179250998051</c:v>
                </c:pt>
                <c:pt idx="138">
                  <c:v>63.669259679933198</c:v>
                </c:pt>
                <c:pt idx="139">
                  <c:v>63.739884624243601</c:v>
                </c:pt>
                <c:pt idx="140">
                  <c:v>63.810058476850358</c:v>
                </c:pt>
                <c:pt idx="141">
                  <c:v>63.879785573936495</c:v>
                </c:pt>
                <c:pt idx="142">
                  <c:v>63.949070195867705</c:v>
                </c:pt>
                <c:pt idx="143">
                  <c:v>64.017916568095373</c:v>
                </c:pt>
                <c:pt idx="144">
                  <c:v>64.086328862041739</c:v>
                </c:pt>
                <c:pt idx="145">
                  <c:v>64.154311195967949</c:v>
                </c:pt>
                <c:pt idx="146">
                  <c:v>64.221867635825291</c:v>
                </c:pt>
                <c:pt idx="147">
                  <c:v>64.289002196089783</c:v>
                </c:pt>
                <c:pt idx="148">
                  <c:v>64.355718840581019</c:v>
                </c:pt>
                <c:pt idx="149">
                  <c:v>64.422021483265013</c:v>
                </c:pt>
                <c:pt idx="150">
                  <c:v>64.487913989041743</c:v>
                </c:pt>
                <c:pt idx="151">
                  <c:v>64.55340017451779</c:v>
                </c:pt>
                <c:pt idx="152">
                  <c:v>64.618483808764168</c:v>
                </c:pt>
                <c:pt idx="153">
                  <c:v>64.683168614059994</c:v>
                </c:pt>
                <c:pt idx="154">
                  <c:v>64.747458266621749</c:v>
                </c:pt>
                <c:pt idx="155">
                  <c:v>64.811356397319315</c:v>
                </c:pt>
                <c:pt idx="156">
                  <c:v>64.874866592378154</c:v>
                </c:pt>
                <c:pt idx="157">
                  <c:v>64.937992394068658</c:v>
                </c:pt>
                <c:pt idx="158">
                  <c:v>65.0007373013825</c:v>
                </c:pt>
                <c:pt idx="159">
                  <c:v>65.063104770696455</c:v>
                </c:pt>
                <c:pt idx="160">
                  <c:v>65.125098216424135</c:v>
                </c:pt>
                <c:pt idx="161">
                  <c:v>65.186721011655166</c:v>
                </c:pt>
                <c:pt idx="162">
                  <c:v>65.24797648878355</c:v>
                </c:pt>
                <c:pt idx="163">
                  <c:v>65.308867940123335</c:v>
                </c:pt>
                <c:pt idx="164">
                  <c:v>65.36939861851414</c:v>
                </c:pt>
                <c:pt idx="165">
                  <c:v>65.429571737914983</c:v>
                </c:pt>
                <c:pt idx="166">
                  <c:v>65.489390473987484</c:v>
                </c:pt>
                <c:pt idx="167">
                  <c:v>65.548857964668642</c:v>
                </c:pt>
                <c:pt idx="168">
                  <c:v>65.607977310733233</c:v>
                </c:pt>
                <c:pt idx="169">
                  <c:v>65.666751576345987</c:v>
                </c:pt>
                <c:pt idx="170">
                  <c:v>65.725183789604046</c:v>
                </c:pt>
                <c:pt idx="171">
                  <c:v>65.783276943069595</c:v>
                </c:pt>
                <c:pt idx="172">
                  <c:v>65.841033994293127</c:v>
                </c:pt>
                <c:pt idx="173">
                  <c:v>65.898457866327249</c:v>
                </c:pt>
                <c:pt idx="174">
                  <c:v>65.95555144823166</c:v>
                </c:pt>
                <c:pt idx="175">
                  <c:v>66.012317595568973</c:v>
                </c:pt>
                <c:pt idx="176">
                  <c:v>66.068759130891891</c:v>
                </c:pt>
                <c:pt idx="177">
                  <c:v>66.12487884422201</c:v>
                </c:pt>
                <c:pt idx="178">
                  <c:v>66.180679493520017</c:v>
                </c:pt>
                <c:pt idx="179">
                  <c:v>66.236163805147783</c:v>
                </c:pt>
                <c:pt idx="180">
                  <c:v>66.291334474322568</c:v>
                </c:pt>
                <c:pt idx="181">
                  <c:v>66.34619416556302</c:v>
                </c:pt>
                <c:pt idx="182">
                  <c:v>66.400745513127958</c:v>
                </c:pt>
                <c:pt idx="183">
                  <c:v>66.454991121447136</c:v>
                </c:pt>
                <c:pt idx="184">
                  <c:v>66.508933565544964</c:v>
                </c:pt>
                <c:pt idx="185">
                  <c:v>66.562575391456718</c:v>
                </c:pt>
                <c:pt idx="186">
                  <c:v>66.615919116637869</c:v>
                </c:pt>
                <c:pt idx="187">
                  <c:v>66.66896723036632</c:v>
                </c:pt>
                <c:pt idx="188">
                  <c:v>66.721722194137811</c:v>
                </c:pt>
                <c:pt idx="189">
                  <c:v>66.774186442054798</c:v>
                </c:pt>
                <c:pt idx="190">
                  <c:v>66.826362381208511</c:v>
                </c:pt>
                <c:pt idx="191">
                  <c:v>66.878252392054947</c:v>
                </c:pt>
                <c:pt idx="192">
                  <c:v>66.929858828784205</c:v>
                </c:pt>
                <c:pt idx="193">
                  <c:v>66.981184019683766</c:v>
                </c:pt>
                <c:pt idx="194">
                  <c:v>67.032230267496047</c:v>
                </c:pt>
                <c:pt idx="195">
                  <c:v>67.082999849769436</c:v>
                </c:pt>
                <c:pt idx="196">
                  <c:v>67.133495019203949</c:v>
                </c:pt>
                <c:pt idx="197">
                  <c:v>67.183718003991004</c:v>
                </c:pt>
                <c:pt idx="198">
                  <c:v>67.233671008147738</c:v>
                </c:pt>
                <c:pt idx="199">
                  <c:v>67.283356211845529</c:v>
                </c:pt>
                <c:pt idx="200">
                  <c:v>67.332775771733623</c:v>
                </c:pt>
              </c:numCache>
            </c:numRef>
          </c:yVal>
          <c:smooth val="0"/>
          <c:extLst>
            <c:ext xmlns:c16="http://schemas.microsoft.com/office/drawing/2014/chart" uri="{C3380CC4-5D6E-409C-BE32-E72D297353CC}">
              <c16:uniqueId val="{00000001-9C39-475F-94ED-BBFF43B330D6}"/>
            </c:ext>
          </c:extLst>
        </c:ser>
        <c:dLbls>
          <c:showLegendKey val="0"/>
          <c:showVal val="0"/>
          <c:showCatName val="0"/>
          <c:showSerName val="0"/>
          <c:showPercent val="0"/>
          <c:showBubbleSize val="0"/>
        </c:dLbls>
        <c:axId val="198858624"/>
        <c:axId val="198864896"/>
      </c:scatterChart>
      <c:valAx>
        <c:axId val="19885862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8864896"/>
        <c:crosses val="autoZero"/>
        <c:crossBetween val="midCat"/>
      </c:valAx>
      <c:valAx>
        <c:axId val="19886489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885862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76235382341913138"/>
          <c:y val="3.6399592062826468E-2"/>
          <c:w val="0.19862061359977062"/>
          <c:h val="8.2828494922983206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3164215172691891"/>
          <c:y val="3.5618279569892476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v>High-side MOSFET</c:v>
          </c:tx>
          <c:spPr>
            <a:ln w="25400">
              <a:solidFill>
                <a:srgbClr val="000080"/>
              </a:solidFill>
              <a:prstDash val="dash"/>
            </a:ln>
          </c:spPr>
          <c:marker>
            <c:symbol val="none"/>
          </c:marker>
          <c:xVal>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xVal>
          <c:yVal>
            <c:numRef>
              <c:f>'Efficiency vs VIN Calculations'!$AK$9:$AK$209</c:f>
              <c:numCache>
                <c:formatCode>0.000</c:formatCode>
                <c:ptCount val="201"/>
                <c:pt idx="0">
                  <c:v>3.1666385121192331</c:v>
                </c:pt>
                <c:pt idx="1">
                  <c:v>3.1792936199445592</c:v>
                </c:pt>
                <c:pt idx="2">
                  <c:v>3.1920114162546822</c:v>
                </c:pt>
                <c:pt idx="3">
                  <c:v>3.2047904127596665</c:v>
                </c:pt>
                <c:pt idx="4">
                  <c:v>3.2176291686049869</c:v>
                </c:pt>
                <c:pt idx="5">
                  <c:v>3.2305262884760442</c:v>
                </c:pt>
                <c:pt idx="6">
                  <c:v>3.2434804207935253</c:v>
                </c:pt>
                <c:pt idx="7">
                  <c:v>3.2564902559945779</c:v>
                </c:pt>
                <c:pt idx="8">
                  <c:v>3.2695545248950224</c:v>
                </c:pt>
                <c:pt idx="9">
                  <c:v>3.282671997128169</c:v>
                </c:pt>
                <c:pt idx="10">
                  <c:v>3.2958414796560689</c:v>
                </c:pt>
                <c:pt idx="11">
                  <c:v>3.3090618153492928</c:v>
                </c:pt>
                <c:pt idx="12">
                  <c:v>3.3223318816315497</c:v>
                </c:pt>
                <c:pt idx="13">
                  <c:v>3.3356505891857298</c:v>
                </c:pt>
                <c:pt idx="14">
                  <c:v>3.3490168807180889</c:v>
                </c:pt>
                <c:pt idx="15">
                  <c:v>3.3624297297775882</c:v>
                </c:pt>
                <c:pt idx="16">
                  <c:v>3.3758881396274552</c:v>
                </c:pt>
                <c:pt idx="17">
                  <c:v>3.3893911421663523</c:v>
                </c:pt>
                <c:pt idx="18">
                  <c:v>3.4029377968965386</c:v>
                </c:pt>
                <c:pt idx="19">
                  <c:v>3.4165271899367062</c:v>
                </c:pt>
                <c:pt idx="20">
                  <c:v>3.4301584330771866</c:v>
                </c:pt>
                <c:pt idx="21">
                  <c:v>3.4438306628754507</c:v>
                </c:pt>
                <c:pt idx="22">
                  <c:v>3.4575430397898574</c:v>
                </c:pt>
                <c:pt idx="23">
                  <c:v>3.4712947473498188</c:v>
                </c:pt>
                <c:pt idx="24">
                  <c:v>3.4850849913605462</c:v>
                </c:pt>
                <c:pt idx="25">
                  <c:v>3.4989129991407326</c:v>
                </c:pt>
                <c:pt idx="26">
                  <c:v>3.5127780187915696</c:v>
                </c:pt>
                <c:pt idx="27">
                  <c:v>3.5266793184955949</c:v>
                </c:pt>
                <c:pt idx="28">
                  <c:v>3.5406161858439678</c:v>
                </c:pt>
                <c:pt idx="29">
                  <c:v>3.5545879271908016</c:v>
                </c:pt>
                <c:pt idx="30">
                  <c:v>3.5685938670333135</c:v>
                </c:pt>
                <c:pt idx="31">
                  <c:v>3.5826333474165679</c:v>
                </c:pt>
                <c:pt idx="32">
                  <c:v>3.5967057273616909</c:v>
                </c:pt>
                <c:pt idx="33">
                  <c:v>3.6108103823164601</c:v>
                </c:pt>
                <c:pt idx="34">
                  <c:v>3.6249467036272716</c:v>
                </c:pt>
                <c:pt idx="35">
                  <c:v>3.639114098031488</c:v>
                </c:pt>
                <c:pt idx="36">
                  <c:v>3.6533119871692743</c:v>
                </c:pt>
                <c:pt idx="37">
                  <c:v>3.667539807114029</c:v>
                </c:pt>
                <c:pt idx="38">
                  <c:v>3.681797007920609</c:v>
                </c:pt>
                <c:pt idx="39">
                  <c:v>3.6960830531905251</c:v>
                </c:pt>
                <c:pt idx="40">
                  <c:v>3.710397419653416</c:v>
                </c:pt>
                <c:pt idx="41">
                  <c:v>3.724739596764028</c:v>
                </c:pt>
                <c:pt idx="42">
                  <c:v>3.7391090863140954</c:v>
                </c:pt>
                <c:pt idx="43">
                  <c:v>3.7535054020584204</c:v>
                </c:pt>
                <c:pt idx="44">
                  <c:v>3.7679280693545913</c:v>
                </c:pt>
                <c:pt idx="45">
                  <c:v>3.782376624815734</c:v>
                </c:pt>
                <c:pt idx="46">
                  <c:v>3.7968506159757478</c:v>
                </c:pt>
                <c:pt idx="47">
                  <c:v>3.8113496009665213</c:v>
                </c:pt>
                <c:pt idx="48">
                  <c:v>3.8258731482066044</c:v>
                </c:pt>
                <c:pt idx="49">
                  <c:v>3.8404208361008707</c:v>
                </c:pt>
                <c:pt idx="50">
                  <c:v>3.8549922527507312</c:v>
                </c:pt>
                <c:pt idx="51">
                  <c:v>3.8695869956744389</c:v>
                </c:pt>
                <c:pt idx="52">
                  <c:v>3.8842046715371072</c:v>
                </c:pt>
                <c:pt idx="53">
                  <c:v>3.8988448958900173</c:v>
                </c:pt>
                <c:pt idx="54">
                  <c:v>3.9135072929188652</c:v>
                </c:pt>
                <c:pt idx="55">
                  <c:v>3.9281914952005765</c:v>
                </c:pt>
                <c:pt idx="56">
                  <c:v>3.9428971434683557</c:v>
                </c:pt>
                <c:pt idx="57">
                  <c:v>3.9576238863846478</c:v>
                </c:pt>
                <c:pt idx="58">
                  <c:v>3.9723713803216838</c:v>
                </c:pt>
                <c:pt idx="59">
                  <c:v>3.9871392891493405</c:v>
                </c:pt>
                <c:pt idx="60">
                  <c:v>4.0019272840300033</c:v>
                </c:pt>
                <c:pt idx="61">
                  <c:v>4.0167350432201943</c:v>
                </c:pt>
                <c:pt idx="62">
                  <c:v>4.0315622518786576</c:v>
                </c:pt>
                <c:pt idx="63">
                  <c:v>4.0464086018807217</c:v>
                </c:pt>
                <c:pt idx="64">
                  <c:v>4.0612737916386248</c:v>
                </c:pt>
                <c:pt idx="65">
                  <c:v>4.0761575259276572</c:v>
                </c:pt>
                <c:pt idx="66">
                  <c:v>4.0910595157178191</c:v>
                </c:pt>
                <c:pt idx="67">
                  <c:v>4.1059794780108732</c:v>
                </c:pt>
                <c:pt idx="68">
                  <c:v>4.1209171356825163</c:v>
                </c:pt>
                <c:pt idx="69">
                  <c:v>4.1358722173295401</c:v>
                </c:pt>
                <c:pt idx="70">
                  <c:v>4.1508444571217513</c:v>
                </c:pt>
                <c:pt idx="71">
                  <c:v>4.1658335946585154</c:v>
                </c:pt>
                <c:pt idx="72">
                  <c:v>4.1808393748297306</c:v>
                </c:pt>
                <c:pt idx="73">
                  <c:v>4.1958615476810754</c:v>
                </c:pt>
                <c:pt idx="74">
                  <c:v>4.2108998682834038</c:v>
                </c:pt>
                <c:pt idx="75">
                  <c:v>4.2259540966060865</c:v>
                </c:pt>
                <c:pt idx="76">
                  <c:v>4.2410239973942145</c:v>
                </c:pt>
                <c:pt idx="77">
                  <c:v>4.2561093400494903</c:v>
                </c:pt>
                <c:pt idx="78">
                  <c:v>4.2712098985146936</c:v>
                </c:pt>
                <c:pt idx="79">
                  <c:v>4.2863254511615922</c:v>
                </c:pt>
                <c:pt idx="80">
                  <c:v>4.3014557806821747</c:v>
                </c:pt>
                <c:pt idx="81">
                  <c:v>4.3166006739831015</c:v>
                </c:pt>
                <c:pt idx="82">
                  <c:v>4.3317599220832506</c:v>
                </c:pt>
                <c:pt idx="83">
                  <c:v>4.3469333200142533</c:v>
                </c:pt>
                <c:pt idx="84">
                  <c:v>4.3621206667239312</c:v>
                </c:pt>
                <c:pt idx="85">
                  <c:v>4.3773217649825149</c:v>
                </c:pt>
                <c:pt idx="86">
                  <c:v>4.3925364212915738</c:v>
                </c:pt>
                <c:pt idx="87">
                  <c:v>4.4077644457955403</c:v>
                </c:pt>
                <c:pt idx="88">
                  <c:v>4.4230056521957737</c:v>
                </c:pt>
                <c:pt idx="89">
                  <c:v>4.4382598576670347</c:v>
                </c:pt>
                <c:pt idx="90">
                  <c:v>4.4535268827763517</c:v>
                </c:pt>
                <c:pt idx="91">
                  <c:v>4.4688065514041266</c:v>
                </c:pt>
                <c:pt idx="92">
                  <c:v>4.48409869066748</c:v>
                </c:pt>
                <c:pt idx="93">
                  <c:v>4.499403130845705</c:v>
                </c:pt>
                <c:pt idx="94">
                  <c:v>4.5147197053077956</c:v>
                </c:pt>
                <c:pt idx="95">
                  <c:v>4.5300482504419648</c:v>
                </c:pt>
                <c:pt idx="96">
                  <c:v>4.545388605587104</c:v>
                </c:pt>
                <c:pt idx="97">
                  <c:v>4.5607406129661037</c:v>
                </c:pt>
                <c:pt idx="98">
                  <c:v>4.5761041176209867</c:v>
                </c:pt>
                <c:pt idx="99">
                  <c:v>4.591478967349798</c:v>
                </c:pt>
                <c:pt idx="100">
                  <c:v>4.6068650126451924</c:v>
                </c:pt>
                <c:pt idx="101">
                  <c:v>4.6222621066346665</c:v>
                </c:pt>
                <c:pt idx="102">
                  <c:v>4.6376701050223774</c:v>
                </c:pt>
                <c:pt idx="103">
                  <c:v>4.6530888660325154</c:v>
                </c:pt>
                <c:pt idx="104">
                  <c:v>4.6685182503541647</c:v>
                </c:pt>
                <c:pt idx="105">
                  <c:v>4.6839581210876222</c:v>
                </c:pt>
                <c:pt idx="106">
                  <c:v>4.6994083436921086</c:v>
                </c:pt>
                <c:pt idx="107">
                  <c:v>4.714868785934855</c:v>
                </c:pt>
                <c:pt idx="108">
                  <c:v>4.730339317841505</c:v>
                </c:pt>
                <c:pt idx="109">
                  <c:v>4.7458198116477925</c:v>
                </c:pt>
                <c:pt idx="110">
                  <c:v>4.7613101417524719</c:v>
                </c:pt>
                <c:pt idx="111">
                  <c:v>4.7768101846714428</c:v>
                </c:pt>
                <c:pt idx="112">
                  <c:v>4.7923198189930547</c:v>
                </c:pt>
                <c:pt idx="113">
                  <c:v>4.8078389253345382</c:v>
                </c:pt>
                <c:pt idx="114">
                  <c:v>4.8233673862995339</c:v>
                </c:pt>
                <c:pt idx="115">
                  <c:v>4.8389050864366983</c:v>
                </c:pt>
                <c:pt idx="116">
                  <c:v>4.8544519121993428</c:v>
                </c:pt>
                <c:pt idx="117">
                  <c:v>4.8700077519060789</c:v>
                </c:pt>
                <c:pt idx="118">
                  <c:v>4.8855724957024345</c:v>
                </c:pt>
                <c:pt idx="119">
                  <c:v>4.9011460355234302</c:v>
                </c:pt>
                <c:pt idx="120">
                  <c:v>4.9167282650570714</c:v>
                </c:pt>
                <c:pt idx="121">
                  <c:v>4.9323190797087335</c:v>
                </c:pt>
                <c:pt idx="122">
                  <c:v>4.9479183765664159</c:v>
                </c:pt>
                <c:pt idx="123">
                  <c:v>4.9635260543668487</c:v>
                </c:pt>
                <c:pt idx="124">
                  <c:v>4.9791420134624138</c:v>
                </c:pt>
                <c:pt idx="125">
                  <c:v>4.994766155788855</c:v>
                </c:pt>
                <c:pt idx="126">
                  <c:v>5.0103983848337839</c:v>
                </c:pt>
                <c:pt idx="127">
                  <c:v>5.0260386056059225</c:v>
                </c:pt>
                <c:pt idx="128">
                  <c:v>5.0416867246050758</c:v>
                </c:pt>
                <c:pt idx="129">
                  <c:v>5.0573426497928375</c:v>
                </c:pt>
                <c:pt idx="130">
                  <c:v>5.0730062905639581</c:v>
                </c:pt>
                <c:pt idx="131">
                  <c:v>5.0886775577184107</c:v>
                </c:pt>
                <c:pt idx="132">
                  <c:v>5.1043563634341016</c:v>
                </c:pt>
                <c:pt idx="133">
                  <c:v>5.1200426212402128</c:v>
                </c:pt>
                <c:pt idx="134">
                  <c:v>5.1357362459911782</c:v>
                </c:pt>
                <c:pt idx="135">
                  <c:v>5.1514371538412389</c:v>
                </c:pt>
                <c:pt idx="136">
                  <c:v>5.1671452622196163</c:v>
                </c:pt>
                <c:pt idx="137">
                  <c:v>5.1828604898062229</c:v>
                </c:pt>
                <c:pt idx="138">
                  <c:v>5.1985827565079603</c:v>
                </c:pt>
                <c:pt idx="139">
                  <c:v>5.2143119834355218</c:v>
                </c:pt>
                <c:pt idx="140">
                  <c:v>5.2300480928807591</c:v>
                </c:pt>
                <c:pt idx="141">
                  <c:v>5.2457910082945265</c:v>
                </c:pt>
                <c:pt idx="142">
                  <c:v>5.2615406542650494</c:v>
                </c:pt>
                <c:pt idx="143">
                  <c:v>5.2772969564967696</c:v>
                </c:pt>
                <c:pt idx="144">
                  <c:v>5.2930598417896526</c:v>
                </c:pt>
                <c:pt idx="145">
                  <c:v>5.3088292380189737</c:v>
                </c:pt>
                <c:pt idx="146">
                  <c:v>5.3246050741155377</c:v>
                </c:pt>
                <c:pt idx="147">
                  <c:v>5.3403872800463441</c:v>
                </c:pt>
                <c:pt idx="148">
                  <c:v>5.356175786795677</c:v>
                </c:pt>
                <c:pt idx="149">
                  <c:v>5.3719705263466038</c:v>
                </c:pt>
                <c:pt idx="150">
                  <c:v>5.3877714316628849</c:v>
                </c:pt>
                <c:pt idx="151">
                  <c:v>5.4035784366712702</c:v>
                </c:pt>
                <c:pt idx="152">
                  <c:v>5.419391476244189</c:v>
                </c:pt>
                <c:pt idx="153">
                  <c:v>5.4352104861828012</c:v>
                </c:pt>
                <c:pt idx="154">
                  <c:v>5.4510354032004251</c:v>
                </c:pt>
                <c:pt idx="155">
                  <c:v>5.4668661649063148</c:v>
                </c:pt>
                <c:pt idx="156">
                  <c:v>5.4827027097897849</c:v>
                </c:pt>
                <c:pt idx="157">
                  <c:v>5.4985449772046664</c:v>
                </c:pt>
                <c:pt idx="158">
                  <c:v>5.5143929073541109</c:v>
                </c:pt>
                <c:pt idx="159">
                  <c:v>5.5302464412756924</c:v>
                </c:pt>
                <c:pt idx="160">
                  <c:v>5.5461055208268428</c:v>
                </c:pt>
                <c:pt idx="161">
                  <c:v>5.5619700886705772</c:v>
                </c:pt>
                <c:pt idx="162">
                  <c:v>5.5778400882615262</c:v>
                </c:pt>
                <c:pt idx="163">
                  <c:v>5.5937154638322673</c:v>
                </c:pt>
                <c:pt idx="164">
                  <c:v>5.6095961603799127</c:v>
                </c:pt>
                <c:pt idx="165">
                  <c:v>5.625482123653005</c:v>
                </c:pt>
                <c:pt idx="166">
                  <c:v>5.6413733001386666</c:v>
                </c:pt>
                <c:pt idx="167">
                  <c:v>5.6572696370500175</c:v>
                </c:pt>
                <c:pt idx="168">
                  <c:v>5.6731710823138402</c:v>
                </c:pt>
                <c:pt idx="169">
                  <c:v>5.68907758455852</c:v>
                </c:pt>
                <c:pt idx="170">
                  <c:v>5.7049890931022018</c:v>
                </c:pt>
                <c:pt idx="171">
                  <c:v>5.720905557941216</c:v>
                </c:pt>
                <c:pt idx="172">
                  <c:v>5.7368269297387027</c:v>
                </c:pt>
                <c:pt idx="173">
                  <c:v>5.7527531598135013</c:v>
                </c:pt>
                <c:pt idx="174">
                  <c:v>5.7686842001292371</c:v>
                </c:pt>
                <c:pt idx="175">
                  <c:v>5.7846200032836395</c:v>
                </c:pt>
                <c:pt idx="176">
                  <c:v>5.8005605224980643</c:v>
                </c:pt>
                <c:pt idx="177">
                  <c:v>5.8165057116072241</c:v>
                </c:pt>
                <c:pt idx="178">
                  <c:v>5.8324555250491361</c:v>
                </c:pt>
                <c:pt idx="179">
                  <c:v>5.8484099178552462</c:v>
                </c:pt>
                <c:pt idx="180">
                  <c:v>5.8643688456407688</c:v>
                </c:pt>
                <c:pt idx="181">
                  <c:v>5.8803322645951868</c:v>
                </c:pt>
                <c:pt idx="182">
                  <c:v>5.8963001314729748</c:v>
                </c:pt>
                <c:pt idx="183">
                  <c:v>5.9122724035844731</c:v>
                </c:pt>
                <c:pt idx="184">
                  <c:v>5.9282490387869435</c:v>
                </c:pt>
                <c:pt idx="185">
                  <c:v>5.9442299954758111</c:v>
                </c:pt>
                <c:pt idx="186">
                  <c:v>5.9602152325760605</c:v>
                </c:pt>
                <c:pt idx="187">
                  <c:v>5.9762047095338078</c:v>
                </c:pt>
                <c:pt idx="188">
                  <c:v>5.992198386308023</c:v>
                </c:pt>
                <c:pt idx="189">
                  <c:v>6.0081962233624155</c:v>
                </c:pt>
                <c:pt idx="190">
                  <c:v>6.0241981816574759</c:v>
                </c:pt>
                <c:pt idx="191">
                  <c:v>6.0402042226426733</c:v>
                </c:pt>
                <c:pt idx="192">
                  <c:v>6.0562143082487809</c:v>
                </c:pt>
                <c:pt idx="193">
                  <c:v>6.0722284008803644</c:v>
                </c:pt>
                <c:pt idx="194">
                  <c:v>6.0882464634084013</c:v>
                </c:pt>
                <c:pt idx="195">
                  <c:v>6.1042684591630518</c:v>
                </c:pt>
                <c:pt idx="196">
                  <c:v>6.120294351926546</c:v>
                </c:pt>
                <c:pt idx="197">
                  <c:v>6.1363241059262092</c:v>
                </c:pt>
                <c:pt idx="198">
                  <c:v>6.1523576858276297</c:v>
                </c:pt>
                <c:pt idx="199">
                  <c:v>6.1683950567279311</c:v>
                </c:pt>
                <c:pt idx="200">
                  <c:v>6.1844361841491873</c:v>
                </c:pt>
              </c:numCache>
            </c:numRef>
          </c:yVal>
          <c:smooth val="0"/>
          <c:extLst>
            <c:ext xmlns:c16="http://schemas.microsoft.com/office/drawing/2014/chart" uri="{C3380CC4-5D6E-409C-BE32-E72D297353CC}">
              <c16:uniqueId val="{00000000-30B5-471E-8AC8-389631F29193}"/>
            </c:ext>
          </c:extLst>
        </c:ser>
        <c:ser>
          <c:idx val="3"/>
          <c:order val="1"/>
          <c:tx>
            <c:v>Low-side MOSFET</c:v>
          </c:tx>
          <c:spPr>
            <a:ln w="25400">
              <a:solidFill>
                <a:srgbClr val="FF0000"/>
              </a:solidFill>
              <a:prstDash val="solid"/>
            </a:ln>
          </c:spPr>
          <c:marker>
            <c:symbol val="none"/>
          </c:marker>
          <c:xVal>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xVal>
          <c:yVal>
            <c:numRef>
              <c:f>'Efficiency vs VIN Calculations'!$AO$9:$AO$209</c:f>
              <c:numCache>
                <c:formatCode>0.000</c:formatCode>
                <c:ptCount val="201"/>
                <c:pt idx="0">
                  <c:v>0.76682892981848416</c:v>
                </c:pt>
                <c:pt idx="1">
                  <c:v>0.77067995133071665</c:v>
                </c:pt>
                <c:pt idx="2">
                  <c:v>0.77448532657974101</c:v>
                </c:pt>
                <c:pt idx="3">
                  <c:v>0.77824588924239702</c:v>
                </c:pt>
                <c:pt idx="4">
                  <c:v>0.78196245207250448</c:v>
                </c:pt>
                <c:pt idx="5">
                  <c:v>0.78563580757727103</c:v>
                </c:pt>
                <c:pt idx="6">
                  <c:v>0.78926672866675163</c:v>
                </c:pt>
                <c:pt idx="7">
                  <c:v>0.7928559692776449</c:v>
                </c:pt>
                <c:pt idx="8">
                  <c:v>0.79640426497262817</c:v>
                </c:pt>
                <c:pt idx="9">
                  <c:v>0.79991233351637692</c:v>
                </c:pt>
                <c:pt idx="10">
                  <c:v>0.80338087542934766</c:v>
                </c:pt>
                <c:pt idx="11">
                  <c:v>0.80681057452034755</c:v>
                </c:pt>
                <c:pt idx="12">
                  <c:v>0.81020209839885504</c:v>
                </c:pt>
                <c:pt idx="13">
                  <c:v>0.81355609896801429</c:v>
                </c:pt>
                <c:pt idx="14">
                  <c:v>0.81687321289916603</c:v>
                </c:pt>
                <c:pt idx="15">
                  <c:v>0.82015406208874098</c:v>
                </c:pt>
                <c:pt idx="16">
                  <c:v>0.82339925409829551</c:v>
                </c:pt>
                <c:pt idx="17">
                  <c:v>0.82660938257843231</c:v>
                </c:pt>
                <c:pt idx="18">
                  <c:v>0.82978502767730455</c:v>
                </c:pt>
                <c:pt idx="19">
                  <c:v>0.83292675643437541</c:v>
                </c:pt>
                <c:pt idx="20">
                  <c:v>0.83603512316006456</c:v>
                </c:pt>
                <c:pt idx="21">
                  <c:v>0.8391106698018832</c:v>
                </c:pt>
                <c:pt idx="22">
                  <c:v>0.84215392629763086</c:v>
                </c:pt>
                <c:pt idx="23">
                  <c:v>0.84516541091620023</c:v>
                </c:pt>
                <c:pt idx="24">
                  <c:v>0.8481456305865015</c:v>
                </c:pt>
                <c:pt idx="25">
                  <c:v>0.85109508121500776</c:v>
                </c:pt>
                <c:pt idx="26">
                  <c:v>0.8540142479923819</c:v>
                </c:pt>
                <c:pt idx="27">
                  <c:v>0.85690360568963519</c:v>
                </c:pt>
                <c:pt idx="28">
                  <c:v>0.85976361894424647</c:v>
                </c:pt>
                <c:pt idx="29">
                  <c:v>0.86259474253663693</c:v>
                </c:pt>
                <c:pt idx="30">
                  <c:v>0.86539742165739941</c:v>
                </c:pt>
                <c:pt idx="31">
                  <c:v>0.86817209216563918</c:v>
                </c:pt>
                <c:pt idx="32">
                  <c:v>0.87091918083878606</c:v>
                </c:pt>
                <c:pt idx="33">
                  <c:v>0.87363910561420688</c:v>
                </c:pt>
                <c:pt idx="34">
                  <c:v>0.87633227582294171</c:v>
                </c:pt>
                <c:pt idx="35">
                  <c:v>0.87899909241586827</c:v>
                </c:pt>
                <c:pt idx="36">
                  <c:v>0.8816399481825854</c:v>
                </c:pt>
                <c:pt idx="37">
                  <c:v>0.88425522796329536</c:v>
                </c:pt>
                <c:pt idx="38">
                  <c:v>0.88684530885394941</c:v>
                </c:pt>
                <c:pt idx="39">
                  <c:v>0.88941056040491417</c:v>
                </c:pt>
                <c:pt idx="40">
                  <c:v>0.89195134481339899</c:v>
                </c:pt>
                <c:pt idx="41">
                  <c:v>0.89446801710987722</c:v>
                </c:pt>
                <c:pt idx="42">
                  <c:v>0.89696092533872873</c:v>
                </c:pt>
                <c:pt idx="43">
                  <c:v>0.89943041073330832</c:v>
                </c:pt>
                <c:pt idx="44">
                  <c:v>0.90187680788565172</c:v>
                </c:pt>
                <c:pt idx="45">
                  <c:v>0.9043004449110108</c:v>
                </c:pt>
                <c:pt idx="46">
                  <c:v>0.90670164360740579</c:v>
                </c:pt>
                <c:pt idx="47">
                  <c:v>0.90908071961037218</c:v>
                </c:pt>
                <c:pt idx="48">
                  <c:v>0.91143798254307751</c:v>
                </c:pt>
                <c:pt idx="49">
                  <c:v>0.91377373616196889</c:v>
                </c:pt>
                <c:pt idx="50">
                  <c:v>0.91608827849811103</c:v>
                </c:pt>
                <c:pt idx="51">
                  <c:v>0.91838190199436642</c:v>
                </c:pt>
                <c:pt idx="52">
                  <c:v>0.92065489363856057</c:v>
                </c:pt>
                <c:pt idx="53">
                  <c:v>0.92290753509277534</c:v>
                </c:pt>
                <c:pt idx="54">
                  <c:v>0.92514010281889936</c:v>
                </c:pt>
                <c:pt idx="55">
                  <c:v>0.92735286820056895</c:v>
                </c:pt>
                <c:pt idx="56">
                  <c:v>0.92954609766161789</c:v>
                </c:pt>
                <c:pt idx="57">
                  <c:v>0.9317200527811591</c:v>
                </c:pt>
                <c:pt idx="58">
                  <c:v>0.933874990405406</c:v>
                </c:pt>
                <c:pt idx="59">
                  <c:v>0.93601116275635154</c:v>
                </c:pt>
                <c:pt idx="60">
                  <c:v>0.93812881753739774</c:v>
                </c:pt>
                <c:pt idx="61">
                  <c:v>0.94022819803605207</c:v>
                </c:pt>
                <c:pt idx="62">
                  <c:v>0.94230954322377058</c:v>
                </c:pt>
                <c:pt idx="63">
                  <c:v>0.94437308785305663</c:v>
                </c:pt>
                <c:pt idx="64">
                  <c:v>0.9464190625518949</c:v>
                </c:pt>
                <c:pt idx="65">
                  <c:v>0.94844769391561101</c:v>
                </c:pt>
                <c:pt idx="66">
                  <c:v>0.95045920459623856</c:v>
                </c:pt>
                <c:pt idx="67">
                  <c:v>0.95245381338947666</c:v>
                </c:pt>
                <c:pt idx="68">
                  <c:v>0.95443173531931014</c:v>
                </c:pt>
                <c:pt idx="69">
                  <c:v>0.95639318172037024</c:v>
                </c:pt>
                <c:pt idx="70">
                  <c:v>0.95833836031810749</c:v>
                </c:pt>
                <c:pt idx="71">
                  <c:v>0.96026747530684109</c:v>
                </c:pt>
                <c:pt idx="72">
                  <c:v>0.962180727425758</c:v>
                </c:pt>
                <c:pt idx="73">
                  <c:v>0.96407831403291944</c:v>
                </c:pt>
                <c:pt idx="74">
                  <c:v>0.96596042917734182</c:v>
                </c:pt>
                <c:pt idx="75">
                  <c:v>0.96782726366920513</c:v>
                </c:pt>
                <c:pt idx="76">
                  <c:v>0.96967900514825323</c:v>
                </c:pt>
                <c:pt idx="77">
                  <c:v>0.97151583815043518</c:v>
                </c:pt>
                <c:pt idx="78">
                  <c:v>0.9733379441728468</c:v>
                </c:pt>
                <c:pt idx="79">
                  <c:v>0.97514550173701653</c:v>
                </c:pt>
                <c:pt idx="80">
                  <c:v>0.97693868645059367</c:v>
                </c:pt>
                <c:pt idx="81">
                  <c:v>0.97871767106747887</c:v>
                </c:pt>
                <c:pt idx="82">
                  <c:v>0.9804826255464496</c:v>
                </c:pt>
                <c:pt idx="83">
                  <c:v>0.98223371710832152</c:v>
                </c:pt>
                <c:pt idx="84">
                  <c:v>0.98397111029169038</c:v>
                </c:pt>
                <c:pt idx="85">
                  <c:v>0.98569496700729542</c:v>
                </c:pt>
                <c:pt idx="86">
                  <c:v>0.9874054465910439</c:v>
                </c:pt>
                <c:pt idx="87">
                  <c:v>0.98910270585573901</c:v>
                </c:pt>
                <c:pt idx="88">
                  <c:v>0.99078689914154328</c:v>
                </c:pt>
                <c:pt idx="89">
                  <c:v>0.99245817836521943</c:v>
                </c:pt>
                <c:pt idx="90">
                  <c:v>0.99411669306817918</c:v>
                </c:pt>
                <c:pt idx="91">
                  <c:v>0.99576259046337701</c:v>
                </c:pt>
                <c:pt idx="92">
                  <c:v>0.9973960154810807</c:v>
                </c:pt>
                <c:pt idx="93">
                  <c:v>0.99901711081355027</c:v>
                </c:pt>
                <c:pt idx="94">
                  <c:v>1.0006260169586552</c:v>
                </c:pt>
                <c:pt idx="95">
                  <c:v>1.0022228722624618</c:v>
                </c:pt>
                <c:pt idx="96">
                  <c:v>1.0038078129608174</c:v>
                </c:pt>
                <c:pt idx="97">
                  <c:v>1.0053809732199614</c:v>
                </c:pt>
                <c:pt idx="98">
                  <c:v>1.0069424851761863</c:v>
                </c:pt>
                <c:pt idx="99">
                  <c:v>1.0084924789745804</c:v>
                </c:pt>
                <c:pt idx="100">
                  <c:v>1.010031082806871</c:v>
                </c:pt>
                <c:pt idx="101">
                  <c:v>1.011558422948398</c:v>
                </c:pt>
                <c:pt idx="102">
                  <c:v>1.0130746237942396</c:v>
                </c:pt>
                <c:pt idx="103">
                  <c:v>1.0145798078945107</c:v>
                </c:pt>
                <c:pt idx="104">
                  <c:v>1.0160740959888612</c:v>
                </c:pt>
                <c:pt idx="105">
                  <c:v>1.0175576070401895</c:v>
                </c:pt>
                <c:pt idx="106">
                  <c:v>1.0190304582675984</c:v>
                </c:pt>
                <c:pt idx="107">
                  <c:v>1.0204927651786095</c:v>
                </c:pt>
                <c:pt idx="108">
                  <c:v>1.0219446416006575</c:v>
                </c:pt>
                <c:pt idx="109">
                  <c:v>1.0233861997118798</c:v>
                </c:pt>
                <c:pt idx="110">
                  <c:v>1.0248175500712282</c:v>
                </c:pt>
                <c:pt idx="111">
                  <c:v>1.0262388016479096</c:v>
                </c:pt>
                <c:pt idx="112">
                  <c:v>1.027650061850182</c:v>
                </c:pt>
                <c:pt idx="113">
                  <c:v>1.0290514365535188</c:v>
                </c:pt>
                <c:pt idx="114">
                  <c:v>1.0304430301281553</c:v>
                </c:pt>
                <c:pt idx="115">
                  <c:v>1.0318249454660404</c:v>
                </c:pt>
                <c:pt idx="116">
                  <c:v>1.0331972840072012</c:v>
                </c:pt>
                <c:pt idx="117">
                  <c:v>1.0345601457655385</c:v>
                </c:pt>
                <c:pt idx="118">
                  <c:v>1.0359136293540712</c:v>
                </c:pt>
                <c:pt idx="119">
                  <c:v>1.0372578320096353</c:v>
                </c:pt>
                <c:pt idx="120">
                  <c:v>1.0385928496170584</c:v>
                </c:pt>
                <c:pt idx="121">
                  <c:v>1.0399187767328253</c:v>
                </c:pt>
                <c:pt idx="122">
                  <c:v>1.0412357066082309</c:v>
                </c:pt>
                <c:pt idx="123">
                  <c:v>1.0425437312120578</c:v>
                </c:pt>
                <c:pt idx="124">
                  <c:v>1.043842941252769</c:v>
                </c:pt>
                <c:pt idx="125">
                  <c:v>1.0451334262002403</c:v>
                </c:pt>
                <c:pt idx="126">
                  <c:v>1.0464152743070376</c:v>
                </c:pt>
                <c:pt idx="127">
                  <c:v>1.0476885726292535</c:v>
                </c:pt>
                <c:pt idx="128">
                  <c:v>1.0489534070469129</c:v>
                </c:pt>
                <c:pt idx="129">
                  <c:v>1.0502098622839555</c:v>
                </c:pt>
                <c:pt idx="130">
                  <c:v>1.0514580219278122</c:v>
                </c:pt>
                <c:pt idx="131">
                  <c:v>1.0526979684485769</c:v>
                </c:pt>
                <c:pt idx="132">
                  <c:v>1.0539297832177901</c:v>
                </c:pt>
                <c:pt idx="133">
                  <c:v>1.05515354652684</c:v>
                </c:pt>
                <c:pt idx="134">
                  <c:v>1.0563693376049894</c:v>
                </c:pt>
                <c:pt idx="135">
                  <c:v>1.0575772346370429</c:v>
                </c:pt>
                <c:pt idx="136">
                  <c:v>1.0587773147806565</c:v>
                </c:pt>
                <c:pt idx="137">
                  <c:v>1.0599696541833008</c:v>
                </c:pt>
                <c:pt idx="138">
                  <c:v>1.0611543279988866</c:v>
                </c:pt>
                <c:pt idx="139">
                  <c:v>1.06233141040406</c:v>
                </c:pt>
                <c:pt idx="140">
                  <c:v>1.0635009746141726</c:v>
                </c:pt>
                <c:pt idx="141">
                  <c:v>1.0646630928989416</c:v>
                </c:pt>
                <c:pt idx="142">
                  <c:v>1.0658178365977951</c:v>
                </c:pt>
                <c:pt idx="143">
                  <c:v>1.0669652761349229</c:v>
                </c:pt>
                <c:pt idx="144">
                  <c:v>1.0681054810340289</c:v>
                </c:pt>
                <c:pt idx="145">
                  <c:v>1.0692385199327992</c:v>
                </c:pt>
                <c:pt idx="146">
                  <c:v>1.0703644605970881</c:v>
                </c:pt>
                <c:pt idx="147">
                  <c:v>1.0714833699348296</c:v>
                </c:pt>
                <c:pt idx="148">
                  <c:v>1.0725953140096836</c:v>
                </c:pt>
                <c:pt idx="149">
                  <c:v>1.0737003580544169</c:v>
                </c:pt>
                <c:pt idx="150">
                  <c:v>1.0747985664840289</c:v>
                </c:pt>
                <c:pt idx="151">
                  <c:v>1.0758900029086298</c:v>
                </c:pt>
                <c:pt idx="152">
                  <c:v>1.0769747301460695</c:v>
                </c:pt>
                <c:pt idx="153">
                  <c:v>1.0780528102343332</c:v>
                </c:pt>
                <c:pt idx="154">
                  <c:v>1.0791243044436958</c:v>
                </c:pt>
                <c:pt idx="155">
                  <c:v>1.0801892732886553</c:v>
                </c:pt>
                <c:pt idx="156">
                  <c:v>1.081247776539636</c:v>
                </c:pt>
                <c:pt idx="157">
                  <c:v>1.0822998732344777</c:v>
                </c:pt>
                <c:pt idx="158">
                  <c:v>1.0833456216897084</c:v>
                </c:pt>
                <c:pt idx="159">
                  <c:v>1.0843850795116077</c:v>
                </c:pt>
                <c:pt idx="160">
                  <c:v>1.0854183036070688</c:v>
                </c:pt>
                <c:pt idx="161">
                  <c:v>1.0864453501942528</c:v>
                </c:pt>
                <c:pt idx="162">
                  <c:v>1.0874662748130592</c:v>
                </c:pt>
                <c:pt idx="163">
                  <c:v>1.0884811323353889</c:v>
                </c:pt>
                <c:pt idx="164">
                  <c:v>1.0894899769752358</c:v>
                </c:pt>
                <c:pt idx="165">
                  <c:v>1.090492862298583</c:v>
                </c:pt>
                <c:pt idx="166">
                  <c:v>1.0914898412331246</c:v>
                </c:pt>
                <c:pt idx="167">
                  <c:v>1.0924809660778108</c:v>
                </c:pt>
                <c:pt idx="168">
                  <c:v>1.0934662885122206</c:v>
                </c:pt>
                <c:pt idx="169">
                  <c:v>1.0944458596057665</c:v>
                </c:pt>
                <c:pt idx="170">
                  <c:v>1.0954197298267341</c:v>
                </c:pt>
                <c:pt idx="171">
                  <c:v>1.0963879490511599</c:v>
                </c:pt>
                <c:pt idx="172">
                  <c:v>1.0973505665715522</c:v>
                </c:pt>
                <c:pt idx="173">
                  <c:v>1.0983076311054543</c:v>
                </c:pt>
                <c:pt idx="174">
                  <c:v>1.0992591908038609</c:v>
                </c:pt>
                <c:pt idx="175">
                  <c:v>1.1002052932594828</c:v>
                </c:pt>
                <c:pt idx="176">
                  <c:v>1.1011459855148649</c:v>
                </c:pt>
                <c:pt idx="177">
                  <c:v>1.1020813140703669</c:v>
                </c:pt>
                <c:pt idx="178">
                  <c:v>1.1030113248920004</c:v>
                </c:pt>
                <c:pt idx="179">
                  <c:v>1.1039360634191298</c:v>
                </c:pt>
                <c:pt idx="180">
                  <c:v>1.1048555745720428</c:v>
                </c:pt>
                <c:pt idx="181">
                  <c:v>1.1057699027593837</c:v>
                </c:pt>
                <c:pt idx="182">
                  <c:v>1.1066790918854659</c:v>
                </c:pt>
                <c:pt idx="183">
                  <c:v>1.1075831853574523</c:v>
                </c:pt>
                <c:pt idx="184">
                  <c:v>1.1084822260924161</c:v>
                </c:pt>
                <c:pt idx="185">
                  <c:v>1.1093762565242786</c:v>
                </c:pt>
                <c:pt idx="186">
                  <c:v>1.110265318610631</c:v>
                </c:pt>
                <c:pt idx="187">
                  <c:v>1.1111494538394386</c:v>
                </c:pt>
                <c:pt idx="188">
                  <c:v>1.1120287032356302</c:v>
                </c:pt>
                <c:pt idx="189">
                  <c:v>1.1129031073675799</c:v>
                </c:pt>
                <c:pt idx="190">
                  <c:v>1.1137727063534753</c:v>
                </c:pt>
                <c:pt idx="191">
                  <c:v>1.1146375398675825</c:v>
                </c:pt>
                <c:pt idx="192">
                  <c:v>1.1154976471464033</c:v>
                </c:pt>
                <c:pt idx="193">
                  <c:v>1.1163530669947295</c:v>
                </c:pt>
                <c:pt idx="194">
                  <c:v>1.1172038377916007</c:v>
                </c:pt>
                <c:pt idx="195">
                  <c:v>1.1180499974961573</c:v>
                </c:pt>
                <c:pt idx="196">
                  <c:v>1.1188915836533992</c:v>
                </c:pt>
                <c:pt idx="197">
                  <c:v>1.11972863339985</c:v>
                </c:pt>
                <c:pt idx="198">
                  <c:v>1.1205611834691289</c:v>
                </c:pt>
                <c:pt idx="199">
                  <c:v>1.1213892701974255</c:v>
                </c:pt>
                <c:pt idx="200">
                  <c:v>1.1222129295288936</c:v>
                </c:pt>
              </c:numCache>
            </c:numRef>
          </c:yVal>
          <c:smooth val="0"/>
          <c:extLst>
            <c:ext xmlns:c16="http://schemas.microsoft.com/office/drawing/2014/chart" uri="{C3380CC4-5D6E-409C-BE32-E72D297353CC}">
              <c16:uniqueId val="{00000001-30B5-471E-8AC8-389631F29193}"/>
            </c:ext>
          </c:extLst>
        </c:ser>
        <c:ser>
          <c:idx val="0"/>
          <c:order val="2"/>
          <c:tx>
            <c:v>Inductor Loss</c:v>
          </c:tx>
          <c:spPr>
            <a:ln w="31750">
              <a:solidFill>
                <a:srgbClr val="FF6600"/>
              </a:solidFill>
              <a:prstDash val="lgDash"/>
            </a:ln>
          </c:spPr>
          <c:marker>
            <c:symbol val="none"/>
          </c:marker>
          <c:xVal>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xVal>
          <c:yVal>
            <c:numRef>
              <c:f>'Efficiency vs VIN Calculations'!$Z$9:$Z$209</c:f>
              <c:numCache>
                <c:formatCode>0.000</c:formatCode>
                <c:ptCount val="201"/>
                <c:pt idx="0">
                  <c:v>1.1664963483138355</c:v>
                </c:pt>
                <c:pt idx="1">
                  <c:v>1.1783832701555945</c:v>
                </c:pt>
                <c:pt idx="2">
                  <c:v>1.1903891876899488</c:v>
                </c:pt>
                <c:pt idx="3">
                  <c:v>1.2025073878656187</c:v>
                </c:pt>
                <c:pt idx="4">
                  <c:v>1.2147313975756808</c:v>
                </c:pt>
                <c:pt idx="5">
                  <c:v>1.2270549766372592</c:v>
                </c:pt>
                <c:pt idx="6">
                  <c:v>1.2394721108087612</c:v>
                </c:pt>
                <c:pt idx="7">
                  <c:v>1.2519770048712224</c:v>
                </c:pt>
                <c:pt idx="8">
                  <c:v>1.2645640757957135</c:v>
                </c:pt>
                <c:pt idx="9">
                  <c:v>1.2772279460147808</c:v>
                </c:pt>
                <c:pt idx="10">
                  <c:v>1.2899634368125192</c:v>
                </c:pt>
                <c:pt idx="11">
                  <c:v>1.3027655618449869</c:v>
                </c:pt>
                <c:pt idx="12">
                  <c:v>1.3156295208001829</c:v>
                </c:pt>
                <c:pt idx="13">
                  <c:v>1.3285506932047102</c:v>
                </c:pt>
                <c:pt idx="14">
                  <c:v>1.3415246323824344</c:v>
                </c:pt>
                <c:pt idx="15">
                  <c:v>1.3545470595689051</c:v>
                </c:pt>
                <c:pt idx="16">
                  <c:v>1.3676138581840214</c:v>
                </c:pt>
                <c:pt idx="17">
                  <c:v>1.3807210682642745</c:v>
                </c:pt>
                <c:pt idx="18">
                  <c:v>1.3938648810549974</c:v>
                </c:pt>
                <c:pt idx="19">
                  <c:v>1.4070416337622322</c:v>
                </c:pt>
                <c:pt idx="20">
                  <c:v>1.4202478044631612</c:v>
                </c:pt>
                <c:pt idx="21">
                  <c:v>1.4334800071735168</c:v>
                </c:pt>
                <c:pt idx="22">
                  <c:v>1.4467349870698509</c:v>
                </c:pt>
                <c:pt idx="23">
                  <c:v>1.4600096158642786</c:v>
                </c:pt>
                <c:pt idx="24">
                  <c:v>1.4733008873288647</c:v>
                </c:pt>
                <c:pt idx="25">
                  <c:v>1.4866059129666853</c:v>
                </c:pt>
                <c:pt idx="26">
                  <c:v>1.4999219178263286</c:v>
                </c:pt>
                <c:pt idx="27">
                  <c:v>1.5132462364564618</c:v>
                </c:pt>
                <c:pt idx="28">
                  <c:v>1.5265763089970132</c:v>
                </c:pt>
                <c:pt idx="29">
                  <c:v>1.5399096774033554</c:v>
                </c:pt>
                <c:pt idx="30">
                  <c:v>1.5532439817999366</c:v>
                </c:pt>
                <c:pt idx="31">
                  <c:v>1.5665769569596513</c:v>
                </c:pt>
                <c:pt idx="32">
                  <c:v>1.5799064289053455</c:v>
                </c:pt>
                <c:pt idx="33">
                  <c:v>1.5932303116297901</c:v>
                </c:pt>
                <c:pt idx="34">
                  <c:v>1.6065466039305125</c:v>
                </c:pt>
                <c:pt idx="35">
                  <c:v>1.6198533863558988</c:v>
                </c:pt>
                <c:pt idx="36">
                  <c:v>1.6331488182590457</c:v>
                </c:pt>
                <c:pt idx="37">
                  <c:v>1.6464311349558671</c:v>
                </c:pt>
                <c:pt idx="38">
                  <c:v>1.6596986449840616</c:v>
                </c:pt>
                <c:pt idx="39">
                  <c:v>1.6729497274595779</c:v>
                </c:pt>
                <c:pt idx="40">
                  <c:v>1.6861828295273189</c:v>
                </c:pt>
                <c:pt idx="41">
                  <c:v>1.6993964639028876</c:v>
                </c:pt>
                <c:pt idx="42">
                  <c:v>1.7125892065022597</c:v>
                </c:pt>
                <c:pt idx="43">
                  <c:v>1.7257596941563396</c:v>
                </c:pt>
                <c:pt idx="44">
                  <c:v>1.7389066224074852</c:v>
                </c:pt>
                <c:pt idx="45">
                  <c:v>1.7520287433850754</c:v>
                </c:pt>
                <c:pt idx="46">
                  <c:v>1.7651248637574086</c:v>
                </c:pt>
                <c:pt idx="47">
                  <c:v>1.778193842757178</c:v>
                </c:pt>
                <c:pt idx="48">
                  <c:v>1.7912345902779312</c:v>
                </c:pt>
                <c:pt idx="49">
                  <c:v>1.8042460650389902</c:v>
                </c:pt>
                <c:pt idx="50">
                  <c:v>1.8172272728163485</c:v>
                </c:pt>
                <c:pt idx="51">
                  <c:v>1.8301772647372176</c:v>
                </c:pt>
                <c:pt idx="52">
                  <c:v>1.8430951356358847</c:v>
                </c:pt>
                <c:pt idx="53">
                  <c:v>1.855980022468706</c:v>
                </c:pt>
                <c:pt idx="54">
                  <c:v>1.8688311027860562</c:v>
                </c:pt>
                <c:pt idx="55">
                  <c:v>1.8816475932591961</c:v>
                </c:pt>
                <c:pt idx="56">
                  <c:v>1.894428748260059</c:v>
                </c:pt>
                <c:pt idx="57">
                  <c:v>1.9071738584920055</c:v>
                </c:pt>
                <c:pt idx="58">
                  <c:v>1.919882249669723</c:v>
                </c:pt>
                <c:pt idx="59">
                  <c:v>1.932553281246455</c:v>
                </c:pt>
                <c:pt idx="60">
                  <c:v>1.9451863451868334</c:v>
                </c:pt>
                <c:pt idx="61">
                  <c:v>1.9577808647836685</c:v>
                </c:pt>
                <c:pt idx="62">
                  <c:v>1.9703362935170581</c:v>
                </c:pt>
                <c:pt idx="63">
                  <c:v>1.9828521139542974</c:v>
                </c:pt>
                <c:pt idx="64">
                  <c:v>1.9953278366890872</c:v>
                </c:pt>
                <c:pt idx="65">
                  <c:v>2.0077629993186012</c:v>
                </c:pt>
                <c:pt idx="66">
                  <c:v>2.0201571654570234</c:v>
                </c:pt>
                <c:pt idx="67">
                  <c:v>2.0325099237842568</c:v>
                </c:pt>
                <c:pt idx="68">
                  <c:v>2.0448208871284654</c:v>
                </c:pt>
                <c:pt idx="69">
                  <c:v>2.0570896915812473</c:v>
                </c:pt>
                <c:pt idx="70">
                  <c:v>2.0693159956442653</c:v>
                </c:pt>
                <c:pt idx="71">
                  <c:v>2.0814994794061419</c:v>
                </c:pt>
                <c:pt idx="72">
                  <c:v>2.0936398437485524</c:v>
                </c:pt>
                <c:pt idx="73">
                  <c:v>2.1057368095804256</c:v>
                </c:pt>
                <c:pt idx="74">
                  <c:v>2.1177901170992759</c:v>
                </c:pt>
                <c:pt idx="75">
                  <c:v>2.1297995250786137</c:v>
                </c:pt>
                <c:pt idx="76">
                  <c:v>2.1417648101805451</c:v>
                </c:pt>
                <c:pt idx="77">
                  <c:v>2.1536857662926252</c:v>
                </c:pt>
                <c:pt idx="78">
                  <c:v>2.1655622038880722</c:v>
                </c:pt>
                <c:pt idx="79">
                  <c:v>2.1773939494085326</c:v>
                </c:pt>
                <c:pt idx="80">
                  <c:v>2.1891808446685435</c:v>
                </c:pt>
                <c:pt idx="81">
                  <c:v>2.2009227462809351</c:v>
                </c:pt>
                <c:pt idx="82">
                  <c:v>2.2126195251023999</c:v>
                </c:pt>
                <c:pt idx="83">
                  <c:v>2.2242710656985385</c:v>
                </c:pt>
                <c:pt idx="84">
                  <c:v>2.2358772658276242</c:v>
                </c:pt>
                <c:pt idx="85">
                  <c:v>2.2474380359424622</c:v>
                </c:pt>
                <c:pt idx="86">
                  <c:v>2.2589532987096708</c:v>
                </c:pt>
                <c:pt idx="87">
                  <c:v>2.2704229885457834</c:v>
                </c:pt>
                <c:pt idx="88">
                  <c:v>2.2818470511695303</c:v>
                </c:pt>
                <c:pt idx="89">
                  <c:v>2.2932254431697614</c:v>
                </c:pt>
                <c:pt idx="90">
                  <c:v>2.3045581315884411</c:v>
                </c:pt>
                <c:pt idx="91">
                  <c:v>2.315845093518158</c:v>
                </c:pt>
                <c:pt idx="92">
                  <c:v>2.3270863157136645</c:v>
                </c:pt>
                <c:pt idx="93">
                  <c:v>2.3382817942169294</c:v>
                </c:pt>
                <c:pt idx="94">
                  <c:v>2.3494315339952312</c:v>
                </c:pt>
                <c:pt idx="95">
                  <c:v>2.3605355485918111</c:v>
                </c:pt>
                <c:pt idx="96">
                  <c:v>2.371593859788693</c:v>
                </c:pt>
                <c:pt idx="97">
                  <c:v>2.3826064972811754</c:v>
                </c:pt>
                <c:pt idx="98">
                  <c:v>2.3935734983636308</c:v>
                </c:pt>
                <c:pt idx="99">
                  <c:v>2.4044949076261926</c:v>
                </c:pt>
                <c:pt idx="100">
                  <c:v>2.4153707766619683</c:v>
                </c:pt>
                <c:pt idx="101">
                  <c:v>2.4262011637843726</c:v>
                </c:pt>
                <c:pt idx="102">
                  <c:v>2.4369861337542753</c:v>
                </c:pt>
                <c:pt idx="103">
                  <c:v>2.4477257575165736</c:v>
                </c:pt>
                <c:pt idx="104">
                  <c:v>2.4584201119458911</c:v>
                </c:pt>
                <c:pt idx="105">
                  <c:v>2.4690692796010674</c:v>
                </c:pt>
                <c:pt idx="106">
                  <c:v>2.4796733484881606</c:v>
                </c:pt>
                <c:pt idx="107">
                  <c:v>2.4902324118316193</c:v>
                </c:pt>
                <c:pt idx="108">
                  <c:v>2.500746567853386</c:v>
                </c:pt>
                <c:pt idx="109">
                  <c:v>2.5112159195596222</c:v>
                </c:pt>
                <c:pt idx="110">
                  <c:v>2.5216405745348349</c:v>
                </c:pt>
                <c:pt idx="111">
                  <c:v>2.5320206447430897</c:v>
                </c:pt>
                <c:pt idx="112">
                  <c:v>2.5423562463361331</c:v>
                </c:pt>
                <c:pt idx="113">
                  <c:v>2.5526474994681063</c:v>
                </c:pt>
                <c:pt idx="114">
                  <c:v>2.5628945281167259</c:v>
                </c:pt>
                <c:pt idx="115">
                  <c:v>2.5730974599105907</c:v>
                </c:pt>
                <c:pt idx="116">
                  <c:v>2.5832564259625181</c:v>
                </c:pt>
                <c:pt idx="117">
                  <c:v>2.5933715607086176</c:v>
                </c:pt>
                <c:pt idx="118">
                  <c:v>2.603443001752956</c:v>
                </c:pt>
                <c:pt idx="119">
                  <c:v>2.6134708897176</c:v>
                </c:pt>
                <c:pt idx="120">
                  <c:v>2.6234553680978552</c:v>
                </c:pt>
                <c:pt idx="121">
                  <c:v>2.6333965831225461</c:v>
                </c:pt>
                <c:pt idx="122">
                  <c:v>2.6432946836191182</c:v>
                </c:pt>
                <c:pt idx="123">
                  <c:v>2.6531498208834532</c:v>
                </c:pt>
                <c:pt idx="124">
                  <c:v>2.6629621485542092</c:v>
                </c:pt>
                <c:pt idx="125">
                  <c:v>2.6727318224915084</c:v>
                </c:pt>
                <c:pt idx="126">
                  <c:v>2.6824590006599012</c:v>
                </c:pt>
                <c:pt idx="127">
                  <c:v>2.6921438430153604</c:v>
                </c:pt>
                <c:pt idx="128">
                  <c:v>2.7017865113962718</c:v>
                </c:pt>
                <c:pt idx="129">
                  <c:v>2.7113871694181775</c:v>
                </c:pt>
                <c:pt idx="130">
                  <c:v>2.7209459823722768</c:v>
                </c:pt>
                <c:pt idx="131">
                  <c:v>2.7304631171274143</c:v>
                </c:pt>
                <c:pt idx="132">
                  <c:v>2.7399387420355716</c:v>
                </c:pt>
                <c:pt idx="133">
                  <c:v>2.7493730268406344</c:v>
                </c:pt>
                <c:pt idx="134">
                  <c:v>2.7587661425904031</c:v>
                </c:pt>
                <c:pt idx="135">
                  <c:v>2.7681182615516926</c:v>
                </c:pt>
                <c:pt idx="136">
                  <c:v>2.7774295571284675</c:v>
                </c:pt>
                <c:pt idx="137">
                  <c:v>2.786700203782805</c:v>
                </c:pt>
                <c:pt idx="138">
                  <c:v>2.7959303769587605</c:v>
                </c:pt>
                <c:pt idx="139">
                  <c:v>2.8051202530088668</c:v>
                </c:pt>
                <c:pt idx="140">
                  <c:v>2.8142700091232733</c:v>
                </c:pt>
                <c:pt idx="141">
                  <c:v>2.8233798232614471</c:v>
                </c:pt>
                <c:pt idx="142">
                  <c:v>2.8324498740862958</c:v>
                </c:pt>
                <c:pt idx="143">
                  <c:v>2.8414803409006462</c:v>
                </c:pt>
                <c:pt idx="144">
                  <c:v>2.8504714035860528</c:v>
                </c:pt>
                <c:pt idx="145">
                  <c:v>2.8594232425437807</c:v>
                </c:pt>
                <c:pt idx="146">
                  <c:v>2.8683360386379468</c:v>
                </c:pt>
                <c:pt idx="147">
                  <c:v>2.8772099731407152</c:v>
                </c:pt>
                <c:pt idx="148">
                  <c:v>2.8860452276795168</c:v>
                </c:pt>
                <c:pt idx="149">
                  <c:v>2.8948419841861779</c:v>
                </c:pt>
                <c:pt idx="150">
                  <c:v>2.9036004248479235</c:v>
                </c:pt>
                <c:pt idx="151">
                  <c:v>2.9123207320601949</c:v>
                </c:pt>
                <c:pt idx="152">
                  <c:v>2.9210030883812217</c:v>
                </c:pt>
                <c:pt idx="153">
                  <c:v>2.9296476764882482</c:v>
                </c:pt>
                <c:pt idx="154">
                  <c:v>2.9382546791354534</c:v>
                </c:pt>
                <c:pt idx="155">
                  <c:v>2.946824279113383</c:v>
                </c:pt>
                <c:pt idx="156">
                  <c:v>2.9553566592099756</c:v>
                </c:pt>
                <c:pt idx="157">
                  <c:v>2.9638520021730042</c:v>
                </c:pt>
                <c:pt idx="158">
                  <c:v>2.9723104906739937</c:v>
                </c:pt>
                <c:pt idx="159">
                  <c:v>2.9807323072734979</c:v>
                </c:pt>
                <c:pt idx="160">
                  <c:v>2.9891176343877293</c:v>
                </c:pt>
                <c:pt idx="161">
                  <c:v>2.9974666542564368</c:v>
                </c:pt>
                <c:pt idx="162">
                  <c:v>3.0057795489121002</c:v>
                </c:pt>
                <c:pt idx="163">
                  <c:v>3.0140565001502693</c:v>
                </c:pt>
                <c:pt idx="164">
                  <c:v>3.022297689501122</c:v>
                </c:pt>
                <c:pt idx="165">
                  <c:v>3.0305032982021118</c:v>
                </c:pt>
                <c:pt idx="166">
                  <c:v>3.0386735071717261</c:v>
                </c:pt>
                <c:pt idx="167">
                  <c:v>3.0468084969843141</c:v>
                </c:pt>
                <c:pt idx="168">
                  <c:v>3.0549084478459001</c:v>
                </c:pt>
                <c:pt idx="169">
                  <c:v>3.0629735395710243</c:v>
                </c:pt>
                <c:pt idx="170">
                  <c:v>3.0710039515605132</c:v>
                </c:pt>
                <c:pt idx="171">
                  <c:v>3.0789998627801798</c:v>
                </c:pt>
                <c:pt idx="172">
                  <c:v>3.0869614517404202</c:v>
                </c:pt>
                <c:pt idx="173">
                  <c:v>3.0948888964766708</c:v>
                </c:pt>
                <c:pt idx="174">
                  <c:v>3.1027823745307059</c:v>
                </c:pt>
                <c:pt idx="175">
                  <c:v>3.1106420629327314</c:v>
                </c:pt>
                <c:pt idx="176">
                  <c:v>3.1184681381842694</c:v>
                </c:pt>
                <c:pt idx="177">
                  <c:v>3.1262607762417902</c:v>
                </c:pt>
                <c:pt idx="178">
                  <c:v>3.1340201525010878</c:v>
                </c:pt>
                <c:pt idx="179">
                  <c:v>3.1417464417823471</c:v>
                </c:pt>
                <c:pt idx="180">
                  <c:v>3.1494398183158863</c:v>
                </c:pt>
                <c:pt idx="181">
                  <c:v>3.1571004557285822</c:v>
                </c:pt>
                <c:pt idx="182">
                  <c:v>3.1647285270309249</c:v>
                </c:pt>
                <c:pt idx="183">
                  <c:v>3.1723242046046685</c:v>
                </c:pt>
                <c:pt idx="184">
                  <c:v>3.1798876601911026</c:v>
                </c:pt>
                <c:pt idx="185">
                  <c:v>3.1874190648798884</c:v>
                </c:pt>
                <c:pt idx="186">
                  <c:v>3.1949185890984602</c:v>
                </c:pt>
                <c:pt idx="187">
                  <c:v>3.2023864026019524</c:v>
                </c:pt>
                <c:pt idx="188">
                  <c:v>3.2098226744636373</c:v>
                </c:pt>
                <c:pt idx="189">
                  <c:v>3.2172275730659141</c:v>
                </c:pt>
                <c:pt idx="190">
                  <c:v>3.2246012660917165</c:v>
                </c:pt>
                <c:pt idx="191">
                  <c:v>3.2319439205164397</c:v>
                </c:pt>
                <c:pt idx="192">
                  <c:v>3.2392557026002953</c:v>
                </c:pt>
                <c:pt idx="193">
                  <c:v>3.2465367778811265</c:v>
                </c:pt>
                <c:pt idx="194">
                  <c:v>3.2537873111676001</c:v>
                </c:pt>
                <c:pt idx="195">
                  <c:v>3.2610074665328819</c:v>
                </c:pt>
                <c:pt idx="196">
                  <c:v>3.2681974073086364</c:v>
                </c:pt>
                <c:pt idx="197">
                  <c:v>3.275357296079433</c:v>
                </c:pt>
                <c:pt idx="198">
                  <c:v>3.2824872946775505</c:v>
                </c:pt>
                <c:pt idx="199">
                  <c:v>3.289587564178075</c:v>
                </c:pt>
                <c:pt idx="200">
                  <c:v>3.2966582648944049</c:v>
                </c:pt>
              </c:numCache>
            </c:numRef>
          </c:yVal>
          <c:smooth val="0"/>
          <c:extLst>
            <c:ext xmlns:c16="http://schemas.microsoft.com/office/drawing/2014/chart" uri="{C3380CC4-5D6E-409C-BE32-E72D297353CC}">
              <c16:uniqueId val="{00000002-30B5-471E-8AC8-389631F29193}"/>
            </c:ext>
          </c:extLst>
        </c:ser>
        <c:dLbls>
          <c:showLegendKey val="0"/>
          <c:showVal val="0"/>
          <c:showCatName val="0"/>
          <c:showSerName val="0"/>
          <c:showPercent val="0"/>
          <c:showBubbleSize val="0"/>
        </c:dLbls>
        <c:axId val="195434752"/>
        <c:axId val="195453312"/>
      </c:scatterChart>
      <c:valAx>
        <c:axId val="195434752"/>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5453312"/>
        <c:crosses val="autoZero"/>
        <c:crossBetween val="midCat"/>
      </c:valAx>
      <c:valAx>
        <c:axId val="195453312"/>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5434752"/>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77115673503774995"/>
          <c:y val="1.0080645161290322E-2"/>
          <c:w val="0.20336554227017919"/>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xVal>
          <c:yVal>
            <c:numRef>
              <c:f>'Efficiency vs VIN Calculations'!$BK$9:$BK$209</c:f>
              <c:numCache>
                <c:formatCode>0.0%</c:formatCode>
                <c:ptCount val="201"/>
                <c:pt idx="0">
                  <c:v>0.95549377136149716</c:v>
                </c:pt>
                <c:pt idx="1">
                  <c:v>0.95532263889966729</c:v>
                </c:pt>
                <c:pt idx="2">
                  <c:v>0.95515110946792703</c:v>
                </c:pt>
                <c:pt idx="3">
                  <c:v>0.95497921563735777</c:v>
                </c:pt>
                <c:pt idx="4">
                  <c:v>0.95480698874935022</c:v>
                </c:pt>
                <c:pt idx="5">
                  <c:v>0.95463445895233423</c:v>
                </c:pt>
                <c:pt idx="6">
                  <c:v>0.95446165523831439</c:v>
                </c:pt>
                <c:pt idx="7">
                  <c:v>0.95428860547907202</c:v>
                </c:pt>
                <c:pt idx="8">
                  <c:v>0.9541153364619166</c:v>
                </c:pt>
                <c:pt idx="9">
                  <c:v>0.95394187392488905</c:v>
                </c:pt>
                <c:pt idx="10">
                  <c:v>0.95376824259133941</c:v>
                </c:pt>
                <c:pt idx="11">
                  <c:v>0.95359446620381871</c:v>
                </c:pt>
                <c:pt idx="12">
                  <c:v>0.95342056755723192</c:v>
                </c:pt>
                <c:pt idx="13">
                  <c:v>0.95324656853121759</c:v>
                </c:pt>
                <c:pt idx="14">
                  <c:v>0.9530724901217219</c:v>
                </c:pt>
                <c:pt idx="15">
                  <c:v>0.95289835247175225</c:v>
                </c:pt>
                <c:pt idx="16">
                  <c:v>0.95272417490129013</c:v>
                </c:pt>
                <c:pt idx="17">
                  <c:v>0.9525499759363637</c:v>
                </c:pt>
                <c:pt idx="18">
                  <c:v>0.95237577333727097</c:v>
                </c:pt>
                <c:pt idx="19">
                  <c:v>0.95220158412596012</c:v>
                </c:pt>
                <c:pt idx="20">
                  <c:v>0.95202742461257039</c:v>
                </c:pt>
                <c:pt idx="21">
                  <c:v>0.95185331042114263</c:v>
                </c:pt>
                <c:pt idx="22">
                  <c:v>0.95167925651451057</c:v>
                </c:pt>
                <c:pt idx="23">
                  <c:v>0.95150527721838607</c:v>
                </c:pt>
                <c:pt idx="24">
                  <c:v>0.95133138624465197</c:v>
                </c:pt>
                <c:pt idx="25">
                  <c:v>0.95115759671388023</c:v>
                </c:pt>
                <c:pt idx="26">
                  <c:v>0.95098392117709107</c:v>
                </c:pt>
                <c:pt idx="27">
                  <c:v>0.95081037163677207</c:v>
                </c:pt>
                <c:pt idx="28">
                  <c:v>0.95063695956717487</c:v>
                </c:pt>
                <c:pt idx="29">
                  <c:v>0.95046369593390956</c:v>
                </c:pt>
                <c:pt idx="30">
                  <c:v>0.95029059121285475</c:v>
                </c:pt>
                <c:pt idx="31">
                  <c:v>0.95011765540840387</c:v>
                </c:pt>
                <c:pt idx="32">
                  <c:v>0.94994489807106663</c:v>
                </c:pt>
                <c:pt idx="33">
                  <c:v>0.94977232831444458</c:v>
                </c:pt>
                <c:pt idx="34">
                  <c:v>0.94959995483160176</c:v>
                </c:pt>
                <c:pt idx="35">
                  <c:v>0.94942778591084731</c:v>
                </c:pt>
                <c:pt idx="36">
                  <c:v>0.94925582945095022</c:v>
                </c:pt>
                <c:pt idx="37">
                  <c:v>0.94908409297580509</c:v>
                </c:pt>
                <c:pt idx="38">
                  <c:v>0.94891258364856546</c:v>
                </c:pt>
                <c:pt idx="39">
                  <c:v>0.94874130828526404</c:v>
                </c:pt>
                <c:pt idx="40">
                  <c:v>0.9485702733679372</c:v>
                </c:pt>
                <c:pt idx="41">
                  <c:v>0.94839948505726968</c:v>
                </c:pt>
                <c:pt idx="42">
                  <c:v>0.94822894920477652</c:v>
                </c:pt>
                <c:pt idx="43">
                  <c:v>0.94805867136453981</c:v>
                </c:pt>
                <c:pt idx="44">
                  <c:v>0.94788865680451295</c:v>
                </c:pt>
                <c:pt idx="45">
                  <c:v>0.94771891051741131</c:v>
                </c:pt>
                <c:pt idx="46">
                  <c:v>0.94754943723120022</c:v>
                </c:pt>
                <c:pt idx="47">
                  <c:v>0.9473802414191993</c:v>
                </c:pt>
                <c:pt idx="48">
                  <c:v>0.94721132730981106</c:v>
                </c:pt>
                <c:pt idx="49">
                  <c:v>0.94704269889589376</c:v>
                </c:pt>
                <c:pt idx="50">
                  <c:v>0.94687435994378677</c:v>
                </c:pt>
                <c:pt idx="51">
                  <c:v>0.94670631400200222</c:v>
                </c:pt>
                <c:pt idx="52">
                  <c:v>0.94653856440959738</c:v>
                </c:pt>
                <c:pt idx="53">
                  <c:v>0.94637111430423582</c:v>
                </c:pt>
                <c:pt idx="54">
                  <c:v>0.94620396662995154</c:v>
                </c:pt>
                <c:pt idx="55">
                  <c:v>0.94603712414462682</c:v>
                </c:pt>
                <c:pt idx="56">
                  <c:v>0.94587058942719171</c:v>
                </c:pt>
                <c:pt idx="57">
                  <c:v>0.94570436488455978</c:v>
                </c:pt>
                <c:pt idx="58">
                  <c:v>0.94553845275830573</c:v>
                </c:pt>
                <c:pt idx="59">
                  <c:v>0.94537285513109726</c:v>
                </c:pt>
                <c:pt idx="60">
                  <c:v>0.94520757393288857</c:v>
                </c:pt>
                <c:pt idx="61">
                  <c:v>0.94504261094688613</c:v>
                </c:pt>
                <c:pt idx="62">
                  <c:v>0.94487796781529265</c:v>
                </c:pt>
                <c:pt idx="63">
                  <c:v>0.94471364604484054</c:v>
                </c:pt>
                <c:pt idx="64">
                  <c:v>0.94454964701211996</c:v>
                </c:pt>
                <c:pt idx="65">
                  <c:v>0.94438597196871088</c:v>
                </c:pt>
                <c:pt idx="66">
                  <c:v>0.9442226220461255</c:v>
                </c:pt>
                <c:pt idx="67">
                  <c:v>0.94405959826056929</c:v>
                </c:pt>
                <c:pt idx="68">
                  <c:v>0.94389690151752492</c:v>
                </c:pt>
                <c:pt idx="69">
                  <c:v>0.9437345326161688</c:v>
                </c:pt>
                <c:pt idx="70">
                  <c:v>0.9435724922536245</c:v>
                </c:pt>
                <c:pt idx="71">
                  <c:v>0.94341078102905962</c:v>
                </c:pt>
                <c:pt idx="72">
                  <c:v>0.94324939944763087</c:v>
                </c:pt>
                <c:pt idx="73">
                  <c:v>0.94308834792428609</c:v>
                </c:pt>
                <c:pt idx="74">
                  <c:v>0.94292762678742448</c:v>
                </c:pt>
                <c:pt idx="75">
                  <c:v>0.94276723628242343</c:v>
                </c:pt>
                <c:pt idx="76">
                  <c:v>0.94260717657503501</c:v>
                </c:pt>
                <c:pt idx="77">
                  <c:v>0.9424474477546585</c:v>
                </c:pt>
                <c:pt idx="78">
                  <c:v>0.94228804983749181</c:v>
                </c:pt>
                <c:pt idx="79">
                  <c:v>0.9421289827695678</c:v>
                </c:pt>
                <c:pt idx="80">
                  <c:v>0.94197024642967919</c:v>
                </c:pt>
                <c:pt idx="81">
                  <c:v>0.94181184063219547</c:v>
                </c:pt>
                <c:pt idx="82">
                  <c:v>0.94165376512977739</c:v>
                </c:pt>
                <c:pt idx="83">
                  <c:v>0.94149601961599116</c:v>
                </c:pt>
                <c:pt idx="84">
                  <c:v>0.94133860372782674</c:v>
                </c:pt>
                <c:pt idx="85">
                  <c:v>0.9411815170481248</c:v>
                </c:pt>
                <c:pt idx="86">
                  <c:v>0.94102475910791317</c:v>
                </c:pt>
                <c:pt idx="87">
                  <c:v>0.94086832938865828</c:v>
                </c:pt>
                <c:pt idx="88">
                  <c:v>0.94071222732443505</c:v>
                </c:pt>
                <c:pt idx="89">
                  <c:v>0.9405564523040153</c:v>
                </c:pt>
                <c:pt idx="90">
                  <c:v>0.94040100367288104</c:v>
                </c:pt>
                <c:pt idx="91">
                  <c:v>0.94024588073516358</c:v>
                </c:pt>
                <c:pt idx="92">
                  <c:v>0.94009108275551068</c:v>
                </c:pt>
                <c:pt idx="93">
                  <c:v>0.93993660896088682</c:v>
                </c:pt>
                <c:pt idx="94">
                  <c:v>0.9397824585423058</c:v>
                </c:pt>
                <c:pt idx="95">
                  <c:v>0.93962863065650049</c:v>
                </c:pt>
                <c:pt idx="96">
                  <c:v>0.93947512442753167</c:v>
                </c:pt>
                <c:pt idx="97">
                  <c:v>0.93932193894833615</c:v>
                </c:pt>
                <c:pt idx="98">
                  <c:v>0.93916907328222066</c:v>
                </c:pt>
                <c:pt idx="99">
                  <c:v>0.93901652646429778</c:v>
                </c:pt>
                <c:pt idx="100">
                  <c:v>0.93886429750287148</c:v>
                </c:pt>
                <c:pt idx="101">
                  <c:v>0.93871238538076973</c:v>
                </c:pt>
                <c:pt idx="102">
                  <c:v>0.93856078905662987</c:v>
                </c:pt>
                <c:pt idx="103">
                  <c:v>0.93840950746613494</c:v>
                </c:pt>
                <c:pt idx="104">
                  <c:v>0.93825853952320526</c:v>
                </c:pt>
                <c:pt idx="105">
                  <c:v>0.93810788412114599</c:v>
                </c:pt>
                <c:pt idx="106">
                  <c:v>0.93795754013375132</c:v>
                </c:pt>
                <c:pt idx="107">
                  <c:v>0.93780750641636912</c:v>
                </c:pt>
                <c:pt idx="108">
                  <c:v>0.93765778180692538</c:v>
                </c:pt>
                <c:pt idx="109">
                  <c:v>0.93750836512691038</c:v>
                </c:pt>
                <c:pt idx="110">
                  <c:v>0.93735925518232877</c:v>
                </c:pt>
                <c:pt idx="111">
                  <c:v>0.93721045076461407</c:v>
                </c:pt>
                <c:pt idx="112">
                  <c:v>0.93706195065150888</c:v>
                </c:pt>
                <c:pt idx="113">
                  <c:v>0.93691375360791262</c:v>
                </c:pt>
                <c:pt idx="114">
                  <c:v>0.9367658583866969</c:v>
                </c:pt>
                <c:pt idx="115">
                  <c:v>0.9366182637294912</c:v>
                </c:pt>
                <c:pt idx="116">
                  <c:v>0.93647096836743859</c:v>
                </c:pt>
                <c:pt idx="117">
                  <c:v>0.93632397102192266</c:v>
                </c:pt>
                <c:pt idx="118">
                  <c:v>0.93617727040526755</c:v>
                </c:pt>
                <c:pt idx="119">
                  <c:v>0.93603086522141143</c:v>
                </c:pt>
                <c:pt idx="120">
                  <c:v>0.93588475416655459</c:v>
                </c:pt>
                <c:pt idx="121">
                  <c:v>0.93573893592978252</c:v>
                </c:pt>
                <c:pt idx="122">
                  <c:v>0.9355934091936654</c:v>
                </c:pt>
                <c:pt idx="123">
                  <c:v>0.93544817263483482</c:v>
                </c:pt>
                <c:pt idx="124">
                  <c:v>0.93530322492453866</c:v>
                </c:pt>
                <c:pt idx="125">
                  <c:v>0.93515856472917391</c:v>
                </c:pt>
                <c:pt idx="126">
                  <c:v>0.93501419071079972</c:v>
                </c:pt>
                <c:pt idx="127">
                  <c:v>0.93487010152763017</c:v>
                </c:pt>
                <c:pt idx="128">
                  <c:v>0.93472629583450817</c:v>
                </c:pt>
                <c:pt idx="129">
                  <c:v>0.93458277228336084</c:v>
                </c:pt>
                <c:pt idx="130">
                  <c:v>0.9344395295236364</c:v>
                </c:pt>
                <c:pt idx="131">
                  <c:v>0.9342965662027255</c:v>
                </c:pt>
                <c:pt idx="132">
                  <c:v>0.93415388096636442</c:v>
                </c:pt>
                <c:pt idx="133">
                  <c:v>0.93401147245902294</c:v>
                </c:pt>
                <c:pt idx="134">
                  <c:v>0.93386933932427663</c:v>
                </c:pt>
                <c:pt idx="135">
                  <c:v>0.93372748020516505</c:v>
                </c:pt>
                <c:pt idx="136">
                  <c:v>0.93358589374453371</c:v>
                </c:pt>
                <c:pt idx="137">
                  <c:v>0.93344457858536434</c:v>
                </c:pt>
                <c:pt idx="138">
                  <c:v>0.93330353337109051</c:v>
                </c:pt>
                <c:pt idx="139">
                  <c:v>0.93316275674590066</c:v>
                </c:pt>
                <c:pt idx="140">
                  <c:v>0.9330222473550287</c:v>
                </c:pt>
                <c:pt idx="141">
                  <c:v>0.93288200384503261</c:v>
                </c:pt>
                <c:pt idx="142">
                  <c:v>0.93274202486406177</c:v>
                </c:pt>
                <c:pt idx="143">
                  <c:v>0.93260230906211239</c:v>
                </c:pt>
                <c:pt idx="144">
                  <c:v>0.93246285509127269</c:v>
                </c:pt>
                <c:pt idx="145">
                  <c:v>0.93232366160595759</c:v>
                </c:pt>
                <c:pt idx="146">
                  <c:v>0.93218472726313395</c:v>
                </c:pt>
                <c:pt idx="147">
                  <c:v>0.93204605072253466</c:v>
                </c:pt>
                <c:pt idx="148">
                  <c:v>0.93190763064686477</c:v>
                </c:pt>
                <c:pt idx="149">
                  <c:v>0.9317694657019977</c:v>
                </c:pt>
                <c:pt idx="150">
                  <c:v>0.93163155455716373</c:v>
                </c:pt>
                <c:pt idx="151">
                  <c:v>0.93149389588512954</c:v>
                </c:pt>
                <c:pt idx="152">
                  <c:v>0.93135648836236884</c:v>
                </c:pt>
                <c:pt idx="153">
                  <c:v>0.93121933066922691</c:v>
                </c:pt>
                <c:pt idx="154">
                  <c:v>0.93108242149007658</c:v>
                </c:pt>
                <c:pt idx="155">
                  <c:v>0.93094575951346648</c:v>
                </c:pt>
                <c:pt idx="156">
                  <c:v>0.93080934343226374</c:v>
                </c:pt>
                <c:pt idx="157">
                  <c:v>0.93067317194378829</c:v>
                </c:pt>
                <c:pt idx="158">
                  <c:v>0.93053724374994229</c:v>
                </c:pt>
                <c:pt idx="159">
                  <c:v>0.93040155755733156</c:v>
                </c:pt>
                <c:pt idx="160">
                  <c:v>0.93026611207738252</c:v>
                </c:pt>
                <c:pt idx="161">
                  <c:v>0.93013090602645221</c:v>
                </c:pt>
                <c:pt idx="162">
                  <c:v>0.92999593812593284</c:v>
                </c:pt>
                <c:pt idx="163">
                  <c:v>0.92986120710235198</c:v>
                </c:pt>
                <c:pt idx="164">
                  <c:v>0.92972671168746535</c:v>
                </c:pt>
                <c:pt idx="165">
                  <c:v>0.92959245061834694</c:v>
                </c:pt>
                <c:pt idx="166">
                  <c:v>0.92945842263747236</c:v>
                </c:pt>
                <c:pt idx="167">
                  <c:v>0.9293246264927989</c:v>
                </c:pt>
                <c:pt idx="168">
                  <c:v>0.92919106093784021</c:v>
                </c:pt>
                <c:pt idx="169">
                  <c:v>0.92905772473173631</c:v>
                </c:pt>
                <c:pt idx="170">
                  <c:v>0.92892461663932091</c:v>
                </c:pt>
                <c:pt idx="171">
                  <c:v>0.92879173543118287</c:v>
                </c:pt>
                <c:pt idx="172">
                  <c:v>0.92865907988372465</c:v>
                </c:pt>
                <c:pt idx="173">
                  <c:v>0.92852664877921753</c:v>
                </c:pt>
                <c:pt idx="174">
                  <c:v>0.92839444090585199</c:v>
                </c:pt>
                <c:pt idx="175">
                  <c:v>0.92826245505778482</c:v>
                </c:pt>
                <c:pt idx="176">
                  <c:v>0.92813069003518434</c:v>
                </c:pt>
                <c:pt idx="177">
                  <c:v>0.92799914464427014</c:v>
                </c:pt>
                <c:pt idx="178">
                  <c:v>0.9278678176973516</c:v>
                </c:pt>
                <c:pt idx="179">
                  <c:v>0.92773670801286168</c:v>
                </c:pt>
                <c:pt idx="180">
                  <c:v>0.92760581441538958</c:v>
                </c:pt>
                <c:pt idx="181">
                  <c:v>0.92747513573570961</c:v>
                </c:pt>
                <c:pt idx="182">
                  <c:v>0.92734467081080685</c:v>
                </c:pt>
                <c:pt idx="183">
                  <c:v>0.9272144184839014</c:v>
                </c:pt>
                <c:pt idx="184">
                  <c:v>0.92708437760446993</c:v>
                </c:pt>
                <c:pt idx="185">
                  <c:v>0.92695454702826374</c:v>
                </c:pt>
                <c:pt idx="186">
                  <c:v>0.92682492561732577</c:v>
                </c:pt>
                <c:pt idx="187">
                  <c:v>0.92669551224000479</c:v>
                </c:pt>
                <c:pt idx="188">
                  <c:v>0.92656630577096755</c:v>
                </c:pt>
                <c:pt idx="189">
                  <c:v>0.92643730509120903</c:v>
                </c:pt>
                <c:pt idx="190">
                  <c:v>0.92630850908806084</c:v>
                </c:pt>
                <c:pt idx="191">
                  <c:v>0.92617991665519606</c:v>
                </c:pt>
                <c:pt idx="192">
                  <c:v>0.9260515266926358</c:v>
                </c:pt>
                <c:pt idx="193">
                  <c:v>0.92592333810675032</c:v>
                </c:pt>
                <c:pt idx="194">
                  <c:v>0.92579534981026046</c:v>
                </c:pt>
                <c:pt idx="195">
                  <c:v>0.92566756072223733</c:v>
                </c:pt>
                <c:pt idx="196">
                  <c:v>0.92553996976809938</c:v>
                </c:pt>
                <c:pt idx="197">
                  <c:v>0.92541257587960946</c:v>
                </c:pt>
                <c:pt idx="198">
                  <c:v>0.92528537799486954</c:v>
                </c:pt>
                <c:pt idx="199">
                  <c:v>0.92515837505831378</c:v>
                </c:pt>
                <c:pt idx="200">
                  <c:v>0.92503156602070147</c:v>
                </c:pt>
              </c:numCache>
            </c:numRef>
          </c:yVal>
          <c:smooth val="0"/>
          <c:extLst>
            <c:ext xmlns:c16="http://schemas.microsoft.com/office/drawing/2014/chart" uri="{C3380CC4-5D6E-409C-BE32-E72D297353CC}">
              <c16:uniqueId val="{00000000-B19F-4F8A-9FC4-100C23F5816C}"/>
            </c:ext>
          </c:extLst>
        </c:ser>
        <c:dLbls>
          <c:showLegendKey val="0"/>
          <c:showVal val="0"/>
          <c:showCatName val="0"/>
          <c:showSerName val="0"/>
          <c:showPercent val="0"/>
          <c:showBubbleSize val="0"/>
        </c:dLbls>
        <c:axId val="195464192"/>
        <c:axId val="195478656"/>
      </c:scatterChart>
      <c:valAx>
        <c:axId val="195464192"/>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5478656"/>
        <c:crosses val="autoZero"/>
        <c:crossBetween val="midCat"/>
      </c:valAx>
      <c:valAx>
        <c:axId val="195478656"/>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5464192"/>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5636970175475957"/>
          <c:y val="3.6290322580645726E-2"/>
          <c:w val="0.11788632112042907"/>
          <c:h val="4.2338709677419352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297037571498782"/>
          <c:y val="5.9812039624079237E-2"/>
          <c:w val="0.80603751224324049"/>
          <c:h val="0.81048450596901189"/>
        </c:manualLayout>
      </c:layout>
      <c:scatterChart>
        <c:scatterStyle val="lineMarker"/>
        <c:varyColors val="0"/>
        <c:ser>
          <c:idx val="1"/>
          <c:order val="1"/>
          <c:tx>
            <c:v>Boost D</c:v>
          </c:tx>
          <c:spPr>
            <a:ln>
              <a:solidFill>
                <a:srgbClr val="FF0000"/>
              </a:solidFill>
            </a:ln>
          </c:spPr>
          <c:marker>
            <c:symbol val="none"/>
          </c:marker>
          <c:xVal>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xVal>
          <c:yVal>
            <c:numRef>
              <c:f>'Efficiency vs VIN Calculations'!$U$9:$U$209</c:f>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0"/>
          <c:extLst>
            <c:ext xmlns:c16="http://schemas.microsoft.com/office/drawing/2014/chart" uri="{C3380CC4-5D6E-409C-BE32-E72D297353CC}">
              <c16:uniqueId val="{00000000-2302-4046-8B7A-DAF7DA6A9068}"/>
            </c:ext>
          </c:extLst>
        </c:ser>
        <c:dLbls>
          <c:showLegendKey val="0"/>
          <c:showVal val="0"/>
          <c:showCatName val="0"/>
          <c:showSerName val="0"/>
          <c:showPercent val="0"/>
          <c:showBubbleSize val="0"/>
        </c:dLbls>
        <c:axId val="198908928"/>
        <c:axId val="198919296"/>
      </c:scatterChart>
      <c:scatterChart>
        <c:scatterStyle val="lineMarker"/>
        <c:varyColors val="0"/>
        <c:ser>
          <c:idx val="0"/>
          <c:order val="0"/>
          <c:tx>
            <c:v>Buck D</c:v>
          </c:tx>
          <c:spPr>
            <a:ln w="31750">
              <a:solidFill>
                <a:srgbClr val="0000FF"/>
              </a:solidFill>
              <a:prstDash val="sysDash"/>
            </a:ln>
          </c:spPr>
          <c:marker>
            <c:symbol val="none"/>
          </c:marker>
          <c:xVal>
            <c:numRef>
              <c:f>'Efficiency vs VIN Calculations'!$H$9:$H$209</c:f>
              <c:numCache>
                <c:formatCode>0.00</c:formatCode>
                <c:ptCount val="201"/>
                <c:pt idx="0">
                  <c:v>20</c:v>
                </c:pt>
                <c:pt idx="1">
                  <c:v>20.14</c:v>
                </c:pt>
                <c:pt idx="2">
                  <c:v>20.28</c:v>
                </c:pt>
                <c:pt idx="3">
                  <c:v>20.420000000000002</c:v>
                </c:pt>
                <c:pt idx="4">
                  <c:v>20.56</c:v>
                </c:pt>
                <c:pt idx="5">
                  <c:v>20.7</c:v>
                </c:pt>
                <c:pt idx="6">
                  <c:v>20.84</c:v>
                </c:pt>
                <c:pt idx="7">
                  <c:v>20.98</c:v>
                </c:pt>
                <c:pt idx="8">
                  <c:v>21.12</c:v>
                </c:pt>
                <c:pt idx="9">
                  <c:v>21.26</c:v>
                </c:pt>
                <c:pt idx="10">
                  <c:v>21.4</c:v>
                </c:pt>
                <c:pt idx="11">
                  <c:v>21.54</c:v>
                </c:pt>
                <c:pt idx="12">
                  <c:v>21.68</c:v>
                </c:pt>
                <c:pt idx="13">
                  <c:v>21.82</c:v>
                </c:pt>
                <c:pt idx="14">
                  <c:v>21.96</c:v>
                </c:pt>
                <c:pt idx="15">
                  <c:v>22.1</c:v>
                </c:pt>
                <c:pt idx="16">
                  <c:v>22.240000000000002</c:v>
                </c:pt>
                <c:pt idx="17">
                  <c:v>22.38</c:v>
                </c:pt>
                <c:pt idx="18">
                  <c:v>22.52</c:v>
                </c:pt>
                <c:pt idx="19">
                  <c:v>22.66</c:v>
                </c:pt>
                <c:pt idx="20">
                  <c:v>22.8</c:v>
                </c:pt>
                <c:pt idx="21">
                  <c:v>22.94</c:v>
                </c:pt>
                <c:pt idx="22">
                  <c:v>23.08</c:v>
                </c:pt>
                <c:pt idx="23">
                  <c:v>23.22</c:v>
                </c:pt>
                <c:pt idx="24">
                  <c:v>23.36</c:v>
                </c:pt>
                <c:pt idx="25">
                  <c:v>23.5</c:v>
                </c:pt>
                <c:pt idx="26">
                  <c:v>23.64</c:v>
                </c:pt>
                <c:pt idx="27">
                  <c:v>23.78</c:v>
                </c:pt>
                <c:pt idx="28">
                  <c:v>23.92</c:v>
                </c:pt>
                <c:pt idx="29">
                  <c:v>24.06</c:v>
                </c:pt>
                <c:pt idx="30">
                  <c:v>24.2</c:v>
                </c:pt>
                <c:pt idx="31">
                  <c:v>24.34</c:v>
                </c:pt>
                <c:pt idx="32">
                  <c:v>24.48</c:v>
                </c:pt>
                <c:pt idx="33">
                  <c:v>24.62</c:v>
                </c:pt>
                <c:pt idx="34">
                  <c:v>24.76</c:v>
                </c:pt>
                <c:pt idx="35">
                  <c:v>24.9</c:v>
                </c:pt>
                <c:pt idx="36">
                  <c:v>25.04</c:v>
                </c:pt>
                <c:pt idx="37">
                  <c:v>25.18</c:v>
                </c:pt>
                <c:pt idx="38">
                  <c:v>25.32</c:v>
                </c:pt>
                <c:pt idx="39">
                  <c:v>25.46</c:v>
                </c:pt>
                <c:pt idx="40">
                  <c:v>25.6</c:v>
                </c:pt>
                <c:pt idx="41">
                  <c:v>25.74</c:v>
                </c:pt>
                <c:pt idx="42">
                  <c:v>25.88</c:v>
                </c:pt>
                <c:pt idx="43">
                  <c:v>26.02</c:v>
                </c:pt>
                <c:pt idx="44">
                  <c:v>26.16</c:v>
                </c:pt>
                <c:pt idx="45">
                  <c:v>26.3</c:v>
                </c:pt>
                <c:pt idx="46">
                  <c:v>26.44</c:v>
                </c:pt>
                <c:pt idx="47">
                  <c:v>26.58</c:v>
                </c:pt>
                <c:pt idx="48">
                  <c:v>26.72</c:v>
                </c:pt>
                <c:pt idx="49">
                  <c:v>26.86</c:v>
                </c:pt>
                <c:pt idx="50">
                  <c:v>27</c:v>
                </c:pt>
                <c:pt idx="51">
                  <c:v>27.14</c:v>
                </c:pt>
                <c:pt idx="52">
                  <c:v>27.28</c:v>
                </c:pt>
                <c:pt idx="53">
                  <c:v>27.42</c:v>
                </c:pt>
                <c:pt idx="54">
                  <c:v>27.560000000000002</c:v>
                </c:pt>
                <c:pt idx="55">
                  <c:v>27.700000000000003</c:v>
                </c:pt>
                <c:pt idx="56">
                  <c:v>27.84</c:v>
                </c:pt>
                <c:pt idx="57">
                  <c:v>27.98</c:v>
                </c:pt>
                <c:pt idx="58">
                  <c:v>28.119999999999997</c:v>
                </c:pt>
                <c:pt idx="59">
                  <c:v>28.259999999999998</c:v>
                </c:pt>
                <c:pt idx="60">
                  <c:v>28.4</c:v>
                </c:pt>
                <c:pt idx="61">
                  <c:v>28.54</c:v>
                </c:pt>
                <c:pt idx="62">
                  <c:v>28.68</c:v>
                </c:pt>
                <c:pt idx="63">
                  <c:v>28.82</c:v>
                </c:pt>
                <c:pt idx="64">
                  <c:v>28.96</c:v>
                </c:pt>
                <c:pt idx="65">
                  <c:v>29.1</c:v>
                </c:pt>
                <c:pt idx="66">
                  <c:v>29.240000000000002</c:v>
                </c:pt>
                <c:pt idx="67">
                  <c:v>29.380000000000003</c:v>
                </c:pt>
                <c:pt idx="68">
                  <c:v>29.520000000000003</c:v>
                </c:pt>
                <c:pt idx="69">
                  <c:v>29.66</c:v>
                </c:pt>
                <c:pt idx="70">
                  <c:v>29.799999999999997</c:v>
                </c:pt>
                <c:pt idx="71">
                  <c:v>29.939999999999998</c:v>
                </c:pt>
                <c:pt idx="72">
                  <c:v>30.08</c:v>
                </c:pt>
                <c:pt idx="73">
                  <c:v>30.22</c:v>
                </c:pt>
                <c:pt idx="74">
                  <c:v>30.36</c:v>
                </c:pt>
                <c:pt idx="75">
                  <c:v>30.5</c:v>
                </c:pt>
                <c:pt idx="76">
                  <c:v>30.64</c:v>
                </c:pt>
                <c:pt idx="77">
                  <c:v>30.78</c:v>
                </c:pt>
                <c:pt idx="78">
                  <c:v>30.92</c:v>
                </c:pt>
                <c:pt idx="79">
                  <c:v>31.060000000000002</c:v>
                </c:pt>
                <c:pt idx="80">
                  <c:v>31.200000000000003</c:v>
                </c:pt>
                <c:pt idx="81">
                  <c:v>31.34</c:v>
                </c:pt>
                <c:pt idx="82">
                  <c:v>31.479999999999997</c:v>
                </c:pt>
                <c:pt idx="83">
                  <c:v>31.619999999999997</c:v>
                </c:pt>
                <c:pt idx="84">
                  <c:v>31.759999999999998</c:v>
                </c:pt>
                <c:pt idx="85">
                  <c:v>31.9</c:v>
                </c:pt>
                <c:pt idx="86">
                  <c:v>32.04</c:v>
                </c:pt>
                <c:pt idx="87">
                  <c:v>32.18</c:v>
                </c:pt>
                <c:pt idx="88">
                  <c:v>32.32</c:v>
                </c:pt>
                <c:pt idx="89">
                  <c:v>32.46</c:v>
                </c:pt>
                <c:pt idx="90">
                  <c:v>32.6</c:v>
                </c:pt>
                <c:pt idx="91">
                  <c:v>32.74</c:v>
                </c:pt>
                <c:pt idx="92">
                  <c:v>32.880000000000003</c:v>
                </c:pt>
                <c:pt idx="93">
                  <c:v>33.020000000000003</c:v>
                </c:pt>
                <c:pt idx="94">
                  <c:v>33.159999999999997</c:v>
                </c:pt>
                <c:pt idx="95">
                  <c:v>33.299999999999997</c:v>
                </c:pt>
                <c:pt idx="96">
                  <c:v>33.44</c:v>
                </c:pt>
                <c:pt idx="97">
                  <c:v>33.58</c:v>
                </c:pt>
                <c:pt idx="98">
                  <c:v>33.72</c:v>
                </c:pt>
                <c:pt idx="99">
                  <c:v>33.86</c:v>
                </c:pt>
                <c:pt idx="100">
                  <c:v>34</c:v>
                </c:pt>
                <c:pt idx="101">
                  <c:v>34.14</c:v>
                </c:pt>
                <c:pt idx="102">
                  <c:v>34.28</c:v>
                </c:pt>
                <c:pt idx="103">
                  <c:v>34.42</c:v>
                </c:pt>
                <c:pt idx="104">
                  <c:v>34.56</c:v>
                </c:pt>
                <c:pt idx="105">
                  <c:v>34.700000000000003</c:v>
                </c:pt>
                <c:pt idx="106">
                  <c:v>34.840000000000003</c:v>
                </c:pt>
                <c:pt idx="107">
                  <c:v>34.980000000000004</c:v>
                </c:pt>
                <c:pt idx="108">
                  <c:v>35.120000000000005</c:v>
                </c:pt>
                <c:pt idx="109">
                  <c:v>35.260000000000005</c:v>
                </c:pt>
                <c:pt idx="110">
                  <c:v>35.400000000000006</c:v>
                </c:pt>
                <c:pt idx="111">
                  <c:v>35.54</c:v>
                </c:pt>
                <c:pt idx="112">
                  <c:v>35.68</c:v>
                </c:pt>
                <c:pt idx="113">
                  <c:v>35.82</c:v>
                </c:pt>
                <c:pt idx="114">
                  <c:v>35.96</c:v>
                </c:pt>
                <c:pt idx="115">
                  <c:v>36.099999999999994</c:v>
                </c:pt>
                <c:pt idx="116">
                  <c:v>36.239999999999995</c:v>
                </c:pt>
                <c:pt idx="117">
                  <c:v>36.379999999999995</c:v>
                </c:pt>
                <c:pt idx="118">
                  <c:v>36.519999999999996</c:v>
                </c:pt>
                <c:pt idx="119">
                  <c:v>36.659999999999997</c:v>
                </c:pt>
                <c:pt idx="120">
                  <c:v>36.799999999999997</c:v>
                </c:pt>
                <c:pt idx="121">
                  <c:v>36.94</c:v>
                </c:pt>
                <c:pt idx="122">
                  <c:v>37.08</c:v>
                </c:pt>
                <c:pt idx="123">
                  <c:v>37.22</c:v>
                </c:pt>
                <c:pt idx="124">
                  <c:v>37.36</c:v>
                </c:pt>
                <c:pt idx="125">
                  <c:v>37.5</c:v>
                </c:pt>
                <c:pt idx="126">
                  <c:v>37.64</c:v>
                </c:pt>
                <c:pt idx="127">
                  <c:v>37.78</c:v>
                </c:pt>
                <c:pt idx="128">
                  <c:v>37.92</c:v>
                </c:pt>
                <c:pt idx="129">
                  <c:v>38.06</c:v>
                </c:pt>
                <c:pt idx="130">
                  <c:v>38.200000000000003</c:v>
                </c:pt>
                <c:pt idx="131">
                  <c:v>38.340000000000003</c:v>
                </c:pt>
                <c:pt idx="132">
                  <c:v>38.480000000000004</c:v>
                </c:pt>
                <c:pt idx="133">
                  <c:v>38.620000000000005</c:v>
                </c:pt>
                <c:pt idx="134">
                  <c:v>38.760000000000005</c:v>
                </c:pt>
                <c:pt idx="135">
                  <c:v>38.900000000000006</c:v>
                </c:pt>
                <c:pt idx="136">
                  <c:v>39.040000000000006</c:v>
                </c:pt>
                <c:pt idx="137">
                  <c:v>39.18</c:v>
                </c:pt>
                <c:pt idx="138">
                  <c:v>39.32</c:v>
                </c:pt>
                <c:pt idx="139">
                  <c:v>39.459999999999994</c:v>
                </c:pt>
                <c:pt idx="140">
                  <c:v>39.599999999999994</c:v>
                </c:pt>
                <c:pt idx="141">
                  <c:v>39.739999999999995</c:v>
                </c:pt>
                <c:pt idx="142">
                  <c:v>39.879999999999995</c:v>
                </c:pt>
                <c:pt idx="143">
                  <c:v>40.019999999999996</c:v>
                </c:pt>
                <c:pt idx="144">
                  <c:v>40.159999999999997</c:v>
                </c:pt>
                <c:pt idx="145">
                  <c:v>40.299999999999997</c:v>
                </c:pt>
                <c:pt idx="146">
                  <c:v>40.44</c:v>
                </c:pt>
                <c:pt idx="147">
                  <c:v>40.58</c:v>
                </c:pt>
                <c:pt idx="148">
                  <c:v>40.72</c:v>
                </c:pt>
                <c:pt idx="149">
                  <c:v>40.86</c:v>
                </c:pt>
                <c:pt idx="150">
                  <c:v>41</c:v>
                </c:pt>
                <c:pt idx="151">
                  <c:v>41.14</c:v>
                </c:pt>
                <c:pt idx="152">
                  <c:v>41.28</c:v>
                </c:pt>
                <c:pt idx="153">
                  <c:v>41.42</c:v>
                </c:pt>
                <c:pt idx="154">
                  <c:v>41.56</c:v>
                </c:pt>
                <c:pt idx="155">
                  <c:v>41.7</c:v>
                </c:pt>
                <c:pt idx="156">
                  <c:v>41.84</c:v>
                </c:pt>
                <c:pt idx="157">
                  <c:v>41.980000000000004</c:v>
                </c:pt>
                <c:pt idx="158">
                  <c:v>42.120000000000005</c:v>
                </c:pt>
                <c:pt idx="159">
                  <c:v>42.260000000000005</c:v>
                </c:pt>
                <c:pt idx="160">
                  <c:v>42.400000000000006</c:v>
                </c:pt>
                <c:pt idx="161">
                  <c:v>42.540000000000006</c:v>
                </c:pt>
                <c:pt idx="162">
                  <c:v>42.68</c:v>
                </c:pt>
                <c:pt idx="163">
                  <c:v>42.82</c:v>
                </c:pt>
                <c:pt idx="164">
                  <c:v>42.959999999999994</c:v>
                </c:pt>
                <c:pt idx="165">
                  <c:v>43.099999999999994</c:v>
                </c:pt>
                <c:pt idx="166">
                  <c:v>43.239999999999995</c:v>
                </c:pt>
                <c:pt idx="167">
                  <c:v>43.379999999999995</c:v>
                </c:pt>
                <c:pt idx="168">
                  <c:v>43.519999999999996</c:v>
                </c:pt>
                <c:pt idx="169">
                  <c:v>43.66</c:v>
                </c:pt>
                <c:pt idx="170">
                  <c:v>43.8</c:v>
                </c:pt>
                <c:pt idx="171">
                  <c:v>43.94</c:v>
                </c:pt>
                <c:pt idx="172">
                  <c:v>44.08</c:v>
                </c:pt>
                <c:pt idx="173">
                  <c:v>44.22</c:v>
                </c:pt>
                <c:pt idx="174">
                  <c:v>44.36</c:v>
                </c:pt>
                <c:pt idx="175">
                  <c:v>44.5</c:v>
                </c:pt>
                <c:pt idx="176">
                  <c:v>44.64</c:v>
                </c:pt>
                <c:pt idx="177">
                  <c:v>44.78</c:v>
                </c:pt>
                <c:pt idx="178">
                  <c:v>44.92</c:v>
                </c:pt>
                <c:pt idx="179">
                  <c:v>45.06</c:v>
                </c:pt>
                <c:pt idx="180">
                  <c:v>45.2</c:v>
                </c:pt>
                <c:pt idx="181">
                  <c:v>45.34</c:v>
                </c:pt>
                <c:pt idx="182">
                  <c:v>45.480000000000004</c:v>
                </c:pt>
                <c:pt idx="183">
                  <c:v>45.620000000000005</c:v>
                </c:pt>
                <c:pt idx="184">
                  <c:v>45.760000000000005</c:v>
                </c:pt>
                <c:pt idx="185">
                  <c:v>45.900000000000006</c:v>
                </c:pt>
                <c:pt idx="186">
                  <c:v>46.040000000000006</c:v>
                </c:pt>
                <c:pt idx="187">
                  <c:v>46.18</c:v>
                </c:pt>
                <c:pt idx="188">
                  <c:v>46.32</c:v>
                </c:pt>
                <c:pt idx="189">
                  <c:v>46.459999999999994</c:v>
                </c:pt>
                <c:pt idx="190">
                  <c:v>46.599999999999994</c:v>
                </c:pt>
                <c:pt idx="191">
                  <c:v>46.739999999999995</c:v>
                </c:pt>
                <c:pt idx="192">
                  <c:v>46.879999999999995</c:v>
                </c:pt>
                <c:pt idx="193">
                  <c:v>47.019999999999996</c:v>
                </c:pt>
                <c:pt idx="194">
                  <c:v>47.16</c:v>
                </c:pt>
                <c:pt idx="195">
                  <c:v>47.3</c:v>
                </c:pt>
                <c:pt idx="196">
                  <c:v>47.44</c:v>
                </c:pt>
                <c:pt idx="197">
                  <c:v>47.58</c:v>
                </c:pt>
                <c:pt idx="198">
                  <c:v>47.72</c:v>
                </c:pt>
                <c:pt idx="199">
                  <c:v>47.86</c:v>
                </c:pt>
                <c:pt idx="200">
                  <c:v>48</c:v>
                </c:pt>
              </c:numCache>
            </c:numRef>
          </c:xVal>
          <c:yVal>
            <c:numRef>
              <c:f>'Efficiency vs VIN Calculations'!$T$9:$T$209</c:f>
              <c:numCache>
                <c:formatCode>0.000</c:formatCode>
                <c:ptCount val="201"/>
                <c:pt idx="0">
                  <c:v>0.73639540688966543</c:v>
                </c:pt>
                <c:pt idx="1">
                  <c:v>0.73128408527516109</c:v>
                </c:pt>
                <c:pt idx="2">
                  <c:v>0.726243229935992</c:v>
                </c:pt>
                <c:pt idx="3">
                  <c:v>0.72127139364303172</c:v>
                </c:pt>
                <c:pt idx="4">
                  <c:v>0.71636716852841187</c:v>
                </c:pt>
                <c:pt idx="5">
                  <c:v>0.71152918475639171</c:v>
                </c:pt>
                <c:pt idx="6">
                  <c:v>0.70675610924772392</c:v>
                </c:pt>
                <c:pt idx="7">
                  <c:v>0.70204664445502141</c:v>
                </c:pt>
                <c:pt idx="8">
                  <c:v>0.69739952718676113</c:v>
                </c:pt>
                <c:pt idx="9">
                  <c:v>0.69281352747768898</c:v>
                </c:pt>
                <c:pt idx="10">
                  <c:v>0.68828744750349979</c:v>
                </c:pt>
                <c:pt idx="11">
                  <c:v>0.68382012053778396</c:v>
                </c:pt>
                <c:pt idx="12">
                  <c:v>0.67941040994933211</c:v>
                </c:pt>
                <c:pt idx="13">
                  <c:v>0.67505720823798621</c:v>
                </c:pt>
                <c:pt idx="14">
                  <c:v>0.67075943610732147</c:v>
                </c:pt>
                <c:pt idx="15">
                  <c:v>0.66651604157252586</c:v>
                </c:pt>
                <c:pt idx="16">
                  <c:v>0.6623259991019308</c:v>
                </c:pt>
                <c:pt idx="17">
                  <c:v>0.65818830879071843</c:v>
                </c:pt>
                <c:pt idx="18">
                  <c:v>0.65410199556541015</c:v>
                </c:pt>
                <c:pt idx="19">
                  <c:v>0.65006610841780521</c:v>
                </c:pt>
                <c:pt idx="20">
                  <c:v>0.64607971966710465</c:v>
                </c:pt>
                <c:pt idx="21">
                  <c:v>0.64214192424902039</c:v>
                </c:pt>
                <c:pt idx="22">
                  <c:v>0.63825183903072269</c:v>
                </c:pt>
                <c:pt idx="23">
                  <c:v>0.63440860215053763</c:v>
                </c:pt>
                <c:pt idx="24">
                  <c:v>0.63061137238135956</c:v>
                </c:pt>
                <c:pt idx="25">
                  <c:v>0.62685932851678705</c:v>
                </c:pt>
                <c:pt idx="26">
                  <c:v>0.62315166877904515</c:v>
                </c:pt>
                <c:pt idx="27">
                  <c:v>0.61948761024779497</c:v>
                </c:pt>
                <c:pt idx="28">
                  <c:v>0.615866388308977</c:v>
                </c:pt>
                <c:pt idx="29">
                  <c:v>0.6122872561228726</c:v>
                </c:pt>
                <c:pt idx="30">
                  <c:v>0.6087494841106067</c:v>
                </c:pt>
                <c:pt idx="31">
                  <c:v>0.60525235945835043</c:v>
                </c:pt>
                <c:pt idx="32">
                  <c:v>0.60179518563851486</c:v>
                </c:pt>
                <c:pt idx="33">
                  <c:v>0.59837728194726159</c:v>
                </c:pt>
                <c:pt idx="34">
                  <c:v>0.59499798305768448</c:v>
                </c:pt>
                <c:pt idx="35">
                  <c:v>0.59165663858804651</c:v>
                </c:pt>
                <c:pt idx="36">
                  <c:v>0.58835261268448347</c:v>
                </c:pt>
                <c:pt idx="37">
                  <c:v>0.58508528361761203</c:v>
                </c:pt>
                <c:pt idx="38">
                  <c:v>0.5818540433925049</c:v>
                </c:pt>
                <c:pt idx="39">
                  <c:v>0.57865829737151819</c:v>
                </c:pt>
                <c:pt idx="40">
                  <c:v>0.57549746390948098</c:v>
                </c:pt>
                <c:pt idx="41">
                  <c:v>0.57237097400077608</c:v>
                </c:pt>
                <c:pt idx="42">
                  <c:v>0.56927827093786187</c:v>
                </c:pt>
                <c:pt idx="43">
                  <c:v>0.56621880998080609</c:v>
                </c:pt>
                <c:pt idx="44">
                  <c:v>0.56319205803741879</c:v>
                </c:pt>
                <c:pt idx="45">
                  <c:v>0.56019749335358904</c:v>
                </c:pt>
                <c:pt idx="46">
                  <c:v>0.55723460521344914</c:v>
                </c:pt>
                <c:pt idx="47">
                  <c:v>0.55430289364900409</c:v>
                </c:pt>
                <c:pt idx="48">
                  <c:v>0.55140186915887845</c:v>
                </c:pt>
                <c:pt idx="49">
                  <c:v>0.54853105243584976</c:v>
                </c:pt>
                <c:pt idx="50">
                  <c:v>0.5456899741028487</c:v>
                </c:pt>
                <c:pt idx="51">
                  <c:v>0.54287817445712183</c:v>
                </c:pt>
                <c:pt idx="52">
                  <c:v>0.5400952032222629</c:v>
                </c:pt>
                <c:pt idx="53">
                  <c:v>0.53734061930783239</c:v>
                </c:pt>
                <c:pt idx="54">
                  <c:v>0.53461399057629566</c:v>
                </c:pt>
                <c:pt idx="55">
                  <c:v>0.53191489361702116</c:v>
                </c:pt>
                <c:pt idx="56">
                  <c:v>0.52924291352709008</c:v>
                </c:pt>
                <c:pt idx="57">
                  <c:v>0.52659764369867901</c:v>
                </c:pt>
                <c:pt idx="58">
                  <c:v>0.52397868561278871</c:v>
                </c:pt>
                <c:pt idx="59">
                  <c:v>0.52138564863909509</c:v>
                </c:pt>
                <c:pt idx="60">
                  <c:v>0.51881814984171648</c:v>
                </c:pt>
                <c:pt idx="61">
                  <c:v>0.51627581379068954</c:v>
                </c:pt>
                <c:pt idx="62">
                  <c:v>0.51375827237896199</c:v>
                </c:pt>
                <c:pt idx="63">
                  <c:v>0.51126516464471405</c:v>
                </c:pt>
                <c:pt idx="64">
                  <c:v>0.50879613659882716</c:v>
                </c:pt>
                <c:pt idx="65">
                  <c:v>0.50635084105732919</c:v>
                </c:pt>
                <c:pt idx="66">
                  <c:v>0.50392893747864698</c:v>
                </c:pt>
                <c:pt idx="67">
                  <c:v>0.50153009180550823</c:v>
                </c:pt>
                <c:pt idx="68">
                  <c:v>0.49915397631133662</c:v>
                </c:pt>
                <c:pt idx="69">
                  <c:v>0.49680026945099359</c:v>
                </c:pt>
                <c:pt idx="70">
                  <c:v>0.49446865571572246</c:v>
                </c:pt>
                <c:pt idx="71">
                  <c:v>0.49215882549215884</c:v>
                </c:pt>
                <c:pt idx="72">
                  <c:v>0.48987047492527402</c:v>
                </c:pt>
                <c:pt idx="73">
                  <c:v>0.48760330578512395</c:v>
                </c:pt>
                <c:pt idx="74">
                  <c:v>0.48535702533728198</c:v>
                </c:pt>
                <c:pt idx="75">
                  <c:v>0.4831313462168359</c:v>
                </c:pt>
                <c:pt idx="76">
                  <c:v>0.48092598630583627</c:v>
                </c:pt>
                <c:pt idx="77">
                  <c:v>0.47874066861408632</c:v>
                </c:pt>
                <c:pt idx="78">
                  <c:v>0.47657512116316636</c:v>
                </c:pt>
                <c:pt idx="79">
                  <c:v>0.47442907687359276</c:v>
                </c:pt>
                <c:pt idx="80">
                  <c:v>0.47230227345501113</c:v>
                </c:pt>
                <c:pt idx="81">
                  <c:v>0.47019445329933057</c:v>
                </c:pt>
                <c:pt idx="82">
                  <c:v>0.46810536337670583</c:v>
                </c:pt>
                <c:pt idx="83">
                  <c:v>0.46603475513428122</c:v>
                </c:pt>
                <c:pt idx="84">
                  <c:v>0.4639823843976093</c:v>
                </c:pt>
                <c:pt idx="85">
                  <c:v>0.46194801127466334</c:v>
                </c:pt>
                <c:pt idx="86">
                  <c:v>0.45993140006236355</c:v>
                </c:pt>
                <c:pt idx="87">
                  <c:v>0.45793231915554172</c:v>
                </c:pt>
                <c:pt idx="88">
                  <c:v>0.45595054095826892</c:v>
                </c:pt>
                <c:pt idx="89">
                  <c:v>0.45398584179747614</c:v>
                </c:pt>
                <c:pt idx="90">
                  <c:v>0.45203800183879861</c:v>
                </c:pt>
                <c:pt idx="91">
                  <c:v>0.45010680500457734</c:v>
                </c:pt>
                <c:pt idx="92">
                  <c:v>0.44819203889395315</c:v>
                </c:pt>
                <c:pt idx="93">
                  <c:v>0.44629349470499236</c:v>
                </c:pt>
                <c:pt idx="94">
                  <c:v>0.44441096715878281</c:v>
                </c:pt>
                <c:pt idx="95">
                  <c:v>0.44254425442544254</c:v>
                </c:pt>
                <c:pt idx="96">
                  <c:v>0.44069315805198689</c:v>
                </c:pt>
                <c:pt idx="97">
                  <c:v>0.43885748289199644</c:v>
                </c:pt>
                <c:pt idx="98">
                  <c:v>0.43703703703703706</c:v>
                </c:pt>
                <c:pt idx="99">
                  <c:v>0.43523163174977869</c:v>
                </c:pt>
                <c:pt idx="100">
                  <c:v>0.4334410813987658</c:v>
                </c:pt>
                <c:pt idx="101">
                  <c:v>0.43166520339479075</c:v>
                </c:pt>
                <c:pt idx="102">
                  <c:v>0.42990381812882539</c:v>
                </c:pt>
                <c:pt idx="103">
                  <c:v>0.42815674891146588</c:v>
                </c:pt>
                <c:pt idx="104">
                  <c:v>0.42642382191384787</c:v>
                </c:pt>
                <c:pt idx="105">
                  <c:v>0.42470486610999131</c:v>
                </c:pt>
                <c:pt idx="106">
                  <c:v>0.42299971322053337</c:v>
                </c:pt>
                <c:pt idx="107">
                  <c:v>0.42130819765781197</c:v>
                </c:pt>
                <c:pt idx="108">
                  <c:v>0.41963015647226165</c:v>
                </c:pt>
                <c:pt idx="109">
                  <c:v>0.41796542930008496</c:v>
                </c:pt>
                <c:pt idx="110">
                  <c:v>0.41631385831216478</c:v>
                </c:pt>
                <c:pt idx="111">
                  <c:v>0.41467528816418331</c:v>
                </c:pt>
                <c:pt idx="112">
                  <c:v>0.41304956594791375</c:v>
                </c:pt>
                <c:pt idx="113">
                  <c:v>0.41143654114365408</c:v>
                </c:pt>
                <c:pt idx="114">
                  <c:v>0.40983606557377045</c:v>
                </c:pt>
                <c:pt idx="115">
                  <c:v>0.40824799335732082</c:v>
                </c:pt>
                <c:pt idx="116">
                  <c:v>0.40667218086572932</c:v>
                </c:pt>
                <c:pt idx="117">
                  <c:v>0.40510848667948368</c:v>
                </c:pt>
                <c:pt idx="118">
                  <c:v>0.40355677154582764</c:v>
                </c:pt>
                <c:pt idx="119">
                  <c:v>0.40201689833742166</c:v>
                </c:pt>
                <c:pt idx="120">
                  <c:v>0.40048873201194679</c:v>
                </c:pt>
                <c:pt idx="121">
                  <c:v>0.39897213957262645</c:v>
                </c:pt>
                <c:pt idx="122">
                  <c:v>0.39746699002964159</c:v>
                </c:pt>
                <c:pt idx="123">
                  <c:v>0.39597315436241609</c:v>
                </c:pt>
                <c:pt idx="124">
                  <c:v>0.39449050548274939</c:v>
                </c:pt>
                <c:pt idx="125">
                  <c:v>0.39301891819877433</c:v>
                </c:pt>
                <c:pt idx="126">
                  <c:v>0.39155826917971859</c:v>
                </c:pt>
                <c:pt idx="127">
                  <c:v>0.39010843692144931</c:v>
                </c:pt>
                <c:pt idx="128">
                  <c:v>0.38866930171277997</c:v>
                </c:pt>
                <c:pt idx="129">
                  <c:v>0.38724074560252031</c:v>
                </c:pt>
                <c:pt idx="130">
                  <c:v>0.38582265236725083</c:v>
                </c:pt>
                <c:pt idx="131">
                  <c:v>0.38441490747980189</c:v>
                </c:pt>
                <c:pt idx="132">
                  <c:v>0.38301739807842111</c:v>
                </c:pt>
                <c:pt idx="133">
                  <c:v>0.38163001293661053</c:v>
                </c:pt>
                <c:pt idx="134">
                  <c:v>0.38025264243361684</c:v>
                </c:pt>
                <c:pt idx="135">
                  <c:v>0.37888517852555864</c:v>
                </c:pt>
                <c:pt idx="136">
                  <c:v>0.37752751471717422</c:v>
                </c:pt>
                <c:pt idx="137">
                  <c:v>0.37617954603417497</c:v>
                </c:pt>
                <c:pt idx="138">
                  <c:v>0.37484116899618802</c:v>
                </c:pt>
                <c:pt idx="139">
                  <c:v>0.37351228159027605</c:v>
                </c:pt>
                <c:pt idx="140">
                  <c:v>0.37219278324501642</c:v>
                </c:pt>
                <c:pt idx="141">
                  <c:v>0.37088257480512954</c:v>
                </c:pt>
                <c:pt idx="142">
                  <c:v>0.36958155850663998</c:v>
                </c:pt>
                <c:pt idx="143">
                  <c:v>0.36828963795255931</c:v>
                </c:pt>
                <c:pt idx="144">
                  <c:v>0.36700671808907692</c:v>
                </c:pt>
                <c:pt idx="145">
                  <c:v>0.36573270518224649</c:v>
                </c:pt>
                <c:pt idx="146">
                  <c:v>0.36446750679515694</c:v>
                </c:pt>
                <c:pt idx="147">
                  <c:v>0.36321103176557501</c:v>
                </c:pt>
                <c:pt idx="148">
                  <c:v>0.3619631901840491</c:v>
                </c:pt>
                <c:pt idx="149">
                  <c:v>0.36072389337246269</c:v>
                </c:pt>
                <c:pt idx="150">
                  <c:v>0.35949305386302705</c:v>
                </c:pt>
                <c:pt idx="151">
                  <c:v>0.35827058537770218</c:v>
                </c:pt>
                <c:pt idx="152">
                  <c:v>0.3570564028080368</c:v>
                </c:pt>
                <c:pt idx="153">
                  <c:v>0.35585042219541613</c:v>
                </c:pt>
                <c:pt idx="154">
                  <c:v>0.35465256071170953</c:v>
                </c:pt>
                <c:pt idx="155">
                  <c:v>0.3534627366403067</c:v>
                </c:pt>
                <c:pt idx="156">
                  <c:v>0.35228086935753516</c:v>
                </c:pt>
                <c:pt idx="157">
                  <c:v>0.35110687931444889</c:v>
                </c:pt>
                <c:pt idx="158">
                  <c:v>0.34994068801897976</c:v>
                </c:pt>
                <c:pt idx="159">
                  <c:v>0.348782218018444</c:v>
                </c:pt>
                <c:pt idx="160">
                  <c:v>0.34763139288239447</c:v>
                </c:pt>
                <c:pt idx="161">
                  <c:v>0.34648813718581156</c:v>
                </c:pt>
                <c:pt idx="162">
                  <c:v>0.34535237649262468</c:v>
                </c:pt>
                <c:pt idx="163">
                  <c:v>0.34422403733955659</c:v>
                </c:pt>
                <c:pt idx="164">
                  <c:v>0.34310304722028384</c:v>
                </c:pt>
                <c:pt idx="165">
                  <c:v>0.34198933456990499</c:v>
                </c:pt>
                <c:pt idx="166">
                  <c:v>0.34088282874971115</c:v>
                </c:pt>
                <c:pt idx="167">
                  <c:v>0.33978346003225068</c:v>
                </c:pt>
                <c:pt idx="168">
                  <c:v>0.338691159586682</c:v>
                </c:pt>
                <c:pt idx="169">
                  <c:v>0.33760585946440835</c:v>
                </c:pt>
                <c:pt idx="170">
                  <c:v>0.33652749258498749</c:v>
                </c:pt>
                <c:pt idx="171">
                  <c:v>0.33545599272231069</c:v>
                </c:pt>
                <c:pt idx="172">
                  <c:v>0.3343912944910451</c:v>
                </c:pt>
                <c:pt idx="173">
                  <c:v>0.33333333333333331</c:v>
                </c:pt>
                <c:pt idx="174">
                  <c:v>0.33228204550574453</c:v>
                </c:pt>
                <c:pt idx="175">
                  <c:v>0.33123736806647203</c:v>
                </c:pt>
                <c:pt idx="176">
                  <c:v>0.33019923886277142</c:v>
                </c:pt>
                <c:pt idx="177">
                  <c:v>0.3291675965186342</c:v>
                </c:pt>
                <c:pt idx="178">
                  <c:v>0.32814238042269184</c:v>
                </c:pt>
                <c:pt idx="179">
                  <c:v>0.32712353071634509</c:v>
                </c:pt>
                <c:pt idx="180">
                  <c:v>0.3261109882821136</c:v>
                </c:pt>
                <c:pt idx="181">
                  <c:v>0.32510469473220188</c:v>
                </c:pt>
                <c:pt idx="182">
                  <c:v>0.32410459239727529</c:v>
                </c:pt>
                <c:pt idx="183">
                  <c:v>0.32311062431544357</c:v>
                </c:pt>
                <c:pt idx="184">
                  <c:v>0.32212273422144566</c:v>
                </c:pt>
                <c:pt idx="185">
                  <c:v>0.32114086653603302</c:v>
                </c:pt>
                <c:pt idx="186">
                  <c:v>0.32016496635554587</c:v>
                </c:pt>
                <c:pt idx="187">
                  <c:v>0.31919497944167929</c:v>
                </c:pt>
                <c:pt idx="188">
                  <c:v>0.31823085221143471</c:v>
                </c:pt>
                <c:pt idx="189">
                  <c:v>0.31727253172725323</c:v>
                </c:pt>
                <c:pt idx="190">
                  <c:v>0.31631996568732579</c:v>
                </c:pt>
                <c:pt idx="191">
                  <c:v>0.31537310241607869</c:v>
                </c:pt>
                <c:pt idx="192">
                  <c:v>0.31443189085482842</c:v>
                </c:pt>
                <c:pt idx="193">
                  <c:v>0.31349628055260365</c:v>
                </c:pt>
                <c:pt idx="194">
                  <c:v>0.31256622165713077</c:v>
                </c:pt>
                <c:pt idx="195">
                  <c:v>0.31164166490597933</c:v>
                </c:pt>
                <c:pt idx="196">
                  <c:v>0.31072256161786393</c:v>
                </c:pt>
                <c:pt idx="197">
                  <c:v>0.30980886368409999</c:v>
                </c:pt>
                <c:pt idx="198">
                  <c:v>0.30890052356020942</c:v>
                </c:pt>
                <c:pt idx="199">
                  <c:v>0.30799749425767381</c:v>
                </c:pt>
                <c:pt idx="200">
                  <c:v>0.30709972933583174</c:v>
                </c:pt>
              </c:numCache>
            </c:numRef>
          </c:yVal>
          <c:smooth val="0"/>
          <c:extLst>
            <c:ext xmlns:c16="http://schemas.microsoft.com/office/drawing/2014/chart" uri="{C3380CC4-5D6E-409C-BE32-E72D297353CC}">
              <c16:uniqueId val="{00000001-2302-4046-8B7A-DAF7DA6A9068}"/>
            </c:ext>
          </c:extLst>
        </c:ser>
        <c:dLbls>
          <c:showLegendKey val="0"/>
          <c:showVal val="0"/>
          <c:showCatName val="0"/>
          <c:showSerName val="0"/>
          <c:showPercent val="0"/>
          <c:showBubbleSize val="0"/>
        </c:dLbls>
        <c:axId val="198923392"/>
        <c:axId val="198921216"/>
      </c:scatterChart>
      <c:valAx>
        <c:axId val="198908928"/>
        <c:scaling>
          <c:orientation val="minMax"/>
          <c:max val="18"/>
          <c:min val="6"/>
        </c:scaling>
        <c:delete val="0"/>
        <c:axPos val="b"/>
        <c:majorGridlines/>
        <c:title>
          <c:tx>
            <c:rich>
              <a:bodyPr/>
              <a:lstStyle/>
              <a:p>
                <a:pPr>
                  <a:defRPr sz="1200" b="1" i="0" u="none" strike="noStrike" baseline="0">
                    <a:solidFill>
                      <a:srgbClr val="000000"/>
                    </a:solidFill>
                    <a:latin typeface="Arial"/>
                    <a:ea typeface="Arial"/>
                    <a:cs typeface="Arial"/>
                  </a:defRPr>
                </a:pPr>
                <a:r>
                  <a:rPr lang="en-US" sz="1200"/>
                  <a:t>Input</a:t>
                </a:r>
                <a:r>
                  <a:rPr lang="en-US" sz="1200" baseline="0"/>
                  <a:t> Voltage (V)</a:t>
                </a:r>
                <a:endParaRPr lang="en-US" sz="1200"/>
              </a:p>
            </c:rich>
          </c:tx>
          <c:layout>
            <c:manualLayout>
              <c:xMode val="edge"/>
              <c:yMode val="edge"/>
              <c:x val="0.42044692620593743"/>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98919296"/>
        <c:crosses val="autoZero"/>
        <c:crossBetween val="midCat"/>
      </c:valAx>
      <c:valAx>
        <c:axId val="198919296"/>
        <c:scaling>
          <c:orientation val="minMax"/>
          <c:max val="0.55000000000000004"/>
          <c:min val="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sz="1200">
                    <a:solidFill>
                      <a:srgbClr val="FF0000"/>
                    </a:solidFill>
                  </a:rPr>
                  <a:t>Boost Duty Cycle</a:t>
                </a:r>
              </a:p>
            </c:rich>
          </c:tx>
          <c:layout>
            <c:manualLayout>
              <c:xMode val="edge"/>
              <c:yMode val="edge"/>
              <c:x val="1.7399239437699769E-2"/>
              <c:y val="0.3629036491406316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a:ea typeface="Arial"/>
                <a:cs typeface="Arial"/>
              </a:defRPr>
            </a:pPr>
            <a:endParaRPr lang="en-US"/>
          </a:p>
        </c:txPr>
        <c:crossAx val="198908928"/>
        <c:crosses val="autoZero"/>
        <c:crossBetween val="midCat"/>
        <c:majorUnit val="0.1"/>
        <c:minorUnit val="5.000000000000001E-2"/>
      </c:valAx>
      <c:valAx>
        <c:axId val="198921216"/>
        <c:scaling>
          <c:orientation val="minMax"/>
          <c:max val="1.05"/>
          <c:min val="0.5"/>
        </c:scaling>
        <c:delete val="0"/>
        <c:axPos val="r"/>
        <c:title>
          <c:tx>
            <c:rich>
              <a:bodyPr rot="-5400000" vert="horz"/>
              <a:lstStyle/>
              <a:p>
                <a:pPr>
                  <a:defRPr sz="1200" b="1">
                    <a:solidFill>
                      <a:srgbClr val="0000FF"/>
                    </a:solidFill>
                  </a:defRPr>
                </a:pPr>
                <a:r>
                  <a:rPr lang="en-US" sz="1200" b="1">
                    <a:solidFill>
                      <a:srgbClr val="0000FF"/>
                    </a:solidFill>
                  </a:rPr>
                  <a:t>Buck Duty Cycle</a:t>
                </a:r>
              </a:p>
            </c:rich>
          </c:tx>
          <c:overlay val="0"/>
        </c:title>
        <c:numFmt formatCode="General" sourceLinked="0"/>
        <c:majorTickMark val="out"/>
        <c:minorTickMark val="none"/>
        <c:tickLblPos val="nextTo"/>
        <c:txPr>
          <a:bodyPr/>
          <a:lstStyle/>
          <a:p>
            <a:pPr>
              <a:defRPr sz="1050" b="1">
                <a:solidFill>
                  <a:srgbClr val="0000FF"/>
                </a:solidFill>
              </a:defRPr>
            </a:pPr>
            <a:endParaRPr lang="en-US"/>
          </a:p>
        </c:txPr>
        <c:crossAx val="198923392"/>
        <c:crosses val="max"/>
        <c:crossBetween val="midCat"/>
        <c:majorUnit val="0.1"/>
      </c:valAx>
      <c:valAx>
        <c:axId val="198923392"/>
        <c:scaling>
          <c:orientation val="minMax"/>
        </c:scaling>
        <c:delete val="1"/>
        <c:axPos val="b"/>
        <c:numFmt formatCode="0.00" sourceLinked="1"/>
        <c:majorTickMark val="out"/>
        <c:minorTickMark val="none"/>
        <c:tickLblPos val="nextTo"/>
        <c:crossAx val="19892121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73773316184082571"/>
          <c:y val="0.14112903225806453"/>
          <c:w val="0.15360806990759621"/>
          <c:h val="0.10786681906697147"/>
        </c:manualLayout>
      </c:layout>
      <c:overlay val="0"/>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no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'Efficiency vs Load Calculations'!$BL$8</c:f>
              <c:strCache>
                <c:ptCount val="1"/>
                <c:pt idx="0">
                  <c:v>'CONTROL'' MOSFET Temp Rise</c:v>
                </c:pt>
              </c:strCache>
            </c:strRef>
          </c:tx>
          <c:spPr>
            <a:ln w="31750">
              <a:solidFill>
                <a:srgbClr val="000080"/>
              </a:solidFill>
              <a:prstDash val="dash"/>
            </a:ln>
          </c:spPr>
          <c:marker>
            <c:symbol val="none"/>
          </c:marker>
          <c:xVal>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'Efficiency vs Load Calculations'!$BL$9:$BL$109</c:f>
              <c:numCache>
                <c:formatCode>0.0</c:formatCode>
                <c:ptCount val="101"/>
                <c:pt idx="0">
                  <c:v>1.8917463081903323</c:v>
                </c:pt>
                <c:pt idx="1">
                  <c:v>3.3303991673341309</c:v>
                </c:pt>
                <c:pt idx="2">
                  <c:v>4.7410722957650604</c:v>
                </c:pt>
                <c:pt idx="3">
                  <c:v>6.1592772678531009</c:v>
                </c:pt>
                <c:pt idx="4">
                  <c:v>7.5851267856245332</c:v>
                </c:pt>
                <c:pt idx="5">
                  <c:v>9.0187349244313424</c:v>
                </c:pt>
                <c:pt idx="6">
                  <c:v>10.460217166801417</c:v>
                </c:pt>
                <c:pt idx="7">
                  <c:v>11.909690436925846</c:v>
                </c:pt>
                <c:pt idx="8">
                  <c:v>13.367273135805068</c:v>
                </c:pt>
                <c:pt idx="9">
                  <c:v>14.833085177075947</c:v>
                </c:pt>
                <c:pt idx="10">
                  <c:v>16.307248023542677</c:v>
                </c:pt>
                <c:pt idx="11">
                  <c:v>17.897638259104927</c:v>
                </c:pt>
                <c:pt idx="12">
                  <c:v>19.562416578110373</c:v>
                </c:pt>
                <c:pt idx="13">
                  <c:v>21.236049262483323</c:v>
                </c:pt>
                <c:pt idx="14">
                  <c:v>22.918679669853528</c:v>
                </c:pt>
                <c:pt idx="15">
                  <c:v>24.610452949608824</c:v>
                </c:pt>
                <c:pt idx="16">
                  <c:v>26.311516088738681</c:v>
                </c:pt>
                <c:pt idx="17">
                  <c:v>28.022017958594127</c:v>
                </c:pt>
                <c:pt idx="18">
                  <c:v>29.742109362595372</c:v>
                </c:pt>
                <c:pt idx="19">
                  <c:v>31.47194308491941</c:v>
                </c:pt>
                <c:pt idx="20">
                  <c:v>33.211673940200711</c:v>
                </c:pt>
                <c:pt idx="21">
                  <c:v>34.961458824279241</c:v>
                </c:pt>
                <c:pt idx="22">
                  <c:v>36.721456766030897</c:v>
                </c:pt>
                <c:pt idx="23">
                  <c:v>38.491828980316491</c:v>
                </c:pt>
                <c:pt idx="24">
                  <c:v>40.272738922086702</c:v>
                </c:pt>
                <c:pt idx="25">
                  <c:v>42.064352341681207</c:v>
                </c:pt>
                <c:pt idx="26">
                  <c:v>43.866837341361801</c:v>
                </c:pt>
                <c:pt idx="27">
                  <c:v>45.680364433120026</c:v>
                </c:pt>
                <c:pt idx="28">
                  <c:v>47.505106597801692</c:v>
                </c:pt>
                <c:pt idx="29">
                  <c:v>49.341239345591561</c:v>
                </c:pt>
                <c:pt idx="30">
                  <c:v>51.188940777902992</c:v>
                </c:pt>
                <c:pt idx="31">
                  <c:v>53.048391650718848</c:v>
                </c:pt>
                <c:pt idx="32">
                  <c:v>54.919775439431376</c:v>
                </c:pt>
                <c:pt idx="33">
                  <c:v>56.803278405230479</c:v>
                </c:pt>
                <c:pt idx="34">
                  <c:v>58.699089663091193</c:v>
                </c:pt>
                <c:pt idx="35">
                  <c:v>60.607401251413101</c:v>
                </c:pt>
                <c:pt idx="36">
                  <c:v>62.528408203366148</c:v>
                </c:pt>
                <c:pt idx="37">
                  <c:v>64.462308619998993</c:v>
                </c:pt>
                <c:pt idx="38">
                  <c:v>66.409303745168103</c:v>
                </c:pt>
                <c:pt idx="39">
                  <c:v>68.369598042348002</c:v>
                </c:pt>
                <c:pt idx="40">
                  <c:v>70.343399273384435</c:v>
                </c:pt>
                <c:pt idx="41">
                  <c:v>72.330918579255425</c:v>
                </c:pt>
                <c:pt idx="42">
                  <c:v>74.332370562906547</c:v>
                </c:pt>
                <c:pt idx="43">
                  <c:v>76.347973374229568</c:v>
                </c:pt>
                <c:pt idx="44">
                  <c:v>78.377948797256025</c:v>
                </c:pt>
                <c:pt idx="45">
                  <c:v>80.422522339639514</c:v>
                </c:pt>
                <c:pt idx="46">
                  <c:v>82.481923324503938</c:v>
                </c:pt>
                <c:pt idx="47">
                  <c:v>84.556384984736582</c:v>
                </c:pt>
                <c:pt idx="48">
                  <c:v>86.646144559808832</c:v>
                </c:pt>
                <c:pt idx="49">
                  <c:v>88.751443395209833</c:v>
                </c:pt>
                <c:pt idx="50">
                  <c:v>90.872527044581759</c:v>
                </c:pt>
                <c:pt idx="51">
                  <c:v>93.009645374648272</c:v>
                </c:pt>
                <c:pt idx="52">
                  <c:v>95.1630526730318</c:v>
                </c:pt>
                <c:pt idx="53">
                  <c:v>97.333007759058248</c:v>
                </c:pt>
                <c:pt idx="54">
                  <c:v>99.519774097651933</c:v>
                </c:pt>
                <c:pt idx="55">
                  <c:v>101.72361991642717</c:v>
                </c:pt>
                <c:pt idx="56">
                  <c:v>103.94481832608712</c:v>
                </c:pt>
                <c:pt idx="57">
                  <c:v>106.18364744424451</c:v>
                </c:pt>
                <c:pt idx="58">
                  <c:v>108.4403905227841</c:v>
                </c:pt>
                <c:pt idx="59">
                  <c:v>110.71533607888996</c:v>
                </c:pt>
                <c:pt idx="60">
                  <c:v>113.00877802986703</c:v>
                </c:pt>
                <c:pt idx="61">
                  <c:v>115.32101583189062</c:v>
                </c:pt>
                <c:pt idx="62">
                  <c:v>117.65235462282253</c:v>
                </c:pt>
                <c:pt idx="63">
                  <c:v>120.00310536923908</c:v>
                </c:pt>
                <c:pt idx="64">
                  <c:v>122.37358501782124</c:v>
                </c:pt>
                <c:pt idx="65">
                  <c:v>124.76411665126292</c:v>
                </c:pt>
                <c:pt idx="66">
                  <c:v>127.17502964886113</c:v>
                </c:pt>
                <c:pt idx="67">
                  <c:v>129.60665985195646</c:v>
                </c:pt>
                <c:pt idx="68">
                  <c:v>132.05934973440139</c:v>
                </c:pt>
                <c:pt idx="69">
                  <c:v>134.53344857823856</c:v>
                </c:pt>
                <c:pt idx="70">
                  <c:v>137.02931265478182</c:v>
                </c:pt>
                <c:pt idx="71">
                  <c:v>139.54730541129817</c:v>
                </c:pt>
                <c:pt idx="72">
                  <c:v>142.08779766349846</c:v>
                </c:pt>
                <c:pt idx="73">
                  <c:v>144.65116779405287</c:v>
                </c:pt>
                <c:pt idx="74">
                  <c:v>147.23780195735719</c:v>
                </c:pt>
                <c:pt idx="75">
                  <c:v>149.84809429078368</c:v>
                </c:pt>
                <c:pt idx="76">
                  <c:v>152.48244713266291</c:v>
                </c:pt>
                <c:pt idx="77">
                  <c:v>155.14127124725118</c:v>
                </c:pt>
                <c:pt idx="78">
                  <c:v>157.82498605694991</c:v>
                </c:pt>
                <c:pt idx="79">
                  <c:v>160.53401988205667</c:v>
                </c:pt>
                <c:pt idx="80">
                  <c:v>163.26881018833606</c:v>
                </c:pt>
                <c:pt idx="81">
                  <c:v>166.02980384271578</c:v>
                </c:pt>
                <c:pt idx="82">
                  <c:v>168.81745737742244</c:v>
                </c:pt>
                <c:pt idx="83">
                  <c:v>171.63223726288956</c:v>
                </c:pt>
                <c:pt idx="84">
                  <c:v>174.4746201897814</c:v>
                </c:pt>
                <c:pt idx="85">
                  <c:v>177.34509336049527</c:v>
                </c:pt>
                <c:pt idx="86">
                  <c:v>180.24415479051851</c:v>
                </c:pt>
                <c:pt idx="87">
                  <c:v>183.17231362003497</c:v>
                </c:pt>
                <c:pt idx="88">
                  <c:v>186.13009043619374</c:v>
                </c:pt>
                <c:pt idx="89">
                  <c:v>189.11801760647131</c:v>
                </c:pt>
                <c:pt idx="90">
                  <c:v>192.13663962357947</c:v>
                </c:pt>
                <c:pt idx="91">
                  <c:v>195.18651346239031</c:v>
                </c:pt>
                <c:pt idx="92">
                  <c:v>198.26820894937447</c:v>
                </c:pt>
                <c:pt idx="93">
                  <c:v>201.38230914507025</c:v>
                </c:pt>
                <c:pt idx="94">
                  <c:v>204.52941074012529</c:v>
                </c:pt>
                <c:pt idx="95">
                  <c:v>207.71012446548184</c:v>
                </c:pt>
                <c:pt idx="96">
                  <c:v>210.92507551729844</c:v>
                </c:pt>
                <c:pt idx="97">
                  <c:v>214.17490399723573</c:v>
                </c:pt>
                <c:pt idx="98">
                  <c:v>217.46026536875968</c:v>
                </c:pt>
                <c:pt idx="99">
                  <c:v>220.78183093014974</c:v>
                </c:pt>
                <c:pt idx="100">
                  <c:v>224.14028830493297</c:v>
                </c:pt>
              </c:numCache>
            </c:numRef>
          </c:yVal>
          <c:smooth val="0"/>
          <c:extLst>
            <c:ext xmlns:c16="http://schemas.microsoft.com/office/drawing/2014/chart" uri="{C3380CC4-5D6E-409C-BE32-E72D297353CC}">
              <c16:uniqueId val="{00000000-8164-4FC0-AFF0-37847C988E03}"/>
            </c:ext>
          </c:extLst>
        </c:ser>
        <c:ser>
          <c:idx val="1"/>
          <c:order val="1"/>
          <c:tx>
            <c:strRef>
              <c:f>'Efficiency vs Load Calculations'!$BM$8</c:f>
              <c:strCache>
                <c:ptCount val="1"/>
                <c:pt idx="0">
                  <c:v>'SYNC'' MOSFET Temp Rise</c:v>
                </c:pt>
              </c:strCache>
            </c:strRef>
          </c:tx>
          <c:spPr>
            <a:ln w="25400">
              <a:solidFill>
                <a:srgbClr val="FF0000"/>
              </a:solidFill>
              <a:prstDash val="solid"/>
            </a:ln>
          </c:spPr>
          <c:marker>
            <c:symbol val="none"/>
          </c:marker>
          <c:xVal>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'Efficiency vs Load Calculations'!$BM$9:$BM$109</c:f>
              <c:numCache>
                <c:formatCode>0.0</c:formatCode>
                <c:ptCount val="101"/>
                <c:pt idx="0">
                  <c:v>1.8314577430891206</c:v>
                </c:pt>
                <c:pt idx="1">
                  <c:v>2.1042900513385492</c:v>
                </c:pt>
                <c:pt idx="2">
                  <c:v>2.2887668266213126</c:v>
                </c:pt>
                <c:pt idx="3">
                  <c:v>2.4805938838746719</c:v>
                </c:pt>
                <c:pt idx="4">
                  <c:v>2.6797895457199825</c:v>
                </c:pt>
                <c:pt idx="5">
                  <c:v>2.8863734257904152</c:v>
                </c:pt>
                <c:pt idx="6">
                  <c:v>3.1003664350879787</c:v>
                </c:pt>
                <c:pt idx="7">
                  <c:v>3.3217907889106053</c:v>
                </c:pt>
                <c:pt idx="8">
                  <c:v>3.5506700143540906</c:v>
                </c:pt>
                <c:pt idx="9">
                  <c:v>3.7870289583940817</c:v>
                </c:pt>
                <c:pt idx="10">
                  <c:v>4.0308937965538192</c:v>
                </c:pt>
                <c:pt idx="11">
                  <c:v>4.390045576833951</c:v>
                </c:pt>
                <c:pt idx="12">
                  <c:v>4.8225491809141401</c:v>
                </c:pt>
                <c:pt idx="13">
                  <c:v>5.2627747729606806</c:v>
                </c:pt>
                <c:pt idx="14">
                  <c:v>5.7107692592465797</c:v>
                </c:pt>
                <c:pt idx="15">
                  <c:v>6.1665809754897483</c:v>
                </c:pt>
                <c:pt idx="16">
                  <c:v>6.6302597037584139</c:v>
                </c:pt>
                <c:pt idx="17">
                  <c:v>7.1018566900507825</c:v>
                </c:pt>
                <c:pt idx="18">
                  <c:v>7.5814246625616883</c:v>
                </c:pt>
                <c:pt idx="19">
                  <c:v>8.0690178506496437</c:v>
                </c:pt>
                <c:pt idx="20">
                  <c:v>8.564692004518287</c:v>
                </c:pt>
                <c:pt idx="21">
                  <c:v>9.0685044156268031</c:v>
                </c:pt>
                <c:pt idx="22">
                  <c:v>9.5805139378447475</c:v>
                </c:pt>
                <c:pt idx="23">
                  <c:v>10.100781009367104</c:v>
                </c:pt>
                <c:pt idx="24">
                  <c:v>10.629367675406369</c:v>
                </c:pt>
                <c:pt idx="25">
                  <c:v>11.166337611678983</c:v>
                </c:pt>
                <c:pt idx="26">
                  <c:v>11.7117561487043</c:v>
                </c:pt>
                <c:pt idx="27">
                  <c:v>12.265690296934944</c:v>
                </c:pt>
                <c:pt idx="28">
                  <c:v>12.828208772738314</c:v>
                </c:pt>
                <c:pt idx="29">
                  <c:v>13.399382025249704</c:v>
                </c:pt>
                <c:pt idx="30">
                  <c:v>13.979282264118373</c:v>
                </c:pt>
                <c:pt idx="31">
                  <c:v>14.567983488168858</c:v>
                </c:pt>
                <c:pt idx="32">
                  <c:v>15.165561515000618</c:v>
                </c:pt>
                <c:pt idx="33">
                  <c:v>15.77209401155006</c:v>
                </c:pt>
                <c:pt idx="34">
                  <c:v>16.387660525640023</c:v>
                </c:pt>
                <c:pt idx="35">
                  <c:v>17.012342518542706</c:v>
                </c:pt>
                <c:pt idx="36">
                  <c:v>17.646223398583139</c:v>
                </c:pt>
                <c:pt idx="37">
                  <c:v>18.289388555811307</c:v>
                </c:pt>
                <c:pt idx="38">
                  <c:v>18.941925397772255</c:v>
                </c:pt>
                <c:pt idx="39">
                  <c:v>19.603923386404524</c:v>
                </c:pt>
                <c:pt idx="40">
                  <c:v>20.275474076098504</c:v>
                </c:pt>
                <c:pt idx="41">
                  <c:v>20.956671152947688</c:v>
                </c:pt>
                <c:pt idx="42">
                  <c:v>21.647610475226895</c:v>
                </c:pt>
                <c:pt idx="43">
                  <c:v>22.348390115132922</c:v>
                </c:pt>
                <c:pt idx="44">
                  <c:v>23.059110401824622</c:v>
                </c:pt>
                <c:pt idx="45">
                  <c:v>23.779873965800686</c:v>
                </c:pt>
                <c:pt idx="46">
                  <c:v>24.510785784655003</c:v>
                </c:pt>
                <c:pt idx="47">
                  <c:v>25.251953230250987</c:v>
                </c:pt>
                <c:pt idx="48">
                  <c:v>26.003486117358008</c:v>
                </c:pt>
                <c:pt idx="49">
                  <c:v>26.765496753794544</c:v>
                </c:pt>
                <c:pt idx="50">
                  <c:v>27.538099992124774</c:v>
                </c:pt>
                <c:pt idx="51">
                  <c:v>28.321413282956733</c:v>
                </c:pt>
                <c:pt idx="52">
                  <c:v>29.115556729892504</c:v>
                </c:pt>
                <c:pt idx="53">
                  <c:v>29.920653146182676</c:v>
                </c:pt>
                <c:pt idx="54">
                  <c:v>30.736828113139307</c:v>
                </c:pt>
                <c:pt idx="55">
                  <c:v>31.564210040364102</c:v>
                </c:pt>
                <c:pt idx="56">
                  <c:v>32.402930227850518</c:v>
                </c:pt>
                <c:pt idx="57">
                  <c:v>33.253122930020822</c:v>
                </c:pt>
                <c:pt idx="58">
                  <c:v>34.11492542176201</c:v>
                </c:pt>
                <c:pt idx="59">
                  <c:v>34.988478066526412</c:v>
                </c:pt>
                <c:pt idx="60">
                  <c:v>35.873924386566109</c:v>
                </c:pt>
                <c:pt idx="61">
                  <c:v>36.771411135372794</c:v>
                </c:pt>
                <c:pt idx="62">
                  <c:v>37.681088372397419</c:v>
                </c:pt>
                <c:pt idx="63">
                  <c:v>38.603109540127548</c:v>
                </c:pt>
                <c:pt idx="64">
                  <c:v>39.537631543603226</c:v>
                </c:pt>
                <c:pt idx="65">
                  <c:v>40.484814832455186</c:v>
                </c:pt>
                <c:pt idx="66">
                  <c:v>41.444823485553485</c:v>
                </c:pt>
                <c:pt idx="67">
                  <c:v>42.417825298357542</c:v>
                </c:pt>
                <c:pt idx="68">
                  <c:v>43.4039918730628</c:v>
                </c:pt>
                <c:pt idx="69">
                  <c:v>44.403498711643088</c:v>
                </c:pt>
                <c:pt idx="70">
                  <c:v>45.416525311891874</c:v>
                </c:pt>
                <c:pt idx="71">
                  <c:v>46.443255266570105</c:v>
                </c:pt>
                <c:pt idx="72">
                  <c:v>47.483876365772801</c:v>
                </c:pt>
                <c:pt idx="73">
                  <c:v>48.538580702631386</c:v>
                </c:pt>
                <c:pt idx="74">
                  <c:v>49.607564782473602</c:v>
                </c:pt>
                <c:pt idx="75">
                  <c:v>50.691029635568633</c:v>
                </c:pt>
                <c:pt idx="76">
                  <c:v>51.789180933589627</c:v>
                </c:pt>
                <c:pt idx="77">
                  <c:v>52.902229109932911</c:v>
                </c:pt>
                <c:pt idx="78">
                  <c:v>54.030389484037379</c:v>
                </c:pt>
                <c:pt idx="79">
                  <c:v>55.173882389856352</c:v>
                </c:pt>
                <c:pt idx="80">
                  <c:v>56.332933308638175</c:v>
                </c:pt>
                <c:pt idx="81">
                  <c:v>57.507773006181132</c:v>
                </c:pt>
                <c:pt idx="82">
                  <c:v>58.698637674733916</c:v>
                </c:pt>
                <c:pt idx="83">
                  <c:v>59.905769079721743</c:v>
                </c:pt>
                <c:pt idx="84">
                  <c:v>61.129414711485552</c:v>
                </c:pt>
                <c:pt idx="85">
                  <c:v>62.369827942230614</c:v>
                </c:pt>
                <c:pt idx="86">
                  <c:v>63.627268188389728</c:v>
                </c:pt>
                <c:pt idx="87">
                  <c:v>64.902001078615299</c:v>
                </c:pt>
                <c:pt idx="88">
                  <c:v>66.194298627625287</c:v>
                </c:pt>
                <c:pt idx="89">
                  <c:v>67.504439416137103</c:v>
                </c:pt>
                <c:pt idx="90">
                  <c:v>68.832708777135906</c:v>
                </c:pt>
                <c:pt idx="91">
                  <c:v>70.17939898873388</c:v>
                </c:pt>
                <c:pt idx="92">
                  <c:v>71.544809473890467</c:v>
                </c:pt>
                <c:pt idx="93">
                  <c:v>72.92924700727518</c:v>
                </c:pt>
                <c:pt idx="94">
                  <c:v>74.333025929568706</c:v>
                </c:pt>
                <c:pt idx="95">
                  <c:v>75.756468369512277</c:v>
                </c:pt>
                <c:pt idx="96">
                  <c:v>77.199904474029211</c:v>
                </c:pt>
                <c:pt idx="97">
                  <c:v>78.663672646759821</c:v>
                </c:pt>
                <c:pt idx="98">
                  <c:v>80.148119795365815</c:v>
                </c:pt>
                <c:pt idx="99">
                  <c:v>81.653601587979509</c:v>
                </c:pt>
                <c:pt idx="100">
                  <c:v>83.180482719189584</c:v>
                </c:pt>
              </c:numCache>
            </c:numRef>
          </c:yVal>
          <c:smooth val="0"/>
          <c:extLst>
            <c:ext xmlns:c16="http://schemas.microsoft.com/office/drawing/2014/chart" uri="{C3380CC4-5D6E-409C-BE32-E72D297353CC}">
              <c16:uniqueId val="{00000001-8164-4FC0-AFF0-37847C988E03}"/>
            </c:ext>
          </c:extLst>
        </c:ser>
        <c:dLbls>
          <c:showLegendKey val="0"/>
          <c:showVal val="0"/>
          <c:showCatName val="0"/>
          <c:showSerName val="0"/>
          <c:showPercent val="0"/>
          <c:showBubbleSize val="0"/>
        </c:dLbls>
        <c:axId val="199431680"/>
        <c:axId val="199433600"/>
      </c:scatterChart>
      <c:valAx>
        <c:axId val="199431680"/>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9433600"/>
        <c:crosses val="autoZero"/>
        <c:crossBetween val="midCat"/>
      </c:valAx>
      <c:valAx>
        <c:axId val="19943360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9431680"/>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vs Load Calculations'!$BR$8</c:f>
              <c:strCache>
                <c:ptCount val="1"/>
                <c:pt idx="0">
                  <c:v>Buck ''Control'' MOSFET Loss</c:v>
                </c:pt>
              </c:strCache>
            </c:strRef>
          </c:tx>
          <c:spPr>
            <a:ln w="25400">
              <a:solidFill>
                <a:srgbClr val="000080"/>
              </a:solidFill>
              <a:prstDash val="dash"/>
            </a:ln>
          </c:spPr>
          <c:marker>
            <c:symbol val="none"/>
          </c:marker>
          <c:xVal>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'Efficiency vs Load Calculations'!$BR$9:$BR$109</c:f>
              <c:numCache>
                <c:formatCode>0.000</c:formatCode>
                <c:ptCount val="101"/>
                <c:pt idx="0">
                  <c:v>3.1529105136505538E-2</c:v>
                </c:pt>
                <c:pt idx="1">
                  <c:v>5.4690673352102183E-2</c:v>
                </c:pt>
                <c:pt idx="2">
                  <c:v>7.7385953848884345E-2</c:v>
                </c:pt>
                <c:pt idx="3">
                  <c:v>0.10020680619968501</c:v>
                </c:pt>
                <c:pt idx="4">
                  <c:v>0.12315510877160887</c:v>
                </c:pt>
                <c:pt idx="5">
                  <c:v>0.14623276282052239</c:v>
                </c:pt>
                <c:pt idx="6">
                  <c:v>0.16944169305522361</c:v>
                </c:pt>
                <c:pt idx="7">
                  <c:v>0.19278384821223077</c:v>
                </c:pt>
                <c:pt idx="8">
                  <c:v>0.21626120164155113</c:v>
                </c:pt>
                <c:pt idx="9">
                  <c:v>0.23987575190379914</c:v>
                </c:pt>
                <c:pt idx="10">
                  <c:v>0.26362952337904461</c:v>
                </c:pt>
                <c:pt idx="11">
                  <c:v>0.2893204591322821</c:v>
                </c:pt>
                <c:pt idx="12">
                  <c:v>0.31625123740263961</c:v>
                </c:pt>
                <c:pt idx="13">
                  <c:v>0.34332962955552204</c:v>
                </c:pt>
                <c:pt idx="14">
                  <c:v>0.37055802488475886</c:v>
                </c:pt>
                <c:pt idx="15">
                  <c:v>0.39793884254681378</c:v>
                </c:pt>
                <c:pt idx="16">
                  <c:v>0.42547453232484467</c:v>
                </c:pt>
                <c:pt idx="17">
                  <c:v>0.45316757540803548</c:v>
                </c:pt>
                <c:pt idx="18">
                  <c:v>0.48102048518672286</c:v>
                </c:pt>
                <c:pt idx="19">
                  <c:v>0.50903580806385684</c:v>
                </c:pt>
                <c:pt idx="20">
                  <c:v>0.5372161242833452</c:v>
                </c:pt>
                <c:pt idx="21">
                  <c:v>0.56556404877585409</c:v>
                </c:pt>
                <c:pt idx="22">
                  <c:v>0.59408223202264832</c:v>
                </c:pt>
                <c:pt idx="23">
                  <c:v>0.62277336093807478</c:v>
                </c:pt>
                <c:pt idx="24">
                  <c:v>0.65164015977131173</c:v>
                </c:pt>
                <c:pt idx="25">
                  <c:v>0.68068539102802017</c:v>
                </c:pt>
                <c:pt idx="26">
                  <c:v>0.70991185641256338</c:v>
                </c:pt>
                <c:pt idx="27">
                  <c:v>0.73932239779146713</c:v>
                </c:pt>
                <c:pt idx="28">
                  <c:v>0.76891989817882811</c:v>
                </c:pt>
                <c:pt idx="29">
                  <c:v>0.79870728274439262</c:v>
                </c:pt>
                <c:pt idx="30">
                  <c:v>0.82868751984504985</c:v>
                </c:pt>
                <c:pt idx="31">
                  <c:v>0.85886362208051414</c:v>
                </c:pt>
                <c:pt idx="32">
                  <c:v>0.88923864737398972</c:v>
                </c:pt>
                <c:pt idx="33">
                  <c:v>0.91981570007864144</c:v>
                </c:pt>
                <c:pt idx="34">
                  <c:v>0.95059793211071986</c:v>
                </c:pt>
                <c:pt idx="35">
                  <c:v>0.98158854411021823</c:v>
                </c:pt>
                <c:pt idx="36">
                  <c:v>1.0127907866299692</c:v>
                </c:pt>
                <c:pt idx="37">
                  <c:v>1.0442079613541166</c:v>
                </c:pt>
                <c:pt idx="38">
                  <c:v>1.0758434223469351</c:v>
                </c:pt>
                <c:pt idx="39">
                  <c:v>1.107700577333</c:v>
                </c:pt>
                <c:pt idx="40">
                  <c:v>1.1397828890097406</c:v>
                </c:pt>
                <c:pt idx="41">
                  <c:v>1.172093876393457</c:v>
                </c:pt>
                <c:pt idx="42">
                  <c:v>1.2046371161999092</c:v>
                </c:pt>
                <c:pt idx="43">
                  <c:v>1.2374162442606262</c:v>
                </c:pt>
                <c:pt idx="44">
                  <c:v>1.2704349569761337</c:v>
                </c:pt>
                <c:pt idx="45">
                  <c:v>1.3036970128073253</c:v>
                </c:pt>
                <c:pt idx="46">
                  <c:v>1.3372062338062658</c:v>
                </c:pt>
                <c:pt idx="47">
                  <c:v>1.370966507187743</c:v>
                </c:pt>
                <c:pt idx="48">
                  <c:v>1.4049817869429471</c:v>
                </c:pt>
                <c:pt idx="49">
                  <c:v>1.4392560954966971</c:v>
                </c:pt>
                <c:pt idx="50">
                  <c:v>1.4737935254096961</c:v>
                </c:pt>
                <c:pt idx="51">
                  <c:v>1.5085982411273378</c:v>
                </c:pt>
                <c:pt idx="52">
                  <c:v>1.5436744807766634</c:v>
                </c:pt>
                <c:pt idx="53">
                  <c:v>1.579026558013104</c:v>
                </c:pt>
                <c:pt idx="54">
                  <c:v>1.6146588639187323</c:v>
                </c:pt>
                <c:pt idx="55">
                  <c:v>1.6505758689537862</c:v>
                </c:pt>
                <c:pt idx="56">
                  <c:v>1.6867821249633188</c:v>
                </c:pt>
                <c:pt idx="57">
                  <c:v>1.7232822672408754</c:v>
                </c:pt>
                <c:pt idx="58">
                  <c:v>1.7600810166512018</c:v>
                </c:pt>
                <c:pt idx="59">
                  <c:v>1.7971831818140327</c:v>
                </c:pt>
                <c:pt idx="60">
                  <c:v>1.8345936613511173</c:v>
                </c:pt>
                <c:pt idx="61">
                  <c:v>1.8723174461987104</c:v>
                </c:pt>
                <c:pt idx="62">
                  <c:v>1.910359621987842</c:v>
                </c:pt>
                <c:pt idx="63">
                  <c:v>1.9487253714947848</c:v>
                </c:pt>
                <c:pt idx="64">
                  <c:v>1.9874199771642205</c:v>
                </c:pt>
                <c:pt idx="65">
                  <c:v>2.0264488237077152</c:v>
                </c:pt>
                <c:pt idx="66">
                  <c:v>2.0658174007802188</c:v>
                </c:pt>
                <c:pt idx="67">
                  <c:v>2.1055313057374074</c:v>
                </c:pt>
                <c:pt idx="68">
                  <c:v>2.1455962464768232</c:v>
                </c:pt>
                <c:pt idx="69">
                  <c:v>2.1860180443658423</c:v>
                </c:pt>
                <c:pt idx="70">
                  <c:v>2.2268026372596972</c:v>
                </c:pt>
                <c:pt idx="71">
                  <c:v>2.267956082612836</c:v>
                </c:pt>
                <c:pt idx="72">
                  <c:v>2.3094845606871077</c:v>
                </c:pt>
                <c:pt idx="73">
                  <c:v>2.3513943778603479</c:v>
                </c:pt>
                <c:pt idx="74">
                  <c:v>2.393691970039153</c:v>
                </c:pt>
                <c:pt idx="75">
                  <c:v>2.4363839061797279</c:v>
                </c:pt>
                <c:pt idx="76">
                  <c:v>2.4794768919209149</c:v>
                </c:pt>
                <c:pt idx="77">
                  <c:v>2.5229777733336531</c:v>
                </c:pt>
                <c:pt idx="78">
                  <c:v>2.5668935407912987</c:v>
                </c:pt>
                <c:pt idx="79">
                  <c:v>2.6112313329654775</c:v>
                </c:pt>
                <c:pt idx="80">
                  <c:v>2.6559984409522674</c:v>
                </c:pt>
                <c:pt idx="81">
                  <c:v>2.7012023125337961</c:v>
                </c:pt>
                <c:pt idx="82">
                  <c:v>2.7468505565805077</c:v>
                </c:pt>
                <c:pt idx="83">
                  <c:v>2.7929509475996261</c:v>
                </c:pt>
                <c:pt idx="84">
                  <c:v>2.8395114304355569</c:v>
                </c:pt>
                <c:pt idx="85">
                  <c:v>2.8865401251282545</c:v>
                </c:pt>
                <c:pt idx="86">
                  <c:v>2.9340453319358417</c:v>
                </c:pt>
                <c:pt idx="87">
                  <c:v>2.9820355365280493</c:v>
                </c:pt>
                <c:pt idx="88">
                  <c:v>3.0305194153573622</c:v>
                </c:pt>
                <c:pt idx="89">
                  <c:v>3.0795058412150556</c:v>
                </c:pt>
                <c:pt idx="90">
                  <c:v>3.1290038889796574</c:v>
                </c:pt>
                <c:pt idx="91">
                  <c:v>3.1790228415657049</c:v>
                </c:pt>
                <c:pt idx="92">
                  <c:v>3.2295721960810408</c:v>
                </c:pt>
                <c:pt idx="93">
                  <c:v>3.2806616702013041</c:v>
                </c:pt>
                <c:pt idx="94">
                  <c:v>3.3323012087706214</c:v>
                </c:pt>
                <c:pt idx="95">
                  <c:v>3.3845009906380308</c:v>
                </c:pt>
                <c:pt idx="96">
                  <c:v>3.4372714357395071</c:v>
                </c:pt>
                <c:pt idx="97">
                  <c:v>3.4906232124360623</c:v>
                </c:pt>
                <c:pt idx="98">
                  <c:v>3.5445672451187948</c:v>
                </c:pt>
                <c:pt idx="99">
                  <c:v>3.5991147220923625</c:v>
                </c:pt>
                <c:pt idx="100">
                  <c:v>3.6542771037488824</c:v>
                </c:pt>
              </c:numCache>
            </c:numRef>
          </c:yVal>
          <c:smooth val="0"/>
          <c:extLst>
            <c:ext xmlns:c16="http://schemas.microsoft.com/office/drawing/2014/chart" uri="{C3380CC4-5D6E-409C-BE32-E72D297353CC}">
              <c16:uniqueId val="{00000000-D4F2-47EC-8EFC-A65639BE5AF5}"/>
            </c:ext>
          </c:extLst>
        </c:ser>
        <c:ser>
          <c:idx val="3"/>
          <c:order val="1"/>
          <c:tx>
            <c:strRef>
              <c:f>'Efficiency vs Load Calculations'!$BS$8</c:f>
              <c:strCache>
                <c:ptCount val="1"/>
                <c:pt idx="0">
                  <c:v>Buck ''SYNC'' MOSFET Loss</c:v>
                </c:pt>
              </c:strCache>
            </c:strRef>
          </c:tx>
          <c:spPr>
            <a:ln w="25400">
              <a:solidFill>
                <a:srgbClr val="FF0000"/>
              </a:solidFill>
              <a:prstDash val="solid"/>
            </a:ln>
          </c:spPr>
          <c:marker>
            <c:symbol val="none"/>
          </c:marker>
          <c:xVal>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'Efficiency vs Load Calculations'!$BS$9:$BS$109</c:f>
              <c:numCache>
                <c:formatCode>0.000</c:formatCode>
                <c:ptCount val="101"/>
                <c:pt idx="0">
                  <c:v>3.052429571815201E-2</c:v>
                </c:pt>
                <c:pt idx="1">
                  <c:v>3.5863480897242485E-2</c:v>
                </c:pt>
                <c:pt idx="2">
                  <c:v>3.9730033943421873E-2</c:v>
                </c:pt>
                <c:pt idx="3">
                  <c:v>4.3719051772311196E-2</c:v>
                </c:pt>
                <c:pt idx="4">
                  <c:v>4.7830839760933039E-2</c:v>
                </c:pt>
                <c:pt idx="5">
                  <c:v>5.2065724803173591E-2</c:v>
                </c:pt>
                <c:pt idx="6">
                  <c:v>5.6424055415732977E-2</c:v>
                </c:pt>
                <c:pt idx="7">
                  <c:v>6.0906201853576758E-2</c:v>
                </c:pt>
                <c:pt idx="8">
                  <c:v>6.5512556234968183E-2</c:v>
                </c:pt>
                <c:pt idx="9">
                  <c:v>7.0243532676168036E-2</c:v>
                </c:pt>
                <c:pt idx="10">
                  <c:v>7.5099567435896991E-2</c:v>
                </c:pt>
                <c:pt idx="11">
                  <c:v>8.187701131416586E-2</c:v>
                </c:pt>
                <c:pt idx="12">
                  <c:v>8.9876945672302339E-2</c:v>
                </c:pt>
                <c:pt idx="13">
                  <c:v>9.8005539913078019E-2</c:v>
                </c:pt>
                <c:pt idx="14">
                  <c:v>0.10626357580770966</c:v>
                </c:pt>
                <c:pt idx="15">
                  <c:v>0.11465185895149579</c:v>
                </c:pt>
                <c:pt idx="16">
                  <c:v>0.12317121904557357</c:v>
                </c:pt>
                <c:pt idx="17">
                  <c:v>0.13182251018991303</c:v>
                </c:pt>
                <c:pt idx="18">
                  <c:v>0.14060661118776147</c:v>
                </c:pt>
                <c:pt idx="19">
                  <c:v>0.14952442586176073</c:v>
                </c:pt>
                <c:pt idx="20">
                  <c:v>0.15857688338197146</c:v>
                </c:pt>
                <c:pt idx="21">
                  <c:v>0.16776493860604672</c:v>
                </c:pt>
                <c:pt idx="22">
                  <c:v>0.17708957243181245</c:v>
                </c:pt>
                <c:pt idx="23">
                  <c:v>0.18655179216251841</c:v>
                </c:pt>
                <c:pt idx="24">
                  <c:v>0.19615263188503948</c:v>
                </c:pt>
                <c:pt idx="25">
                  <c:v>0.2058931528613164</c:v>
                </c:pt>
                <c:pt idx="26">
                  <c:v>0.21577444393333833</c:v>
                </c:pt>
                <c:pt idx="27">
                  <c:v>0.22579762194198238</c:v>
                </c:pt>
                <c:pt idx="28">
                  <c:v>0.23596383216003858</c:v>
                </c:pt>
                <c:pt idx="29">
                  <c:v>0.24627424873976173</c:v>
                </c:pt>
                <c:pt idx="30">
                  <c:v>0.25673007517530622</c:v>
                </c:pt>
                <c:pt idx="31">
                  <c:v>0.26733254478041429</c:v>
                </c:pt>
                <c:pt idx="32">
                  <c:v>0.27808292118174366</c:v>
                </c:pt>
                <c:pt idx="33">
                  <c:v>0.28898249882823435</c:v>
                </c:pt>
                <c:pt idx="34">
                  <c:v>0.30003260351693373</c:v>
                </c:pt>
                <c:pt idx="35">
                  <c:v>0.31123459293571176</c:v>
                </c:pt>
                <c:pt idx="36">
                  <c:v>0.32258985722331895</c:v>
                </c:pt>
                <c:pt idx="37">
                  <c:v>0.33409981954725509</c:v>
                </c:pt>
                <c:pt idx="38">
                  <c:v>0.3457659366999376</c:v>
                </c:pt>
                <c:pt idx="39">
                  <c:v>0.35758969971367538</c:v>
                </c:pt>
                <c:pt idx="40">
                  <c:v>0.36957263449497507</c:v>
                </c:pt>
                <c:pt idx="41">
                  <c:v>0.38171630247872812</c:v>
                </c:pt>
                <c:pt idx="42">
                  <c:v>0.39402230130284821</c:v>
                </c:pt>
                <c:pt idx="43">
                  <c:v>0.40649226550394868</c:v>
                </c:pt>
                <c:pt idx="44">
                  <c:v>0.41912786723467699</c:v>
                </c:pt>
                <c:pt idx="45">
                  <c:v>0.43193081700334474</c:v>
                </c:pt>
                <c:pt idx="46">
                  <c:v>0.44490286443651672</c:v>
                </c:pt>
                <c:pt idx="47">
                  <c:v>0.45804579906524978</c:v>
                </c:pt>
                <c:pt idx="48">
                  <c:v>0.47136145113570016</c:v>
                </c:pt>
                <c:pt idx="49">
                  <c:v>0.48485169244484244</c:v>
                </c:pt>
                <c:pt idx="50">
                  <c:v>0.49851843720207956</c:v>
                </c:pt>
                <c:pt idx="51">
                  <c:v>0.51236364291754555</c:v>
                </c:pt>
                <c:pt idx="52">
                  <c:v>0.52638931131794175</c:v>
                </c:pt>
                <c:pt idx="53">
                  <c:v>0.540597489290778</c:v>
                </c:pt>
                <c:pt idx="54">
                  <c:v>0.55499026985792177</c:v>
                </c:pt>
                <c:pt idx="55">
                  <c:v>0.56956979317940171</c:v>
                </c:pt>
                <c:pt idx="56">
                  <c:v>0.58433824758844199</c:v>
                </c:pt>
                <c:pt idx="57">
                  <c:v>0.59929787065874707</c:v>
                </c:pt>
                <c:pt idx="58">
                  <c:v>0.61445095030510011</c:v>
                </c:pt>
                <c:pt idx="59">
                  <c:v>0.62979982591837347</c:v>
                </c:pt>
                <c:pt idx="60">
                  <c:v>0.64534688953610186</c:v>
                </c:pt>
                <c:pt idx="61">
                  <c:v>0.66109458704981328</c:v>
                </c:pt>
                <c:pt idx="62">
                  <c:v>0.67704541945035701</c:v>
                </c:pt>
                <c:pt idx="63">
                  <c:v>0.69320194411252578</c:v>
                </c:pt>
                <c:pt idx="64">
                  <c:v>0.70956677612032049</c:v>
                </c:pt>
                <c:pt idx="65">
                  <c:v>0.72614258963425315</c:v>
                </c:pt>
                <c:pt idx="66">
                  <c:v>0.74293211930215808</c:v>
                </c:pt>
                <c:pt idx="67">
                  <c:v>0.7599381617150256</c:v>
                </c:pt>
                <c:pt idx="68">
                  <c:v>0.77716357690944671</c:v>
                </c:pt>
                <c:pt idx="69">
                  <c:v>0.79461128991831809</c:v>
                </c:pt>
                <c:pt idx="70">
                  <c:v>0.81228429237153121</c:v>
                </c:pt>
                <c:pt idx="71">
                  <c:v>0.83018564414843499</c:v>
                </c:pt>
                <c:pt idx="72">
                  <c:v>0.84831847508394675</c:v>
                </c:pt>
                <c:pt idx="73">
                  <c:v>0.86668598673025643</c:v>
                </c:pt>
                <c:pt idx="74">
                  <c:v>0.88529145417616006</c:v>
                </c:pt>
                <c:pt idx="75">
                  <c:v>0.90413822792614384</c:v>
                </c:pt>
                <c:pt idx="76">
                  <c:v>0.9232297358414272</c:v>
                </c:pt>
                <c:pt idx="77">
                  <c:v>0.94256948514528183</c:v>
                </c:pt>
                <c:pt idx="78">
                  <c:v>0.96216106449502303</c:v>
                </c:pt>
                <c:pt idx="79">
                  <c:v>0.98200814612320586</c:v>
                </c:pt>
                <c:pt idx="80">
                  <c:v>1.0021144880506363</c:v>
                </c:pt>
                <c:pt idx="81">
                  <c:v>1.0224839363739522</c:v>
                </c:pt>
                <c:pt idx="82">
                  <c:v>1.0431204276306318</c:v>
                </c:pt>
                <c:pt idx="83">
                  <c:v>1.064027991244429</c:v>
                </c:pt>
                <c:pt idx="84">
                  <c:v>1.0852107520543592</c:v>
                </c:pt>
                <c:pt idx="85">
                  <c:v>1.1066729329305103</c:v>
                </c:pt>
                <c:pt idx="86">
                  <c:v>1.1284188574800955</c:v>
                </c:pt>
                <c:pt idx="87">
                  <c:v>1.1504529528473215</c:v>
                </c:pt>
                <c:pt idx="88">
                  <c:v>1.1727797526108215</c:v>
                </c:pt>
                <c:pt idx="89">
                  <c:v>1.1954038997825518</c:v>
                </c:pt>
                <c:pt idx="90">
                  <c:v>1.218330149912265</c:v>
                </c:pt>
                <c:pt idx="91">
                  <c:v>1.2415633743018315</c:v>
                </c:pt>
                <c:pt idx="92">
                  <c:v>1.2651085633339079</c:v>
                </c:pt>
                <c:pt idx="93">
                  <c:v>1.2889708299196529</c:v>
                </c:pt>
                <c:pt idx="94">
                  <c:v>1.3131554130704117</c:v>
                </c:pt>
                <c:pt idx="95">
                  <c:v>1.337667681598538</c:v>
                </c:pt>
                <c:pt idx="96">
                  <c:v>1.3625131379527535</c:v>
                </c:pt>
                <c:pt idx="97">
                  <c:v>1.3876974221937302</c:v>
                </c:pt>
                <c:pt idx="98">
                  <c:v>1.4132263161158303</c:v>
                </c:pt>
                <c:pt idx="99">
                  <c:v>1.4391057475212585</c:v>
                </c:pt>
                <c:pt idx="100">
                  <c:v>1.4653417946531597</c:v>
                </c:pt>
              </c:numCache>
            </c:numRef>
          </c:yVal>
          <c:smooth val="0"/>
          <c:extLst>
            <c:ext xmlns:c16="http://schemas.microsoft.com/office/drawing/2014/chart" uri="{C3380CC4-5D6E-409C-BE32-E72D297353CC}">
              <c16:uniqueId val="{00000001-D4F2-47EC-8EFC-A65639BE5AF5}"/>
            </c:ext>
          </c:extLst>
        </c:ser>
        <c:ser>
          <c:idx val="0"/>
          <c:order val="2"/>
          <c:tx>
            <c:v>Inductor Loss</c:v>
          </c:tx>
          <c:spPr>
            <a:ln w="31750">
              <a:solidFill>
                <a:srgbClr val="FF6600"/>
              </a:solidFill>
              <a:prstDash val="lgDash"/>
            </a:ln>
          </c:spPr>
          <c:marker>
            <c:symbol val="none"/>
          </c:marker>
          <c:xVal>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'Efficiency vs Load Calculations'!$Z$9:$Z$109</c:f>
              <c:numCache>
                <c:formatCode>0.000</c:formatCode>
                <c:ptCount val="101"/>
                <c:pt idx="0">
                  <c:v>0.26565911720848034</c:v>
                </c:pt>
                <c:pt idx="1">
                  <c:v>0.26579630391885301</c:v>
                </c:pt>
                <c:pt idx="2">
                  <c:v>0.26610062303457804</c:v>
                </c:pt>
                <c:pt idx="3">
                  <c:v>0.26657209470366122</c:v>
                </c:pt>
                <c:pt idx="4">
                  <c:v>0.2672107524827117</c:v>
                </c:pt>
                <c:pt idx="5">
                  <c:v>0.26801664334367359</c:v>
                </c:pt>
                <c:pt idx="6">
                  <c:v>0.26898982768324814</c:v>
                </c:pt>
                <c:pt idx="7">
                  <c:v>0.27013037933500927</c:v>
                </c:pt>
                <c:pt idx="8">
                  <c:v>0.2714383855842224</c:v>
                </c:pt>
                <c:pt idx="9">
                  <c:v>0.27291394718536693</c:v>
                </c:pt>
                <c:pt idx="10">
                  <c:v>0.27455717838236804</c:v>
                </c:pt>
                <c:pt idx="11">
                  <c:v>0.27636820693155761</c:v>
                </c:pt>
                <c:pt idx="12">
                  <c:v>0.27834717412735172</c:v>
                </c:pt>
                <c:pt idx="13">
                  <c:v>0.28049423483067404</c:v>
                </c:pt>
                <c:pt idx="14">
                  <c:v>0.28280955750012549</c:v>
                </c:pt>
                <c:pt idx="15">
                  <c:v>0.28529332422591619</c:v>
                </c:pt>
                <c:pt idx="16">
                  <c:v>0.28794573076656566</c:v>
                </c:pt>
                <c:pt idx="17">
                  <c:v>0.29076698658839467</c:v>
                </c:pt>
                <c:pt idx="18">
                  <c:v>0.29375731490781998</c:v>
                </c:pt>
                <c:pt idx="19">
                  <c:v>0.29691695273646257</c:v>
                </c:pt>
                <c:pt idx="20">
                  <c:v>0.30024615092909224</c:v>
                </c:pt>
                <c:pt idx="21">
                  <c:v>0.30374517423442832</c:v>
                </c:pt>
                <c:pt idx="22">
                  <c:v>0.30741430134881009</c:v>
                </c:pt>
                <c:pt idx="23">
                  <c:v>0.3112538249727585</c:v>
                </c:pt>
                <c:pt idx="24">
                  <c:v>0.31526405187045703</c:v>
                </c:pt>
                <c:pt idx="25">
                  <c:v>0.31944530293216483</c:v>
                </c:pt>
                <c:pt idx="26">
                  <c:v>0.32379791323959262</c:v>
                </c:pt>
                <c:pt idx="27">
                  <c:v>0.32832223213426426</c:v>
                </c:pt>
                <c:pt idx="28">
                  <c:v>0.33301862328889148</c:v>
                </c:pt>
                <c:pt idx="29">
                  <c:v>0.33788746478178272</c:v>
                </c:pt>
                <c:pt idx="30">
                  <c:v>0.3429291491743271</c:v>
                </c:pt>
                <c:pt idx="31">
                  <c:v>0.34814408359157223</c:v>
                </c:pt>
                <c:pt idx="32">
                  <c:v>0.353532689805929</c:v>
                </c:pt>
                <c:pt idx="33">
                  <c:v>0.35909540432404125</c:v>
                </c:pt>
                <c:pt idx="34">
                  <c:v>0.36483267847684897</c:v>
                </c:pt>
                <c:pt idx="35">
                  <c:v>0.3707449785128798</c:v>
                </c:pt>
                <c:pt idx="36">
                  <c:v>0.37683278569480932</c:v>
                </c:pt>
                <c:pt idx="37">
                  <c:v>0.38309659639932347</c:v>
                </c:pt>
                <c:pt idx="38">
                  <c:v>0.38953692222032232</c:v>
                </c:pt>
                <c:pt idx="39">
                  <c:v>0.39615429007551195</c:v>
                </c:pt>
                <c:pt idx="40">
                  <c:v>0.40294924231641738</c:v>
                </c:pt>
                <c:pt idx="41">
                  <c:v>0.40992233684186491</c:v>
                </c:pt>
                <c:pt idx="42">
                  <c:v>0.4170741472149796</c:v>
                </c:pt>
                <c:pt idx="43">
                  <c:v>0.42440526278374296</c:v>
                </c:pt>
                <c:pt idx="44">
                  <c:v>0.43191628880515298</c:v>
                </c:pt>
                <c:pt idx="45">
                  <c:v>0.43960784657305269</c:v>
                </c:pt>
                <c:pt idx="46">
                  <c:v>0.44748057354965576</c:v>
                </c:pt>
                <c:pt idx="47">
                  <c:v>0.45553512350083925</c:v>
                </c:pt>
                <c:pt idx="48">
                  <c:v>0.46377216663525433</c:v>
                </c:pt>
                <c:pt idx="49">
                  <c:v>0.47219238974730104</c:v>
                </c:pt>
                <c:pt idx="50">
                  <c:v>0.48079649636404337</c:v>
                </c:pt>
                <c:pt idx="51">
                  <c:v>0.48958520689610618</c:v>
                </c:pt>
                <c:pt idx="52">
                  <c:v>0.49855925879262619</c:v>
                </c:pt>
                <c:pt idx="53">
                  <c:v>0.5077194067003199</c:v>
                </c:pt>
                <c:pt idx="54">
                  <c:v>0.51706642262672653</c:v>
                </c:pt>
                <c:pt idx="55">
                  <c:v>0.52660109610770411</c:v>
                </c:pt>
                <c:pt idx="56">
                  <c:v>0.53632423437923926</c:v>
                </c:pt>
                <c:pt idx="57">
                  <c:v>0.54623666255364267</c:v>
                </c:pt>
                <c:pt idx="58">
                  <c:v>0.55633922380021561</c:v>
                </c:pt>
                <c:pt idx="59">
                  <c:v>0.56663277953044044</c:v>
                </c:pt>
                <c:pt idx="60">
                  <c:v>0.57711820958779669</c:v>
                </c:pt>
                <c:pt idx="61">
                  <c:v>0.58779641244227177</c:v>
                </c:pt>
                <c:pt idx="62">
                  <c:v>0.59866830538964078</c:v>
                </c:pt>
                <c:pt idx="63">
                  <c:v>0.60973482475561869</c:v>
                </c:pt>
                <c:pt idx="64">
                  <c:v>0.6209969261049576</c:v>
                </c:pt>
                <c:pt idx="65">
                  <c:v>0.63245558445558303</c:v>
                </c:pt>
                <c:pt idx="66">
                  <c:v>0.64411179449786404</c:v>
                </c:pt>
                <c:pt idx="67">
                  <c:v>0.65596657081910603</c:v>
                </c:pt>
                <c:pt idx="68">
                  <c:v>0.66802094813337676</c:v>
                </c:pt>
                <c:pt idx="69">
                  <c:v>0.68027598151674229</c:v>
                </c:pt>
                <c:pt idx="70">
                  <c:v>0.6927327466480433</c:v>
                </c:pt>
                <c:pt idx="71">
                  <c:v>0.70539234005530105</c:v>
                </c:pt>
                <c:pt idx="72">
                  <c:v>0.71825587936786417</c:v>
                </c:pt>
                <c:pt idx="73">
                  <c:v>0.73132450357441148</c:v>
                </c:pt>
                <c:pt idx="74">
                  <c:v>0.74459937328692516</c:v>
                </c:pt>
                <c:pt idx="75">
                  <c:v>0.75808167101075397</c:v>
                </c:pt>
                <c:pt idx="76">
                  <c:v>0.77177260142088411</c:v>
                </c:pt>
                <c:pt idx="77">
                  <c:v>0.7856733916445483</c:v>
                </c:pt>
                <c:pt idx="78">
                  <c:v>0.79978529155029532</c:v>
                </c:pt>
                <c:pt idx="79">
                  <c:v>0.8141095740436628</c:v>
                </c:pt>
                <c:pt idx="80">
                  <c:v>0.82864753536957614</c:v>
                </c:pt>
                <c:pt idx="81">
                  <c:v>0.84340049542162476</c:v>
                </c:pt>
                <c:pt idx="82">
                  <c:v>0.85836979805835045</c:v>
                </c:pt>
                <c:pt idx="83">
                  <c:v>0.87355681142670383</c:v>
                </c:pt>
                <c:pt idx="84">
                  <c:v>0.88896292829281243</c:v>
                </c:pt>
                <c:pt idx="85">
                  <c:v>0.90458956638023058</c:v>
                </c:pt>
                <c:pt idx="86">
                  <c:v>0.92043816871580642</c:v>
                </c:pt>
                <c:pt idx="87">
                  <c:v>0.93651020398335882</c:v>
                </c:pt>
                <c:pt idx="88">
                  <c:v>0.95280716688532241</c:v>
                </c:pt>
                <c:pt idx="89">
                  <c:v>0.96933057851252258</c:v>
                </c:pt>
                <c:pt idx="90">
                  <c:v>0.98608198672228875</c:v>
                </c:pt>
                <c:pt idx="91">
                  <c:v>1.0030629665250581</c:v>
                </c:pt>
                <c:pt idx="92">
                  <c:v>1.0202751204796838</c:v>
                </c:pt>
                <c:pt idx="93">
                  <c:v>1.037720079097634</c:v>
                </c:pt>
                <c:pt idx="94">
                  <c:v>1.0553995012562762</c:v>
                </c:pt>
                <c:pt idx="95">
                  <c:v>1.0733150746214648</c:v>
                </c:pt>
                <c:pt idx="96">
                  <c:v>1.0914685160796367</c:v>
                </c:pt>
                <c:pt idx="97">
                  <c:v>1.1098615721796328</c:v>
                </c:pt>
                <c:pt idx="98">
                  <c:v>1.1284960195844715</c:v>
                </c:pt>
                <c:pt idx="99">
                  <c:v>1.1473736655333138</c:v>
                </c:pt>
                <c:pt idx="100">
                  <c:v>1.1664963483138355</c:v>
                </c:pt>
              </c:numCache>
            </c:numRef>
          </c:yVal>
          <c:smooth val="0"/>
          <c:extLst>
            <c:ext xmlns:c16="http://schemas.microsoft.com/office/drawing/2014/chart" uri="{C3380CC4-5D6E-409C-BE32-E72D297353CC}">
              <c16:uniqueId val="{00000002-D4F2-47EC-8EFC-A65639BE5AF5}"/>
            </c:ext>
          </c:extLst>
        </c:ser>
        <c:dLbls>
          <c:showLegendKey val="0"/>
          <c:showVal val="0"/>
          <c:showCatName val="0"/>
          <c:showSerName val="0"/>
          <c:showPercent val="0"/>
          <c:showBubbleSize val="0"/>
        </c:dLbls>
        <c:axId val="199480832"/>
        <c:axId val="199482752"/>
      </c:scatterChart>
      <c:valAx>
        <c:axId val="199480832"/>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9482752"/>
        <c:crosses val="autoZero"/>
        <c:crossBetween val="midCat"/>
      </c:valAx>
      <c:valAx>
        <c:axId val="199482752"/>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9480832"/>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'Efficiency vs Load Calculations'!$BK$9:$BK$109</c:f>
              <c:numCache>
                <c:formatCode>0.0%</c:formatCode>
                <c:ptCount val="101"/>
                <c:pt idx="0">
                  <c:v>0</c:v>
                </c:pt>
                <c:pt idx="1">
                  <c:v>0.42981308682967684</c:v>
                </c:pt>
                <c:pt idx="2">
                  <c:v>0.59815941289813579</c:v>
                </c:pt>
                <c:pt idx="3">
                  <c:v>0.68791394396117367</c:v>
                </c:pt>
                <c:pt idx="4">
                  <c:v>0.74365269277402801</c:v>
                </c:pt>
                <c:pt idx="5">
                  <c:v>0.78160112828883177</c:v>
                </c:pt>
                <c:pt idx="6">
                  <c:v>0.80908095170861682</c:v>
                </c:pt>
                <c:pt idx="7">
                  <c:v>0.82988075774419856</c:v>
                </c:pt>
                <c:pt idx="8">
                  <c:v>0.84615774919496567</c:v>
                </c:pt>
                <c:pt idx="9">
                  <c:v>0.85923050092245556</c:v>
                </c:pt>
                <c:pt idx="10">
                  <c:v>0.8699503869569738</c:v>
                </c:pt>
                <c:pt idx="11">
                  <c:v>0.87874772487805275</c:v>
                </c:pt>
                <c:pt idx="12">
                  <c:v>0.88610541703267753</c:v>
                </c:pt>
                <c:pt idx="13">
                  <c:v>0.89240105768403188</c:v>
                </c:pt>
                <c:pt idx="14">
                  <c:v>0.89784343428524793</c:v>
                </c:pt>
                <c:pt idx="15">
                  <c:v>0.90258994183940844</c:v>
                </c:pt>
                <c:pt idx="16">
                  <c:v>0.90676147789014128</c:v>
                </c:pt>
                <c:pt idx="17">
                  <c:v>0.91045244094338329</c:v>
                </c:pt>
                <c:pt idx="18">
                  <c:v>0.91373761274747978</c:v>
                </c:pt>
                <c:pt idx="19">
                  <c:v>0.91667700153396592</c:v>
                </c:pt>
                <c:pt idx="20">
                  <c:v>0.91931931785357857</c:v>
                </c:pt>
                <c:pt idx="21">
                  <c:v>0.92170451317228619</c:v>
                </c:pt>
                <c:pt idx="22">
                  <c:v>0.92386566338829157</c:v>
                </c:pt>
                <c:pt idx="23">
                  <c:v>0.92583038635288306</c:v>
                </c:pt>
                <c:pt idx="24">
                  <c:v>0.92762192257423948</c:v>
                </c:pt>
                <c:pt idx="25">
                  <c:v>0.929259968916746</c:v>
                </c:pt>
                <c:pt idx="26">
                  <c:v>0.93076132874288631</c:v>
                </c:pt>
                <c:pt idx="27">
                  <c:v>0.93214042397845043</c:v>
                </c:pt>
                <c:pt idx="28">
                  <c:v>0.93340970214328178</c:v>
                </c:pt>
                <c:pt idx="29">
                  <c:v>0.93457996265178855</c:v>
                </c:pt>
                <c:pt idx="30">
                  <c:v>0.93566062046587783</c:v>
                </c:pt>
                <c:pt idx="31">
                  <c:v>0.93665992069755777</c:v>
                </c:pt>
                <c:pt idx="32">
                  <c:v>0.9375851144870917</c:v>
                </c:pt>
                <c:pt idx="33">
                  <c:v>0.93844260407081082</c:v>
                </c:pt>
                <c:pt idx="34">
                  <c:v>0.93923806315665648</c:v>
                </c:pt>
                <c:pt idx="35">
                  <c:v>0.93997653737539089</c:v>
                </c:pt>
                <c:pt idx="36">
                  <c:v>0.94066252855146626</c:v>
                </c:pt>
                <c:pt idx="37">
                  <c:v>0.9413000657545163</c:v>
                </c:pt>
                <c:pt idx="38">
                  <c:v>0.9418927654889514</c:v>
                </c:pt>
                <c:pt idx="39">
                  <c:v>0.94244388291058423</c:v>
                </c:pt>
                <c:pt idx="40">
                  <c:v>0.94295635559289137</c:v>
                </c:pt>
                <c:pt idx="41">
                  <c:v>0.94343284107722114</c:v>
                </c:pt>
                <c:pt idx="42">
                  <c:v>0.94387574921295103</c:v>
                </c:pt>
                <c:pt idx="43">
                  <c:v>0.94428727011173197</c:v>
                </c:pt>
                <c:pt idx="44">
                  <c:v>0.94466939839425312</c:v>
                </c:pt>
                <c:pt idx="45">
                  <c:v>0.94502395429061337</c:v>
                </c:pt>
                <c:pt idx="46">
                  <c:v>0.94535260206039173</c:v>
                </c:pt>
                <c:pt idx="47">
                  <c:v>0.9456568661212279</c:v>
                </c:pt>
                <c:pt idx="48">
                  <c:v>0.94593814521156927</c:v>
                </c:pt>
                <c:pt idx="49">
                  <c:v>0.94619772486139619</c:v>
                </c:pt>
                <c:pt idx="50">
                  <c:v>0.94643678840199541</c:v>
                </c:pt>
                <c:pt idx="51">
                  <c:v>0.94665642671047068</c:v>
                </c:pt>
                <c:pt idx="52">
                  <c:v>0.94685764685528406</c:v>
                </c:pt>
                <c:pt idx="53">
                  <c:v>0.94704137978459579</c:v>
                </c:pt>
                <c:pt idx="54">
                  <c:v>0.94720848717864081</c:v>
                </c:pt>
                <c:pt idx="55">
                  <c:v>0.94735976757014262</c:v>
                </c:pt>
                <c:pt idx="56">
                  <c:v>0.94749596182222318</c:v>
                </c:pt>
                <c:pt idx="57">
                  <c:v>0.94761775804098891</c:v>
                </c:pt>
                <c:pt idx="58">
                  <c:v>0.94772579598954376</c:v>
                </c:pt>
                <c:pt idx="59">
                  <c:v>0.94782067106132273</c:v>
                </c:pt>
                <c:pt idx="60">
                  <c:v>0.94790293786306867</c:v>
                </c:pt>
                <c:pt idx="61">
                  <c:v>0.94797311345131552</c:v>
                </c:pt>
                <c:pt idx="62">
                  <c:v>0.94803168026068518</c:v>
                </c:pt>
                <c:pt idx="63">
                  <c:v>0.94807908875753655</c:v>
                </c:pt>
                <c:pt idx="64">
                  <c:v>0.94811575984839402</c:v>
                </c:pt>
                <c:pt idx="65">
                  <c:v>0.94814208706902281</c:v>
                </c:pt>
                <c:pt idx="66">
                  <c:v>0.94815843857694648</c:v>
                </c:pt>
                <c:pt idx="67">
                  <c:v>0.94816515896752085</c:v>
                </c:pt>
                <c:pt idx="68">
                  <c:v>0.94816257093136092</c:v>
                </c:pt>
                <c:pt idx="69">
                  <c:v>0.94815097676888282</c:v>
                </c:pt>
                <c:pt idx="70">
                  <c:v>0.94813065977595656</c:v>
                </c:pt>
                <c:pt idx="71">
                  <c:v>0.94810188551310792</c:v>
                </c:pt>
                <c:pt idx="72">
                  <c:v>0.94806490296935508</c:v>
                </c:pt>
                <c:pt idx="73">
                  <c:v>0.94801994563056269</c:v>
                </c:pt>
                <c:pt idx="74">
                  <c:v>0.94796723246114534</c:v>
                </c:pt>
                <c:pt idx="75">
                  <c:v>0.94790696880702807</c:v>
                </c:pt>
                <c:pt idx="76">
                  <c:v>0.94783934722694319</c:v>
                </c:pt>
                <c:pt idx="77">
                  <c:v>0.94776454825842216</c:v>
                </c:pt>
                <c:pt idx="78">
                  <c:v>0.94768274112419681</c:v>
                </c:pt>
                <c:pt idx="79">
                  <c:v>0.94759408438414905</c:v>
                </c:pt>
                <c:pt idx="80">
                  <c:v>0.94749872653744316</c:v>
                </c:pt>
                <c:pt idx="81">
                  <c:v>0.94739680657901959</c:v>
                </c:pt>
                <c:pt idx="82">
                  <c:v>0.9472884545142265</c:v>
                </c:pt>
                <c:pt idx="83">
                  <c:v>0.94717379183500294</c:v>
                </c:pt>
                <c:pt idx="84">
                  <c:v>0.94705293196070461</c:v>
                </c:pt>
                <c:pt idx="85">
                  <c:v>0.94692598064637534</c:v>
                </c:pt>
                <c:pt idx="86">
                  <c:v>0.94679303636100387</c:v>
                </c:pt>
                <c:pt idx="87">
                  <c:v>0.94665419063807621</c:v>
                </c:pt>
                <c:pt idx="88">
                  <c:v>0.94650952840052183</c:v>
                </c:pt>
                <c:pt idx="89">
                  <c:v>0.94635912826196211</c:v>
                </c:pt>
                <c:pt idx="90">
                  <c:v>0.94620306280599809</c:v>
                </c:pt>
                <c:pt idx="91">
                  <c:v>0.94604139884512628</c:v>
                </c:pt>
                <c:pt idx="92">
                  <c:v>0.94587419766072045</c:v>
                </c:pt>
                <c:pt idx="93">
                  <c:v>0.94570151522540391</c:v>
                </c:pt>
                <c:pt idx="94">
                  <c:v>0.94552340240901001</c:v>
                </c:pt>
                <c:pt idx="95">
                  <c:v>0.94533990516923516</c:v>
                </c:pt>
                <c:pt idx="96">
                  <c:v>0.94515106472798482</c:v>
                </c:pt>
                <c:pt idx="97">
                  <c:v>0.94495691773433377</c:v>
                </c:pt>
                <c:pt idx="98">
                  <c:v>0.94475749641493834</c:v>
                </c:pt>
                <c:pt idx="99">
                  <c:v>0.94455282871266921</c:v>
                </c:pt>
                <c:pt idx="100">
                  <c:v>0.94434293841416705</c:v>
                </c:pt>
              </c:numCache>
            </c:numRef>
          </c:yVal>
          <c:smooth val="0"/>
          <c:extLst>
            <c:ext xmlns:c16="http://schemas.microsoft.com/office/drawing/2014/chart" uri="{C3380CC4-5D6E-409C-BE32-E72D297353CC}">
              <c16:uniqueId val="{00000000-48BA-4235-B5A7-01C0A78965E7}"/>
            </c:ext>
          </c:extLst>
        </c:ser>
        <c:dLbls>
          <c:showLegendKey val="0"/>
          <c:showVal val="0"/>
          <c:showCatName val="0"/>
          <c:showSerName val="0"/>
          <c:showPercent val="0"/>
          <c:showBubbleSize val="0"/>
        </c:dLbls>
        <c:axId val="199520256"/>
        <c:axId val="199522176"/>
      </c:scatterChart>
      <c:valAx>
        <c:axId val="199520256"/>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9522176"/>
        <c:crosses val="autoZero"/>
        <c:crossBetween val="midCat"/>
      </c:valAx>
      <c:valAx>
        <c:axId val="199522176"/>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952025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5636970175475957"/>
          <c:y val="3.6290322580645726E-2"/>
          <c:w val="0.11788632112042907"/>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22" fmlaRange="$1:$1048576" noThreeD="1" sel="0" val="0"/>
</file>

<file path=xl/ctrlProps/ctrlProp4.xml><?xml version="1.0" encoding="utf-8"?>
<formControlPr xmlns="http://schemas.microsoft.com/office/spreadsheetml/2009/9/main" objectType="Spin" dx="16" fmlaLink="$E$76" max="100" min="1" page="10" val="13"/>
</file>

<file path=xl/ctrlProps/ctrlProp5.xml><?xml version="1.0" encoding="utf-8"?>
<formControlPr xmlns="http://schemas.microsoft.com/office/spreadsheetml/2009/9/main" objectType="Spin" dx="16" fmlaLink="$E$8" max="58" page="10" val="20"/>
</file>

<file path=xl/ctrlProps/ctrlProp6.xml><?xml version="1.0" encoding="utf-8"?>
<formControlPr xmlns="http://schemas.microsoft.com/office/spreadsheetml/2009/9/main" objectType="Drop" dropLines="2" dropStyle="combo" dx="16" fmlaLink="'Variable Management'!$L$10" fmlaRange="'Variable Management'!$K$8:$K$9" noThreeD="1" sel="1" val="0"/>
</file>

<file path=xl/ctrlProps/ctrlProp7.xml><?xml version="1.0" encoding="utf-8"?>
<formControlPr xmlns="http://schemas.microsoft.com/office/spreadsheetml/2009/9/main" objectType="Spin" dx="16" fmlaLink="$E$8" max="58" page="10" val="20"/>
</file>

<file path=xl/ctrlProps/ctrlProp8.xml><?xml version="1.0" encoding="utf-8"?>
<formControlPr xmlns="http://schemas.microsoft.com/office/spreadsheetml/2009/9/main" objectType="Spin" dx="16" fmlaLink="$E$8" max="58" page="10" val="20"/>
</file>

<file path=xl/ctrlProps/ctrlProp9.xml><?xml version="1.0" encoding="utf-8"?>
<formControlPr xmlns="http://schemas.microsoft.com/office/spreadsheetml/2009/9/main" objectType="Drop" dropLines="16" dropStyle="combo" dx="16" fmlaLink="'CFG Setting'!$C$56" fmlaRange="'CFG Setting'!$L$33:$L$48" noThreeD="1" sel="1" val="0"/>
</file>

<file path=xl/ctrlProps/ctrlProp10.xml><?xml version="1.0" encoding="utf-8"?>
<formControlPr xmlns="http://schemas.microsoft.com/office/spreadsheetml/2009/9/main" objectType="Drop" dropLines="0" dropStyle="combo" dx="16" fmlaLink="'CFG Setting'!$C$56" fmlaRange="'CFG Setting'!$M$33:$M$48" noThreeD="1" sel="1" val="6"/>
</file>

<file path=xl/ctrlProps/ctrlProp11.xml><?xml version="1.0" encoding="utf-8"?>
<formControlPr xmlns="http://schemas.microsoft.com/office/spreadsheetml/2009/9/main" objectType="Drop" dropLines="2" dropStyle="combo" dx="16" fmlaLink="'CFG Setting'!$C$85" fmlaRange="'CFG Setting'!$C$80:$C$81" noThreeD="1" sel="1" val="0"/>
</file>

<file path=xl/ctrlProps/ctrlProp12.xml><?xml version="1.0" encoding="utf-8"?>
<formControlPr xmlns="http://schemas.microsoft.com/office/spreadsheetml/2009/9/main" objectType="Drop" dropLines="2" dropStyle="combo" dx="16" fmlaLink="'CFG Setting'!$D$85" fmlaRange="'CFG Setting'!$D$80:$D$81" noThreeD="1" sel="1" val="0"/>
</file>

<file path=xl/ctrlProps/ctrlProp13.xml><?xml version="1.0" encoding="utf-8"?>
<formControlPr xmlns="http://schemas.microsoft.com/office/spreadsheetml/2009/9/main" objectType="Drop" dropLines="2" dropStyle="combo" dx="16" fmlaLink="'CFG Setting'!$E$85" fmlaRange="'CFG Setting'!$E$80:$E$81" noThreeD="1" sel="1" val="0"/>
</file>

<file path=xl/ctrlProps/ctrlProp14.xml><?xml version="1.0" encoding="utf-8"?>
<formControlPr xmlns="http://schemas.microsoft.com/office/spreadsheetml/2009/9/main" objectType="Drop" dropLines="2" dropStyle="combo" dx="16" fmlaLink="'CFG Setting'!$F$85" fmlaRange="'CFG Setting'!$F$80:$F$81" noThreeD="1" sel="2" val="0"/>
</file>

<file path=xl/ctrlProps/ctrlProp15.xml><?xml version="1.0" encoding="utf-8"?>
<formControlPr xmlns="http://schemas.microsoft.com/office/spreadsheetml/2009/9/main" objectType="Drop" dropLines="2" dropStyle="combo" dx="16" fmlaLink="'CFG Setting'!$C$115" fmlaRange="'CFG Setting'!$C$110:$C$111" noThreeD="1" sel="2" val="0"/>
</file>

<file path=xl/ctrlProps/ctrlProp16.xml><?xml version="1.0" encoding="utf-8"?>
<formControlPr xmlns="http://schemas.microsoft.com/office/spreadsheetml/2009/9/main" objectType="Drop" dropLines="2" dropStyle="combo" dx="16" fmlaLink="'CFG Setting'!$D$115" fmlaRange="'CFG Setting'!$D$110:$D$111" noThreeD="1" sel="2" val="0"/>
</file>

<file path=xl/ctrlProps/ctrlProp17.xml><?xml version="1.0" encoding="utf-8"?>
<formControlPr xmlns="http://schemas.microsoft.com/office/spreadsheetml/2009/9/main" objectType="Drop" dropLines="2" dropStyle="combo" dx="16" fmlaLink="'CFG Setting'!$E$115" fmlaRange="'CFG Setting'!$E$110:$E$111" noThreeD="1" sel="1" val="0"/>
</file>

<file path=xl/ctrlProps/ctrlProp18.xml><?xml version="1.0" encoding="utf-8"?>
<formControlPr xmlns="http://schemas.microsoft.com/office/spreadsheetml/2009/9/main" objectType="Drop" dropLines="2" dropStyle="combo" dx="16" fmlaLink="'CFG Setting'!$F$115" fmlaRange="'CFG Setting'!$F$110:$F$111" noThreeD="1" sel="1" val="0"/>
</file>

<file path=xl/ctrlProps/ctrlProp19.xml><?xml version="1.0" encoding="utf-8"?>
<formControlPr xmlns="http://schemas.microsoft.com/office/spreadsheetml/2009/9/main" objectType="Drop" dropLines="2" dropStyle="combo" dx="16" fmlaLink="'CFG Setting'!$C$145" fmlaRange="'CFG Setting'!$C$140:$C$141" noThreeD="1" sel="1" val="0"/>
</file>

<file path=xl/ctrlProps/ctrlProp20.xml><?xml version="1.0" encoding="utf-8"?>
<formControlPr xmlns="http://schemas.microsoft.com/office/spreadsheetml/2009/9/main" objectType="Drop" dropLines="2" dropStyle="combo" dx="16" fmlaLink="'CFG Setting'!$D$145" fmlaRange="'CFG Setting'!$D$140:$D$141" noThreeD="1" sel="1" val="0"/>
</file>

<file path=xl/ctrlProps/ctrlProp21.xml><?xml version="1.0" encoding="utf-8"?>
<formControlPr xmlns="http://schemas.microsoft.com/office/spreadsheetml/2009/9/main" objectType="Drop" dropLines="2" dropStyle="combo" dx="16" fmlaLink="'CFG Setting'!$E$145" fmlaRange="'CFG Setting'!$E$140:$E$141" noThreeD="1" sel="1" val="0"/>
</file>

<file path=xl/ctrlProps/ctrlProp22.xml><?xml version="1.0" encoding="utf-8"?>
<formControlPr xmlns="http://schemas.microsoft.com/office/spreadsheetml/2009/9/main" objectType="Drop" dropLines="3" dropStyle="combo" dx="16" fmlaLink="'CFG Setting'!$F$145" fmlaRange="'CFG Setting'!$F$140:$F$142" noThreeD="1" sel="3" val="0"/>
</file>

<file path=xl/ctrlProps/ctrlProp23.xml><?xml version="1.0" encoding="utf-8"?>
<formControlPr xmlns="http://schemas.microsoft.com/office/spreadsheetml/2009/9/main" objectType="Drop" dropLines="2" dropStyle="combo" dx="16" fmlaLink="'CFG Setting'!$B$159" fmlaRange="'CFG Setting'!$A$159:$A$160" noThreeD="1" sel="1" val="0"/>
</file>

<file path=xl/ctrlProps/ctrlProp24.xml><?xml version="1.0" encoding="utf-8"?>
<formControlPr xmlns="http://schemas.microsoft.com/office/spreadsheetml/2009/9/main" objectType="CheckBox" fmlaLink="'Variable Management'!$L$11" lockText="1" noThreeD="1"/>
</file>

<file path=xl/ctrlProps/ctrlProp25.xml><?xml version="1.0" encoding="utf-8"?>
<formControlPr xmlns="http://schemas.microsoft.com/office/spreadsheetml/2009/9/main" objectType="Drop" dropLines="23" dropStyle="combo" dx="16" fmlaLink="'CFG Setting'!$B$162" fmlaRange="'CFG Setting'!$A$162:$A$164" noThreeD="1" sel="1" val="0"/>
</file>

<file path=xl/ctrlProps/ctrlProp26.xml><?xml version="1.0" encoding="utf-8"?>
<formControlPr xmlns="http://schemas.microsoft.com/office/spreadsheetml/2009/9/main" objectType="Drop" dropLines="2" dropStyle="combo" dx="22" fmlaLink="'Variable Management'!$D$29" fmlaRange="'Variable Management'!$L$30:$L$31" noThreeD="1" sel="1" val="0"/>
</file>

<file path=xl/ctrlProps/ctrlProp27.xml><?xml version="1.0" encoding="utf-8"?>
<formControlPr xmlns="http://schemas.microsoft.com/office/spreadsheetml/2009/9/main" objectType="CheckBox" fmlaLink="'Variable Management'!$L$11"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jpg"/><Relationship Id="rId1" Type="http://schemas.openxmlformats.org/officeDocument/2006/relationships/image" Target="../media/image1.emf"/><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9.gif"/><Relationship Id="rId1" Type="http://schemas.openxmlformats.org/officeDocument/2006/relationships/hyperlink" Target="http://www.ti.com"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drawing4.xml.rels><?xml version="1.0" encoding="UTF-8" standalone="yes"?>
<Relationships xmlns="http://schemas.openxmlformats.org/package/2006/relationships"><Relationship Id="rId8" Type="http://schemas.openxmlformats.org/officeDocument/2006/relationships/image" Target="../media/image19.jpg"/><Relationship Id="rId3" Type="http://schemas.openxmlformats.org/officeDocument/2006/relationships/image" Target="../media/image14.jpg"/><Relationship Id="rId7" Type="http://schemas.openxmlformats.org/officeDocument/2006/relationships/image" Target="../media/image18.jpg"/><Relationship Id="rId12" Type="http://schemas.openxmlformats.org/officeDocument/2006/relationships/image" Target="../media/image23.jpg"/><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7.jpg"/><Relationship Id="rId11" Type="http://schemas.openxmlformats.org/officeDocument/2006/relationships/image" Target="../media/image22.jpg"/><Relationship Id="rId5" Type="http://schemas.openxmlformats.org/officeDocument/2006/relationships/image" Target="../media/image16.jpg"/><Relationship Id="rId10" Type="http://schemas.openxmlformats.org/officeDocument/2006/relationships/image" Target="../media/image21.jpg"/><Relationship Id="rId4" Type="http://schemas.openxmlformats.org/officeDocument/2006/relationships/image" Target="../media/image15.jpg"/><Relationship Id="rId9" Type="http://schemas.openxmlformats.org/officeDocument/2006/relationships/image" Target="../media/image20.jp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chart" Target="../charts/chart14.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 Id="rId14"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8" Type="http://schemas.openxmlformats.org/officeDocument/2006/relationships/image" Target="../media/image31.png"/><Relationship Id="rId3" Type="http://schemas.openxmlformats.org/officeDocument/2006/relationships/image" Target="../media/image26.png"/><Relationship Id="rId7" Type="http://schemas.openxmlformats.org/officeDocument/2006/relationships/image" Target="../media/image30.png"/><Relationship Id="rId2" Type="http://schemas.openxmlformats.org/officeDocument/2006/relationships/image" Target="../media/image25.png"/><Relationship Id="rId1" Type="http://schemas.openxmlformats.org/officeDocument/2006/relationships/image" Target="../media/image24.png"/><Relationship Id="rId6" Type="http://schemas.openxmlformats.org/officeDocument/2006/relationships/image" Target="../media/image29.png"/><Relationship Id="rId5" Type="http://schemas.openxmlformats.org/officeDocument/2006/relationships/image" Target="../media/image28.png"/><Relationship Id="rId4" Type="http://schemas.openxmlformats.org/officeDocument/2006/relationships/image" Target="../media/image27.png"/></Relationships>
</file>

<file path=xl/drawings/_rels/drawing8.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4" Type="http://schemas.openxmlformats.org/officeDocument/2006/relationships/chart" Target="../charts/chart19.xml"/></Relationships>
</file>

<file path=xl/drawings/_rels/drawing9.xml.rels><?xml version="1.0" encoding="UTF-8" standalone="yes"?>
<Relationships xmlns="http://schemas.openxmlformats.org/package/2006/relationships"><Relationship Id="rId8" Type="http://schemas.openxmlformats.org/officeDocument/2006/relationships/image" Target="../media/image39.png"/><Relationship Id="rId3" Type="http://schemas.openxmlformats.org/officeDocument/2006/relationships/image" Target="../media/image34.png"/><Relationship Id="rId7" Type="http://schemas.openxmlformats.org/officeDocument/2006/relationships/image" Target="../media/image38.png"/><Relationship Id="rId2" Type="http://schemas.openxmlformats.org/officeDocument/2006/relationships/image" Target="../media/image33.png"/><Relationship Id="rId1" Type="http://schemas.openxmlformats.org/officeDocument/2006/relationships/image" Target="../media/image32.png"/><Relationship Id="rId6" Type="http://schemas.openxmlformats.org/officeDocument/2006/relationships/image" Target="../media/image37.png"/><Relationship Id="rId11" Type="http://schemas.openxmlformats.org/officeDocument/2006/relationships/chart" Target="../charts/chart20.xml"/><Relationship Id="rId5" Type="http://schemas.openxmlformats.org/officeDocument/2006/relationships/image" Target="../media/image36.png"/><Relationship Id="rId10" Type="http://schemas.openxmlformats.org/officeDocument/2006/relationships/image" Target="../media/image41.png"/><Relationship Id="rId4" Type="http://schemas.openxmlformats.org/officeDocument/2006/relationships/image" Target="../media/image35.png"/><Relationship Id="rId9" Type="http://schemas.openxmlformats.org/officeDocument/2006/relationships/image" Target="../media/image40.png"/></Relationships>
</file>

<file path=xl/drawings/_rels/drawing11.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xml"/><Relationship Id="rId2" Type="http://schemas.openxmlformats.org/officeDocument/2006/relationships/chart" Target="../charts/chart25.xml"/><Relationship Id="rId1" Type="http://schemas.openxmlformats.org/officeDocument/2006/relationships/chart" Target="../charts/chart24.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4.vml.rels><?xml version="1.0" encoding="UTF-8" standalone="yes"?>
<Relationships xmlns="http://schemas.openxmlformats.org/package/2006/relationships"><Relationship Id="rId8" Type="http://schemas.openxmlformats.org/officeDocument/2006/relationships/image" Target="../media/image49.emf"/><Relationship Id="rId3" Type="http://schemas.openxmlformats.org/officeDocument/2006/relationships/image" Target="../media/image44.emf"/><Relationship Id="rId7" Type="http://schemas.openxmlformats.org/officeDocument/2006/relationships/image" Target="../media/image48.emf"/><Relationship Id="rId2" Type="http://schemas.openxmlformats.org/officeDocument/2006/relationships/image" Target="../media/image43.emf"/><Relationship Id="rId1" Type="http://schemas.openxmlformats.org/officeDocument/2006/relationships/image" Target="../media/image42.emf"/><Relationship Id="rId6" Type="http://schemas.openxmlformats.org/officeDocument/2006/relationships/image" Target="../media/image47.emf"/><Relationship Id="rId5" Type="http://schemas.openxmlformats.org/officeDocument/2006/relationships/image" Target="../media/image46.emf"/><Relationship Id="rId4"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742950</xdr:colOff>
          <xdr:row>89</xdr:row>
          <xdr:rowOff>95250</xdr:rowOff>
        </xdr:from>
        <xdr:to>
          <xdr:col>3</xdr:col>
          <xdr:colOff>447675</xdr:colOff>
          <xdr:row>91</xdr:row>
          <xdr:rowOff>171450</xdr:rowOff>
        </xdr:to>
        <xdr:sp macro="" textlink="">
          <xdr:nvSpPr>
            <xdr:cNvPr id="673288" name="Button 520" hidden="1">
              <a:extLst>
                <a:ext uri="{63B3BB69-23CF-44E3-9099-C40C66FF867C}">
                  <a14:compatExt spid="_x0000_s673288"/>
                </a:ext>
                <a:ext uri="{FF2B5EF4-FFF2-40B4-BE49-F238E27FC236}">
                  <a16:creationId xmlns:a16="http://schemas.microsoft.com/office/drawing/2014/main" id="{00000000-0008-0000-0000-00000846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FIX</a:t>
              </a:r>
            </a:p>
            <a:p>
              <a:pPr algn="ctr" rtl="0">
                <a:defRPr sz="1000"/>
              </a:pPr>
              <a:r>
                <a:rPr 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742950</xdr:colOff>
          <xdr:row>89</xdr:row>
          <xdr:rowOff>95250</xdr:rowOff>
        </xdr:from>
        <xdr:to>
          <xdr:col>3</xdr:col>
          <xdr:colOff>447675</xdr:colOff>
          <xdr:row>91</xdr:row>
          <xdr:rowOff>171450</xdr:rowOff>
        </xdr:to>
        <xdr:sp macro="" textlink="">
          <xdr:nvSpPr>
            <xdr:cNvPr id="673260" name="Button 492" hidden="1">
              <a:extLst>
                <a:ext uri="{63B3BB69-23CF-44E3-9099-C40C66FF867C}">
                  <a14:compatExt spid="_x0000_s673260"/>
                </a:ext>
                <a:ext uri="{FF2B5EF4-FFF2-40B4-BE49-F238E27FC236}">
                  <a16:creationId xmlns:a16="http://schemas.microsoft.com/office/drawing/2014/main" id="{00000000-0008-0000-0000-0000EC45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59</xdr:row>
          <xdr:rowOff>95250</xdr:rowOff>
        </xdr:from>
        <xdr:to>
          <xdr:col>16</xdr:col>
          <xdr:colOff>1291318</xdr:colOff>
          <xdr:row>87</xdr:row>
          <xdr:rowOff>34882</xdr:rowOff>
        </xdr:to>
        <xdr:pic>
          <xdr:nvPicPr>
            <xdr:cNvPr id="42" name="Picture 41">
              <a:extLst>
                <a:ext uri="{FF2B5EF4-FFF2-40B4-BE49-F238E27FC236}">
                  <a16:creationId xmlns:a16="http://schemas.microsoft.com/office/drawing/2014/main" id="{00000000-0008-0000-0000-00002A000000}"/>
                </a:ext>
              </a:extLst>
            </xdr:cNvPr>
            <xdr:cNvPicPr>
              <a:picLocks noChangeAspect="1" noChangeArrowheads="1"/>
              <a:extLst>
                <a:ext uri="{84589F7E-364E-4C9E-8A38-B11213B215E9}">
                  <a14:cameraTool cellRange="Picture_Bode" spid="_x0000_s772609"/>
                </a:ext>
              </a:extLst>
            </xdr:cNvPicPr>
          </xdr:nvPicPr>
          <xdr:blipFill>
            <a:blip xmlns:r="http://schemas.openxmlformats.org/officeDocument/2006/relationships" r:embed="rId1"/>
            <a:srcRect/>
            <a:stretch>
              <a:fillRect/>
            </a:stretch>
          </xdr:blipFill>
          <xdr:spPr bwMode="auto">
            <a:xfrm>
              <a:off x="3743325" y="11201400"/>
              <a:ext cx="8863693" cy="5206957"/>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11</xdr:row>
          <xdr:rowOff>190500</xdr:rowOff>
        </xdr:from>
        <xdr:to>
          <xdr:col>8</xdr:col>
          <xdr:colOff>533400</xdr:colOff>
          <xdr:row>14</xdr:row>
          <xdr:rowOff>9525</xdr:rowOff>
        </xdr:to>
        <xdr:sp macro="" textlink="">
          <xdr:nvSpPr>
            <xdr:cNvPr id="673664" name="Drop Down 896" descr="used to fix comment show issue on excel" hidden="1">
              <a:extLst>
                <a:ext uri="{63B3BB69-23CF-44E3-9099-C40C66FF867C}">
                  <a14:compatExt spid="_x0000_s673664"/>
                </a:ext>
                <a:ext uri="{FF2B5EF4-FFF2-40B4-BE49-F238E27FC236}">
                  <a16:creationId xmlns:a16="http://schemas.microsoft.com/office/drawing/2014/main" id="{00000000-0008-0000-0000-00008047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75</xdr:row>
          <xdr:rowOff>0</xdr:rowOff>
        </xdr:from>
        <xdr:to>
          <xdr:col>5</xdr:col>
          <xdr:colOff>180975</xdr:colOff>
          <xdr:row>76</xdr:row>
          <xdr:rowOff>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152400</xdr:colOff>
          <xdr:row>7</xdr:row>
          <xdr:rowOff>9525</xdr:rowOff>
        </xdr:from>
        <xdr:to>
          <xdr:col>5</xdr:col>
          <xdr:colOff>304800</xdr:colOff>
          <xdr:row>8</xdr:row>
          <xdr:rowOff>28575</xdr:rowOff>
        </xdr:to>
        <xdr:sp macro="" textlink="">
          <xdr:nvSpPr>
            <xdr:cNvPr id="672895" name="Spinner 127" hidden="1">
              <a:extLst>
                <a:ext uri="{63B3BB69-23CF-44E3-9099-C40C66FF867C}">
                  <a14:compatExt spid="_x0000_s672895"/>
                </a:ext>
                <a:ext uri="{FF2B5EF4-FFF2-40B4-BE49-F238E27FC236}">
                  <a16:creationId xmlns:a16="http://schemas.microsoft.com/office/drawing/2014/main" id="{00000000-0008-0000-0000-00007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58613</xdr:colOff>
      <xdr:row>0</xdr:row>
      <xdr:rowOff>29308</xdr:rowOff>
    </xdr:from>
    <xdr:to>
      <xdr:col>3</xdr:col>
      <xdr:colOff>339529</xdr:colOff>
      <xdr:row>0</xdr:row>
      <xdr:rowOff>567964</xdr:rowOff>
    </xdr:to>
    <xdr:pic macro="[0]!OpenLM27403ProductFolder">
      <xdr:nvPicPr>
        <xdr:cNvPr id="69" name="Picture 68">
          <a:extLst>
            <a:ext uri="{FF2B5EF4-FFF2-40B4-BE49-F238E27FC236}">
              <a16:creationId xmlns:a16="http://schemas.microsoft.com/office/drawing/2014/main" id="{00000000-0008-0000-0000-00004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896" b="8304"/>
        <a:stretch/>
      </xdr:blipFill>
      <xdr:spPr>
        <a:xfrm>
          <a:off x="58613" y="29308"/>
          <a:ext cx="2283071" cy="538656"/>
        </a:xfrm>
        <a:prstGeom prst="rect">
          <a:avLst/>
        </a:prstGeom>
      </xdr:spPr>
    </xdr:pic>
    <xdr:clientData/>
  </xdr:twoCellAnchor>
  <xdr:twoCellAnchor>
    <xdr:from>
      <xdr:col>12</xdr:col>
      <xdr:colOff>580465</xdr:colOff>
      <xdr:row>100</xdr:row>
      <xdr:rowOff>24932</xdr:rowOff>
    </xdr:from>
    <xdr:to>
      <xdr:col>13</xdr:col>
      <xdr:colOff>392808</xdr:colOff>
      <xdr:row>101</xdr:row>
      <xdr:rowOff>72557</xdr:rowOff>
    </xdr:to>
    <xdr:sp macro="" textlink="'Variable Management'!$B$509">
      <xdr:nvSpPr>
        <xdr:cNvPr id="74" name="Text Box 24">
          <a:extLst>
            <a:ext uri="{FF2B5EF4-FFF2-40B4-BE49-F238E27FC236}">
              <a16:creationId xmlns:a16="http://schemas.microsoft.com/office/drawing/2014/main" id="{00000000-0008-0000-0000-00004A000000}"/>
            </a:ext>
          </a:extLst>
        </xdr:cNvPr>
        <xdr:cNvSpPr txBox="1">
          <a:spLocks noChangeArrowheads="1" noTextEdit="1"/>
        </xdr:cNvSpPr>
      </xdr:nvSpPr>
      <xdr:spPr bwMode="auto">
        <a:xfrm>
          <a:off x="8562415" y="16922282"/>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94.6%</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8</xdr:col>
      <xdr:colOff>151840</xdr:colOff>
      <xdr:row>100</xdr:row>
      <xdr:rowOff>24932</xdr:rowOff>
    </xdr:from>
    <xdr:to>
      <xdr:col>8</xdr:col>
      <xdr:colOff>573783</xdr:colOff>
      <xdr:row>101</xdr:row>
      <xdr:rowOff>72557</xdr:rowOff>
    </xdr:to>
    <xdr:sp macro="" textlink="'Variable Management'!$B$507">
      <xdr:nvSpPr>
        <xdr:cNvPr id="89" name="Text Box 24">
          <a:extLst>
            <a:ext uri="{FF2B5EF4-FFF2-40B4-BE49-F238E27FC236}">
              <a16:creationId xmlns:a16="http://schemas.microsoft.com/office/drawing/2014/main" id="{00000000-0008-0000-0000-000059000000}"/>
            </a:ext>
          </a:extLst>
        </xdr:cNvPr>
        <xdr:cNvSpPr txBox="1">
          <a:spLocks noChangeArrowheads="1" noTextEdit="1"/>
        </xdr:cNvSpPr>
      </xdr:nvSpPr>
      <xdr:spPr bwMode="auto">
        <a:xfrm>
          <a:off x="5257240" y="16922282"/>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432ED2DE-3BD0-4309-A8FE-05B28CC10D2D}" type="TxLink">
            <a:rPr lang="en-US" sz="1000" b="0" i="0" u="none" strike="noStrike" baseline="0">
              <a:solidFill>
                <a:srgbClr val="000000"/>
              </a:solidFill>
              <a:latin typeface="Arial"/>
              <a:cs typeface="Arial"/>
            </a:rPr>
            <a:pPr algn="l" rtl="0">
              <a:defRPr sz="1000"/>
            </a:pPr>
            <a:t> </a:t>
          </a:fld>
          <a:endParaRPr lang="en-US" sz="900" b="1"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13</xdr:col>
          <xdr:colOff>533400</xdr:colOff>
          <xdr:row>59</xdr:row>
          <xdr:rowOff>247650</xdr:rowOff>
        </xdr:from>
        <xdr:to>
          <xdr:col>14</xdr:col>
          <xdr:colOff>76200</xdr:colOff>
          <xdr:row>61</xdr:row>
          <xdr:rowOff>0</xdr:rowOff>
        </xdr:to>
        <xdr:sp macro="" textlink="">
          <xdr:nvSpPr>
            <xdr:cNvPr id="673295" name="Spinner 527" hidden="1">
              <a:extLst>
                <a:ext uri="{63B3BB69-23CF-44E3-9099-C40C66FF867C}">
                  <a14:compatExt spid="_x0000_s673295"/>
                </a:ext>
                <a:ext uri="{FF2B5EF4-FFF2-40B4-BE49-F238E27FC236}">
                  <a16:creationId xmlns:a16="http://schemas.microsoft.com/office/drawing/2014/main" id="{00000000-0008-0000-0000-00000F46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9</xdr:col>
      <xdr:colOff>822960</xdr:colOff>
      <xdr:row>24</xdr:row>
      <xdr:rowOff>167640</xdr:rowOff>
    </xdr:from>
    <xdr:to>
      <xdr:col>11</xdr:col>
      <xdr:colOff>205740</xdr:colOff>
      <xdr:row>29</xdr:row>
      <xdr:rowOff>68580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bwMode="auto">
        <a:xfrm>
          <a:off x="6713220" y="4579620"/>
          <a:ext cx="861060" cy="525780"/>
        </a:xfrm>
        <a:prstGeom prst="rect">
          <a:avLst/>
        </a:prstGeom>
        <a:solidFill>
          <a:srgbClr val="CCFFFF"/>
        </a:solidFill>
        <a:ln w="9525">
          <a:noFill/>
          <a:miter lim="800000"/>
          <a:headEnd/>
          <a:tailEnd/>
        </a:ln>
      </xdr:spPr>
      <xdr:txBody>
        <a:bodyPr vertOverflow="clip" horzOverflow="clip" wrap="square" lIns="27432" tIns="27432" rIns="0" bIns="0" rtlCol="0" anchor="ctr" upright="1"/>
        <a:lstStyle/>
        <a:p>
          <a:pPr algn="ctr" rtl="0"/>
          <a:r>
            <a:rPr lang="en-US" sz="1100" b="1" i="0" strike="noStrike">
              <a:solidFill>
                <a:srgbClr val="000000"/>
              </a:solidFill>
              <a:latin typeface="Calibri"/>
            </a:rPr>
            <a:t>LM5176</a:t>
          </a:r>
        </a:p>
      </xdr:txBody>
    </xdr:sp>
    <xdr:clientData/>
  </xdr:twoCellAnchor>
  <mc:AlternateContent xmlns:mc="http://schemas.openxmlformats.org/markup-compatibility/2006">
    <mc:Choice xmlns:a14="http://schemas.microsoft.com/office/drawing/2010/main" Requires="a14">
      <xdr:twoCellAnchor editAs="oneCell">
        <xdr:from>
          <xdr:col>6</xdr:col>
          <xdr:colOff>309563</xdr:colOff>
          <xdr:row>8</xdr:row>
          <xdr:rowOff>100014</xdr:rowOff>
        </xdr:from>
        <xdr:to>
          <xdr:col>16</xdr:col>
          <xdr:colOff>1100421</xdr:colOff>
          <xdr:row>35</xdr:row>
          <xdr:rowOff>148590</xdr:rowOff>
        </xdr:to>
        <xdr:pic>
          <xdr:nvPicPr>
            <xdr:cNvPr id="22" name="Picture 21">
              <a:extLst>
                <a:ext uri="{FF2B5EF4-FFF2-40B4-BE49-F238E27FC236}">
                  <a16:creationId xmlns:a16="http://schemas.microsoft.com/office/drawing/2014/main" id="{00000000-0008-0000-0000-000016000000}"/>
                </a:ext>
              </a:extLst>
            </xdr:cNvPr>
            <xdr:cNvPicPr>
              <a:picLocks noChangeAspect="1" noChangeArrowheads="1"/>
              <a:extLst>
                <a:ext uri="{84589F7E-364E-4C9E-8A38-B11213B215E9}">
                  <a14:cameraTool cellRange="PICTURE2" spid="_x0000_s772610"/>
                </a:ext>
              </a:extLst>
            </xdr:cNvPicPr>
          </xdr:nvPicPr>
          <xdr:blipFill>
            <a:blip xmlns:r="http://schemas.openxmlformats.org/officeDocument/2006/relationships" r:embed="rId3"/>
            <a:srcRect/>
            <a:stretch>
              <a:fillRect/>
            </a:stretch>
          </xdr:blipFill>
          <xdr:spPr bwMode="auto">
            <a:xfrm>
              <a:off x="3833813" y="1833564"/>
              <a:ext cx="8557543" cy="4986336"/>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95</xdr:row>
          <xdr:rowOff>0</xdr:rowOff>
        </xdr:from>
        <xdr:to>
          <xdr:col>14</xdr:col>
          <xdr:colOff>190500</xdr:colOff>
          <xdr:row>96</xdr:row>
          <xdr:rowOff>0</xdr:rowOff>
        </xdr:to>
        <xdr:sp macro="" textlink="">
          <xdr:nvSpPr>
            <xdr:cNvPr id="701838" name="Spinner 2446" hidden="1">
              <a:extLst>
                <a:ext uri="{63B3BB69-23CF-44E3-9099-C40C66FF867C}">
                  <a14:compatExt spid="_x0000_s701838"/>
                </a:ext>
                <a:ext uri="{FF2B5EF4-FFF2-40B4-BE49-F238E27FC236}">
                  <a16:creationId xmlns:a16="http://schemas.microsoft.com/office/drawing/2014/main" id="{00000000-0008-0000-0000-00008EB5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377190</xdr:colOff>
          <xdr:row>95</xdr:row>
          <xdr:rowOff>117237</xdr:rowOff>
        </xdr:from>
        <xdr:to>
          <xdr:col>16</xdr:col>
          <xdr:colOff>1101859</xdr:colOff>
          <xdr:row>122</xdr:row>
          <xdr:rowOff>80394</xdr:rowOff>
        </xdr:to>
        <xdr:pic>
          <xdr:nvPicPr>
            <xdr:cNvPr id="72" name="Picture 8888">
              <a:extLst>
                <a:ext uri="{FF2B5EF4-FFF2-40B4-BE49-F238E27FC236}">
                  <a16:creationId xmlns:a16="http://schemas.microsoft.com/office/drawing/2014/main" id="{00000000-0008-0000-0000-000048000000}"/>
                </a:ext>
              </a:extLst>
            </xdr:cNvPr>
            <xdr:cNvPicPr>
              <a:picLocks noChangeAspect="1" noChangeArrowheads="1"/>
              <a:extLst>
                <a:ext uri="{84589F7E-364E-4C9E-8A38-B11213B215E9}">
                  <a14:cameraTool cellRange="PICTURE" spid="_x0000_s772611"/>
                </a:ext>
              </a:extLst>
            </xdr:cNvPicPr>
          </xdr:nvPicPr>
          <xdr:blipFill>
            <a:blip xmlns:r="http://schemas.openxmlformats.org/officeDocument/2006/relationships" r:embed="rId4"/>
            <a:srcRect/>
            <a:stretch>
              <a:fillRect/>
            </a:stretch>
          </xdr:blipFill>
          <xdr:spPr bwMode="auto">
            <a:xfrm>
              <a:off x="4320540" y="18272384"/>
              <a:ext cx="8074159" cy="4992357"/>
            </a:xfrm>
            <a:prstGeom prst="rect">
              <a:avLst/>
            </a:prstGeom>
            <a:noFill/>
            <a:ln w="15875">
              <a:noFill/>
              <a:miter lim="800000"/>
              <a:headEnd/>
              <a:tailEnd/>
            </a:ln>
            <a:extLst>
              <a:ext uri="{909E8E84-426E-40DD-AFC4-6F175D3DCCD1}">
                <a14:hiddenFill>
                  <a:solidFill>
                    <a:srgbClr val="FFFFFF" mc:Ignorable="a14" a14:legacySpreadsheetColorIndex="65"/>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95</xdr:row>
          <xdr:rowOff>133350</xdr:rowOff>
        </xdr:from>
        <xdr:to>
          <xdr:col>9</xdr:col>
          <xdr:colOff>371475</xdr:colOff>
          <xdr:row>96</xdr:row>
          <xdr:rowOff>85725</xdr:rowOff>
        </xdr:to>
        <xdr:sp macro="" textlink="">
          <xdr:nvSpPr>
            <xdr:cNvPr id="672924" name="Drop Down 156" hidden="1">
              <a:extLst>
                <a:ext uri="{63B3BB69-23CF-44E3-9099-C40C66FF867C}">
                  <a14:compatExt spid="_x0000_s672924"/>
                </a:ext>
                <a:ext uri="{FF2B5EF4-FFF2-40B4-BE49-F238E27FC236}">
                  <a16:creationId xmlns:a16="http://schemas.microsoft.com/office/drawing/2014/main" id="{00000000-0008-0000-0000-00009C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45</xdr:row>
          <xdr:rowOff>28575</xdr:rowOff>
        </xdr:from>
        <xdr:to>
          <xdr:col>8</xdr:col>
          <xdr:colOff>561975</xdr:colOff>
          <xdr:row>46</xdr:row>
          <xdr:rowOff>0</xdr:rowOff>
        </xdr:to>
        <xdr:sp macro="" textlink="">
          <xdr:nvSpPr>
            <xdr:cNvPr id="716937" name="Drop Down 3209" hidden="1">
              <a:extLst>
                <a:ext uri="{63B3BB69-23CF-44E3-9099-C40C66FF867C}">
                  <a14:compatExt spid="_x0000_s716937"/>
                </a:ext>
                <a:ext uri="{FF2B5EF4-FFF2-40B4-BE49-F238E27FC236}">
                  <a16:creationId xmlns:a16="http://schemas.microsoft.com/office/drawing/2014/main" id="{00000000-0008-0000-0000-000089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45</xdr:row>
          <xdr:rowOff>28575</xdr:rowOff>
        </xdr:from>
        <xdr:to>
          <xdr:col>10</xdr:col>
          <xdr:colOff>552450</xdr:colOff>
          <xdr:row>46</xdr:row>
          <xdr:rowOff>0</xdr:rowOff>
        </xdr:to>
        <xdr:sp macro="" textlink="">
          <xdr:nvSpPr>
            <xdr:cNvPr id="716938" name="Drop Down 3210" hidden="1">
              <a:extLst>
                <a:ext uri="{63B3BB69-23CF-44E3-9099-C40C66FF867C}">
                  <a14:compatExt spid="_x0000_s716938"/>
                </a:ext>
                <a:ext uri="{FF2B5EF4-FFF2-40B4-BE49-F238E27FC236}">
                  <a16:creationId xmlns:a16="http://schemas.microsoft.com/office/drawing/2014/main" id="{00000000-0008-0000-0000-00008A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46</xdr:row>
          <xdr:rowOff>38100</xdr:rowOff>
        </xdr:from>
        <xdr:to>
          <xdr:col>8</xdr:col>
          <xdr:colOff>561975</xdr:colOff>
          <xdr:row>47</xdr:row>
          <xdr:rowOff>9525</xdr:rowOff>
        </xdr:to>
        <xdr:sp macro="" textlink="">
          <xdr:nvSpPr>
            <xdr:cNvPr id="716941" name="Drop Down 3213" hidden="1">
              <a:extLst>
                <a:ext uri="{63B3BB69-23CF-44E3-9099-C40C66FF867C}">
                  <a14:compatExt spid="_x0000_s716941"/>
                </a:ext>
                <a:ext uri="{FF2B5EF4-FFF2-40B4-BE49-F238E27FC236}">
                  <a16:creationId xmlns:a16="http://schemas.microsoft.com/office/drawing/2014/main" id="{00000000-0008-0000-0000-00008D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46</xdr:row>
          <xdr:rowOff>38100</xdr:rowOff>
        </xdr:from>
        <xdr:to>
          <xdr:col>10</xdr:col>
          <xdr:colOff>571500</xdr:colOff>
          <xdr:row>47</xdr:row>
          <xdr:rowOff>9525</xdr:rowOff>
        </xdr:to>
        <xdr:sp macro="" textlink="">
          <xdr:nvSpPr>
            <xdr:cNvPr id="716942" name="Drop Down 3214" hidden="1">
              <a:extLst>
                <a:ext uri="{63B3BB69-23CF-44E3-9099-C40C66FF867C}">
                  <a14:compatExt spid="_x0000_s716942"/>
                </a:ext>
                <a:ext uri="{FF2B5EF4-FFF2-40B4-BE49-F238E27FC236}">
                  <a16:creationId xmlns:a16="http://schemas.microsoft.com/office/drawing/2014/main" id="{00000000-0008-0000-0000-00008E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46</xdr:row>
          <xdr:rowOff>38100</xdr:rowOff>
        </xdr:from>
        <xdr:to>
          <xdr:col>12</xdr:col>
          <xdr:colOff>600075</xdr:colOff>
          <xdr:row>47</xdr:row>
          <xdr:rowOff>0</xdr:rowOff>
        </xdr:to>
        <xdr:sp macro="" textlink="">
          <xdr:nvSpPr>
            <xdr:cNvPr id="716943" name="Drop Down 3215" hidden="1">
              <a:extLst>
                <a:ext uri="{63B3BB69-23CF-44E3-9099-C40C66FF867C}">
                  <a14:compatExt spid="_x0000_s716943"/>
                </a:ext>
                <a:ext uri="{FF2B5EF4-FFF2-40B4-BE49-F238E27FC236}">
                  <a16:creationId xmlns:a16="http://schemas.microsoft.com/office/drawing/2014/main" id="{00000000-0008-0000-0000-00008F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666750</xdr:colOff>
          <xdr:row>46</xdr:row>
          <xdr:rowOff>38100</xdr:rowOff>
        </xdr:from>
        <xdr:to>
          <xdr:col>12</xdr:col>
          <xdr:colOff>2009775</xdr:colOff>
          <xdr:row>47</xdr:row>
          <xdr:rowOff>9525</xdr:rowOff>
        </xdr:to>
        <xdr:sp macro="" textlink="">
          <xdr:nvSpPr>
            <xdr:cNvPr id="716944" name="Drop Down 3216" hidden="1">
              <a:extLst>
                <a:ext uri="{63B3BB69-23CF-44E3-9099-C40C66FF867C}">
                  <a14:compatExt spid="_x0000_s716944"/>
                </a:ext>
                <a:ext uri="{FF2B5EF4-FFF2-40B4-BE49-F238E27FC236}">
                  <a16:creationId xmlns:a16="http://schemas.microsoft.com/office/drawing/2014/main" id="{00000000-0008-0000-0000-000090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47</xdr:row>
          <xdr:rowOff>57150</xdr:rowOff>
        </xdr:from>
        <xdr:to>
          <xdr:col>8</xdr:col>
          <xdr:colOff>561975</xdr:colOff>
          <xdr:row>48</xdr:row>
          <xdr:rowOff>28575</xdr:rowOff>
        </xdr:to>
        <xdr:sp macro="" textlink="">
          <xdr:nvSpPr>
            <xdr:cNvPr id="716955" name="Drop Down 3227" hidden="1">
              <a:extLst>
                <a:ext uri="{63B3BB69-23CF-44E3-9099-C40C66FF867C}">
                  <a14:compatExt spid="_x0000_s716955"/>
                </a:ext>
                <a:ext uri="{FF2B5EF4-FFF2-40B4-BE49-F238E27FC236}">
                  <a16:creationId xmlns:a16="http://schemas.microsoft.com/office/drawing/2014/main" id="{00000000-0008-0000-0000-00009B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47</xdr:row>
          <xdr:rowOff>57150</xdr:rowOff>
        </xdr:from>
        <xdr:to>
          <xdr:col>10</xdr:col>
          <xdr:colOff>552450</xdr:colOff>
          <xdr:row>48</xdr:row>
          <xdr:rowOff>28575</xdr:rowOff>
        </xdr:to>
        <xdr:sp macro="" textlink="">
          <xdr:nvSpPr>
            <xdr:cNvPr id="716956" name="Drop Down 3228" hidden="1">
              <a:extLst>
                <a:ext uri="{63B3BB69-23CF-44E3-9099-C40C66FF867C}">
                  <a14:compatExt spid="_x0000_s716956"/>
                </a:ext>
                <a:ext uri="{FF2B5EF4-FFF2-40B4-BE49-F238E27FC236}">
                  <a16:creationId xmlns:a16="http://schemas.microsoft.com/office/drawing/2014/main" id="{00000000-0008-0000-0000-00009C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47</xdr:row>
          <xdr:rowOff>47625</xdr:rowOff>
        </xdr:from>
        <xdr:to>
          <xdr:col>12</xdr:col>
          <xdr:colOff>600075</xdr:colOff>
          <xdr:row>48</xdr:row>
          <xdr:rowOff>38100</xdr:rowOff>
        </xdr:to>
        <xdr:sp macro="" textlink="">
          <xdr:nvSpPr>
            <xdr:cNvPr id="716957" name="Drop Down 3229" hidden="1">
              <a:extLst>
                <a:ext uri="{63B3BB69-23CF-44E3-9099-C40C66FF867C}">
                  <a14:compatExt spid="_x0000_s716957"/>
                </a:ext>
                <a:ext uri="{FF2B5EF4-FFF2-40B4-BE49-F238E27FC236}">
                  <a16:creationId xmlns:a16="http://schemas.microsoft.com/office/drawing/2014/main" id="{00000000-0008-0000-0000-00009D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666750</xdr:colOff>
          <xdr:row>47</xdr:row>
          <xdr:rowOff>47625</xdr:rowOff>
        </xdr:from>
        <xdr:to>
          <xdr:col>12</xdr:col>
          <xdr:colOff>2009775</xdr:colOff>
          <xdr:row>48</xdr:row>
          <xdr:rowOff>38100</xdr:rowOff>
        </xdr:to>
        <xdr:sp macro="" textlink="">
          <xdr:nvSpPr>
            <xdr:cNvPr id="716958" name="Drop Down 3230" hidden="1">
              <a:extLst>
                <a:ext uri="{63B3BB69-23CF-44E3-9099-C40C66FF867C}">
                  <a14:compatExt spid="_x0000_s716958"/>
                </a:ext>
                <a:ext uri="{FF2B5EF4-FFF2-40B4-BE49-F238E27FC236}">
                  <a16:creationId xmlns:a16="http://schemas.microsoft.com/office/drawing/2014/main" id="{00000000-0008-0000-0000-00009E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48</xdr:row>
          <xdr:rowOff>85725</xdr:rowOff>
        </xdr:from>
        <xdr:to>
          <xdr:col>8</xdr:col>
          <xdr:colOff>571500</xdr:colOff>
          <xdr:row>49</xdr:row>
          <xdr:rowOff>76200</xdr:rowOff>
        </xdr:to>
        <xdr:sp macro="" textlink="">
          <xdr:nvSpPr>
            <xdr:cNvPr id="716963" name="Drop Down 3235" hidden="1">
              <a:extLst>
                <a:ext uri="{63B3BB69-23CF-44E3-9099-C40C66FF867C}">
                  <a14:compatExt spid="_x0000_s716963"/>
                </a:ext>
                <a:ext uri="{FF2B5EF4-FFF2-40B4-BE49-F238E27FC236}">
                  <a16:creationId xmlns:a16="http://schemas.microsoft.com/office/drawing/2014/main" id="{00000000-0008-0000-0000-0000A3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48</xdr:row>
          <xdr:rowOff>85725</xdr:rowOff>
        </xdr:from>
        <xdr:to>
          <xdr:col>10</xdr:col>
          <xdr:colOff>571500</xdr:colOff>
          <xdr:row>49</xdr:row>
          <xdr:rowOff>76200</xdr:rowOff>
        </xdr:to>
        <xdr:sp macro="" textlink="">
          <xdr:nvSpPr>
            <xdr:cNvPr id="716964" name="Drop Down 3236" hidden="1">
              <a:extLst>
                <a:ext uri="{63B3BB69-23CF-44E3-9099-C40C66FF867C}">
                  <a14:compatExt spid="_x0000_s716964"/>
                </a:ext>
                <a:ext uri="{FF2B5EF4-FFF2-40B4-BE49-F238E27FC236}">
                  <a16:creationId xmlns:a16="http://schemas.microsoft.com/office/drawing/2014/main" id="{00000000-0008-0000-0000-0000A4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48</xdr:row>
          <xdr:rowOff>85725</xdr:rowOff>
        </xdr:from>
        <xdr:to>
          <xdr:col>12</xdr:col>
          <xdr:colOff>600075</xdr:colOff>
          <xdr:row>49</xdr:row>
          <xdr:rowOff>76200</xdr:rowOff>
        </xdr:to>
        <xdr:sp macro="" textlink="">
          <xdr:nvSpPr>
            <xdr:cNvPr id="716965" name="Drop Down 3237" hidden="1">
              <a:extLst>
                <a:ext uri="{63B3BB69-23CF-44E3-9099-C40C66FF867C}">
                  <a14:compatExt spid="_x0000_s716965"/>
                </a:ext>
                <a:ext uri="{FF2B5EF4-FFF2-40B4-BE49-F238E27FC236}">
                  <a16:creationId xmlns:a16="http://schemas.microsoft.com/office/drawing/2014/main" id="{00000000-0008-0000-0000-0000A5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666750</xdr:colOff>
          <xdr:row>48</xdr:row>
          <xdr:rowOff>85725</xdr:rowOff>
        </xdr:from>
        <xdr:to>
          <xdr:col>12</xdr:col>
          <xdr:colOff>2009775</xdr:colOff>
          <xdr:row>49</xdr:row>
          <xdr:rowOff>76200</xdr:rowOff>
        </xdr:to>
        <xdr:sp macro="" textlink="">
          <xdr:nvSpPr>
            <xdr:cNvPr id="716966" name="Drop Down 3238" hidden="1">
              <a:extLst>
                <a:ext uri="{63B3BB69-23CF-44E3-9099-C40C66FF867C}">
                  <a14:compatExt spid="_x0000_s716966"/>
                </a:ext>
                <a:ext uri="{FF2B5EF4-FFF2-40B4-BE49-F238E27FC236}">
                  <a16:creationId xmlns:a16="http://schemas.microsoft.com/office/drawing/2014/main" id="{00000000-0008-0000-0000-0000A6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571500</xdr:colOff>
      <xdr:row>81</xdr:row>
      <xdr:rowOff>28575</xdr:rowOff>
    </xdr:from>
    <xdr:to>
      <xdr:col>10</xdr:col>
      <xdr:colOff>538323</xdr:colOff>
      <xdr:row>82</xdr:row>
      <xdr:rowOff>62544</xdr:rowOff>
    </xdr:to>
    <xdr:sp macro="" textlink="'Variable Management'!$A$504">
      <xdr:nvSpPr>
        <xdr:cNvPr id="32" name="Text Box 23">
          <a:extLst>
            <a:ext uri="{FF2B5EF4-FFF2-40B4-BE49-F238E27FC236}">
              <a16:creationId xmlns:a16="http://schemas.microsoft.com/office/drawing/2014/main" id="{00000000-0008-0000-0000-000020000000}"/>
            </a:ext>
          </a:extLst>
        </xdr:cNvPr>
        <xdr:cNvSpPr txBox="1">
          <a:spLocks noChangeArrowheads="1" noTextEdit="1"/>
        </xdr:cNvSpPr>
      </xdr:nvSpPr>
      <xdr:spPr bwMode="auto">
        <a:xfrm>
          <a:off x="4533900" y="15278100"/>
          <a:ext cx="2367123" cy="224469"/>
        </a:xfrm>
        <a:prstGeom prst="rect">
          <a:avLst/>
        </a:prstGeom>
        <a:solidFill>
          <a:schemeClr val="bg1"/>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C975F0C-C3FF-4A48-B082-A40A1AF939C2}" type="TxLink">
            <a:rPr lang="en-US" sz="1050" b="1" i="0" u="none" strike="noStrike" baseline="0">
              <a:solidFill>
                <a:srgbClr val="FF0000"/>
              </a:solidFill>
              <a:latin typeface="Arial"/>
              <a:cs typeface="Arial"/>
            </a:rPr>
            <a:pPr algn="l" rtl="0">
              <a:defRPr sz="1000"/>
            </a:pPr>
            <a:t>Crossover Frequency = 16.3 kHz</a:t>
          </a:fld>
          <a:endParaRPr lang="en-US" sz="1050" b="1" i="0" u="none" strike="noStrike" baseline="0">
            <a:solidFill>
              <a:srgbClr val="FF0000"/>
            </a:solidFill>
            <a:latin typeface="Arial"/>
            <a:cs typeface="Arial"/>
          </a:endParaRPr>
        </a:p>
      </xdr:txBody>
    </xdr:sp>
    <xdr:clientData/>
  </xdr:twoCellAnchor>
  <xdr:twoCellAnchor>
    <xdr:from>
      <xdr:col>7</xdr:col>
      <xdr:colOff>571500</xdr:colOff>
      <xdr:row>82</xdr:row>
      <xdr:rowOff>38283</xdr:rowOff>
    </xdr:from>
    <xdr:to>
      <xdr:col>9</xdr:col>
      <xdr:colOff>604376</xdr:colOff>
      <xdr:row>83</xdr:row>
      <xdr:rowOff>47625</xdr:rowOff>
    </xdr:to>
    <xdr:sp macro="" textlink="'Variable Management'!$A$505">
      <xdr:nvSpPr>
        <xdr:cNvPr id="33" name="Text Box 24">
          <a:extLst>
            <a:ext uri="{FF2B5EF4-FFF2-40B4-BE49-F238E27FC236}">
              <a16:creationId xmlns:a16="http://schemas.microsoft.com/office/drawing/2014/main" id="{00000000-0008-0000-0000-000021000000}"/>
            </a:ext>
          </a:extLst>
        </xdr:cNvPr>
        <xdr:cNvSpPr txBox="1">
          <a:spLocks noChangeArrowheads="1" noTextEdit="1"/>
        </xdr:cNvSpPr>
      </xdr:nvSpPr>
      <xdr:spPr bwMode="auto">
        <a:xfrm>
          <a:off x="4533900" y="15478308"/>
          <a:ext cx="1433051" cy="199842"/>
        </a:xfrm>
        <a:prstGeom prst="rect">
          <a:avLst/>
        </a:prstGeom>
        <a:solidFill>
          <a:schemeClr val="bg1"/>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668E2548-86E3-4832-875F-358A4B8D46AF}" type="TxLink">
            <a:rPr lang="en-US" sz="1050" b="1" i="0" u="none" strike="noStrike" baseline="0">
              <a:solidFill>
                <a:srgbClr val="002060"/>
              </a:solidFill>
              <a:latin typeface="Arial"/>
              <a:cs typeface="Arial"/>
            </a:rPr>
            <a:pPr algn="l" rtl="0">
              <a:defRPr sz="1000"/>
            </a:pPr>
            <a:t>Phase Margin = 0°</a:t>
          </a:fld>
          <a:endParaRPr lang="en-US" sz="1050" b="1" i="0" u="none" strike="noStrike" baseline="0">
            <a:solidFill>
              <a:srgbClr val="00206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10</xdr:col>
          <xdr:colOff>247650</xdr:colOff>
          <xdr:row>51</xdr:row>
          <xdr:rowOff>19050</xdr:rowOff>
        </xdr:from>
        <xdr:to>
          <xdr:col>11</xdr:col>
          <xdr:colOff>819150</xdr:colOff>
          <xdr:row>51</xdr:row>
          <xdr:rowOff>161925</xdr:rowOff>
        </xdr:to>
        <xdr:sp macro="" textlink="">
          <xdr:nvSpPr>
            <xdr:cNvPr id="733873" name="Drop Down 4785" hidden="1">
              <a:extLst>
                <a:ext uri="{63B3BB69-23CF-44E3-9099-C40C66FF867C}">
                  <a14:compatExt spid="_x0000_s733873"/>
                </a:ext>
                <a:ext uri="{FF2B5EF4-FFF2-40B4-BE49-F238E27FC236}">
                  <a16:creationId xmlns:a16="http://schemas.microsoft.com/office/drawing/2014/main" id="{00000000-0008-0000-0000-0000B132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69</xdr:row>
          <xdr:rowOff>19050</xdr:rowOff>
        </xdr:from>
        <xdr:to>
          <xdr:col>6</xdr:col>
          <xdr:colOff>9525</xdr:colOff>
          <xdr:row>69</xdr:row>
          <xdr:rowOff>171450</xdr:rowOff>
        </xdr:to>
        <xdr:sp macro="" textlink="">
          <xdr:nvSpPr>
            <xdr:cNvPr id="733907" name="Drop Down 4819" hidden="1">
              <a:extLst>
                <a:ext uri="{63B3BB69-23CF-44E3-9099-C40C66FF867C}">
                  <a14:compatExt spid="_x0000_s733907"/>
                </a:ext>
                <a:ext uri="{FF2B5EF4-FFF2-40B4-BE49-F238E27FC236}">
                  <a16:creationId xmlns:a16="http://schemas.microsoft.com/office/drawing/2014/main" id="{00000000-0008-0000-0000-0000D332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59</xdr:row>
          <xdr:rowOff>228600</xdr:rowOff>
        </xdr:from>
        <xdr:to>
          <xdr:col>16</xdr:col>
          <xdr:colOff>1104900</xdr:colOff>
          <xdr:row>61</xdr:row>
          <xdr:rowOff>19050</xdr:rowOff>
        </xdr:to>
        <xdr:sp macro="" textlink="">
          <xdr:nvSpPr>
            <xdr:cNvPr id="751970" name="Check Box 5474" hidden="1">
              <a:extLst>
                <a:ext uri="{63B3BB69-23CF-44E3-9099-C40C66FF867C}">
                  <a14:compatExt spid="_x0000_s751970"/>
                </a:ext>
                <a:ext uri="{FF2B5EF4-FFF2-40B4-BE49-F238E27FC236}">
                  <a16:creationId xmlns:a16="http://schemas.microsoft.com/office/drawing/2014/main" id="{00000000-0008-0000-0000-00006279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I_Limit Transf. Function</a:t>
              </a:r>
            </a:p>
          </xdr:txBody>
        </xdr:sp>
        <xdr:clientData/>
      </xdr:twoCellAnchor>
    </mc:Choice>
    <mc:Fallback/>
  </mc:AlternateContent>
  <xdr:twoCellAnchor>
    <xdr:from>
      <xdr:col>6</xdr:col>
      <xdr:colOff>154782</xdr:colOff>
      <xdr:row>35</xdr:row>
      <xdr:rowOff>65483</xdr:rowOff>
    </xdr:from>
    <xdr:to>
      <xdr:col>7</xdr:col>
      <xdr:colOff>57151</xdr:colOff>
      <xdr:row>45</xdr:row>
      <xdr:rowOff>100606</xdr:rowOff>
    </xdr:to>
    <xdr:cxnSp macro="">
      <xdr:nvCxnSpPr>
        <xdr:cNvPr id="9" name="Connector: Elbow 8">
          <a:extLst>
            <a:ext uri="{FF2B5EF4-FFF2-40B4-BE49-F238E27FC236}">
              <a16:creationId xmlns:a16="http://schemas.microsoft.com/office/drawing/2014/main" id="{00000000-0008-0000-0000-000009000000}"/>
            </a:ext>
          </a:extLst>
        </xdr:cNvPr>
        <xdr:cNvCxnSpPr/>
      </xdr:nvCxnSpPr>
      <xdr:spPr>
        <a:xfrm rot="16200000" flipH="1">
          <a:off x="2898279" y="7620892"/>
          <a:ext cx="1916311" cy="34290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503464</xdr:colOff>
      <xdr:row>35</xdr:row>
      <xdr:rowOff>57830</xdr:rowOff>
    </xdr:from>
    <xdr:to>
      <xdr:col>6</xdr:col>
      <xdr:colOff>156701</xdr:colOff>
      <xdr:row>35</xdr:row>
      <xdr:rowOff>61452</xdr:rowOff>
    </xdr:to>
    <xdr:cxnSp macro="">
      <xdr:nvCxnSpPr>
        <xdr:cNvPr id="12" name="Straight Connector 11">
          <a:extLst>
            <a:ext uri="{FF2B5EF4-FFF2-40B4-BE49-F238E27FC236}">
              <a16:creationId xmlns:a16="http://schemas.microsoft.com/office/drawing/2014/main" id="{00000000-0008-0000-0000-00000C000000}"/>
            </a:ext>
          </a:extLst>
        </xdr:cNvPr>
        <xdr:cNvCxnSpPr/>
      </xdr:nvCxnSpPr>
      <xdr:spPr>
        <a:xfrm>
          <a:off x="3526883" y="6795999"/>
          <a:ext cx="157141" cy="3622"/>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xdr:col>
          <xdr:colOff>552450</xdr:colOff>
          <xdr:row>5</xdr:row>
          <xdr:rowOff>0</xdr:rowOff>
        </xdr:from>
        <xdr:to>
          <xdr:col>5</xdr:col>
          <xdr:colOff>485775</xdr:colOff>
          <xdr:row>6</xdr:row>
          <xdr:rowOff>0</xdr:rowOff>
        </xdr:to>
        <xdr:sp macro="" textlink="">
          <xdr:nvSpPr>
            <xdr:cNvPr id="772540" name="Drop Down 6588" hidden="1">
              <a:extLst>
                <a:ext uri="{63B3BB69-23CF-44E3-9099-C40C66FF867C}">
                  <a14:compatExt spid="_x0000_s772540"/>
                </a:ext>
                <a:ext uri="{FF2B5EF4-FFF2-40B4-BE49-F238E27FC236}">
                  <a16:creationId xmlns:a16="http://schemas.microsoft.com/office/drawing/2014/main" id="{00000000-0008-0000-0000-0000BCC9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519112</xdr:colOff>
      <xdr:row>18</xdr:row>
      <xdr:rowOff>47626</xdr:rowOff>
    </xdr:from>
    <xdr:to>
      <xdr:col>10</xdr:col>
      <xdr:colOff>381952</xdr:colOff>
      <xdr:row>19</xdr:row>
      <xdr:rowOff>24765</xdr:rowOff>
    </xdr:to>
    <xdr:sp macro="" textlink="Device">
      <xdr:nvSpPr>
        <xdr:cNvPr id="2" name="TextBox 1">
          <a:extLst>
            <a:ext uri="{FF2B5EF4-FFF2-40B4-BE49-F238E27FC236}">
              <a16:creationId xmlns:a16="http://schemas.microsoft.com/office/drawing/2014/main" id="{00000000-0008-0000-0000-000002000000}"/>
            </a:ext>
          </a:extLst>
        </xdr:cNvPr>
        <xdr:cNvSpPr txBox="1"/>
      </xdr:nvSpPr>
      <xdr:spPr bwMode="auto">
        <a:xfrm>
          <a:off x="5900737" y="3862389"/>
          <a:ext cx="862965" cy="153351"/>
        </a:xfrm>
        <a:prstGeom prst="rect">
          <a:avLst/>
        </a:prstGeom>
        <a:solidFill>
          <a:schemeClr val="bg1"/>
        </a:solidFill>
        <a:ln w="9525">
          <a:noFill/>
          <a:miter lim="800000"/>
          <a:headEnd/>
          <a:tailEnd/>
        </a:ln>
      </xdr:spPr>
      <xdr:txBody>
        <a:bodyPr vertOverflow="clip" horzOverflow="clip" wrap="square" lIns="27432" tIns="27432" rIns="0" bIns="0" rtlCol="0" anchor="ctr" upright="1"/>
        <a:lstStyle/>
        <a:p>
          <a:pPr algn="ctr" rtl="0"/>
          <a:fld id="{1B7041C5-685E-4B71-9140-20DCC171B3E5}" type="TxLink">
            <a:rPr lang="en-US" sz="1000" b="0" i="0" u="none" strike="noStrike">
              <a:solidFill>
                <a:srgbClr val="000000"/>
              </a:solidFill>
              <a:latin typeface="Arial"/>
              <a:cs typeface="Arial"/>
            </a:rPr>
            <a:pPr algn="ctr" rtl="0"/>
            <a:t>LM51772</a:t>
          </a:fld>
          <a:endParaRPr lang="en-US" sz="900" b="1" i="0" strike="noStrike">
            <a:solidFill>
              <a:srgbClr val="000000"/>
            </a:solidFill>
            <a:latin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152400</xdr:rowOff>
    </xdr:from>
    <xdr:to>
      <xdr:col>1</xdr:col>
      <xdr:colOff>600075</xdr:colOff>
      <xdr:row>2</xdr:row>
      <xdr:rowOff>85676</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152400"/>
          <a:ext cx="2314575" cy="2952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200025</xdr:colOff>
      <xdr:row>0</xdr:row>
      <xdr:rowOff>114300</xdr:rowOff>
    </xdr:from>
    <xdr:ext cx="3752850" cy="381708"/>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914525" y="114300"/>
          <a:ext cx="3752850" cy="3817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a:latin typeface="Arial Black" panose="020B0A04020102020204" pitchFamily="34" charset="0"/>
            </a:rPr>
            <a:t>About this tool...</a:t>
          </a:r>
        </a:p>
      </xdr:txBody>
    </xdr:sp>
    <xdr:clientData/>
  </xdr:oneCellAnchor>
  <xdr:oneCellAnchor>
    <xdr:from>
      <xdr:col>3</xdr:col>
      <xdr:colOff>323850</xdr:colOff>
      <xdr:row>1</xdr:row>
      <xdr:rowOff>28575</xdr:rowOff>
    </xdr:from>
    <xdr:ext cx="4719497" cy="254557"/>
    <xdr:sp macro="" textlink="">
      <xdr:nvSpPr>
        <xdr:cNvPr id="4" name="TextBox 3">
          <a:hlinkClick xmlns:r="http://schemas.openxmlformats.org/officeDocument/2006/relationships" r:id="rId3"/>
          <a:extLst>
            <a:ext uri="{FF2B5EF4-FFF2-40B4-BE49-F238E27FC236}">
              <a16:creationId xmlns:a16="http://schemas.microsoft.com/office/drawing/2014/main" id="{00000000-0008-0000-0200-000004000000}"/>
            </a:ext>
          </a:extLst>
        </xdr:cNvPr>
        <xdr:cNvSpPr txBox="1"/>
      </xdr:nvSpPr>
      <xdr:spPr>
        <a:xfrm>
          <a:off x="6419850" y="209550"/>
          <a:ext cx="4719497"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none" strike="noStrike">
              <a:solidFill>
                <a:schemeClr val="tx1"/>
              </a:solidFill>
              <a:effectLst/>
              <a:latin typeface="Arial" panose="020B0604020202020204" pitchFamily="34" charset="0"/>
              <a:ea typeface="+mn-ea"/>
              <a:cs typeface="Arial" panose="020B0604020202020204" pitchFamily="34" charset="0"/>
              <a:hlinkClick xmlns:r="http://schemas.openxmlformats.org/officeDocument/2006/relationships" r:id=""/>
            </a:rPr>
            <a:t>© Copyright 2025</a:t>
          </a:r>
          <a:r>
            <a:rPr lang="en-US" sz="1100" b="0" i="0">
              <a:solidFill>
                <a:schemeClr val="tx1"/>
              </a:solidFill>
              <a:effectLst/>
              <a:latin typeface="Arial" panose="020B0604020202020204" pitchFamily="34" charset="0"/>
              <a:ea typeface="+mn-ea"/>
              <a:cs typeface="Arial" panose="020B0604020202020204" pitchFamily="34" charset="0"/>
            </a:rPr>
            <a:t> Texas Instruments Incorporated. All rights reserved.</a:t>
          </a:r>
          <a:endParaRPr lang="en-US" sz="1100" b="0">
            <a:latin typeface="Arial" panose="020B0604020202020204" pitchFamily="34" charset="0"/>
            <a:cs typeface="Arial" panose="020B0604020202020204" pitchFamily="34" charset="0"/>
          </a:endParaRPr>
        </a:p>
      </xdr:txBody>
    </xdr:sp>
    <xdr:clientData/>
  </xdr:oneCellAnchor>
  <xdr:oneCellAnchor>
    <xdr:from>
      <xdr:col>0</xdr:col>
      <xdr:colOff>95247</xdr:colOff>
      <xdr:row>6</xdr:row>
      <xdr:rowOff>47623</xdr:rowOff>
    </xdr:from>
    <xdr:ext cx="11229977" cy="4200527"/>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95247" y="1114423"/>
          <a:ext cx="11229977" cy="4200527"/>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sysClr val="windowText" lastClr="000000"/>
              </a:solidFill>
              <a:effectLst/>
              <a:uLnTx/>
              <a:uFillTx/>
              <a:latin typeface="+mn-lt"/>
              <a:ea typeface="+mn-ea"/>
              <a:cs typeface="+mn-cs"/>
            </a:rPr>
            <a:t>IMPORTANT NOTICE AND DISCLAIMER</a:t>
          </a:r>
        </a:p>
        <a:p>
          <a:pPr marL="0" marR="0" lvl="0" indent="0" defTabSz="914400" eaLnBrk="1" fontAlgn="auto" latinLnBrk="0" hangingPunct="1">
            <a:lnSpc>
              <a:spcPct val="100000"/>
            </a:lnSpc>
            <a:spcBef>
              <a:spcPts val="0"/>
            </a:spcBef>
            <a:spcAft>
              <a:spcPts val="0"/>
            </a:spcAft>
            <a:buClrTx/>
            <a:buSzTx/>
            <a:buFontTx/>
            <a:buNone/>
            <a:tabLst/>
            <a:defRPr/>
          </a:pPr>
          <a:br>
            <a:rPr kumimoji="0" lang="en-US" sz="10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TI PROVIDES TECHNICAL AND RELIABILITY DATA (INCLUDING DATA SHEETS), DESIGN RESOURCES (INCLUDING REFERENCE</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DESIGNS), APPLICATION OR OTHER DESIGN ADVICE, WEB TOOLS, SAFETY INFORMATION, AND OTHER RESOURCES “AS IS”</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AND WITH ALL FAULTS, AND DISCLAIMS ALL WARRANTIES, EXPRESS AND IMPLIED, INCLUDING WITHOUT LIMITATION ANY</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IMPLIED WARRANTIES OF MERCHANTABILITY, FITNESS FOR A PARTICULAR PURPOSE OR NON-INFRINGEMENT OF THIRD</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PARTY INTELLECTUAL PROPERTY RIGHTS.</a:t>
          </a:r>
        </a:p>
        <a:p>
          <a:pPr marL="0" marR="0" lvl="0" indent="0" defTabSz="914400" eaLnBrk="1" fontAlgn="auto" latinLnBrk="0" hangingPunct="1">
            <a:lnSpc>
              <a:spcPct val="100000"/>
            </a:lnSpc>
            <a:spcBef>
              <a:spcPts val="0"/>
            </a:spcBef>
            <a:spcAft>
              <a:spcPts val="0"/>
            </a:spcAft>
            <a:buClrTx/>
            <a:buSzTx/>
            <a:buFontTx/>
            <a:buNone/>
            <a:tabLst/>
            <a:defRPr/>
          </a:pP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These resources are intended for skilled developers designing with TI products. You are solely responsible for (1) selecting the appropriate</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TI products for your application, (2) designing, validating and testing your application, and (3) ensuring your application meets applicable</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standards, and any other safety, security, regulatory or other requirements.</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These resources are subject to change without notice. TI grants you permission to use these resources only for development of an</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application that uses the TI products described in the resource. Other reproduction and display of these resources is prohibited. No license</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is granted to any other TI intellectual property right or to any third party intellectual property right. TI disclaims responsibility for, and you</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will fully indemnify TI and its representatives against, any claims, damages, costs, losses, and liabilities arising out of your use of these</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resources.</a:t>
          </a:r>
        </a:p>
        <a:p>
          <a:pPr marL="0" marR="0" lvl="0" indent="0" defTabSz="914400" eaLnBrk="1" fontAlgn="auto" latinLnBrk="0" hangingPunct="1">
            <a:lnSpc>
              <a:spcPct val="100000"/>
            </a:lnSpc>
            <a:spcBef>
              <a:spcPts val="0"/>
            </a:spcBef>
            <a:spcAft>
              <a:spcPts val="0"/>
            </a:spcAft>
            <a:buClrTx/>
            <a:buSzTx/>
            <a:buFontTx/>
            <a:buNone/>
            <a:tabLst/>
            <a:defRPr/>
          </a:pP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TI’s products are provided subject to TI’s Terms of Sale or other applicable terms available either on ti.com or provided in conjunction with</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such TI products. TI’s provision of these resources does not expand or otherwise alter TI’s applicable warranties or warranty disclaimers for</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TI products.</a:t>
          </a:r>
        </a:p>
        <a:p>
          <a:pPr marL="0" marR="0" lvl="0" indent="0" algn="l" defTabSz="914400" eaLnBrk="1" fontAlgn="auto" latinLnBrk="0" hangingPunct="1">
            <a:lnSpc>
              <a:spcPct val="100000"/>
            </a:lnSpc>
            <a:spcBef>
              <a:spcPts val="0"/>
            </a:spcBef>
            <a:spcAft>
              <a:spcPts val="0"/>
            </a:spcAft>
            <a:buClrTx/>
            <a:buSzTx/>
            <a:buFontTx/>
            <a:buNone/>
            <a:tabLst/>
            <a:defRPr/>
          </a:pP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TI objects to and rejects any additional or different terms you may have proposed. IMPORTANT NOTICE</a:t>
          </a:r>
        </a:p>
        <a:p>
          <a:pPr marL="0" marR="0" lvl="0" indent="0" algn="ctr" defTabSz="914400" eaLnBrk="1" fontAlgn="auto" latinLnBrk="0" hangingPunct="1">
            <a:lnSpc>
              <a:spcPct val="100000"/>
            </a:lnSpc>
            <a:spcBef>
              <a:spcPts val="0"/>
            </a:spcBef>
            <a:spcAft>
              <a:spcPts val="0"/>
            </a:spcAft>
            <a:buClrTx/>
            <a:buSzTx/>
            <a:buFontTx/>
            <a:buNone/>
            <a:tabLst/>
            <a:defRPr/>
          </a:pP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Mailing Address: Texas Instruments, Post Office Box 655303, Dallas, Texas 75265</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Copyright © 2025, Texas Instruments Incorporated</a:t>
          </a:r>
          <a:endParaRPr kumimoji="0" lang="en-US" sz="7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xdr:txBody>
    </xdr:sp>
    <xdr:clientData/>
  </xdr:oneCellAnchor>
  <xdr:oneCellAnchor>
    <xdr:from>
      <xdr:col>0</xdr:col>
      <xdr:colOff>99057</xdr:colOff>
      <xdr:row>30</xdr:row>
      <xdr:rowOff>16998</xdr:rowOff>
    </xdr:from>
    <xdr:ext cx="11229977" cy="634512"/>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99057" y="5150973"/>
          <a:ext cx="11229977" cy="634512"/>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chemeClr val="tx1"/>
              </a:solidFill>
              <a:effectLst/>
              <a:latin typeface="+mn-lt"/>
              <a:ea typeface="+mn-ea"/>
              <a:cs typeface="+mn-cs"/>
            </a:rPr>
            <a:t>IMPORTANT</a:t>
          </a:r>
          <a:r>
            <a:rPr lang="en-US" sz="1100" b="1" baseline="0">
              <a:solidFill>
                <a:schemeClr val="tx1"/>
              </a:solidFill>
              <a:effectLst/>
              <a:latin typeface="+mn-lt"/>
              <a:ea typeface="+mn-ea"/>
              <a:cs typeface="+mn-cs"/>
            </a:rPr>
            <a:t>:   </a:t>
          </a:r>
          <a:endParaRPr lang="en-US" sz="800">
            <a:effectLst/>
          </a:endParaRPr>
        </a:p>
        <a:p>
          <a:r>
            <a:rPr lang="en-US" sz="1100" baseline="0">
              <a:solidFill>
                <a:schemeClr val="tx1"/>
              </a:solidFill>
              <a:effectLst/>
              <a:latin typeface="+mn-lt"/>
              <a:ea typeface="+mn-ea"/>
              <a:cs typeface="+mn-cs"/>
            </a:rPr>
            <a:t>1.  Do not delete this worksheet!</a:t>
          </a:r>
          <a:endParaRPr lang="en-US" sz="800">
            <a:effectLst/>
          </a:endParaRPr>
        </a:p>
        <a:p>
          <a:pPr eaLnBrk="1" fontAlgn="auto" latinLnBrk="0" hangingPunct="1"/>
          <a:r>
            <a:rPr lang="en-US" sz="1100" baseline="0">
              <a:solidFill>
                <a:schemeClr val="tx1"/>
              </a:solidFill>
              <a:effectLst/>
              <a:latin typeface="+mn-lt"/>
              <a:ea typeface="+mn-ea"/>
              <a:cs typeface="+mn-cs"/>
            </a:rPr>
            <a:t>2.  Redistributions must retain the above copyright and the following disclaimer.</a:t>
          </a:r>
          <a:endParaRPr lang="en-US" sz="800">
            <a:effectLst/>
          </a:endParaRPr>
        </a:p>
        <a:p>
          <a:endParaRPr lang="en-US" sz="800" baseline="0">
            <a:latin typeface="Arial" panose="020B0604020202020204" pitchFamily="34" charset="0"/>
            <a:cs typeface="Arial" panose="020B0604020202020204" pitchFamily="34" charset="0"/>
          </a:endParaRP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123825</xdr:colOff>
      <xdr:row>1</xdr:row>
      <xdr:rowOff>9524</xdr:rowOff>
    </xdr:from>
    <xdr:to>
      <xdr:col>9</xdr:col>
      <xdr:colOff>849406</xdr:colOff>
      <xdr:row>44</xdr:row>
      <xdr:rowOff>85725</xdr:rowOff>
    </xdr:to>
    <xdr:pic>
      <xdr:nvPicPr>
        <xdr:cNvPr id="108" name="Picture 107">
          <a:extLst>
            <a:ext uri="{FF2B5EF4-FFF2-40B4-BE49-F238E27FC236}">
              <a16:creationId xmlns:a16="http://schemas.microsoft.com/office/drawing/2014/main" id="{00000000-0008-0000-03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825" y="171449"/>
          <a:ext cx="10734675" cy="70770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428625</xdr:colOff>
      <xdr:row>3</xdr:row>
      <xdr:rowOff>47624</xdr:rowOff>
    </xdr:from>
    <xdr:to>
      <xdr:col>9</xdr:col>
      <xdr:colOff>830356</xdr:colOff>
      <xdr:row>42</xdr:row>
      <xdr:rowOff>81752</xdr:rowOff>
    </xdr:to>
    <xdr:pic>
      <xdr:nvPicPr>
        <xdr:cNvPr id="74" name="Picture 73">
          <a:extLst>
            <a:ext uri="{FF2B5EF4-FFF2-40B4-BE49-F238E27FC236}">
              <a16:creationId xmlns:a16="http://schemas.microsoft.com/office/drawing/2014/main" id="{00000000-0008-0000-0300-00004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8625" y="533399"/>
          <a:ext cx="10410825" cy="63492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742225</xdr:colOff>
      <xdr:row>11</xdr:row>
      <xdr:rowOff>54039</xdr:rowOff>
    </xdr:from>
    <xdr:to>
      <xdr:col>10</xdr:col>
      <xdr:colOff>113596</xdr:colOff>
      <xdr:row>12</xdr:row>
      <xdr:rowOff>137902</xdr:rowOff>
    </xdr:to>
    <xdr:sp macro="" textlink="'Variable Management'!B482">
      <xdr:nvSpPr>
        <xdr:cNvPr id="23" name="Text Box 285">
          <a:extLst>
            <a:ext uri="{FF2B5EF4-FFF2-40B4-BE49-F238E27FC236}">
              <a16:creationId xmlns:a16="http://schemas.microsoft.com/office/drawing/2014/main" id="{00000000-0008-0000-0300-000017000000}"/>
            </a:ext>
          </a:extLst>
        </xdr:cNvPr>
        <xdr:cNvSpPr txBox="1">
          <a:spLocks noChangeArrowheads="1" noTextEdit="1"/>
        </xdr:cNvSpPr>
      </xdr:nvSpPr>
      <xdr:spPr bwMode="auto">
        <a:xfrm>
          <a:off x="10376082" y="1850182"/>
          <a:ext cx="521175" cy="247149"/>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14.6V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9</xdr:col>
      <xdr:colOff>611176</xdr:colOff>
      <xdr:row>12</xdr:row>
      <xdr:rowOff>116821</xdr:rowOff>
    </xdr:from>
    <xdr:to>
      <xdr:col>9</xdr:col>
      <xdr:colOff>1171576</xdr:colOff>
      <xdr:row>14</xdr:row>
      <xdr:rowOff>29271</xdr:rowOff>
    </xdr:to>
    <xdr:sp macro="" textlink="'Variable Management'!B524">
      <xdr:nvSpPr>
        <xdr:cNvPr id="24" name="Text Box 286">
          <a:extLst>
            <a:ext uri="{FF2B5EF4-FFF2-40B4-BE49-F238E27FC236}">
              <a16:creationId xmlns:a16="http://schemas.microsoft.com/office/drawing/2014/main" id="{00000000-0008-0000-0300-000018000000}"/>
            </a:ext>
          </a:extLst>
        </xdr:cNvPr>
        <xdr:cNvSpPr txBox="1">
          <a:spLocks noChangeArrowheads="1" noTextEdit="1"/>
        </xdr:cNvSpPr>
      </xdr:nvSpPr>
      <xdr:spPr bwMode="auto">
        <a:xfrm>
          <a:off x="10250476" y="2059921"/>
          <a:ext cx="560400" cy="236300"/>
        </a:xfrm>
        <a:prstGeom prst="rect">
          <a:avLst/>
        </a:prstGeom>
        <a:noFill/>
        <a:ln w="9525">
          <a:noFill/>
          <a:miter lim="800000"/>
          <a:headEnd/>
          <a:tailEnd/>
        </a:ln>
      </xdr:spPr>
      <xdr:txBody>
        <a:bodyPr vertOverflow="clip" wrap="square" lIns="27432" tIns="22860" rIns="0" bIns="0" anchor="t" upright="1"/>
        <a:lstStyle/>
        <a:p>
          <a:pPr algn="ctr" rtl="0">
            <a:defRPr sz="1000"/>
          </a:pPr>
          <a:fld id="{E0FB88FA-F39E-4ACF-AB5E-DCB628763AAE}" type="TxLink">
            <a:rPr lang="en-US" sz="1200" b="1" i="0" u="none" strike="noStrike">
              <a:solidFill>
                <a:srgbClr val="FF0000"/>
              </a:solidFill>
              <a:latin typeface="Arial" pitchFamily="34" charset="0"/>
              <a:cs typeface="Arial" pitchFamily="34" charset="0"/>
            </a:rPr>
            <a:pPr algn="ctr" rtl="0">
              <a:defRPr sz="1000"/>
            </a:pPr>
            <a:t>12A</a:t>
          </a:fld>
          <a:endParaRPr lang="en-US" sz="1200" b="1" i="0" strike="noStrike">
            <a:solidFill>
              <a:srgbClr val="FF0000"/>
            </a:solidFill>
            <a:latin typeface="Arial" pitchFamily="34" charset="0"/>
            <a:cs typeface="Arial" pitchFamily="34" charset="0"/>
          </a:endParaRPr>
        </a:p>
      </xdr:txBody>
    </xdr:sp>
    <xdr:clientData/>
  </xdr:twoCellAnchor>
  <xdr:twoCellAnchor>
    <xdr:from>
      <xdr:col>7</xdr:col>
      <xdr:colOff>215765</xdr:colOff>
      <xdr:row>21</xdr:row>
      <xdr:rowOff>138591</xdr:rowOff>
    </xdr:from>
    <xdr:to>
      <xdr:col>7</xdr:col>
      <xdr:colOff>621919</xdr:colOff>
      <xdr:row>23</xdr:row>
      <xdr:rowOff>25832</xdr:rowOff>
    </xdr:to>
    <xdr:sp macro="" textlink="'Variable Management'!B489">
      <xdr:nvSpPr>
        <xdr:cNvPr id="26" name="Text Box 276">
          <a:extLst>
            <a:ext uri="{FF2B5EF4-FFF2-40B4-BE49-F238E27FC236}">
              <a16:creationId xmlns:a16="http://schemas.microsoft.com/office/drawing/2014/main" id="{00000000-0008-0000-0300-00001A000000}"/>
            </a:ext>
          </a:extLst>
        </xdr:cNvPr>
        <xdr:cNvSpPr txBox="1">
          <a:spLocks noChangeArrowheads="1" noTextEdit="1"/>
        </xdr:cNvSpPr>
      </xdr:nvSpPr>
      <xdr:spPr bwMode="auto">
        <a:xfrm>
          <a:off x="7796351" y="3587298"/>
          <a:ext cx="406154" cy="215689"/>
        </a:xfrm>
        <a:prstGeom prst="rect">
          <a:avLst/>
        </a:prstGeom>
        <a:noFill/>
        <a:ln w="9525">
          <a:noFill/>
          <a:miter lim="800000"/>
          <a:headEnd/>
          <a:tailEnd/>
        </a:ln>
      </xdr:spPr>
      <xdr:txBody>
        <a:bodyPr vertOverflow="clip" wrap="square" lIns="27432" tIns="22860" rIns="0" bIns="0" anchor="ctr" upright="1"/>
        <a:lstStyle/>
        <a:p>
          <a:pPr algn="l" rtl="0">
            <a:defRPr sz="1000"/>
          </a:pPr>
          <a:fld id="{8EC17DC9-9599-436B-83BE-CF5CE4344793}" type="TxLink">
            <a:rPr lang="en-US" sz="1000" b="0" i="0" u="none" strike="noStrike" baseline="0">
              <a:solidFill>
                <a:srgbClr val="000000"/>
              </a:solidFill>
              <a:latin typeface="Arialri"/>
              <a:cs typeface="Arial" pitchFamily="34" charset="0"/>
            </a:rPr>
            <a:pPr algn="l" rtl="0">
              <a:defRPr sz="1000"/>
            </a:pPr>
            <a:t>10µF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365389</xdr:colOff>
      <xdr:row>21</xdr:row>
      <xdr:rowOff>135869</xdr:rowOff>
    </xdr:from>
    <xdr:to>
      <xdr:col>1</xdr:col>
      <xdr:colOff>230978</xdr:colOff>
      <xdr:row>23</xdr:row>
      <xdr:rowOff>26451</xdr:rowOff>
    </xdr:to>
    <xdr:sp macro="" textlink="">
      <xdr:nvSpPr>
        <xdr:cNvPr id="30" name="Text Box 224">
          <a:extLst>
            <a:ext uri="{FF2B5EF4-FFF2-40B4-BE49-F238E27FC236}">
              <a16:creationId xmlns:a16="http://schemas.microsoft.com/office/drawing/2014/main" id="{00000000-0008-0000-0300-00001E000000}"/>
            </a:ext>
          </a:extLst>
        </xdr:cNvPr>
        <xdr:cNvSpPr txBox="1">
          <a:spLocks noChangeArrowheads="1"/>
        </xdr:cNvSpPr>
      </xdr:nvSpPr>
      <xdr:spPr bwMode="auto">
        <a:xfrm>
          <a:off x="365389" y="3614565"/>
          <a:ext cx="503350" cy="22188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SLOPE</a:t>
          </a:r>
        </a:p>
      </xdr:txBody>
    </xdr:sp>
    <xdr:clientData/>
  </xdr:twoCellAnchor>
  <xdr:twoCellAnchor>
    <xdr:from>
      <xdr:col>2</xdr:col>
      <xdr:colOff>159713</xdr:colOff>
      <xdr:row>37</xdr:row>
      <xdr:rowOff>159333</xdr:rowOff>
    </xdr:from>
    <xdr:to>
      <xdr:col>2</xdr:col>
      <xdr:colOff>479651</xdr:colOff>
      <xdr:row>39</xdr:row>
      <xdr:rowOff>38653</xdr:rowOff>
    </xdr:to>
    <xdr:sp macro="" textlink="">
      <xdr:nvSpPr>
        <xdr:cNvPr id="31" name="Text Box 225">
          <a:extLst>
            <a:ext uri="{FF2B5EF4-FFF2-40B4-BE49-F238E27FC236}">
              <a16:creationId xmlns:a16="http://schemas.microsoft.com/office/drawing/2014/main" id="{00000000-0008-0000-0300-00001F000000}"/>
            </a:ext>
          </a:extLst>
        </xdr:cNvPr>
        <xdr:cNvSpPr txBox="1">
          <a:spLocks noChangeArrowheads="1"/>
        </xdr:cNvSpPr>
      </xdr:nvSpPr>
      <xdr:spPr bwMode="auto">
        <a:xfrm>
          <a:off x="2150438" y="6150558"/>
          <a:ext cx="319938" cy="203170"/>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7</xdr:col>
      <xdr:colOff>1034941</xdr:colOff>
      <xdr:row>19</xdr:row>
      <xdr:rowOff>127711</xdr:rowOff>
    </xdr:from>
    <xdr:to>
      <xdr:col>8</xdr:col>
      <xdr:colOff>381857</xdr:colOff>
      <xdr:row>20</xdr:row>
      <xdr:rowOff>159098</xdr:rowOff>
    </xdr:to>
    <xdr:sp macro="" textlink="">
      <xdr:nvSpPr>
        <xdr:cNvPr id="33" name="Text Box 228">
          <a:extLst>
            <a:ext uri="{FF2B5EF4-FFF2-40B4-BE49-F238E27FC236}">
              <a16:creationId xmlns:a16="http://schemas.microsoft.com/office/drawing/2014/main" id="{00000000-0008-0000-0300-000021000000}"/>
            </a:ext>
          </a:extLst>
        </xdr:cNvPr>
        <xdr:cNvSpPr txBox="1">
          <a:spLocks noChangeArrowheads="1"/>
        </xdr:cNvSpPr>
      </xdr:nvSpPr>
      <xdr:spPr bwMode="auto">
        <a:xfrm>
          <a:off x="8615527" y="3247970"/>
          <a:ext cx="424227" cy="19561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9</xdr:col>
      <xdr:colOff>141502</xdr:colOff>
      <xdr:row>11</xdr:row>
      <xdr:rowOff>18316</xdr:rowOff>
    </xdr:from>
    <xdr:to>
      <xdr:col>9</xdr:col>
      <xdr:colOff>606793</xdr:colOff>
      <xdr:row>12</xdr:row>
      <xdr:rowOff>78135</xdr:rowOff>
    </xdr:to>
    <xdr:sp macro="" textlink="">
      <xdr:nvSpPr>
        <xdr:cNvPr id="34" name="Text Box 231">
          <a:extLst>
            <a:ext uri="{FF2B5EF4-FFF2-40B4-BE49-F238E27FC236}">
              <a16:creationId xmlns:a16="http://schemas.microsoft.com/office/drawing/2014/main" id="{00000000-0008-0000-0300-000022000000}"/>
            </a:ext>
          </a:extLst>
        </xdr:cNvPr>
        <xdr:cNvSpPr txBox="1">
          <a:spLocks noChangeArrowheads="1"/>
        </xdr:cNvSpPr>
      </xdr:nvSpPr>
      <xdr:spPr bwMode="auto">
        <a:xfrm>
          <a:off x="9775359" y="1814459"/>
          <a:ext cx="465291" cy="2231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CS(out)</a:t>
          </a:r>
        </a:p>
      </xdr:txBody>
    </xdr:sp>
    <xdr:clientData/>
  </xdr:twoCellAnchor>
  <xdr:twoCellAnchor>
    <xdr:from>
      <xdr:col>1</xdr:col>
      <xdr:colOff>575103</xdr:colOff>
      <xdr:row>15</xdr:row>
      <xdr:rowOff>71293</xdr:rowOff>
    </xdr:from>
    <xdr:to>
      <xdr:col>1</xdr:col>
      <xdr:colOff>1033728</xdr:colOff>
      <xdr:row>16</xdr:row>
      <xdr:rowOff>121097</xdr:rowOff>
    </xdr:to>
    <xdr:sp macro="" textlink="">
      <xdr:nvSpPr>
        <xdr:cNvPr id="35" name="Text Box 233">
          <a:extLst>
            <a:ext uri="{FF2B5EF4-FFF2-40B4-BE49-F238E27FC236}">
              <a16:creationId xmlns:a16="http://schemas.microsoft.com/office/drawing/2014/main" id="{00000000-0008-0000-0300-000023000000}"/>
            </a:ext>
          </a:extLst>
        </xdr:cNvPr>
        <xdr:cNvSpPr txBox="1">
          <a:spLocks noChangeArrowheads="1"/>
        </xdr:cNvSpPr>
      </xdr:nvSpPr>
      <xdr:spPr bwMode="auto">
        <a:xfrm>
          <a:off x="1213278" y="2500168"/>
          <a:ext cx="458625" cy="21172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DITH</a:t>
          </a:r>
        </a:p>
      </xdr:txBody>
    </xdr:sp>
    <xdr:clientData/>
  </xdr:twoCellAnchor>
  <xdr:twoCellAnchor>
    <xdr:from>
      <xdr:col>7</xdr:col>
      <xdr:colOff>920230</xdr:colOff>
      <xdr:row>27</xdr:row>
      <xdr:rowOff>76146</xdr:rowOff>
    </xdr:from>
    <xdr:to>
      <xdr:col>8</xdr:col>
      <xdr:colOff>33391</xdr:colOff>
      <xdr:row>28</xdr:row>
      <xdr:rowOff>131403</xdr:rowOff>
    </xdr:to>
    <xdr:sp macro="" textlink="">
      <xdr:nvSpPr>
        <xdr:cNvPr id="36" name="Text Box 234">
          <a:extLst>
            <a:ext uri="{FF2B5EF4-FFF2-40B4-BE49-F238E27FC236}">
              <a16:creationId xmlns:a16="http://schemas.microsoft.com/office/drawing/2014/main" id="{00000000-0008-0000-0300-000024000000}"/>
            </a:ext>
          </a:extLst>
        </xdr:cNvPr>
        <xdr:cNvSpPr txBox="1">
          <a:spLocks noChangeArrowheads="1"/>
        </xdr:cNvSpPr>
      </xdr:nvSpPr>
      <xdr:spPr bwMode="auto">
        <a:xfrm>
          <a:off x="8502130" y="4448121"/>
          <a:ext cx="189486" cy="21718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a:t>
          </a:r>
        </a:p>
      </xdr:txBody>
    </xdr:sp>
    <xdr:clientData/>
  </xdr:twoCellAnchor>
  <xdr:twoCellAnchor>
    <xdr:from>
      <xdr:col>7</xdr:col>
      <xdr:colOff>423180</xdr:colOff>
      <xdr:row>14</xdr:row>
      <xdr:rowOff>151191</xdr:rowOff>
    </xdr:from>
    <xdr:to>
      <xdr:col>7</xdr:col>
      <xdr:colOff>765561</xdr:colOff>
      <xdr:row>16</xdr:row>
      <xdr:rowOff>38470</xdr:rowOff>
    </xdr:to>
    <xdr:sp macro="" textlink="">
      <xdr:nvSpPr>
        <xdr:cNvPr id="37" name="Text Box 235">
          <a:extLst>
            <a:ext uri="{FF2B5EF4-FFF2-40B4-BE49-F238E27FC236}">
              <a16:creationId xmlns:a16="http://schemas.microsoft.com/office/drawing/2014/main" id="{00000000-0008-0000-0300-000025000000}"/>
            </a:ext>
          </a:extLst>
        </xdr:cNvPr>
        <xdr:cNvSpPr txBox="1">
          <a:spLocks noChangeArrowheads="1"/>
        </xdr:cNvSpPr>
      </xdr:nvSpPr>
      <xdr:spPr bwMode="auto">
        <a:xfrm>
          <a:off x="8005080" y="2418141"/>
          <a:ext cx="342381" cy="21112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4</xdr:col>
      <xdr:colOff>120315</xdr:colOff>
      <xdr:row>40</xdr:row>
      <xdr:rowOff>73324</xdr:rowOff>
    </xdr:from>
    <xdr:to>
      <xdr:col>4</xdr:col>
      <xdr:colOff>524058</xdr:colOff>
      <xdr:row>41</xdr:row>
      <xdr:rowOff>126640</xdr:rowOff>
    </xdr:to>
    <xdr:sp macro="" textlink="">
      <xdr:nvSpPr>
        <xdr:cNvPr id="38" name="Text Box 243">
          <a:extLst>
            <a:ext uri="{FF2B5EF4-FFF2-40B4-BE49-F238E27FC236}">
              <a16:creationId xmlns:a16="http://schemas.microsoft.com/office/drawing/2014/main" id="{00000000-0008-0000-0300-000026000000}"/>
            </a:ext>
          </a:extLst>
        </xdr:cNvPr>
        <xdr:cNvSpPr txBox="1">
          <a:spLocks noChangeArrowheads="1"/>
        </xdr:cNvSpPr>
      </xdr:nvSpPr>
      <xdr:spPr bwMode="auto">
        <a:xfrm>
          <a:off x="4530390" y="6550324"/>
          <a:ext cx="403743" cy="21524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100pF</a:t>
          </a:r>
        </a:p>
      </xdr:txBody>
    </xdr:sp>
    <xdr:clientData/>
  </xdr:twoCellAnchor>
  <xdr:twoCellAnchor>
    <xdr:from>
      <xdr:col>7</xdr:col>
      <xdr:colOff>230281</xdr:colOff>
      <xdr:row>19</xdr:row>
      <xdr:rowOff>118899</xdr:rowOff>
    </xdr:from>
    <xdr:to>
      <xdr:col>7</xdr:col>
      <xdr:colOff>481762</xdr:colOff>
      <xdr:row>20</xdr:row>
      <xdr:rowOff>159567</xdr:rowOff>
    </xdr:to>
    <xdr:sp macro="" textlink="">
      <xdr:nvSpPr>
        <xdr:cNvPr id="39" name="Text Box 244">
          <a:extLst>
            <a:ext uri="{FF2B5EF4-FFF2-40B4-BE49-F238E27FC236}">
              <a16:creationId xmlns:a16="http://schemas.microsoft.com/office/drawing/2014/main" id="{00000000-0008-0000-0300-000027000000}"/>
            </a:ext>
          </a:extLst>
        </xdr:cNvPr>
        <xdr:cNvSpPr txBox="1">
          <a:spLocks noChangeArrowheads="1"/>
        </xdr:cNvSpPr>
      </xdr:nvSpPr>
      <xdr:spPr bwMode="auto">
        <a:xfrm>
          <a:off x="7810867" y="3239158"/>
          <a:ext cx="251481" cy="2048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2</xdr:col>
      <xdr:colOff>690613</xdr:colOff>
      <xdr:row>7</xdr:row>
      <xdr:rowOff>112069</xdr:rowOff>
    </xdr:from>
    <xdr:to>
      <xdr:col>2</xdr:col>
      <xdr:colOff>1019019</xdr:colOff>
      <xdr:row>9</xdr:row>
      <xdr:rowOff>13359</xdr:rowOff>
    </xdr:to>
    <xdr:sp macro="" textlink="">
      <xdr:nvSpPr>
        <xdr:cNvPr id="40" name="Text Box 245">
          <a:extLst>
            <a:ext uri="{FF2B5EF4-FFF2-40B4-BE49-F238E27FC236}">
              <a16:creationId xmlns:a16="http://schemas.microsoft.com/office/drawing/2014/main" id="{00000000-0008-0000-0300-000028000000}"/>
            </a:ext>
          </a:extLst>
        </xdr:cNvPr>
        <xdr:cNvSpPr txBox="1">
          <a:spLocks noChangeArrowheads="1"/>
        </xdr:cNvSpPr>
      </xdr:nvSpPr>
      <xdr:spPr bwMode="auto">
        <a:xfrm>
          <a:off x="2681338" y="1245544"/>
          <a:ext cx="328406" cy="22514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VIN</a:t>
          </a:r>
        </a:p>
      </xdr:txBody>
    </xdr:sp>
    <xdr:clientData/>
  </xdr:twoCellAnchor>
  <xdr:twoCellAnchor>
    <xdr:from>
      <xdr:col>2</xdr:col>
      <xdr:colOff>604626</xdr:colOff>
      <xdr:row>4</xdr:row>
      <xdr:rowOff>101811</xdr:rowOff>
    </xdr:from>
    <xdr:to>
      <xdr:col>2</xdr:col>
      <xdr:colOff>930926</xdr:colOff>
      <xdr:row>5</xdr:row>
      <xdr:rowOff>137577</xdr:rowOff>
    </xdr:to>
    <xdr:sp macro="" textlink="">
      <xdr:nvSpPr>
        <xdr:cNvPr id="41" name="Text Box 246">
          <a:extLst>
            <a:ext uri="{FF2B5EF4-FFF2-40B4-BE49-F238E27FC236}">
              <a16:creationId xmlns:a16="http://schemas.microsoft.com/office/drawing/2014/main" id="{00000000-0008-0000-0300-000029000000}"/>
            </a:ext>
          </a:extLst>
        </xdr:cNvPr>
        <xdr:cNvSpPr txBox="1">
          <a:spLocks noChangeArrowheads="1"/>
        </xdr:cNvSpPr>
      </xdr:nvSpPr>
      <xdr:spPr bwMode="auto">
        <a:xfrm>
          <a:off x="2595351" y="749511"/>
          <a:ext cx="326300" cy="197691"/>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VIN</a:t>
          </a:r>
        </a:p>
      </xdr:txBody>
    </xdr:sp>
    <xdr:clientData/>
  </xdr:twoCellAnchor>
  <xdr:twoCellAnchor>
    <xdr:from>
      <xdr:col>4</xdr:col>
      <xdr:colOff>420809</xdr:colOff>
      <xdr:row>5</xdr:row>
      <xdr:rowOff>36340</xdr:rowOff>
    </xdr:from>
    <xdr:to>
      <xdr:col>4</xdr:col>
      <xdr:colOff>941827</xdr:colOff>
      <xdr:row>6</xdr:row>
      <xdr:rowOff>104790</xdr:rowOff>
    </xdr:to>
    <xdr:sp macro="" textlink="">
      <xdr:nvSpPr>
        <xdr:cNvPr id="42" name="Text Box 248">
          <a:extLst>
            <a:ext uri="{FF2B5EF4-FFF2-40B4-BE49-F238E27FC236}">
              <a16:creationId xmlns:a16="http://schemas.microsoft.com/office/drawing/2014/main" id="{00000000-0008-0000-0300-00002A000000}"/>
            </a:ext>
          </a:extLst>
        </xdr:cNvPr>
        <xdr:cNvSpPr txBox="1">
          <a:spLocks noChangeArrowheads="1"/>
        </xdr:cNvSpPr>
      </xdr:nvSpPr>
      <xdr:spPr bwMode="auto">
        <a:xfrm>
          <a:off x="4830884" y="845965"/>
          <a:ext cx="521018" cy="230375"/>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xdr:from>
      <xdr:col>5</xdr:col>
      <xdr:colOff>681590</xdr:colOff>
      <xdr:row>20</xdr:row>
      <xdr:rowOff>92429</xdr:rowOff>
    </xdr:from>
    <xdr:to>
      <xdr:col>5</xdr:col>
      <xdr:colOff>1050728</xdr:colOff>
      <xdr:row>21</xdr:row>
      <xdr:rowOff>132267</xdr:rowOff>
    </xdr:to>
    <xdr:sp macro="" textlink="">
      <xdr:nvSpPr>
        <xdr:cNvPr id="43" name="Text Box 249">
          <a:extLst>
            <a:ext uri="{FF2B5EF4-FFF2-40B4-BE49-F238E27FC236}">
              <a16:creationId xmlns:a16="http://schemas.microsoft.com/office/drawing/2014/main" id="{00000000-0008-0000-0300-00002B000000}"/>
            </a:ext>
          </a:extLst>
        </xdr:cNvPr>
        <xdr:cNvSpPr txBox="1">
          <a:spLocks noChangeArrowheads="1"/>
        </xdr:cNvSpPr>
      </xdr:nvSpPr>
      <xdr:spPr bwMode="auto">
        <a:xfrm>
          <a:off x="6239220" y="3405472"/>
          <a:ext cx="369138" cy="20549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1</xdr:col>
      <xdr:colOff>615609</xdr:colOff>
      <xdr:row>25</xdr:row>
      <xdr:rowOff>16697</xdr:rowOff>
    </xdr:from>
    <xdr:to>
      <xdr:col>1</xdr:col>
      <xdr:colOff>941178</xdr:colOff>
      <xdr:row>26</xdr:row>
      <xdr:rowOff>87108</xdr:rowOff>
    </xdr:to>
    <xdr:sp macro="" textlink="">
      <xdr:nvSpPr>
        <xdr:cNvPr id="45" name="Text Box 251">
          <a:extLst>
            <a:ext uri="{FF2B5EF4-FFF2-40B4-BE49-F238E27FC236}">
              <a16:creationId xmlns:a16="http://schemas.microsoft.com/office/drawing/2014/main" id="{00000000-0008-0000-0300-00002D000000}"/>
            </a:ext>
          </a:extLst>
        </xdr:cNvPr>
        <xdr:cNvSpPr txBox="1">
          <a:spLocks noChangeArrowheads="1"/>
        </xdr:cNvSpPr>
      </xdr:nvSpPr>
      <xdr:spPr bwMode="auto">
        <a:xfrm>
          <a:off x="1253370" y="4158001"/>
          <a:ext cx="325569" cy="2360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1</xdr:col>
      <xdr:colOff>620109</xdr:colOff>
      <xdr:row>35</xdr:row>
      <xdr:rowOff>18502</xdr:rowOff>
    </xdr:from>
    <xdr:to>
      <xdr:col>1</xdr:col>
      <xdr:colOff>975998</xdr:colOff>
      <xdr:row>36</xdr:row>
      <xdr:rowOff>58189</xdr:rowOff>
    </xdr:to>
    <xdr:sp macro="" textlink="">
      <xdr:nvSpPr>
        <xdr:cNvPr id="46" name="Text Box 255">
          <a:extLst>
            <a:ext uri="{FF2B5EF4-FFF2-40B4-BE49-F238E27FC236}">
              <a16:creationId xmlns:a16="http://schemas.microsoft.com/office/drawing/2014/main" id="{00000000-0008-0000-0300-00002E000000}"/>
            </a:ext>
          </a:extLst>
        </xdr:cNvPr>
        <xdr:cNvSpPr txBox="1">
          <a:spLocks noChangeArrowheads="1"/>
        </xdr:cNvSpPr>
      </xdr:nvSpPr>
      <xdr:spPr bwMode="auto">
        <a:xfrm>
          <a:off x="1258284" y="5685877"/>
          <a:ext cx="355889" cy="20161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0</xdr:col>
      <xdr:colOff>248672</xdr:colOff>
      <xdr:row>28</xdr:row>
      <xdr:rowOff>99817</xdr:rowOff>
    </xdr:from>
    <xdr:to>
      <xdr:col>0</xdr:col>
      <xdr:colOff>496177</xdr:colOff>
      <xdr:row>29</xdr:row>
      <xdr:rowOff>147296</xdr:rowOff>
    </xdr:to>
    <xdr:sp macro="" textlink="">
      <xdr:nvSpPr>
        <xdr:cNvPr id="47" name="Text Box 256">
          <a:extLst>
            <a:ext uri="{FF2B5EF4-FFF2-40B4-BE49-F238E27FC236}">
              <a16:creationId xmlns:a16="http://schemas.microsoft.com/office/drawing/2014/main" id="{00000000-0008-0000-0300-00002F000000}"/>
            </a:ext>
          </a:extLst>
        </xdr:cNvPr>
        <xdr:cNvSpPr txBox="1">
          <a:spLocks noChangeArrowheads="1"/>
        </xdr:cNvSpPr>
      </xdr:nvSpPr>
      <xdr:spPr bwMode="auto">
        <a:xfrm>
          <a:off x="248672" y="4633717"/>
          <a:ext cx="247505" cy="20940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1</xdr:col>
      <xdr:colOff>513058</xdr:colOff>
      <xdr:row>32</xdr:row>
      <xdr:rowOff>14364</xdr:rowOff>
    </xdr:from>
    <xdr:to>
      <xdr:col>1</xdr:col>
      <xdr:colOff>826519</xdr:colOff>
      <xdr:row>33</xdr:row>
      <xdr:rowOff>80087</xdr:rowOff>
    </xdr:to>
    <xdr:sp macro="" textlink="">
      <xdr:nvSpPr>
        <xdr:cNvPr id="48" name="Text Box 257">
          <a:extLst>
            <a:ext uri="{FF2B5EF4-FFF2-40B4-BE49-F238E27FC236}">
              <a16:creationId xmlns:a16="http://schemas.microsoft.com/office/drawing/2014/main" id="{00000000-0008-0000-0300-000030000000}"/>
            </a:ext>
          </a:extLst>
        </xdr:cNvPr>
        <xdr:cNvSpPr txBox="1">
          <a:spLocks noChangeArrowheads="1"/>
        </xdr:cNvSpPr>
      </xdr:nvSpPr>
      <xdr:spPr bwMode="auto">
        <a:xfrm>
          <a:off x="1151233" y="5195964"/>
          <a:ext cx="313461" cy="22764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1</xdr:col>
      <xdr:colOff>373551</xdr:colOff>
      <xdr:row>29</xdr:row>
      <xdr:rowOff>70727</xdr:rowOff>
    </xdr:from>
    <xdr:to>
      <xdr:col>1</xdr:col>
      <xdr:colOff>865344</xdr:colOff>
      <xdr:row>30</xdr:row>
      <xdr:rowOff>141637</xdr:rowOff>
    </xdr:to>
    <xdr:sp macro="" textlink="">
      <xdr:nvSpPr>
        <xdr:cNvPr id="49" name="Text Box 258">
          <a:extLst>
            <a:ext uri="{FF2B5EF4-FFF2-40B4-BE49-F238E27FC236}">
              <a16:creationId xmlns:a16="http://schemas.microsoft.com/office/drawing/2014/main" id="{00000000-0008-0000-0300-000031000000}"/>
            </a:ext>
          </a:extLst>
        </xdr:cNvPr>
        <xdr:cNvSpPr txBox="1">
          <a:spLocks noChangeArrowheads="1"/>
        </xdr:cNvSpPr>
      </xdr:nvSpPr>
      <xdr:spPr bwMode="auto">
        <a:xfrm>
          <a:off x="1011726" y="4766552"/>
          <a:ext cx="491793" cy="232835"/>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3</xdr:col>
      <xdr:colOff>995933</xdr:colOff>
      <xdr:row>40</xdr:row>
      <xdr:rowOff>24379</xdr:rowOff>
    </xdr:from>
    <xdr:to>
      <xdr:col>4</xdr:col>
      <xdr:colOff>8382</xdr:colOff>
      <xdr:row>41</xdr:row>
      <xdr:rowOff>74707</xdr:rowOff>
    </xdr:to>
    <xdr:sp macro="" textlink="">
      <xdr:nvSpPr>
        <xdr:cNvPr id="50" name="Text Box 259">
          <a:extLst>
            <a:ext uri="{FF2B5EF4-FFF2-40B4-BE49-F238E27FC236}">
              <a16:creationId xmlns:a16="http://schemas.microsoft.com/office/drawing/2014/main" id="{00000000-0008-0000-0300-000032000000}"/>
            </a:ext>
          </a:extLst>
        </xdr:cNvPr>
        <xdr:cNvSpPr txBox="1">
          <a:spLocks noChangeArrowheads="1"/>
        </xdr:cNvSpPr>
      </xdr:nvSpPr>
      <xdr:spPr bwMode="auto">
        <a:xfrm>
          <a:off x="4062983" y="6501379"/>
          <a:ext cx="355474" cy="21225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CS</a:t>
          </a:r>
        </a:p>
      </xdr:txBody>
    </xdr:sp>
    <xdr:clientData/>
  </xdr:twoCellAnchor>
  <xdr:twoCellAnchor>
    <xdr:from>
      <xdr:col>5</xdr:col>
      <xdr:colOff>680852</xdr:colOff>
      <xdr:row>22</xdr:row>
      <xdr:rowOff>30506</xdr:rowOff>
    </xdr:from>
    <xdr:to>
      <xdr:col>5</xdr:col>
      <xdr:colOff>1092245</xdr:colOff>
      <xdr:row>23</xdr:row>
      <xdr:rowOff>102262</xdr:rowOff>
    </xdr:to>
    <xdr:sp macro="" textlink="">
      <xdr:nvSpPr>
        <xdr:cNvPr id="51" name="Text Box 260">
          <a:extLst>
            <a:ext uri="{FF2B5EF4-FFF2-40B4-BE49-F238E27FC236}">
              <a16:creationId xmlns:a16="http://schemas.microsoft.com/office/drawing/2014/main" id="{00000000-0008-0000-0300-000033000000}"/>
            </a:ext>
          </a:extLst>
        </xdr:cNvPr>
        <xdr:cNvSpPr txBox="1">
          <a:spLocks noChangeArrowheads="1"/>
        </xdr:cNvSpPr>
      </xdr:nvSpPr>
      <xdr:spPr bwMode="auto">
        <a:xfrm>
          <a:off x="6238197" y="3643437"/>
          <a:ext cx="411393" cy="2359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1</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1</xdr:col>
      <xdr:colOff>475307</xdr:colOff>
      <xdr:row>33</xdr:row>
      <xdr:rowOff>47050</xdr:rowOff>
    </xdr:from>
    <xdr:to>
      <xdr:col>1</xdr:col>
      <xdr:colOff>976607</xdr:colOff>
      <xdr:row>34</xdr:row>
      <xdr:rowOff>93389</xdr:rowOff>
    </xdr:to>
    <xdr:sp macro="" textlink="'Variable Management'!B493">
      <xdr:nvSpPr>
        <xdr:cNvPr id="52" name="Text Box 261">
          <a:extLst>
            <a:ext uri="{FF2B5EF4-FFF2-40B4-BE49-F238E27FC236}">
              <a16:creationId xmlns:a16="http://schemas.microsoft.com/office/drawing/2014/main" id="{00000000-0008-0000-0300-000034000000}"/>
            </a:ext>
          </a:extLst>
        </xdr:cNvPr>
        <xdr:cNvSpPr txBox="1">
          <a:spLocks noChangeArrowheads="1" noTextEdit="1"/>
        </xdr:cNvSpPr>
      </xdr:nvSpPr>
      <xdr:spPr bwMode="auto">
        <a:xfrm>
          <a:off x="1113482" y="5390575"/>
          <a:ext cx="501300" cy="208264"/>
        </a:xfrm>
        <a:prstGeom prst="rect">
          <a:avLst/>
        </a:prstGeom>
        <a:noFill/>
        <a:ln w="9525">
          <a:noFill/>
          <a:miter lim="800000"/>
          <a:headEnd/>
          <a:tailEnd/>
        </a:ln>
      </xdr:spPr>
      <xdr:txBody>
        <a:bodyPr vertOverflow="clip" wrap="square" lIns="27432" tIns="22860" rIns="0" bIns="0" anchor="t" upright="1"/>
        <a:lstStyle/>
        <a:p>
          <a:pPr algn="l" rtl="0">
            <a:defRPr sz="1000"/>
          </a:pPr>
          <a:fld id="{491934A6-59AB-480F-A883-A2630DEA4784}" type="TxLink">
            <a:rPr lang="en-US" sz="1000" b="0" i="0" u="none" strike="noStrike" baseline="0">
              <a:solidFill>
                <a:srgbClr val="000000"/>
              </a:solidFill>
              <a:latin typeface="Arial" pitchFamily="34" charset="0"/>
              <a:cs typeface="Arial" pitchFamily="34" charset="0"/>
            </a:rPr>
            <a:pPr algn="l" rtl="0">
              <a:defRPr sz="1000"/>
            </a:pPr>
            <a:t>100nF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65780</xdr:colOff>
      <xdr:row>29</xdr:row>
      <xdr:rowOff>152907</xdr:rowOff>
    </xdr:from>
    <xdr:to>
      <xdr:col>0</xdr:col>
      <xdr:colOff>493109</xdr:colOff>
      <xdr:row>31</xdr:row>
      <xdr:rowOff>28938</xdr:rowOff>
    </xdr:to>
    <xdr:sp macro="" textlink="'Variable Management'!B494">
      <xdr:nvSpPr>
        <xdr:cNvPr id="53" name="Text Box 262">
          <a:extLst>
            <a:ext uri="{FF2B5EF4-FFF2-40B4-BE49-F238E27FC236}">
              <a16:creationId xmlns:a16="http://schemas.microsoft.com/office/drawing/2014/main" id="{00000000-0008-0000-0300-000035000000}"/>
            </a:ext>
          </a:extLst>
        </xdr:cNvPr>
        <xdr:cNvSpPr txBox="1">
          <a:spLocks noChangeArrowheads="1" noTextEdit="1"/>
        </xdr:cNvSpPr>
      </xdr:nvSpPr>
      <xdr:spPr bwMode="auto">
        <a:xfrm>
          <a:off x="65780" y="4848732"/>
          <a:ext cx="427329" cy="199881"/>
        </a:xfrm>
        <a:prstGeom prst="rect">
          <a:avLst/>
        </a:prstGeom>
        <a:noFill/>
        <a:ln w="9525">
          <a:noFill/>
          <a:miter lim="800000"/>
          <a:headEnd/>
          <a:tailEnd/>
        </a:ln>
      </xdr:spPr>
      <xdr:txBody>
        <a:bodyPr vertOverflow="clip" wrap="square" lIns="27432" tIns="22860" rIns="0" bIns="0" anchor="t"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1000pF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308705</xdr:colOff>
      <xdr:row>36</xdr:row>
      <xdr:rowOff>59874</xdr:rowOff>
    </xdr:from>
    <xdr:to>
      <xdr:col>1</xdr:col>
      <xdr:colOff>915457</xdr:colOff>
      <xdr:row>37</xdr:row>
      <xdr:rowOff>101302</xdr:rowOff>
    </xdr:to>
    <xdr:sp macro="" textlink="'Variable Management'!B503">
      <xdr:nvSpPr>
        <xdr:cNvPr id="54" name="Text Box 264">
          <a:extLst>
            <a:ext uri="{FF2B5EF4-FFF2-40B4-BE49-F238E27FC236}">
              <a16:creationId xmlns:a16="http://schemas.microsoft.com/office/drawing/2014/main" id="{00000000-0008-0000-0300-000036000000}"/>
            </a:ext>
          </a:extLst>
        </xdr:cNvPr>
        <xdr:cNvSpPr txBox="1">
          <a:spLocks noChangeArrowheads="1" noTextEdit="1"/>
        </xdr:cNvSpPr>
      </xdr:nvSpPr>
      <xdr:spPr bwMode="auto">
        <a:xfrm>
          <a:off x="946880" y="5889174"/>
          <a:ext cx="606752" cy="203353"/>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6.04kΩ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331510</xdr:colOff>
      <xdr:row>6</xdr:row>
      <xdr:rowOff>15898</xdr:rowOff>
    </xdr:from>
    <xdr:to>
      <xdr:col>1</xdr:col>
      <xdr:colOff>150224</xdr:colOff>
      <xdr:row>7</xdr:row>
      <xdr:rowOff>105957</xdr:rowOff>
    </xdr:to>
    <xdr:sp macro="" textlink="'Variable Management'!B495">
      <xdr:nvSpPr>
        <xdr:cNvPr id="55" name="Text Box 265">
          <a:extLst>
            <a:ext uri="{FF2B5EF4-FFF2-40B4-BE49-F238E27FC236}">
              <a16:creationId xmlns:a16="http://schemas.microsoft.com/office/drawing/2014/main" id="{00000000-0008-0000-0300-000037000000}"/>
            </a:ext>
          </a:extLst>
        </xdr:cNvPr>
        <xdr:cNvSpPr txBox="1">
          <a:spLocks noChangeArrowheads="1" noTextEdit="1"/>
        </xdr:cNvSpPr>
      </xdr:nvSpPr>
      <xdr:spPr bwMode="auto">
        <a:xfrm>
          <a:off x="331510" y="987448"/>
          <a:ext cx="399739" cy="251984"/>
        </a:xfrm>
        <a:prstGeom prst="rect">
          <a:avLst/>
        </a:prstGeom>
        <a:noFill/>
        <a:ln w="9525">
          <a:noFill/>
          <a:miter lim="800000"/>
          <a:headEnd/>
          <a:tailEnd/>
        </a:ln>
      </xdr:spPr>
      <xdr:txBody>
        <a:bodyPr vertOverflow="clip" wrap="square" lIns="27432" tIns="22860" rIns="0" bIns="0" anchor="t" upright="1"/>
        <a:lstStyle/>
        <a:p>
          <a:pPr algn="ctr" rtl="0">
            <a:defRPr sz="1000"/>
          </a:pPr>
          <a:fld id="{8A5847E3-10F5-4FFF-8A55-57AE8AD8F48A}" type="TxLink">
            <a:rPr lang="el-GR" sz="1000" b="0" i="0" u="none" strike="noStrike" baseline="0">
              <a:solidFill>
                <a:srgbClr val="000000"/>
              </a:solidFill>
              <a:latin typeface="Arial" pitchFamily="34" charset="0"/>
              <a:cs typeface="Arial" pitchFamily="34" charset="0"/>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342427</xdr:colOff>
      <xdr:row>23</xdr:row>
      <xdr:rowOff>11119</xdr:rowOff>
    </xdr:from>
    <xdr:to>
      <xdr:col>1</xdr:col>
      <xdr:colOff>241897</xdr:colOff>
      <xdr:row>24</xdr:row>
      <xdr:rowOff>30597</xdr:rowOff>
    </xdr:to>
    <xdr:sp macro="" textlink="'Variable Management'!B500">
      <xdr:nvSpPr>
        <xdr:cNvPr id="56" name="Text Box 266">
          <a:extLst>
            <a:ext uri="{FF2B5EF4-FFF2-40B4-BE49-F238E27FC236}">
              <a16:creationId xmlns:a16="http://schemas.microsoft.com/office/drawing/2014/main" id="{00000000-0008-0000-0300-000038000000}"/>
            </a:ext>
          </a:extLst>
        </xdr:cNvPr>
        <xdr:cNvSpPr txBox="1">
          <a:spLocks noChangeArrowheads="1" noTextEdit="1"/>
        </xdr:cNvSpPr>
      </xdr:nvSpPr>
      <xdr:spPr bwMode="auto">
        <a:xfrm>
          <a:off x="342427" y="3821119"/>
          <a:ext cx="537231" cy="185130"/>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138114</xdr:colOff>
      <xdr:row>39</xdr:row>
      <xdr:rowOff>24182</xdr:rowOff>
    </xdr:from>
    <xdr:to>
      <xdr:col>2</xdr:col>
      <xdr:colOff>737223</xdr:colOff>
      <xdr:row>40</xdr:row>
      <xdr:rowOff>100589</xdr:rowOff>
    </xdr:to>
    <xdr:sp macro="" textlink="'Variable Management'!B502">
      <xdr:nvSpPr>
        <xdr:cNvPr id="58" name="Text Box 268">
          <a:extLst>
            <a:ext uri="{FF2B5EF4-FFF2-40B4-BE49-F238E27FC236}">
              <a16:creationId xmlns:a16="http://schemas.microsoft.com/office/drawing/2014/main" id="{00000000-0008-0000-0300-00003A000000}"/>
            </a:ext>
          </a:extLst>
        </xdr:cNvPr>
        <xdr:cNvSpPr txBox="1">
          <a:spLocks noChangeArrowheads="1" noTextEdit="1"/>
        </xdr:cNvSpPr>
      </xdr:nvSpPr>
      <xdr:spPr bwMode="auto">
        <a:xfrm>
          <a:off x="2128839" y="6339257"/>
          <a:ext cx="599109" cy="238332"/>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82kΩ</a:t>
          </a:fld>
          <a:endParaRPr lang="el-GR" sz="1000" b="0" i="0" strike="noStrike">
            <a:solidFill>
              <a:srgbClr val="000000"/>
            </a:solidFill>
            <a:latin typeface="Arial" pitchFamily="34" charset="0"/>
            <a:cs typeface="Arial" pitchFamily="34" charset="0"/>
          </a:endParaRPr>
        </a:p>
      </xdr:txBody>
    </xdr:sp>
    <xdr:clientData/>
  </xdr:twoCellAnchor>
  <xdr:twoCellAnchor>
    <xdr:from>
      <xdr:col>7</xdr:col>
      <xdr:colOff>871333</xdr:colOff>
      <xdr:row>28</xdr:row>
      <xdr:rowOff>94989</xdr:rowOff>
    </xdr:from>
    <xdr:to>
      <xdr:col>8</xdr:col>
      <xdr:colOff>238953</xdr:colOff>
      <xdr:row>29</xdr:row>
      <xdr:rowOff>153991</xdr:rowOff>
    </xdr:to>
    <xdr:sp macro="" textlink="'Variable Management'!B479">
      <xdr:nvSpPr>
        <xdr:cNvPr id="59" name="Text Box 269">
          <a:extLst>
            <a:ext uri="{FF2B5EF4-FFF2-40B4-BE49-F238E27FC236}">
              <a16:creationId xmlns:a16="http://schemas.microsoft.com/office/drawing/2014/main" id="{00000000-0008-0000-0300-00003B000000}"/>
            </a:ext>
          </a:extLst>
        </xdr:cNvPr>
        <xdr:cNvSpPr txBox="1">
          <a:spLocks noChangeArrowheads="1" noTextEdit="1"/>
        </xdr:cNvSpPr>
      </xdr:nvSpPr>
      <xdr:spPr bwMode="auto">
        <a:xfrm>
          <a:off x="8453233" y="4628889"/>
          <a:ext cx="443945" cy="220927"/>
        </a:xfrm>
        <a:prstGeom prst="rect">
          <a:avLst/>
        </a:prstGeom>
        <a:noFill/>
        <a:ln w="9525">
          <a:noFill/>
          <a:miter lim="800000"/>
          <a:headEnd/>
          <a:tailEnd/>
        </a:ln>
      </xdr:spPr>
      <xdr:txBody>
        <a:bodyPr vertOverflow="clip" wrap="square" lIns="27432" tIns="22860" rIns="0" bIns="0" anchor="t" upright="1"/>
        <a:lstStyle/>
        <a:p>
          <a:pPr algn="l" rtl="0">
            <a:defRPr sz="1000"/>
          </a:pPr>
          <a:fld id="{93CAFF9C-D0F9-46B6-B2B7-EF65E2F3688F}" type="TxLink">
            <a:rPr lang="en-US" sz="1000" b="0" i="0" u="none" strike="noStrike" baseline="0">
              <a:solidFill>
                <a:srgbClr val="000000"/>
              </a:solidFill>
              <a:latin typeface="Arialri"/>
              <a:cs typeface="Arial" pitchFamily="34" charset="0"/>
            </a:rPr>
            <a:pPr algn="l" rtl="0">
              <a:defRPr sz="1000"/>
            </a:pPr>
            <a:t>2.5mΩ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9</xdr:col>
      <xdr:colOff>152402</xdr:colOff>
      <xdr:row>12</xdr:row>
      <xdr:rowOff>50107</xdr:rowOff>
    </xdr:from>
    <xdr:to>
      <xdr:col>9</xdr:col>
      <xdr:colOff>720245</xdr:colOff>
      <xdr:row>13</xdr:row>
      <xdr:rowOff>96840</xdr:rowOff>
    </xdr:to>
    <xdr:sp macro="" textlink="'Variable Management'!B515">
      <xdr:nvSpPr>
        <xdr:cNvPr id="60" name="Text Box 270">
          <a:extLst>
            <a:ext uri="{FF2B5EF4-FFF2-40B4-BE49-F238E27FC236}">
              <a16:creationId xmlns:a16="http://schemas.microsoft.com/office/drawing/2014/main" id="{00000000-0008-0000-0300-00003C000000}"/>
            </a:ext>
          </a:extLst>
        </xdr:cNvPr>
        <xdr:cNvSpPr txBox="1">
          <a:spLocks noChangeArrowheads="1" noTextEdit="1"/>
        </xdr:cNvSpPr>
      </xdr:nvSpPr>
      <xdr:spPr bwMode="auto">
        <a:xfrm>
          <a:off x="9791702" y="1993207"/>
          <a:ext cx="567843" cy="208658"/>
        </a:xfrm>
        <a:prstGeom prst="rect">
          <a:avLst/>
        </a:prstGeom>
        <a:noFill/>
        <a:ln w="9525">
          <a:noFill/>
          <a:miter lim="800000"/>
          <a:headEnd/>
          <a:tailEnd/>
        </a:ln>
      </xdr:spPr>
      <xdr:txBody>
        <a:bodyPr vertOverflow="clip" wrap="square" lIns="27432" tIns="22860" rIns="0" bIns="0" anchor="t" upright="1"/>
        <a:lstStyle/>
        <a:p>
          <a:pPr algn="l" rtl="0">
            <a:defRPr sz="1000"/>
          </a:pPr>
          <a:fld id="{7B92BB06-DA54-414A-9DCD-8FA61A7BAA13}" type="TxLink">
            <a:rPr lang="en-US" sz="1000" b="0" i="0" u="none" strike="noStrike" baseline="0">
              <a:solidFill>
                <a:srgbClr val="000000"/>
              </a:solidFill>
              <a:latin typeface="Arialri"/>
              <a:cs typeface="Arial" pitchFamily="34" charset="0"/>
            </a:rPr>
            <a:pPr algn="l" rtl="0">
              <a:defRPr sz="1000"/>
            </a:pPr>
            <a:t>10mΩ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429021</xdr:colOff>
      <xdr:row>16</xdr:row>
      <xdr:rowOff>76214</xdr:rowOff>
    </xdr:from>
    <xdr:to>
      <xdr:col>1</xdr:col>
      <xdr:colOff>907105</xdr:colOff>
      <xdr:row>18</xdr:row>
      <xdr:rowOff>1354</xdr:rowOff>
    </xdr:to>
    <xdr:sp macro="" textlink="'Variable Management'!B511">
      <xdr:nvSpPr>
        <xdr:cNvPr id="61" name="Text Box 274">
          <a:extLst>
            <a:ext uri="{FF2B5EF4-FFF2-40B4-BE49-F238E27FC236}">
              <a16:creationId xmlns:a16="http://schemas.microsoft.com/office/drawing/2014/main" id="{00000000-0008-0000-0300-00003D000000}"/>
            </a:ext>
          </a:extLst>
        </xdr:cNvPr>
        <xdr:cNvSpPr txBox="1">
          <a:spLocks noChangeArrowheads="1" noTextEdit="1"/>
        </xdr:cNvSpPr>
      </xdr:nvSpPr>
      <xdr:spPr bwMode="auto">
        <a:xfrm>
          <a:off x="1067196" y="2667014"/>
          <a:ext cx="478084" cy="248990"/>
        </a:xfrm>
        <a:prstGeom prst="rect">
          <a:avLst/>
        </a:prstGeom>
        <a:noFill/>
        <a:ln w="9525">
          <a:noFill/>
          <a:miter lim="800000"/>
          <a:headEnd/>
          <a:tailEnd/>
        </a:ln>
      </xdr:spPr>
      <xdr:txBody>
        <a:bodyPr vertOverflow="clip" wrap="square" lIns="27432" tIns="22860" rIns="0" bIns="0" anchor="ctr" upright="1"/>
        <a:lstStyle/>
        <a:p>
          <a:pPr algn="r" rtl="0">
            <a:defRPr sz="1000"/>
          </a:pPr>
          <a:fld id="{0DC16DAA-59E9-44C1-A2D2-01ECF4509AE4}" type="TxLink">
            <a:rPr lang="en-US" sz="1000" b="0" i="0" u="none" strike="noStrike">
              <a:solidFill>
                <a:srgbClr val="000000"/>
              </a:solidFill>
              <a:latin typeface="Arial" pitchFamily="34" charset="0"/>
              <a:cs typeface="Arial" pitchFamily="34" charset="0"/>
            </a:rPr>
            <a:pPr algn="r" rtl="0">
              <a:defRPr sz="1000"/>
            </a:pPr>
            <a:t>0nF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716970</xdr:colOff>
      <xdr:row>14</xdr:row>
      <xdr:rowOff>56268</xdr:rowOff>
    </xdr:from>
    <xdr:to>
      <xdr:col>8</xdr:col>
      <xdr:colOff>89785</xdr:colOff>
      <xdr:row>15</xdr:row>
      <xdr:rowOff>135004</xdr:rowOff>
    </xdr:to>
    <xdr:sp macro="" textlink="'Variable Management'!B477">
      <xdr:nvSpPr>
        <xdr:cNvPr id="62" name="Text Box 275">
          <a:extLst>
            <a:ext uri="{FF2B5EF4-FFF2-40B4-BE49-F238E27FC236}">
              <a16:creationId xmlns:a16="http://schemas.microsoft.com/office/drawing/2014/main" id="{00000000-0008-0000-0300-00003E000000}"/>
            </a:ext>
          </a:extLst>
        </xdr:cNvPr>
        <xdr:cNvSpPr txBox="1">
          <a:spLocks noChangeArrowheads="1" noTextEdit="1"/>
        </xdr:cNvSpPr>
      </xdr:nvSpPr>
      <xdr:spPr bwMode="auto">
        <a:xfrm>
          <a:off x="8298870" y="2323218"/>
          <a:ext cx="449140" cy="240661"/>
        </a:xfrm>
        <a:prstGeom prst="rect">
          <a:avLst/>
        </a:prstGeom>
        <a:noFill/>
        <a:ln w="9525">
          <a:noFill/>
          <a:miter lim="800000"/>
          <a:headEnd/>
          <a:tailEnd/>
        </a:ln>
      </xdr:spPr>
      <xdr:txBody>
        <a:bodyPr vertOverflow="clip" wrap="square" lIns="27432" tIns="22860" rIns="0" bIns="0" anchor="ctr" upright="1"/>
        <a:lstStyle/>
        <a:p>
          <a:pPr algn="l" rtl="0">
            <a:defRPr sz="1000"/>
          </a:pPr>
          <a:fld id="{ED0F9337-3E5A-436B-8905-45EE6C1A24BF}" type="TxLink">
            <a:rPr lang="en-US" sz="1000" b="0" i="0" u="none" strike="noStrike" baseline="0">
              <a:solidFill>
                <a:srgbClr val="000000"/>
              </a:solidFill>
              <a:latin typeface="Arialri"/>
              <a:cs typeface="Arial" pitchFamily="34" charset="0"/>
            </a:rPr>
            <a:pPr algn="l" rtl="0">
              <a:defRPr sz="1000"/>
            </a:pPr>
            <a:t>2.64µH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980756</xdr:colOff>
      <xdr:row>7</xdr:row>
      <xdr:rowOff>136396</xdr:rowOff>
    </xdr:from>
    <xdr:to>
      <xdr:col>3</xdr:col>
      <xdr:colOff>278958</xdr:colOff>
      <xdr:row>9</xdr:row>
      <xdr:rowOff>33148</xdr:rowOff>
    </xdr:to>
    <xdr:sp macro="" textlink="">
      <xdr:nvSpPr>
        <xdr:cNvPr id="64" name="Text Box 277">
          <a:extLst>
            <a:ext uri="{FF2B5EF4-FFF2-40B4-BE49-F238E27FC236}">
              <a16:creationId xmlns:a16="http://schemas.microsoft.com/office/drawing/2014/main" id="{00000000-0008-0000-0300-000040000000}"/>
            </a:ext>
          </a:extLst>
        </xdr:cNvPr>
        <xdr:cNvSpPr txBox="1">
          <a:spLocks noChangeArrowheads="1"/>
        </xdr:cNvSpPr>
      </xdr:nvSpPr>
      <xdr:spPr bwMode="auto">
        <a:xfrm>
          <a:off x="2971481" y="1269871"/>
          <a:ext cx="374527" cy="220602"/>
        </a:xfrm>
        <a:prstGeom prst="rect">
          <a:avLst/>
        </a:prstGeom>
        <a:noFill/>
        <a:ln w="9525">
          <a:noFill/>
          <a:miter lim="800000"/>
          <a:headEnd/>
          <a:tailEnd/>
        </a:ln>
      </xdr:spPr>
      <xdr:txBody>
        <a:bodyPr vertOverflow="clip" wrap="square" lIns="27432" tIns="22860" rIns="0" bIns="0" anchor="t" upright="1"/>
        <a:lstStyle/>
        <a:p>
          <a:pPr algn="l" rtl="0">
            <a:defRPr sz="1000"/>
          </a:pPr>
          <a:r>
            <a:rPr lang="el-GR" sz="1000" b="0" i="0" strike="noStrike">
              <a:solidFill>
                <a:srgbClr val="000000"/>
              </a:solidFill>
              <a:latin typeface="Arial" pitchFamily="34" charset="0"/>
              <a:cs typeface="Arial" pitchFamily="34" charset="0"/>
            </a:rPr>
            <a:t>2.2Ω</a:t>
          </a:r>
        </a:p>
      </xdr:txBody>
    </xdr:sp>
    <xdr:clientData/>
  </xdr:twoCellAnchor>
  <xdr:twoCellAnchor>
    <xdr:from>
      <xdr:col>2</xdr:col>
      <xdr:colOff>997828</xdr:colOff>
      <xdr:row>4</xdr:row>
      <xdr:rowOff>118970</xdr:rowOff>
    </xdr:from>
    <xdr:to>
      <xdr:col>3</xdr:col>
      <xdr:colOff>294718</xdr:colOff>
      <xdr:row>6</xdr:row>
      <xdr:rowOff>1420</xdr:rowOff>
    </xdr:to>
    <xdr:sp macro="" textlink="">
      <xdr:nvSpPr>
        <xdr:cNvPr id="65" name="Text Box 278">
          <a:extLst>
            <a:ext uri="{FF2B5EF4-FFF2-40B4-BE49-F238E27FC236}">
              <a16:creationId xmlns:a16="http://schemas.microsoft.com/office/drawing/2014/main" id="{00000000-0008-0000-0300-000041000000}"/>
            </a:ext>
          </a:extLst>
        </xdr:cNvPr>
        <xdr:cNvSpPr txBox="1">
          <a:spLocks noChangeArrowheads="1"/>
        </xdr:cNvSpPr>
      </xdr:nvSpPr>
      <xdr:spPr bwMode="auto">
        <a:xfrm>
          <a:off x="2988553" y="766670"/>
          <a:ext cx="373215" cy="206300"/>
        </a:xfrm>
        <a:prstGeom prst="rect">
          <a:avLst/>
        </a:prstGeom>
        <a:noFill/>
        <a:ln w="9525">
          <a:noFill/>
          <a:miter lim="800000"/>
          <a:headEnd/>
          <a:tailEnd/>
        </a:ln>
      </xdr:spPr>
      <xdr:txBody>
        <a:bodyPr vertOverflow="clip" wrap="square" lIns="27432" tIns="22860" rIns="0" bIns="0" anchor="ctr" upright="1"/>
        <a:lstStyle/>
        <a:p>
          <a:pPr algn="ctr" rtl="0">
            <a:defRPr sz="1000"/>
          </a:pPr>
          <a:r>
            <a:rPr lang="en-US" sz="1000" b="0" i="0" strike="noStrike">
              <a:solidFill>
                <a:srgbClr val="000000"/>
              </a:solidFill>
              <a:latin typeface="Arial" pitchFamily="34" charset="0"/>
              <a:cs typeface="Arial" pitchFamily="34" charset="0"/>
            </a:rPr>
            <a:t>0.1µF</a:t>
          </a:r>
        </a:p>
      </xdr:txBody>
    </xdr:sp>
    <xdr:clientData/>
  </xdr:twoCellAnchor>
  <xdr:twoCellAnchor>
    <xdr:from>
      <xdr:col>3</xdr:col>
      <xdr:colOff>869838</xdr:colOff>
      <xdr:row>5</xdr:row>
      <xdr:rowOff>157620</xdr:rowOff>
    </xdr:from>
    <xdr:to>
      <xdr:col>3</xdr:col>
      <xdr:colOff>1237172</xdr:colOff>
      <xdr:row>7</xdr:row>
      <xdr:rowOff>51606</xdr:rowOff>
    </xdr:to>
    <xdr:sp macro="" textlink="">
      <xdr:nvSpPr>
        <xdr:cNvPr id="66" name="Text Box 279">
          <a:extLst>
            <a:ext uri="{FF2B5EF4-FFF2-40B4-BE49-F238E27FC236}">
              <a16:creationId xmlns:a16="http://schemas.microsoft.com/office/drawing/2014/main" id="{00000000-0008-0000-0300-000042000000}"/>
            </a:ext>
          </a:extLst>
        </xdr:cNvPr>
        <xdr:cNvSpPr txBox="1">
          <a:spLocks noChangeArrowheads="1"/>
        </xdr:cNvSpPr>
      </xdr:nvSpPr>
      <xdr:spPr bwMode="auto">
        <a:xfrm>
          <a:off x="3936888" y="967245"/>
          <a:ext cx="367334" cy="217836"/>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1</xdr:col>
      <xdr:colOff>554935</xdr:colOff>
      <xdr:row>26</xdr:row>
      <xdr:rowOff>53675</xdr:rowOff>
    </xdr:from>
    <xdr:to>
      <xdr:col>1</xdr:col>
      <xdr:colOff>982330</xdr:colOff>
      <xdr:row>27</xdr:row>
      <xdr:rowOff>107675</xdr:rowOff>
    </xdr:to>
    <xdr:sp macro="" textlink="'Variable Management'!B521">
      <xdr:nvSpPr>
        <xdr:cNvPr id="67" name="Text Box 281">
          <a:extLst>
            <a:ext uri="{FF2B5EF4-FFF2-40B4-BE49-F238E27FC236}">
              <a16:creationId xmlns:a16="http://schemas.microsoft.com/office/drawing/2014/main" id="{00000000-0008-0000-0300-000043000000}"/>
            </a:ext>
          </a:extLst>
        </xdr:cNvPr>
        <xdr:cNvSpPr txBox="1">
          <a:spLocks noChangeArrowheads="1" noTextEdit="1"/>
        </xdr:cNvSpPr>
      </xdr:nvSpPr>
      <xdr:spPr bwMode="auto">
        <a:xfrm>
          <a:off x="1192696" y="4360632"/>
          <a:ext cx="427395" cy="219652"/>
        </a:xfrm>
        <a:prstGeom prst="rect">
          <a:avLst/>
        </a:prstGeom>
        <a:noFill/>
        <a:ln w="9525">
          <a:noFill/>
          <a:miter lim="800000"/>
          <a:headEnd/>
          <a:tailEnd/>
        </a:ln>
      </xdr:spPr>
      <xdr:txBody>
        <a:bodyPr vertOverflow="clip" wrap="square" lIns="27432" tIns="22860" rIns="0" bIns="0" anchor="t" upright="1"/>
        <a:lstStyle/>
        <a:p>
          <a:pPr algn="ctr" rtl="0">
            <a:defRPr sz="1000"/>
          </a:pPr>
          <a:fld id="{77460045-3ADA-4E36-A50B-8C5C548E137C}" type="TxLink">
            <a:rPr lang="en-US" sz="1000" b="0" i="0" u="none" strike="noStrike">
              <a:solidFill>
                <a:srgbClr val="000000"/>
              </a:solidFill>
              <a:latin typeface="Arial" pitchFamily="34" charset="0"/>
              <a:cs typeface="Arial" pitchFamily="34" charset="0"/>
            </a:rPr>
            <a:pPr algn="ctr" rtl="0">
              <a:defRPr sz="1000"/>
            </a:pPr>
            <a:t>2700nF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183342</xdr:colOff>
      <xdr:row>11</xdr:row>
      <xdr:rowOff>45280</xdr:rowOff>
    </xdr:from>
    <xdr:to>
      <xdr:col>7</xdr:col>
      <xdr:colOff>1038225</xdr:colOff>
      <xdr:row>12</xdr:row>
      <xdr:rowOff>122378</xdr:rowOff>
    </xdr:to>
    <xdr:sp macro="" textlink="'Variable Management'!B526">
      <xdr:nvSpPr>
        <xdr:cNvPr id="68" name="Text Box 283">
          <a:extLst>
            <a:ext uri="{FF2B5EF4-FFF2-40B4-BE49-F238E27FC236}">
              <a16:creationId xmlns:a16="http://schemas.microsoft.com/office/drawing/2014/main" id="{00000000-0008-0000-0300-000044000000}"/>
            </a:ext>
          </a:extLst>
        </xdr:cNvPr>
        <xdr:cNvSpPr txBox="1">
          <a:spLocks noChangeArrowheads="1" noTextEdit="1"/>
        </xdr:cNvSpPr>
      </xdr:nvSpPr>
      <xdr:spPr bwMode="auto">
        <a:xfrm>
          <a:off x="7765242" y="1826455"/>
          <a:ext cx="854883" cy="239023"/>
        </a:xfrm>
        <a:prstGeom prst="rect">
          <a:avLst/>
        </a:prstGeom>
        <a:noFill/>
        <a:ln w="9525">
          <a:noFill/>
          <a:miter lim="800000"/>
          <a:headEnd/>
          <a:tailEnd/>
        </a:ln>
      </xdr:spPr>
      <xdr:txBody>
        <a:bodyPr vertOverflow="clip" wrap="square" lIns="27432" tIns="22860" rIns="0" bIns="0" anchor="t" upright="1"/>
        <a:lstStyle/>
        <a:p>
          <a:pPr algn="l" rtl="0">
            <a:defRPr sz="1000"/>
          </a:pPr>
          <a:fld id="{CF96CF7C-BD7E-4CCA-B5EE-051D5ECE3C3A}" type="TxLink">
            <a:rPr lang="en-US" sz="1200" b="1" i="0" u="none" strike="noStrike">
              <a:solidFill>
                <a:srgbClr val="FF0000"/>
              </a:solidFill>
              <a:latin typeface="Arial"/>
              <a:cs typeface="Arial"/>
            </a:rPr>
            <a:pPr algn="l" rtl="0">
              <a:defRPr sz="1000"/>
            </a:pPr>
            <a:t>20V...48V</a:t>
          </a:fld>
          <a:endParaRPr lang="en-US" sz="1200" b="1" i="0" strike="noStrike">
            <a:solidFill>
              <a:srgbClr val="FF0000"/>
            </a:solidFill>
            <a:latin typeface="Arial" pitchFamily="34" charset="0"/>
            <a:cs typeface="Arial" pitchFamily="34" charset="0"/>
          </a:endParaRPr>
        </a:p>
      </xdr:txBody>
    </xdr:sp>
    <xdr:clientData/>
  </xdr:twoCellAnchor>
  <xdr:twoCellAnchor>
    <xdr:from>
      <xdr:col>0</xdr:col>
      <xdr:colOff>496011</xdr:colOff>
      <xdr:row>19</xdr:row>
      <xdr:rowOff>38863</xdr:rowOff>
    </xdr:from>
    <xdr:to>
      <xdr:col>1</xdr:col>
      <xdr:colOff>159316</xdr:colOff>
      <xdr:row>20</xdr:row>
      <xdr:rowOff>104749</xdr:rowOff>
    </xdr:to>
    <xdr:sp macro="" textlink="">
      <xdr:nvSpPr>
        <xdr:cNvPr id="69" name="Text Box 251">
          <a:extLst>
            <a:ext uri="{FF2B5EF4-FFF2-40B4-BE49-F238E27FC236}">
              <a16:creationId xmlns:a16="http://schemas.microsoft.com/office/drawing/2014/main" id="{00000000-0008-0000-0300-000045000000}"/>
            </a:ext>
          </a:extLst>
        </xdr:cNvPr>
        <xdr:cNvSpPr txBox="1">
          <a:spLocks noChangeArrowheads="1"/>
        </xdr:cNvSpPr>
      </xdr:nvSpPr>
      <xdr:spPr bwMode="auto">
        <a:xfrm>
          <a:off x="496011" y="3186254"/>
          <a:ext cx="301066" cy="231538"/>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xdr:from>
      <xdr:col>0</xdr:col>
      <xdr:colOff>377770</xdr:colOff>
      <xdr:row>20</xdr:row>
      <xdr:rowOff>80751</xdr:rowOff>
    </xdr:from>
    <xdr:to>
      <xdr:col>1</xdr:col>
      <xdr:colOff>252241</xdr:colOff>
      <xdr:row>21</xdr:row>
      <xdr:rowOff>137042</xdr:rowOff>
    </xdr:to>
    <xdr:sp macro="" textlink="'Variable Management'!B520">
      <xdr:nvSpPr>
        <xdr:cNvPr id="70" name="Text Box 281">
          <a:extLst>
            <a:ext uri="{FF2B5EF4-FFF2-40B4-BE49-F238E27FC236}">
              <a16:creationId xmlns:a16="http://schemas.microsoft.com/office/drawing/2014/main" id="{00000000-0008-0000-0300-000046000000}"/>
            </a:ext>
          </a:extLst>
        </xdr:cNvPr>
        <xdr:cNvSpPr txBox="1">
          <a:spLocks noChangeArrowheads="1" noTextEdit="1"/>
        </xdr:cNvSpPr>
      </xdr:nvSpPr>
      <xdr:spPr bwMode="auto">
        <a:xfrm>
          <a:off x="377770" y="3393794"/>
          <a:ext cx="512232" cy="221944"/>
        </a:xfrm>
        <a:prstGeom prst="rect">
          <a:avLst/>
        </a:prstGeom>
        <a:noFill/>
        <a:ln w="9525">
          <a:noFill/>
          <a:miter lim="800000"/>
          <a:headEnd/>
          <a:tailEnd/>
        </a:ln>
      </xdr:spPr>
      <xdr:txBody>
        <a:bodyPr vertOverflow="clip" wrap="square" lIns="27432" tIns="22860" rIns="0" bIns="0" anchor="t" upright="1"/>
        <a:lstStyle/>
        <a:p>
          <a:pPr algn="r" rtl="0">
            <a:defRPr sz="1000"/>
          </a:pPr>
          <a:fld id="{84EB9262-B954-486D-9975-AAB24967BDAC}" type="TxLink">
            <a:rPr lang="en-US" sz="1000" b="0" i="0" u="none" strike="noStrike">
              <a:solidFill>
                <a:srgbClr val="000000"/>
              </a:solidFill>
              <a:latin typeface="Arial" pitchFamily="34" charset="0"/>
              <a:cs typeface="Arial" pitchFamily="34" charset="0"/>
            </a:rPr>
            <a:pPr algn="r" rtl="0">
              <a:defRPr sz="1000"/>
            </a:pPr>
            <a:t>52.3kΩ</a:t>
          </a:fld>
          <a:endParaRPr lang="en-US" sz="1000" b="0" i="0" strike="noStrike">
            <a:solidFill>
              <a:srgbClr val="000000"/>
            </a:solidFill>
            <a:latin typeface="Arial" pitchFamily="34" charset="0"/>
            <a:cs typeface="Arial" pitchFamily="34" charset="0"/>
          </a:endParaRPr>
        </a:p>
      </xdr:txBody>
    </xdr:sp>
    <xdr:clientData/>
  </xdr:twoCellAnchor>
  <xdr:twoCellAnchor>
    <xdr:from>
      <xdr:col>3</xdr:col>
      <xdr:colOff>796942</xdr:colOff>
      <xdr:row>4</xdr:row>
      <xdr:rowOff>118318</xdr:rowOff>
    </xdr:from>
    <xdr:to>
      <xdr:col>3</xdr:col>
      <xdr:colOff>1286666</xdr:colOff>
      <xdr:row>6</xdr:row>
      <xdr:rowOff>13165</xdr:rowOff>
    </xdr:to>
    <xdr:sp macro="" textlink="">
      <xdr:nvSpPr>
        <xdr:cNvPr id="71" name="Text Box 247">
          <a:extLst>
            <a:ext uri="{FF2B5EF4-FFF2-40B4-BE49-F238E27FC236}">
              <a16:creationId xmlns:a16="http://schemas.microsoft.com/office/drawing/2014/main" id="{00000000-0008-0000-0300-000047000000}"/>
            </a:ext>
          </a:extLst>
        </xdr:cNvPr>
        <xdr:cNvSpPr txBox="1">
          <a:spLocks noChangeArrowheads="1"/>
        </xdr:cNvSpPr>
      </xdr:nvSpPr>
      <xdr:spPr bwMode="auto">
        <a:xfrm>
          <a:off x="3863992" y="766018"/>
          <a:ext cx="489724" cy="21869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xdr:from>
      <xdr:col>5</xdr:col>
      <xdr:colOff>76508</xdr:colOff>
      <xdr:row>34</xdr:row>
      <xdr:rowOff>63521</xdr:rowOff>
    </xdr:from>
    <xdr:to>
      <xdr:col>5</xdr:col>
      <xdr:colOff>561776</xdr:colOff>
      <xdr:row>35</xdr:row>
      <xdr:rowOff>131086</xdr:rowOff>
    </xdr:to>
    <xdr:sp macro="" textlink="">
      <xdr:nvSpPr>
        <xdr:cNvPr id="72" name="Text Box 251">
          <a:extLst>
            <a:ext uri="{FF2B5EF4-FFF2-40B4-BE49-F238E27FC236}">
              <a16:creationId xmlns:a16="http://schemas.microsoft.com/office/drawing/2014/main" id="{00000000-0008-0000-0300-000048000000}"/>
            </a:ext>
          </a:extLst>
        </xdr:cNvPr>
        <xdr:cNvSpPr txBox="1">
          <a:spLocks noChangeArrowheads="1"/>
        </xdr:cNvSpPr>
      </xdr:nvSpPr>
      <xdr:spPr bwMode="auto">
        <a:xfrm>
          <a:off x="5639108" y="5568971"/>
          <a:ext cx="485268" cy="22949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5</xdr:col>
      <xdr:colOff>138771</xdr:colOff>
      <xdr:row>35</xdr:row>
      <xdr:rowOff>74703</xdr:rowOff>
    </xdr:from>
    <xdr:to>
      <xdr:col>5</xdr:col>
      <xdr:colOff>737568</xdr:colOff>
      <xdr:row>36</xdr:row>
      <xdr:rowOff>137829</xdr:rowOff>
    </xdr:to>
    <xdr:sp macro="" textlink="'Variable Management'!B517">
      <xdr:nvSpPr>
        <xdr:cNvPr id="75" name="Text Box 281">
          <a:extLst>
            <a:ext uri="{FF2B5EF4-FFF2-40B4-BE49-F238E27FC236}">
              <a16:creationId xmlns:a16="http://schemas.microsoft.com/office/drawing/2014/main" id="{00000000-0008-0000-0300-00004B000000}"/>
            </a:ext>
          </a:extLst>
        </xdr:cNvPr>
        <xdr:cNvSpPr txBox="1">
          <a:spLocks noChangeArrowheads="1" noTextEdit="1"/>
        </xdr:cNvSpPr>
      </xdr:nvSpPr>
      <xdr:spPr bwMode="auto">
        <a:xfrm>
          <a:off x="5701371" y="5742078"/>
          <a:ext cx="598797" cy="225051"/>
        </a:xfrm>
        <a:prstGeom prst="rect">
          <a:avLst/>
        </a:prstGeom>
        <a:noFill/>
        <a:ln w="9525">
          <a:noFill/>
          <a:miter lim="800000"/>
          <a:headEnd/>
          <a:tailEnd/>
        </a:ln>
      </xdr:spPr>
      <xdr:txBody>
        <a:bodyPr vertOverflow="clip" wrap="square" lIns="27432" tIns="22860" rIns="0" bIns="0" anchor="ctr" upright="1"/>
        <a:lstStyle/>
        <a:p>
          <a:pPr algn="l" rtl="0">
            <a:defRPr sz="1000"/>
          </a:pPr>
          <a:fld id="{2B60B3D7-A35E-42EC-ADCF-A28C0EEDE92A}"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2</xdr:col>
      <xdr:colOff>660744</xdr:colOff>
      <xdr:row>2</xdr:row>
      <xdr:rowOff>83758</xdr:rowOff>
    </xdr:from>
    <xdr:to>
      <xdr:col>3</xdr:col>
      <xdr:colOff>142704</xdr:colOff>
      <xdr:row>3</xdr:row>
      <xdr:rowOff>137564</xdr:rowOff>
    </xdr:to>
    <xdr:sp macro="" textlink="'Variable Management'!H221">
      <xdr:nvSpPr>
        <xdr:cNvPr id="77" name="Text Box 264">
          <a:extLst>
            <a:ext uri="{FF2B5EF4-FFF2-40B4-BE49-F238E27FC236}">
              <a16:creationId xmlns:a16="http://schemas.microsoft.com/office/drawing/2014/main" id="{00000000-0008-0000-0300-00004D000000}"/>
            </a:ext>
          </a:extLst>
        </xdr:cNvPr>
        <xdr:cNvSpPr txBox="1">
          <a:spLocks noChangeArrowheads="1" noTextEdit="1"/>
        </xdr:cNvSpPr>
      </xdr:nvSpPr>
      <xdr:spPr bwMode="auto">
        <a:xfrm>
          <a:off x="2651469" y="407608"/>
          <a:ext cx="558285" cy="215731"/>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N/A</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742259</xdr:colOff>
      <xdr:row>1</xdr:row>
      <xdr:rowOff>51892</xdr:rowOff>
    </xdr:from>
    <xdr:to>
      <xdr:col>3</xdr:col>
      <xdr:colOff>72733</xdr:colOff>
      <xdr:row>2</xdr:row>
      <xdr:rowOff>84849</xdr:rowOff>
    </xdr:to>
    <xdr:sp macro="" textlink="">
      <xdr:nvSpPr>
        <xdr:cNvPr id="78" name="Text Box 255">
          <a:extLst>
            <a:ext uri="{FF2B5EF4-FFF2-40B4-BE49-F238E27FC236}">
              <a16:creationId xmlns:a16="http://schemas.microsoft.com/office/drawing/2014/main" id="{00000000-0008-0000-0300-00004E000000}"/>
            </a:ext>
          </a:extLst>
        </xdr:cNvPr>
        <xdr:cNvSpPr txBox="1">
          <a:spLocks noChangeArrowheads="1"/>
        </xdr:cNvSpPr>
      </xdr:nvSpPr>
      <xdr:spPr bwMode="auto">
        <a:xfrm>
          <a:off x="2732984" y="213817"/>
          <a:ext cx="406799" cy="1948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3</xdr:col>
      <xdr:colOff>767565</xdr:colOff>
      <xdr:row>2</xdr:row>
      <xdr:rowOff>104846</xdr:rowOff>
    </xdr:from>
    <xdr:to>
      <xdr:col>3</xdr:col>
      <xdr:colOff>1320774</xdr:colOff>
      <xdr:row>3</xdr:row>
      <xdr:rowOff>146368</xdr:rowOff>
    </xdr:to>
    <xdr:sp macro="" textlink="'Variable Management'!H220">
      <xdr:nvSpPr>
        <xdr:cNvPr id="79" name="Text Box 264">
          <a:extLst>
            <a:ext uri="{FF2B5EF4-FFF2-40B4-BE49-F238E27FC236}">
              <a16:creationId xmlns:a16="http://schemas.microsoft.com/office/drawing/2014/main" id="{00000000-0008-0000-0300-00004F000000}"/>
            </a:ext>
          </a:extLst>
        </xdr:cNvPr>
        <xdr:cNvSpPr txBox="1">
          <a:spLocks noChangeArrowheads="1" noTextEdit="1"/>
        </xdr:cNvSpPr>
      </xdr:nvSpPr>
      <xdr:spPr bwMode="auto">
        <a:xfrm>
          <a:off x="3834615" y="428696"/>
          <a:ext cx="553209" cy="203447"/>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N/A</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907336</xdr:colOff>
      <xdr:row>1</xdr:row>
      <xdr:rowOff>55949</xdr:rowOff>
    </xdr:from>
    <xdr:to>
      <xdr:col>3</xdr:col>
      <xdr:colOff>1310539</xdr:colOff>
      <xdr:row>2</xdr:row>
      <xdr:rowOff>90786</xdr:rowOff>
    </xdr:to>
    <xdr:sp macro="" textlink="">
      <xdr:nvSpPr>
        <xdr:cNvPr id="80" name="Text Box 255">
          <a:extLst>
            <a:ext uri="{FF2B5EF4-FFF2-40B4-BE49-F238E27FC236}">
              <a16:creationId xmlns:a16="http://schemas.microsoft.com/office/drawing/2014/main" id="{00000000-0008-0000-0300-000050000000}"/>
            </a:ext>
          </a:extLst>
        </xdr:cNvPr>
        <xdr:cNvSpPr txBox="1">
          <a:spLocks noChangeArrowheads="1"/>
        </xdr:cNvSpPr>
      </xdr:nvSpPr>
      <xdr:spPr bwMode="auto">
        <a:xfrm>
          <a:off x="3974386" y="217874"/>
          <a:ext cx="403203" cy="196762"/>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7</xdr:col>
      <xdr:colOff>736760</xdr:colOff>
      <xdr:row>15</xdr:row>
      <xdr:rowOff>71843</xdr:rowOff>
    </xdr:from>
    <xdr:to>
      <xdr:col>8</xdr:col>
      <xdr:colOff>170918</xdr:colOff>
      <xdr:row>16</xdr:row>
      <xdr:rowOff>150126</xdr:rowOff>
    </xdr:to>
    <xdr:sp macro="" textlink="'Variable Management'!B478">
      <xdr:nvSpPr>
        <xdr:cNvPr id="81" name="Text Box 275">
          <a:extLst>
            <a:ext uri="{FF2B5EF4-FFF2-40B4-BE49-F238E27FC236}">
              <a16:creationId xmlns:a16="http://schemas.microsoft.com/office/drawing/2014/main" id="{00000000-0008-0000-0300-000051000000}"/>
            </a:ext>
          </a:extLst>
        </xdr:cNvPr>
        <xdr:cNvSpPr txBox="1">
          <a:spLocks noChangeArrowheads="1" noTextEdit="1"/>
        </xdr:cNvSpPr>
      </xdr:nvSpPr>
      <xdr:spPr bwMode="auto">
        <a:xfrm>
          <a:off x="8318660" y="2500718"/>
          <a:ext cx="510483" cy="240208"/>
        </a:xfrm>
        <a:prstGeom prst="rect">
          <a:avLst/>
        </a:prstGeom>
        <a:noFill/>
        <a:ln w="9525">
          <a:noFill/>
          <a:miter lim="800000"/>
          <a:headEnd/>
          <a:tailEnd/>
        </a:ln>
      </xdr:spPr>
      <xdr:txBody>
        <a:bodyPr vertOverflow="clip" wrap="square" lIns="27432" tIns="22860" rIns="0" bIns="0" anchor="ctr" upright="1"/>
        <a:lstStyle/>
        <a:p>
          <a:pPr algn="l" rtl="0">
            <a:defRPr sz="1000"/>
          </a:pPr>
          <a:fld id="{8F944446-DDAD-4884-A5E8-09BF985C0BDC}" type="TxLink">
            <a:rPr lang="en-US" sz="1000" b="0" i="0" u="none" strike="noStrike" baseline="0">
              <a:solidFill>
                <a:srgbClr val="000000"/>
              </a:solidFill>
              <a:latin typeface="Arialri"/>
              <a:cs typeface="Arial" pitchFamily="34" charset="0"/>
            </a:rPr>
            <a:pPr algn="l" rtl="0">
              <a:defRPr sz="1000"/>
            </a:pPr>
            <a:t>5.8mΩ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955380</xdr:colOff>
      <xdr:row>37</xdr:row>
      <xdr:rowOff>90714</xdr:rowOff>
    </xdr:from>
    <xdr:to>
      <xdr:col>5</xdr:col>
      <xdr:colOff>134259</xdr:colOff>
      <xdr:row>38</xdr:row>
      <xdr:rowOff>146676</xdr:rowOff>
    </xdr:to>
    <xdr:sp macro="" textlink="">
      <xdr:nvSpPr>
        <xdr:cNvPr id="82" name="Text Box 245">
          <a:extLst>
            <a:ext uri="{FF2B5EF4-FFF2-40B4-BE49-F238E27FC236}">
              <a16:creationId xmlns:a16="http://schemas.microsoft.com/office/drawing/2014/main" id="{00000000-0008-0000-0300-000052000000}"/>
            </a:ext>
          </a:extLst>
        </xdr:cNvPr>
        <xdr:cNvSpPr txBox="1">
          <a:spLocks noChangeArrowheads="1"/>
        </xdr:cNvSpPr>
      </xdr:nvSpPr>
      <xdr:spPr bwMode="auto">
        <a:xfrm>
          <a:off x="5365455" y="6081939"/>
          <a:ext cx="331404" cy="217887"/>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a:t>
          </a:r>
        </a:p>
      </xdr:txBody>
    </xdr:sp>
    <xdr:clientData/>
  </xdr:twoCellAnchor>
  <xdr:twoCellAnchor>
    <xdr:from>
      <xdr:col>1</xdr:col>
      <xdr:colOff>379931</xdr:colOff>
      <xdr:row>30</xdr:row>
      <xdr:rowOff>84193</xdr:rowOff>
    </xdr:from>
    <xdr:to>
      <xdr:col>1</xdr:col>
      <xdr:colOff>939469</xdr:colOff>
      <xdr:row>31</xdr:row>
      <xdr:rowOff>120656</xdr:rowOff>
    </xdr:to>
    <xdr:sp macro="" textlink="'Variable Management'!B492">
      <xdr:nvSpPr>
        <xdr:cNvPr id="85" name="Text Box 268">
          <a:extLst>
            <a:ext uri="{FF2B5EF4-FFF2-40B4-BE49-F238E27FC236}">
              <a16:creationId xmlns:a16="http://schemas.microsoft.com/office/drawing/2014/main" id="{00000000-0008-0000-0300-000055000000}"/>
            </a:ext>
          </a:extLst>
        </xdr:cNvPr>
        <xdr:cNvSpPr txBox="1">
          <a:spLocks noChangeArrowheads="1" noTextEdit="1"/>
        </xdr:cNvSpPr>
      </xdr:nvSpPr>
      <xdr:spPr bwMode="auto">
        <a:xfrm>
          <a:off x="1018106" y="4941943"/>
          <a:ext cx="559538" cy="198388"/>
        </a:xfrm>
        <a:prstGeom prst="rect">
          <a:avLst/>
        </a:prstGeom>
        <a:noFill/>
        <a:ln w="9525">
          <a:noFill/>
          <a:miter lim="800000"/>
          <a:headEnd/>
          <a:tailEnd/>
        </a:ln>
      </xdr:spPr>
      <xdr:txBody>
        <a:bodyPr vertOverflow="clip" wrap="square" lIns="27432" tIns="22860" rIns="0" bIns="0" anchor="ctr" upright="1"/>
        <a:lstStyle/>
        <a:p>
          <a:pPr algn="ctr" rtl="0">
            <a:defRPr sz="1000"/>
          </a:pPr>
          <a:fld id="{4B33C4C3-0115-4071-92DE-EA7C9B86DB41}" type="TxLink">
            <a:rPr lang="en-US" sz="1000" b="0" i="0" u="none" strike="noStrike">
              <a:solidFill>
                <a:srgbClr val="000000"/>
              </a:solidFill>
              <a:latin typeface="Arialri"/>
              <a:cs typeface="Arial" pitchFamily="34" charset="0"/>
            </a:rPr>
            <a:pPr algn="ctr" rtl="0">
              <a:defRPr sz="1000"/>
            </a:pPr>
            <a:t>100kΩ</a:t>
          </a:fld>
          <a:endParaRPr lang="el-GR" sz="1000" b="0" i="0" strike="noStrike">
            <a:solidFill>
              <a:srgbClr val="000000"/>
            </a:solidFill>
            <a:latin typeface="Arial" pitchFamily="34" charset="0"/>
            <a:cs typeface="Arial" pitchFamily="34" charset="0"/>
          </a:endParaRPr>
        </a:p>
      </xdr:txBody>
    </xdr:sp>
    <xdr:clientData/>
  </xdr:twoCellAnchor>
  <xdr:twoCellAnchor>
    <xdr:from>
      <xdr:col>6</xdr:col>
      <xdr:colOff>398601</xdr:colOff>
      <xdr:row>14</xdr:row>
      <xdr:rowOff>62329</xdr:rowOff>
    </xdr:from>
    <xdr:to>
      <xdr:col>6</xdr:col>
      <xdr:colOff>586155</xdr:colOff>
      <xdr:row>15</xdr:row>
      <xdr:rowOff>117096</xdr:rowOff>
    </xdr:to>
    <xdr:sp macro="" textlink="">
      <xdr:nvSpPr>
        <xdr:cNvPr id="87" name="Text Box 234">
          <a:extLst>
            <a:ext uri="{FF2B5EF4-FFF2-40B4-BE49-F238E27FC236}">
              <a16:creationId xmlns:a16="http://schemas.microsoft.com/office/drawing/2014/main" id="{00000000-0008-0000-0300-000057000000}"/>
            </a:ext>
          </a:extLst>
        </xdr:cNvPr>
        <xdr:cNvSpPr txBox="1">
          <a:spLocks noChangeArrowheads="1"/>
        </xdr:cNvSpPr>
      </xdr:nvSpPr>
      <xdr:spPr bwMode="auto">
        <a:xfrm>
          <a:off x="7328860" y="2361467"/>
          <a:ext cx="187554" cy="2189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6</xdr:col>
      <xdr:colOff>382198</xdr:colOff>
      <xdr:row>21</xdr:row>
      <xdr:rowOff>60849</xdr:rowOff>
    </xdr:from>
    <xdr:to>
      <xdr:col>6</xdr:col>
      <xdr:colOff>569752</xdr:colOff>
      <xdr:row>22</xdr:row>
      <xdr:rowOff>118648</xdr:rowOff>
    </xdr:to>
    <xdr:sp macro="" textlink="">
      <xdr:nvSpPr>
        <xdr:cNvPr id="88" name="Text Box 234">
          <a:extLst>
            <a:ext uri="{FF2B5EF4-FFF2-40B4-BE49-F238E27FC236}">
              <a16:creationId xmlns:a16="http://schemas.microsoft.com/office/drawing/2014/main" id="{00000000-0008-0000-0300-000058000000}"/>
            </a:ext>
          </a:extLst>
        </xdr:cNvPr>
        <xdr:cNvSpPr txBox="1">
          <a:spLocks noChangeArrowheads="1"/>
        </xdr:cNvSpPr>
      </xdr:nvSpPr>
      <xdr:spPr bwMode="auto">
        <a:xfrm>
          <a:off x="7312457" y="3509556"/>
          <a:ext cx="187554" cy="22202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7</xdr:col>
      <xdr:colOff>236598</xdr:colOff>
      <xdr:row>20</xdr:row>
      <xdr:rowOff>126296</xdr:rowOff>
    </xdr:from>
    <xdr:to>
      <xdr:col>7</xdr:col>
      <xdr:colOff>642752</xdr:colOff>
      <xdr:row>22</xdr:row>
      <xdr:rowOff>11441</xdr:rowOff>
    </xdr:to>
    <xdr:sp macro="" textlink="'Variable Management'!B490">
      <xdr:nvSpPr>
        <xdr:cNvPr id="92" name="Text Box 276">
          <a:extLst>
            <a:ext uri="{FF2B5EF4-FFF2-40B4-BE49-F238E27FC236}">
              <a16:creationId xmlns:a16="http://schemas.microsoft.com/office/drawing/2014/main" id="{00000000-0008-0000-0300-00005C000000}"/>
            </a:ext>
          </a:extLst>
        </xdr:cNvPr>
        <xdr:cNvSpPr txBox="1">
          <a:spLocks noChangeArrowheads="1" noTextEdit="1"/>
        </xdr:cNvSpPr>
      </xdr:nvSpPr>
      <xdr:spPr bwMode="auto">
        <a:xfrm>
          <a:off x="7817184" y="3410779"/>
          <a:ext cx="406154" cy="213593"/>
        </a:xfrm>
        <a:prstGeom prst="rect">
          <a:avLst/>
        </a:prstGeom>
        <a:noFill/>
        <a:ln w="9525">
          <a:noFill/>
          <a:miter lim="800000"/>
          <a:headEnd/>
          <a:tailEnd/>
        </a:ln>
      </xdr:spPr>
      <xdr:txBody>
        <a:bodyPr vertOverflow="clip" wrap="square" lIns="27432" tIns="22860" rIns="0" bIns="0" anchor="ctr" upright="1"/>
        <a:lstStyle/>
        <a:p>
          <a:pPr algn="l" rtl="0">
            <a:defRPr sz="1000"/>
          </a:pPr>
          <a:fld id="{F7819C42-9D73-4A1D-B514-80CDFD54256D}" type="TxLink">
            <a:rPr lang="en-US" sz="1000" b="0" i="0" u="none" strike="noStrike" baseline="0">
              <a:solidFill>
                <a:srgbClr val="000000"/>
              </a:solidFill>
              <a:latin typeface="Arialri"/>
              <a:cs typeface="Arial" pitchFamily="34" charset="0"/>
            </a:rPr>
            <a:pPr algn="l" rtl="0">
              <a:defRPr sz="1000"/>
            </a:pPr>
            <a:t>10 x</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1246665</xdr:colOff>
      <xdr:row>12</xdr:row>
      <xdr:rowOff>149462</xdr:rowOff>
    </xdr:from>
    <xdr:to>
      <xdr:col>2</xdr:col>
      <xdr:colOff>157529</xdr:colOff>
      <xdr:row>14</xdr:row>
      <xdr:rowOff>35568</xdr:rowOff>
    </xdr:to>
    <xdr:sp macro="" textlink="">
      <xdr:nvSpPr>
        <xdr:cNvPr id="94" name="Text Box 259">
          <a:extLst>
            <a:ext uri="{FF2B5EF4-FFF2-40B4-BE49-F238E27FC236}">
              <a16:creationId xmlns:a16="http://schemas.microsoft.com/office/drawing/2014/main" id="{00000000-0008-0000-0300-00005E000000}"/>
            </a:ext>
          </a:extLst>
        </xdr:cNvPr>
        <xdr:cNvSpPr txBox="1">
          <a:spLocks noChangeArrowheads="1"/>
        </xdr:cNvSpPr>
      </xdr:nvSpPr>
      <xdr:spPr bwMode="auto">
        <a:xfrm>
          <a:off x="1884840" y="2092562"/>
          <a:ext cx="263414" cy="209956"/>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U</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7</xdr:col>
      <xdr:colOff>1063737</xdr:colOff>
      <xdr:row>21</xdr:row>
      <xdr:rowOff>145566</xdr:rowOff>
    </xdr:from>
    <xdr:to>
      <xdr:col>8</xdr:col>
      <xdr:colOff>391049</xdr:colOff>
      <xdr:row>23</xdr:row>
      <xdr:rowOff>33474</xdr:rowOff>
    </xdr:to>
    <xdr:sp macro="" textlink="'Variable Management'!B485">
      <xdr:nvSpPr>
        <xdr:cNvPr id="95" name="Text Box 276">
          <a:extLst>
            <a:ext uri="{FF2B5EF4-FFF2-40B4-BE49-F238E27FC236}">
              <a16:creationId xmlns:a16="http://schemas.microsoft.com/office/drawing/2014/main" id="{00000000-0008-0000-0300-00005F000000}"/>
            </a:ext>
          </a:extLst>
        </xdr:cNvPr>
        <xdr:cNvSpPr txBox="1">
          <a:spLocks noChangeArrowheads="1" noTextEdit="1"/>
        </xdr:cNvSpPr>
      </xdr:nvSpPr>
      <xdr:spPr bwMode="auto">
        <a:xfrm>
          <a:off x="8644323" y="3594273"/>
          <a:ext cx="404623" cy="216356"/>
        </a:xfrm>
        <a:prstGeom prst="rect">
          <a:avLst/>
        </a:prstGeom>
        <a:noFill/>
        <a:ln w="9525">
          <a:noFill/>
          <a:miter lim="800000"/>
          <a:headEnd/>
          <a:tailEnd/>
        </a:ln>
      </xdr:spPr>
      <xdr:txBody>
        <a:bodyPr vertOverflow="clip" wrap="square" lIns="27432" tIns="22860" rIns="0" bIns="0" anchor="ctr" upright="1"/>
        <a:lstStyle/>
        <a:p>
          <a:pPr algn="l" rtl="0">
            <a:defRPr sz="1000"/>
          </a:pPr>
          <a:fld id="{685D3738-5ABE-4B4E-B06A-00C3820FCB43}" type="TxLink">
            <a:rPr lang="en-US" sz="1000" b="0" i="0" u="none" strike="noStrike" baseline="0">
              <a:solidFill>
                <a:srgbClr val="000000"/>
              </a:solidFill>
              <a:latin typeface="Arialri"/>
              <a:cs typeface="Arial" pitchFamily="34" charset="0"/>
            </a:rPr>
            <a:pPr algn="l" rtl="0">
              <a:defRPr sz="1000"/>
            </a:pPr>
            <a:t>22µF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1055995</xdr:colOff>
      <xdr:row>20</xdr:row>
      <xdr:rowOff>136150</xdr:rowOff>
    </xdr:from>
    <xdr:to>
      <xdr:col>8</xdr:col>
      <xdr:colOff>383307</xdr:colOff>
      <xdr:row>22</xdr:row>
      <xdr:rowOff>22694</xdr:rowOff>
    </xdr:to>
    <xdr:sp macro="" textlink="'Variable Management'!B486">
      <xdr:nvSpPr>
        <xdr:cNvPr id="96" name="Text Box 276">
          <a:extLst>
            <a:ext uri="{FF2B5EF4-FFF2-40B4-BE49-F238E27FC236}">
              <a16:creationId xmlns:a16="http://schemas.microsoft.com/office/drawing/2014/main" id="{00000000-0008-0000-0300-000060000000}"/>
            </a:ext>
          </a:extLst>
        </xdr:cNvPr>
        <xdr:cNvSpPr txBox="1">
          <a:spLocks noChangeArrowheads="1" noTextEdit="1"/>
        </xdr:cNvSpPr>
      </xdr:nvSpPr>
      <xdr:spPr bwMode="auto">
        <a:xfrm>
          <a:off x="8636581" y="3420633"/>
          <a:ext cx="404623" cy="214992"/>
        </a:xfrm>
        <a:prstGeom prst="rect">
          <a:avLst/>
        </a:prstGeom>
        <a:noFill/>
        <a:ln w="9525">
          <a:noFill/>
          <a:miter lim="800000"/>
          <a:headEnd/>
          <a:tailEnd/>
        </a:ln>
      </xdr:spPr>
      <xdr:txBody>
        <a:bodyPr vertOverflow="clip" wrap="square" lIns="27432" tIns="22860" rIns="0" bIns="0" anchor="ctr" upright="1"/>
        <a:lstStyle/>
        <a:p>
          <a:pPr algn="l" rtl="0">
            <a:defRPr sz="1000"/>
          </a:pPr>
          <a:fld id="{55A5E480-A149-4617-A245-D5E398CDA407}" type="TxLink">
            <a:rPr lang="en-US" sz="1000" b="0" i="0" u="none" strike="noStrike" baseline="0">
              <a:solidFill>
                <a:srgbClr val="000000"/>
              </a:solidFill>
              <a:latin typeface="Arialri"/>
              <a:cs typeface="Arial" pitchFamily="34" charset="0"/>
            </a:rPr>
            <a:pPr algn="l" rtl="0">
              <a:defRPr sz="1000"/>
            </a:pPr>
            <a:t>5 x</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5</xdr:col>
      <xdr:colOff>714753</xdr:colOff>
      <xdr:row>24</xdr:row>
      <xdr:rowOff>130910</xdr:rowOff>
    </xdr:from>
    <xdr:to>
      <xdr:col>5</xdr:col>
      <xdr:colOff>1237179</xdr:colOff>
      <xdr:row>26</xdr:row>
      <xdr:rowOff>38166</xdr:rowOff>
    </xdr:to>
    <xdr:sp macro="" textlink="">
      <xdr:nvSpPr>
        <xdr:cNvPr id="93" name="Text Box 248">
          <a:extLst>
            <a:ext uri="{FF2B5EF4-FFF2-40B4-BE49-F238E27FC236}">
              <a16:creationId xmlns:a16="http://schemas.microsoft.com/office/drawing/2014/main" id="{00000000-0008-0000-0300-00005D000000}"/>
            </a:ext>
          </a:extLst>
        </xdr:cNvPr>
        <xdr:cNvSpPr txBox="1">
          <a:spLocks noChangeArrowheads="1"/>
        </xdr:cNvSpPr>
      </xdr:nvSpPr>
      <xdr:spPr bwMode="auto">
        <a:xfrm>
          <a:off x="6273271" y="4049767"/>
          <a:ext cx="522426" cy="23382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xdr:from>
      <xdr:col>8</xdr:col>
      <xdr:colOff>534347</xdr:colOff>
      <xdr:row>14</xdr:row>
      <xdr:rowOff>72993</xdr:rowOff>
    </xdr:from>
    <xdr:to>
      <xdr:col>8</xdr:col>
      <xdr:colOff>721901</xdr:colOff>
      <xdr:row>15</xdr:row>
      <xdr:rowOff>127760</xdr:rowOff>
    </xdr:to>
    <xdr:sp macro="" textlink="">
      <xdr:nvSpPr>
        <xdr:cNvPr id="97" name="Text Box 234">
          <a:extLst>
            <a:ext uri="{FF2B5EF4-FFF2-40B4-BE49-F238E27FC236}">
              <a16:creationId xmlns:a16="http://schemas.microsoft.com/office/drawing/2014/main" id="{00000000-0008-0000-0300-000061000000}"/>
            </a:ext>
          </a:extLst>
        </xdr:cNvPr>
        <xdr:cNvSpPr txBox="1">
          <a:spLocks noChangeArrowheads="1"/>
        </xdr:cNvSpPr>
      </xdr:nvSpPr>
      <xdr:spPr bwMode="auto">
        <a:xfrm>
          <a:off x="9192244" y="2372131"/>
          <a:ext cx="187554" cy="2189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xdr:from>
      <xdr:col>8</xdr:col>
      <xdr:colOff>545862</xdr:colOff>
      <xdr:row>21</xdr:row>
      <xdr:rowOff>55234</xdr:rowOff>
    </xdr:from>
    <xdr:to>
      <xdr:col>8</xdr:col>
      <xdr:colOff>733416</xdr:colOff>
      <xdr:row>22</xdr:row>
      <xdr:rowOff>113033</xdr:rowOff>
    </xdr:to>
    <xdr:sp macro="" textlink="">
      <xdr:nvSpPr>
        <xdr:cNvPr id="98" name="Text Box 234">
          <a:extLst>
            <a:ext uri="{FF2B5EF4-FFF2-40B4-BE49-F238E27FC236}">
              <a16:creationId xmlns:a16="http://schemas.microsoft.com/office/drawing/2014/main" id="{00000000-0008-0000-0300-000062000000}"/>
            </a:ext>
          </a:extLst>
        </xdr:cNvPr>
        <xdr:cNvSpPr txBox="1">
          <a:spLocks noChangeArrowheads="1"/>
        </xdr:cNvSpPr>
      </xdr:nvSpPr>
      <xdr:spPr bwMode="auto">
        <a:xfrm>
          <a:off x="9201188" y="3533930"/>
          <a:ext cx="187554" cy="22345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xdr:from>
      <xdr:col>5</xdr:col>
      <xdr:colOff>770091</xdr:colOff>
      <xdr:row>29</xdr:row>
      <xdr:rowOff>48773</xdr:rowOff>
    </xdr:from>
    <xdr:to>
      <xdr:col>5</xdr:col>
      <xdr:colOff>1136667</xdr:colOff>
      <xdr:row>30</xdr:row>
      <xdr:rowOff>110312</xdr:rowOff>
    </xdr:to>
    <xdr:sp macro="" textlink="">
      <xdr:nvSpPr>
        <xdr:cNvPr id="99" name="Text Box 279">
          <a:extLst>
            <a:ext uri="{FF2B5EF4-FFF2-40B4-BE49-F238E27FC236}">
              <a16:creationId xmlns:a16="http://schemas.microsoft.com/office/drawing/2014/main" id="{00000000-0008-0000-0300-000063000000}"/>
            </a:ext>
          </a:extLst>
        </xdr:cNvPr>
        <xdr:cNvSpPr txBox="1">
          <a:spLocks noChangeArrowheads="1"/>
        </xdr:cNvSpPr>
      </xdr:nvSpPr>
      <xdr:spPr bwMode="auto">
        <a:xfrm>
          <a:off x="6332691" y="4744598"/>
          <a:ext cx="366576" cy="223464"/>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5</xdr:col>
      <xdr:colOff>739057</xdr:colOff>
      <xdr:row>28</xdr:row>
      <xdr:rowOff>10125</xdr:rowOff>
    </xdr:from>
    <xdr:to>
      <xdr:col>5</xdr:col>
      <xdr:colOff>1228023</xdr:colOff>
      <xdr:row>29</xdr:row>
      <xdr:rowOff>64929</xdr:rowOff>
    </xdr:to>
    <xdr:sp macro="" textlink="">
      <xdr:nvSpPr>
        <xdr:cNvPr id="100" name="Text Box 247">
          <a:extLst>
            <a:ext uri="{FF2B5EF4-FFF2-40B4-BE49-F238E27FC236}">
              <a16:creationId xmlns:a16="http://schemas.microsoft.com/office/drawing/2014/main" id="{00000000-0008-0000-0300-000064000000}"/>
            </a:ext>
          </a:extLst>
        </xdr:cNvPr>
        <xdr:cNvSpPr txBox="1">
          <a:spLocks noChangeArrowheads="1"/>
        </xdr:cNvSpPr>
      </xdr:nvSpPr>
      <xdr:spPr bwMode="auto">
        <a:xfrm>
          <a:off x="6301657" y="4544025"/>
          <a:ext cx="488966" cy="21672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xdr:from>
      <xdr:col>4</xdr:col>
      <xdr:colOff>956346</xdr:colOff>
      <xdr:row>42</xdr:row>
      <xdr:rowOff>10652</xdr:rowOff>
    </xdr:from>
    <xdr:to>
      <xdr:col>5</xdr:col>
      <xdr:colOff>168728</xdr:colOff>
      <xdr:row>43</xdr:row>
      <xdr:rowOff>69644</xdr:rowOff>
    </xdr:to>
    <xdr:sp macro="" textlink="">
      <xdr:nvSpPr>
        <xdr:cNvPr id="101" name="Text Box 245">
          <a:extLst>
            <a:ext uri="{FF2B5EF4-FFF2-40B4-BE49-F238E27FC236}">
              <a16:creationId xmlns:a16="http://schemas.microsoft.com/office/drawing/2014/main" id="{00000000-0008-0000-0300-000065000000}"/>
            </a:ext>
          </a:extLst>
        </xdr:cNvPr>
        <xdr:cNvSpPr txBox="1">
          <a:spLocks noChangeArrowheads="1"/>
        </xdr:cNvSpPr>
      </xdr:nvSpPr>
      <xdr:spPr bwMode="auto">
        <a:xfrm>
          <a:off x="5366421" y="6811502"/>
          <a:ext cx="364907" cy="22091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CSG</a:t>
          </a:r>
        </a:p>
      </xdr:txBody>
    </xdr:sp>
    <xdr:clientData/>
  </xdr:twoCellAnchor>
  <xdr:twoCellAnchor>
    <xdr:from>
      <xdr:col>4</xdr:col>
      <xdr:colOff>938047</xdr:colOff>
      <xdr:row>43</xdr:row>
      <xdr:rowOff>43495</xdr:rowOff>
    </xdr:from>
    <xdr:to>
      <xdr:col>5</xdr:col>
      <xdr:colOff>158314</xdr:colOff>
      <xdr:row>44</xdr:row>
      <xdr:rowOff>66371</xdr:rowOff>
    </xdr:to>
    <xdr:sp macro="" textlink="">
      <xdr:nvSpPr>
        <xdr:cNvPr id="103" name="Text Box 277">
          <a:extLst>
            <a:ext uri="{FF2B5EF4-FFF2-40B4-BE49-F238E27FC236}">
              <a16:creationId xmlns:a16="http://schemas.microsoft.com/office/drawing/2014/main" id="{00000000-0008-0000-0300-000067000000}"/>
            </a:ext>
          </a:extLst>
        </xdr:cNvPr>
        <xdr:cNvSpPr txBox="1">
          <a:spLocks noChangeArrowheads="1"/>
        </xdr:cNvSpPr>
      </xdr:nvSpPr>
      <xdr:spPr bwMode="auto">
        <a:xfrm>
          <a:off x="5348122" y="7006270"/>
          <a:ext cx="372792" cy="222901"/>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pitchFamily="34" charset="0"/>
              <a:cs typeface="Arial" pitchFamily="34" charset="0"/>
            </a:rPr>
            <a:t>100</a:t>
          </a:r>
          <a:r>
            <a:rPr lang="el-GR" sz="1000" b="0" i="0" strike="noStrike">
              <a:solidFill>
                <a:srgbClr val="000000"/>
              </a:solidFill>
              <a:latin typeface="Arial" pitchFamily="34" charset="0"/>
              <a:cs typeface="Arial" pitchFamily="34" charset="0"/>
            </a:rPr>
            <a:t>Ω</a:t>
          </a:r>
        </a:p>
      </xdr:txBody>
    </xdr:sp>
    <xdr:clientData/>
  </xdr:twoCellAnchor>
  <xdr:twoCellAnchor>
    <xdr:from>
      <xdr:col>2</xdr:col>
      <xdr:colOff>127802</xdr:colOff>
      <xdr:row>7</xdr:row>
      <xdr:rowOff>69925</xdr:rowOff>
    </xdr:from>
    <xdr:to>
      <xdr:col>2</xdr:col>
      <xdr:colOff>561808</xdr:colOff>
      <xdr:row>8</xdr:row>
      <xdr:rowOff>143499</xdr:rowOff>
    </xdr:to>
    <xdr:sp macro="" textlink="">
      <xdr:nvSpPr>
        <xdr:cNvPr id="104" name="Text Box 248">
          <a:extLst>
            <a:ext uri="{FF2B5EF4-FFF2-40B4-BE49-F238E27FC236}">
              <a16:creationId xmlns:a16="http://schemas.microsoft.com/office/drawing/2014/main" id="{00000000-0008-0000-0300-000068000000}"/>
            </a:ext>
          </a:extLst>
        </xdr:cNvPr>
        <xdr:cNvSpPr txBox="1">
          <a:spLocks noChangeArrowheads="1"/>
        </xdr:cNvSpPr>
      </xdr:nvSpPr>
      <xdr:spPr bwMode="auto">
        <a:xfrm>
          <a:off x="2118527" y="1203400"/>
          <a:ext cx="434006" cy="23549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VIN</a:t>
          </a:r>
        </a:p>
      </xdr:txBody>
    </xdr:sp>
    <xdr:clientData/>
  </xdr:twoCellAnchor>
  <xdr:twoCellAnchor>
    <xdr:from>
      <xdr:col>4</xdr:col>
      <xdr:colOff>903979</xdr:colOff>
      <xdr:row>39</xdr:row>
      <xdr:rowOff>8956</xdr:rowOff>
    </xdr:from>
    <xdr:to>
      <xdr:col>5</xdr:col>
      <xdr:colOff>123188</xdr:colOff>
      <xdr:row>40</xdr:row>
      <xdr:rowOff>72374</xdr:rowOff>
    </xdr:to>
    <xdr:sp macro="" textlink="">
      <xdr:nvSpPr>
        <xdr:cNvPr id="73" name="Text Box 277">
          <a:extLst>
            <a:ext uri="{FF2B5EF4-FFF2-40B4-BE49-F238E27FC236}">
              <a16:creationId xmlns:a16="http://schemas.microsoft.com/office/drawing/2014/main" id="{00000000-0008-0000-0300-000049000000}"/>
            </a:ext>
          </a:extLst>
        </xdr:cNvPr>
        <xdr:cNvSpPr txBox="1">
          <a:spLocks noChangeArrowheads="1"/>
        </xdr:cNvSpPr>
      </xdr:nvSpPr>
      <xdr:spPr bwMode="auto">
        <a:xfrm>
          <a:off x="5314054" y="6324031"/>
          <a:ext cx="371734" cy="225343"/>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pitchFamily="34" charset="0"/>
              <a:cs typeface="Arial" pitchFamily="34" charset="0"/>
            </a:rPr>
            <a:t>100</a:t>
          </a:r>
          <a:r>
            <a:rPr lang="el-GR" sz="1000" b="0" i="0" strike="noStrike">
              <a:solidFill>
                <a:srgbClr val="000000"/>
              </a:solidFill>
              <a:latin typeface="Arial" pitchFamily="34" charset="0"/>
              <a:cs typeface="Arial" pitchFamily="34" charset="0"/>
            </a:rPr>
            <a:t>Ω</a:t>
          </a:r>
        </a:p>
      </xdr:txBody>
    </xdr:sp>
    <xdr:clientData/>
  </xdr:twoCellAnchor>
  <xdr:twoCellAnchor>
    <xdr:from>
      <xdr:col>3</xdr:col>
      <xdr:colOff>190500</xdr:colOff>
      <xdr:row>22</xdr:row>
      <xdr:rowOff>15240</xdr:rowOff>
    </xdr:from>
    <xdr:to>
      <xdr:col>4</xdr:col>
      <xdr:colOff>38100</xdr:colOff>
      <xdr:row>25</xdr:row>
      <xdr:rowOff>38100</xdr:rowOff>
    </xdr:to>
    <xdr:sp macro="" textlink="">
      <xdr:nvSpPr>
        <xdr:cNvPr id="76" name="TextBox 75">
          <a:extLst>
            <a:ext uri="{FF2B5EF4-FFF2-40B4-BE49-F238E27FC236}">
              <a16:creationId xmlns:a16="http://schemas.microsoft.com/office/drawing/2014/main" id="{00000000-0008-0000-0300-00004C000000}"/>
            </a:ext>
          </a:extLst>
        </xdr:cNvPr>
        <xdr:cNvSpPr txBox="1"/>
      </xdr:nvSpPr>
      <xdr:spPr bwMode="auto">
        <a:xfrm>
          <a:off x="3345180" y="3703320"/>
          <a:ext cx="1226820" cy="525780"/>
        </a:xfrm>
        <a:prstGeom prst="rect">
          <a:avLst/>
        </a:prstGeom>
        <a:solidFill>
          <a:srgbClr val="CCFFFF"/>
        </a:solidFill>
        <a:ln w="9525">
          <a:noFill/>
          <a:miter lim="800000"/>
          <a:headEnd/>
          <a:tailEnd/>
        </a:ln>
      </xdr:spPr>
      <xdr:txBody>
        <a:bodyPr vertOverflow="clip" horzOverflow="clip" wrap="square" lIns="27432" tIns="27432" rIns="0" bIns="0" rtlCol="0" anchor="ctr" upright="1"/>
        <a:lstStyle/>
        <a:p>
          <a:pPr algn="ctr" rtl="0"/>
          <a:r>
            <a:rPr lang="en-US" sz="2000" b="1" i="0" strike="noStrike">
              <a:solidFill>
                <a:srgbClr val="FF0000"/>
              </a:solidFill>
              <a:latin typeface="Calibri"/>
            </a:rPr>
            <a:t>LM5177</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564696</xdr:colOff>
      <xdr:row>107</xdr:row>
      <xdr:rowOff>123652</xdr:rowOff>
    </xdr:from>
    <xdr:to>
      <xdr:col>9</xdr:col>
      <xdr:colOff>564696</xdr:colOff>
      <xdr:row>136</xdr:row>
      <xdr:rowOff>141527</xdr:rowOff>
    </xdr:to>
    <xdr:pic>
      <xdr:nvPicPr>
        <xdr:cNvPr id="10" name="Picture 9">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4696" y="18125902"/>
          <a:ext cx="5510893" cy="475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564696</xdr:colOff>
      <xdr:row>137</xdr:row>
      <xdr:rowOff>138794</xdr:rowOff>
    </xdr:from>
    <xdr:to>
      <xdr:col>9</xdr:col>
      <xdr:colOff>564696</xdr:colOff>
      <xdr:row>166</xdr:row>
      <xdr:rowOff>136279</xdr:rowOff>
    </xdr:to>
    <xdr:pic>
      <xdr:nvPicPr>
        <xdr:cNvPr id="11" name="Picture 10">
          <a:extLst>
            <a:ext uri="{FF2B5EF4-FFF2-40B4-BE49-F238E27FC236}">
              <a16:creationId xmlns:a16="http://schemas.microsoft.com/office/drawing/2014/main" id="{00000000-0008-0000-04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4696" y="23039615"/>
          <a:ext cx="5510893" cy="4732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564696</xdr:colOff>
      <xdr:row>34</xdr:row>
      <xdr:rowOff>51297</xdr:rowOff>
    </xdr:from>
    <xdr:to>
      <xdr:col>9</xdr:col>
      <xdr:colOff>540203</xdr:colOff>
      <xdr:row>56</xdr:row>
      <xdr:rowOff>136448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64696" y="6133690"/>
          <a:ext cx="5486400" cy="3677437"/>
        </a:xfrm>
        <a:prstGeom prst="rect">
          <a:avLst/>
        </a:prstGeom>
      </xdr:spPr>
    </xdr:pic>
    <xdr:clientData/>
  </xdr:twoCellAnchor>
  <xdr:twoCellAnchor editAs="oneCell">
    <xdr:from>
      <xdr:col>0</xdr:col>
      <xdr:colOff>564696</xdr:colOff>
      <xdr:row>82</xdr:row>
      <xdr:rowOff>128683</xdr:rowOff>
    </xdr:from>
    <xdr:to>
      <xdr:col>9</xdr:col>
      <xdr:colOff>540203</xdr:colOff>
      <xdr:row>106</xdr:row>
      <xdr:rowOff>126387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4696" y="14048790"/>
          <a:ext cx="5486400" cy="3916561"/>
        </a:xfrm>
        <a:prstGeom prst="rect">
          <a:avLst/>
        </a:prstGeom>
      </xdr:spPr>
    </xdr:pic>
    <xdr:clientData/>
  </xdr:twoCellAnchor>
  <xdr:twoCellAnchor editAs="oneCell">
    <xdr:from>
      <xdr:col>12</xdr:col>
      <xdr:colOff>63500</xdr:colOff>
      <xdr:row>9</xdr:row>
      <xdr:rowOff>12307</xdr:rowOff>
    </xdr:from>
    <xdr:to>
      <xdr:col>20</xdr:col>
      <xdr:colOff>88900</xdr:colOff>
      <xdr:row>34</xdr:row>
      <xdr:rowOff>139706</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6384" t="7673" r="5497" b="7948"/>
        <a:stretch/>
      </xdr:blipFill>
      <xdr:spPr>
        <a:xfrm>
          <a:off x="7302500" y="1980807"/>
          <a:ext cx="5486400" cy="4096149"/>
        </a:xfrm>
        <a:prstGeom prst="rect">
          <a:avLst/>
        </a:prstGeom>
      </xdr:spPr>
    </xdr:pic>
    <xdr:clientData/>
  </xdr:twoCellAnchor>
  <xdr:twoCellAnchor editAs="oneCell">
    <xdr:from>
      <xdr:col>12</xdr:col>
      <xdr:colOff>57150</xdr:colOff>
      <xdr:row>35</xdr:row>
      <xdr:rowOff>153607</xdr:rowOff>
    </xdr:from>
    <xdr:to>
      <xdr:col>20</xdr:col>
      <xdr:colOff>63873</xdr:colOff>
      <xdr:row>68</xdr:row>
      <xdr:rowOff>64167</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3204" t="3892" r="994" b="4124"/>
        <a:stretch/>
      </xdr:blipFill>
      <xdr:spPr>
        <a:xfrm>
          <a:off x="7296150" y="6249607"/>
          <a:ext cx="5467723" cy="5149310"/>
        </a:xfrm>
        <a:prstGeom prst="rect">
          <a:avLst/>
        </a:prstGeom>
      </xdr:spPr>
    </xdr:pic>
    <xdr:clientData/>
  </xdr:twoCellAnchor>
  <xdr:twoCellAnchor editAs="oneCell">
    <xdr:from>
      <xdr:col>12</xdr:col>
      <xdr:colOff>57150</xdr:colOff>
      <xdr:row>69</xdr:row>
      <xdr:rowOff>78068</xdr:rowOff>
    </xdr:from>
    <xdr:to>
      <xdr:col>20</xdr:col>
      <xdr:colOff>63873</xdr:colOff>
      <xdr:row>100</xdr:row>
      <xdr:rowOff>62923</xdr:rowOff>
    </xdr:to>
    <xdr:pic>
      <xdr:nvPicPr>
        <xdr:cNvPr id="18" name="Picture 17">
          <a:extLst>
            <a:ext uri="{FF2B5EF4-FFF2-40B4-BE49-F238E27FC236}">
              <a16:creationId xmlns:a16="http://schemas.microsoft.com/office/drawing/2014/main" id="{00000000-0008-0000-0400-000012000000}"/>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1658" t="6200" r="277" b="3403"/>
        <a:stretch/>
      </xdr:blipFill>
      <xdr:spPr>
        <a:xfrm>
          <a:off x="7296150" y="11571568"/>
          <a:ext cx="5467723" cy="4906105"/>
        </a:xfrm>
        <a:prstGeom prst="rect">
          <a:avLst/>
        </a:prstGeom>
      </xdr:spPr>
    </xdr:pic>
    <xdr:clientData/>
  </xdr:twoCellAnchor>
  <xdr:twoCellAnchor editAs="oneCell">
    <xdr:from>
      <xdr:col>22</xdr:col>
      <xdr:colOff>69271</xdr:colOff>
      <xdr:row>9</xdr:row>
      <xdr:rowOff>10102</xdr:rowOff>
    </xdr:from>
    <xdr:to>
      <xdr:col>33</xdr:col>
      <xdr:colOff>259771</xdr:colOff>
      <xdr:row>38</xdr:row>
      <xdr:rowOff>14251</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3951" t="3176" r="2120" b="4976"/>
        <a:stretch/>
      </xdr:blipFill>
      <xdr:spPr>
        <a:xfrm>
          <a:off x="13975771" y="1978602"/>
          <a:ext cx="6826250" cy="4607899"/>
        </a:xfrm>
        <a:prstGeom prst="rect">
          <a:avLst/>
        </a:prstGeom>
      </xdr:spPr>
    </xdr:pic>
    <xdr:clientData/>
  </xdr:twoCellAnchor>
  <xdr:twoCellAnchor editAs="oneCell">
    <xdr:from>
      <xdr:col>22</xdr:col>
      <xdr:colOff>69271</xdr:colOff>
      <xdr:row>38</xdr:row>
      <xdr:rowOff>153610</xdr:rowOff>
    </xdr:from>
    <xdr:to>
      <xdr:col>33</xdr:col>
      <xdr:colOff>252695</xdr:colOff>
      <xdr:row>68</xdr:row>
      <xdr:rowOff>49701</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4667" t="10113" r="4940" b="8223"/>
        <a:stretch/>
      </xdr:blipFill>
      <xdr:spPr>
        <a:xfrm>
          <a:off x="13975771" y="6725860"/>
          <a:ext cx="6819174" cy="4658591"/>
        </a:xfrm>
        <a:prstGeom prst="rect">
          <a:avLst/>
        </a:prstGeom>
      </xdr:spPr>
    </xdr:pic>
    <xdr:clientData/>
  </xdr:twoCellAnchor>
  <xdr:twoCellAnchor editAs="oneCell">
    <xdr:from>
      <xdr:col>22</xdr:col>
      <xdr:colOff>69271</xdr:colOff>
      <xdr:row>69</xdr:row>
      <xdr:rowOff>27423</xdr:rowOff>
    </xdr:from>
    <xdr:to>
      <xdr:col>33</xdr:col>
      <xdr:colOff>259771</xdr:colOff>
      <xdr:row>98</xdr:row>
      <xdr:rowOff>109158</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rotWithShape="1">
        <a:blip xmlns:r="http://schemas.openxmlformats.org/officeDocument/2006/relationships" r:embed="rId10">
          <a:extLst>
            <a:ext uri="{28A0092B-C50C-407E-A947-70E740481C1C}">
              <a14:useLocalDpi xmlns:a14="http://schemas.microsoft.com/office/drawing/2010/main" val="0"/>
            </a:ext>
          </a:extLst>
        </a:blip>
        <a:srcRect l="2042" t="8673" r="3293" b="4723"/>
        <a:stretch/>
      </xdr:blipFill>
      <xdr:spPr>
        <a:xfrm>
          <a:off x="13975771" y="11520923"/>
          <a:ext cx="6826250" cy="4685485"/>
        </a:xfrm>
        <a:prstGeom prst="rect">
          <a:avLst/>
        </a:prstGeom>
      </xdr:spPr>
    </xdr:pic>
    <xdr:clientData/>
  </xdr:twoCellAnchor>
  <xdr:twoCellAnchor editAs="oneCell">
    <xdr:from>
      <xdr:col>0</xdr:col>
      <xdr:colOff>559596</xdr:colOff>
      <xdr:row>9</xdr:row>
      <xdr:rowOff>83343</xdr:rowOff>
    </xdr:from>
    <xdr:to>
      <xdr:col>9</xdr:col>
      <xdr:colOff>500062</xdr:colOff>
      <xdr:row>33</xdr:row>
      <xdr:rowOff>35718</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rotWithShape="1">
        <a:blip xmlns:r="http://schemas.openxmlformats.org/officeDocument/2006/relationships" r:embed="rId11">
          <a:extLst>
            <a:ext uri="{28A0092B-C50C-407E-A947-70E740481C1C}">
              <a14:useLocalDpi xmlns:a14="http://schemas.microsoft.com/office/drawing/2010/main" val="0"/>
            </a:ext>
          </a:extLst>
        </a:blip>
        <a:srcRect l="3258" t="7197" r="4310" b="7455"/>
        <a:stretch/>
      </xdr:blipFill>
      <xdr:spPr>
        <a:xfrm>
          <a:off x="559596" y="2107406"/>
          <a:ext cx="5405435" cy="3952875"/>
        </a:xfrm>
        <a:prstGeom prst="rect">
          <a:avLst/>
        </a:prstGeom>
      </xdr:spPr>
    </xdr:pic>
    <xdr:clientData/>
  </xdr:twoCellAnchor>
  <xdr:twoCellAnchor editAs="oneCell">
    <xdr:from>
      <xdr:col>0</xdr:col>
      <xdr:colOff>567877</xdr:colOff>
      <xdr:row>58</xdr:row>
      <xdr:rowOff>59530</xdr:rowOff>
    </xdr:from>
    <xdr:to>
      <xdr:col>9</xdr:col>
      <xdr:colOff>521805</xdr:colOff>
      <xdr:row>81</xdr:row>
      <xdr:rowOff>113822</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7016" t="10975" r="8251" b="10033"/>
        <a:stretch/>
      </xdr:blipFill>
      <xdr:spPr>
        <a:xfrm>
          <a:off x="567877" y="10189160"/>
          <a:ext cx="5470145" cy="386429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14</xdr:col>
      <xdr:colOff>200025</xdr:colOff>
      <xdr:row>32</xdr:row>
      <xdr:rowOff>133350</xdr:rowOff>
    </xdr:to>
    <xdr:graphicFrame macro="">
      <xdr:nvGraphicFramePr>
        <xdr:cNvPr id="3" name="Chart 253">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25400</xdr:colOff>
      <xdr:row>4</xdr:row>
      <xdr:rowOff>12700</xdr:rowOff>
    </xdr:from>
    <xdr:to>
      <xdr:col>1</xdr:col>
      <xdr:colOff>8150225</xdr:colOff>
      <xdr:row>4</xdr:row>
      <xdr:rowOff>5165725</xdr:rowOff>
    </xdr:to>
    <xdr:graphicFrame macro="">
      <xdr:nvGraphicFramePr>
        <xdr:cNvPr id="2" name="Chart 253">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38100</xdr:colOff>
      <xdr:row>6</xdr:row>
      <xdr:rowOff>6350</xdr:rowOff>
    </xdr:from>
    <xdr:to>
      <xdr:col>1</xdr:col>
      <xdr:colOff>8162925</xdr:colOff>
      <xdr:row>6</xdr:row>
      <xdr:rowOff>5159375</xdr:rowOff>
    </xdr:to>
    <xdr:graphicFrame macro="">
      <xdr:nvGraphicFramePr>
        <xdr:cNvPr id="3" name="Chart 253">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4</xdr:row>
      <xdr:rowOff>0</xdr:rowOff>
    </xdr:from>
    <xdr:to>
      <xdr:col>30</xdr:col>
      <xdr:colOff>164647</xdr:colOff>
      <xdr:row>4</xdr:row>
      <xdr:rowOff>5153025</xdr:rowOff>
    </xdr:to>
    <xdr:graphicFrame macro="">
      <xdr:nvGraphicFramePr>
        <xdr:cNvPr id="4" name="Chart 25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4</xdr:row>
      <xdr:rowOff>0</xdr:rowOff>
    </xdr:from>
    <xdr:to>
      <xdr:col>15</xdr:col>
      <xdr:colOff>164646</xdr:colOff>
      <xdr:row>4</xdr:row>
      <xdr:rowOff>5153025</xdr:rowOff>
    </xdr:to>
    <xdr:graphicFrame macro="">
      <xdr:nvGraphicFramePr>
        <xdr:cNvPr id="5" name="Chart 253">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0</xdr:colOff>
      <xdr:row>4</xdr:row>
      <xdr:rowOff>0</xdr:rowOff>
    </xdr:from>
    <xdr:to>
      <xdr:col>44</xdr:col>
      <xdr:colOff>164647</xdr:colOff>
      <xdr:row>4</xdr:row>
      <xdr:rowOff>5153025</xdr:rowOff>
    </xdr:to>
    <xdr:graphicFrame macro="">
      <xdr:nvGraphicFramePr>
        <xdr:cNvPr id="6" name="Chart 253">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45</xdr:col>
      <xdr:colOff>0</xdr:colOff>
      <xdr:row>4</xdr:row>
      <xdr:rowOff>0</xdr:rowOff>
    </xdr:from>
    <xdr:to>
      <xdr:col>58</xdr:col>
      <xdr:colOff>164647</xdr:colOff>
      <xdr:row>4</xdr:row>
      <xdr:rowOff>5153025</xdr:rowOff>
    </xdr:to>
    <xdr:graphicFrame macro="">
      <xdr:nvGraphicFramePr>
        <xdr:cNvPr id="7" name="Chart 253">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6</xdr:row>
      <xdr:rowOff>0</xdr:rowOff>
    </xdr:from>
    <xdr:to>
      <xdr:col>15</xdr:col>
      <xdr:colOff>164646</xdr:colOff>
      <xdr:row>6</xdr:row>
      <xdr:rowOff>5153025</xdr:rowOff>
    </xdr:to>
    <xdr:graphicFrame macro="">
      <xdr:nvGraphicFramePr>
        <xdr:cNvPr id="8" name="Chart 253">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0</xdr:colOff>
      <xdr:row>6</xdr:row>
      <xdr:rowOff>0</xdr:rowOff>
    </xdr:from>
    <xdr:to>
      <xdr:col>30</xdr:col>
      <xdr:colOff>164647</xdr:colOff>
      <xdr:row>6</xdr:row>
      <xdr:rowOff>5153025</xdr:rowOff>
    </xdr:to>
    <xdr:graphicFrame macro="">
      <xdr:nvGraphicFramePr>
        <xdr:cNvPr id="9" name="Chart 253">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31</xdr:col>
      <xdr:colOff>0</xdr:colOff>
      <xdr:row>6</xdr:row>
      <xdr:rowOff>0</xdr:rowOff>
    </xdr:from>
    <xdr:to>
      <xdr:col>44</xdr:col>
      <xdr:colOff>164647</xdr:colOff>
      <xdr:row>6</xdr:row>
      <xdr:rowOff>5153025</xdr:rowOff>
    </xdr:to>
    <xdr:graphicFrame macro="">
      <xdr:nvGraphicFramePr>
        <xdr:cNvPr id="10" name="Chart 253">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45</xdr:col>
      <xdr:colOff>0</xdr:colOff>
      <xdr:row>6</xdr:row>
      <xdr:rowOff>0</xdr:rowOff>
    </xdr:from>
    <xdr:to>
      <xdr:col>58</xdr:col>
      <xdr:colOff>164647</xdr:colOff>
      <xdr:row>6</xdr:row>
      <xdr:rowOff>5153025</xdr:rowOff>
    </xdr:to>
    <xdr:graphicFrame macro="">
      <xdr:nvGraphicFramePr>
        <xdr:cNvPr id="11" name="Chart 253">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0</xdr:colOff>
      <xdr:row>9</xdr:row>
      <xdr:rowOff>0</xdr:rowOff>
    </xdr:from>
    <xdr:to>
      <xdr:col>30</xdr:col>
      <xdr:colOff>164647</xdr:colOff>
      <xdr:row>9</xdr:row>
      <xdr:rowOff>5153025</xdr:rowOff>
    </xdr:to>
    <xdr:graphicFrame macro="">
      <xdr:nvGraphicFramePr>
        <xdr:cNvPr id="12" name="Chart 253">
          <a:extLst>
            <a:ext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31</xdr:col>
      <xdr:colOff>0</xdr:colOff>
      <xdr:row>9</xdr:row>
      <xdr:rowOff>0</xdr:rowOff>
    </xdr:from>
    <xdr:to>
      <xdr:col>44</xdr:col>
      <xdr:colOff>164647</xdr:colOff>
      <xdr:row>9</xdr:row>
      <xdr:rowOff>5153025</xdr:rowOff>
    </xdr:to>
    <xdr:graphicFrame macro="">
      <xdr:nvGraphicFramePr>
        <xdr:cNvPr id="13" name="Chart 253">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45</xdr:col>
      <xdr:colOff>0</xdr:colOff>
      <xdr:row>9</xdr:row>
      <xdr:rowOff>0</xdr:rowOff>
    </xdr:from>
    <xdr:to>
      <xdr:col>58</xdr:col>
      <xdr:colOff>164647</xdr:colOff>
      <xdr:row>9</xdr:row>
      <xdr:rowOff>5153025</xdr:rowOff>
    </xdr:to>
    <xdr:graphicFrame macro="">
      <xdr:nvGraphicFramePr>
        <xdr:cNvPr id="14" name="Chart 253">
          <a:extLst>
            <a:ext uri="{FF2B5EF4-FFF2-40B4-BE49-F238E27FC236}">
              <a16:creationId xmlns:a16="http://schemas.microsoft.com/office/drawing/2014/main" id="{00000000-0008-0000-06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59</xdr:col>
      <xdr:colOff>0</xdr:colOff>
      <xdr:row>9</xdr:row>
      <xdr:rowOff>0</xdr:rowOff>
    </xdr:from>
    <xdr:to>
      <xdr:col>72</xdr:col>
      <xdr:colOff>164647</xdr:colOff>
      <xdr:row>9</xdr:row>
      <xdr:rowOff>5153025</xdr:rowOff>
    </xdr:to>
    <xdr:graphicFrame macro="">
      <xdr:nvGraphicFramePr>
        <xdr:cNvPr id="15" name="Chart 253">
          <a:extLst>
            <a:ext uri="{FF2B5EF4-FFF2-40B4-BE49-F238E27FC236}">
              <a16:creationId xmlns:a16="http://schemas.microsoft.com/office/drawing/2014/main" id="{00000000-0008-0000-06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104775</xdr:colOff>
      <xdr:row>24</xdr:row>
      <xdr:rowOff>95250</xdr:rowOff>
    </xdr:from>
    <xdr:to>
      <xdr:col>24</xdr:col>
      <xdr:colOff>295275</xdr:colOff>
      <xdr:row>59</xdr:row>
      <xdr:rowOff>28575</xdr:rowOff>
    </xdr:to>
    <xdr:grpSp>
      <xdr:nvGrpSpPr>
        <xdr:cNvPr id="2" name="Group 14">
          <a:extLst>
            <a:ext uri="{FF2B5EF4-FFF2-40B4-BE49-F238E27FC236}">
              <a16:creationId xmlns:a16="http://schemas.microsoft.com/office/drawing/2014/main" id="{00000000-0008-0000-0800-000002000000}"/>
            </a:ext>
          </a:extLst>
        </xdr:cNvPr>
        <xdr:cNvGrpSpPr>
          <a:grpSpLocks/>
        </xdr:cNvGrpSpPr>
      </xdr:nvGrpSpPr>
      <xdr:grpSpPr bwMode="auto">
        <a:xfrm>
          <a:off x="14049375" y="4210050"/>
          <a:ext cx="6448425" cy="5619750"/>
          <a:chOff x="3209925" y="19650076"/>
          <a:chExt cx="5619750" cy="5910101"/>
        </a:xfrm>
      </xdr:grpSpPr>
      <xdr:pic>
        <xdr:nvPicPr>
          <xdr:cNvPr id="3" name="Picture 11" descr="Error amp - no ref des.tif">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3209925" y="19659867"/>
            <a:ext cx="5619750" cy="5900310"/>
          </a:xfrm>
          <a:prstGeom prst="rect">
            <a:avLst/>
          </a:prstGeom>
          <a:noFill/>
          <a:ln w="9525">
            <a:noFill/>
            <a:miter lim="800000"/>
            <a:headEnd/>
            <a:tailEnd/>
          </a:ln>
        </xdr:spPr>
      </xdr:pic>
      <xdr:sp macro="" textlink="$A$493">
        <xdr:nvSpPr>
          <xdr:cNvPr id="4" name="Text Box 5">
            <a:extLst>
              <a:ext uri="{FF2B5EF4-FFF2-40B4-BE49-F238E27FC236}">
                <a16:creationId xmlns:a16="http://schemas.microsoft.com/office/drawing/2014/main" id="{00000000-0008-0000-0800-000004000000}"/>
              </a:ext>
            </a:extLst>
          </xdr:cNvPr>
          <xdr:cNvSpPr txBox="1">
            <a:spLocks noChangeArrowheads="1" noTextEdit="1"/>
          </xdr:cNvSpPr>
        </xdr:nvSpPr>
        <xdr:spPr bwMode="auto">
          <a:xfrm>
            <a:off x="5400675" y="23797353"/>
            <a:ext cx="961159" cy="287619"/>
          </a:xfrm>
          <a:prstGeom prst="rect">
            <a:avLst/>
          </a:prstGeom>
          <a:noFill/>
          <a:ln w="9525">
            <a:noFill/>
            <a:miter lim="800000"/>
            <a:headEnd/>
            <a:tailEnd/>
          </a:ln>
        </xdr:spPr>
        <xdr:txBody>
          <a:bodyPr vertOverflow="clip" wrap="square" lIns="27432" tIns="22860" rIns="0" bIns="0" anchor="t" upright="1"/>
          <a:lstStyle/>
          <a:p>
            <a:pPr algn="l" rtl="0">
              <a:defRPr sz="1000"/>
            </a:pPr>
            <a:fld id="{646744A9-B6E0-4B97-A665-5D50832E7F13}" type="TxLink">
              <a:rPr lang="en-US" sz="1000" b="1" i="0" u="none" strike="noStrike" baseline="0">
                <a:solidFill>
                  <a:srgbClr val="000000"/>
                </a:solidFill>
                <a:latin typeface="Arialri"/>
                <a:cs typeface="Arial"/>
              </a:rPr>
              <a:pPr algn="l" rtl="0">
                <a:defRPr sz="1000"/>
              </a:pPr>
              <a:t>CC1 = 100nF</a:t>
            </a:fld>
            <a:endParaRPr lang="en-US" sz="1000" b="1" i="0" u="none" strike="noStrike" baseline="0">
              <a:solidFill>
                <a:srgbClr val="000000"/>
              </a:solidFill>
              <a:latin typeface="Arial"/>
              <a:cs typeface="Arial"/>
            </a:endParaRPr>
          </a:p>
        </xdr:txBody>
      </xdr:sp>
      <xdr:sp macro="" textlink="#REF!">
        <xdr:nvSpPr>
          <xdr:cNvPr id="5" name="Text Box 6">
            <a:extLst>
              <a:ext uri="{FF2B5EF4-FFF2-40B4-BE49-F238E27FC236}">
                <a16:creationId xmlns:a16="http://schemas.microsoft.com/office/drawing/2014/main" id="{00000000-0008-0000-0800-000005000000}"/>
              </a:ext>
            </a:extLst>
          </xdr:cNvPr>
          <xdr:cNvSpPr txBox="1">
            <a:spLocks noChangeArrowheads="1" noTextEdit="1"/>
          </xdr:cNvSpPr>
        </xdr:nvSpPr>
        <xdr:spPr bwMode="auto">
          <a:xfrm>
            <a:off x="3322493" y="23862299"/>
            <a:ext cx="805295" cy="556681"/>
          </a:xfrm>
          <a:prstGeom prst="rect">
            <a:avLst/>
          </a:prstGeom>
          <a:noFill/>
          <a:ln w="9525">
            <a:noFill/>
            <a:miter lim="800000"/>
            <a:headEnd/>
            <a:tailEnd/>
          </a:ln>
        </xdr:spPr>
        <xdr:txBody>
          <a:bodyPr vertOverflow="clip" wrap="square" lIns="27432" tIns="22860" rIns="0" bIns="0" anchor="t" upright="1"/>
          <a:lstStyle/>
          <a:p>
            <a:pPr algn="r" rtl="0">
              <a:defRPr sz="1000"/>
            </a:pPr>
            <a:fld id="{872494E3-3BCB-4B8A-8556-319E6FBD4F6C}" type="TxLink">
              <a:rPr lang="en-US" sz="1000" b="1" i="0" u="none" strike="noStrike" baseline="0">
                <a:solidFill>
                  <a:srgbClr val="000000"/>
                </a:solidFill>
                <a:latin typeface="Arialri"/>
                <a:cs typeface="Arial"/>
              </a:rPr>
              <a:pPr algn="r" rtl="0">
                <a:defRPr sz="1000"/>
              </a:pPr>
              <a:t> </a:t>
            </a:fld>
            <a:endParaRPr lang="en-US" sz="1000" b="1" i="0" u="none" strike="noStrike" baseline="0">
              <a:solidFill>
                <a:srgbClr val="000000"/>
              </a:solidFill>
              <a:latin typeface="Arial"/>
              <a:cs typeface="Arial"/>
            </a:endParaRPr>
          </a:p>
        </xdr:txBody>
      </xdr:sp>
      <xdr:sp macro="" textlink="$A$502">
        <xdr:nvSpPr>
          <xdr:cNvPr id="6" name="Text Box 9">
            <a:extLst>
              <a:ext uri="{FF2B5EF4-FFF2-40B4-BE49-F238E27FC236}">
                <a16:creationId xmlns:a16="http://schemas.microsoft.com/office/drawing/2014/main" id="{00000000-0008-0000-0800-000006000000}"/>
              </a:ext>
            </a:extLst>
          </xdr:cNvPr>
          <xdr:cNvSpPr txBox="1">
            <a:spLocks noChangeArrowheads="1" noTextEdit="1"/>
          </xdr:cNvSpPr>
        </xdr:nvSpPr>
        <xdr:spPr bwMode="auto">
          <a:xfrm>
            <a:off x="7539470" y="20865497"/>
            <a:ext cx="909205" cy="528847"/>
          </a:xfrm>
          <a:prstGeom prst="rect">
            <a:avLst/>
          </a:prstGeom>
          <a:noFill/>
          <a:ln w="9525">
            <a:noFill/>
            <a:miter lim="800000"/>
            <a:headEnd/>
            <a:tailEnd/>
          </a:ln>
        </xdr:spPr>
        <xdr:txBody>
          <a:bodyPr vertOverflow="clip" wrap="square" lIns="27432" tIns="22860" rIns="0" bIns="0" anchor="t" upright="1"/>
          <a:lstStyle/>
          <a:p>
            <a:pPr algn="r" rtl="0">
              <a:defRPr sz="1000"/>
            </a:pPr>
            <a:fld id="{52D31661-C732-4DB5-B625-AC6B80EEA28C}" type="TxLink">
              <a:rPr lang="en-US" sz="1000" b="1" i="0" u="none" strike="noStrike" baseline="0">
                <a:solidFill>
                  <a:srgbClr val="000000"/>
                </a:solidFill>
                <a:latin typeface="Arialri"/>
                <a:cs typeface="Arial"/>
              </a:rPr>
              <a:pPr algn="r" rtl="0">
                <a:defRPr sz="1000"/>
              </a:pPr>
              <a:t>RFB1 = 82kΩ</a:t>
            </a:fld>
            <a:endParaRPr lang="el-GR" sz="1000" b="1" i="0" u="none" strike="noStrike" baseline="0">
              <a:solidFill>
                <a:srgbClr val="000000"/>
              </a:solidFill>
              <a:latin typeface="Arial"/>
              <a:cs typeface="Arial"/>
            </a:endParaRPr>
          </a:p>
        </xdr:txBody>
      </xdr:sp>
      <xdr:sp macro="" textlink="$A$503">
        <xdr:nvSpPr>
          <xdr:cNvPr id="7" name="Text Box 10">
            <a:extLst>
              <a:ext uri="{FF2B5EF4-FFF2-40B4-BE49-F238E27FC236}">
                <a16:creationId xmlns:a16="http://schemas.microsoft.com/office/drawing/2014/main" id="{00000000-0008-0000-0800-000007000000}"/>
              </a:ext>
            </a:extLst>
          </xdr:cNvPr>
          <xdr:cNvSpPr txBox="1">
            <a:spLocks noChangeArrowheads="1" noTextEdit="1"/>
          </xdr:cNvSpPr>
        </xdr:nvSpPr>
        <xdr:spPr bwMode="auto">
          <a:xfrm>
            <a:off x="7565449" y="22257201"/>
            <a:ext cx="917864" cy="324731"/>
          </a:xfrm>
          <a:prstGeom prst="rect">
            <a:avLst/>
          </a:prstGeom>
          <a:noFill/>
          <a:ln w="9525">
            <a:noFill/>
            <a:miter lim="800000"/>
            <a:headEnd/>
            <a:tailEnd/>
          </a:ln>
        </xdr:spPr>
        <xdr:txBody>
          <a:bodyPr vertOverflow="clip" wrap="square" lIns="27432" tIns="22860" rIns="0" bIns="0" anchor="t" upright="1"/>
          <a:lstStyle/>
          <a:p>
            <a:pPr algn="r" rtl="0">
              <a:defRPr sz="1000"/>
            </a:pPr>
            <a:fld id="{49F0D989-1BAE-4B3F-9979-B5F5B92776AD}" type="TxLink">
              <a:rPr lang="en-US" sz="1000" b="1" i="0" u="none" strike="noStrike" baseline="0">
                <a:solidFill>
                  <a:srgbClr val="000000"/>
                </a:solidFill>
                <a:latin typeface="Arialri"/>
                <a:cs typeface="Arial"/>
              </a:rPr>
              <a:pPr algn="r" rtl="0">
                <a:defRPr sz="1000"/>
              </a:pPr>
              <a:t>RFB2 = 6.04kΩ</a:t>
            </a:fld>
            <a:endParaRPr lang="el-GR" sz="1000" b="1" i="0" u="none" strike="noStrike" baseline="0">
              <a:solidFill>
                <a:srgbClr val="000000"/>
              </a:solidFill>
              <a:latin typeface="Arial"/>
              <a:cs typeface="Arial"/>
            </a:endParaRPr>
          </a:p>
        </xdr:txBody>
      </xdr:sp>
      <xdr:sp macro="" textlink="$A$492">
        <xdr:nvSpPr>
          <xdr:cNvPr id="8" name="Text Box 4">
            <a:extLst>
              <a:ext uri="{FF2B5EF4-FFF2-40B4-BE49-F238E27FC236}">
                <a16:creationId xmlns:a16="http://schemas.microsoft.com/office/drawing/2014/main" id="{00000000-0008-0000-0800-000008000000}"/>
              </a:ext>
            </a:extLst>
          </xdr:cNvPr>
          <xdr:cNvSpPr txBox="1">
            <a:spLocks noChangeArrowheads="1" noTextEdit="1"/>
          </xdr:cNvSpPr>
        </xdr:nvSpPr>
        <xdr:spPr bwMode="auto">
          <a:xfrm>
            <a:off x="5314083" y="22860271"/>
            <a:ext cx="874568" cy="417511"/>
          </a:xfrm>
          <a:prstGeom prst="rect">
            <a:avLst/>
          </a:prstGeom>
          <a:noFill/>
          <a:ln w="9525">
            <a:noFill/>
            <a:miter lim="800000"/>
            <a:headEnd/>
            <a:tailEnd/>
          </a:ln>
        </xdr:spPr>
        <xdr:txBody>
          <a:bodyPr vertOverflow="clip" wrap="square" lIns="27432" tIns="22860" rIns="0" bIns="0" anchor="t" upright="1"/>
          <a:lstStyle/>
          <a:p>
            <a:pPr algn="l" rtl="0">
              <a:defRPr sz="1000"/>
            </a:pPr>
            <a:fld id="{899FBA2F-0000-4A1A-AACB-0C4C45759FAE}" type="TxLink">
              <a:rPr lang="en-US" sz="1000" b="1" i="0" u="none" strike="noStrike" baseline="0">
                <a:solidFill>
                  <a:srgbClr val="000000"/>
                </a:solidFill>
                <a:latin typeface="Arialri"/>
                <a:cs typeface="Arial"/>
              </a:rPr>
              <a:pPr algn="l" rtl="0">
                <a:defRPr sz="1000"/>
              </a:pPr>
              <a:t>RC1 = 100kΩ</a:t>
            </a:fld>
            <a:endParaRPr lang="el-GR" sz="1000" b="1" i="0" u="none" strike="noStrike" baseline="0">
              <a:solidFill>
                <a:srgbClr val="000000"/>
              </a:solidFill>
              <a:latin typeface="Arial"/>
              <a:cs typeface="Arial"/>
            </a:endParaRPr>
          </a:p>
        </xdr:txBody>
      </xdr:sp>
      <xdr:sp macro="" textlink="$A$482">
        <xdr:nvSpPr>
          <xdr:cNvPr id="9" name="Text Box 9">
            <a:extLst>
              <a:ext uri="{FF2B5EF4-FFF2-40B4-BE49-F238E27FC236}">
                <a16:creationId xmlns:a16="http://schemas.microsoft.com/office/drawing/2014/main" id="{00000000-0008-0000-0800-000009000000}"/>
              </a:ext>
            </a:extLst>
          </xdr:cNvPr>
          <xdr:cNvSpPr txBox="1">
            <a:spLocks noChangeArrowheads="1" noTextEdit="1"/>
          </xdr:cNvSpPr>
        </xdr:nvSpPr>
        <xdr:spPr bwMode="auto">
          <a:xfrm>
            <a:off x="7452880" y="19650076"/>
            <a:ext cx="1082386" cy="315453"/>
          </a:xfrm>
          <a:prstGeom prst="rect">
            <a:avLst/>
          </a:prstGeom>
          <a:noFill/>
          <a:ln w="9525">
            <a:noFill/>
            <a:miter lim="800000"/>
            <a:headEnd/>
            <a:tailEnd/>
          </a:ln>
        </xdr:spPr>
        <xdr:txBody>
          <a:bodyPr vertOverflow="clip" wrap="square" lIns="27432" tIns="22860" rIns="0" bIns="0" anchor="t" upright="1"/>
          <a:lstStyle/>
          <a:p>
            <a:pPr algn="r" rtl="0">
              <a:defRPr sz="1000"/>
            </a:pPr>
            <a:fld id="{97BF0309-416E-405E-B585-4983CCA02D3E}" type="TxLink">
              <a:rPr lang="en-US" sz="1000" b="1" i="0" u="none" strike="noStrike" baseline="0">
                <a:solidFill>
                  <a:srgbClr val="000000"/>
                </a:solidFill>
                <a:latin typeface="Arialri"/>
                <a:cs typeface="Arial"/>
              </a:rPr>
              <a:pPr algn="r" rtl="0">
                <a:defRPr sz="1000"/>
              </a:pPr>
              <a:t>VOUT = 14.6V</a:t>
            </a:fld>
            <a:endParaRPr lang="el-GR" sz="1000" b="1" i="0" u="none" strike="noStrike" baseline="0">
              <a:solidFill>
                <a:srgbClr val="000000"/>
              </a:solidFill>
              <a:latin typeface="Arial"/>
              <a:cs typeface="Arial"/>
            </a:endParaRPr>
          </a:p>
        </xdr:txBody>
      </xdr:sp>
    </xdr:grpSp>
    <xdr:clientData/>
  </xdr:twoCellAnchor>
  <xdr:twoCellAnchor>
    <xdr:from>
      <xdr:col>13</xdr:col>
      <xdr:colOff>66675</xdr:colOff>
      <xdr:row>16</xdr:row>
      <xdr:rowOff>152401</xdr:rowOff>
    </xdr:from>
    <xdr:to>
      <xdr:col>14</xdr:col>
      <xdr:colOff>504825</xdr:colOff>
      <xdr:row>18</xdr:row>
      <xdr:rowOff>95251</xdr:rowOff>
    </xdr:to>
    <xdr:sp macro="" textlink="$A$496">
      <xdr:nvSpPr>
        <xdr:cNvPr id="10" name="Text Box 4">
          <a:extLst>
            <a:ext uri="{FF2B5EF4-FFF2-40B4-BE49-F238E27FC236}">
              <a16:creationId xmlns:a16="http://schemas.microsoft.com/office/drawing/2014/main" id="{00000000-0008-0000-0800-00000A000000}"/>
            </a:ext>
          </a:extLst>
        </xdr:cNvPr>
        <xdr:cNvSpPr txBox="1">
          <a:spLocks noChangeArrowheads="1" noTextEdit="1"/>
        </xdr:cNvSpPr>
      </xdr:nvSpPr>
      <xdr:spPr bwMode="auto">
        <a:xfrm>
          <a:off x="13173075" y="2647951"/>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DCFBE156-977E-4C45-9B24-0A2E6E91FFAB}" type="TxLink">
            <a:rPr lang="en-US" sz="1000" b="1" i="0" u="none" strike="noStrike" baseline="0">
              <a:solidFill>
                <a:srgbClr val="000000"/>
              </a:solidFill>
              <a:latin typeface="Arialri"/>
              <a:cs typeface="Arial"/>
            </a:rPr>
            <a:pPr algn="r" rtl="0">
              <a:defRPr sz="1000"/>
            </a:pPr>
            <a:t>gm = 0.6mS</a:t>
          </a:fld>
          <a:endParaRPr lang="el-GR" sz="1000" b="1" i="0" u="none" strike="noStrike" baseline="0">
            <a:solidFill>
              <a:srgbClr val="000000"/>
            </a:solidFill>
            <a:latin typeface="Arial"/>
            <a:cs typeface="Arial"/>
          </a:endParaRPr>
        </a:p>
      </xdr:txBody>
    </xdr:sp>
    <xdr:clientData/>
  </xdr:twoCellAnchor>
  <xdr:twoCellAnchor>
    <xdr:from>
      <xdr:col>13</xdr:col>
      <xdr:colOff>95250</xdr:colOff>
      <xdr:row>21</xdr:row>
      <xdr:rowOff>0</xdr:rowOff>
    </xdr:from>
    <xdr:to>
      <xdr:col>14</xdr:col>
      <xdr:colOff>533400</xdr:colOff>
      <xdr:row>23</xdr:row>
      <xdr:rowOff>104775</xdr:rowOff>
    </xdr:to>
    <xdr:sp macro="" textlink="$A$497">
      <xdr:nvSpPr>
        <xdr:cNvPr id="11" name="Text Box 4">
          <a:extLst>
            <a:ext uri="{FF2B5EF4-FFF2-40B4-BE49-F238E27FC236}">
              <a16:creationId xmlns:a16="http://schemas.microsoft.com/office/drawing/2014/main" id="{00000000-0008-0000-0800-00000B000000}"/>
            </a:ext>
          </a:extLst>
        </xdr:cNvPr>
        <xdr:cNvSpPr txBox="1">
          <a:spLocks noChangeArrowheads="1" noTextEdit="1"/>
        </xdr:cNvSpPr>
      </xdr:nvSpPr>
      <xdr:spPr bwMode="auto">
        <a:xfrm>
          <a:off x="13201650" y="3267075"/>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4772262A-5BC4-4AF8-A8E2-DF3959B443C1}" type="TxLink">
            <a:rPr lang="en-US" sz="1000" b="1" i="0" u="none" strike="noStrike" baseline="0">
              <a:solidFill>
                <a:srgbClr val="000000"/>
              </a:solidFill>
              <a:latin typeface="Arialri"/>
              <a:cs typeface="Arial"/>
            </a:rPr>
            <a:pPr algn="r" rtl="0">
              <a:defRPr sz="1000"/>
            </a:pPr>
            <a:t>RoEA = 10MΩ</a:t>
          </a:fld>
          <a:endParaRPr lang="el-GR" sz="1000" b="1" i="0" u="none" strike="noStrike" baseline="0">
            <a:solidFill>
              <a:srgbClr val="000000"/>
            </a:solidFill>
            <a:latin typeface="Arial"/>
            <a:cs typeface="Arial"/>
          </a:endParaRPr>
        </a:p>
      </xdr:txBody>
    </xdr:sp>
    <xdr:clientData/>
  </xdr:twoCellAnchor>
  <xdr:twoCellAnchor>
    <xdr:from>
      <xdr:col>13</xdr:col>
      <xdr:colOff>95250</xdr:colOff>
      <xdr:row>19</xdr:row>
      <xdr:rowOff>0</xdr:rowOff>
    </xdr:from>
    <xdr:to>
      <xdr:col>14</xdr:col>
      <xdr:colOff>533400</xdr:colOff>
      <xdr:row>20</xdr:row>
      <xdr:rowOff>104775</xdr:rowOff>
    </xdr:to>
    <xdr:sp macro="" textlink="$A$498">
      <xdr:nvSpPr>
        <xdr:cNvPr id="12" name="Text Box 4">
          <a:extLst>
            <a:ext uri="{FF2B5EF4-FFF2-40B4-BE49-F238E27FC236}">
              <a16:creationId xmlns:a16="http://schemas.microsoft.com/office/drawing/2014/main" id="{00000000-0008-0000-0800-00000C000000}"/>
            </a:ext>
          </a:extLst>
        </xdr:cNvPr>
        <xdr:cNvSpPr txBox="1">
          <a:spLocks noChangeArrowheads="1" noTextEdit="1"/>
        </xdr:cNvSpPr>
      </xdr:nvSpPr>
      <xdr:spPr bwMode="auto">
        <a:xfrm>
          <a:off x="13201650" y="2981325"/>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6540ECFD-AAA0-44C8-8BEA-3C65071BF767}" type="TxLink">
            <a:rPr lang="en-US" sz="1000" b="1" i="0" u="none" strike="noStrike" baseline="0">
              <a:solidFill>
                <a:srgbClr val="000000"/>
              </a:solidFill>
              <a:latin typeface="Arialri"/>
              <a:cs typeface="Arial"/>
            </a:rPr>
            <a:pPr algn="r" rtl="0">
              <a:defRPr sz="1000"/>
            </a:pPr>
            <a:t>GBW = 13MHz</a:t>
          </a:fld>
          <a:endParaRPr lang="el-GR" sz="1000" b="1" i="0" u="none" strike="noStrike" baseline="0">
            <a:solidFill>
              <a:srgbClr val="000000"/>
            </a:solidFill>
            <a:latin typeface="Arial"/>
            <a:cs typeface="Arial"/>
          </a:endParaRPr>
        </a:p>
      </xdr:txBody>
    </xdr:sp>
    <xdr:clientData/>
  </xdr:twoCellAnchor>
  <xdr:twoCellAnchor editAs="oneCell">
    <xdr:from>
      <xdr:col>2</xdr:col>
      <xdr:colOff>352425</xdr:colOff>
      <xdr:row>39</xdr:row>
      <xdr:rowOff>123825</xdr:rowOff>
    </xdr:from>
    <xdr:to>
      <xdr:col>5</xdr:col>
      <xdr:colOff>376897</xdr:colOff>
      <xdr:row>43</xdr:row>
      <xdr:rowOff>34222</xdr:rowOff>
    </xdr:to>
    <xdr:pic>
      <xdr:nvPicPr>
        <xdr:cNvPr id="13" name="Picture 12">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2"/>
        <a:stretch>
          <a:fillRect/>
        </a:stretch>
      </xdr:blipFill>
      <xdr:spPr>
        <a:xfrm>
          <a:off x="3743325" y="5857875"/>
          <a:ext cx="2342857" cy="542857"/>
        </a:xfrm>
        <a:prstGeom prst="rect">
          <a:avLst/>
        </a:prstGeom>
      </xdr:spPr>
    </xdr:pic>
    <xdr:clientData/>
  </xdr:twoCellAnchor>
  <xdr:twoCellAnchor editAs="oneCell">
    <xdr:from>
      <xdr:col>6</xdr:col>
      <xdr:colOff>28575</xdr:colOff>
      <xdr:row>39</xdr:row>
      <xdr:rowOff>28575</xdr:rowOff>
    </xdr:from>
    <xdr:to>
      <xdr:col>7</xdr:col>
      <xdr:colOff>719902</xdr:colOff>
      <xdr:row>43</xdr:row>
      <xdr:rowOff>34210</xdr:rowOff>
    </xdr:to>
    <xdr:pic>
      <xdr:nvPicPr>
        <xdr:cNvPr id="15" name="Picture 14">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3"/>
        <a:stretch>
          <a:fillRect/>
        </a:stretch>
      </xdr:blipFill>
      <xdr:spPr>
        <a:xfrm>
          <a:off x="6362700" y="5762625"/>
          <a:ext cx="1504762" cy="638095"/>
        </a:xfrm>
        <a:prstGeom prst="rect">
          <a:avLst/>
        </a:prstGeom>
      </xdr:spPr>
    </xdr:pic>
    <xdr:clientData/>
  </xdr:twoCellAnchor>
  <xdr:twoCellAnchor editAs="oneCell">
    <xdr:from>
      <xdr:col>2</xdr:col>
      <xdr:colOff>361950</xdr:colOff>
      <xdr:row>43</xdr:row>
      <xdr:rowOff>114300</xdr:rowOff>
    </xdr:from>
    <xdr:to>
      <xdr:col>4</xdr:col>
      <xdr:colOff>415089</xdr:colOff>
      <xdr:row>47</xdr:row>
      <xdr:rowOff>3742</xdr:rowOff>
    </xdr:to>
    <xdr:pic>
      <xdr:nvPicPr>
        <xdr:cNvPr id="16" name="Picture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4"/>
        <a:stretch>
          <a:fillRect/>
        </a:stretch>
      </xdr:blipFill>
      <xdr:spPr>
        <a:xfrm>
          <a:off x="3752850" y="6496050"/>
          <a:ext cx="1609524" cy="542857"/>
        </a:xfrm>
        <a:prstGeom prst="rect">
          <a:avLst/>
        </a:prstGeom>
      </xdr:spPr>
    </xdr:pic>
    <xdr:clientData/>
  </xdr:twoCellAnchor>
  <xdr:twoCellAnchor editAs="oneCell">
    <xdr:from>
      <xdr:col>4</xdr:col>
      <xdr:colOff>752475</xdr:colOff>
      <xdr:row>43</xdr:row>
      <xdr:rowOff>85725</xdr:rowOff>
    </xdr:from>
    <xdr:to>
      <xdr:col>7</xdr:col>
      <xdr:colOff>1062676</xdr:colOff>
      <xdr:row>46</xdr:row>
      <xdr:rowOff>148522</xdr:rowOff>
    </xdr:to>
    <xdr:pic>
      <xdr:nvPicPr>
        <xdr:cNvPr id="17" name="Picture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5"/>
        <a:stretch>
          <a:fillRect/>
        </a:stretch>
      </xdr:blipFill>
      <xdr:spPr>
        <a:xfrm>
          <a:off x="5705475" y="6467475"/>
          <a:ext cx="2514286" cy="542857"/>
        </a:xfrm>
        <a:prstGeom prst="rect">
          <a:avLst/>
        </a:prstGeom>
      </xdr:spPr>
    </xdr:pic>
    <xdr:clientData/>
  </xdr:twoCellAnchor>
  <xdr:twoCellAnchor>
    <xdr:from>
      <xdr:col>17</xdr:col>
      <xdr:colOff>0</xdr:colOff>
      <xdr:row>62</xdr:row>
      <xdr:rowOff>0</xdr:rowOff>
    </xdr:from>
    <xdr:to>
      <xdr:col>23</xdr:col>
      <xdr:colOff>238125</xdr:colOff>
      <xdr:row>78</xdr:row>
      <xdr:rowOff>47625</xdr:rowOff>
    </xdr:to>
    <xdr:pic>
      <xdr:nvPicPr>
        <xdr:cNvPr id="18" name="Picture 2" descr="image001">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716250" y="10287000"/>
          <a:ext cx="3895725" cy="2695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17</xdr:col>
      <xdr:colOff>0</xdr:colOff>
      <xdr:row>79</xdr:row>
      <xdr:rowOff>0</xdr:rowOff>
    </xdr:from>
    <xdr:to>
      <xdr:col>23</xdr:col>
      <xdr:colOff>571500</xdr:colOff>
      <xdr:row>96</xdr:row>
      <xdr:rowOff>76200</xdr:rowOff>
    </xdr:to>
    <xdr:pic>
      <xdr:nvPicPr>
        <xdr:cNvPr id="19" name="Picture 1" descr="image002">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5935325" y="13192125"/>
          <a:ext cx="4229100" cy="2828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304800</xdr:colOff>
      <xdr:row>213</xdr:row>
      <xdr:rowOff>142875</xdr:rowOff>
    </xdr:from>
    <xdr:to>
      <xdr:col>16</xdr:col>
      <xdr:colOff>193898</xdr:colOff>
      <xdr:row>217</xdr:row>
      <xdr:rowOff>72363</xdr:rowOff>
    </xdr:to>
    <xdr:pic>
      <xdr:nvPicPr>
        <xdr:cNvPr id="14" name="Picture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8"/>
        <a:stretch>
          <a:fillRect/>
        </a:stretch>
      </xdr:blipFill>
      <xdr:spPr>
        <a:xfrm>
          <a:off x="11220450" y="35375850"/>
          <a:ext cx="4299173" cy="63433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19</xdr:col>
      <xdr:colOff>28575</xdr:colOff>
      <xdr:row>43</xdr:row>
      <xdr:rowOff>142875</xdr:rowOff>
    </xdr:from>
    <xdr:to>
      <xdr:col>26</xdr:col>
      <xdr:colOff>333375</xdr:colOff>
      <xdr:row>60</xdr:row>
      <xdr:rowOff>133350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604837</xdr:colOff>
      <xdr:row>60</xdr:row>
      <xdr:rowOff>152400</xdr:rowOff>
    </xdr:from>
    <xdr:to>
      <xdr:col>26</xdr:col>
      <xdr:colOff>300037</xdr:colOff>
      <xdr:row>77</xdr:row>
      <xdr:rowOff>142875</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0</xdr:colOff>
      <xdr:row>44</xdr:row>
      <xdr:rowOff>0</xdr:rowOff>
    </xdr:from>
    <xdr:to>
      <xdr:col>34</xdr:col>
      <xdr:colOff>304800</xdr:colOff>
      <xdr:row>60</xdr:row>
      <xdr:rowOff>152400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0</xdr:colOff>
      <xdr:row>61</xdr:row>
      <xdr:rowOff>0</xdr:rowOff>
    </xdr:from>
    <xdr:to>
      <xdr:col>34</xdr:col>
      <xdr:colOff>304800</xdr:colOff>
      <xdr:row>77</xdr:row>
      <xdr:rowOff>152400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19</xdr:col>
      <xdr:colOff>0</xdr:colOff>
      <xdr:row>22</xdr:row>
      <xdr:rowOff>0</xdr:rowOff>
    </xdr:from>
    <xdr:to>
      <xdr:col>23</xdr:col>
      <xdr:colOff>805614</xdr:colOff>
      <xdr:row>26</xdr:row>
      <xdr:rowOff>152528</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3706475" y="4191000"/>
          <a:ext cx="3372321" cy="914528"/>
        </a:xfrm>
        <a:prstGeom prst="rect">
          <a:avLst/>
        </a:prstGeom>
      </xdr:spPr>
    </xdr:pic>
    <xdr:clientData/>
  </xdr:twoCellAnchor>
  <xdr:twoCellAnchor editAs="oneCell">
    <xdr:from>
      <xdr:col>19</xdr:col>
      <xdr:colOff>0</xdr:colOff>
      <xdr:row>28</xdr:row>
      <xdr:rowOff>0</xdr:rowOff>
    </xdr:from>
    <xdr:to>
      <xdr:col>23</xdr:col>
      <xdr:colOff>305200</xdr:colOff>
      <xdr:row>36</xdr:row>
      <xdr:rowOff>213</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13706475" y="5334000"/>
          <a:ext cx="2867425" cy="1524213"/>
        </a:xfrm>
        <a:prstGeom prst="rect">
          <a:avLst/>
        </a:prstGeom>
      </xdr:spPr>
    </xdr:pic>
    <xdr:clientData/>
  </xdr:twoCellAnchor>
  <xdr:twoCellAnchor editAs="oneCell">
    <xdr:from>
      <xdr:col>19</xdr:col>
      <xdr:colOff>219075</xdr:colOff>
      <xdr:row>52</xdr:row>
      <xdr:rowOff>0</xdr:rowOff>
    </xdr:from>
    <xdr:to>
      <xdr:col>23</xdr:col>
      <xdr:colOff>429012</xdr:colOff>
      <xdr:row>59</xdr:row>
      <xdr:rowOff>186</xdr:rowOff>
    </xdr:to>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a:stretch>
          <a:fillRect/>
        </a:stretch>
      </xdr:blipFill>
      <xdr:spPr>
        <a:xfrm>
          <a:off x="13925550" y="9906000"/>
          <a:ext cx="2772162" cy="1333686"/>
        </a:xfrm>
        <a:prstGeom prst="rect">
          <a:avLst/>
        </a:prstGeom>
      </xdr:spPr>
    </xdr:pic>
    <xdr:clientData/>
  </xdr:twoCellAnchor>
  <xdr:twoCellAnchor editAs="oneCell">
    <xdr:from>
      <xdr:col>19</xdr:col>
      <xdr:colOff>104775</xdr:colOff>
      <xdr:row>61</xdr:row>
      <xdr:rowOff>0</xdr:rowOff>
    </xdr:from>
    <xdr:to>
      <xdr:col>24</xdr:col>
      <xdr:colOff>526686</xdr:colOff>
      <xdr:row>68</xdr:row>
      <xdr:rowOff>133555</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4"/>
        <a:stretch>
          <a:fillRect/>
        </a:stretch>
      </xdr:blipFill>
      <xdr:spPr>
        <a:xfrm>
          <a:off x="13811250" y="11620500"/>
          <a:ext cx="4086795" cy="1467055"/>
        </a:xfrm>
        <a:prstGeom prst="rect">
          <a:avLst/>
        </a:prstGeom>
      </xdr:spPr>
    </xdr:pic>
    <xdr:clientData/>
  </xdr:twoCellAnchor>
  <xdr:twoCellAnchor editAs="oneCell">
    <xdr:from>
      <xdr:col>2</xdr:col>
      <xdr:colOff>400050</xdr:colOff>
      <xdr:row>21</xdr:row>
      <xdr:rowOff>142875</xdr:rowOff>
    </xdr:from>
    <xdr:to>
      <xdr:col>8</xdr:col>
      <xdr:colOff>286391</xdr:colOff>
      <xdr:row>32</xdr:row>
      <xdr:rowOff>28852</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5"/>
        <a:stretch>
          <a:fillRect/>
        </a:stretch>
      </xdr:blipFill>
      <xdr:spPr>
        <a:xfrm>
          <a:off x="1638300" y="4143375"/>
          <a:ext cx="4591691" cy="1981477"/>
        </a:xfrm>
        <a:prstGeom prst="rect">
          <a:avLst/>
        </a:prstGeom>
      </xdr:spPr>
    </xdr:pic>
    <xdr:clientData/>
  </xdr:twoCellAnchor>
  <xdr:twoCellAnchor editAs="oneCell">
    <xdr:from>
      <xdr:col>2</xdr:col>
      <xdr:colOff>400050</xdr:colOff>
      <xdr:row>33</xdr:row>
      <xdr:rowOff>38100</xdr:rowOff>
    </xdr:from>
    <xdr:to>
      <xdr:col>8</xdr:col>
      <xdr:colOff>334022</xdr:colOff>
      <xdr:row>41</xdr:row>
      <xdr:rowOff>152629</xdr:rowOff>
    </xdr:to>
    <xdr:pic>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6"/>
        <a:stretch>
          <a:fillRect/>
        </a:stretch>
      </xdr:blipFill>
      <xdr:spPr>
        <a:xfrm>
          <a:off x="1638300" y="6324600"/>
          <a:ext cx="4639322" cy="1638529"/>
        </a:xfrm>
        <a:prstGeom prst="rect">
          <a:avLst/>
        </a:prstGeom>
      </xdr:spPr>
    </xdr:pic>
    <xdr:clientData/>
  </xdr:twoCellAnchor>
  <xdr:twoCellAnchor editAs="oneCell">
    <xdr:from>
      <xdr:col>19</xdr:col>
      <xdr:colOff>0</xdr:colOff>
      <xdr:row>38</xdr:row>
      <xdr:rowOff>0</xdr:rowOff>
    </xdr:from>
    <xdr:to>
      <xdr:col>22</xdr:col>
      <xdr:colOff>514694</xdr:colOff>
      <xdr:row>46</xdr:row>
      <xdr:rowOff>76423</xdr:rowOff>
    </xdr:to>
    <xdr:pic>
      <xdr:nvPicPr>
        <xdr:cNvPr id="8" name="Picture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7"/>
        <a:stretch>
          <a:fillRect/>
        </a:stretch>
      </xdr:blipFill>
      <xdr:spPr>
        <a:xfrm>
          <a:off x="13706475" y="7239000"/>
          <a:ext cx="2467319" cy="1600423"/>
        </a:xfrm>
        <a:prstGeom prst="rect">
          <a:avLst/>
        </a:prstGeom>
      </xdr:spPr>
    </xdr:pic>
    <xdr:clientData/>
  </xdr:twoCellAnchor>
  <xdr:twoCellAnchor editAs="oneCell">
    <xdr:from>
      <xdr:col>5</xdr:col>
      <xdr:colOff>0</xdr:colOff>
      <xdr:row>88</xdr:row>
      <xdr:rowOff>0</xdr:rowOff>
    </xdr:from>
    <xdr:to>
      <xdr:col>10</xdr:col>
      <xdr:colOff>19531</xdr:colOff>
      <xdr:row>90</xdr:row>
      <xdr:rowOff>123895</xdr:rowOff>
    </xdr:to>
    <xdr:pic>
      <xdr:nvPicPr>
        <xdr:cNvPr id="9" name="Picture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8"/>
        <a:stretch>
          <a:fillRect/>
        </a:stretch>
      </xdr:blipFill>
      <xdr:spPr>
        <a:xfrm>
          <a:off x="3743325" y="16764000"/>
          <a:ext cx="3448531" cy="504895"/>
        </a:xfrm>
        <a:prstGeom prst="rect">
          <a:avLst/>
        </a:prstGeom>
      </xdr:spPr>
    </xdr:pic>
    <xdr:clientData/>
  </xdr:twoCellAnchor>
  <xdr:twoCellAnchor editAs="oneCell">
    <xdr:from>
      <xdr:col>11</xdr:col>
      <xdr:colOff>0</xdr:colOff>
      <xdr:row>88</xdr:row>
      <xdr:rowOff>0</xdr:rowOff>
    </xdr:from>
    <xdr:to>
      <xdr:col>13</xdr:col>
      <xdr:colOff>857584</xdr:colOff>
      <xdr:row>96</xdr:row>
      <xdr:rowOff>9739</xdr:rowOff>
    </xdr:to>
    <xdr:pic>
      <xdr:nvPicPr>
        <xdr:cNvPr id="10" name="Picture 9">
          <a:extLst>
            <a:ext uri="{FF2B5EF4-FFF2-40B4-BE49-F238E27FC236}">
              <a16:creationId xmlns:a16="http://schemas.microsoft.com/office/drawing/2014/main" id="{00000000-0008-0000-0A00-00000A000000}"/>
            </a:ext>
          </a:extLst>
        </xdr:cNvPr>
        <xdr:cNvPicPr>
          <a:picLocks noChangeAspect="1"/>
        </xdr:cNvPicPr>
      </xdr:nvPicPr>
      <xdr:blipFill>
        <a:blip xmlns:r="http://schemas.openxmlformats.org/officeDocument/2006/relationships" r:embed="rId9"/>
        <a:stretch>
          <a:fillRect/>
        </a:stretch>
      </xdr:blipFill>
      <xdr:spPr>
        <a:xfrm>
          <a:off x="7972425" y="16764000"/>
          <a:ext cx="2391109" cy="1533739"/>
        </a:xfrm>
        <a:prstGeom prst="rect">
          <a:avLst/>
        </a:prstGeom>
      </xdr:spPr>
    </xdr:pic>
    <xdr:clientData/>
  </xdr:twoCellAnchor>
  <xdr:twoCellAnchor editAs="oneCell">
    <xdr:from>
      <xdr:col>3</xdr:col>
      <xdr:colOff>0</xdr:colOff>
      <xdr:row>45</xdr:row>
      <xdr:rowOff>190499</xdr:rowOff>
    </xdr:from>
    <xdr:to>
      <xdr:col>8</xdr:col>
      <xdr:colOff>15225</xdr:colOff>
      <xdr:row>62</xdr:row>
      <xdr:rowOff>7326</xdr:rowOff>
    </xdr:to>
    <xdr:pic>
      <xdr:nvPicPr>
        <xdr:cNvPr id="11" name="Picture 10">
          <a:extLst>
            <a:ext uri="{FF2B5EF4-FFF2-40B4-BE49-F238E27FC236}">
              <a16:creationId xmlns:a16="http://schemas.microsoft.com/office/drawing/2014/main" id="{00000000-0008-0000-0A00-00000B000000}"/>
            </a:ext>
          </a:extLst>
        </xdr:cNvPr>
        <xdr:cNvPicPr>
          <a:picLocks noChangeAspect="1"/>
        </xdr:cNvPicPr>
      </xdr:nvPicPr>
      <xdr:blipFill>
        <a:blip xmlns:r="http://schemas.openxmlformats.org/officeDocument/2006/relationships" r:embed="rId10"/>
        <a:stretch>
          <a:fillRect/>
        </a:stretch>
      </xdr:blipFill>
      <xdr:spPr>
        <a:xfrm>
          <a:off x="1857375" y="8762999"/>
          <a:ext cx="4101450" cy="3055327"/>
        </a:xfrm>
        <a:prstGeom prst="rect">
          <a:avLst/>
        </a:prstGeom>
      </xdr:spPr>
    </xdr:pic>
    <xdr:clientData/>
  </xdr:twoCellAnchor>
  <xdr:twoCellAnchor>
    <xdr:from>
      <xdr:col>24</xdr:col>
      <xdr:colOff>65689</xdr:colOff>
      <xdr:row>31</xdr:row>
      <xdr:rowOff>114300</xdr:rowOff>
    </xdr:from>
    <xdr:to>
      <xdr:col>33</xdr:col>
      <xdr:colOff>319087</xdr:colOff>
      <xdr:row>45</xdr:row>
      <xdr:rowOff>32845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1</xdr:col>
          <xdr:colOff>8743950</xdr:colOff>
          <xdr:row>10</xdr:row>
          <xdr:rowOff>5143500</xdr:rowOff>
        </xdr:to>
        <xdr:sp macro="" textlink="">
          <xdr:nvSpPr>
            <xdr:cNvPr id="676970" name="Object 106" hidden="1">
              <a:extLst>
                <a:ext uri="{63B3BB69-23CF-44E3-9099-C40C66FF867C}">
                  <a14:compatExt spid="_x0000_s676970"/>
                </a:ext>
                <a:ext uri="{FF2B5EF4-FFF2-40B4-BE49-F238E27FC236}">
                  <a16:creationId xmlns:a16="http://schemas.microsoft.com/office/drawing/2014/main" id="{00000000-0008-0000-0C00-00006A540A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3</xdr:col>
          <xdr:colOff>8743950</xdr:colOff>
          <xdr:row>10</xdr:row>
          <xdr:rowOff>5143500</xdr:rowOff>
        </xdr:to>
        <xdr:sp macro="" textlink="">
          <xdr:nvSpPr>
            <xdr:cNvPr id="676971" name="Object 107" hidden="1">
              <a:extLst>
                <a:ext uri="{63B3BB69-23CF-44E3-9099-C40C66FF867C}">
                  <a14:compatExt spid="_x0000_s676971"/>
                </a:ext>
                <a:ext uri="{FF2B5EF4-FFF2-40B4-BE49-F238E27FC236}">
                  <a16:creationId xmlns:a16="http://schemas.microsoft.com/office/drawing/2014/main" id="{00000000-0008-0000-0C00-00006B540A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0</xdr:rowOff>
        </xdr:from>
        <xdr:to>
          <xdr:col>5</xdr:col>
          <xdr:colOff>8743950</xdr:colOff>
          <xdr:row>10</xdr:row>
          <xdr:rowOff>5143500</xdr:rowOff>
        </xdr:to>
        <xdr:sp macro="" textlink="">
          <xdr:nvSpPr>
            <xdr:cNvPr id="676972" name="Object 108" hidden="1">
              <a:extLst>
                <a:ext uri="{63B3BB69-23CF-44E3-9099-C40C66FF867C}">
                  <a14:compatExt spid="_x0000_s676972"/>
                </a:ext>
                <a:ext uri="{FF2B5EF4-FFF2-40B4-BE49-F238E27FC236}">
                  <a16:creationId xmlns:a16="http://schemas.microsoft.com/office/drawing/2014/main" id="{00000000-0008-0000-0C00-00006C540A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8743950</xdr:colOff>
          <xdr:row>21</xdr:row>
          <xdr:rowOff>5143500</xdr:rowOff>
        </xdr:to>
        <xdr:sp macro="" textlink="">
          <xdr:nvSpPr>
            <xdr:cNvPr id="676973" name="Object 109" hidden="1">
              <a:extLst>
                <a:ext uri="{63B3BB69-23CF-44E3-9099-C40C66FF867C}">
                  <a14:compatExt spid="_x0000_s676973"/>
                </a:ext>
                <a:ext uri="{FF2B5EF4-FFF2-40B4-BE49-F238E27FC236}">
                  <a16:creationId xmlns:a16="http://schemas.microsoft.com/office/drawing/2014/main" id="{00000000-0008-0000-0C00-00006D540A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3</xdr:col>
          <xdr:colOff>8743950</xdr:colOff>
          <xdr:row>21</xdr:row>
          <xdr:rowOff>5143500</xdr:rowOff>
        </xdr:to>
        <xdr:sp macro="" textlink="">
          <xdr:nvSpPr>
            <xdr:cNvPr id="676974" name="Object 110" hidden="1">
              <a:extLst>
                <a:ext uri="{63B3BB69-23CF-44E3-9099-C40C66FF867C}">
                  <a14:compatExt spid="_x0000_s676974"/>
                </a:ext>
                <a:ext uri="{FF2B5EF4-FFF2-40B4-BE49-F238E27FC236}">
                  <a16:creationId xmlns:a16="http://schemas.microsoft.com/office/drawing/2014/main" id="{00000000-0008-0000-0C00-00006E540A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21</xdr:row>
          <xdr:rowOff>0</xdr:rowOff>
        </xdr:from>
        <xdr:to>
          <xdr:col>5</xdr:col>
          <xdr:colOff>8782050</xdr:colOff>
          <xdr:row>21</xdr:row>
          <xdr:rowOff>5143500</xdr:rowOff>
        </xdr:to>
        <xdr:sp macro="" textlink="">
          <xdr:nvSpPr>
            <xdr:cNvPr id="676975" name="Object 111" hidden="1">
              <a:extLst>
                <a:ext uri="{63B3BB69-23CF-44E3-9099-C40C66FF867C}">
                  <a14:compatExt spid="_x0000_s676975"/>
                </a:ext>
                <a:ext uri="{FF2B5EF4-FFF2-40B4-BE49-F238E27FC236}">
                  <a16:creationId xmlns:a16="http://schemas.microsoft.com/office/drawing/2014/main" id="{00000000-0008-0000-0C00-00006F540A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21</xdr:row>
          <xdr:rowOff>0</xdr:rowOff>
        </xdr:from>
        <xdr:to>
          <xdr:col>7</xdr:col>
          <xdr:colOff>8743950</xdr:colOff>
          <xdr:row>21</xdr:row>
          <xdr:rowOff>5143500</xdr:rowOff>
        </xdr:to>
        <xdr:sp macro="" textlink="">
          <xdr:nvSpPr>
            <xdr:cNvPr id="676976" name="Object 112" hidden="1">
              <a:extLst>
                <a:ext uri="{63B3BB69-23CF-44E3-9099-C40C66FF867C}">
                  <a14:compatExt spid="_x0000_s676976"/>
                </a:ext>
                <a:ext uri="{FF2B5EF4-FFF2-40B4-BE49-F238E27FC236}">
                  <a16:creationId xmlns:a16="http://schemas.microsoft.com/office/drawing/2014/main" id="{00000000-0008-0000-0C00-000070540A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7</xdr:col>
          <xdr:colOff>8743950</xdr:colOff>
          <xdr:row>10</xdr:row>
          <xdr:rowOff>5143500</xdr:rowOff>
        </xdr:to>
        <xdr:sp macro="" textlink="">
          <xdr:nvSpPr>
            <xdr:cNvPr id="676977" name="Object 113" hidden="1">
              <a:extLst>
                <a:ext uri="{63B3BB69-23CF-44E3-9099-C40C66FF867C}">
                  <a14:compatExt spid="_x0000_s676977"/>
                </a:ext>
                <a:ext uri="{FF2B5EF4-FFF2-40B4-BE49-F238E27FC236}">
                  <a16:creationId xmlns:a16="http://schemas.microsoft.com/office/drawing/2014/main" id="{00000000-0008-0000-0C00-000071540A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49</xdr:col>
      <xdr:colOff>345099</xdr:colOff>
      <xdr:row>71</xdr:row>
      <xdr:rowOff>142875</xdr:rowOff>
    </xdr:from>
    <xdr:to>
      <xdr:col>60</xdr:col>
      <xdr:colOff>172916</xdr:colOff>
      <xdr:row>97</xdr:row>
      <xdr:rowOff>65942</xdr:rowOff>
    </xdr:to>
    <xdr:graphicFrame macro="">
      <xdr:nvGraphicFramePr>
        <xdr:cNvPr id="2" name="Chart 1029">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49</xdr:col>
      <xdr:colOff>342900</xdr:colOff>
      <xdr:row>18</xdr:row>
      <xdr:rowOff>123825</xdr:rowOff>
    </xdr:from>
    <xdr:to>
      <xdr:col>60</xdr:col>
      <xdr:colOff>170717</xdr:colOff>
      <xdr:row>44</xdr:row>
      <xdr:rowOff>46892</xdr:rowOff>
    </xdr:to>
    <xdr:graphicFrame macro="">
      <xdr:nvGraphicFramePr>
        <xdr:cNvPr id="3" name="Chart 1029">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342900</xdr:colOff>
      <xdr:row>45</xdr:row>
      <xdr:rowOff>38100</xdr:rowOff>
    </xdr:from>
    <xdr:to>
      <xdr:col>60</xdr:col>
      <xdr:colOff>170717</xdr:colOff>
      <xdr:row>70</xdr:row>
      <xdr:rowOff>123092</xdr:rowOff>
    </xdr:to>
    <xdr:graphicFrame macro="">
      <xdr:nvGraphicFramePr>
        <xdr:cNvPr id="4" name="Chart 1029">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65</xdr:col>
      <xdr:colOff>345099</xdr:colOff>
      <xdr:row>71</xdr:row>
      <xdr:rowOff>142875</xdr:rowOff>
    </xdr:from>
    <xdr:to>
      <xdr:col>74</xdr:col>
      <xdr:colOff>172916</xdr:colOff>
      <xdr:row>97</xdr:row>
      <xdr:rowOff>65942</xdr:rowOff>
    </xdr:to>
    <xdr:graphicFrame macro="">
      <xdr:nvGraphicFramePr>
        <xdr:cNvPr id="2" name="Chart 1029">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65</xdr:col>
      <xdr:colOff>342900</xdr:colOff>
      <xdr:row>18</xdr:row>
      <xdr:rowOff>123825</xdr:rowOff>
    </xdr:from>
    <xdr:to>
      <xdr:col>74</xdr:col>
      <xdr:colOff>170717</xdr:colOff>
      <xdr:row>44</xdr:row>
      <xdr:rowOff>46892</xdr:rowOff>
    </xdr:to>
    <xdr:graphicFrame macro="">
      <xdr:nvGraphicFramePr>
        <xdr:cNvPr id="3" name="Chart 1029">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65</xdr:col>
      <xdr:colOff>342900</xdr:colOff>
      <xdr:row>45</xdr:row>
      <xdr:rowOff>38100</xdr:rowOff>
    </xdr:from>
    <xdr:to>
      <xdr:col>74</xdr:col>
      <xdr:colOff>170717</xdr:colOff>
      <xdr:row>70</xdr:row>
      <xdr:rowOff>123092</xdr:rowOff>
    </xdr:to>
    <xdr:graphicFrame macro="">
      <xdr:nvGraphicFramePr>
        <xdr:cNvPr id="4" name="Chart 1029">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428625</xdr:colOff>
      <xdr:row>4</xdr:row>
      <xdr:rowOff>1009650</xdr:rowOff>
    </xdr:from>
    <xdr:to>
      <xdr:col>5</xdr:col>
      <xdr:colOff>240968</xdr:colOff>
      <xdr:row>4</xdr:row>
      <xdr:rowOff>1238250</xdr:rowOff>
    </xdr:to>
    <xdr:sp macro="" textlink="'Variable Management'!$B$508">
      <xdr:nvSpPr>
        <xdr:cNvPr id="5" name="Text Box 24">
          <a:extLst>
            <a:ext uri="{FF2B5EF4-FFF2-40B4-BE49-F238E27FC236}">
              <a16:creationId xmlns:a16="http://schemas.microsoft.com/office/drawing/2014/main" id="{00000000-0008-0000-0F00-000005000000}"/>
            </a:ext>
          </a:extLst>
        </xdr:cNvPr>
        <xdr:cNvSpPr txBox="1">
          <a:spLocks noChangeArrowheads="1" noTextEdit="1"/>
        </xdr:cNvSpPr>
      </xdr:nvSpPr>
      <xdr:spPr bwMode="auto">
        <a:xfrm>
          <a:off x="10753725" y="165735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94.4%</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3</xdr:col>
      <xdr:colOff>419100</xdr:colOff>
      <xdr:row>4</xdr:row>
      <xdr:rowOff>1000125</xdr:rowOff>
    </xdr:from>
    <xdr:to>
      <xdr:col>4</xdr:col>
      <xdr:colOff>231443</xdr:colOff>
      <xdr:row>4</xdr:row>
      <xdr:rowOff>1228725</xdr:rowOff>
    </xdr:to>
    <xdr:sp macro="" textlink="'Variable Management'!$B$509">
      <xdr:nvSpPr>
        <xdr:cNvPr id="7" name="Text Box 24">
          <a:extLst>
            <a:ext uri="{FF2B5EF4-FFF2-40B4-BE49-F238E27FC236}">
              <a16:creationId xmlns:a16="http://schemas.microsoft.com/office/drawing/2014/main" id="{00000000-0008-0000-0F00-000007000000}"/>
            </a:ext>
          </a:extLst>
        </xdr:cNvPr>
        <xdr:cNvSpPr txBox="1">
          <a:spLocks noChangeArrowheads="1" noTextEdit="1"/>
        </xdr:cNvSpPr>
      </xdr:nvSpPr>
      <xdr:spPr bwMode="auto">
        <a:xfrm>
          <a:off x="10134600" y="164782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94.6%</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xdr:col>
      <xdr:colOff>25400</xdr:colOff>
      <xdr:row>4</xdr:row>
      <xdr:rowOff>12700</xdr:rowOff>
    </xdr:from>
    <xdr:to>
      <xdr:col>1</xdr:col>
      <xdr:colOff>8150225</xdr:colOff>
      <xdr:row>4</xdr:row>
      <xdr:rowOff>5165725</xdr:rowOff>
    </xdr:to>
    <xdr:graphicFrame macro="">
      <xdr:nvGraphicFramePr>
        <xdr:cNvPr id="8" name="Chart 253">
          <a:extLst>
            <a:ext uri="{FF2B5EF4-FFF2-40B4-BE49-F238E27FC236}">
              <a16:creationId xmlns:a16="http://schemas.microsoft.com/office/drawing/2014/main" id="{00000000-0008-0000-0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38100</xdr:colOff>
      <xdr:row>6</xdr:row>
      <xdr:rowOff>6350</xdr:rowOff>
    </xdr:from>
    <xdr:to>
      <xdr:col>1</xdr:col>
      <xdr:colOff>8162925</xdr:colOff>
      <xdr:row>6</xdr:row>
      <xdr:rowOff>5159375</xdr:rowOff>
    </xdr:to>
    <xdr:graphicFrame macro="">
      <xdr:nvGraphicFramePr>
        <xdr:cNvPr id="9" name="Chart 253">
          <a:extLst>
            <a:ext uri="{FF2B5EF4-FFF2-40B4-BE49-F238E27FC236}">
              <a16:creationId xmlns:a16="http://schemas.microsoft.com/office/drawing/2014/main" id="{00000000-0008-0000-0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276225</xdr:colOff>
          <xdr:row>9</xdr:row>
          <xdr:rowOff>161925</xdr:rowOff>
        </xdr:from>
        <xdr:to>
          <xdr:col>4</xdr:col>
          <xdr:colOff>276225</xdr:colOff>
          <xdr:row>9</xdr:row>
          <xdr:rowOff>381000</xdr:rowOff>
        </xdr:to>
        <xdr:sp macro="" textlink="">
          <xdr:nvSpPr>
            <xdr:cNvPr id="723969" name="Check Box 1" hidden="1">
              <a:extLst>
                <a:ext uri="{63B3BB69-23CF-44E3-9099-C40C66FF867C}">
                  <a14:compatExt spid="_x0000_s723969"/>
                </a:ext>
                <a:ext uri="{FF2B5EF4-FFF2-40B4-BE49-F238E27FC236}">
                  <a16:creationId xmlns:a16="http://schemas.microsoft.com/office/drawing/2014/main" id="{00000000-0008-0000-0F00-0000010C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I_Limit Gain</a:t>
              </a:r>
            </a:p>
          </xdr:txBody>
        </xdr:sp>
        <xdr:clientData/>
      </xdr:twoCellAnchor>
    </mc:Choice>
    <mc:Fallback/>
  </mc:AlternateContent>
  <xdr:twoCellAnchor editAs="absolute">
    <xdr:from>
      <xdr:col>1</xdr:col>
      <xdr:colOff>0</xdr:colOff>
      <xdr:row>9</xdr:row>
      <xdr:rowOff>0</xdr:rowOff>
    </xdr:from>
    <xdr:to>
      <xdr:col>1</xdr:col>
      <xdr:colOff>8705735</xdr:colOff>
      <xdr:row>9</xdr:row>
      <xdr:rowOff>5184048</xdr:rowOff>
    </xdr:to>
    <xdr:graphicFrame macro="">
      <xdr:nvGraphicFramePr>
        <xdr:cNvPr id="11" name="Chart 12">
          <a:extLst>
            <a:ext uri="{FF2B5EF4-FFF2-40B4-BE49-F238E27FC236}">
              <a16:creationId xmlns:a16="http://schemas.microsoft.com/office/drawing/2014/main" id="{00000000-0008-0000-0F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0</xdr:colOff>
      <xdr:row>11</xdr:row>
      <xdr:rowOff>0</xdr:rowOff>
    </xdr:from>
    <xdr:to>
      <xdr:col>1</xdr:col>
      <xdr:colOff>8709272</xdr:colOff>
      <xdr:row>11</xdr:row>
      <xdr:rowOff>5160644</xdr:rowOff>
    </xdr:to>
    <xdr:graphicFrame macro="">
      <xdr:nvGraphicFramePr>
        <xdr:cNvPr id="12" name="Chart 12">
          <a:extLst>
            <a:ext uri="{FF2B5EF4-FFF2-40B4-BE49-F238E27FC236}">
              <a16:creationId xmlns:a16="http://schemas.microsoft.com/office/drawing/2014/main" id="{00000000-0008-0000-0F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43</xdr:col>
      <xdr:colOff>209550</xdr:colOff>
      <xdr:row>122</xdr:row>
      <xdr:rowOff>114300</xdr:rowOff>
    </xdr:from>
    <xdr:to>
      <xdr:col>54</xdr:col>
      <xdr:colOff>76200</xdr:colOff>
      <xdr:row>152</xdr:row>
      <xdr:rowOff>85725</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31</xdr:col>
      <xdr:colOff>552450</xdr:colOff>
      <xdr:row>122</xdr:row>
      <xdr:rowOff>95250</xdr:rowOff>
    </xdr:from>
    <xdr:to>
      <xdr:col>43</xdr:col>
      <xdr:colOff>38100</xdr:colOff>
      <xdr:row>151</xdr:row>
      <xdr:rowOff>123825</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28575</xdr:colOff>
      <xdr:row>122</xdr:row>
      <xdr:rowOff>79132</xdr:rowOff>
    </xdr:from>
    <xdr:to>
      <xdr:col>31</xdr:col>
      <xdr:colOff>384662</xdr:colOff>
      <xdr:row>151</xdr:row>
      <xdr:rowOff>107707</xdr:rowOff>
    </xdr:to>
    <xdr:graphicFrame macro="">
      <xdr:nvGraphicFramePr>
        <xdr:cNvPr id="4" name="Chart 4">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180974</xdr:colOff>
      <xdr:row>92</xdr:row>
      <xdr:rowOff>0</xdr:rowOff>
    </xdr:from>
    <xdr:to>
      <xdr:col>34</xdr:col>
      <xdr:colOff>352424</xdr:colOff>
      <xdr:row>121</xdr:row>
      <xdr:rowOff>28575</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36</xdr:col>
      <xdr:colOff>474519</xdr:colOff>
      <xdr:row>40</xdr:row>
      <xdr:rowOff>122959</xdr:rowOff>
    </xdr:from>
    <xdr:to>
      <xdr:col>43</xdr:col>
      <xdr:colOff>762001</xdr:colOff>
      <xdr:row>69</xdr:row>
      <xdr:rowOff>121227</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352425</xdr:colOff>
      <xdr:row>41</xdr:row>
      <xdr:rowOff>9525</xdr:rowOff>
    </xdr:from>
    <xdr:to>
      <xdr:col>36</xdr:col>
      <xdr:colOff>103909</xdr:colOff>
      <xdr:row>69</xdr:row>
      <xdr:rowOff>69273</xdr:rowOff>
    </xdr:to>
    <xdr:graphicFrame macro="">
      <xdr:nvGraphicFramePr>
        <xdr:cNvPr id="3" name="Chart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40</xdr:row>
      <xdr:rowOff>128489</xdr:rowOff>
    </xdr:from>
    <xdr:to>
      <xdr:col>29</xdr:col>
      <xdr:colOff>51953</xdr:colOff>
      <xdr:row>69</xdr:row>
      <xdr:rowOff>34637</xdr:rowOff>
    </xdr:to>
    <xdr:graphicFrame macro="">
      <xdr:nvGraphicFramePr>
        <xdr:cNvPr id="4" name="Chart 4">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7988F5-3391-46B0-AE01-7E5A47D89932}" name="Table1" displayName="Table1" ref="G8:BV209" totalsRowShown="0" headerRowDxfId="134">
  <autoFilter ref="G8:BV209" xr:uid="{E2929490-3442-45A6-BF09-9D53420916D4}">
    <filterColumn colId="0" hiddenButton="1"/>
    <filterColumn colId="1" hiddenButton="1"/>
    <filterColumn colId="2" hiddenButton="1"/>
    <filterColumn colId="3" hiddenButton="1"/>
    <filterColumn colId="4" hiddenButton="1"/>
    <filterColumn colId="5"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7" hiddenButton="1"/>
  </autoFilter>
  <tableColumns count="68">
    <tableColumn id="1" xr3:uid="{9121E692-53EE-4049-90F7-B3E6977432DC}" name="Step"/>
    <tableColumn id="2" xr3:uid="{E975150F-23C7-41FE-9650-60890D5F3F88}" name="Vin" dataDxfId="133">
      <calculatedColumnFormula>VIN_min+(VIN_max-VIN_min)*(Table1[[#This Row],[Step]]/200)</calculatedColumnFormula>
    </tableColumn>
    <tableColumn id="3" xr3:uid="{D9ACF969-D15E-4989-BD46-FF1E34DAEA5F}" name="Mode" dataDxfId="132">
      <calculatedColumnFormula>IF(Mode = 2,IF(Table1[[#This Row],[Vin]]&gt;Vout, "BUCK","BOOST"),IF(Table1[[#This Row],[Vin]]&gt;VIN_BB_to_buck, "BUCK", IF(Table1[[#This Row],[Vin]]&lt;=VIN_boost_to_BB,"BOOST","BUCK-BST")))</calculatedColumnFormula>
    </tableColumn>
    <tableColumn id="4" xr3:uid="{8C96FA94-01BE-4699-9CE7-B90336277C63}" name="Mode Digit" dataDxfId="131">
      <calculatedColumnFormula>IF(Table1[[#This Row],[Mode]]="BOOST",2, IF(Table1[[#This Row],[Mode]]="BUCK", 1,3))</calculatedColumnFormula>
    </tableColumn>
    <tableColumn id="5" xr3:uid="{8A8860C9-E956-47F0-8284-81122F1AB1BD}" name="Iout">
      <calculatedColumnFormula>Iout</calculatedColumnFormula>
    </tableColumn>
    <tableColumn id="6" xr3:uid="{67577E2A-8580-478F-8FAD-C6DF2C67A674}" name="Iin" dataDxfId="130">
      <calculatedColumnFormula>Vout*Table1[[#This Row],[Iout]]/(Table1[[#This Row],[Vin]]*Efficiency)</calculatedColumnFormula>
    </tableColumn>
    <tableColumn id="67" xr3:uid="{B21D64A5-0ED1-41E3-94C2-BC8F552481B1}" name="t1_Ph_II" dataDxfId="129">
      <calculatedColumnFormula>MIN(1/Fsw,CHOOSE(Table1[[#This Row],[Mode Digit]],(Vout+(Rdson2+Rs+Rdcr)*Table1[[#This Row],[Iout]])/(Table1[[#This Row],[Vin]]+(Rs+Rdson2-Rdson1)*Table1[[#This Row],[Iout]])/Fsw,(Vout+(Rdson3+Rdcr)*Table1[[#This Row],[Iin]]-Table1[[#This Row],[Vin]])/(Vout+(Rdson3-Rdson4-Rs)*Table1[[#This Row],[Iin]])/Fsw,t1_Ph_II))</calculatedColumnFormula>
    </tableColumn>
    <tableColumn id="66" xr3:uid="{0D7CD09D-E318-43F8-BBC6-2B243690B64D}" name="t2_Ph_I" dataDxfId="128">
      <calculatedColumnFormula>CHOOSE(Table1[[#This Row],[Mode Digit]],1/Fsw-Table1[[#This Row],[t1_Ph_II]],1/Fsw-Table1[[#This Row],[t1_Ph_II]],(Vout/Fsw-Table1[[#This Row],[Vin]]*t1_Ph_II)/(Table1[[#This Row],[Vin]]+Vout))</calculatedColumnFormula>
    </tableColumn>
    <tableColumn id="65" xr3:uid="{067FE5BC-65AF-4C10-89D7-A5EC9B1A6151}" name="t3_Ph_III" dataDxfId="127">
      <calculatedColumnFormula>1/Fsw-(Table1[[#This Row],[t1_Ph_II]]+Table1[[#This Row],[t2_Ph_I]])</calculatedColumnFormula>
    </tableColumn>
    <tableColumn id="64" xr3:uid="{934B657A-D006-4E40-90C4-B00A99AD6CB6}" name="I_0" dataDxfId="126">
      <calculatedColumnFormula>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calculatedColumnFormula>
    </tableColumn>
    <tableColumn id="63" xr3:uid="{BA9BBA57-C40F-4358-ACC0-ECB353E3727C}" name="I_1" dataDxfId="125">
      <calculatedColumnFormula>CHOOSE(Table1[[#This Row],[Mode Digit]],Table1[[#This Row],[I_0]]+1/Lf*(Table1[[#This Row],[Vin]]-Vout)*Table1[[#This Row],[t1_Ph_II]],Table1[[#This Row],[I_0]]+1/Lf*Table1[[#This Row],[Vin]]*Table1[[#This Row],[t1_Ph_II]],Table1[[#This Row],[I_0]]+(Table1[[#This Row],[Vin]]-Vout)/L*Table1[[#This Row],[t1_Ph_II]])</calculatedColumnFormula>
    </tableColumn>
    <tableColumn id="10" xr3:uid="{CE044F8C-66D2-4E83-BAB4-E4A213233ABB}" name="I_2" dataDxfId="124">
      <calculatedColumnFormula>CHOOSE(Table1[[#This Row],[Mode Digit]],0,0,Table1[[#This Row],[I_1]]+Table1[[#This Row],[Vin]]/L*Table1[[#This Row],[t2_Ph_I]])</calculatedColumnFormula>
    </tableColumn>
    <tableColumn id="7" xr3:uid="{9D40E471-813C-4272-A8DA-520CAD470D9A}" name="Avg IL" dataDxfId="123">
      <calculatedColumnFormula>Fsw*(Table1[[#This Row],[I_0]]*Table1[[#This Row],[t1_Ph_II]]+Table1[[#This Row],[I_1]]*Table1[[#This Row],[t2_Ph_I]]+Table1[[#This Row],[I_2]]*Table1[[#This Row],[t3_Ph_III]])</calculatedColumnFormula>
    </tableColumn>
    <tableColumn id="8" xr3:uid="{D5399895-F423-459B-87DC-B4308F9A221C}" name="Duty Cycle BUCK Leg" dataDxfId="122">
      <calculatedColumnFormula>MIN(1,CHOOSE(Table1[[#This Row],[Mode Digit]],(Vout+(Rdson2+Rs+Rdcr)*Table1[[#This Row],[Iout]])/(Table1[[#This Row],[Vin]]+(Rs+Rdson2-Rdson1)*Table1[[#This Row],[Iout]]),1,Fsw*Table1[[#This Row],[t2_Ph_I]]+Table1[[#This Row],[t1_Ph_II]]))</calculatedColumnFormula>
    </tableColumn>
    <tableColumn id="9" xr3:uid="{C145599D-ADE0-4279-9EB0-7B569B836F99}" name="Duty Cycle BOOST Leg" dataDxfId="121">
      <calculatedColumnFormula>MIN(1,CHOOSE(Table1[[#This Row],[Mode Digit]],0,(Vout+(Rdson3+Rdcr)*Table1[[#This Row],[Iin]]-Table1[[#This Row],[Vin]])/(Vout+(Rdson3-Rdson4-Rs)*Table1[[#This Row],[Iin]]),Fsw*Table1[[#This Row],[t1_Ph_II]]+Table1[[#This Row],[t3_Ph_III]]))</calculatedColumnFormula>
    </tableColumn>
    <tableColumn id="14" xr3:uid="{D978C834-AC83-4EF9-AE10-521918065BC4}" name="Ripple Current pk-pk" dataDxfId="120">
      <calculatedColumnFormula>MAX(Table1[[#This Row],[I_0]:[I_2]])-MIN(Table1[[#This Row],[I_0]:[I_1]])</calculatedColumnFormula>
    </tableColumn>
    <tableColumn id="15" xr3:uid="{1453C8D2-4FA2-4F77-B108-1FF2B8201CFB}" name="Irms Lf" dataDxfId="119">
      <calculatedColumnFormula>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calculatedColumnFormula>
    </tableColumn>
    <tableColumn id="16" xr3:uid="{D43C2C0F-9B28-41FB-AD94-69FA09367E8C}" name="DCR    Loss" dataDxfId="118">
      <calculatedColumnFormula>(Table1[[#This Row],[Irms Lf]]^2*Rdcr*(1+Ltc*Ta-Ltc*25))/(1-Table1[[#This Row],[Irms Lf]]^2*Rdcr*Ltc*ThetaCa)</calculatedColumnFormula>
    </tableColumn>
    <tableColumn id="17" xr3:uid="{BBEFE59F-C3FE-4719-B373-CAE028B7D1B2}" name="Core Loss" dataDxfId="117">
      <calculatedColumnFormula>ABS(7.759*10^-3*Fsw^0.9458*(0.00787*Table1[[#This Row],[Ripple Current pk-pk]])^2.304)</calculatedColumnFormula>
    </tableColumn>
    <tableColumn id="18" xr3:uid="{63B994F0-E7FD-44A5-BE26-6B30ECD0A3D3}" name="Total Inductor Loss" dataDxfId="116">
      <calculatedColumnFormula>Table1[[#This Row],[DCR    Loss]]+Table1[[#This Row],[Core Loss]]</calculatedColumnFormula>
    </tableColumn>
    <tableColumn id="19" xr3:uid="{1B65E42A-DD7C-416C-85C1-C5C397A56489}" name="Irms Cout" dataDxfId="115">
      <calculatedColumnFormula>IF(Table1[[#This Row],[Vin]]&gt;Vout, Table1[[#This Row],[Ripple Current pk-pk]]/SQRT(12), SQRT(Table1[[#This Row],[Duty Cycle BOOST Leg]]/(1-Table1[[#This Row],[Duty Cycle BOOST Leg]]))*SQRT(Table1[[#This Row],[Iout]]^2+(Table1[[#This Row],[Ripple Current pk-pk]]^2)/12))</calculatedColumnFormula>
    </tableColumn>
    <tableColumn id="20" xr3:uid="{2CA158C7-15F1-4269-95F0-CE759244C6FE}" name="Cout ESR Loss" dataDxfId="114">
      <calculatedColumnFormula>RCoutEsr*Table1[[#This Row],[Irms Cout]]^2</calculatedColumnFormula>
    </tableColumn>
    <tableColumn id="21" xr3:uid="{77863D6B-9CFF-4B68-8199-F7F78FC58084}" name="Total Cout Loss" dataDxfId="113">
      <calculatedColumnFormula>Table1[[#This Row],[Cout ESR Loss]]</calculatedColumnFormula>
    </tableColumn>
    <tableColumn id="22" xr3:uid="{BC556C13-5CAB-45EE-8997-6BE810718797}" name="Irms Cin" dataDxfId="112">
      <calculatedColumnFormula>IF(Table1[[#This Row],[Vin]]&gt;Vout, SQRT(Table1[[#This Row],[Duty Cycle BUCK Leg]]*(1-Table1[[#This Row],[Duty Cycle BUCK Leg]]))*SQRT(Table1[[#This Row],[Iout]]^2+(Table1[[#This Row],[Ripple Current pk-pk]]^2)/12), Table1[[#This Row],[Ripple Current pk-pk]]/SQRT(12))</calculatedColumnFormula>
    </tableColumn>
    <tableColumn id="23" xr3:uid="{4A675B30-1D2F-43D1-84EA-664F589F01D2}" name="Cin ESR Loss" dataDxfId="111">
      <calculatedColumnFormula>RCinEsr*Table1[[#This Row],[Irms Cin]]^2</calculatedColumnFormula>
    </tableColumn>
    <tableColumn id="24" xr3:uid="{4F0585AA-6FEA-4C4B-A579-F5F2D7F5D028}" name="Total Cin Loss" dataDxfId="110">
      <calculatedColumnFormula>Table1[[#This Row],[Cin ESR Loss]]</calculatedColumnFormula>
    </tableColumn>
    <tableColumn id="25" xr3:uid="{75B1B8BE-831A-4FD5-A882-2DC506CD71C0}" name="Irms BuCtrl" dataDxfId="109">
      <calculatedColumnFormula>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calculatedColumnFormula>
    </tableColumn>
    <tableColumn id="26" xr3:uid="{C21CFAF7-2A14-406E-B09D-7C6860992618}" name="RDS(on) Loss BuCtrl" dataDxfId="108">
      <calculatedColumnFormula>Rdson1*Table1[[#This Row],[Irms BuCtrl]]^2</calculatedColumnFormula>
    </tableColumn>
    <tableColumn id="27" xr3:uid="{AA70B901-04FF-47C2-9C72-74EBE002B37D}" name="Transition Loss BuCtrl" dataDxfId="107">
      <calculatedColumnFormula>CHOOSE(Table1[[#This Row],[Mode Digit]], (Table1[[#This Row],[Vin]]*Table1[[#This Row],[Iout]]/2)*(Fsw)*(Tr_buck+Tf_buck), 0, (Table1[[#This Row],[Vin]]*Table1[[#This Row],[Avg IL]]/2)*(Fsw/1)*(Tr_buck+Tf_buck))</calculatedColumnFormula>
    </tableColumn>
    <tableColumn id="28" xr3:uid="{0266DD1C-08A1-4D59-A904-3DD652D7CD9B}" name="Dead Time Loss BuCtrl" dataDxfId="106">
      <calculatedColumnFormula>IF(Table1[[#This Row],[Vin]]&gt;Vout, IF(Table1[[#This Row],[Iout]]&gt;Table1[[#This Row],[Ripple Current pk-pk]]/2,0,ABS(Table1[[#This Row],[Iout]]-Table1[[#This Row],[Ripple Current pk-pk]]/2)*Vsd_Q1*Deadtime*Fsw),0)</calculatedColumnFormula>
    </tableColumn>
    <tableColumn id="29" xr3:uid="{0BA75274-2FDD-4C91-9B4F-3FF9BE73CDA0}" name="Total Control Bu MOSFET Loss" dataDxfId="105">
      <calculatedColumnFormula>(Table1[[#This Row],[Dead Time Loss BuCtrl]]+Table1[[#This Row],[Transition Loss BuCtrl]]+Table1[[#This Row],[RDS(on) Loss BuCtrl]]*(1+RdsonTopTc*Ta-RdsonTopTc*25))/(1-Table1[[#This Row],[RDS(on) Loss BuCtrl]]*RdsonTopTc*ThetaJA_Q1)</calculatedColumnFormula>
    </tableColumn>
    <tableColumn id="30" xr3:uid="{A13A40D1-C6C0-41AA-B316-D3C158575AF4}" name="Irms BuSync" dataDxfId="104">
      <calculatedColumnFormula>CHOOSE(Table1[[#This Row],[Mode Digit]],SQRT((Fsw*(Table1[[#This Row],[t2_Ph_I]]+0))*((Table1[[#This Row],[I_0]]*Table1[[#This Row],[I_1]]+((Table1[[#This Row],[I_0]]-Table1[[#This Row],[I_1]])^2)/3))),0,SQRT((Fsw*(Table1[[#This Row],[t3_Ph_III]]+0))*((Table1[[#This Row],[I_0]]*Table1[[#This Row],[I_2]]+((Table1[[#This Row],[I_0]]-Table1[[#This Row],[I_2]])^2)/3))))</calculatedColumnFormula>
    </tableColumn>
    <tableColumn id="31" xr3:uid="{F7516B13-02FC-4E88-9EEA-4D32FEC1EA87}" name="RDS(on) Loss BuSync" dataDxfId="103">
      <calculatedColumnFormula>Rdson2*Table1[[#This Row],[Irms BuSync]]^2</calculatedColumnFormula>
    </tableColumn>
    <tableColumn id="32" xr3:uid="{4DE1C4D4-4467-4753-A922-C6ADD3F5B27E}" name="Deadtime Loss BuSync" dataDxfId="102">
      <calculatedColumnFormula>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calculatedColumnFormula>
    </tableColumn>
    <tableColumn id="33" xr3:uid="{67046D36-15C0-4060-82AF-C911C49B0F22}" name="Total Sync Bu MOSFET Loss" dataDxfId="101">
      <calculatedColumnFormula>(Table1[[#This Row],[Deadtime Loss BuSync]]+Table1[[#This Row],[RDS(on) Loss BuSync]]*(1+RdsonBotTc*Ta-RdsonBotTc*25))/(1-Table1[[#This Row],[RDS(on) Loss BuSync]]*RdsonBotTc*ThetaJA_Q2)</calculatedColumnFormula>
    </tableColumn>
    <tableColumn id="34" xr3:uid="{78B6D18E-3DF7-406B-A245-B0FDEC633048}" name="Irms BoCtlr" dataDxfId="100">
      <calculatedColumnFormula>CHOOSE(Table1[[#This Row],[Mode Digit]],0,SQRT((Fsw*(Table1[[#This Row],[t1_Ph_II]]+0))*((Table1[[#This Row],[I_0]]*Table1[[#This Row],[I_1]]+((Table1[[#This Row],[I_0]]-Table1[[#This Row],[I_1]])^2)/3))),SQRT((Fsw*(Table1[[#This Row],[t2_Ph_I]]+0))*((Table1[[#This Row],[I_1]]*Table1[[#This Row],[I_2]]+((Table1[[#This Row],[I_1]]-Table1[[#This Row],[I_2]])^2)/3))))</calculatedColumnFormula>
    </tableColumn>
    <tableColumn id="35" xr3:uid="{4276B9B1-D3EA-4CE9-A12B-B1ECCE5C7E8D}" name="RDS(on) Loss BoCtlr" dataDxfId="99">
      <calculatedColumnFormula>Rdson4*Table1[[#This Row],[Irms BoCtlr]]^2</calculatedColumnFormula>
    </tableColumn>
    <tableColumn id="36" xr3:uid="{F0F66459-10BC-4AE7-9863-DDD03247D137}" name="Transition Loss BoCtlr" dataDxfId="98">
      <calculatedColumnFormula>CHOOSE(Table1[[#This Row],[Mode Digit]], 0, (Vout*Table1[[#This Row],[Iin]]/2)*(Fsw)*(Tr_boost+Tf_boost), (Vout*Iout/2)*(Fsw/1)*(Tr_boost+Tf_boost))</calculatedColumnFormula>
    </tableColumn>
    <tableColumn id="37" xr3:uid="{77B8DCC1-70A4-49D0-BEBD-94F7167FFA43}" name="Dead Time Loss BoCtlr" dataDxfId="97">
      <calculatedColumnFormula>IF(Table1[[#This Row],[Vin]]&gt;Vout, 0, IF(Table1[[#This Row],[Iin]]&gt;Table1[[#This Row],[Ripple Current pk-pk]]/2,0,ABS(Table1[[#This Row],[Iin]]-Table1[[#This Row],[Ripple Current pk-pk]]/2)*Vsd_Q4*Deadtime*Fsw))</calculatedColumnFormula>
    </tableColumn>
    <tableColumn id="38" xr3:uid="{2195575D-2D8B-4952-80A1-9481F7F9B146}" name="Total Control Bo MOSFET Loss" dataDxfId="96">
      <calculatedColumnFormula>(Table1[[#This Row],[Dead Time Loss BoCtlr]]+Table1[[#This Row],[Transition Loss BoCtlr]]+Table1[[#This Row],[RDS(on) Loss BoCtlr]]*(1+RdsonTopTc*Ta-RdsonTopTc*25))/(1-Table1[[#This Row],[RDS(on) Loss BoCtlr]]*RdsonTopTc*ThetaJA_Q4)</calculatedColumnFormula>
    </tableColumn>
    <tableColumn id="39" xr3:uid="{FF1C528F-E4B7-4D67-9E12-EF65274CD505}" name="Irms BoSync" dataDxfId="95">
      <calculatedColumnFormula>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calculatedColumnFormula>
    </tableColumn>
    <tableColumn id="40" xr3:uid="{43539418-9D0B-40E4-B586-9F6494A84493}" name="RDS(on) Loss BoSync" dataDxfId="94">
      <calculatedColumnFormula>Rdson3*Table1[[#This Row],[Irms BoSync]]^2</calculatedColumnFormula>
    </tableColumn>
    <tableColumn id="41" xr3:uid="{D513EED5-A231-48C8-96A4-0A6FA05CAB4D}" name="Deadtime Loss BoSync" dataDxfId="93">
      <calculatedColumnFormula>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calculatedColumnFormula>
    </tableColumn>
    <tableColumn id="42" xr3:uid="{FBFC6A62-2DF4-4E86-9792-8C7BBA2C0C7B}" name="Total Sync Bo MOSFET Loss" dataDxfId="92">
      <calculatedColumnFormula>(Table1[[#This Row],[Deadtime Loss BoSync]]+Table1[[#This Row],[RDS(on) Loss BoSync]]*(1+RdsonBotTc*Ta-RdsonBotTc*25))/(1-Table1[[#This Row],[RDS(on) Loss BoSync]]*RdsonBotTc*ThetaJA_Q3)</calculatedColumnFormula>
    </tableColumn>
    <tableColumn id="43" xr3:uid="{B8D70B98-C930-41BC-82F2-850B4A9ED47C}" name="Q1/Q3 RDS(on) Loss @ D = 100%" dataDxfId="91">
      <calculatedColumnFormula>CHOOSE(Table1[[#This Row],[Mode Digit]], Rdson3*Table1[[#This Row],[Irms Lf]]^2, Rdson1*Table1[[#This Row],[Irms Lf]]^2, 0)</calculatedColumnFormula>
    </tableColumn>
    <tableColumn id="44" xr3:uid="{ABD1224E-AB67-4271-81C0-7605B9180A53}" name="Deadtime Loss ext D" dataDxfId="90">
      <calculatedColumnFormula>CHOOSE(Table1[[#This Row],[Mode Digit]], 2*Deadtime*Fsw*IF(VfdSky_Q2&gt;0,VfdSky_Q2,0)*Table1[[#This Row],[Iout]], 2*Deadtime*Fsw*IF(VfdSky_Q3&gt;0,VfdSky_Q3,0)*Table1[[#This Row],[Iin]], 2*Deadtime*Fsw*IF(VfdSky_Q2&gt;0,VfdSky_Q2,0)*Table1[[#This Row],[Iout]]+2*Deadtime*Fsw*IF(VfdSky_Q3&gt;0,VfdSky_Q3,0)*Table1[[#This Row],[Iin]])</calculatedColumnFormula>
    </tableColumn>
    <tableColumn id="11" xr3:uid="{754E2EE9-F34E-40D7-AE3A-920095E2BC90}" name="Reverse Recovery Loss MOSFET D BUCK" dataDxfId="89">
      <calculatedColumnFormula>CHOOSE(Table1[[#This Row],[Mode Digit]], IF(QrrSky_Q2&gt;0,QrrSky_Q2,Qrr_Q2)*Fsw*(Table1[[#This Row],[Vin]]-Table1[[#This Row],[Iout]]*Rdson1),0,  IF(QrrSky_Q2&gt;0,QrrSky_Q2,Qrr_Q2)*Fsw*(Table1[[#This Row],[Vin]]-Table1[[#This Row],[Iout]]*Rdson1)+IF(QrrSky_Q3&gt;0,QrrSky_Q3,Qrr_Q3)*Fsw*Vout)</calculatedColumnFormula>
    </tableColumn>
    <tableColumn id="45" xr3:uid="{C052C785-8F9C-4106-98E0-EA969678E1E7}" name="Reverse Recovery Loss MOSFET D BOOST" dataDxfId="88">
      <calculatedColumnFormula>CHOOSE(Table1[[#This Row],[Mode Digit]],0, IF(QrrSky_Q3&gt;0,QrrSky_Q3,Qrr_Q3)*Fsw*Vout,  IF(QrrSky_Q2&gt;0,QrrSky_Q2,Qrr_Q2)*Fsw*(Table1[[#This Row],[Vin]]-Table1[[#This Row],[Iout]]*Rdson1)+IF(QrrSky_Q3&gt;0,QrrSky_Q3,Qrr_Q3)*Fsw*Vout)</calculatedColumnFormula>
    </tableColumn>
    <tableColumn id="46" xr3:uid="{311DDB6C-72A5-4B0B-9CAE-6A0DFC3E18BC}" name="Isense Shunt Loss" dataDxfId="87">
      <calculatedColumnFormula>CHOOSE(Table1[[#This Row],[Mode Digit]], Rs*Table1[[#This Row],[Irms BuSync]]^2, Rs*Table1[[#This Row],[Irms BoCtlr]]^2, Rs*(Table1[[#This Row],[Irms BuSync]]^2+Table1[[#This Row],[Irms BoCtlr]]^2))</calculatedColumnFormula>
    </tableColumn>
    <tableColumn id="47" xr3:uid="{99F4E969-2EB5-423C-963D-16EFE55B2FD1}" name="Iout Shunt Loss" dataDxfId="86">
      <calculatedColumnFormula>Rshunt/1000*Iout^2</calculatedColumnFormula>
    </tableColumn>
    <tableColumn id="48" xr3:uid="{45DBA10C-E8F8-45DE-9D72-72DEBEDFEF32}" name="IQ Loss" dataDxfId="85">
      <calculatedColumnFormula>IF(Vout&gt;8, Iq*Vout, Iq*Table1[[#This Row],[Vin]])</calculatedColumnFormula>
    </tableColumn>
    <tableColumn id="49" xr3:uid="{FF1ABC71-40B2-470E-9B25-2F1CD703AFE6}" name="Switching Current Loss" dataDxfId="84">
      <calculatedColumnFormula>CHOOSE(Table1[[#This Row],[Mode Digit]], (Qg_Q1+Qg_Q2)*Fsw, (Qg_Q3+Qg_Q4)*Fsw, (Qg_Q1+Qg_Q2+Qg_Q3+Qg_Q4)*Fsw)*IF(Vout&gt;8, Vout, Table1[[#This Row],[Vin]])</calculatedColumnFormula>
    </tableColumn>
    <tableColumn id="50" xr3:uid="{7AA6E847-C1D5-4D0C-A622-8E42290A3A5C}" name="Switching Current Diss" dataDxfId="83">
      <calculatedColumnFormula>(Vin-Vdd)*Fsw*(Qg_Q1+Qg_Q2)+(RdsonDRT+RdsonDRT2)*Fsw*Qg_Q1*Vdd/(RdsonDRT+2*Rgate1+RdsonDRT2)+(RdsonDRB+RdsonDRB2)*Fsw*Qg_Q2*Vdd/(RdsonDRB+2*Rgate2+RdsonDRB2)</calculatedColumnFormula>
    </tableColumn>
    <tableColumn id="51" xr3:uid="{956E85BF-4D6E-4B2F-930D-D7FD02AE0A40}" name="Total IC Loss" dataDxfId="82">
      <calculatedColumnFormula>Table1[[#This Row],[IQ Loss]]+Table1[[#This Row],[Switching Current Loss]]</calculatedColumnFormula>
    </tableColumn>
    <tableColumn id="52" xr3:uid="{3E2C200F-A22F-4C19-861A-5B46A252BE7E}" name="Total Loss" dataDxfId="81">
      <calculatedColumnFormula>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calculatedColumnFormula>
    </tableColumn>
    <tableColumn id="53" xr3:uid="{1947163D-2DAB-450D-8DA7-C5E1BC7C0EB8}" name="Pout" dataDxfId="80">
      <calculatedColumnFormula>Vout*Table1[[#This Row],[Iout]]</calculatedColumnFormula>
    </tableColumn>
    <tableColumn id="54" xr3:uid="{A2A0E537-8711-4BC5-9492-140502BE5D7D}" name="EFF, h" dataDxfId="79">
      <calculatedColumnFormula>Table1[[#This Row],[Pout]]/(Table1[[#This Row],[Pout]]+Table1[[#This Row],[Total Loss]])</calculatedColumnFormula>
    </tableColumn>
    <tableColumn id="55" xr3:uid="{04B86087-8464-4D7F-A9AC-CF7F70BAF7A6}" name="Control FET Temp Rise" dataDxfId="78">
      <calculatedColumnFormula>IF(Table1[[#This Row],[Vin]]&gt;Vout,ThetaJA_Q1*(Table1[[#This Row],[Total Control Bu MOSFET Loss]]+Table1[[#This Row],[Reverse Recovery Loss MOSFET D BOOST]]),ThetaJA_Q4*(Table1[[#This Row],[Total Control Bo MOSFET Loss]]+Table1[[#This Row],[Reverse Recovery Loss MOSFET D BUCK]]+Table1[[#This Row],[Reverse Recovery Loss MOSFET D BOOST]]))</calculatedColumnFormula>
    </tableColumn>
    <tableColumn id="56" xr3:uid="{EF378B9E-75D3-47DB-98A8-C77CD337726B}" name="Sync FET Temp Rise" dataDxfId="77">
      <calculatedColumnFormula>IF(Table1[[#This Row],[Vin]]&gt;Vout, Table1[[#This Row],[Total Sync Bu MOSFET Loss]]*ThetaJA_Q2, ThetaJA_Q3*Table1[[#This Row],[Total Sync Bo MOSFET Loss]])</calculatedColumnFormula>
    </tableColumn>
    <tableColumn id="57" xr3:uid="{DF8380F5-40D3-4602-B4AB-ADD5AB27DBEA}" name="Column1" dataDxfId="76"/>
    <tableColumn id="58" xr3:uid="{61F99BC7-2C3F-4FDA-8D9A-82D0FB100562}" name="h" dataDxfId="75">
      <calculatedColumnFormula>Table1[[#This Row],[EFF, h]]*100</calculatedColumnFormula>
    </tableColumn>
    <tableColumn id="59" xr3:uid="{3DAD211D-584B-40B7-B7E1-86EF4F43FAED}" name="Inductor Cu &amp; Core Loss" dataDxfId="74">
      <calculatedColumnFormula>Table1[[#This Row],[Total Inductor Loss]]</calculatedColumnFormula>
    </tableColumn>
    <tableColumn id="60" xr3:uid="{48239052-6648-45E2-A012-76140AB34B7D}" name="Total MOSFET Loss" dataDxfId="73">
      <calculatedColumnFormula>Table1[[#This Row],[Total Control Bu MOSFET Loss]]+Table1[[#This Row],[Total Sync Bu MOSFET Loss]]+Table1[[#This Row],[Total Control Bo MOSFET Loss]]+Table1[[#This Row],[Total Sync Bo MOSFET Loss]]+Table1[[#This Row],[Reverse Recovery Loss MOSFET D BUCK]]+Table1[[#This Row],[Reverse Recovery Loss MOSFET D BOOST]]</calculatedColumnFormula>
    </tableColumn>
    <tableColumn id="61" xr3:uid="{83A9FE45-D8DF-4885-AAC7-580F15254217}" name="Buck ''Control'' MOSFET Loss" dataDxfId="72">
      <calculatedColumnFormula>Table1[[#This Row],[Total Control Bu MOSFET Loss]]+Table1[[#This Row],[Reverse Recovery Loss MOSFET D BUCK]]*0.66</calculatedColumnFormula>
    </tableColumn>
    <tableColumn id="69" xr3:uid="{437246D9-FC87-4C11-B9E0-C57AA3741B1E}" name="Buck ''SYNC'' MOSFET Loss" dataDxfId="71">
      <calculatedColumnFormula>Table1[[#This Row],[Total Sync Bu MOSFET Loss]]+Table1[[#This Row],[Reverse Recovery Loss MOSFET D BUCK]]*0.33</calculatedColumnFormula>
    </tableColumn>
    <tableColumn id="68" xr3:uid="{28141934-F33B-4DB9-8C76-9FAC00DC5A01}" name="Boost ''Control'' MOSFET Loss" dataDxfId="70">
      <calculatedColumnFormula xml:space="preserve"> Table1[[#This Row],[Total Control Bo MOSFET Loss]]+Table1[[#This Row],[Reverse Recovery Loss MOSFET D BOOST]]*0.66</calculatedColumnFormula>
    </tableColumn>
    <tableColumn id="70" xr3:uid="{1C96CA9A-6037-4064-9BBA-7C304B4335B9}" name="Boost ''SYNC'' MOSFET Loss" dataDxfId="69">
      <calculatedColumnFormula xml:space="preserve"> Table1[[#This Row],[Total Sync Bo MOSFET Loss]]+Table1[[#This Row],[Reverse Recovery Loss MOSFET D BOOST]]*0.33</calculatedColumnFormula>
    </tableColumn>
    <tableColumn id="62" xr3:uid="{D9583505-7D38-4B50-967B-48D6181D7FC0}" name="Shunt Loss" dataDxfId="68">
      <calculatedColumnFormula>Table1[[#This Row],[Isense Shunt Loss]]</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A8C7A1-BA20-49EF-A166-676508DFFE00}" name="Table2" displayName="Table2" ref="G8:BV109" totalsRowShown="0" headerRowDxfId="67">
  <autoFilter ref="G8:BV109" xr:uid="{0781F152-903E-43E6-B9F0-B3524499DF20}">
    <filterColumn colId="0" hiddenButton="1"/>
    <filterColumn colId="1" hiddenButton="1"/>
    <filterColumn colId="2" hiddenButton="1"/>
    <filterColumn colId="3" hiddenButton="1"/>
    <filterColumn colId="4" hiddenButton="1"/>
    <filterColumn colId="5"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7" hiddenButton="1"/>
  </autoFilter>
  <tableColumns count="68">
    <tableColumn id="1" xr3:uid="{34C3A69C-35D8-4A57-BA70-918DA2D69AFA}" name="Step"/>
    <tableColumn id="2" xr3:uid="{0C2AA3EA-0133-45A8-A686-8BA6D149C2B1}" name="Vin" dataDxfId="66">
      <calculatedColumnFormula>Vin</calculatedColumnFormula>
    </tableColumn>
    <tableColumn id="3" xr3:uid="{C40E81CD-1658-42BC-9279-472CD8215E7E}" name="Mode" dataDxfId="65">
      <calculatedColumnFormula>IF(Mode = 2,IF(Table2[[#This Row],[Vin]]&gt;Vout, "BUCK","BOOST"),IF(Table2[[#This Row],[Vin]]&gt;VIN_BB_to_buck, "BUCK", IF(Table2[[#This Row],[Vin]]&lt;=VIN_boost_to_BB,"BOOST","BUCK-BST")))</calculatedColumnFormula>
    </tableColumn>
    <tableColumn id="4" xr3:uid="{918F4473-EC49-4B32-A641-5015807B1B5E}" name="Mode Digit" dataDxfId="64">
      <calculatedColumnFormula>IF(Table2[[#This Row],[Mode]]="BOOST",2, IF(Table2[[#This Row],[Mode]]="BUCK", 1,3))</calculatedColumnFormula>
    </tableColumn>
    <tableColumn id="5" xr3:uid="{24A0BB7B-6C3A-4E00-801A-595F65870479}" name="Iout" dataDxfId="63">
      <calculatedColumnFormula>Iout*G9/100</calculatedColumnFormula>
    </tableColumn>
    <tableColumn id="6" xr3:uid="{E9720739-F4C6-4E72-8C1B-11C50B30969F}" name="Iin" dataDxfId="62">
      <calculatedColumnFormula>Vout*Table2[[#This Row],[Iout]]/(Table2[[#This Row],[Vin]]*Efficiency)</calculatedColumnFormula>
    </tableColumn>
    <tableColumn id="69" xr3:uid="{F303E149-8296-4B2F-9E54-567212B975FB}" name="t1_Ph_II" dataDxfId="61">
      <calculatedColumnFormula>MIN(1/Fsw,CHOOSE(Table2[[#This Row],[Mode Digit]],(Vout+(Rdson2+Rs+Rdcr)*Table2[[#This Row],[Iout]])/(Table2[[#This Row],[Vin]]+(Rs+Rdson2-Rdson1)*Table2[[#This Row],[Iout]])/Fsw,(Vout+(Rdson3+Rdcr)*Table2[[#This Row],[Iin]]-Table2[[#This Row],[Vin]])/(Vout+(Rdson3-Rdson4-Rs)*Table2[[#This Row],[Iin]])/Fsw,t1_Ph_II))</calculatedColumnFormula>
    </tableColumn>
    <tableColumn id="68" xr3:uid="{218ECE90-FA8A-4FC2-8081-90AA250C1F90}" name="t2_Ph_I" dataDxfId="60">
      <calculatedColumnFormula>CHOOSE(Table1[[#This Row],[Mode Digit]],1/Fsw-Table1[[#This Row],[t1_Ph_II]],1/Fsw-Table1[[#This Row],[t1_Ph_II]],(Vout/Fsw-Table1[[#This Row],[Vin]]*t1_Ph_II)/(Table1[[#This Row],[Vin]]+Vout))</calculatedColumnFormula>
    </tableColumn>
    <tableColumn id="67" xr3:uid="{7CC8C8E4-488A-4BA5-9A54-5BC5C4B97EB9}" name="t3_Ph_III" dataDxfId="59">
      <calculatedColumnFormula>1/Fsw-(Table1[[#This Row],[t1_Ph_II]]+Table1[[#This Row],[t2_Ph_I]])</calculatedColumnFormula>
    </tableColumn>
    <tableColumn id="66" xr3:uid="{307215AF-EEBE-4C01-A612-CD616E535224}" name="I_0" dataDxfId="58">
      <calculatedColumnFormula>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calculatedColumnFormula>
    </tableColumn>
    <tableColumn id="65" xr3:uid="{A7CCED91-2B00-4DF7-8C51-C417C01C299E}" name="I_1" dataDxfId="57">
      <calculatedColumnFormula>CHOOSE(Table1[[#This Row],[Mode Digit]],Table1[[#This Row],[I_0]]+1/Lf*(Table1[[#This Row],[Vin]]-Vout)*Table1[[#This Row],[t1_Ph_II]],Table1[[#This Row],[I_0]]+1/Lf*Table1[[#This Row],[Vin]]*Table1[[#This Row],[t1_Ph_II]],Table1[[#This Row],[I_0]]+(Table1[[#This Row],[Vin]]-Vout)/L*Table1[[#This Row],[t1_Ph_II]])</calculatedColumnFormula>
    </tableColumn>
    <tableColumn id="64" xr3:uid="{29650B43-79A1-4D7D-8BDF-D931084C4A45}" name="I_2" dataDxfId="56">
      <calculatedColumnFormula>CHOOSE(Table1[[#This Row],[Mode Digit]],0,0,Table1[[#This Row],[I_1]]+Table1[[#This Row],[Vin]]/L*Table1[[#This Row],[t2_Ph_I]])</calculatedColumnFormula>
    </tableColumn>
    <tableColumn id="10" xr3:uid="{18955705-EB16-4C59-BDED-D861C64E27EA}" name="Avg IL" dataDxfId="55">
      <calculatedColumnFormula>Fsw*(Table1[[#This Row],[I_0]]*Table1[[#This Row],[t1_Ph_II]]+Table1[[#This Row],[I_1]]*Table1[[#This Row],[t2_Ph_I]]+Table1[[#This Row],[I_2]]*Table1[[#This Row],[t3_Ph_III]])</calculatedColumnFormula>
    </tableColumn>
    <tableColumn id="8" xr3:uid="{6429F886-5CE8-49F5-8F04-6A937E99FA77}" name="Duty Cycle BUCK Leg" dataDxfId="54">
      <calculatedColumnFormula>MIN(1,CHOOSE(Table2[[#This Row],[Mode Digit]],(Vout+(Rdson2+Rs+Rdcr)*Table2[[#This Row],[Iout]])/(Table2[[#This Row],[Vin]]+(Rs+Rdson2-Rdson1)*Table2[[#This Row],[Iout]]),1,Fsw*Table2[[#This Row],[t2_Ph_I]]+Table2[[#This Row],[t1_Ph_II]]))</calculatedColumnFormula>
    </tableColumn>
    <tableColumn id="9" xr3:uid="{7A3777A6-7AC5-4923-A0F7-248CBBE3F0E6}" name="Duty Cycle BOOST Leg" dataDxfId="53">
      <calculatedColumnFormula>MIN(1,CHOOSE(Table2[[#This Row],[Mode Digit]],0,(Vout+(Rdson3+Rdcr)*Table2[[#This Row],[Iin]]-Table2[[#This Row],[Vin]])/(Vout+(Rdson3-Rdson4-Rs)*Table2[[#This Row],[Iin]]),Fsw*Table2[[#This Row],[t1_Ph_II]]+Table2[[#This Row],[t3_Ph_III]]))</calculatedColumnFormula>
    </tableColumn>
    <tableColumn id="14" xr3:uid="{442A66AD-DCF3-4FC3-AF2A-9FBC99F53897}" name="Ripple Current pk-pk" dataDxfId="52">
      <calculatedColumnFormula>MAX(Table1[[#This Row],[I_0]:[I_2]])-MIN(Table1[[#This Row],[I_0]:[I_1]])</calculatedColumnFormula>
    </tableColumn>
    <tableColumn id="15" xr3:uid="{C517068C-A74C-4D2D-8639-E6DDF0DA316F}" name="Irms Lf" dataDxfId="51">
      <calculatedColumnFormula>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calculatedColumnFormula>
    </tableColumn>
    <tableColumn id="16" xr3:uid="{46765DA0-CD55-4345-AC81-76ECFBE97162}" name="DCR    Loss" dataDxfId="50">
      <calculatedColumnFormula>(Table1[[#This Row],[Irms Lf]]^2*Rdcr*(1+Ltc*Ta-Ltc*25))/(1-Table1[[#This Row],[Irms Lf]]^2*Rdcr*Ltc*ThetaCa)</calculatedColumnFormula>
    </tableColumn>
    <tableColumn id="17" xr3:uid="{18EE1D63-8B67-484D-96F9-20501E013B5B}" name="Core Loss" dataDxfId="49">
      <calculatedColumnFormula>ABS(7.759*10^-3*Fsw^0.9458*(0.00787*Table1[[#This Row],[Ripple Current pk-pk]])^2.304)</calculatedColumnFormula>
    </tableColumn>
    <tableColumn id="18" xr3:uid="{ECC085B4-37C5-4BEF-B4D5-1FA51CFB4B64}" name="Total Inductor Loss" dataDxfId="48">
      <calculatedColumnFormula>Table1[[#This Row],[DCR    Loss]]+Table1[[#This Row],[Core Loss]]</calculatedColumnFormula>
    </tableColumn>
    <tableColumn id="19" xr3:uid="{76ADB736-66E1-4BF5-8F7C-96286D64A83E}" name="Irms Cout" dataDxfId="47">
      <calculatedColumnFormula>IF(Table1[[#This Row],[Vin]]&gt;Vout, Table1[[#This Row],[Ripple Current pk-pk]]/SQRT(12), SQRT(Table1[[#This Row],[Duty Cycle BOOST Leg]]/(1-Table1[[#This Row],[Duty Cycle BOOST Leg]]))*SQRT(Table1[[#This Row],[Iout]]^2+(Table1[[#This Row],[Ripple Current pk-pk]]^2)/12))</calculatedColumnFormula>
    </tableColumn>
    <tableColumn id="20" xr3:uid="{10DB5A8A-40EF-49C5-9DD4-1604029D9F9C}" name="Cout ESR Loss" dataDxfId="46">
      <calculatedColumnFormula>RCoutEsr*Table1[[#This Row],[Irms Cout]]^2</calculatedColumnFormula>
    </tableColumn>
    <tableColumn id="21" xr3:uid="{C8576C70-5D98-42E2-8699-FABB50E0F71C}" name="Total Cout Loss" dataDxfId="45">
      <calculatedColumnFormula>Table1[[#This Row],[Cout ESR Loss]]</calculatedColumnFormula>
    </tableColumn>
    <tableColumn id="22" xr3:uid="{A76C3B92-60A2-4D8F-83B5-BEE30B8782A2}" name="Irms Cin" dataDxfId="44">
      <calculatedColumnFormula>IF(Table1[[#This Row],[Vin]]&gt;Vout, SQRT(Table1[[#This Row],[Duty Cycle BUCK Leg]]*(1-Table1[[#This Row],[Duty Cycle BUCK Leg]]))*SQRT(Table1[[#This Row],[Iout]]^2+(Table1[[#This Row],[Ripple Current pk-pk]]^2)/12), Table1[[#This Row],[Ripple Current pk-pk]]/SQRT(12))</calculatedColumnFormula>
    </tableColumn>
    <tableColumn id="23" xr3:uid="{A2BA70BF-F6DD-4326-94F6-1A0307C9421C}" name="Cin ESR Loss" dataDxfId="43">
      <calculatedColumnFormula>RCinEsr*Table1[[#This Row],[Irms Cin]]^2</calculatedColumnFormula>
    </tableColumn>
    <tableColumn id="24" xr3:uid="{C50270F7-E0F4-4F75-BF80-EDEE659B0E28}" name="Total Cin Loss" dataDxfId="42">
      <calculatedColumnFormula>Table1[[#This Row],[Cin ESR Loss]]</calculatedColumnFormula>
    </tableColumn>
    <tableColumn id="25" xr3:uid="{C274173A-A80A-4BCD-A34F-B78CB7008381}" name="Irms BuCtrl" dataDxfId="41">
      <calculatedColumnFormula>Table1[[#This Row],[Irms Lf]]</calculatedColumnFormula>
    </tableColumn>
    <tableColumn id="26" xr3:uid="{09142631-A34E-49A6-A0EA-92E3D14054D2}" name="RDS(on) Loss BuCtrl" dataDxfId="40">
      <calculatedColumnFormula>Rdson1*Table1[[#This Row],[Irms BuCtrl]]^2</calculatedColumnFormula>
    </tableColumn>
    <tableColumn id="27" xr3:uid="{1C5AD079-CAAA-476A-B2EC-ED7A9BFF86C9}" name="Transition Loss BuCtrl" dataDxfId="39">
      <calculatedColumnFormula>CHOOSE(Table1[[#This Row],[Mode Digit]], (Table1[[#This Row],[Vin]]*Table1[[#This Row],[Iout]]/2)*(Fsw)*(Tr_buck+Tf_buck), 0, (Table1[[#This Row],[Vin]]*Table1[[#This Row],[Avg IL]]/2)*(Fsw/1)*(Tr_buck+Tf_buck))</calculatedColumnFormula>
    </tableColumn>
    <tableColumn id="28" xr3:uid="{065B4589-6BF4-40CA-B683-69ED9CFAA158}" name="Dead Time Loss BuCtrl" dataDxfId="38">
      <calculatedColumnFormula>IF(Table1[[#This Row],[Vin]]&gt;Vout, IF(Table1[[#This Row],[Iout]]&gt;Table1[[#This Row],[Ripple Current pk-pk]]/2,0,ABS(Table1[[#This Row],[Iout]]-Table1[[#This Row],[Ripple Current pk-pk]]/2)*Vsd_Q1*Deadtime*Fsw),0)</calculatedColumnFormula>
    </tableColumn>
    <tableColumn id="29" xr3:uid="{95444383-D2E1-4B3F-9DEF-F3BED8DDA7BC}" name="Total Control Bu MOSFET Loss" dataDxfId="37">
      <calculatedColumnFormula>(Table1[[#This Row],[Dead Time Loss BuCtrl]]+Table1[[#This Row],[Transition Loss BuCtrl]]+Table1[[#This Row],[RDS(on) Loss BuCtrl]]*(1+RdsonTopTc*Ta-RdsonTopTc*25))/(1-Table1[[#This Row],[RDS(on) Loss BuCtrl]]*RdsonTopTc*ThetaJA_Q1)</calculatedColumnFormula>
    </tableColumn>
    <tableColumn id="30" xr3:uid="{D3792F07-1524-4AA8-9283-7A8C59D5F217}" name="Irms BuSync" dataDxfId="36">
      <calculatedColumnFormula>Table1[[#This Row],[Irms Lf]]</calculatedColumnFormula>
    </tableColumn>
    <tableColumn id="31" xr3:uid="{FC4CDBC6-A037-40B1-8F9C-82C42FC7B1B4}" name="RDS(on) Loss BuSync" dataDxfId="35">
      <calculatedColumnFormula>Rdson2*Table1[[#This Row],[Irms BuSync]]^2</calculatedColumnFormula>
    </tableColumn>
    <tableColumn id="32" xr3:uid="{45D60338-9062-4697-9171-0B6403C4EB08}" name="Deadtime Loss BuSync" dataDxfId="34">
      <calculatedColumnFormula>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calculatedColumnFormula>
    </tableColumn>
    <tableColumn id="33" xr3:uid="{6207C2F6-EC74-48A5-8E40-0C312F2336CD}" name="Total Sync Bu MOSFET Loss" dataDxfId="33">
      <calculatedColumnFormula>(Table1[[#This Row],[Deadtime Loss BuSync]]+Table1[[#This Row],[RDS(on) Loss BuSync]]*(1+RdsonBotTc*Ta-RdsonBotTc*25))/(1-Table1[[#This Row],[RDS(on) Loss BuSync]]*RdsonBotTc*ThetaJA_Q2)</calculatedColumnFormula>
    </tableColumn>
    <tableColumn id="34" xr3:uid="{87F48C49-12B9-4910-B98E-65FB5785B929}" name="Irms BoCtlr" dataDxfId="32">
      <calculatedColumnFormula>Table1[[#This Row],[Irms Lf]]</calculatedColumnFormula>
    </tableColumn>
    <tableColumn id="35" xr3:uid="{86C49C32-B2A4-4500-93C6-514DD9143BF3}" name="RDS(on) Loss BoCtlr" dataDxfId="31">
      <calculatedColumnFormula>Rdson4*Table1[[#This Row],[Irms BoCtlr]]^2</calculatedColumnFormula>
    </tableColumn>
    <tableColumn id="36" xr3:uid="{C21ACEE4-D3F7-43AE-A181-6D60BCA62C36}" name="Transition Loss BoCtlr" dataDxfId="30">
      <calculatedColumnFormula>CHOOSE(Table1[[#This Row],[Mode Digit]], 0, (Vout*Table1[[#This Row],[Iin]]/2)*(Fsw)*(Tr_boost+Tf_boost), (Vout*Iout/2)*(Fsw/1)*(Tr_boost+Tf_boost))</calculatedColumnFormula>
    </tableColumn>
    <tableColumn id="37" xr3:uid="{28D6A006-7F76-4047-8DE7-7A9F1B46D5CA}" name="Dead Time Loss BoCtlr" dataDxfId="29">
      <calculatedColumnFormula>IF(Table1[[#This Row],[Vin]]&gt;Vout, 0, IF(Table1[[#This Row],[Iin]]&gt;Table1[[#This Row],[Ripple Current pk-pk]]/2,0,ABS(Table1[[#This Row],[Iin]]-Table1[[#This Row],[Ripple Current pk-pk]]/2)*Vsd_Q4*Deadtime*Fsw))</calculatedColumnFormula>
    </tableColumn>
    <tableColumn id="38" xr3:uid="{215571B6-5EF5-4592-B738-1F24561041C0}" name="Total Control Bo MOSFET Loss" dataDxfId="28">
      <calculatedColumnFormula>(Table1[[#This Row],[Dead Time Loss BoCtlr]]+Table1[[#This Row],[Transition Loss BoCtlr]]+Table1[[#This Row],[RDS(on) Loss BoCtlr]]*(1+RdsonTopTc*Ta-RdsonTopTc*25))/(1-Table1[[#This Row],[RDS(on) Loss BoCtlr]]*RdsonTopTc*ThetaJA_Q4)</calculatedColumnFormula>
    </tableColumn>
    <tableColumn id="39" xr3:uid="{7FDD5825-CC30-4A92-9438-1B977BCB2347}" name="Irms BoSync" dataDxfId="27">
      <calculatedColumnFormula>Table1[[#This Row],[Irms Lf]]</calculatedColumnFormula>
    </tableColumn>
    <tableColumn id="40" xr3:uid="{B22A1301-7E9B-4A96-8709-96AEF3913C85}" name="RDS(on) Loss BoSync" dataDxfId="26">
      <calculatedColumnFormula>Rdson3*Table1[[#This Row],[Irms BoSync]]^2</calculatedColumnFormula>
    </tableColumn>
    <tableColumn id="41" xr3:uid="{DD4BD58D-3E19-4174-BBAF-B5D320FBA3D3}" name="Deadtime Loss BoSync" dataDxfId="25">
      <calculatedColumnFormula>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calculatedColumnFormula>
    </tableColumn>
    <tableColumn id="42" xr3:uid="{B1A577E8-D80B-4B4A-9C33-38929C46773C}" name="Total Sync Bo MOSFET Loss" dataDxfId="24">
      <calculatedColumnFormula>(Table1[[#This Row],[Deadtime Loss BoSync]]+Table1[[#This Row],[RDS(on) Loss BoSync]]*(1+RdsonBotTc*Ta-RdsonBotTc*25))/(1-Table1[[#This Row],[RDS(on) Loss BoSync]]*RdsonBotTc*ThetaJA_Q3)</calculatedColumnFormula>
    </tableColumn>
    <tableColumn id="43" xr3:uid="{AFF2D1D2-4364-4BDD-9D67-DE7BF68B84E0}" name="Q1/Q3 RDS(on) Loss @ D = 100%" dataDxfId="23">
      <calculatedColumnFormula>CHOOSE(Table1[[#This Row],[Mode Digit]], Rdson3*Table1[[#This Row],[Irms Lf]]^2, Rdson1*Table1[[#This Row],[Irms Lf]]^2, 0)</calculatedColumnFormula>
    </tableColumn>
    <tableColumn id="44" xr3:uid="{530440A0-E1C0-4365-9308-04C04F564AF4}" name="Deadtime Loss ext D" dataDxfId="22">
      <calculatedColumnFormula>CHOOSE(Table1[[#This Row],[Mode Digit]], 2*Deadtime*Fsw*IF(VfdSky_Q2&gt;0,VfdSky_Q2,0)*Table1[[#This Row],[Iout]], 2*Deadtime*Fsw*IF(VfdSky_Q3&gt;0,VfdSky_Q3,0)*Table1[[#This Row],[Iin]], 2*Deadtime*Fsw*IF(VfdSky_Q2&gt;0,VfdSky_Q2,0)*Table1[[#This Row],[Iout]]+2*Deadtime*Fsw*IF(VfdSky_Q3&gt;0,VfdSky_Q3,0)*Table1[[#This Row],[Iin]])</calculatedColumnFormula>
    </tableColumn>
    <tableColumn id="7" xr3:uid="{22F6EF9D-00D7-4602-9BEB-045D831549DB}" name="Reverse Recovery Loss MOSFET D BUCK" dataDxfId="21">
      <calculatedColumnFormula>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calculatedColumnFormula>
    </tableColumn>
    <tableColumn id="45" xr3:uid="{65C34663-9EE5-4A6E-AE57-557921814271}" name="Reverse Recovery Loss MOSFET D BOOST" dataDxfId="20">
      <calculatedColumnFormula>CHOOSE(Table1[[#This Row],[Mode Digit]], IF(QrrSky_Q2&gt;0,QrrSky_Q2,Qrr_Q2)*Fsw*(Table1[[#This Row],[Vin]]-Table1[[#This Row],[Iout]]*Rdson1), IF(QrrSky_Q3&gt;0,QrrSky_Q3,Qrr_Q3)*Fsw*Vout,  IF(QrrSky_Q2&gt;0,QrrSky_Q2,Qrr_Q2)*Fsw*(Table1[[#This Row],[Vin]]-Table1[[#This Row],[Iout]]*Rdson1)+IF(QrrSky_Q3&gt;0,QrrSky_Q3,Qrr_Q3)*Fsw*Vout)</calculatedColumnFormula>
    </tableColumn>
    <tableColumn id="46" xr3:uid="{8018EA1E-CEEC-4189-8B07-D385A920F79B}" name="Isense Shunt Loss" dataDxfId="19">
      <calculatedColumnFormula>CHOOSE(Table1[[#This Row],[Mode Digit]], Rs*Table1[[#This Row],[Irms BuSync]]^2, Rs*Table1[[#This Row],[Irms BoCtlr]]^2, Rs*(Table1[[#This Row],[Irms BuSync]]^2+Table1[[#This Row],[Irms BoCtlr]]^2))</calculatedColumnFormula>
    </tableColumn>
    <tableColumn id="47" xr3:uid="{21511C8E-23C8-44FC-A893-F65B249CA06F}" name="Iout Shunt Loss" dataDxfId="18">
      <calculatedColumnFormula>Rshunt/1000*Iout^2</calculatedColumnFormula>
    </tableColumn>
    <tableColumn id="48" xr3:uid="{78B3EB63-85AE-4AC8-BA78-A57D6209FF83}" name="IQ Loss" dataDxfId="17">
      <calculatedColumnFormula>IF(Vout&gt;8, Iq*Vout, Iq*Table1[[#This Row],[Vin]])</calculatedColumnFormula>
    </tableColumn>
    <tableColumn id="49" xr3:uid="{41195AF3-5C2F-4B94-B165-B7D0706B8376}" name="Switching Current Loss" dataDxfId="16">
      <calculatedColumnFormula>CHOOSE(Table1[[#This Row],[Mode Digit]], (Qg_Q1+Qg_Q2)*Fsw, (Qg_Q3+Qg_Q4)*Fsw, (Qg_Q1+Qg_Q2+Qg_Q3+Qg_Q4)*Fsw)*IF(Vout&gt;8, Vout, Table1[[#This Row],[Vin]])</calculatedColumnFormula>
    </tableColumn>
    <tableColumn id="50" xr3:uid="{58A3FC17-80A4-41DB-9AFB-E7AABB876961}" name="Switching Current Diss" dataDxfId="15">
      <calculatedColumnFormula>(Vin-Vdd)*Fsw*(Qg_Q1+Qg_Q2)+(RdsonDRT+RdsonDRT2)*Fsw*Qg_Q1*Vdd/(RdsonDRT+2*Rgate1+RdsonDRT2)+(RdsonDRB+RdsonDRB2)*Fsw*Qg_Q2*Vdd/(RdsonDRB+2*Rgate2+RdsonDRB2)</calculatedColumnFormula>
    </tableColumn>
    <tableColumn id="51" xr3:uid="{45D2CF34-0DB7-4111-8658-601955EF7C8A}" name="Total IC Loss" dataDxfId="14">
      <calculatedColumnFormula>Table1[[#This Row],[IQ Loss]]+Table1[[#This Row],[Switching Current Loss]]</calculatedColumnFormula>
    </tableColumn>
    <tableColumn id="52" xr3:uid="{19715C49-B082-4E5C-BF70-87075A31D2B0}" name="Total Loss" dataDxfId="13">
      <calculatedColumnFormula>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calculatedColumnFormula>
    </tableColumn>
    <tableColumn id="53" xr3:uid="{40066BAD-F16C-44B1-9DE7-1432443BE9A0}" name="Pout" dataDxfId="12">
      <calculatedColumnFormula>Vout*Table1[[#This Row],[Iout]]</calculatedColumnFormula>
    </tableColumn>
    <tableColumn id="54" xr3:uid="{3FA61767-C5F8-48AA-A505-15A440A837CD}" name="EFF, h" dataDxfId="11">
      <calculatedColumnFormula>Table1[[#This Row],[Pout]]/(Table1[[#This Row],[Pout]]+Table1[[#This Row],[Total Loss]])</calculatedColumnFormula>
    </tableColumn>
    <tableColumn id="55" xr3:uid="{57006526-3919-4C93-A161-984E805C2DEA}" name="'CONTROL'' MOSFET Temp Rise" dataDxfId="10">
      <calculatedColumnFormula>IF(Table2[[#This Row],[Vin]]&gt;Vout,ThetaJA_Q1*(Table2[[#This Row],[Total Control Bu MOSFET Loss]]+Table2[[#This Row],[Reverse Recovery Loss MOSFET D BUCK]]),ThetaJA_Q4*(Table2[[#This Row],[Total Control Bo MOSFET Loss]]+Table2[[#This Row],[Reverse Recovery Loss MOSFET D BOOST]]))</calculatedColumnFormula>
    </tableColumn>
    <tableColumn id="56" xr3:uid="{762DB393-CE2C-40D8-8525-09C866A66A01}" name="'SYNC'' MOSFET Temp Rise" dataDxfId="9">
      <calculatedColumnFormula>IF(Table1[[#This Row],[Vin]]&gt;Vout, Table1[[#This Row],[Total Sync Bu MOSFET Loss]]*ThetaJA_Q2, ThetaJA_Q3*Table1[[#This Row],[Total Sync Bo MOSFET Loss]])</calculatedColumnFormula>
    </tableColumn>
    <tableColumn id="57" xr3:uid="{C318B8D6-9CF0-4AEE-B28C-77F48DA9E156}" name="Column14" dataDxfId="8"/>
    <tableColumn id="58" xr3:uid="{46ADF269-31F8-4FC8-BB3B-DDC1D2A7B702}" name="h" dataDxfId="7">
      <calculatedColumnFormula>Table1[[#This Row],[EFF, h]]*100</calculatedColumnFormula>
    </tableColumn>
    <tableColumn id="59" xr3:uid="{EE530E80-C1DB-4449-B093-EC8534B85807}" name="Inductor Cu &amp; Core Loss" dataDxfId="6">
      <calculatedColumnFormula>Table1[[#This Row],[Total Inductor Loss]]</calculatedColumnFormula>
    </tableColumn>
    <tableColumn id="60" xr3:uid="{39829479-D023-41E8-8B0E-080EF447E0F4}" name="Total MOSFET Loss" dataDxfId="5">
      <calculatedColumnFormula>Table2[[#This Row],[Total Control Bu MOSFET Loss]]+Table2[[#This Row],[Total Sync Bu MOSFET Loss]]+Table2[[#This Row],[Total Control Bo MOSFET Loss]]+Table2[[#This Row],[Total Sync Bo MOSFET Loss]]+Table2[[#This Row],[Reverse Recovery Loss MOSFET D BUCK]]+Table2[[#This Row],[Reverse Recovery Loss MOSFET D BOOST]]</calculatedColumnFormula>
    </tableColumn>
    <tableColumn id="61" xr3:uid="{AF7E7C35-251F-4B39-B788-370A8841B76E}" name="Buck ''Control'' MOSFET Loss" dataDxfId="4">
      <calculatedColumnFormula xml:space="preserve"> Table2[[#This Row],[Total Control Bu MOSFET Loss]]+Table2[[#This Row],[Reverse Recovery Loss MOSFET D BUCK]]*0.66</calculatedColumnFormula>
    </tableColumn>
    <tableColumn id="62" xr3:uid="{F0A51E30-89DB-49C1-876B-FA8DA9B7F813}" name="Buck ''SYNC'' MOSFET Loss" dataDxfId="3">
      <calculatedColumnFormula>Table2[[#This Row],[Total Sync Bu MOSFET Loss]]+Table2[[#This Row],[Reverse Recovery Loss MOSFET D BUCK]]*0.33</calculatedColumnFormula>
    </tableColumn>
    <tableColumn id="71" xr3:uid="{2FE192E1-261C-45D7-9D8A-DE64899B74CB}" name="Boost ''Control'' MOSFET Loss" dataDxfId="2">
      <calculatedColumnFormula xml:space="preserve"> Table2[[#This Row],[Total Control Bo MOSFET Loss]]+Table2[[#This Row],[Reverse Recovery Loss MOSFET D BOOST]]*0.66</calculatedColumnFormula>
    </tableColumn>
    <tableColumn id="70" xr3:uid="{79CC21FA-A2FA-423B-99F5-781582EFF581}" name="Boost ''SYNC'' MOSFET Loss" dataDxfId="1">
      <calculatedColumnFormula xml:space="preserve"> Table2[[#This Row],[Total Sync Bo MOSFET Loss]]+Table2[[#This Row],[Reverse Recovery Loss MOSFET D BOOST]]*0.33</calculatedColumnFormula>
    </tableColumn>
    <tableColumn id="63" xr3:uid="{3B2E41AF-2DFF-44EB-BABD-8EA498DA61EA}" name="Shunt Loss" dataDxfId="0">
      <calculatedColumnFormula>Table2[[#This Row],[Isense Shunt Loss]]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 Type="http://schemas.openxmlformats.org/officeDocument/2006/relationships/printerSettings" Target="../printerSettings/printerSettings1.bin"/><Relationship Id="rId21" Type="http://schemas.openxmlformats.org/officeDocument/2006/relationships/ctrlProp" Target="../ctrlProps/ctrlProp15.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omments" Target="../comments1.xml"/><Relationship Id="rId2" Type="http://schemas.openxmlformats.org/officeDocument/2006/relationships/hyperlink" Target="http://www.ti.com/product/lm51772" TargetMode="External"/><Relationship Id="rId16" Type="http://schemas.openxmlformats.org/officeDocument/2006/relationships/ctrlProp" Target="../ctrlProps/ctrlProp10.xml"/><Relationship Id="rId20" Type="http://schemas.openxmlformats.org/officeDocument/2006/relationships/ctrlProp" Target="../ctrlProps/ctrlProp14.xml"/><Relationship Id="rId29" Type="http://schemas.openxmlformats.org/officeDocument/2006/relationships/ctrlProp" Target="../ctrlProps/ctrlProp23.xml"/><Relationship Id="rId1" Type="http://schemas.openxmlformats.org/officeDocument/2006/relationships/hyperlink" Target="http://www.ti.com/pol" TargetMode="External"/><Relationship Id="rId6" Type="http://schemas.openxmlformats.org/officeDocument/2006/relationships/vmlDrawing" Target="../drawings/vmlDrawing2.v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8"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www.ti.com/nexfet"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package" Target="../embeddings/Microsoft_Visio_Drawing2.vsdx"/><Relationship Id="rId13" Type="http://schemas.openxmlformats.org/officeDocument/2006/relationships/image" Target="../media/image46.emf"/><Relationship Id="rId18" Type="http://schemas.openxmlformats.org/officeDocument/2006/relationships/package" Target="../embeddings/Microsoft_Visio_Drawing7.vsdx"/><Relationship Id="rId3" Type="http://schemas.openxmlformats.org/officeDocument/2006/relationships/vmlDrawing" Target="../drawings/vmlDrawing4.vml"/><Relationship Id="rId7" Type="http://schemas.openxmlformats.org/officeDocument/2006/relationships/image" Target="../media/image43.emf"/><Relationship Id="rId12" Type="http://schemas.openxmlformats.org/officeDocument/2006/relationships/package" Target="../embeddings/Microsoft_Visio_Drawing4.vsdx"/><Relationship Id="rId17" Type="http://schemas.openxmlformats.org/officeDocument/2006/relationships/image" Target="../media/image48.emf"/><Relationship Id="rId2" Type="http://schemas.openxmlformats.org/officeDocument/2006/relationships/drawing" Target="../drawings/drawing10.xml"/><Relationship Id="rId16" Type="http://schemas.openxmlformats.org/officeDocument/2006/relationships/package" Target="../embeddings/Microsoft_Visio_Drawing6.vsdx"/><Relationship Id="rId1" Type="http://schemas.openxmlformats.org/officeDocument/2006/relationships/printerSettings" Target="../printerSettings/printerSettings13.bin"/><Relationship Id="rId6" Type="http://schemas.openxmlformats.org/officeDocument/2006/relationships/package" Target="../embeddings/Microsoft_Visio_Drawing1.vsdx"/><Relationship Id="rId11" Type="http://schemas.openxmlformats.org/officeDocument/2006/relationships/image" Target="../media/image45.emf"/><Relationship Id="rId5" Type="http://schemas.openxmlformats.org/officeDocument/2006/relationships/image" Target="../media/image42.emf"/><Relationship Id="rId15" Type="http://schemas.openxmlformats.org/officeDocument/2006/relationships/image" Target="../media/image47.emf"/><Relationship Id="rId10" Type="http://schemas.openxmlformats.org/officeDocument/2006/relationships/package" Target="../embeddings/Microsoft_Visio_Drawing3.vsdx"/><Relationship Id="rId19" Type="http://schemas.openxmlformats.org/officeDocument/2006/relationships/image" Target="../media/image49.emf"/><Relationship Id="rId4" Type="http://schemas.openxmlformats.org/officeDocument/2006/relationships/package" Target="../embeddings/Microsoft_Visio_Drawing.vsdx"/><Relationship Id="rId9" Type="http://schemas.openxmlformats.org/officeDocument/2006/relationships/image" Target="../media/image44.emf"/><Relationship Id="rId14" Type="http://schemas.openxmlformats.org/officeDocument/2006/relationships/package" Target="../embeddings/Microsoft_Visio_Drawing5.vsdx"/></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6.bin"/><Relationship Id="rId4" Type="http://schemas.openxmlformats.org/officeDocument/2006/relationships/ctrlProp" Target="../ctrlProps/ctrlProp27.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I474"/>
  <sheetViews>
    <sheetView tabSelected="1" zoomScaleNormal="100" zoomScaleSheetLayoutView="100" workbookViewId="0">
      <selection activeCell="O56" sqref="O56"/>
    </sheetView>
  </sheetViews>
  <sheetFormatPr defaultColWidth="9.140625" defaultRowHeight="12.75" x14ac:dyDescent="0.2"/>
  <cols>
    <col min="1" max="1" width="8.28515625" style="191" customWidth="1"/>
    <col min="2" max="2" width="8.28515625" style="80" customWidth="1"/>
    <col min="3" max="3" width="13.5703125" style="80" customWidth="1"/>
    <col min="4" max="4" width="8.28515625" style="80" customWidth="1"/>
    <col min="5" max="5" width="6.85546875" style="80" customWidth="1"/>
    <col min="6" max="6" width="7.5703125" style="80" customWidth="1"/>
    <col min="7" max="7" width="6.5703125" style="80" customWidth="1"/>
    <col min="8" max="8" width="11.85546875" style="80" customWidth="1"/>
    <col min="9" max="9" width="9.140625" style="80"/>
    <col min="10" max="10" width="15" style="80" customWidth="1"/>
    <col min="11" max="11" width="9.140625" style="80"/>
    <col min="12" max="12" width="12.42578125" style="80" bestFit="1" customWidth="1"/>
    <col min="13" max="13" width="31.85546875" style="80" customWidth="1"/>
    <col min="14" max="14" width="9" style="80" customWidth="1"/>
    <col min="15" max="15" width="6.5703125" style="80" customWidth="1"/>
    <col min="16" max="16" width="5.28515625" style="80" customWidth="1"/>
    <col min="17" max="17" width="22.140625" style="80" customWidth="1"/>
    <col min="18" max="18" width="3.140625" style="80" customWidth="1"/>
    <col min="19" max="19" width="10" style="80" bestFit="1" customWidth="1"/>
    <col min="20" max="16384" width="9.140625" style="80"/>
  </cols>
  <sheetData>
    <row r="1" spans="1:18" ht="47.25" customHeight="1" x14ac:dyDescent="0.2">
      <c r="A1" s="834" t="str">
        <f>CONCATENATE(Device, " DC/DC Controller Design Tool")</f>
        <v>LM51772 DC/DC Controller Design Tool</v>
      </c>
      <c r="B1" s="835"/>
      <c r="C1" s="835"/>
      <c r="D1" s="835"/>
      <c r="E1" s="835"/>
      <c r="F1" s="835"/>
      <c r="G1" s="835"/>
      <c r="H1" s="835"/>
      <c r="I1" s="835"/>
      <c r="J1" s="835"/>
      <c r="K1" s="835"/>
      <c r="L1" s="835"/>
      <c r="M1" s="835"/>
      <c r="N1" s="835"/>
      <c r="O1" s="835"/>
      <c r="P1" s="835"/>
      <c r="Q1" s="835"/>
      <c r="R1" s="507"/>
    </row>
    <row r="2" spans="1:18" ht="14.1" customHeight="1" x14ac:dyDescent="0.45">
      <c r="A2" s="510"/>
      <c r="B2" s="511"/>
      <c r="C2" s="511"/>
      <c r="D2" s="511"/>
      <c r="E2" s="511"/>
      <c r="F2" s="511"/>
      <c r="G2" s="511"/>
      <c r="H2" s="511"/>
      <c r="I2" s="511"/>
      <c r="J2" s="511"/>
      <c r="K2" s="511"/>
      <c r="L2" s="511"/>
      <c r="M2" s="511"/>
      <c r="N2" s="511"/>
      <c r="O2" s="606"/>
      <c r="P2" s="606"/>
      <c r="Q2" s="511"/>
      <c r="R2" s="507"/>
    </row>
    <row r="3" spans="1:18" ht="15.95" customHeight="1" x14ac:dyDescent="0.45">
      <c r="A3" s="512" t="s">
        <v>292</v>
      </c>
      <c r="B3" s="513"/>
      <c r="C3" s="521" t="s">
        <v>293</v>
      </c>
      <c r="D3" s="514"/>
      <c r="E3" s="120"/>
      <c r="F3" s="516" t="s">
        <v>175</v>
      </c>
      <c r="G3" s="517"/>
      <c r="H3" s="511"/>
      <c r="I3" s="511"/>
      <c r="J3" s="660" t="str">
        <f>HYPERLINK(CONCATENATE("http://www.ti.com/product/",LOWER(Device)))</f>
        <v>http://www.ti.com/product/lm51772</v>
      </c>
      <c r="K3" s="518"/>
      <c r="L3" s="507"/>
      <c r="M3" s="507"/>
      <c r="N3" s="607" t="s">
        <v>55</v>
      </c>
      <c r="O3" s="607"/>
      <c r="P3" s="607"/>
      <c r="Q3" s="507" t="s">
        <v>198</v>
      </c>
      <c r="R3" s="507"/>
    </row>
    <row r="4" spans="1:18" ht="13.5" customHeight="1" thickBot="1" x14ac:dyDescent="0.25">
      <c r="A4" s="655"/>
      <c r="B4" s="656"/>
      <c r="C4" s="515"/>
      <c r="D4" s="515"/>
      <c r="E4" s="515"/>
      <c r="F4" s="515"/>
      <c r="G4" s="515"/>
      <c r="H4" s="515"/>
      <c r="I4" s="515"/>
      <c r="J4" s="751" t="str">
        <f>CONCATENATE("Version: ",Licenses!$B$5)</f>
        <v>Version: 1.2.0</v>
      </c>
      <c r="K4" s="515"/>
      <c r="L4" s="515"/>
      <c r="M4" s="519"/>
      <c r="N4" s="519"/>
      <c r="O4" s="519"/>
      <c r="P4" s="519"/>
      <c r="Q4" s="520"/>
      <c r="R4" s="507"/>
    </row>
    <row r="5" spans="1:18" ht="20.100000000000001" customHeight="1" thickBot="1" x14ac:dyDescent="0.35">
      <c r="A5" s="187" t="s">
        <v>277</v>
      </c>
      <c r="B5" s="119"/>
      <c r="C5" s="81"/>
      <c r="D5" s="81"/>
      <c r="E5" s="83"/>
      <c r="F5" s="81"/>
      <c r="G5" s="110"/>
      <c r="H5" s="84"/>
      <c r="I5" s="84"/>
      <c r="J5" s="84"/>
      <c r="K5" s="84"/>
      <c r="L5" s="84"/>
      <c r="M5" s="84"/>
      <c r="N5" s="84"/>
      <c r="O5" s="84"/>
      <c r="P5" s="84"/>
      <c r="Q5" s="109"/>
      <c r="R5" s="507"/>
    </row>
    <row r="6" spans="1:18" s="830" customFormat="1" ht="13.5" customHeight="1" x14ac:dyDescent="0.2">
      <c r="A6" s="804"/>
      <c r="B6" s="805"/>
      <c r="C6" s="806"/>
      <c r="D6" s="807" t="s">
        <v>957</v>
      </c>
      <c r="E6" s="831"/>
      <c r="F6" s="827"/>
      <c r="G6" s="828"/>
      <c r="H6" s="752"/>
      <c r="I6" s="752"/>
      <c r="J6" s="752"/>
      <c r="K6" s="752"/>
      <c r="L6" s="752"/>
      <c r="M6" s="752"/>
      <c r="N6" s="752"/>
      <c r="O6" s="752"/>
      <c r="P6" s="752"/>
      <c r="Q6" s="765"/>
      <c r="R6" s="829"/>
    </row>
    <row r="7" spans="1:18" ht="13.5" customHeight="1" x14ac:dyDescent="0.2">
      <c r="A7" s="832"/>
      <c r="B7" s="259"/>
      <c r="C7" s="261"/>
      <c r="D7" s="272" t="s">
        <v>689</v>
      </c>
      <c r="E7" s="273">
        <v>20</v>
      </c>
      <c r="F7" s="274" t="s">
        <v>0</v>
      </c>
      <c r="G7" s="272"/>
      <c r="H7" s="128"/>
      <c r="I7" s="84"/>
      <c r="J7" s="84"/>
      <c r="K7" s="84"/>
      <c r="L7" s="84"/>
      <c r="M7" s="84"/>
      <c r="N7" s="84"/>
      <c r="O7" s="84"/>
      <c r="P7" s="84"/>
      <c r="Q7" s="109"/>
      <c r="R7" s="507"/>
    </row>
    <row r="8" spans="1:18" ht="13.5" customHeight="1" x14ac:dyDescent="0.2">
      <c r="A8" s="260"/>
      <c r="B8" s="259"/>
      <c r="C8" s="261"/>
      <c r="D8" s="272" t="s">
        <v>690</v>
      </c>
      <c r="E8" s="273">
        <v>20</v>
      </c>
      <c r="F8" s="287" t="s">
        <v>0</v>
      </c>
      <c r="G8" s="130"/>
      <c r="H8" s="128"/>
      <c r="I8" s="84"/>
      <c r="J8" s="84"/>
      <c r="K8" s="84"/>
      <c r="L8" s="84"/>
      <c r="M8" s="84"/>
      <c r="N8" s="84"/>
      <c r="O8" s="84"/>
      <c r="P8" s="84"/>
      <c r="Q8" s="109"/>
      <c r="R8" s="507"/>
    </row>
    <row r="9" spans="1:18" ht="13.5" customHeight="1" x14ac:dyDescent="0.2">
      <c r="A9" s="260"/>
      <c r="B9" s="259"/>
      <c r="C9" s="261"/>
      <c r="D9" s="272" t="s">
        <v>691</v>
      </c>
      <c r="E9" s="273">
        <v>48</v>
      </c>
      <c r="F9" s="274" t="s">
        <v>0</v>
      </c>
      <c r="G9" s="130"/>
      <c r="H9" s="128"/>
      <c r="I9" s="84"/>
      <c r="J9" s="84"/>
      <c r="K9" s="84"/>
      <c r="L9" s="84"/>
      <c r="M9" s="84"/>
      <c r="N9" s="84"/>
      <c r="O9" s="84"/>
      <c r="P9" s="84"/>
      <c r="Q9" s="109"/>
      <c r="R9" s="507"/>
    </row>
    <row r="10" spans="1:18" ht="13.5" customHeight="1" x14ac:dyDescent="0.2">
      <c r="A10" s="260"/>
      <c r="B10" s="259"/>
      <c r="C10" s="261"/>
      <c r="D10" s="272" t="s">
        <v>352</v>
      </c>
      <c r="E10" s="273">
        <v>14.6</v>
      </c>
      <c r="F10" s="274" t="s">
        <v>0</v>
      </c>
      <c r="G10" s="130"/>
      <c r="H10" s="128"/>
      <c r="I10" s="84"/>
      <c r="J10" s="84"/>
      <c r="K10" s="84"/>
      <c r="L10" s="84"/>
      <c r="M10" s="84"/>
      <c r="N10" s="84"/>
      <c r="O10" s="84"/>
      <c r="P10" s="84"/>
      <c r="Q10" s="109"/>
      <c r="R10" s="507"/>
    </row>
    <row r="11" spans="1:18" ht="13.5" customHeight="1" x14ac:dyDescent="0.2">
      <c r="A11" s="260"/>
      <c r="B11" s="259"/>
      <c r="C11" s="261"/>
      <c r="D11" s="272" t="s">
        <v>816</v>
      </c>
      <c r="E11" s="273">
        <v>12</v>
      </c>
      <c r="F11" s="274" t="s">
        <v>2</v>
      </c>
      <c r="G11" s="130"/>
      <c r="H11" s="128"/>
      <c r="I11" s="84"/>
      <c r="J11" s="84"/>
      <c r="K11" s="84"/>
      <c r="L11" s="84"/>
      <c r="M11" s="84"/>
      <c r="N11" s="84"/>
      <c r="O11" s="84"/>
      <c r="P11" s="84"/>
      <c r="Q11" s="109"/>
      <c r="R11" s="507"/>
    </row>
    <row r="12" spans="1:18" ht="13.5" customHeight="1" x14ac:dyDescent="0.2">
      <c r="A12" s="260"/>
      <c r="B12" s="259"/>
      <c r="C12" s="261"/>
      <c r="D12" s="272" t="s">
        <v>96</v>
      </c>
      <c r="E12" s="275">
        <v>600</v>
      </c>
      <c r="F12" s="274" t="s">
        <v>3</v>
      </c>
      <c r="G12" s="130"/>
      <c r="H12" s="128"/>
      <c r="I12" s="84"/>
      <c r="J12" s="84"/>
      <c r="K12" s="84"/>
      <c r="L12" s="84"/>
      <c r="M12" s="84"/>
      <c r="N12" s="84"/>
      <c r="O12" s="84"/>
      <c r="P12" s="84"/>
      <c r="Q12" s="109"/>
      <c r="R12" s="507"/>
    </row>
    <row r="13" spans="1:18" ht="17.25" customHeight="1" thickBot="1" x14ac:dyDescent="0.25">
      <c r="A13" s="265"/>
      <c r="B13" s="266"/>
      <c r="C13" s="267"/>
      <c r="D13" s="267" t="s">
        <v>354</v>
      </c>
      <c r="E13" s="267">
        <f>IF('Standard Value Calculator'!R4/1000&gt;288, "N/A",'Standard Value Calculator'!R4/1000)</f>
        <v>52.3</v>
      </c>
      <c r="F13" s="268" t="s">
        <v>54</v>
      </c>
      <c r="G13" s="130"/>
      <c r="H13" s="128"/>
      <c r="I13" s="84"/>
      <c r="J13" s="84"/>
      <c r="K13" s="84"/>
      <c r="L13" s="84"/>
      <c r="M13" s="84"/>
      <c r="N13" s="84"/>
      <c r="O13" s="84"/>
      <c r="P13" s="84"/>
      <c r="Q13" s="109"/>
      <c r="R13" s="507"/>
    </row>
    <row r="14" spans="1:18" ht="14.1" customHeight="1" x14ac:dyDescent="0.2">
      <c r="A14" s="127"/>
      <c r="B14" s="128"/>
      <c r="C14" s="128"/>
      <c r="D14" s="133"/>
      <c r="E14" s="134"/>
      <c r="F14" s="128"/>
      <c r="G14" s="130"/>
      <c r="H14" s="128"/>
      <c r="I14" s="84"/>
      <c r="J14" s="84"/>
      <c r="K14" s="84"/>
      <c r="L14" s="84"/>
      <c r="M14" s="84"/>
      <c r="N14" s="84"/>
      <c r="O14" s="84"/>
      <c r="P14" s="84"/>
      <c r="Q14" s="109"/>
      <c r="R14" s="507"/>
    </row>
    <row r="15" spans="1:18" ht="19.5" customHeight="1" thickBot="1" x14ac:dyDescent="0.35">
      <c r="A15" s="187" t="s">
        <v>276</v>
      </c>
      <c r="B15" s="135"/>
      <c r="C15" s="136"/>
      <c r="D15" s="136"/>
      <c r="E15" s="137"/>
      <c r="F15" s="136"/>
      <c r="G15" s="130"/>
      <c r="H15" s="128"/>
      <c r="I15" s="84"/>
      <c r="J15" s="84"/>
      <c r="K15" s="84"/>
      <c r="L15" s="84"/>
      <c r="M15" s="84"/>
      <c r="N15" s="84"/>
      <c r="O15" s="84"/>
      <c r="P15" s="84"/>
      <c r="Q15" s="109"/>
      <c r="R15" s="507"/>
    </row>
    <row r="16" spans="1:18" ht="13.5" customHeight="1" x14ac:dyDescent="0.2">
      <c r="A16" s="188"/>
      <c r="B16" s="155"/>
      <c r="C16" s="156"/>
      <c r="D16" s="156" t="s">
        <v>287</v>
      </c>
      <c r="E16" s="413">
        <f>Lopt_Limit*1000000</f>
        <v>4.2468471406827577</v>
      </c>
      <c r="F16" s="474" t="s">
        <v>266</v>
      </c>
      <c r="G16" s="130"/>
      <c r="H16" s="128"/>
      <c r="I16" s="84"/>
      <c r="J16" s="84"/>
      <c r="K16" s="84"/>
      <c r="L16" s="84"/>
      <c r="M16" s="84"/>
      <c r="N16" s="84"/>
      <c r="O16" s="84"/>
      <c r="P16" s="84"/>
      <c r="Q16" s="109"/>
      <c r="R16" s="507"/>
    </row>
    <row r="17" spans="1:18" ht="13.5" customHeight="1" x14ac:dyDescent="0.25">
      <c r="A17" s="712"/>
      <c r="B17" s="128"/>
      <c r="C17" s="125"/>
      <c r="D17" s="154" t="s">
        <v>353</v>
      </c>
      <c r="E17" s="129">
        <v>3.3</v>
      </c>
      <c r="F17" s="159" t="s">
        <v>266</v>
      </c>
      <c r="G17" s="130"/>
      <c r="H17" s="128"/>
      <c r="I17" s="84"/>
      <c r="J17" s="84"/>
      <c r="K17" s="84"/>
      <c r="L17" s="84"/>
      <c r="M17" s="84"/>
      <c r="N17" s="84"/>
      <c r="O17" s="84"/>
      <c r="P17" s="84"/>
      <c r="Q17" s="109"/>
      <c r="R17" s="507"/>
    </row>
    <row r="18" spans="1:18" ht="13.5" customHeight="1" x14ac:dyDescent="0.25">
      <c r="A18" s="127"/>
      <c r="B18" s="128"/>
      <c r="C18" s="125"/>
      <c r="D18" s="154" t="s">
        <v>1188</v>
      </c>
      <c r="E18" s="129">
        <v>2.64</v>
      </c>
      <c r="F18" s="159" t="s">
        <v>266</v>
      </c>
      <c r="G18" s="130"/>
      <c r="H18" s="128"/>
      <c r="I18" s="84"/>
      <c r="J18" s="84"/>
      <c r="K18" s="84"/>
      <c r="L18" s="84"/>
      <c r="M18" s="84"/>
      <c r="N18" s="84"/>
      <c r="O18" s="84"/>
      <c r="P18" s="84"/>
      <c r="Q18" s="109"/>
      <c r="R18" s="507"/>
    </row>
    <row r="19" spans="1:18" ht="13.5" customHeight="1" x14ac:dyDescent="0.2">
      <c r="A19" s="127"/>
      <c r="B19" s="128"/>
      <c r="C19" s="125"/>
      <c r="D19" s="154" t="s">
        <v>288</v>
      </c>
      <c r="E19" s="129">
        <v>5.8</v>
      </c>
      <c r="F19" s="159" t="s">
        <v>53</v>
      </c>
      <c r="G19" s="130"/>
      <c r="H19" s="128"/>
      <c r="I19" s="84"/>
      <c r="J19" s="84"/>
      <c r="K19" s="84"/>
      <c r="L19" s="84"/>
      <c r="M19" s="84"/>
      <c r="N19" s="84"/>
      <c r="O19" s="84"/>
      <c r="P19" s="84"/>
      <c r="Q19" s="109"/>
      <c r="R19" s="507"/>
    </row>
    <row r="20" spans="1:18" ht="13.5" customHeight="1" x14ac:dyDescent="0.2">
      <c r="A20" s="260"/>
      <c r="B20" s="259"/>
      <c r="C20" s="261"/>
      <c r="D20" s="261" t="s">
        <v>692</v>
      </c>
      <c r="E20" s="262">
        <f>'Variable Management'!B84</f>
        <v>2.5018608450959925</v>
      </c>
      <c r="F20" s="263" t="s">
        <v>281</v>
      </c>
      <c r="G20" s="130"/>
      <c r="H20" s="128"/>
      <c r="I20" s="84"/>
      <c r="J20" s="84"/>
      <c r="K20" s="84"/>
      <c r="L20" s="84"/>
      <c r="M20" s="84"/>
      <c r="N20" s="84"/>
      <c r="O20" s="84"/>
      <c r="P20" s="84"/>
      <c r="Q20" s="109"/>
      <c r="R20" s="507"/>
    </row>
    <row r="21" spans="1:18" ht="13.5" customHeight="1" x14ac:dyDescent="0.2">
      <c r="A21" s="260"/>
      <c r="B21" s="259"/>
      <c r="C21" s="261"/>
      <c r="D21" s="261" t="s">
        <v>693</v>
      </c>
      <c r="E21" s="262">
        <f>'Variable Management'!B85</f>
        <v>2.5018608450959925</v>
      </c>
      <c r="F21" s="263" t="s">
        <v>281</v>
      </c>
      <c r="G21" s="130"/>
      <c r="H21" s="128"/>
      <c r="I21" s="84"/>
      <c r="J21" s="84"/>
      <c r="K21" s="84"/>
      <c r="L21" s="84"/>
      <c r="M21" s="84"/>
      <c r="N21" s="84"/>
      <c r="O21" s="84"/>
      <c r="P21" s="84"/>
      <c r="Q21" s="109"/>
      <c r="R21" s="507"/>
    </row>
    <row r="22" spans="1:18" ht="13.5" customHeight="1" x14ac:dyDescent="0.2">
      <c r="A22" s="260"/>
      <c r="B22" s="259"/>
      <c r="C22" s="261"/>
      <c r="D22" s="261" t="s">
        <v>694</v>
      </c>
      <c r="E22" s="262">
        <f>'Variable Management'!B86</f>
        <v>6.453335141967246</v>
      </c>
      <c r="F22" s="263" t="s">
        <v>281</v>
      </c>
      <c r="G22" s="130"/>
      <c r="H22" s="128"/>
      <c r="I22" s="84"/>
      <c r="J22" s="84"/>
      <c r="K22" s="84"/>
      <c r="L22" s="84"/>
      <c r="M22" s="84"/>
      <c r="N22" s="84"/>
      <c r="O22" s="84"/>
      <c r="P22" s="84"/>
      <c r="Q22" s="109"/>
      <c r="R22" s="507"/>
    </row>
    <row r="23" spans="1:18" ht="15" customHeight="1" x14ac:dyDescent="0.2">
      <c r="A23" s="260"/>
      <c r="B23" s="259"/>
      <c r="C23" s="261"/>
      <c r="D23" s="261" t="s">
        <v>403</v>
      </c>
      <c r="E23" s="264">
        <f>'Variable Management'!B96*100</f>
        <v>20.848840375799938</v>
      </c>
      <c r="F23" s="263" t="s">
        <v>185</v>
      </c>
      <c r="G23" s="130"/>
      <c r="H23" s="128"/>
      <c r="I23" s="84"/>
      <c r="J23" s="84"/>
      <c r="K23" s="84"/>
      <c r="L23" s="84"/>
      <c r="M23" s="84"/>
      <c r="N23" s="84"/>
      <c r="O23" s="84"/>
      <c r="P23" s="84"/>
      <c r="Q23" s="109"/>
      <c r="R23" s="507"/>
    </row>
    <row r="24" spans="1:18" ht="15" customHeight="1" x14ac:dyDescent="0.2">
      <c r="A24" s="260"/>
      <c r="B24" s="259"/>
      <c r="C24" s="261"/>
      <c r="D24" s="261" t="s">
        <v>404</v>
      </c>
      <c r="E24" s="264">
        <f>'Variable Management'!B97*100</f>
        <v>20.848840375799938</v>
      </c>
      <c r="F24" s="263" t="s">
        <v>185</v>
      </c>
      <c r="G24" s="130"/>
      <c r="H24" s="128"/>
      <c r="I24" s="84"/>
      <c r="J24" s="84"/>
      <c r="K24" s="84"/>
      <c r="L24" s="84"/>
      <c r="M24" s="84"/>
      <c r="N24" s="84"/>
      <c r="O24" s="84"/>
      <c r="P24" s="84"/>
      <c r="Q24" s="109"/>
      <c r="R24" s="507"/>
    </row>
    <row r="25" spans="1:18" ht="15.75" customHeight="1" x14ac:dyDescent="0.2">
      <c r="A25" s="260"/>
      <c r="B25" s="259"/>
      <c r="C25" s="261"/>
      <c r="D25" s="261" t="s">
        <v>405</v>
      </c>
      <c r="E25" s="687">
        <f>'Variable Management'!B98*100</f>
        <v>53.777792849727049</v>
      </c>
      <c r="F25" s="263" t="s">
        <v>185</v>
      </c>
      <c r="G25" s="130"/>
      <c r="H25" s="128"/>
      <c r="I25" s="84"/>
      <c r="J25" s="84"/>
      <c r="K25" s="84"/>
      <c r="L25" s="84"/>
      <c r="M25" s="84"/>
      <c r="N25" s="84"/>
      <c r="O25" s="84"/>
      <c r="P25" s="84"/>
      <c r="Q25" s="109"/>
      <c r="R25" s="507"/>
    </row>
    <row r="26" spans="1:18" ht="15.75" customHeight="1" x14ac:dyDescent="0.2">
      <c r="A26" s="260"/>
      <c r="B26" s="259"/>
      <c r="C26" s="261"/>
      <c r="D26" s="571" t="s">
        <v>1103</v>
      </c>
      <c r="E26" s="687">
        <f>R_CS</f>
        <v>10</v>
      </c>
      <c r="F26" s="683" t="s">
        <v>167</v>
      </c>
      <c r="G26" s="130"/>
      <c r="H26" s="128"/>
      <c r="I26" s="84"/>
      <c r="J26" s="84"/>
      <c r="K26" s="84"/>
      <c r="L26" s="84"/>
      <c r="M26" s="84"/>
      <c r="N26" s="84"/>
      <c r="O26" s="84"/>
      <c r="P26" s="84"/>
      <c r="Q26" s="109"/>
      <c r="R26" s="507"/>
    </row>
    <row r="27" spans="1:18" ht="15.75" customHeight="1" thickBot="1" x14ac:dyDescent="0.25">
      <c r="A27" s="282"/>
      <c r="B27" s="283"/>
      <c r="C27" s="281"/>
      <c r="D27" s="682" t="s">
        <v>1104</v>
      </c>
      <c r="E27" s="688">
        <f>C_CS_ideal*1000000000000</f>
        <v>180</v>
      </c>
      <c r="F27" s="684" t="s">
        <v>32</v>
      </c>
      <c r="G27" s="130"/>
      <c r="H27" s="128"/>
      <c r="I27" s="84"/>
      <c r="J27" s="84"/>
      <c r="K27" s="84"/>
      <c r="L27" s="84"/>
      <c r="M27" s="84"/>
      <c r="N27" s="84"/>
      <c r="O27" s="84"/>
      <c r="P27" s="84"/>
      <c r="Q27" s="109"/>
      <c r="R27" s="507"/>
    </row>
    <row r="28" spans="1:18" ht="14.1" customHeight="1" x14ac:dyDescent="0.2">
      <c r="A28" s="127"/>
      <c r="B28" s="128"/>
      <c r="C28" s="128"/>
      <c r="D28" s="128"/>
      <c r="E28" s="128"/>
      <c r="F28" s="128"/>
      <c r="G28" s="130"/>
      <c r="H28" s="128"/>
      <c r="I28" s="84"/>
      <c r="J28" s="84"/>
      <c r="K28" s="84"/>
      <c r="L28" s="84"/>
      <c r="M28" s="84"/>
      <c r="N28" s="84"/>
      <c r="O28" s="84"/>
      <c r="P28" s="84"/>
      <c r="Q28" s="109"/>
      <c r="R28" s="507"/>
    </row>
    <row r="29" spans="1:18" ht="20.100000000000001" customHeight="1" thickBot="1" x14ac:dyDescent="0.35">
      <c r="A29" s="187" t="s">
        <v>635</v>
      </c>
      <c r="B29" s="135"/>
      <c r="C29" s="128"/>
      <c r="D29" s="128"/>
      <c r="E29" s="128"/>
      <c r="F29" s="128"/>
      <c r="G29" s="130"/>
      <c r="H29" s="128"/>
      <c r="I29" s="84"/>
      <c r="J29" s="84"/>
      <c r="K29" s="84"/>
      <c r="L29" s="84"/>
      <c r="M29" s="84"/>
      <c r="N29" s="84"/>
      <c r="O29" s="84"/>
      <c r="P29" s="84"/>
      <c r="Q29" s="109"/>
      <c r="R29" s="507"/>
    </row>
    <row r="30" spans="1:18" ht="15" customHeight="1" x14ac:dyDescent="0.2">
      <c r="A30" s="269"/>
      <c r="B30" s="155"/>
      <c r="C30" s="155"/>
      <c r="D30" s="653" t="s">
        <v>996</v>
      </c>
      <c r="E30" s="654">
        <v>20</v>
      </c>
      <c r="F30" s="474" t="s">
        <v>185</v>
      </c>
      <c r="G30" s="130"/>
      <c r="H30" s="128"/>
      <c r="I30" s="84"/>
      <c r="J30" s="84"/>
      <c r="K30" s="84"/>
      <c r="L30" s="84"/>
      <c r="M30" s="84"/>
      <c r="N30" s="84"/>
      <c r="O30" s="84"/>
      <c r="P30" s="84"/>
      <c r="Q30" s="109"/>
      <c r="R30" s="507"/>
    </row>
    <row r="31" spans="1:18" ht="15" customHeight="1" x14ac:dyDescent="0.2">
      <c r="A31" s="260"/>
      <c r="B31" s="128"/>
      <c r="C31" s="128"/>
      <c r="D31" s="125" t="s">
        <v>407</v>
      </c>
      <c r="E31" s="304">
        <f>Rs_ideal*1000</f>
        <v>2.6274447567987855</v>
      </c>
      <c r="F31" s="163" t="s">
        <v>53</v>
      </c>
      <c r="G31" s="130"/>
      <c r="H31" s="128"/>
      <c r="I31" s="84"/>
      <c r="J31" s="84"/>
      <c r="K31" s="84"/>
      <c r="L31" s="84"/>
      <c r="M31" s="84"/>
      <c r="N31" s="84"/>
      <c r="O31" s="84"/>
      <c r="P31" s="84"/>
      <c r="Q31" s="109"/>
      <c r="R31" s="507"/>
    </row>
    <row r="32" spans="1:18" ht="13.7" customHeight="1" x14ac:dyDescent="0.25">
      <c r="A32" s="260"/>
      <c r="B32" s="128"/>
      <c r="C32" s="128"/>
      <c r="D32" s="154" t="s">
        <v>406</v>
      </c>
      <c r="E32" s="129">
        <v>2.5</v>
      </c>
      <c r="F32" s="159" t="s">
        <v>53</v>
      </c>
      <c r="G32" s="130"/>
      <c r="H32" s="128"/>
      <c r="I32" s="84"/>
      <c r="J32" s="84"/>
      <c r="K32" s="84"/>
      <c r="L32" s="84"/>
      <c r="M32" s="84"/>
      <c r="N32" s="84"/>
      <c r="O32" s="84"/>
      <c r="P32" s="84"/>
      <c r="Q32" s="109"/>
      <c r="R32" s="507"/>
    </row>
    <row r="33" spans="1:18" ht="13.5" customHeight="1" x14ac:dyDescent="0.3">
      <c r="A33" s="260"/>
      <c r="B33" s="128"/>
      <c r="C33" s="128"/>
      <c r="D33" s="537" t="s">
        <v>1016</v>
      </c>
      <c r="E33" s="563">
        <f>'Variable Management'!B143</f>
        <v>22</v>
      </c>
      <c r="F33" s="163" t="s">
        <v>2</v>
      </c>
      <c r="G33" s="130"/>
      <c r="H33" s="128"/>
      <c r="I33" s="84"/>
      <c r="J33" s="84"/>
      <c r="K33" s="84"/>
      <c r="L33" s="84"/>
      <c r="M33" s="84"/>
      <c r="N33" s="84"/>
      <c r="O33" s="84"/>
      <c r="P33" s="84"/>
      <c r="Q33" s="109"/>
      <c r="R33" s="507"/>
    </row>
    <row r="34" spans="1:18" ht="13.5" customHeight="1" x14ac:dyDescent="0.3">
      <c r="A34" s="260"/>
      <c r="B34" s="128"/>
      <c r="C34" s="128"/>
      <c r="D34" s="537" t="s">
        <v>1017</v>
      </c>
      <c r="E34" s="563">
        <f>Ipeak_inductor_max</f>
        <v>15.858246518352043</v>
      </c>
      <c r="F34" s="163" t="s">
        <v>2</v>
      </c>
      <c r="G34" s="130"/>
      <c r="H34" s="128"/>
      <c r="I34" s="84"/>
      <c r="J34" s="84"/>
      <c r="K34" s="84"/>
      <c r="L34" s="84"/>
      <c r="M34" s="84"/>
      <c r="N34" s="84"/>
      <c r="O34" s="84"/>
      <c r="P34" s="84"/>
      <c r="Q34" s="109"/>
      <c r="R34" s="507"/>
    </row>
    <row r="35" spans="1:18" ht="13.7" customHeight="1" x14ac:dyDescent="0.2">
      <c r="A35" s="260"/>
      <c r="B35" s="128"/>
      <c r="C35" s="128"/>
      <c r="D35" s="537" t="str">
        <f>IF('Variable Management'!B91&gt;'Variable Management'!B89, "Power Loss in Rs at Full Load (Max VIN)", "Power Loss in Rs at Full Load (Min VIN)")</f>
        <v>Power Loss in Rs at Full Load (Max VIN)</v>
      </c>
      <c r="E35" s="538">
        <f>'Variable Management'!B92</f>
        <v>0.25584267437705566</v>
      </c>
      <c r="F35" s="163" t="s">
        <v>118</v>
      </c>
      <c r="G35" s="130"/>
      <c r="H35" s="128"/>
      <c r="I35" s="84"/>
      <c r="J35" s="84"/>
      <c r="K35" s="84"/>
      <c r="L35" s="84"/>
      <c r="M35" s="84"/>
      <c r="N35" s="84"/>
      <c r="O35" s="84"/>
      <c r="P35" s="84"/>
      <c r="Q35" s="109"/>
      <c r="R35" s="507"/>
    </row>
    <row r="36" spans="1:18" ht="13.7" customHeight="1" x14ac:dyDescent="0.2">
      <c r="A36" s="260"/>
      <c r="B36" s="128"/>
      <c r="C36" s="125"/>
      <c r="D36" s="647" t="s">
        <v>1021</v>
      </c>
      <c r="E36" s="639">
        <f>'Variable Management'!B148</f>
        <v>1</v>
      </c>
      <c r="F36" s="648"/>
      <c r="G36" s="130"/>
      <c r="H36" s="128"/>
      <c r="I36" s="84"/>
      <c r="J36" s="84"/>
      <c r="K36" s="84"/>
      <c r="L36" s="84"/>
      <c r="M36" s="84"/>
      <c r="N36" s="84"/>
      <c r="O36" s="84"/>
      <c r="P36" s="84"/>
      <c r="Q36" s="109"/>
      <c r="R36" s="507"/>
    </row>
    <row r="37" spans="1:18" ht="13.7" customHeight="1" x14ac:dyDescent="0.2">
      <c r="A37" s="260"/>
      <c r="B37" s="128"/>
      <c r="C37" s="128"/>
      <c r="D37" s="647" t="s">
        <v>1189</v>
      </c>
      <c r="E37" s="713">
        <f>(E17-E18)/E17*100</f>
        <v>19.999999999999993</v>
      </c>
      <c r="F37" s="648" t="s">
        <v>185</v>
      </c>
      <c r="G37" s="130"/>
      <c r="H37" s="128"/>
      <c r="I37" s="84"/>
      <c r="J37" s="84"/>
      <c r="K37" s="84"/>
      <c r="L37" s="84"/>
      <c r="M37" s="84"/>
      <c r="N37" s="84"/>
      <c r="O37" s="84"/>
      <c r="P37" s="84"/>
      <c r="Q37" s="109"/>
      <c r="R37" s="507"/>
    </row>
    <row r="38" spans="1:18" ht="13.5" customHeight="1" x14ac:dyDescent="0.3">
      <c r="A38" s="260"/>
      <c r="B38" s="128"/>
      <c r="C38" s="113"/>
      <c r="D38" s="303" t="s">
        <v>359</v>
      </c>
      <c r="E38" s="262">
        <f>'Variable Management'!B135</f>
        <v>18.749069577452005</v>
      </c>
      <c r="F38" s="263" t="s">
        <v>2</v>
      </c>
      <c r="G38" s="130"/>
      <c r="H38" s="128"/>
      <c r="I38" s="84"/>
      <c r="J38" s="84"/>
      <c r="K38" s="84"/>
      <c r="L38" s="84"/>
      <c r="M38" s="84"/>
      <c r="N38" s="84"/>
      <c r="O38" s="84"/>
      <c r="P38" s="84"/>
      <c r="Q38" s="109"/>
      <c r="R38" s="507"/>
    </row>
    <row r="39" spans="1:18" ht="15" customHeight="1" x14ac:dyDescent="0.3">
      <c r="A39" s="260"/>
      <c r="B39" s="128"/>
      <c r="C39" s="125" t="s">
        <v>698</v>
      </c>
      <c r="D39" s="303" t="s">
        <v>360</v>
      </c>
      <c r="E39" s="262">
        <f>'Variable Management'!B136</f>
        <v>18.749069577452005</v>
      </c>
      <c r="F39" s="263" t="s">
        <v>2</v>
      </c>
      <c r="G39" s="130"/>
      <c r="H39" s="128"/>
      <c r="I39" s="84"/>
      <c r="J39" s="84"/>
      <c r="K39" s="84"/>
      <c r="L39" s="84"/>
      <c r="M39" s="84"/>
      <c r="N39" s="84"/>
      <c r="O39" s="84"/>
      <c r="P39" s="84"/>
      <c r="Q39" s="109"/>
      <c r="R39" s="507"/>
    </row>
    <row r="40" spans="1:18" ht="15.75" customHeight="1" thickBot="1" x14ac:dyDescent="0.35">
      <c r="A40" s="282"/>
      <c r="B40" s="179"/>
      <c r="C40" s="179"/>
      <c r="D40" s="626" t="s">
        <v>361</v>
      </c>
      <c r="E40" s="627">
        <f>'Variable Management'!B137</f>
        <v>16.773332429016378</v>
      </c>
      <c r="F40" s="284" t="s">
        <v>2</v>
      </c>
      <c r="G40" s="130"/>
      <c r="H40" s="128"/>
      <c r="I40" s="84"/>
      <c r="J40" s="84"/>
      <c r="K40" s="84"/>
      <c r="L40" s="84"/>
      <c r="M40" s="84"/>
      <c r="N40" s="84"/>
      <c r="O40" s="84"/>
      <c r="P40" s="84"/>
      <c r="Q40" s="109"/>
      <c r="R40" s="507"/>
    </row>
    <row r="41" spans="1:18" ht="14.1" customHeight="1" x14ac:dyDescent="0.2">
      <c r="A41" s="127"/>
      <c r="B41" s="128"/>
      <c r="C41" s="138"/>
      <c r="D41" s="138"/>
      <c r="E41" s="138"/>
      <c r="F41" s="138"/>
      <c r="G41" s="128"/>
      <c r="H41" s="128"/>
      <c r="I41" s="84"/>
      <c r="J41" s="84"/>
      <c r="K41" s="84"/>
      <c r="L41" s="84"/>
      <c r="M41" s="84"/>
      <c r="N41" s="84"/>
      <c r="O41" s="84"/>
      <c r="P41" s="84"/>
      <c r="Q41" s="109"/>
      <c r="R41" s="507"/>
    </row>
    <row r="42" spans="1:18" ht="19.5" thickBot="1" x14ac:dyDescent="0.35">
      <c r="A42" s="187" t="s">
        <v>168</v>
      </c>
      <c r="B42" s="135"/>
      <c r="C42" s="136"/>
      <c r="D42" s="136"/>
      <c r="E42" s="137"/>
      <c r="F42" s="136"/>
      <c r="G42" s="128"/>
      <c r="H42" s="128"/>
      <c r="I42" s="84"/>
      <c r="J42" s="84"/>
      <c r="K42" s="84"/>
      <c r="L42" s="84"/>
      <c r="M42" s="84"/>
      <c r="N42" s="84"/>
      <c r="O42" s="84"/>
      <c r="P42" s="84"/>
      <c r="Q42" s="109"/>
      <c r="R42" s="507"/>
    </row>
    <row r="43" spans="1:18" ht="15.75" customHeight="1" x14ac:dyDescent="0.25">
      <c r="A43" s="174"/>
      <c r="B43" s="165"/>
      <c r="C43" s="156"/>
      <c r="D43" s="166" t="s">
        <v>786</v>
      </c>
      <c r="E43" s="167">
        <v>150</v>
      </c>
      <c r="F43" s="158" t="s">
        <v>282</v>
      </c>
      <c r="G43" s="128"/>
      <c r="H43" s="128"/>
      <c r="I43" s="128"/>
      <c r="J43" s="128"/>
      <c r="K43" s="128"/>
      <c r="L43" s="128"/>
      <c r="M43" s="128"/>
      <c r="N43" s="128"/>
      <c r="O43" s="128"/>
      <c r="P43" s="128"/>
      <c r="Q43" s="109"/>
      <c r="R43" s="507"/>
    </row>
    <row r="44" spans="1:18" ht="14.1" customHeight="1" thickBot="1" x14ac:dyDescent="0.25">
      <c r="A44" s="127"/>
      <c r="B44" s="128"/>
      <c r="C44" s="125"/>
      <c r="D44" s="125" t="s">
        <v>571</v>
      </c>
      <c r="E44" s="533">
        <f>'Variable Management'!B176</f>
        <v>3.4748067292999898</v>
      </c>
      <c r="F44" s="163" t="s">
        <v>267</v>
      </c>
      <c r="G44" s="128"/>
      <c r="H44" s="128"/>
      <c r="I44" s="128"/>
      <c r="J44" s="128"/>
      <c r="K44" s="128"/>
      <c r="L44" s="128"/>
      <c r="M44" s="128"/>
      <c r="N44" s="128"/>
      <c r="O44" s="128"/>
      <c r="P44" s="128"/>
      <c r="Q44" s="109"/>
      <c r="R44" s="507"/>
    </row>
    <row r="45" spans="1:18" ht="14.1" customHeight="1" x14ac:dyDescent="0.25">
      <c r="A45" s="127"/>
      <c r="B45" s="128"/>
      <c r="C45" s="125"/>
      <c r="D45" s="124" t="s">
        <v>355</v>
      </c>
      <c r="E45" s="131">
        <v>100</v>
      </c>
      <c r="F45" s="159" t="s">
        <v>267</v>
      </c>
      <c r="G45" s="130"/>
      <c r="H45" s="664" t="str">
        <f>Device</f>
        <v>LM51772</v>
      </c>
      <c r="I45" s="661"/>
      <c r="J45" s="661"/>
      <c r="K45" s="661"/>
      <c r="L45" s="661"/>
      <c r="M45" s="661"/>
      <c r="N45" s="661"/>
      <c r="O45" s="661"/>
      <c r="P45" s="662"/>
      <c r="Q45" s="109"/>
      <c r="R45" s="507"/>
    </row>
    <row r="46" spans="1:18" ht="14.1" customHeight="1" x14ac:dyDescent="0.2">
      <c r="A46" s="127"/>
      <c r="B46" s="128"/>
      <c r="C46" s="125"/>
      <c r="D46" s="125" t="s">
        <v>289</v>
      </c>
      <c r="E46" s="532">
        <f>'Variable Management'!B180</f>
        <v>59.919166099298145</v>
      </c>
      <c r="F46" s="163" t="s">
        <v>53</v>
      </c>
      <c r="G46" s="130"/>
      <c r="H46" s="638"/>
      <c r="I46" s="84"/>
      <c r="J46" s="84"/>
      <c r="K46" s="84"/>
      <c r="L46" s="84"/>
      <c r="M46" s="84"/>
      <c r="N46" s="84" t="str">
        <f>'CFG Setting'!H56</f>
        <v>R_CFG1</v>
      </c>
      <c r="O46" s="89">
        <f>'CFG Setting'!H57</f>
        <v>0</v>
      </c>
      <c r="P46" s="263" t="s">
        <v>54</v>
      </c>
      <c r="Q46" s="109" t="str">
        <f>IF(useI2C=1,"Set Slope Comp. via I2C","")</f>
        <v>Set Slope Comp. via I2C</v>
      </c>
      <c r="R46" s="507"/>
    </row>
    <row r="47" spans="1:18" ht="14.1" customHeight="1" x14ac:dyDescent="0.2">
      <c r="A47" s="127"/>
      <c r="B47" s="128"/>
      <c r="C47" s="125"/>
      <c r="D47" s="124" t="s">
        <v>290</v>
      </c>
      <c r="E47" s="131">
        <v>5</v>
      </c>
      <c r="F47" s="159" t="s">
        <v>53</v>
      </c>
      <c r="G47" s="130"/>
      <c r="H47" s="638"/>
      <c r="I47" s="84"/>
      <c r="J47" s="84"/>
      <c r="K47" s="84"/>
      <c r="L47" s="84"/>
      <c r="M47" s="84"/>
      <c r="N47" s="84" t="str">
        <f>'CFG Setting'!H85</f>
        <v>R_CFG2</v>
      </c>
      <c r="O47" s="89">
        <f>'CFG Setting'!H86</f>
        <v>8.3000000000000007</v>
      </c>
      <c r="P47" s="263" t="s">
        <v>54</v>
      </c>
      <c r="Q47" s="109"/>
      <c r="R47" s="507"/>
    </row>
    <row r="48" spans="1:18" ht="14.1" customHeight="1" x14ac:dyDescent="0.3">
      <c r="A48" s="127"/>
      <c r="B48" s="128"/>
      <c r="C48" s="128"/>
      <c r="D48" s="125" t="s">
        <v>780</v>
      </c>
      <c r="E48" s="153">
        <f>Vripple2*1000</f>
        <v>34.95556535232258</v>
      </c>
      <c r="F48" s="163" t="s">
        <v>283</v>
      </c>
      <c r="G48" s="130"/>
      <c r="H48" s="638"/>
      <c r="I48" s="84"/>
      <c r="J48" s="84"/>
      <c r="K48" s="84"/>
      <c r="L48" s="84"/>
      <c r="M48" s="84"/>
      <c r="N48" s="84" t="str">
        <f>IF(useI2C=1,"",'CFG Setting'!H115)</f>
        <v/>
      </c>
      <c r="O48" s="89" t="str">
        <f>IF(useI2C=1,"",'CFG Setting'!H116)</f>
        <v/>
      </c>
      <c r="P48" s="263" t="str">
        <f>IF(useI2C=1,"","kΩ")</f>
        <v/>
      </c>
      <c r="Q48" s="109" t="str">
        <f>IF(useI2C=1,"Set Config via I2C","")</f>
        <v>Set Config via I2C</v>
      </c>
      <c r="R48" s="507"/>
    </row>
    <row r="49" spans="1:18" ht="14.1" customHeight="1" thickBot="1" x14ac:dyDescent="0.25">
      <c r="A49" s="160"/>
      <c r="B49" s="161"/>
      <c r="C49" s="161"/>
      <c r="D49" s="126" t="s">
        <v>781</v>
      </c>
      <c r="E49" s="164">
        <f>'Variable Management'!B171</f>
        <v>1.8629173906928307</v>
      </c>
      <c r="F49" s="162" t="s">
        <v>174</v>
      </c>
      <c r="G49" s="132"/>
      <c r="H49" s="127"/>
      <c r="I49" s="84"/>
      <c r="J49" s="84"/>
      <c r="K49" s="84"/>
      <c r="L49" s="84"/>
      <c r="M49" s="84"/>
      <c r="N49" s="84" t="str">
        <f>IF(useI2C=1,"",'CFG Setting'!H145)</f>
        <v/>
      </c>
      <c r="O49" s="89" t="str">
        <f>IF(useI2C=1,"",'CFG Setting'!H146)</f>
        <v/>
      </c>
      <c r="P49" s="263" t="str">
        <f>IF(useI2C=1,"","kΩ")</f>
        <v/>
      </c>
      <c r="Q49" s="109" t="str">
        <f>IF(useI2C=1,"Set Config via I2C","")</f>
        <v>Set Config via I2C</v>
      </c>
      <c r="R49" s="507"/>
    </row>
    <row r="50" spans="1:18" ht="17.100000000000001" customHeight="1" thickBot="1" x14ac:dyDescent="0.25">
      <c r="A50" s="189"/>
      <c r="B50" s="138"/>
      <c r="C50" s="138"/>
      <c r="D50" s="138"/>
      <c r="E50" s="138"/>
      <c r="F50" s="138"/>
      <c r="G50" s="128"/>
      <c r="H50" s="196"/>
      <c r="I50" s="636"/>
      <c r="J50" s="636"/>
      <c r="K50" s="636"/>
      <c r="L50" s="636"/>
      <c r="M50" s="636"/>
      <c r="N50" s="636"/>
      <c r="O50" s="636"/>
      <c r="P50" s="637"/>
      <c r="Q50" s="109"/>
      <c r="R50" s="507"/>
    </row>
    <row r="51" spans="1:18" ht="19.5" thickBot="1" x14ac:dyDescent="0.35">
      <c r="A51" s="187" t="s">
        <v>169</v>
      </c>
      <c r="B51" s="135"/>
      <c r="C51" s="136"/>
      <c r="D51" s="136"/>
      <c r="E51" s="128"/>
      <c r="F51" s="128"/>
      <c r="G51" s="128"/>
      <c r="H51" s="128"/>
      <c r="I51" s="84"/>
      <c r="J51" s="84"/>
      <c r="K51" s="84"/>
      <c r="L51" s="111"/>
      <c r="M51" s="113"/>
      <c r="N51" s="113"/>
      <c r="O51" s="84"/>
      <c r="P51" s="84"/>
      <c r="Q51" s="109"/>
      <c r="R51" s="507"/>
    </row>
    <row r="52" spans="1:18" ht="14.1" customHeight="1" thickBot="1" x14ac:dyDescent="0.3">
      <c r="A52" s="174"/>
      <c r="B52" s="165"/>
      <c r="C52" s="155"/>
      <c r="D52" s="157" t="s">
        <v>787</v>
      </c>
      <c r="E52" s="167">
        <v>180</v>
      </c>
      <c r="F52" s="158" t="s">
        <v>282</v>
      </c>
      <c r="G52" s="128"/>
      <c r="H52" s="128"/>
      <c r="I52" s="84"/>
      <c r="J52" s="277" t="s">
        <v>1250</v>
      </c>
      <c r="K52" s="84"/>
      <c r="L52" s="84"/>
      <c r="M52" s="84"/>
      <c r="N52" s="659" t="str">
        <f>_xlfn.SWITCH(IMONLIM_select+1,1,"",2,"Current Limiter via ISET", 3,"Current Limiter via I2C",4,"Current Limiter via I2C")</f>
        <v>Current Limiter via I2C</v>
      </c>
      <c r="O52" s="84"/>
      <c r="P52" s="84"/>
      <c r="Q52" s="109"/>
      <c r="R52" s="507"/>
    </row>
    <row r="53" spans="1:18" ht="14.1" customHeight="1" x14ac:dyDescent="0.2">
      <c r="A53" s="139"/>
      <c r="B53" s="136"/>
      <c r="C53" s="128"/>
      <c r="D53" s="125" t="s">
        <v>788</v>
      </c>
      <c r="E53" s="532">
        <f>'Variable Management'!B196</f>
        <v>27.777777777777779</v>
      </c>
      <c r="F53" s="163" t="s">
        <v>267</v>
      </c>
      <c r="G53" s="128"/>
      <c r="H53" s="664"/>
      <c r="I53" s="661"/>
      <c r="J53" s="665" t="s">
        <v>366</v>
      </c>
      <c r="K53" s="666">
        <v>3</v>
      </c>
      <c r="L53" s="667" t="s">
        <v>2</v>
      </c>
      <c r="M53" s="661"/>
      <c r="N53" s="665" t="str">
        <f>CHOOSE(IMONLIM_select+1,"","Average Current Limit","Average Current Limit","Average Current Limit")</f>
        <v>Average Current Limit</v>
      </c>
      <c r="O53" s="666">
        <v>15</v>
      </c>
      <c r="P53" s="667" t="s">
        <v>2</v>
      </c>
      <c r="Q53" s="109"/>
      <c r="R53" s="507"/>
    </row>
    <row r="54" spans="1:18" ht="14.1" customHeight="1" x14ac:dyDescent="0.3">
      <c r="A54" s="127"/>
      <c r="B54" s="128"/>
      <c r="C54" s="136"/>
      <c r="D54" s="154" t="s">
        <v>356</v>
      </c>
      <c r="E54" s="129">
        <v>100</v>
      </c>
      <c r="F54" s="159" t="s">
        <v>267</v>
      </c>
      <c r="G54" s="128"/>
      <c r="H54" s="127"/>
      <c r="I54" s="84"/>
      <c r="J54" s="537" t="s">
        <v>993</v>
      </c>
      <c r="K54" s="280">
        <v>1</v>
      </c>
      <c r="L54" s="159" t="s">
        <v>0</v>
      </c>
      <c r="M54" s="84"/>
      <c r="N54" s="537" t="str">
        <f>_xlfn.SWITCH(IMONLIM_select+1,1,"",2,"", 3,"DAC ILIM_THRESHOLD",4,"DAC ILIM_THRESHOLD")</f>
        <v>DAC ILIM_THRESHOLD</v>
      </c>
      <c r="O54" s="280">
        <v>100</v>
      </c>
      <c r="P54" s="159" t="str">
        <f>_xlfn.SWITCH(IMONLIM_select+1,1,"",2,"",3,"", 4,"")</f>
        <v/>
      </c>
      <c r="Q54" s="109"/>
      <c r="R54" s="507"/>
    </row>
    <row r="55" spans="1:18" ht="14.1" customHeight="1" x14ac:dyDescent="0.3">
      <c r="A55" s="127"/>
      <c r="B55" s="128"/>
      <c r="C55" s="136"/>
      <c r="D55" s="125" t="s">
        <v>289</v>
      </c>
      <c r="E55" s="532">
        <f>'Variable Management'!B201</f>
        <v>8.5376527328758236</v>
      </c>
      <c r="F55" s="163" t="s">
        <v>53</v>
      </c>
      <c r="G55" s="128"/>
      <c r="H55" s="127"/>
      <c r="I55" s="84"/>
      <c r="J55" s="125" t="s">
        <v>1031</v>
      </c>
      <c r="K55" s="678">
        <f>CDC_Threshold/K53*1000</f>
        <v>16.666666666666668</v>
      </c>
      <c r="L55" s="163" t="s">
        <v>53</v>
      </c>
      <c r="M55" s="84"/>
      <c r="N55" s="125" t="s">
        <v>1031</v>
      </c>
      <c r="O55" s="678">
        <f>_xlfn.SWITCH(IMONLIM_select+1,1,0,2,ILIM_Threshold/O53, 3,0.05/O53, 4,0.05/O53)*1000</f>
        <v>3.3333333333333335</v>
      </c>
      <c r="P55" s="163" t="s">
        <v>53</v>
      </c>
      <c r="Q55" s="109" t="s">
        <v>211</v>
      </c>
      <c r="R55" s="507"/>
    </row>
    <row r="56" spans="1:18" ht="14.1" customHeight="1" x14ac:dyDescent="0.3">
      <c r="A56" s="127"/>
      <c r="B56" s="128"/>
      <c r="C56" s="136"/>
      <c r="D56" s="154" t="s">
        <v>291</v>
      </c>
      <c r="E56" s="129">
        <v>2</v>
      </c>
      <c r="F56" s="159" t="s">
        <v>53</v>
      </c>
      <c r="G56" s="128"/>
      <c r="H56" s="127"/>
      <c r="I56" s="84"/>
      <c r="J56" s="125" t="s">
        <v>1030</v>
      </c>
      <c r="K56" s="679">
        <v>10</v>
      </c>
      <c r="L56" s="163" t="s">
        <v>53</v>
      </c>
      <c r="M56" s="84"/>
      <c r="N56" s="125" t="s">
        <v>1030</v>
      </c>
      <c r="O56" s="679">
        <v>10</v>
      </c>
      <c r="P56" s="163" t="s">
        <v>53</v>
      </c>
      <c r="Q56" s="109"/>
      <c r="R56" s="507"/>
    </row>
    <row r="57" spans="1:18" ht="14.1" customHeight="1" x14ac:dyDescent="0.3">
      <c r="A57" s="127"/>
      <c r="B57" s="128"/>
      <c r="C57" s="136"/>
      <c r="D57" s="125" t="s">
        <v>779</v>
      </c>
      <c r="E57" s="153">
        <f>Vinripple2*1000</f>
        <v>80.453335141967244</v>
      </c>
      <c r="F57" s="163" t="s">
        <v>283</v>
      </c>
      <c r="G57" s="128"/>
      <c r="H57" s="127"/>
      <c r="I57" s="84"/>
      <c r="J57" s="125" t="s">
        <v>1007</v>
      </c>
      <c r="K57" s="625">
        <f>(K54)/(K56/1000*K53*gm_CDC)/1000</f>
        <v>66.666666666666671</v>
      </c>
      <c r="L57" s="163" t="s">
        <v>54</v>
      </c>
      <c r="M57" s="84"/>
      <c r="N57" s="125" t="str">
        <f>_xlfn.SWITCH(IMONLIM_select+1,1,"",2,"ILIMCOMP Resistance, RILIM", 3,"Effective average Current Limit",4,"Effective average Current Limit")</f>
        <v>Effective average Current Limit</v>
      </c>
      <c r="O57" s="625">
        <f>_xlfn.SWITCH(IMONLIM_select+1,1,"",2,V_Ilimit/(O56/1000*O53*gm_IL)/1000,3,O54*0.0005/(O56*0.001),4,O54*0.0005/(O56*0.001))</f>
        <v>5</v>
      </c>
      <c r="P57" s="163" t="str">
        <f>_xlfn.SWITCH(IMONLIM_select+1,1,"",2,"kΩ", 3,"A",4,"A")</f>
        <v>A</v>
      </c>
      <c r="Q57" s="109"/>
      <c r="R57" s="507"/>
    </row>
    <row r="58" spans="1:18" ht="14.1" customHeight="1" thickBot="1" x14ac:dyDescent="0.25">
      <c r="A58" s="160"/>
      <c r="B58" s="161"/>
      <c r="C58" s="161"/>
      <c r="D58" s="126" t="s">
        <v>782</v>
      </c>
      <c r="E58" s="164">
        <f>'Variable Management'!B189</f>
        <v>8.5636222020975623</v>
      </c>
      <c r="F58" s="162" t="s">
        <v>174</v>
      </c>
      <c r="G58" s="128"/>
      <c r="H58" s="712"/>
      <c r="I58" s="84"/>
      <c r="J58" s="84"/>
      <c r="K58" s="84"/>
      <c r="L58" s="109"/>
      <c r="M58" s="791"/>
      <c r="N58" s="125" t="str">
        <f>_xlfn.SWITCH(IMONLIM_select+1,1,"",2,"ILIMCOMP Capacitor, CILIM,HF", 3,"ILIMCOMP Capacitor, CILIM", 4,"ILIMCOMP Capacitor, CILIM")</f>
        <v>ILIMCOMP Capacitor, CILIM</v>
      </c>
      <c r="O58" s="792">
        <f>_xlfn.SWITCH(IMONLIM_select+1,1,"",2,C_ILimit_HF_STD*1000000000000,3,C_limitcomp_STD*1000000000,4,C_limitcomp_STD*1000000000)</f>
        <v>0.68</v>
      </c>
      <c r="P58" s="163" t="str">
        <f>_xlfn.SWITCH(IMONLIM_select+1,1,"",2,"pF", 3,"nF",4,"nF")</f>
        <v>nF</v>
      </c>
      <c r="Q58" s="109"/>
      <c r="R58" s="507"/>
    </row>
    <row r="59" spans="1:18" ht="14.1" customHeight="1" thickBot="1" x14ac:dyDescent="0.35">
      <c r="A59" s="127"/>
      <c r="B59" s="128"/>
      <c r="C59" s="128"/>
      <c r="D59" s="125"/>
      <c r="E59" s="128"/>
      <c r="F59" s="128"/>
      <c r="G59" s="128"/>
      <c r="H59" s="793"/>
      <c r="I59" s="794"/>
      <c r="J59" s="794"/>
      <c r="K59" s="794"/>
      <c r="L59" s="795"/>
      <c r="M59" s="796"/>
      <c r="N59" s="797" t="s">
        <v>1259</v>
      </c>
      <c r="O59" s="798">
        <f>Co2_u*1000000</f>
        <v>39</v>
      </c>
      <c r="P59" s="181" t="s">
        <v>267</v>
      </c>
      <c r="Q59" s="109"/>
      <c r="R59" s="507"/>
    </row>
    <row r="60" spans="1:18" ht="19.5" thickBot="1" x14ac:dyDescent="0.35">
      <c r="A60" s="187" t="s">
        <v>882</v>
      </c>
      <c r="B60" s="135"/>
      <c r="C60" s="128"/>
      <c r="D60" s="125"/>
      <c r="E60" s="128"/>
      <c r="F60" s="128"/>
      <c r="G60" s="128"/>
      <c r="H60" s="140"/>
      <c r="I60" s="113"/>
      <c r="J60" s="113"/>
      <c r="K60" s="113"/>
      <c r="L60" s="113"/>
      <c r="M60" s="113"/>
      <c r="N60" s="84"/>
      <c r="O60" s="84"/>
      <c r="P60" s="84"/>
      <c r="Q60" s="109"/>
      <c r="R60" s="507"/>
    </row>
    <row r="61" spans="1:18" ht="13.7" customHeight="1" x14ac:dyDescent="0.2">
      <c r="A61" s="269"/>
      <c r="B61" s="270"/>
      <c r="C61" s="270"/>
      <c r="D61" s="592" t="s">
        <v>902</v>
      </c>
      <c r="E61" s="593">
        <f>E45*0.000001*E10/(E30/100*E11)*1000</f>
        <v>0.60833333333333328</v>
      </c>
      <c r="F61" s="285" t="s">
        <v>178</v>
      </c>
      <c r="G61" s="128"/>
      <c r="H61" s="138"/>
      <c r="I61" s="113"/>
      <c r="J61" s="113"/>
      <c r="K61" s="113"/>
      <c r="L61" s="113"/>
      <c r="M61" s="272" t="s">
        <v>855</v>
      </c>
      <c r="N61" s="609" t="str">
        <f>VIN_nom&amp;"V"</f>
        <v>20V</v>
      </c>
      <c r="O61" s="84"/>
      <c r="P61" s="84"/>
      <c r="Q61" s="109"/>
      <c r="R61" s="507"/>
    </row>
    <row r="62" spans="1:18" ht="13.7" customHeight="1" x14ac:dyDescent="0.2">
      <c r="A62" s="260"/>
      <c r="B62" s="259"/>
      <c r="C62" s="259"/>
      <c r="D62" s="277" t="s">
        <v>358</v>
      </c>
      <c r="E62" s="273">
        <v>250</v>
      </c>
      <c r="F62" s="274" t="s">
        <v>178</v>
      </c>
      <c r="G62" s="128"/>
      <c r="H62" s="138"/>
      <c r="I62" s="113"/>
      <c r="J62" s="113"/>
      <c r="K62" s="113"/>
      <c r="L62" s="113"/>
      <c r="M62" s="113"/>
      <c r="N62" s="84"/>
      <c r="O62" s="84"/>
      <c r="P62" s="84"/>
      <c r="Q62" s="109"/>
      <c r="R62" s="507"/>
    </row>
    <row r="63" spans="1:18" ht="13.7" customHeight="1" x14ac:dyDescent="0.2">
      <c r="A63" s="260"/>
      <c r="B63" s="259"/>
      <c r="C63" s="259"/>
      <c r="D63" s="261" t="s">
        <v>357</v>
      </c>
      <c r="E63" s="276">
        <f>Css_u*1000000000</f>
        <v>2700</v>
      </c>
      <c r="F63" s="263" t="s">
        <v>170</v>
      </c>
      <c r="G63" s="128"/>
      <c r="H63" s="138"/>
      <c r="I63" s="113"/>
      <c r="J63" s="113"/>
      <c r="K63" s="113"/>
      <c r="L63" s="113"/>
      <c r="M63" s="113"/>
      <c r="N63" s="84"/>
      <c r="O63" s="84"/>
      <c r="P63" s="84"/>
      <c r="Q63" s="109"/>
      <c r="R63" s="507"/>
    </row>
    <row r="64" spans="1:18" ht="13.7" customHeight="1" x14ac:dyDescent="0.2">
      <c r="A64" s="260"/>
      <c r="B64" s="259"/>
      <c r="C64" s="259"/>
      <c r="D64" s="261"/>
      <c r="E64" s="571"/>
      <c r="F64" s="263"/>
      <c r="G64" s="128"/>
      <c r="H64" s="128"/>
      <c r="I64" s="84"/>
      <c r="J64" s="82"/>
      <c r="K64" s="123"/>
      <c r="L64" s="84"/>
      <c r="M64" s="113"/>
      <c r="N64" s="84"/>
      <c r="O64" s="84"/>
      <c r="P64" s="84"/>
      <c r="Q64" s="109"/>
      <c r="R64" s="507"/>
    </row>
    <row r="65" spans="1:35" ht="13.7" customHeight="1" x14ac:dyDescent="0.2">
      <c r="A65" s="260"/>
      <c r="B65" s="259"/>
      <c r="C65" s="278"/>
      <c r="D65" s="279" t="s">
        <v>374</v>
      </c>
      <c r="E65" s="280">
        <v>6.2</v>
      </c>
      <c r="F65" s="274" t="s">
        <v>0</v>
      </c>
      <c r="G65" s="128"/>
      <c r="H65" s="128"/>
      <c r="I65" s="84"/>
      <c r="J65" s="82"/>
      <c r="K65" s="123"/>
      <c r="L65" s="84"/>
      <c r="M65" s="113"/>
      <c r="N65" s="84"/>
      <c r="O65" s="84"/>
      <c r="P65" s="84"/>
      <c r="Q65" s="109"/>
      <c r="R65" s="507"/>
    </row>
    <row r="66" spans="1:35" ht="13.7" customHeight="1" x14ac:dyDescent="0.2">
      <c r="A66" s="260"/>
      <c r="B66" s="259"/>
      <c r="C66" s="259"/>
      <c r="D66" s="261" t="s">
        <v>338</v>
      </c>
      <c r="E66" s="280">
        <v>5.99</v>
      </c>
      <c r="F66" s="274" t="s">
        <v>0</v>
      </c>
      <c r="G66" s="128"/>
      <c r="H66" s="128"/>
      <c r="I66" s="84"/>
      <c r="J66" s="82"/>
      <c r="K66" s="123"/>
      <c r="L66" s="84"/>
      <c r="M66" s="113"/>
      <c r="N66" s="84"/>
      <c r="O66" s="84"/>
      <c r="P66" s="84"/>
      <c r="Q66" s="109"/>
      <c r="R66" s="507"/>
    </row>
    <row r="67" spans="1:35" ht="13.7" customHeight="1" x14ac:dyDescent="0.2">
      <c r="A67" s="260"/>
      <c r="B67" s="259"/>
      <c r="C67" s="278"/>
      <c r="D67" s="279" t="s">
        <v>373</v>
      </c>
      <c r="E67" s="261" t="str">
        <f>'Variable Management'!G220</f>
        <v>N/A</v>
      </c>
      <c r="F67" s="263" t="s">
        <v>54</v>
      </c>
      <c r="G67" s="128"/>
      <c r="H67" s="128"/>
      <c r="I67" s="84"/>
      <c r="J67" s="82"/>
      <c r="K67" s="123"/>
      <c r="L67" s="84"/>
      <c r="M67" s="113"/>
      <c r="N67" s="84"/>
      <c r="O67" s="84"/>
      <c r="P67" s="84"/>
      <c r="Q67" s="109"/>
      <c r="R67" s="507"/>
    </row>
    <row r="68" spans="1:35" ht="15" customHeight="1" thickBot="1" x14ac:dyDescent="0.25">
      <c r="A68" s="282"/>
      <c r="B68" s="283"/>
      <c r="C68" s="283"/>
      <c r="D68" s="281" t="s">
        <v>372</v>
      </c>
      <c r="E68" s="281" t="str">
        <f>'Variable Management'!G221</f>
        <v>N/A</v>
      </c>
      <c r="F68" s="284" t="s">
        <v>54</v>
      </c>
      <c r="G68" s="128"/>
      <c r="H68" s="128"/>
      <c r="I68" s="84"/>
      <c r="J68" s="82"/>
      <c r="K68" s="123"/>
      <c r="L68" s="84"/>
      <c r="M68" s="113"/>
      <c r="N68" s="84"/>
      <c r="O68" s="84"/>
      <c r="P68" s="84"/>
      <c r="Q68" s="109"/>
      <c r="R68" s="507"/>
    </row>
    <row r="69" spans="1:35" ht="15" customHeight="1" x14ac:dyDescent="0.2">
      <c r="A69" s="260"/>
      <c r="B69" s="259"/>
      <c r="C69" s="128"/>
      <c r="D69" s="624"/>
      <c r="E69" s="262"/>
      <c r="F69" s="178"/>
      <c r="G69" s="128"/>
      <c r="H69" s="128"/>
      <c r="I69" s="84"/>
      <c r="J69" s="82"/>
      <c r="K69" s="123"/>
      <c r="L69" s="84"/>
      <c r="M69" s="113"/>
      <c r="N69" s="84"/>
      <c r="O69" s="84"/>
      <c r="P69" s="84"/>
      <c r="Q69" s="109"/>
      <c r="R69" s="507"/>
    </row>
    <row r="70" spans="1:35" ht="15" customHeight="1" thickBot="1" x14ac:dyDescent="0.25">
      <c r="A70" s="187" t="s">
        <v>285</v>
      </c>
      <c r="B70" s="142"/>
      <c r="C70" s="136"/>
      <c r="D70" s="564"/>
      <c r="E70" s="137"/>
      <c r="F70" s="136"/>
      <c r="G70" s="128"/>
      <c r="H70" s="128"/>
      <c r="I70" s="84"/>
      <c r="J70" s="82"/>
      <c r="K70" s="123"/>
      <c r="L70" s="84"/>
      <c r="M70" s="113"/>
      <c r="N70" s="84"/>
      <c r="O70" s="84"/>
      <c r="P70" s="84"/>
      <c r="Q70" s="109"/>
      <c r="R70" s="507"/>
    </row>
    <row r="71" spans="1:35" ht="14.25" customHeight="1" x14ac:dyDescent="0.2">
      <c r="A71" s="269"/>
      <c r="B71" s="270"/>
      <c r="C71" s="271"/>
      <c r="D71" s="271" t="s">
        <v>376</v>
      </c>
      <c r="E71" s="361">
        <f>Fp_dominant</f>
        <v>1308.1228199333864</v>
      </c>
      <c r="F71" s="285" t="s">
        <v>10</v>
      </c>
      <c r="G71" s="128"/>
      <c r="H71" s="128"/>
      <c r="I71" s="84"/>
      <c r="J71" s="82"/>
      <c r="K71" s="123"/>
      <c r="L71" s="84"/>
      <c r="M71" s="113"/>
      <c r="N71" s="84"/>
      <c r="O71" s="84"/>
      <c r="P71" s="84"/>
      <c r="Q71" s="109"/>
      <c r="R71" s="507"/>
    </row>
    <row r="72" spans="1:35" ht="15" customHeight="1" x14ac:dyDescent="0.2">
      <c r="A72" s="260"/>
      <c r="B72" s="259"/>
      <c r="C72" s="261"/>
      <c r="D72" s="261" t="s">
        <v>375</v>
      </c>
      <c r="E72" s="264">
        <f>Fesr/1000</f>
        <v>318.3098861837907</v>
      </c>
      <c r="F72" s="263" t="s">
        <v>3</v>
      </c>
      <c r="G72" s="128"/>
      <c r="H72" s="128"/>
      <c r="I72" s="84"/>
      <c r="J72" s="82"/>
      <c r="K72" s="123"/>
      <c r="L72" s="84"/>
      <c r="M72" s="113"/>
      <c r="N72" s="84"/>
      <c r="O72" s="84"/>
      <c r="P72" s="84"/>
      <c r="Q72" s="109"/>
      <c r="R72" s="507"/>
    </row>
    <row r="73" spans="1:35" ht="15" customHeight="1" x14ac:dyDescent="0.2">
      <c r="A73" s="260"/>
      <c r="B73" s="259"/>
      <c r="C73" s="261"/>
      <c r="D73" s="261" t="s">
        <v>900</v>
      </c>
      <c r="E73" s="276" t="str">
        <f>IF(E7&lt;E10,Frhp_Vinmin/1000,"---")</f>
        <v>---</v>
      </c>
      <c r="F73" s="263" t="s">
        <v>3</v>
      </c>
      <c r="G73" s="128"/>
      <c r="H73" s="128"/>
      <c r="I73" s="84"/>
      <c r="J73" s="82"/>
      <c r="K73" s="123"/>
      <c r="L73" s="84"/>
      <c r="M73" s="113"/>
      <c r="N73" s="84"/>
      <c r="O73" s="84"/>
      <c r="P73" s="84"/>
      <c r="Q73" s="109"/>
      <c r="R73" s="507"/>
    </row>
    <row r="74" spans="1:35" ht="15" customHeight="1" x14ac:dyDescent="0.2">
      <c r="A74" s="260"/>
      <c r="B74" s="259"/>
      <c r="C74" s="261"/>
      <c r="D74" s="261" t="s">
        <v>899</v>
      </c>
      <c r="E74" s="276" t="str">
        <f>IF(E8&lt;E10,Frhp/1000,"---")</f>
        <v>---</v>
      </c>
      <c r="F74" s="263" t="s">
        <v>3</v>
      </c>
      <c r="G74" s="128"/>
      <c r="H74" s="128"/>
      <c r="I74" s="84"/>
      <c r="J74" s="82"/>
      <c r="K74" s="123"/>
      <c r="L74" s="84"/>
      <c r="M74" s="113"/>
      <c r="N74" s="84"/>
      <c r="O74" s="84"/>
      <c r="P74" s="84"/>
      <c r="Q74" s="109"/>
      <c r="R74" s="507"/>
    </row>
    <row r="75" spans="1:35" ht="15" customHeight="1" x14ac:dyDescent="0.2">
      <c r="A75" s="260"/>
      <c r="B75" s="259"/>
      <c r="C75" s="261"/>
      <c r="D75" s="261" t="s">
        <v>1274</v>
      </c>
      <c r="E75" s="276" t="e">
        <f>MIN(Fsw/1000*0.05,E73/4,IF(E74&lt;&gt;"---",E74/4,E73/4))</f>
        <v>#VALUE!</v>
      </c>
      <c r="F75" s="263" t="s">
        <v>3</v>
      </c>
      <c r="G75" s="128"/>
      <c r="H75" s="128"/>
      <c r="I75" s="84"/>
      <c r="J75" s="82"/>
      <c r="K75" s="123"/>
      <c r="L75" s="84"/>
      <c r="M75" s="113"/>
      <c r="N75" s="84"/>
      <c r="O75" s="84"/>
      <c r="P75" s="84"/>
      <c r="Q75" s="109"/>
      <c r="R75" s="507"/>
    </row>
    <row r="76" spans="1:35" ht="15" customHeight="1" x14ac:dyDescent="0.2">
      <c r="A76" s="260"/>
      <c r="B76" s="259"/>
      <c r="C76" s="261"/>
      <c r="D76" s="279" t="s">
        <v>531</v>
      </c>
      <c r="E76" s="286">
        <v>13</v>
      </c>
      <c r="F76" s="287" t="str">
        <f>"     kHz "</f>
        <v xml:space="preserve">     kHz </v>
      </c>
      <c r="G76" s="128"/>
      <c r="H76" s="128"/>
      <c r="I76" s="84"/>
      <c r="J76" s="82"/>
      <c r="K76" s="123"/>
      <c r="L76" s="84"/>
      <c r="M76" s="113"/>
      <c r="N76" s="84"/>
      <c r="O76" s="84"/>
      <c r="P76" s="84"/>
      <c r="Q76" s="109"/>
      <c r="R76" s="507"/>
    </row>
    <row r="77" spans="1:35" ht="19.5" customHeight="1" x14ac:dyDescent="0.2">
      <c r="A77" s="260"/>
      <c r="B77" s="259"/>
      <c r="C77" s="261"/>
      <c r="D77" s="261" t="s">
        <v>1275</v>
      </c>
      <c r="E77" s="264">
        <f>Fp1_u</f>
        <v>0.157579151576134</v>
      </c>
      <c r="F77" s="263" t="s">
        <v>10</v>
      </c>
      <c r="G77" s="128"/>
      <c r="H77" s="128"/>
      <c r="I77" s="128"/>
      <c r="J77" s="128"/>
      <c r="K77" s="128"/>
      <c r="L77" s="128"/>
      <c r="M77" s="128"/>
      <c r="N77" s="128"/>
      <c r="O77" s="128"/>
      <c r="P77" s="128"/>
      <c r="Q77" s="109"/>
      <c r="R77" s="506"/>
      <c r="S77" s="54"/>
      <c r="T77" s="54"/>
      <c r="W77" s="54"/>
      <c r="X77" s="54"/>
      <c r="Y77" s="54"/>
      <c r="AB77" s="54"/>
      <c r="AC77" s="54"/>
      <c r="AD77" s="54"/>
      <c r="AG77" s="54"/>
      <c r="AH77" s="54"/>
      <c r="AI77" s="54"/>
    </row>
    <row r="78" spans="1:35" ht="15" customHeight="1" x14ac:dyDescent="0.2">
      <c r="A78" s="260"/>
      <c r="B78" s="259"/>
      <c r="C78" s="261"/>
      <c r="D78" s="279" t="s">
        <v>894</v>
      </c>
      <c r="E78" s="288">
        <v>82</v>
      </c>
      <c r="F78" s="274" t="s">
        <v>54</v>
      </c>
      <c r="G78" s="128"/>
      <c r="H78" s="128"/>
      <c r="I78" s="128"/>
      <c r="J78" s="128"/>
      <c r="K78" s="128"/>
      <c r="L78" s="128"/>
      <c r="M78" s="128"/>
      <c r="N78" s="128"/>
      <c r="O78" s="128"/>
      <c r="P78" s="128"/>
      <c r="Q78" s="635"/>
      <c r="R78" s="506"/>
      <c r="S78" s="54"/>
      <c r="T78" s="54"/>
      <c r="W78" s="54"/>
      <c r="X78" s="54"/>
      <c r="Y78" s="54"/>
      <c r="AB78" s="54"/>
      <c r="AC78" s="54"/>
      <c r="AD78" s="54"/>
      <c r="AG78" s="54"/>
      <c r="AH78" s="54"/>
      <c r="AI78" s="54"/>
    </row>
    <row r="79" spans="1:35" ht="15" customHeight="1" thickBot="1" x14ac:dyDescent="0.25">
      <c r="A79" s="265"/>
      <c r="B79" s="266"/>
      <c r="C79" s="267"/>
      <c r="D79" s="267" t="s">
        <v>895</v>
      </c>
      <c r="E79" s="267">
        <f>Rfb2_u/1000</f>
        <v>6.04</v>
      </c>
      <c r="F79" s="268" t="s">
        <v>54</v>
      </c>
      <c r="G79" s="128"/>
      <c r="H79" s="128"/>
      <c r="I79" s="128"/>
      <c r="J79" s="128"/>
      <c r="K79" s="128"/>
      <c r="L79" s="128"/>
      <c r="M79" s="128"/>
      <c r="N79" s="128"/>
      <c r="O79" s="128"/>
      <c r="P79" s="128"/>
      <c r="Q79" s="109"/>
      <c r="R79" s="506"/>
      <c r="S79" s="54"/>
      <c r="T79" s="54"/>
      <c r="W79" s="54"/>
      <c r="X79" s="54"/>
      <c r="Y79" s="54"/>
      <c r="AB79" s="54"/>
      <c r="AC79" s="54"/>
      <c r="AD79" s="54"/>
      <c r="AG79" s="54"/>
      <c r="AH79" s="54"/>
      <c r="AI79" s="54"/>
    </row>
    <row r="80" spans="1:35" ht="15" customHeight="1" x14ac:dyDescent="0.2">
      <c r="A80" s="780"/>
      <c r="B80" s="781"/>
      <c r="C80" s="782"/>
      <c r="D80" s="783"/>
      <c r="E80" s="784"/>
      <c r="F80" s="785"/>
      <c r="G80" s="128"/>
      <c r="H80" s="128"/>
      <c r="I80" s="128"/>
      <c r="J80" s="128"/>
      <c r="K80" s="128"/>
      <c r="L80" s="128"/>
      <c r="M80" s="128"/>
      <c r="N80" s="128"/>
      <c r="O80" s="128"/>
      <c r="P80" s="128"/>
      <c r="Q80" s="838"/>
      <c r="R80" s="506"/>
      <c r="S80" s="54"/>
      <c r="T80" s="54"/>
      <c r="W80" s="54"/>
      <c r="X80" s="54"/>
      <c r="Y80" s="54"/>
      <c r="AB80" s="54"/>
      <c r="AC80" s="54"/>
      <c r="AD80" s="54"/>
      <c r="AG80" s="54"/>
      <c r="AH80" s="54"/>
      <c r="AI80" s="54"/>
    </row>
    <row r="81" spans="1:35" ht="13.5" customHeight="1" x14ac:dyDescent="0.2">
      <c r="A81" s="557"/>
      <c r="B81" s="557"/>
      <c r="C81" s="557"/>
      <c r="D81" s="557"/>
      <c r="E81" s="557"/>
      <c r="F81" s="557"/>
      <c r="G81" s="128"/>
      <c r="H81" s="128"/>
      <c r="I81" s="128"/>
      <c r="J81" s="128"/>
      <c r="K81" s="128"/>
      <c r="L81" s="128"/>
      <c r="M81" s="128"/>
      <c r="N81" s="128"/>
      <c r="O81" s="128"/>
      <c r="P81" s="128"/>
      <c r="Q81" s="838"/>
      <c r="R81" s="506"/>
      <c r="S81" s="54"/>
      <c r="T81" s="54"/>
      <c r="W81" s="54"/>
      <c r="X81" s="54"/>
      <c r="Y81" s="54"/>
      <c r="AB81" s="54"/>
      <c r="AC81" s="54"/>
      <c r="AD81" s="54"/>
      <c r="AG81" s="54"/>
      <c r="AH81" s="54"/>
      <c r="AI81" s="54"/>
    </row>
    <row r="82" spans="1:35" ht="15" customHeight="1" x14ac:dyDescent="0.2">
      <c r="A82" s="557"/>
      <c r="B82" s="557"/>
      <c r="C82" s="557"/>
      <c r="D82" s="557"/>
      <c r="E82" s="557"/>
      <c r="F82" s="557"/>
      <c r="G82" s="128"/>
      <c r="H82" s="128"/>
      <c r="I82" s="128"/>
      <c r="J82" s="128"/>
      <c r="K82" s="128"/>
      <c r="L82" s="128"/>
      <c r="M82" s="128"/>
      <c r="N82" s="128"/>
      <c r="O82" s="128"/>
      <c r="P82" s="128"/>
      <c r="Q82" s="838"/>
      <c r="R82" s="506"/>
      <c r="S82" s="54"/>
      <c r="T82" s="54"/>
      <c r="W82" s="54"/>
      <c r="X82" s="54"/>
      <c r="Y82" s="54"/>
      <c r="AB82" s="54"/>
      <c r="AC82" s="54"/>
      <c r="AD82" s="54"/>
      <c r="AG82" s="54"/>
      <c r="AH82" s="54"/>
      <c r="AI82" s="54"/>
    </row>
    <row r="83" spans="1:35" ht="15" customHeight="1" x14ac:dyDescent="0.2">
      <c r="A83" s="557"/>
      <c r="B83" s="557"/>
      <c r="C83" s="557"/>
      <c r="D83" s="557"/>
      <c r="E83" s="557"/>
      <c r="F83" s="557"/>
      <c r="G83" s="128"/>
      <c r="H83" s="128"/>
      <c r="I83" s="128"/>
      <c r="J83" s="128"/>
      <c r="K83" s="128"/>
      <c r="L83" s="128"/>
      <c r="M83" s="128"/>
      <c r="N83" s="128"/>
      <c r="O83" s="128"/>
      <c r="P83" s="128"/>
      <c r="Q83" s="838"/>
      <c r="R83" s="506"/>
      <c r="S83" s="54"/>
      <c r="T83" s="54"/>
      <c r="W83" s="54"/>
      <c r="X83" s="54"/>
      <c r="Y83" s="54"/>
      <c r="AB83" s="54"/>
      <c r="AC83" s="54"/>
      <c r="AD83" s="54"/>
      <c r="AG83" s="54"/>
      <c r="AH83" s="54"/>
      <c r="AI83" s="54"/>
    </row>
    <row r="84" spans="1:35" ht="15" customHeight="1" x14ac:dyDescent="0.2">
      <c r="A84" s="557"/>
      <c r="B84" s="557"/>
      <c r="C84" s="557"/>
      <c r="D84" s="557"/>
      <c r="E84" s="557"/>
      <c r="F84" s="557"/>
      <c r="G84" s="128"/>
      <c r="H84" s="128"/>
      <c r="I84" s="128"/>
      <c r="J84" s="128"/>
      <c r="K84" s="128"/>
      <c r="L84" s="128"/>
      <c r="M84" s="128"/>
      <c r="N84" s="128"/>
      <c r="O84" s="128"/>
      <c r="P84" s="128"/>
      <c r="Q84" s="838"/>
      <c r="R84" s="506"/>
      <c r="S84" s="54"/>
      <c r="T84" s="54"/>
      <c r="W84" s="54"/>
      <c r="X84" s="54"/>
      <c r="Y84" s="54"/>
      <c r="AB84" s="54"/>
      <c r="AC84" s="54"/>
      <c r="AD84" s="54"/>
      <c r="AG84" s="54"/>
      <c r="AH84" s="54"/>
      <c r="AI84" s="54"/>
    </row>
    <row r="85" spans="1:35" ht="15" customHeight="1" x14ac:dyDescent="0.2">
      <c r="A85" s="557"/>
      <c r="B85" s="557"/>
      <c r="C85" s="557"/>
      <c r="D85" s="557"/>
      <c r="E85" s="557"/>
      <c r="F85" s="557"/>
      <c r="G85" s="128"/>
      <c r="H85" s="128"/>
      <c r="I85" s="128"/>
      <c r="J85" s="128"/>
      <c r="K85" s="128"/>
      <c r="L85" s="128"/>
      <c r="M85" s="128"/>
      <c r="N85" s="128"/>
      <c r="O85" s="128"/>
      <c r="P85" s="128"/>
      <c r="Q85" s="109"/>
      <c r="R85" s="506"/>
      <c r="S85" s="54"/>
      <c r="T85" s="54"/>
      <c r="W85" s="54"/>
      <c r="X85" s="54"/>
      <c r="Y85" s="54"/>
      <c r="AB85" s="54"/>
      <c r="AC85" s="54"/>
      <c r="AD85" s="54"/>
      <c r="AG85" s="54"/>
      <c r="AH85" s="54"/>
      <c r="AI85" s="54"/>
    </row>
    <row r="86" spans="1:35" ht="15" customHeight="1" x14ac:dyDescent="0.2">
      <c r="A86" s="786"/>
      <c r="B86" s="557"/>
      <c r="C86" s="756"/>
      <c r="D86" s="787"/>
      <c r="E86" s="787"/>
      <c r="F86" s="787"/>
      <c r="G86" s="128"/>
      <c r="H86" s="128"/>
      <c r="I86" s="84"/>
      <c r="J86" s="84"/>
      <c r="K86" s="84"/>
      <c r="L86" s="84"/>
      <c r="M86" s="84"/>
      <c r="N86" s="84"/>
      <c r="O86" s="84"/>
      <c r="P86" s="84"/>
      <c r="Q86" s="109"/>
      <c r="R86" s="506"/>
      <c r="S86" s="54"/>
      <c r="T86" s="54"/>
      <c r="W86" s="54"/>
      <c r="X86" s="54"/>
      <c r="Y86" s="54"/>
      <c r="AB86" s="54"/>
      <c r="AC86" s="54"/>
      <c r="AD86" s="54"/>
      <c r="AG86" s="54"/>
      <c r="AH86" s="54"/>
      <c r="AI86" s="54"/>
    </row>
    <row r="87" spans="1:35" ht="13.5" customHeight="1" x14ac:dyDescent="0.2">
      <c r="A87" s="786"/>
      <c r="B87" s="557"/>
      <c r="C87" s="756"/>
      <c r="D87" s="787"/>
      <c r="E87" s="787"/>
      <c r="F87" s="787"/>
      <c r="G87" s="147"/>
      <c r="H87" s="146"/>
      <c r="I87" s="84"/>
      <c r="J87" s="84"/>
      <c r="K87" s="84"/>
      <c r="L87" s="84"/>
      <c r="M87" s="84"/>
      <c r="N87" s="84"/>
      <c r="O87" s="84"/>
      <c r="P87" s="84"/>
      <c r="Q87" s="109"/>
      <c r="R87" s="506"/>
      <c r="S87" s="54"/>
      <c r="T87" s="54"/>
      <c r="W87" s="54"/>
      <c r="X87" s="54"/>
      <c r="Y87" s="54"/>
      <c r="AB87" s="54"/>
      <c r="AC87" s="54"/>
      <c r="AD87" s="54"/>
      <c r="AG87" s="54"/>
      <c r="AH87" s="54"/>
      <c r="AI87" s="54"/>
    </row>
    <row r="88" spans="1:35" ht="15.75" customHeight="1" x14ac:dyDescent="0.25">
      <c r="A88" s="475" t="s">
        <v>1253</v>
      </c>
      <c r="B88" s="148"/>
      <c r="C88" s="125"/>
      <c r="D88" s="143"/>
      <c r="E88" s="144"/>
      <c r="F88" s="145"/>
      <c r="G88" s="149"/>
      <c r="H88" s="128"/>
      <c r="I88" s="752"/>
      <c r="J88" s="768" t="s">
        <v>1252</v>
      </c>
      <c r="K88" s="769"/>
      <c r="L88" s="770"/>
      <c r="M88" s="771"/>
      <c r="N88" s="772"/>
      <c r="O88" s="770"/>
      <c r="P88" s="752"/>
      <c r="Q88" s="765"/>
      <c r="R88" s="506"/>
      <c r="S88" s="192"/>
      <c r="T88" s="192"/>
      <c r="U88" s="193"/>
      <c r="V88" s="193"/>
      <c r="W88" s="192"/>
      <c r="X88" s="192"/>
      <c r="Y88" s="192"/>
      <c r="Z88" s="193"/>
      <c r="AA88" s="193"/>
      <c r="AB88" s="192"/>
      <c r="AC88" s="192"/>
      <c r="AD88" s="192"/>
      <c r="AE88" s="193"/>
      <c r="AF88" s="193"/>
      <c r="AG88" s="54"/>
      <c r="AH88" s="54"/>
      <c r="AI88" s="54"/>
    </row>
    <row r="89" spans="1:35" s="202" customFormat="1" ht="13.5" customHeight="1" thickBot="1" x14ac:dyDescent="0.25">
      <c r="A89" s="207"/>
      <c r="B89" s="208" t="s">
        <v>286</v>
      </c>
      <c r="C89" s="612" t="s">
        <v>279</v>
      </c>
      <c r="D89" s="613"/>
      <c r="E89" s="209" t="str">
        <f>"    Selected"</f>
        <v xml:space="preserve">    Selected</v>
      </c>
      <c r="F89" s="564"/>
      <c r="G89" s="611" t="s">
        <v>280</v>
      </c>
      <c r="H89" s="611"/>
      <c r="I89" s="773"/>
      <c r="J89" s="774"/>
      <c r="K89" s="775" t="s">
        <v>286</v>
      </c>
      <c r="L89" s="776" t="s">
        <v>279</v>
      </c>
      <c r="M89" s="774"/>
      <c r="N89" s="777" t="str">
        <f>"    Selected"</f>
        <v xml:space="preserve">    Selected</v>
      </c>
      <c r="O89" s="778"/>
      <c r="P89" s="773"/>
      <c r="Q89" s="779"/>
      <c r="R89" s="508"/>
      <c r="S89" s="199"/>
      <c r="T89" s="199"/>
      <c r="U89" s="200"/>
      <c r="V89" s="200"/>
      <c r="W89" s="199"/>
      <c r="X89" s="199"/>
      <c r="Y89" s="199"/>
      <c r="Z89" s="200"/>
      <c r="AA89" s="200"/>
      <c r="AB89" s="199"/>
      <c r="AC89" s="199"/>
      <c r="AD89" s="199"/>
      <c r="AE89" s="200"/>
      <c r="AF89" s="200"/>
      <c r="AG89" s="201"/>
      <c r="AH89" s="201"/>
      <c r="AI89" s="201"/>
    </row>
    <row r="90" spans="1:35" ht="15.75" x14ac:dyDescent="0.3">
      <c r="A90" s="172" t="s">
        <v>1097</v>
      </c>
      <c r="B90" s="185">
        <f>Rcea1/1000</f>
        <v>4.968952380427857</v>
      </c>
      <c r="C90" s="168">
        <f>'Standard Value Calculator'!R27</f>
        <v>4.99</v>
      </c>
      <c r="D90" s="168"/>
      <c r="E90" s="169">
        <v>100</v>
      </c>
      <c r="F90" s="170" t="s">
        <v>54</v>
      </c>
      <c r="G90" s="522">
        <f>Fp1_u</f>
        <v>0.157579151576134</v>
      </c>
      <c r="H90" s="427" t="s">
        <v>594</v>
      </c>
      <c r="I90" s="752"/>
      <c r="J90" s="753" t="s">
        <v>1237</v>
      </c>
      <c r="K90" s="754">
        <f>'Variable Management'!E275/1000</f>
        <v>55.472916457826628</v>
      </c>
      <c r="L90" s="755">
        <f>'Variable Management'!F275/1000</f>
        <v>54.9</v>
      </c>
      <c r="M90" s="756"/>
      <c r="N90" s="169">
        <v>34</v>
      </c>
      <c r="O90" s="764" t="s">
        <v>54</v>
      </c>
      <c r="P90" s="752"/>
      <c r="Q90" s="765"/>
      <c r="R90" s="506"/>
      <c r="S90" s="192"/>
      <c r="T90" s="192"/>
      <c r="U90" s="193"/>
      <c r="V90" s="193"/>
      <c r="W90" s="192"/>
      <c r="X90" s="192"/>
      <c r="Y90" s="192"/>
      <c r="Z90" s="193"/>
      <c r="AA90" s="193"/>
      <c r="AB90" s="192"/>
      <c r="AC90" s="192"/>
      <c r="AD90" s="192"/>
      <c r="AE90" s="193"/>
      <c r="AF90" s="193"/>
      <c r="AG90" s="54"/>
      <c r="AH90" s="54"/>
      <c r="AI90" s="54"/>
    </row>
    <row r="91" spans="1:35" ht="15.75" x14ac:dyDescent="0.3">
      <c r="A91" s="173" t="s">
        <v>1098</v>
      </c>
      <c r="B91" s="486">
        <f>Cc1ea*1000000000</f>
        <v>16.323583906861057</v>
      </c>
      <c r="C91" s="146">
        <f>'Standard Value Calculator'!R28</f>
        <v>14.999999999999998</v>
      </c>
      <c r="D91" s="146"/>
      <c r="E91" s="150">
        <v>100</v>
      </c>
      <c r="F91" s="171" t="s">
        <v>170</v>
      </c>
      <c r="G91" s="428">
        <f>Fz1_u/1000</f>
        <v>1.5915494309189534E-2</v>
      </c>
      <c r="H91" s="429" t="s">
        <v>684</v>
      </c>
      <c r="I91" s="752"/>
      <c r="J91" s="757" t="s">
        <v>1238</v>
      </c>
      <c r="K91" s="758">
        <f>'Variable Management'!E276/0.000000001</f>
        <v>21.932624861929508</v>
      </c>
      <c r="L91" s="759">
        <f>'Variable Management'!F276/0.000000001</f>
        <v>21.999999999999996</v>
      </c>
      <c r="M91" s="756"/>
      <c r="N91" s="150">
        <v>47</v>
      </c>
      <c r="O91" s="766" t="s">
        <v>170</v>
      </c>
      <c r="P91" s="752"/>
      <c r="Q91" s="765"/>
      <c r="R91" s="506"/>
      <c r="S91" s="192"/>
      <c r="T91" s="192"/>
      <c r="U91" s="193"/>
      <c r="V91" s="193"/>
      <c r="W91" s="192"/>
      <c r="X91" s="192"/>
      <c r="Y91" s="192"/>
      <c r="Z91" s="193"/>
      <c r="AA91" s="193"/>
      <c r="AB91" s="192"/>
      <c r="AC91" s="192"/>
      <c r="AD91" s="192"/>
      <c r="AE91" s="193"/>
      <c r="AF91" s="193"/>
      <c r="AG91" s="54"/>
      <c r="AH91" s="54"/>
      <c r="AI91" s="54"/>
    </row>
    <row r="92" spans="1:35" ht="16.5" thickBot="1" x14ac:dyDescent="0.35">
      <c r="A92" s="362" t="s">
        <v>1099</v>
      </c>
      <c r="B92" s="186">
        <f>IF(Cc2ea*1000000000000&lt;0, 0, Cc2ea*1000000000000)</f>
        <v>239.03807122263174</v>
      </c>
      <c r="C92" s="182">
        <f>'Standard Value Calculator'!R29</f>
        <v>220</v>
      </c>
      <c r="D92" s="182"/>
      <c r="E92" s="183">
        <v>1000</v>
      </c>
      <c r="F92" s="184" t="s">
        <v>32</v>
      </c>
      <c r="G92" s="434">
        <f>Fp2_u/1000</f>
        <v>1.5799437757626504</v>
      </c>
      <c r="H92" s="430" t="s">
        <v>685</v>
      </c>
      <c r="I92" s="752"/>
      <c r="J92" s="760" t="s">
        <v>1239</v>
      </c>
      <c r="K92" s="761">
        <f>'Variable Management'!E277/0.000000000001</f>
        <v>180268.14955010553</v>
      </c>
      <c r="L92" s="762">
        <f>'Variable Management'!F277/0.000000000001</f>
        <v>180000</v>
      </c>
      <c r="M92" s="763"/>
      <c r="N92" s="183">
        <v>2200</v>
      </c>
      <c r="O92" s="767" t="s">
        <v>32</v>
      </c>
      <c r="P92" s="752"/>
      <c r="Q92" s="765"/>
      <c r="R92" s="506"/>
      <c r="S92" s="192"/>
      <c r="T92" s="192"/>
      <c r="U92" s="193"/>
      <c r="V92" s="193"/>
      <c r="W92" s="192"/>
      <c r="X92" s="192"/>
      <c r="Y92" s="192"/>
      <c r="Z92" s="193"/>
      <c r="AA92" s="193"/>
      <c r="AB92" s="192"/>
      <c r="AC92" s="192"/>
      <c r="AD92" s="192"/>
      <c r="AE92" s="193"/>
      <c r="AF92" s="193"/>
      <c r="AG92" s="54"/>
      <c r="AH92" s="54"/>
      <c r="AI92" s="54"/>
    </row>
    <row r="93" spans="1:35" ht="13.5" thickBot="1" x14ac:dyDescent="0.25">
      <c r="A93" s="127"/>
      <c r="B93" s="125"/>
      <c r="C93" s="125"/>
      <c r="D93" s="128"/>
      <c r="E93" s="128"/>
      <c r="F93" s="128"/>
      <c r="G93" s="128"/>
      <c r="H93" s="128"/>
      <c r="I93" s="752"/>
      <c r="J93" s="752"/>
      <c r="K93" s="752"/>
      <c r="L93" s="752"/>
      <c r="M93" s="752"/>
      <c r="N93" s="752"/>
      <c r="O93" s="752"/>
      <c r="P93" s="752"/>
      <c r="Q93" s="765"/>
      <c r="R93" s="506"/>
      <c r="S93" s="192"/>
      <c r="T93" s="192"/>
      <c r="U93" s="193"/>
      <c r="V93" s="193"/>
      <c r="W93" s="192"/>
      <c r="X93" s="192"/>
      <c r="Y93" s="192"/>
      <c r="Z93" s="193"/>
      <c r="AA93" s="193"/>
      <c r="AB93" s="192"/>
      <c r="AC93" s="192"/>
      <c r="AD93" s="192"/>
      <c r="AE93" s="193"/>
      <c r="AF93" s="193"/>
      <c r="AG93" s="54"/>
      <c r="AH93" s="54"/>
      <c r="AI93" s="54"/>
    </row>
    <row r="94" spans="1:35" s="87" customFormat="1" ht="18.75" thickBot="1" x14ac:dyDescent="0.3">
      <c r="A94" s="190" t="s">
        <v>284</v>
      </c>
      <c r="B94" s="141"/>
      <c r="C94" s="151"/>
      <c r="D94" s="151"/>
      <c r="E94" s="151"/>
      <c r="F94" s="151"/>
      <c r="G94" s="151"/>
      <c r="H94" s="151"/>
      <c r="I94" s="85"/>
      <c r="J94" s="85"/>
      <c r="K94" s="85"/>
      <c r="L94" s="85"/>
      <c r="M94" s="85"/>
      <c r="N94" s="85"/>
      <c r="O94" s="85"/>
      <c r="P94" s="85"/>
      <c r="Q94" s="86"/>
      <c r="R94" s="509"/>
      <c r="S94" s="194"/>
      <c r="T94" s="194"/>
      <c r="U94" s="195"/>
      <c r="V94" s="195"/>
      <c r="W94" s="194"/>
      <c r="X94" s="194"/>
      <c r="Y94" s="194"/>
      <c r="Z94" s="195"/>
      <c r="AA94" s="195"/>
      <c r="AB94" s="194"/>
      <c r="AC94" s="194"/>
      <c r="AD94" s="194"/>
      <c r="AE94" s="195"/>
      <c r="AF94" s="195"/>
      <c r="AG94" s="55"/>
      <c r="AH94" s="55"/>
      <c r="AI94" s="55"/>
    </row>
    <row r="95" spans="1:35" ht="16.5" customHeight="1" x14ac:dyDescent="0.2">
      <c r="A95" s="189"/>
      <c r="B95" s="138"/>
      <c r="C95" s="128"/>
      <c r="D95" s="128"/>
      <c r="E95" s="128"/>
      <c r="F95" s="128"/>
      <c r="G95" s="128"/>
      <c r="H95" s="128"/>
      <c r="I95" s="84"/>
      <c r="J95" s="84"/>
      <c r="K95" s="84"/>
      <c r="L95" s="84"/>
      <c r="M95" s="84"/>
      <c r="N95" s="84"/>
      <c r="O95" s="84"/>
      <c r="P95" s="84"/>
      <c r="Q95" s="109"/>
      <c r="R95" s="506"/>
      <c r="S95" s="192"/>
      <c r="T95" s="192"/>
      <c r="U95" s="193"/>
      <c r="V95" s="193"/>
      <c r="W95" s="192"/>
      <c r="X95" s="192"/>
      <c r="Y95" s="192"/>
      <c r="Z95" s="193"/>
      <c r="AA95" s="193"/>
      <c r="AB95" s="192"/>
      <c r="AC95" s="192"/>
      <c r="AD95" s="192"/>
      <c r="AE95" s="193"/>
      <c r="AF95" s="193"/>
      <c r="AG95" s="54"/>
      <c r="AH95" s="54"/>
      <c r="AI95" s="54"/>
    </row>
    <row r="96" spans="1:35" ht="19.5" thickBot="1" x14ac:dyDescent="0.35">
      <c r="A96" s="152" t="s">
        <v>226</v>
      </c>
      <c r="B96" s="135"/>
      <c r="C96" s="128"/>
      <c r="D96" s="128"/>
      <c r="E96" s="128"/>
      <c r="F96" s="128"/>
      <c r="G96" s="128"/>
      <c r="H96" s="128"/>
      <c r="I96" s="84"/>
      <c r="J96" s="84"/>
      <c r="K96" s="84"/>
      <c r="L96" s="84"/>
      <c r="M96" s="272" t="s">
        <v>855</v>
      </c>
      <c r="N96" s="609" t="str">
        <f>VIN_nom&amp;"V"</f>
        <v>20V</v>
      </c>
      <c r="O96" s="84"/>
      <c r="P96" s="84"/>
      <c r="Q96" s="109"/>
      <c r="R96" s="506"/>
      <c r="S96" s="192"/>
      <c r="T96" s="192"/>
      <c r="U96" s="193"/>
      <c r="V96" s="193"/>
      <c r="W96" s="192"/>
      <c r="X96" s="192"/>
      <c r="Y96" s="192"/>
      <c r="Z96" s="193"/>
      <c r="AA96" s="193"/>
      <c r="AB96" s="192"/>
      <c r="AC96" s="192"/>
      <c r="AD96" s="192"/>
      <c r="AE96" s="193"/>
      <c r="AF96" s="193"/>
      <c r="AG96" s="54"/>
      <c r="AH96" s="54"/>
      <c r="AI96" s="54"/>
    </row>
    <row r="97" spans="1:35" ht="18" customHeight="1" x14ac:dyDescent="0.25">
      <c r="A97" s="174"/>
      <c r="B97" s="175"/>
      <c r="C97" s="176"/>
      <c r="D97" s="203" t="s">
        <v>751</v>
      </c>
      <c r="E97" s="257" t="s">
        <v>1270</v>
      </c>
      <c r="F97" s="176"/>
      <c r="G97" s="177"/>
      <c r="H97" s="128"/>
      <c r="I97" s="84"/>
      <c r="J97" s="84"/>
      <c r="K97" s="84"/>
      <c r="L97" s="84"/>
      <c r="M97" s="84"/>
      <c r="N97" s="84"/>
      <c r="O97" s="84"/>
      <c r="P97" s="84"/>
      <c r="Q97" s="109"/>
      <c r="R97" s="506"/>
      <c r="S97" s="192"/>
      <c r="T97" s="121"/>
      <c r="U97" s="121"/>
      <c r="V97" s="193"/>
      <c r="W97" s="192"/>
      <c r="X97" s="192"/>
      <c r="Y97" s="192"/>
      <c r="Z97" s="193"/>
      <c r="AA97" s="193"/>
      <c r="AB97" s="192"/>
      <c r="AC97" s="192"/>
      <c r="AD97" s="192"/>
      <c r="AE97" s="193"/>
      <c r="AF97" s="193"/>
      <c r="AG97" s="54"/>
      <c r="AH97" s="54"/>
      <c r="AI97" s="54"/>
    </row>
    <row r="98" spans="1:35" ht="14.45" customHeight="1" x14ac:dyDescent="0.2">
      <c r="A98" s="484"/>
      <c r="B98" s="113"/>
      <c r="C98" s="113"/>
      <c r="D98" s="113"/>
      <c r="E98" s="485" t="s">
        <v>724</v>
      </c>
      <c r="F98" s="836" t="s">
        <v>752</v>
      </c>
      <c r="G98" s="837"/>
      <c r="H98" s="128"/>
      <c r="I98" s="84"/>
      <c r="J98" s="84"/>
      <c r="K98" s="84"/>
      <c r="L98" s="84"/>
      <c r="M98" s="84"/>
      <c r="N98" s="84"/>
      <c r="O98" s="84"/>
      <c r="P98" s="84"/>
      <c r="Q98" s="109"/>
      <c r="R98" s="506"/>
      <c r="S98" s="192"/>
      <c r="T98" s="121"/>
      <c r="U98" s="121"/>
      <c r="V98" s="193"/>
      <c r="W98" s="192"/>
      <c r="X98" s="192"/>
      <c r="Y98" s="192"/>
      <c r="Z98" s="193"/>
      <c r="AA98" s="193"/>
      <c r="AB98" s="192"/>
      <c r="AC98" s="192"/>
      <c r="AD98" s="192"/>
      <c r="AE98" s="193"/>
      <c r="AF98" s="193"/>
      <c r="AG98" s="54"/>
      <c r="AH98" s="54"/>
      <c r="AI98" s="54"/>
    </row>
    <row r="99" spans="1:35" ht="14.45" customHeight="1" x14ac:dyDescent="0.25">
      <c r="A99" s="127"/>
      <c r="B99" s="128"/>
      <c r="C99" s="136"/>
      <c r="D99" s="124" t="s">
        <v>343</v>
      </c>
      <c r="E99" s="255">
        <v>4.2</v>
      </c>
      <c r="F99" s="255">
        <v>4.2</v>
      </c>
      <c r="G99" s="163" t="s">
        <v>53</v>
      </c>
      <c r="H99" s="128"/>
      <c r="I99" s="84"/>
      <c r="J99" s="84"/>
      <c r="K99" s="84"/>
      <c r="L99" s="84"/>
      <c r="M99" s="84"/>
      <c r="N99" s="84"/>
      <c r="O99" s="84"/>
      <c r="P99" s="84"/>
      <c r="Q99" s="109"/>
      <c r="R99" s="506"/>
      <c r="S99" s="192"/>
      <c r="T99" s="121"/>
      <c r="U99" s="121"/>
      <c r="V99" s="193"/>
      <c r="W99" s="192"/>
      <c r="X99" s="192"/>
      <c r="Y99" s="192"/>
      <c r="Z99" s="193"/>
      <c r="AA99" s="193"/>
      <c r="AB99" s="192"/>
      <c r="AC99" s="192"/>
      <c r="AD99" s="192"/>
      <c r="AE99" s="193"/>
      <c r="AF99" s="193"/>
      <c r="AG99" s="54"/>
      <c r="AH99" s="54"/>
      <c r="AI99" s="54"/>
    </row>
    <row r="100" spans="1:35" ht="14.45" customHeight="1" x14ac:dyDescent="0.25">
      <c r="A100" s="127"/>
      <c r="B100" s="128"/>
      <c r="C100" s="136"/>
      <c r="D100" s="124" t="s">
        <v>344</v>
      </c>
      <c r="E100" s="129">
        <v>27</v>
      </c>
      <c r="F100" s="129">
        <v>27</v>
      </c>
      <c r="G100" s="163" t="s">
        <v>69</v>
      </c>
      <c r="H100" s="128"/>
      <c r="I100" s="84"/>
      <c r="J100" s="84"/>
      <c r="K100" s="84"/>
      <c r="L100" s="84"/>
      <c r="M100" s="84"/>
      <c r="N100" s="84"/>
      <c r="O100" s="84"/>
      <c r="P100" s="84"/>
      <c r="Q100" s="109"/>
      <c r="R100" s="506"/>
      <c r="S100" s="192"/>
      <c r="T100" s="121"/>
      <c r="U100" s="121"/>
      <c r="V100" s="193"/>
      <c r="W100" s="192"/>
      <c r="X100" s="192"/>
      <c r="Y100" s="192"/>
      <c r="Z100" s="193"/>
      <c r="AA100" s="193"/>
      <c r="AB100" s="192"/>
      <c r="AC100" s="192"/>
      <c r="AD100" s="192"/>
      <c r="AE100" s="193"/>
      <c r="AF100" s="193"/>
      <c r="AG100" s="54"/>
      <c r="AH100" s="54"/>
      <c r="AI100" s="54"/>
    </row>
    <row r="101" spans="1:35" ht="14.45" customHeight="1" x14ac:dyDescent="0.25">
      <c r="A101" s="127"/>
      <c r="B101" s="128"/>
      <c r="C101" s="136"/>
      <c r="D101" s="124" t="s">
        <v>345</v>
      </c>
      <c r="E101" s="129">
        <v>6.2</v>
      </c>
      <c r="F101" s="129">
        <v>6.2</v>
      </c>
      <c r="G101" s="163" t="s">
        <v>69</v>
      </c>
      <c r="H101" s="128"/>
      <c r="I101" s="84"/>
      <c r="J101" s="84"/>
      <c r="K101" s="84"/>
      <c r="L101" s="84"/>
      <c r="M101" s="84"/>
      <c r="N101" s="84"/>
      <c r="O101" s="84"/>
      <c r="P101" s="84"/>
      <c r="Q101" s="109"/>
      <c r="R101" s="506"/>
      <c r="S101" s="192"/>
      <c r="T101" s="121"/>
      <c r="U101" s="121"/>
      <c r="V101" s="193"/>
      <c r="W101" s="192"/>
      <c r="X101" s="192"/>
      <c r="Y101" s="192"/>
      <c r="Z101" s="193"/>
      <c r="AA101" s="193"/>
      <c r="AB101" s="192"/>
      <c r="AC101" s="192"/>
      <c r="AD101" s="192"/>
      <c r="AE101" s="193"/>
      <c r="AF101" s="193"/>
      <c r="AG101" s="54"/>
      <c r="AH101" s="54"/>
      <c r="AI101" s="54"/>
    </row>
    <row r="102" spans="1:35" ht="14.45" customHeight="1" x14ac:dyDescent="0.25">
      <c r="A102" s="127"/>
      <c r="B102" s="128"/>
      <c r="C102" s="136"/>
      <c r="D102" s="124" t="s">
        <v>346</v>
      </c>
      <c r="E102" s="129">
        <v>6.2</v>
      </c>
      <c r="F102" s="129">
        <v>6.2</v>
      </c>
      <c r="G102" s="163" t="s">
        <v>69</v>
      </c>
      <c r="H102" s="128"/>
      <c r="I102" s="84"/>
      <c r="J102" s="84"/>
      <c r="K102" s="84"/>
      <c r="L102" s="84"/>
      <c r="M102" s="84"/>
      <c r="N102" s="84"/>
      <c r="O102" s="84"/>
      <c r="P102" s="84"/>
      <c r="Q102" s="109"/>
      <c r="R102" s="506"/>
      <c r="S102" s="192"/>
      <c r="T102" s="121"/>
      <c r="U102" s="121"/>
      <c r="V102" s="193"/>
      <c r="W102" s="192"/>
      <c r="X102" s="192"/>
      <c r="Y102" s="192"/>
      <c r="Z102" s="193"/>
      <c r="AA102" s="193"/>
      <c r="AB102" s="192"/>
      <c r="AC102" s="192"/>
      <c r="AD102" s="192"/>
      <c r="AE102" s="193"/>
      <c r="AF102" s="193"/>
      <c r="AG102" s="54"/>
      <c r="AH102" s="54"/>
      <c r="AI102" s="54"/>
    </row>
    <row r="103" spans="1:35" ht="14.45" customHeight="1" x14ac:dyDescent="0.25">
      <c r="A103" s="127"/>
      <c r="B103" s="128"/>
      <c r="C103" s="136"/>
      <c r="D103" s="124" t="s">
        <v>347</v>
      </c>
      <c r="E103" s="129">
        <v>4.7</v>
      </c>
      <c r="F103" s="129">
        <v>4.7</v>
      </c>
      <c r="G103" s="163" t="s">
        <v>167</v>
      </c>
      <c r="H103" s="128"/>
      <c r="I103" s="84"/>
      <c r="J103" s="84"/>
      <c r="K103" s="84"/>
      <c r="L103" s="84"/>
      <c r="M103" s="84"/>
      <c r="N103" s="84"/>
      <c r="O103" s="84"/>
      <c r="P103" s="84"/>
      <c r="Q103" s="109"/>
      <c r="R103" s="506"/>
      <c r="S103" s="192"/>
      <c r="T103" s="121"/>
      <c r="U103" s="121"/>
      <c r="V103" s="193"/>
      <c r="W103" s="192"/>
      <c r="X103" s="192"/>
      <c r="Y103" s="192"/>
      <c r="Z103" s="193"/>
      <c r="AA103" s="193"/>
      <c r="AB103" s="192"/>
      <c r="AC103" s="192"/>
      <c r="AD103" s="192"/>
      <c r="AE103" s="193"/>
      <c r="AF103" s="193"/>
      <c r="AG103" s="54"/>
      <c r="AH103" s="54"/>
      <c r="AI103" s="54"/>
    </row>
    <row r="104" spans="1:35" ht="14.45" customHeight="1" x14ac:dyDescent="0.25">
      <c r="A104" s="127"/>
      <c r="B104" s="128"/>
      <c r="C104" s="136"/>
      <c r="D104" s="124" t="s">
        <v>348</v>
      </c>
      <c r="E104" s="129">
        <v>80</v>
      </c>
      <c r="F104" s="129">
        <v>80</v>
      </c>
      <c r="G104" s="163" t="s">
        <v>70</v>
      </c>
      <c r="H104" s="128"/>
      <c r="I104" s="84"/>
      <c r="J104" s="84"/>
      <c r="K104" s="84"/>
      <c r="L104" s="84"/>
      <c r="M104" s="84"/>
      <c r="N104" s="84"/>
      <c r="O104" s="84"/>
      <c r="P104" s="84"/>
      <c r="Q104" s="109"/>
      <c r="R104" s="506"/>
      <c r="S104" s="192"/>
      <c r="T104" s="121"/>
      <c r="U104" s="121"/>
      <c r="V104" s="193"/>
      <c r="W104" s="192"/>
      <c r="X104" s="192"/>
      <c r="Y104" s="192"/>
      <c r="Z104" s="193"/>
      <c r="AA104" s="193"/>
      <c r="AB104" s="192"/>
      <c r="AC104" s="192"/>
      <c r="AD104" s="192"/>
      <c r="AE104" s="193"/>
      <c r="AF104" s="193"/>
      <c r="AG104" s="54"/>
      <c r="AH104" s="54"/>
      <c r="AI104" s="54"/>
    </row>
    <row r="105" spans="1:35" ht="14.45" customHeight="1" x14ac:dyDescent="0.25">
      <c r="A105" s="127"/>
      <c r="B105" s="128"/>
      <c r="C105" s="136"/>
      <c r="D105" s="124" t="s">
        <v>747</v>
      </c>
      <c r="E105" s="129">
        <v>2.2999999999999998</v>
      </c>
      <c r="F105" s="129">
        <v>2.2999999999999998</v>
      </c>
      <c r="G105" s="163" t="s">
        <v>0</v>
      </c>
      <c r="H105" s="128"/>
      <c r="I105" s="84"/>
      <c r="J105" s="84"/>
      <c r="K105" s="84"/>
      <c r="L105" s="84"/>
      <c r="M105" s="84"/>
      <c r="N105" s="84"/>
      <c r="O105" s="84"/>
      <c r="P105" s="84"/>
      <c r="Q105" s="109"/>
      <c r="R105" s="506"/>
      <c r="S105" s="192"/>
      <c r="T105" s="121"/>
      <c r="U105" s="121"/>
      <c r="V105" s="193"/>
      <c r="W105" s="192"/>
      <c r="X105" s="192"/>
      <c r="Y105" s="192"/>
      <c r="Z105" s="193"/>
      <c r="AA105" s="193"/>
      <c r="AB105" s="192"/>
      <c r="AC105" s="192"/>
      <c r="AD105" s="192"/>
      <c r="AE105" s="193"/>
      <c r="AF105" s="193"/>
      <c r="AG105" s="54"/>
      <c r="AH105" s="54"/>
      <c r="AI105" s="54"/>
    </row>
    <row r="106" spans="1:35" ht="14.45" customHeight="1" x14ac:dyDescent="0.25">
      <c r="A106" s="127"/>
      <c r="B106" s="128"/>
      <c r="C106" s="136"/>
      <c r="D106" s="124" t="s">
        <v>744</v>
      </c>
      <c r="E106" s="129">
        <v>1</v>
      </c>
      <c r="F106" s="129">
        <v>1</v>
      </c>
      <c r="G106" s="163" t="s">
        <v>0</v>
      </c>
      <c r="H106" s="128"/>
      <c r="I106" s="84"/>
      <c r="J106" s="84"/>
      <c r="K106" s="84"/>
      <c r="L106" s="84"/>
      <c r="M106" s="84"/>
      <c r="N106" s="84"/>
      <c r="O106" s="84"/>
      <c r="P106" s="84"/>
      <c r="Q106" s="109"/>
      <c r="R106" s="506"/>
      <c r="S106" s="192"/>
      <c r="T106" s="121"/>
      <c r="U106" s="121"/>
      <c r="V106" s="193"/>
      <c r="W106" s="192"/>
      <c r="X106" s="192"/>
      <c r="Y106" s="192"/>
      <c r="Z106" s="193"/>
      <c r="AA106" s="193"/>
      <c r="AB106" s="192"/>
      <c r="AC106" s="192"/>
      <c r="AD106" s="192"/>
      <c r="AE106" s="193"/>
      <c r="AF106" s="193"/>
      <c r="AG106" s="54"/>
      <c r="AH106" s="54"/>
      <c r="AI106" s="54"/>
    </row>
    <row r="107" spans="1:35" ht="14.45" customHeight="1" x14ac:dyDescent="0.25">
      <c r="A107" s="127"/>
      <c r="B107" s="128"/>
      <c r="C107" s="128"/>
      <c r="D107" s="124" t="s">
        <v>746</v>
      </c>
      <c r="E107" s="2"/>
      <c r="F107" s="129">
        <v>20</v>
      </c>
      <c r="G107" s="163" t="s">
        <v>69</v>
      </c>
      <c r="H107" s="128"/>
      <c r="I107" s="84"/>
      <c r="J107" s="84"/>
      <c r="K107" s="84"/>
      <c r="L107" s="84"/>
      <c r="M107" s="84"/>
      <c r="N107" s="84"/>
      <c r="O107" s="84"/>
      <c r="P107" s="84"/>
      <c r="Q107" s="109"/>
      <c r="R107" s="506"/>
      <c r="S107" s="192"/>
      <c r="T107" s="121"/>
      <c r="U107" s="121"/>
      <c r="V107" s="193"/>
      <c r="W107" s="192"/>
      <c r="X107" s="192"/>
      <c r="Y107" s="192"/>
      <c r="Z107" s="193"/>
      <c r="AA107" s="193"/>
      <c r="AB107" s="192"/>
      <c r="AC107" s="192"/>
      <c r="AD107" s="192"/>
      <c r="AE107" s="193"/>
      <c r="AF107" s="193"/>
      <c r="AG107" s="54"/>
      <c r="AH107" s="54"/>
      <c r="AI107" s="54"/>
    </row>
    <row r="108" spans="1:35" ht="14.45" customHeight="1" thickBot="1" x14ac:dyDescent="0.3">
      <c r="A108" s="196"/>
      <c r="B108" s="179"/>
      <c r="C108" s="197"/>
      <c r="D108" s="180" t="s">
        <v>349</v>
      </c>
      <c r="E108" s="251">
        <v>60</v>
      </c>
      <c r="F108" s="251">
        <v>60</v>
      </c>
      <c r="G108" s="181" t="s">
        <v>237</v>
      </c>
      <c r="H108" s="128"/>
      <c r="I108" s="84"/>
      <c r="J108" s="84"/>
      <c r="K108" s="84"/>
      <c r="L108" s="84"/>
      <c r="M108" s="84"/>
      <c r="N108" s="84"/>
      <c r="O108" s="84"/>
      <c r="P108" s="84"/>
      <c r="Q108" s="109"/>
      <c r="R108" s="506"/>
      <c r="S108" s="192"/>
      <c r="T108" s="121"/>
      <c r="U108" s="121"/>
      <c r="V108" s="193"/>
      <c r="W108" s="192"/>
      <c r="X108" s="192"/>
      <c r="Y108" s="192"/>
      <c r="Z108" s="193"/>
      <c r="AA108" s="193"/>
      <c r="AB108" s="192"/>
      <c r="AC108" s="192"/>
      <c r="AD108" s="192"/>
      <c r="AE108" s="193"/>
      <c r="AF108" s="193"/>
      <c r="AG108" s="54"/>
      <c r="AH108" s="54"/>
      <c r="AI108" s="54"/>
    </row>
    <row r="109" spans="1:35" ht="18" customHeight="1" thickBot="1" x14ac:dyDescent="0.25">
      <c r="A109" s="127"/>
      <c r="B109" s="128"/>
      <c r="C109" s="136"/>
      <c r="D109" s="124"/>
      <c r="E109" s="787"/>
      <c r="F109" s="198"/>
      <c r="G109" s="128"/>
      <c r="H109" s="128"/>
      <c r="I109" s="84"/>
      <c r="J109" s="84"/>
      <c r="K109" s="84"/>
      <c r="L109" s="84"/>
      <c r="M109" s="84"/>
      <c r="N109" s="84"/>
      <c r="O109" s="84"/>
      <c r="P109" s="84"/>
      <c r="Q109" s="109"/>
      <c r="R109" s="506"/>
      <c r="S109" s="192"/>
      <c r="T109" s="121"/>
      <c r="U109" s="121"/>
      <c r="V109" s="193"/>
      <c r="W109" s="192"/>
      <c r="X109" s="192"/>
      <c r="Y109" s="192"/>
      <c r="Z109" s="193"/>
      <c r="AA109" s="193"/>
      <c r="AB109" s="192"/>
      <c r="AC109" s="192"/>
      <c r="AD109" s="192"/>
      <c r="AE109" s="193"/>
      <c r="AF109" s="193"/>
      <c r="AG109" s="54"/>
      <c r="AH109" s="54"/>
      <c r="AI109" s="54"/>
    </row>
    <row r="110" spans="1:35" ht="14.45" customHeight="1" x14ac:dyDescent="0.25">
      <c r="A110" s="174"/>
      <c r="B110" s="175"/>
      <c r="C110" s="178"/>
      <c r="D110" s="203" t="s">
        <v>750</v>
      </c>
      <c r="E110" s="257" t="s">
        <v>1270</v>
      </c>
      <c r="F110" s="176"/>
      <c r="G110" s="177"/>
      <c r="H110" s="128"/>
      <c r="I110" s="84"/>
      <c r="J110" s="84"/>
      <c r="K110" s="84"/>
      <c r="L110" s="84"/>
      <c r="M110" s="84"/>
      <c r="N110" s="84"/>
      <c r="O110" s="84"/>
      <c r="P110" s="84"/>
      <c r="Q110" s="109"/>
      <c r="R110" s="506"/>
      <c r="S110" s="192"/>
      <c r="T110" s="121"/>
      <c r="U110" s="121"/>
      <c r="V110" s="193"/>
      <c r="W110" s="192"/>
      <c r="X110" s="192"/>
      <c r="Y110" s="192"/>
      <c r="Z110" s="193"/>
      <c r="AA110" s="193"/>
      <c r="AB110" s="192"/>
      <c r="AC110" s="192"/>
      <c r="AD110" s="192"/>
      <c r="AE110" s="193"/>
      <c r="AF110" s="193"/>
      <c r="AG110" s="54"/>
      <c r="AH110" s="54"/>
      <c r="AI110" s="54"/>
    </row>
    <row r="111" spans="1:35" ht="14.45" customHeight="1" x14ac:dyDescent="0.2">
      <c r="A111" s="484"/>
      <c r="B111" s="113"/>
      <c r="C111" s="113"/>
      <c r="D111" s="113"/>
      <c r="E111" s="495" t="s">
        <v>724</v>
      </c>
      <c r="F111" s="494" t="s">
        <v>752</v>
      </c>
      <c r="G111" s="263"/>
      <c r="H111" s="128"/>
      <c r="I111" s="84"/>
      <c r="J111" s="84"/>
      <c r="K111" s="84"/>
      <c r="L111" s="84"/>
      <c r="M111" s="84"/>
      <c r="N111" s="84"/>
      <c r="O111" s="84"/>
      <c r="P111" s="84"/>
      <c r="Q111" s="109"/>
      <c r="R111" s="506"/>
      <c r="S111" s="192"/>
      <c r="T111" s="121"/>
      <c r="U111" s="121"/>
      <c r="V111" s="193"/>
      <c r="W111" s="192"/>
      <c r="X111" s="192"/>
      <c r="Y111" s="192"/>
      <c r="Z111" s="193"/>
      <c r="AA111" s="193"/>
      <c r="AB111" s="192"/>
      <c r="AC111" s="192"/>
      <c r="AD111" s="192"/>
      <c r="AE111" s="193"/>
      <c r="AF111" s="193"/>
      <c r="AG111" s="54"/>
      <c r="AH111" s="54"/>
      <c r="AI111" s="54"/>
    </row>
    <row r="112" spans="1:35" ht="14.45" customHeight="1" x14ac:dyDescent="0.25">
      <c r="A112" s="127"/>
      <c r="B112" s="128"/>
      <c r="C112" s="128"/>
      <c r="D112" s="124" t="s">
        <v>343</v>
      </c>
      <c r="E112" s="255">
        <v>4.2</v>
      </c>
      <c r="F112" s="255">
        <v>4.2</v>
      </c>
      <c r="G112" s="163" t="s">
        <v>53</v>
      </c>
      <c r="H112" s="128"/>
      <c r="I112" s="84"/>
      <c r="J112" s="84"/>
      <c r="K112" s="84"/>
      <c r="L112" s="84"/>
      <c r="M112" s="84"/>
      <c r="N112" s="84"/>
      <c r="O112" s="84"/>
      <c r="P112" s="84"/>
      <c r="Q112" s="109"/>
      <c r="R112" s="506"/>
      <c r="S112" s="192"/>
      <c r="T112" s="121"/>
      <c r="U112" s="121"/>
      <c r="V112" s="193"/>
      <c r="W112" s="192"/>
      <c r="X112" s="192"/>
      <c r="Y112" s="192"/>
      <c r="Z112" s="193"/>
      <c r="AA112" s="193"/>
      <c r="AB112" s="192"/>
      <c r="AC112" s="192"/>
      <c r="AD112" s="192"/>
      <c r="AE112" s="193"/>
      <c r="AF112" s="193"/>
      <c r="AG112" s="54"/>
      <c r="AH112" s="54"/>
      <c r="AI112" s="54"/>
    </row>
    <row r="113" spans="1:35" ht="14.45" customHeight="1" x14ac:dyDescent="0.25">
      <c r="A113" s="127"/>
      <c r="B113" s="128"/>
      <c r="C113" s="128"/>
      <c r="D113" s="124" t="s">
        <v>344</v>
      </c>
      <c r="E113" s="129">
        <v>27</v>
      </c>
      <c r="F113" s="129">
        <v>27</v>
      </c>
      <c r="G113" s="163" t="s">
        <v>69</v>
      </c>
      <c r="H113" s="128"/>
      <c r="I113" s="84"/>
      <c r="J113" s="84"/>
      <c r="K113" s="84"/>
      <c r="L113" s="84"/>
      <c r="M113" s="84"/>
      <c r="N113" s="84"/>
      <c r="O113" s="84"/>
      <c r="P113" s="84"/>
      <c r="Q113" s="109"/>
      <c r="R113" s="506"/>
      <c r="S113" s="192"/>
      <c r="T113" s="121"/>
      <c r="U113" s="121"/>
      <c r="V113" s="193"/>
      <c r="W113" s="192"/>
      <c r="X113" s="192"/>
      <c r="Y113" s="192"/>
      <c r="Z113" s="193"/>
      <c r="AA113" s="193"/>
      <c r="AB113" s="192"/>
      <c r="AC113" s="192"/>
      <c r="AD113" s="192"/>
      <c r="AE113" s="193"/>
      <c r="AF113" s="193"/>
      <c r="AG113" s="54"/>
      <c r="AH113" s="54"/>
      <c r="AI113" s="54"/>
    </row>
    <row r="114" spans="1:35" ht="14.45" customHeight="1" x14ac:dyDescent="0.25">
      <c r="A114" s="127"/>
      <c r="B114" s="128"/>
      <c r="C114" s="136"/>
      <c r="D114" s="124" t="s">
        <v>345</v>
      </c>
      <c r="E114" s="129">
        <v>6.2</v>
      </c>
      <c r="F114" s="129">
        <v>6.2</v>
      </c>
      <c r="G114" s="163" t="s">
        <v>69</v>
      </c>
      <c r="H114" s="128"/>
      <c r="I114" s="84"/>
      <c r="J114" s="84"/>
      <c r="K114" s="84"/>
      <c r="L114" s="84"/>
      <c r="M114" s="84"/>
      <c r="N114" s="84"/>
      <c r="O114" s="84"/>
      <c r="P114" s="84"/>
      <c r="Q114" s="109"/>
      <c r="R114" s="506"/>
      <c r="S114" s="192"/>
      <c r="T114" s="121"/>
      <c r="U114" s="121"/>
      <c r="V114" s="193"/>
      <c r="W114" s="192"/>
      <c r="X114" s="192"/>
      <c r="Y114" s="192"/>
      <c r="Z114" s="193"/>
      <c r="AA114" s="193"/>
      <c r="AB114" s="192"/>
      <c r="AC114" s="192"/>
      <c r="AD114" s="192"/>
      <c r="AE114" s="193"/>
      <c r="AF114" s="193"/>
      <c r="AG114" s="54"/>
      <c r="AH114" s="54"/>
      <c r="AI114" s="54"/>
    </row>
    <row r="115" spans="1:35" ht="14.45" customHeight="1" x14ac:dyDescent="0.25">
      <c r="A115" s="127"/>
      <c r="B115" s="128"/>
      <c r="C115" s="136"/>
      <c r="D115" s="124" t="s">
        <v>346</v>
      </c>
      <c r="E115" s="129">
        <v>6.2</v>
      </c>
      <c r="F115" s="129">
        <v>6.2</v>
      </c>
      <c r="G115" s="163" t="s">
        <v>69</v>
      </c>
      <c r="H115" s="128"/>
      <c r="I115" s="84"/>
      <c r="J115" s="84"/>
      <c r="K115" s="84"/>
      <c r="L115" s="84"/>
      <c r="M115" s="84"/>
      <c r="N115" s="84"/>
      <c r="O115" s="84"/>
      <c r="P115" s="84"/>
      <c r="Q115" s="109"/>
      <c r="R115" s="506"/>
      <c r="S115" s="192"/>
      <c r="T115" s="121"/>
      <c r="U115" s="121"/>
      <c r="V115" s="193"/>
      <c r="W115" s="192"/>
      <c r="X115" s="192"/>
      <c r="Y115" s="192"/>
      <c r="Z115" s="193"/>
      <c r="AA115" s="193"/>
      <c r="AB115" s="192"/>
      <c r="AC115" s="192"/>
      <c r="AD115" s="192"/>
      <c r="AE115" s="193"/>
      <c r="AF115" s="193"/>
      <c r="AG115" s="54"/>
      <c r="AH115" s="54"/>
      <c r="AI115" s="54"/>
    </row>
    <row r="116" spans="1:35" ht="14.45" customHeight="1" x14ac:dyDescent="0.25">
      <c r="A116" s="127"/>
      <c r="B116" s="128"/>
      <c r="C116" s="136"/>
      <c r="D116" s="124" t="s">
        <v>347</v>
      </c>
      <c r="E116" s="129">
        <v>4.7</v>
      </c>
      <c r="F116" s="129">
        <v>4.7</v>
      </c>
      <c r="G116" s="163" t="s">
        <v>167</v>
      </c>
      <c r="H116" s="128"/>
      <c r="I116" s="84"/>
      <c r="J116" s="84"/>
      <c r="K116" s="84"/>
      <c r="L116" s="84"/>
      <c r="M116" s="84"/>
      <c r="N116" s="84"/>
      <c r="O116" s="84"/>
      <c r="P116" s="84"/>
      <c r="Q116" s="109"/>
      <c r="R116" s="506"/>
      <c r="S116" s="192"/>
      <c r="T116" s="121"/>
      <c r="U116" s="121"/>
      <c r="V116" s="193"/>
      <c r="W116" s="192"/>
      <c r="X116" s="192"/>
      <c r="Y116" s="192"/>
      <c r="Z116" s="193"/>
      <c r="AA116" s="193"/>
      <c r="AB116" s="192"/>
      <c r="AC116" s="192"/>
      <c r="AD116" s="192"/>
      <c r="AE116" s="193"/>
      <c r="AF116" s="193"/>
      <c r="AG116" s="54"/>
      <c r="AH116" s="54"/>
      <c r="AI116" s="54"/>
    </row>
    <row r="117" spans="1:35" ht="14.45" customHeight="1" x14ac:dyDescent="0.25">
      <c r="A117" s="127"/>
      <c r="B117" s="128"/>
      <c r="C117" s="136"/>
      <c r="D117" s="124" t="s">
        <v>348</v>
      </c>
      <c r="E117" s="129">
        <v>80</v>
      </c>
      <c r="F117" s="129">
        <v>80</v>
      </c>
      <c r="G117" s="163" t="s">
        <v>70</v>
      </c>
      <c r="H117" s="128"/>
      <c r="I117" s="84"/>
      <c r="J117" s="84"/>
      <c r="K117" s="84"/>
      <c r="L117" s="84"/>
      <c r="M117" s="84"/>
      <c r="N117" s="84"/>
      <c r="O117" s="84"/>
      <c r="P117" s="84"/>
      <c r="Q117" s="109"/>
      <c r="R117" s="506"/>
      <c r="S117" s="54"/>
      <c r="T117" s="6"/>
      <c r="U117" s="6"/>
      <c r="W117" s="54"/>
      <c r="X117" s="54"/>
      <c r="Y117" s="54"/>
      <c r="AB117" s="54"/>
      <c r="AC117" s="54"/>
      <c r="AD117" s="54"/>
      <c r="AG117" s="54"/>
      <c r="AH117" s="54"/>
      <c r="AI117" s="54"/>
    </row>
    <row r="118" spans="1:35" ht="14.45" customHeight="1" x14ac:dyDescent="0.25">
      <c r="A118" s="127"/>
      <c r="B118" s="128"/>
      <c r="C118" s="136"/>
      <c r="D118" s="124" t="s">
        <v>747</v>
      </c>
      <c r="E118" s="129">
        <v>2.2999999999999998</v>
      </c>
      <c r="F118" s="129">
        <v>2.2999999999999998</v>
      </c>
      <c r="G118" s="163" t="s">
        <v>0</v>
      </c>
      <c r="H118" s="128"/>
      <c r="I118" s="84"/>
      <c r="J118" s="84"/>
      <c r="K118" s="84"/>
      <c r="L118" s="84"/>
      <c r="M118" s="84"/>
      <c r="N118" s="84"/>
      <c r="O118" s="84"/>
      <c r="P118" s="84"/>
      <c r="Q118" s="109"/>
      <c r="R118" s="506"/>
      <c r="S118" s="54"/>
      <c r="T118" s="54"/>
      <c r="W118" s="54"/>
      <c r="X118" s="54"/>
      <c r="Y118" s="54"/>
      <c r="AB118" s="54"/>
      <c r="AC118" s="54"/>
      <c r="AD118" s="54"/>
      <c r="AG118" s="54"/>
      <c r="AH118" s="54"/>
      <c r="AI118" s="54"/>
    </row>
    <row r="119" spans="1:35" ht="14.45" customHeight="1" x14ac:dyDescent="0.25">
      <c r="A119" s="127"/>
      <c r="B119" s="128"/>
      <c r="C119" s="128"/>
      <c r="D119" s="124" t="s">
        <v>744</v>
      </c>
      <c r="E119" s="129">
        <v>1</v>
      </c>
      <c r="F119" s="129">
        <v>1</v>
      </c>
      <c r="G119" s="163" t="s">
        <v>0</v>
      </c>
      <c r="H119" s="128"/>
      <c r="I119" s="84"/>
      <c r="J119" s="84"/>
      <c r="K119" s="84"/>
      <c r="L119" s="84"/>
      <c r="M119" s="84"/>
      <c r="N119" s="84"/>
      <c r="O119" s="84"/>
      <c r="P119" s="84"/>
      <c r="Q119" s="109"/>
      <c r="R119" s="506"/>
      <c r="S119" s="54"/>
      <c r="T119" s="54"/>
      <c r="W119" s="54"/>
      <c r="X119" s="54"/>
      <c r="Y119" s="54"/>
      <c r="AB119" s="54"/>
      <c r="AC119" s="54"/>
      <c r="AD119" s="54"/>
      <c r="AG119" s="54"/>
      <c r="AH119" s="54"/>
      <c r="AI119" s="54"/>
    </row>
    <row r="120" spans="1:35" ht="14.45" customHeight="1" x14ac:dyDescent="0.25">
      <c r="A120" s="127"/>
      <c r="B120" s="128"/>
      <c r="C120" s="128"/>
      <c r="D120" s="124" t="s">
        <v>746</v>
      </c>
      <c r="E120" s="129">
        <v>20</v>
      </c>
      <c r="F120" s="2"/>
      <c r="G120" s="163" t="s">
        <v>69</v>
      </c>
      <c r="H120" s="128"/>
      <c r="I120" s="84"/>
      <c r="J120" s="84"/>
      <c r="K120" s="84"/>
      <c r="L120" s="84"/>
      <c r="M120" s="84"/>
      <c r="N120" s="84"/>
      <c r="O120" s="84"/>
      <c r="P120" s="84"/>
      <c r="Q120" s="109"/>
      <c r="R120" s="506"/>
      <c r="S120" s="54"/>
      <c r="T120" s="54"/>
      <c r="W120" s="54"/>
      <c r="X120" s="54"/>
      <c r="Y120" s="54"/>
      <c r="AB120" s="54"/>
      <c r="AC120" s="54"/>
      <c r="AD120" s="54"/>
      <c r="AG120" s="54"/>
      <c r="AH120" s="54"/>
      <c r="AI120" s="54"/>
    </row>
    <row r="121" spans="1:35" ht="14.25" customHeight="1" thickBot="1" x14ac:dyDescent="0.3">
      <c r="A121" s="196"/>
      <c r="B121" s="179"/>
      <c r="C121" s="179"/>
      <c r="D121" s="180" t="s">
        <v>349</v>
      </c>
      <c r="E121" s="251">
        <v>60</v>
      </c>
      <c r="F121" s="251">
        <v>60</v>
      </c>
      <c r="G121" s="181" t="s">
        <v>237</v>
      </c>
      <c r="H121" s="128"/>
      <c r="I121" s="84"/>
      <c r="J121" s="84"/>
      <c r="K121" s="84"/>
      <c r="L121" s="84"/>
      <c r="M121" s="84"/>
      <c r="N121" s="84"/>
      <c r="O121" s="84"/>
      <c r="P121" s="84"/>
      <c r="Q121" s="109"/>
      <c r="R121" s="506"/>
      <c r="S121" s="54"/>
      <c r="T121" s="54"/>
      <c r="W121" s="54"/>
      <c r="X121" s="54"/>
      <c r="Y121" s="54"/>
      <c r="AB121" s="54"/>
      <c r="AC121" s="54"/>
      <c r="AD121" s="54"/>
      <c r="AG121" s="54"/>
      <c r="AH121" s="54"/>
      <c r="AI121" s="54"/>
    </row>
    <row r="122" spans="1:35" ht="14.45" customHeight="1" thickBot="1" x14ac:dyDescent="0.25">
      <c r="A122" s="127"/>
      <c r="B122" s="128"/>
      <c r="C122" s="128"/>
      <c r="D122" s="124"/>
      <c r="E122" s="591"/>
      <c r="F122" s="198"/>
      <c r="G122" s="128"/>
      <c r="H122" s="128"/>
      <c r="I122" s="88"/>
      <c r="J122" s="89"/>
      <c r="K122" s="84"/>
      <c r="L122" s="84"/>
      <c r="M122" s="84"/>
      <c r="N122" s="84"/>
      <c r="O122" s="84"/>
      <c r="P122" s="84"/>
      <c r="Q122" s="109"/>
      <c r="R122" s="506"/>
      <c r="S122" s="54"/>
      <c r="T122" s="54"/>
      <c r="W122" s="54"/>
      <c r="X122" s="54"/>
      <c r="Y122" s="54"/>
      <c r="AB122" s="54"/>
      <c r="AC122" s="54"/>
      <c r="AD122" s="54"/>
      <c r="AG122" s="54"/>
      <c r="AH122" s="54"/>
      <c r="AI122" s="54"/>
    </row>
    <row r="123" spans="1:35" ht="14.45" customHeight="1" x14ac:dyDescent="0.2">
      <c r="A123" s="487" t="s">
        <v>683</v>
      </c>
      <c r="B123" s="472"/>
      <c r="C123" s="473"/>
      <c r="D123" s="487"/>
      <c r="E123" s="492" t="s">
        <v>743</v>
      </c>
      <c r="F123" s="493" t="s">
        <v>753</v>
      </c>
      <c r="G123" s="474"/>
      <c r="H123" s="128"/>
      <c r="I123" s="84"/>
      <c r="J123" s="84"/>
      <c r="K123" s="84"/>
      <c r="L123" s="84"/>
      <c r="M123" s="84"/>
      <c r="N123" s="84"/>
      <c r="O123" s="84"/>
      <c r="P123" s="84"/>
      <c r="Q123" s="109"/>
      <c r="R123" s="506"/>
      <c r="S123" s="54"/>
      <c r="T123" s="54"/>
      <c r="W123" s="54"/>
      <c r="X123" s="54"/>
      <c r="Y123" s="54"/>
      <c r="AB123" s="54"/>
      <c r="AC123" s="54"/>
      <c r="AD123" s="54"/>
      <c r="AG123" s="54"/>
      <c r="AH123" s="54"/>
      <c r="AI123" s="54"/>
    </row>
    <row r="124" spans="1:35" ht="14.45" customHeight="1" x14ac:dyDescent="0.25">
      <c r="A124" s="127"/>
      <c r="B124" s="128"/>
      <c r="C124" s="128"/>
      <c r="D124" s="124" t="s">
        <v>748</v>
      </c>
      <c r="E124" s="252">
        <v>0</v>
      </c>
      <c r="F124" s="252">
        <v>0</v>
      </c>
      <c r="G124" s="163" t="s">
        <v>0</v>
      </c>
      <c r="H124" s="128"/>
      <c r="I124" s="84"/>
      <c r="J124" s="84"/>
      <c r="K124" s="84"/>
      <c r="L124" s="84"/>
      <c r="M124" s="84"/>
      <c r="N124" s="84"/>
      <c r="O124" s="84"/>
      <c r="P124" s="84"/>
      <c r="Q124" s="109"/>
      <c r="R124" s="506"/>
      <c r="S124" s="54"/>
      <c r="T124" s="54"/>
      <c r="W124" s="54"/>
      <c r="X124" s="54"/>
      <c r="Y124" s="54"/>
      <c r="AB124" s="54"/>
      <c r="AC124" s="54"/>
      <c r="AD124" s="54"/>
      <c r="AG124" s="54"/>
      <c r="AH124" s="54"/>
      <c r="AI124" s="54"/>
    </row>
    <row r="125" spans="1:35" ht="14.45" customHeight="1" thickBot="1" x14ac:dyDescent="0.3">
      <c r="A125" s="196"/>
      <c r="B125" s="179"/>
      <c r="C125" s="179"/>
      <c r="D125" s="180" t="s">
        <v>745</v>
      </c>
      <c r="E125" s="253">
        <v>0</v>
      </c>
      <c r="F125" s="253">
        <v>0</v>
      </c>
      <c r="G125" s="181" t="s">
        <v>69</v>
      </c>
      <c r="H125" s="128"/>
      <c r="I125" s="84"/>
      <c r="J125" s="84"/>
      <c r="K125" s="84"/>
      <c r="L125" s="84"/>
      <c r="M125" s="84"/>
      <c r="N125" s="84"/>
      <c r="O125" s="84"/>
      <c r="P125" s="84"/>
      <c r="Q125" s="109"/>
      <c r="R125" s="506"/>
      <c r="S125" s="54"/>
      <c r="T125" s="54"/>
      <c r="W125" s="54"/>
      <c r="X125" s="54"/>
      <c r="Y125" s="54"/>
      <c r="AB125" s="54"/>
      <c r="AC125" s="54"/>
      <c r="AD125" s="54"/>
      <c r="AG125" s="54"/>
      <c r="AH125" s="54"/>
      <c r="AI125" s="54"/>
    </row>
    <row r="126" spans="1:35" ht="13.5" thickBot="1" x14ac:dyDescent="0.25">
      <c r="A126" s="160"/>
      <c r="B126" s="161"/>
      <c r="C126" s="161"/>
      <c r="D126" s="161"/>
      <c r="E126" s="204"/>
      <c r="F126" s="161"/>
      <c r="G126" s="161"/>
      <c r="H126" s="161"/>
      <c r="I126" s="205"/>
      <c r="J126" s="205"/>
      <c r="K126" s="205"/>
      <c r="L126" s="205"/>
      <c r="M126" s="205"/>
      <c r="N126" s="205"/>
      <c r="O126" s="205"/>
      <c r="P126" s="205"/>
      <c r="Q126" s="206"/>
      <c r="R126" s="506"/>
      <c r="S126" s="54"/>
      <c r="T126" s="54"/>
      <c r="W126" s="54"/>
      <c r="X126" s="54"/>
      <c r="Y126" s="54"/>
      <c r="AB126" s="54"/>
      <c r="AC126" s="54"/>
      <c r="AD126" s="54"/>
      <c r="AG126" s="54"/>
      <c r="AH126" s="54"/>
      <c r="AI126" s="54"/>
    </row>
    <row r="127" spans="1:35" x14ac:dyDescent="0.2">
      <c r="A127" s="503"/>
      <c r="B127" s="504"/>
      <c r="C127" s="505"/>
      <c r="D127" s="505"/>
      <c r="E127" s="505"/>
      <c r="F127" s="505"/>
      <c r="G127" s="505"/>
      <c r="H127" s="505"/>
      <c r="I127" s="505"/>
      <c r="J127" s="505"/>
      <c r="K127" s="505"/>
      <c r="L127" s="505"/>
      <c r="M127" s="505"/>
      <c r="N127" s="505"/>
      <c r="O127" s="505"/>
      <c r="P127" s="505"/>
      <c r="Q127" s="505"/>
      <c r="R127" s="506"/>
      <c r="S127" s="54"/>
      <c r="T127" s="54"/>
      <c r="W127" s="54"/>
      <c r="X127" s="54"/>
      <c r="Y127" s="54"/>
      <c r="AB127" s="54"/>
      <c r="AC127" s="54"/>
      <c r="AD127" s="54"/>
      <c r="AG127" s="54"/>
      <c r="AH127" s="54"/>
      <c r="AI127" s="54"/>
    </row>
    <row r="128" spans="1:35" x14ac:dyDescent="0.2">
      <c r="A128" s="80"/>
      <c r="R128" s="54"/>
      <c r="S128" s="54"/>
      <c r="T128" s="54"/>
      <c r="W128" s="54"/>
      <c r="X128" s="54"/>
      <c r="Y128" s="54"/>
      <c r="AB128" s="54"/>
      <c r="AC128" s="54"/>
      <c r="AD128" s="54"/>
      <c r="AG128" s="54"/>
      <c r="AH128" s="54"/>
      <c r="AI128" s="54"/>
    </row>
    <row r="129" spans="18:35" x14ac:dyDescent="0.2">
      <c r="R129" s="54"/>
      <c r="S129" s="54"/>
      <c r="T129" s="54"/>
      <c r="W129" s="54"/>
      <c r="X129" s="54"/>
      <c r="Y129" s="54"/>
      <c r="AB129" s="54"/>
      <c r="AC129" s="54"/>
      <c r="AD129" s="54"/>
      <c r="AG129" s="54"/>
      <c r="AH129" s="54"/>
      <c r="AI129" s="54"/>
    </row>
    <row r="130" spans="18:35" x14ac:dyDescent="0.2">
      <c r="R130" s="54"/>
      <c r="S130" s="54"/>
      <c r="T130" s="54"/>
      <c r="W130" s="54"/>
      <c r="X130" s="54"/>
      <c r="Y130" s="54"/>
      <c r="AB130" s="54"/>
      <c r="AC130" s="54"/>
      <c r="AD130" s="54"/>
      <c r="AG130" s="54"/>
      <c r="AH130" s="54"/>
      <c r="AI130" s="54"/>
    </row>
    <row r="131" spans="18:35" x14ac:dyDescent="0.2">
      <c r="R131" s="54"/>
      <c r="S131" s="54"/>
      <c r="T131" s="54"/>
      <c r="W131" s="54"/>
      <c r="X131" s="54"/>
      <c r="Y131" s="54"/>
      <c r="AB131" s="54"/>
      <c r="AC131" s="54"/>
      <c r="AD131" s="54"/>
      <c r="AG131" s="54"/>
      <c r="AH131" s="54"/>
      <c r="AI131" s="54"/>
    </row>
    <row r="132" spans="18:35" x14ac:dyDescent="0.2">
      <c r="R132" s="54"/>
      <c r="S132" s="54"/>
      <c r="T132" s="54"/>
      <c r="W132" s="54"/>
      <c r="X132" s="54"/>
      <c r="Y132" s="54"/>
      <c r="AB132" s="54"/>
      <c r="AC132" s="54"/>
      <c r="AD132" s="54"/>
      <c r="AG132" s="54"/>
      <c r="AH132" s="54"/>
      <c r="AI132" s="54"/>
    </row>
    <row r="133" spans="18:35" x14ac:dyDescent="0.2">
      <c r="R133" s="54"/>
      <c r="S133" s="54"/>
      <c r="T133" s="54"/>
      <c r="W133" s="54"/>
      <c r="X133" s="54"/>
      <c r="Y133" s="54"/>
      <c r="AB133" s="54"/>
      <c r="AC133" s="54"/>
      <c r="AD133" s="54"/>
      <c r="AG133" s="54"/>
      <c r="AH133" s="54"/>
      <c r="AI133" s="54"/>
    </row>
    <row r="134" spans="18:35" x14ac:dyDescent="0.2">
      <c r="R134" s="54"/>
      <c r="S134" s="54"/>
      <c r="T134" s="54"/>
      <c r="W134" s="54"/>
      <c r="X134" s="54"/>
      <c r="Y134" s="54"/>
      <c r="AB134" s="54"/>
      <c r="AC134" s="54"/>
      <c r="AD134" s="54"/>
      <c r="AG134" s="54"/>
      <c r="AH134" s="54"/>
      <c r="AI134" s="54"/>
    </row>
    <row r="135" spans="18:35" x14ac:dyDescent="0.2">
      <c r="R135" s="54"/>
      <c r="S135" s="54"/>
      <c r="T135" s="54"/>
      <c r="W135" s="54"/>
      <c r="X135" s="54"/>
      <c r="Y135" s="54"/>
      <c r="AB135" s="54"/>
      <c r="AC135" s="54"/>
      <c r="AD135" s="54"/>
      <c r="AG135" s="54"/>
      <c r="AH135" s="54"/>
      <c r="AI135" s="54"/>
    </row>
    <row r="136" spans="18:35" x14ac:dyDescent="0.2">
      <c r="R136" s="54"/>
      <c r="S136" s="54"/>
      <c r="T136" s="54"/>
      <c r="W136" s="54"/>
      <c r="X136" s="54"/>
      <c r="Y136" s="54"/>
      <c r="AB136" s="54"/>
      <c r="AC136" s="54"/>
      <c r="AD136" s="54"/>
      <c r="AG136" s="54"/>
      <c r="AH136" s="54"/>
      <c r="AI136" s="54"/>
    </row>
    <row r="137" spans="18:35" x14ac:dyDescent="0.2">
      <c r="R137" s="54"/>
      <c r="S137" s="54"/>
      <c r="T137" s="54"/>
      <c r="W137" s="54"/>
      <c r="X137" s="54"/>
      <c r="Y137" s="54"/>
      <c r="AB137" s="54"/>
      <c r="AC137" s="54"/>
      <c r="AD137" s="54"/>
      <c r="AG137" s="54"/>
      <c r="AH137" s="54"/>
      <c r="AI137" s="54"/>
    </row>
    <row r="138" spans="18:35" x14ac:dyDescent="0.2">
      <c r="R138" s="54"/>
      <c r="S138" s="54"/>
      <c r="T138" s="54"/>
      <c r="W138" s="54"/>
      <c r="X138" s="54"/>
      <c r="Y138" s="54"/>
      <c r="AB138" s="54"/>
      <c r="AC138" s="54"/>
      <c r="AD138" s="54"/>
      <c r="AG138" s="54"/>
      <c r="AH138" s="54"/>
      <c r="AI138" s="54"/>
    </row>
    <row r="139" spans="18:35" x14ac:dyDescent="0.2">
      <c r="R139" s="54"/>
      <c r="S139" s="54"/>
      <c r="T139" s="54"/>
      <c r="W139" s="54"/>
      <c r="X139" s="54"/>
      <c r="Y139" s="54"/>
      <c r="AB139" s="54"/>
      <c r="AC139" s="54"/>
      <c r="AD139" s="54"/>
      <c r="AG139" s="54"/>
      <c r="AH139" s="54"/>
      <c r="AI139" s="54"/>
    </row>
    <row r="140" spans="18:35" x14ac:dyDescent="0.2">
      <c r="R140" s="54"/>
      <c r="S140" s="54"/>
      <c r="T140" s="54"/>
      <c r="W140" s="54"/>
      <c r="X140" s="54"/>
      <c r="Y140" s="54"/>
      <c r="AB140" s="54"/>
      <c r="AC140" s="54"/>
      <c r="AD140" s="54"/>
      <c r="AG140" s="54"/>
      <c r="AH140" s="54"/>
      <c r="AI140" s="54"/>
    </row>
    <row r="141" spans="18:35" x14ac:dyDescent="0.2">
      <c r="R141" s="54"/>
      <c r="S141" s="54"/>
      <c r="T141" s="54"/>
      <c r="W141" s="54"/>
      <c r="X141" s="54"/>
      <c r="Y141" s="54"/>
      <c r="AB141" s="54"/>
      <c r="AC141" s="54"/>
      <c r="AD141" s="54"/>
      <c r="AG141" s="54"/>
      <c r="AH141" s="54"/>
      <c r="AI141" s="54"/>
    </row>
    <row r="142" spans="18:35" x14ac:dyDescent="0.2">
      <c r="R142" s="54"/>
      <c r="S142" s="54"/>
      <c r="T142" s="54"/>
      <c r="W142" s="54"/>
      <c r="X142" s="54"/>
      <c r="Y142" s="54"/>
      <c r="AB142" s="54"/>
      <c r="AC142" s="54"/>
      <c r="AD142" s="54"/>
      <c r="AG142" s="54"/>
      <c r="AH142" s="54"/>
      <c r="AI142" s="54"/>
    </row>
    <row r="143" spans="18:35" x14ac:dyDescent="0.2">
      <c r="R143" s="54"/>
      <c r="S143" s="54"/>
      <c r="T143" s="54"/>
      <c r="W143" s="54"/>
      <c r="X143" s="54"/>
      <c r="Y143" s="54"/>
      <c r="AB143" s="54"/>
      <c r="AC143" s="54"/>
      <c r="AD143" s="54"/>
      <c r="AG143" s="54"/>
      <c r="AH143" s="54"/>
      <c r="AI143" s="54"/>
    </row>
    <row r="144" spans="18:35" x14ac:dyDescent="0.2">
      <c r="R144" s="54"/>
      <c r="S144" s="54"/>
      <c r="T144" s="54"/>
      <c r="W144" s="54"/>
      <c r="X144" s="54"/>
      <c r="Y144" s="54"/>
      <c r="AB144" s="54"/>
      <c r="AC144" s="54"/>
      <c r="AD144" s="54"/>
      <c r="AG144" s="54"/>
      <c r="AH144" s="54"/>
      <c r="AI144" s="54"/>
    </row>
    <row r="145" spans="18:35" x14ac:dyDescent="0.2">
      <c r="R145" s="54"/>
      <c r="S145" s="54"/>
      <c r="T145" s="54"/>
      <c r="W145" s="54"/>
      <c r="X145" s="54"/>
      <c r="Y145" s="54"/>
      <c r="AB145" s="54"/>
      <c r="AC145" s="54"/>
      <c r="AD145" s="54"/>
      <c r="AG145" s="54"/>
      <c r="AH145" s="54"/>
      <c r="AI145" s="54"/>
    </row>
    <row r="146" spans="18:35" x14ac:dyDescent="0.2">
      <c r="R146" s="54"/>
      <c r="S146" s="54"/>
      <c r="T146" s="54"/>
      <c r="W146" s="54"/>
      <c r="X146" s="54"/>
      <c r="Y146" s="54"/>
      <c r="AB146" s="54"/>
      <c r="AC146" s="54"/>
      <c r="AD146" s="54"/>
      <c r="AG146" s="54"/>
      <c r="AH146" s="54"/>
      <c r="AI146" s="54"/>
    </row>
    <row r="147" spans="18:35" x14ac:dyDescent="0.2">
      <c r="R147" s="54"/>
      <c r="S147" s="54"/>
      <c r="T147" s="54"/>
      <c r="W147" s="54"/>
      <c r="X147" s="54"/>
      <c r="Y147" s="54"/>
      <c r="AB147" s="54"/>
      <c r="AC147" s="54"/>
      <c r="AD147" s="54"/>
      <c r="AG147" s="54"/>
      <c r="AH147" s="54"/>
      <c r="AI147" s="54"/>
    </row>
    <row r="148" spans="18:35" x14ac:dyDescent="0.2">
      <c r="R148" s="54"/>
      <c r="S148" s="54"/>
      <c r="T148" s="54"/>
      <c r="W148" s="54"/>
      <c r="X148" s="54"/>
      <c r="Y148" s="54"/>
      <c r="AB148" s="54"/>
      <c r="AC148" s="54"/>
      <c r="AD148" s="54"/>
      <c r="AG148" s="54"/>
      <c r="AH148" s="54"/>
      <c r="AI148" s="54"/>
    </row>
    <row r="149" spans="18:35" x14ac:dyDescent="0.2">
      <c r="R149" s="54"/>
      <c r="S149" s="54"/>
      <c r="T149" s="54"/>
      <c r="W149" s="54"/>
      <c r="X149" s="54"/>
      <c r="Y149" s="54"/>
      <c r="AB149" s="54"/>
      <c r="AC149" s="54"/>
      <c r="AD149" s="54"/>
      <c r="AG149" s="54"/>
      <c r="AH149" s="54"/>
      <c r="AI149" s="54"/>
    </row>
    <row r="150" spans="18:35" x14ac:dyDescent="0.2">
      <c r="R150" s="54"/>
      <c r="S150" s="54"/>
      <c r="T150" s="54"/>
      <c r="W150" s="54"/>
      <c r="X150" s="54"/>
      <c r="Y150" s="54"/>
      <c r="AB150" s="54"/>
      <c r="AC150" s="54"/>
      <c r="AD150" s="54"/>
      <c r="AG150" s="54"/>
      <c r="AH150" s="54"/>
      <c r="AI150" s="54"/>
    </row>
    <row r="151" spans="18:35" x14ac:dyDescent="0.2">
      <c r="R151" s="54"/>
      <c r="S151" s="54"/>
      <c r="T151" s="54"/>
      <c r="W151" s="54"/>
      <c r="X151" s="54"/>
      <c r="Y151" s="54"/>
      <c r="AB151" s="54"/>
      <c r="AC151" s="54"/>
      <c r="AD151" s="54"/>
      <c r="AG151" s="54"/>
      <c r="AH151" s="54"/>
      <c r="AI151" s="54"/>
    </row>
    <row r="152" spans="18:35" x14ac:dyDescent="0.2">
      <c r="R152" s="54"/>
      <c r="S152" s="54"/>
      <c r="T152" s="54"/>
      <c r="W152" s="54"/>
      <c r="X152" s="54"/>
      <c r="Y152" s="54"/>
      <c r="AB152" s="54"/>
      <c r="AC152" s="54"/>
      <c r="AD152" s="54"/>
      <c r="AG152" s="54"/>
      <c r="AH152" s="54"/>
      <c r="AI152" s="54"/>
    </row>
    <row r="153" spans="18:35" x14ac:dyDescent="0.2">
      <c r="R153" s="54"/>
      <c r="S153" s="54"/>
      <c r="T153" s="54"/>
      <c r="W153" s="54"/>
      <c r="X153" s="54"/>
      <c r="Y153" s="54"/>
      <c r="AB153" s="54"/>
      <c r="AC153" s="54"/>
      <c r="AD153" s="54"/>
      <c r="AG153" s="54"/>
      <c r="AH153" s="54"/>
      <c r="AI153" s="54"/>
    </row>
    <row r="154" spans="18:35" x14ac:dyDescent="0.2">
      <c r="R154" s="54"/>
      <c r="S154" s="54"/>
      <c r="T154" s="54"/>
      <c r="W154" s="54"/>
      <c r="X154" s="54"/>
      <c r="Y154" s="54"/>
      <c r="AB154" s="54"/>
      <c r="AC154" s="54"/>
      <c r="AD154" s="54"/>
      <c r="AG154" s="54"/>
      <c r="AH154" s="54"/>
      <c r="AI154" s="54"/>
    </row>
    <row r="155" spans="18:35" x14ac:dyDescent="0.2">
      <c r="R155" s="54"/>
      <c r="S155" s="54"/>
      <c r="T155" s="54"/>
      <c r="W155" s="54"/>
      <c r="X155" s="54"/>
      <c r="Y155" s="54"/>
      <c r="AB155" s="54"/>
      <c r="AC155" s="54"/>
      <c r="AD155" s="54"/>
      <c r="AG155" s="54"/>
      <c r="AH155" s="54"/>
      <c r="AI155" s="54"/>
    </row>
    <row r="156" spans="18:35" x14ac:dyDescent="0.2">
      <c r="R156" s="54"/>
      <c r="S156" s="54"/>
      <c r="T156" s="54"/>
      <c r="W156" s="54"/>
      <c r="X156" s="54"/>
      <c r="Y156" s="54"/>
      <c r="AB156" s="54"/>
      <c r="AC156" s="54"/>
      <c r="AD156" s="54"/>
      <c r="AG156" s="54"/>
      <c r="AH156" s="54"/>
      <c r="AI156" s="54"/>
    </row>
    <row r="157" spans="18:35" x14ac:dyDescent="0.2">
      <c r="R157" s="54"/>
      <c r="S157" s="54"/>
      <c r="T157" s="54"/>
      <c r="W157" s="54"/>
      <c r="X157" s="54"/>
      <c r="Y157" s="54"/>
      <c r="AB157" s="54"/>
      <c r="AC157" s="54"/>
      <c r="AD157" s="54"/>
      <c r="AG157" s="54"/>
      <c r="AH157" s="54"/>
      <c r="AI157" s="54"/>
    </row>
    <row r="158" spans="18:35" x14ac:dyDescent="0.2">
      <c r="R158" s="54"/>
      <c r="S158" s="54"/>
      <c r="T158" s="54"/>
      <c r="W158" s="54"/>
      <c r="X158" s="54"/>
      <c r="Y158" s="54"/>
      <c r="AB158" s="54"/>
      <c r="AC158" s="54"/>
      <c r="AD158" s="54"/>
      <c r="AG158" s="54"/>
      <c r="AH158" s="54"/>
      <c r="AI158" s="54"/>
    </row>
    <row r="159" spans="18:35" x14ac:dyDescent="0.2">
      <c r="R159" s="54"/>
      <c r="S159" s="54"/>
      <c r="T159" s="54"/>
      <c r="W159" s="54"/>
      <c r="X159" s="54"/>
      <c r="Y159" s="54"/>
      <c r="AB159" s="54"/>
      <c r="AC159" s="54"/>
      <c r="AD159" s="54"/>
      <c r="AG159" s="54"/>
      <c r="AH159" s="54"/>
      <c r="AI159" s="54"/>
    </row>
    <row r="160" spans="18:35" x14ac:dyDescent="0.2">
      <c r="R160" s="54"/>
      <c r="S160" s="54"/>
      <c r="T160" s="54"/>
      <c r="W160" s="54"/>
      <c r="X160" s="54"/>
      <c r="Y160" s="54"/>
      <c r="AB160" s="54"/>
      <c r="AC160" s="54"/>
      <c r="AD160" s="54"/>
      <c r="AG160" s="54"/>
      <c r="AH160" s="54"/>
      <c r="AI160" s="54"/>
    </row>
    <row r="161" spans="18:35" x14ac:dyDescent="0.2">
      <c r="R161" s="54"/>
      <c r="S161" s="54"/>
      <c r="T161" s="54"/>
      <c r="W161" s="54"/>
      <c r="X161" s="54"/>
      <c r="Y161" s="54"/>
      <c r="AB161" s="54"/>
      <c r="AC161" s="54"/>
      <c r="AD161" s="54"/>
      <c r="AG161" s="54"/>
      <c r="AH161" s="54"/>
      <c r="AI161" s="54"/>
    </row>
    <row r="162" spans="18:35" x14ac:dyDescent="0.2">
      <c r="R162" s="54"/>
      <c r="S162" s="54"/>
      <c r="T162" s="54"/>
      <c r="W162" s="54"/>
      <c r="X162" s="54"/>
      <c r="Y162" s="54"/>
      <c r="AB162" s="54"/>
      <c r="AC162" s="54"/>
      <c r="AD162" s="54"/>
      <c r="AG162" s="54"/>
      <c r="AH162" s="54"/>
      <c r="AI162" s="54"/>
    </row>
    <row r="163" spans="18:35" x14ac:dyDescent="0.2">
      <c r="R163" s="54"/>
      <c r="S163" s="54"/>
      <c r="T163" s="54"/>
      <c r="W163" s="54"/>
      <c r="X163" s="54"/>
      <c r="Y163" s="54"/>
      <c r="AB163" s="54"/>
      <c r="AC163" s="54"/>
      <c r="AD163" s="54"/>
      <c r="AG163" s="54"/>
      <c r="AH163" s="54"/>
      <c r="AI163" s="54"/>
    </row>
    <row r="164" spans="18:35" x14ac:dyDescent="0.2">
      <c r="R164" s="54"/>
      <c r="S164" s="54"/>
      <c r="T164" s="54"/>
      <c r="W164" s="54"/>
      <c r="X164" s="54"/>
      <c r="Y164" s="54"/>
      <c r="AB164" s="54"/>
      <c r="AC164" s="54"/>
      <c r="AD164" s="54"/>
      <c r="AG164" s="54"/>
      <c r="AH164" s="54"/>
      <c r="AI164" s="54"/>
    </row>
    <row r="165" spans="18:35" x14ac:dyDescent="0.2">
      <c r="R165" s="54"/>
      <c r="S165" s="54"/>
      <c r="T165" s="54"/>
      <c r="W165" s="54"/>
      <c r="X165" s="54"/>
      <c r="Y165" s="54"/>
      <c r="AB165" s="54"/>
      <c r="AC165" s="54"/>
      <c r="AD165" s="54"/>
      <c r="AG165" s="54"/>
      <c r="AH165" s="54"/>
      <c r="AI165" s="54"/>
    </row>
    <row r="166" spans="18:35" x14ac:dyDescent="0.2">
      <c r="R166" s="54"/>
      <c r="S166" s="54"/>
      <c r="T166" s="54"/>
      <c r="W166" s="54"/>
      <c r="X166" s="54"/>
      <c r="Y166" s="54"/>
      <c r="AB166" s="54"/>
      <c r="AC166" s="54"/>
      <c r="AD166" s="54"/>
      <c r="AG166" s="54"/>
      <c r="AH166" s="54"/>
      <c r="AI166" s="54"/>
    </row>
    <row r="167" spans="18:35" x14ac:dyDescent="0.2">
      <c r="R167" s="54"/>
      <c r="S167" s="54"/>
      <c r="T167" s="54"/>
      <c r="W167" s="54"/>
      <c r="X167" s="54"/>
      <c r="Y167" s="54"/>
      <c r="AB167" s="54"/>
      <c r="AC167" s="54"/>
      <c r="AD167" s="54"/>
      <c r="AG167" s="54"/>
      <c r="AH167" s="54"/>
      <c r="AI167" s="54"/>
    </row>
    <row r="168" spans="18:35" x14ac:dyDescent="0.2">
      <c r="R168" s="54"/>
      <c r="S168" s="54"/>
      <c r="T168" s="54"/>
      <c r="W168" s="54"/>
      <c r="X168" s="54"/>
      <c r="Y168" s="54"/>
      <c r="AB168" s="54"/>
      <c r="AC168" s="54"/>
      <c r="AD168" s="54"/>
      <c r="AG168" s="54"/>
      <c r="AH168" s="54"/>
      <c r="AI168" s="54"/>
    </row>
    <row r="169" spans="18:35" x14ac:dyDescent="0.2">
      <c r="R169" s="54"/>
      <c r="S169" s="54"/>
      <c r="T169" s="54"/>
      <c r="W169" s="54"/>
      <c r="X169" s="54"/>
      <c r="Y169" s="54"/>
      <c r="AB169" s="54"/>
      <c r="AC169" s="54"/>
      <c r="AD169" s="54"/>
      <c r="AG169" s="54"/>
      <c r="AH169" s="54"/>
      <c r="AI169" s="54"/>
    </row>
    <row r="170" spans="18:35" x14ac:dyDescent="0.2">
      <c r="R170" s="54"/>
      <c r="S170" s="54"/>
      <c r="T170" s="54"/>
      <c r="W170" s="54"/>
      <c r="X170" s="54"/>
      <c r="Y170" s="54"/>
      <c r="AB170" s="54"/>
      <c r="AC170" s="54"/>
      <c r="AD170" s="54"/>
      <c r="AG170" s="54"/>
      <c r="AH170" s="54"/>
      <c r="AI170" s="54"/>
    </row>
    <row r="171" spans="18:35" x14ac:dyDescent="0.2">
      <c r="R171" s="54"/>
      <c r="S171" s="54"/>
      <c r="T171" s="54"/>
      <c r="W171" s="54"/>
      <c r="X171" s="54"/>
      <c r="Y171" s="54"/>
      <c r="AB171" s="54"/>
      <c r="AC171" s="54"/>
      <c r="AD171" s="54"/>
      <c r="AG171" s="54"/>
      <c r="AH171" s="54"/>
      <c r="AI171" s="54"/>
    </row>
    <row r="172" spans="18:35" x14ac:dyDescent="0.2">
      <c r="R172" s="54"/>
      <c r="S172" s="54"/>
      <c r="T172" s="54"/>
      <c r="W172" s="54"/>
      <c r="X172" s="54"/>
      <c r="Y172" s="54"/>
      <c r="AB172" s="54"/>
      <c r="AC172" s="54"/>
      <c r="AD172" s="54"/>
      <c r="AG172" s="54"/>
      <c r="AH172" s="54"/>
      <c r="AI172" s="54"/>
    </row>
    <row r="173" spans="18:35" x14ac:dyDescent="0.2">
      <c r="R173" s="54"/>
      <c r="S173" s="54"/>
      <c r="T173" s="54"/>
      <c r="W173" s="54"/>
      <c r="X173" s="54"/>
      <c r="Y173" s="54"/>
      <c r="AB173" s="54"/>
      <c r="AC173" s="54"/>
      <c r="AD173" s="54"/>
      <c r="AG173" s="54"/>
      <c r="AH173" s="54"/>
      <c r="AI173" s="54"/>
    </row>
    <row r="174" spans="18:35" x14ac:dyDescent="0.2">
      <c r="R174" s="54"/>
      <c r="S174" s="54"/>
      <c r="T174" s="54"/>
      <c r="W174" s="54"/>
      <c r="X174" s="54"/>
      <c r="Y174" s="54"/>
      <c r="AB174" s="54"/>
      <c r="AC174" s="54"/>
      <c r="AD174" s="54"/>
      <c r="AG174" s="54"/>
      <c r="AH174" s="54"/>
      <c r="AI174" s="54"/>
    </row>
    <row r="175" spans="18:35" x14ac:dyDescent="0.2">
      <c r="R175" s="54"/>
      <c r="S175" s="54"/>
      <c r="T175" s="54"/>
      <c r="W175" s="54"/>
      <c r="X175" s="54"/>
      <c r="Y175" s="54"/>
      <c r="AB175" s="54"/>
      <c r="AC175" s="54"/>
      <c r="AD175" s="54"/>
      <c r="AG175" s="54"/>
      <c r="AH175" s="54"/>
      <c r="AI175" s="54"/>
    </row>
    <row r="176" spans="18:35" x14ac:dyDescent="0.2">
      <c r="R176" s="54"/>
      <c r="S176" s="54"/>
      <c r="T176" s="54"/>
      <c r="W176" s="54"/>
      <c r="X176" s="54"/>
      <c r="Y176" s="54"/>
      <c r="AB176" s="54"/>
      <c r="AC176" s="54"/>
      <c r="AD176" s="54"/>
      <c r="AG176" s="54"/>
      <c r="AH176" s="54"/>
      <c r="AI176" s="54"/>
    </row>
    <row r="177" spans="18:35" x14ac:dyDescent="0.2">
      <c r="R177" s="54"/>
      <c r="S177" s="54"/>
      <c r="T177" s="54"/>
      <c r="W177" s="54"/>
      <c r="X177" s="54"/>
      <c r="Y177" s="54"/>
      <c r="AB177" s="54"/>
      <c r="AC177" s="54"/>
      <c r="AD177" s="54"/>
      <c r="AG177" s="54"/>
      <c r="AH177" s="54"/>
      <c r="AI177" s="54"/>
    </row>
    <row r="178" spans="18:35" x14ac:dyDescent="0.2">
      <c r="R178" s="54"/>
      <c r="S178" s="54"/>
      <c r="T178" s="54"/>
      <c r="W178" s="54"/>
      <c r="X178" s="54"/>
      <c r="Y178" s="54"/>
      <c r="AB178" s="54"/>
      <c r="AC178" s="54"/>
      <c r="AD178" s="54"/>
      <c r="AG178" s="54"/>
      <c r="AH178" s="54"/>
      <c r="AI178" s="54"/>
    </row>
    <row r="179" spans="18:35" x14ac:dyDescent="0.2">
      <c r="R179" s="54"/>
      <c r="S179" s="54"/>
      <c r="T179" s="54"/>
      <c r="W179" s="54"/>
      <c r="X179" s="54"/>
      <c r="Y179" s="54"/>
      <c r="AB179" s="54"/>
      <c r="AC179" s="54"/>
      <c r="AD179" s="54"/>
      <c r="AG179" s="54"/>
      <c r="AH179" s="54"/>
      <c r="AI179" s="54"/>
    </row>
    <row r="180" spans="18:35" x14ac:dyDescent="0.2">
      <c r="R180" s="54"/>
      <c r="S180" s="54"/>
      <c r="T180" s="54"/>
      <c r="W180" s="54"/>
      <c r="X180" s="54"/>
      <c r="Y180" s="54"/>
      <c r="AB180" s="54"/>
      <c r="AC180" s="54"/>
      <c r="AD180" s="54"/>
      <c r="AG180" s="54"/>
      <c r="AH180" s="54"/>
      <c r="AI180" s="54"/>
    </row>
    <row r="181" spans="18:35" x14ac:dyDescent="0.2">
      <c r="R181" s="54"/>
      <c r="S181" s="54"/>
      <c r="T181" s="54"/>
      <c r="W181" s="54"/>
      <c r="X181" s="54"/>
      <c r="Y181" s="54"/>
      <c r="AB181" s="54"/>
      <c r="AC181" s="54"/>
      <c r="AD181" s="54"/>
      <c r="AG181" s="54"/>
      <c r="AH181" s="54"/>
      <c r="AI181" s="54"/>
    </row>
    <row r="182" spans="18:35" x14ac:dyDescent="0.2">
      <c r="R182" s="54"/>
      <c r="S182" s="54"/>
      <c r="T182" s="54"/>
      <c r="W182" s="54"/>
      <c r="X182" s="54"/>
      <c r="Y182" s="54"/>
      <c r="AB182" s="54"/>
      <c r="AC182" s="54"/>
      <c r="AD182" s="54"/>
      <c r="AG182" s="54"/>
      <c r="AH182" s="54"/>
      <c r="AI182" s="54"/>
    </row>
    <row r="183" spans="18:35" x14ac:dyDescent="0.2">
      <c r="R183" s="54"/>
      <c r="S183" s="54"/>
      <c r="T183" s="54"/>
      <c r="W183" s="54"/>
      <c r="X183" s="54"/>
      <c r="Y183" s="54"/>
      <c r="AB183" s="54"/>
      <c r="AC183" s="54"/>
      <c r="AD183" s="54"/>
      <c r="AG183" s="54"/>
      <c r="AH183" s="54"/>
      <c r="AI183" s="54"/>
    </row>
    <row r="184" spans="18:35" x14ac:dyDescent="0.2">
      <c r="R184" s="54"/>
      <c r="S184" s="54"/>
      <c r="T184" s="54"/>
      <c r="W184" s="54"/>
      <c r="X184" s="54"/>
      <c r="Y184" s="54"/>
      <c r="AB184" s="54"/>
      <c r="AC184" s="54"/>
      <c r="AD184" s="54"/>
      <c r="AG184" s="54"/>
      <c r="AH184" s="54"/>
      <c r="AI184" s="54"/>
    </row>
    <row r="185" spans="18:35" x14ac:dyDescent="0.2">
      <c r="R185" s="54"/>
      <c r="S185" s="54"/>
      <c r="T185" s="54"/>
      <c r="W185" s="54"/>
      <c r="X185" s="54"/>
      <c r="Y185" s="54"/>
      <c r="AB185" s="54"/>
      <c r="AC185" s="54"/>
      <c r="AD185" s="54"/>
      <c r="AG185" s="54"/>
      <c r="AH185" s="54"/>
      <c r="AI185" s="54"/>
    </row>
    <row r="186" spans="18:35" x14ac:dyDescent="0.2">
      <c r="R186" s="54"/>
      <c r="S186" s="54"/>
      <c r="T186" s="54"/>
      <c r="W186" s="54"/>
      <c r="X186" s="54"/>
      <c r="Y186" s="54"/>
      <c r="AB186" s="54"/>
      <c r="AC186" s="54"/>
      <c r="AD186" s="54"/>
      <c r="AG186" s="54"/>
      <c r="AH186" s="54"/>
      <c r="AI186" s="54"/>
    </row>
    <row r="187" spans="18:35" x14ac:dyDescent="0.2">
      <c r="R187" s="54"/>
      <c r="S187" s="54"/>
      <c r="T187" s="54"/>
      <c r="W187" s="54"/>
      <c r="X187" s="54"/>
      <c r="Y187" s="54"/>
      <c r="AB187" s="54"/>
      <c r="AC187" s="54"/>
      <c r="AD187" s="54"/>
      <c r="AG187" s="54"/>
      <c r="AH187" s="54"/>
      <c r="AI187" s="54"/>
    </row>
    <row r="188" spans="18:35" x14ac:dyDescent="0.2">
      <c r="R188" s="54"/>
      <c r="S188" s="54"/>
      <c r="T188" s="54"/>
      <c r="W188" s="54"/>
      <c r="X188" s="54"/>
      <c r="Y188" s="54"/>
      <c r="AB188" s="54"/>
      <c r="AC188" s="54"/>
      <c r="AD188" s="54"/>
      <c r="AG188" s="54"/>
      <c r="AH188" s="54"/>
      <c r="AI188" s="54"/>
    </row>
    <row r="189" spans="18:35" x14ac:dyDescent="0.2">
      <c r="R189" s="54"/>
      <c r="S189" s="54"/>
      <c r="T189" s="54"/>
      <c r="W189" s="54"/>
      <c r="X189" s="54"/>
      <c r="Y189" s="54"/>
      <c r="AB189" s="54"/>
      <c r="AC189" s="54"/>
      <c r="AD189" s="54"/>
      <c r="AG189" s="54"/>
      <c r="AH189" s="54"/>
      <c r="AI189" s="54"/>
    </row>
    <row r="190" spans="18:35" x14ac:dyDescent="0.2">
      <c r="R190" s="54"/>
      <c r="S190" s="54"/>
      <c r="T190" s="54"/>
      <c r="W190" s="54"/>
      <c r="X190" s="54"/>
      <c r="Y190" s="54"/>
      <c r="AB190" s="54"/>
      <c r="AC190" s="54"/>
      <c r="AD190" s="54"/>
      <c r="AG190" s="54"/>
      <c r="AH190" s="54"/>
      <c r="AI190" s="54"/>
    </row>
    <row r="191" spans="18:35" x14ac:dyDescent="0.2">
      <c r="R191" s="54"/>
      <c r="S191" s="54"/>
      <c r="T191" s="54"/>
      <c r="W191" s="54"/>
      <c r="X191" s="54"/>
      <c r="Y191" s="54"/>
      <c r="AB191" s="54"/>
      <c r="AC191" s="54"/>
      <c r="AD191" s="54"/>
      <c r="AG191" s="54"/>
      <c r="AH191" s="54"/>
      <c r="AI191" s="54"/>
    </row>
    <row r="192" spans="18:35" x14ac:dyDescent="0.2">
      <c r="R192" s="54"/>
      <c r="S192" s="54"/>
      <c r="T192" s="54"/>
      <c r="W192" s="54"/>
      <c r="X192" s="54"/>
      <c r="Y192" s="54"/>
      <c r="AB192" s="54"/>
      <c r="AC192" s="54"/>
      <c r="AD192" s="54"/>
      <c r="AG192" s="54"/>
      <c r="AH192" s="54"/>
      <c r="AI192" s="54"/>
    </row>
    <row r="193" spans="18:35" x14ac:dyDescent="0.2">
      <c r="R193" s="54"/>
      <c r="S193" s="54"/>
      <c r="T193" s="54"/>
      <c r="W193" s="54"/>
      <c r="X193" s="54"/>
      <c r="Y193" s="54"/>
      <c r="AB193" s="54"/>
      <c r="AC193" s="54"/>
      <c r="AD193" s="54"/>
      <c r="AG193" s="54"/>
      <c r="AH193" s="54"/>
      <c r="AI193" s="54"/>
    </row>
    <row r="194" spans="18:35" x14ac:dyDescent="0.2">
      <c r="R194" s="54"/>
      <c r="S194" s="54"/>
      <c r="T194" s="54"/>
      <c r="W194" s="54"/>
      <c r="X194" s="54"/>
      <c r="Y194" s="54"/>
      <c r="AB194" s="54"/>
      <c r="AC194" s="54"/>
      <c r="AD194" s="54"/>
      <c r="AG194" s="54"/>
      <c r="AH194" s="54"/>
      <c r="AI194" s="54"/>
    </row>
    <row r="195" spans="18:35" x14ac:dyDescent="0.2">
      <c r="R195" s="54"/>
      <c r="S195" s="54"/>
      <c r="T195" s="54"/>
      <c r="W195" s="54"/>
      <c r="X195" s="54"/>
      <c r="Y195" s="54"/>
      <c r="AB195" s="54"/>
      <c r="AC195" s="54"/>
      <c r="AD195" s="54"/>
      <c r="AG195" s="54"/>
      <c r="AH195" s="54"/>
      <c r="AI195" s="54"/>
    </row>
    <row r="196" spans="18:35" x14ac:dyDescent="0.2">
      <c r="R196" s="54"/>
      <c r="S196" s="54"/>
      <c r="T196" s="54"/>
      <c r="W196" s="54"/>
      <c r="X196" s="54"/>
      <c r="Y196" s="54"/>
      <c r="AB196" s="54"/>
      <c r="AC196" s="54"/>
      <c r="AD196" s="54"/>
      <c r="AG196" s="54"/>
      <c r="AH196" s="54"/>
      <c r="AI196" s="54"/>
    </row>
    <row r="197" spans="18:35" x14ac:dyDescent="0.2">
      <c r="R197" s="54"/>
      <c r="S197" s="54"/>
      <c r="T197" s="54"/>
      <c r="W197" s="54"/>
      <c r="X197" s="54"/>
      <c r="Y197" s="54"/>
      <c r="AB197" s="54"/>
      <c r="AC197" s="54"/>
      <c r="AD197" s="54"/>
      <c r="AG197" s="54"/>
      <c r="AH197" s="54"/>
      <c r="AI197" s="54"/>
    </row>
    <row r="198" spans="18:35" x14ac:dyDescent="0.2">
      <c r="R198" s="54"/>
      <c r="S198" s="54"/>
      <c r="T198" s="54"/>
      <c r="W198" s="54"/>
      <c r="X198" s="54"/>
      <c r="Y198" s="54"/>
      <c r="AB198" s="54"/>
      <c r="AC198" s="54"/>
      <c r="AD198" s="54"/>
      <c r="AG198" s="54"/>
      <c r="AH198" s="54"/>
      <c r="AI198" s="54"/>
    </row>
    <row r="199" spans="18:35" x14ac:dyDescent="0.2">
      <c r="R199" s="54"/>
      <c r="S199" s="54"/>
      <c r="T199" s="54"/>
      <c r="W199" s="54"/>
      <c r="X199" s="54"/>
      <c r="Y199" s="54"/>
      <c r="AB199" s="54"/>
      <c r="AC199" s="54"/>
      <c r="AD199" s="54"/>
      <c r="AG199" s="54"/>
      <c r="AH199" s="54"/>
      <c r="AI199" s="54"/>
    </row>
    <row r="200" spans="18:35" x14ac:dyDescent="0.2">
      <c r="R200" s="54"/>
      <c r="S200" s="54"/>
      <c r="T200" s="54"/>
      <c r="W200" s="54"/>
      <c r="X200" s="54"/>
      <c r="Y200" s="54"/>
      <c r="AB200" s="54"/>
      <c r="AC200" s="54"/>
      <c r="AD200" s="54"/>
      <c r="AG200" s="54"/>
      <c r="AH200" s="54"/>
      <c r="AI200" s="54"/>
    </row>
    <row r="201" spans="18:35" x14ac:dyDescent="0.2">
      <c r="R201" s="54"/>
      <c r="S201" s="54"/>
      <c r="T201" s="54"/>
      <c r="W201" s="54"/>
      <c r="X201" s="54"/>
      <c r="Y201" s="54"/>
      <c r="AB201" s="54"/>
      <c r="AC201" s="54"/>
      <c r="AD201" s="54"/>
      <c r="AG201" s="54"/>
      <c r="AH201" s="54"/>
      <c r="AI201" s="54"/>
    </row>
    <row r="202" spans="18:35" x14ac:dyDescent="0.2">
      <c r="R202" s="54"/>
      <c r="S202" s="54"/>
      <c r="T202" s="54"/>
      <c r="W202" s="54"/>
      <c r="X202" s="54"/>
      <c r="Y202" s="54"/>
      <c r="AB202" s="54"/>
      <c r="AC202" s="54"/>
      <c r="AD202" s="54"/>
      <c r="AG202" s="54"/>
      <c r="AH202" s="54"/>
      <c r="AI202" s="54"/>
    </row>
    <row r="203" spans="18:35" x14ac:dyDescent="0.2">
      <c r="R203" s="54"/>
      <c r="S203" s="54"/>
      <c r="T203" s="54"/>
      <c r="W203" s="54"/>
      <c r="X203" s="54"/>
      <c r="Y203" s="54"/>
      <c r="AB203" s="54"/>
      <c r="AC203" s="54"/>
      <c r="AD203" s="54"/>
      <c r="AG203" s="54"/>
      <c r="AH203" s="54"/>
      <c r="AI203" s="54"/>
    </row>
    <row r="204" spans="18:35" x14ac:dyDescent="0.2">
      <c r="R204" s="54"/>
      <c r="S204" s="54"/>
      <c r="T204" s="54"/>
      <c r="W204" s="54"/>
      <c r="X204" s="54"/>
      <c r="Y204" s="54"/>
      <c r="AB204" s="54"/>
      <c r="AC204" s="54"/>
      <c r="AD204" s="54"/>
      <c r="AG204" s="54"/>
      <c r="AH204" s="54"/>
      <c r="AI204" s="54"/>
    </row>
    <row r="205" spans="18:35" x14ac:dyDescent="0.2">
      <c r="R205" s="54"/>
      <c r="S205" s="54"/>
      <c r="T205" s="54"/>
      <c r="W205" s="54"/>
      <c r="X205" s="54"/>
      <c r="Y205" s="54"/>
      <c r="AB205" s="54"/>
      <c r="AC205" s="54"/>
      <c r="AD205" s="54"/>
      <c r="AG205" s="54"/>
      <c r="AH205" s="54"/>
      <c r="AI205" s="54"/>
    </row>
    <row r="206" spans="18:35" x14ac:dyDescent="0.2">
      <c r="R206" s="54"/>
      <c r="S206" s="54"/>
      <c r="T206" s="54"/>
      <c r="W206" s="54"/>
      <c r="X206" s="54"/>
      <c r="Y206" s="54"/>
      <c r="AB206" s="54"/>
      <c r="AC206" s="54"/>
      <c r="AD206" s="54"/>
      <c r="AG206" s="54"/>
      <c r="AH206" s="54"/>
      <c r="AI206" s="54"/>
    </row>
    <row r="207" spans="18:35" x14ac:dyDescent="0.2">
      <c r="R207" s="54"/>
      <c r="S207" s="54"/>
      <c r="T207" s="54"/>
      <c r="W207" s="54"/>
      <c r="X207" s="54"/>
      <c r="Y207" s="54"/>
      <c r="AB207" s="54"/>
      <c r="AC207" s="54"/>
      <c r="AD207" s="54"/>
      <c r="AG207" s="54"/>
      <c r="AH207" s="54"/>
      <c r="AI207" s="54"/>
    </row>
    <row r="208" spans="18:35" x14ac:dyDescent="0.2">
      <c r="R208" s="54"/>
      <c r="S208" s="54"/>
      <c r="T208" s="54"/>
      <c r="W208" s="54"/>
      <c r="X208" s="54"/>
      <c r="Y208" s="54"/>
      <c r="AB208" s="54"/>
      <c r="AC208" s="54"/>
      <c r="AD208" s="54"/>
      <c r="AG208" s="54"/>
      <c r="AH208" s="54"/>
      <c r="AI208" s="54"/>
    </row>
    <row r="209" spans="18:35" x14ac:dyDescent="0.2">
      <c r="R209" s="54"/>
      <c r="S209" s="54"/>
      <c r="T209" s="54"/>
      <c r="W209" s="54"/>
      <c r="X209" s="54"/>
      <c r="Y209" s="54"/>
      <c r="AB209" s="54"/>
      <c r="AC209" s="54"/>
      <c r="AD209" s="54"/>
      <c r="AG209" s="54"/>
      <c r="AH209" s="54"/>
      <c r="AI209" s="54"/>
    </row>
    <row r="210" spans="18:35" x14ac:dyDescent="0.2">
      <c r="R210" s="54"/>
      <c r="S210" s="54"/>
      <c r="T210" s="54"/>
      <c r="W210" s="54"/>
      <c r="X210" s="54"/>
      <c r="Y210" s="54"/>
      <c r="AB210" s="54"/>
      <c r="AC210" s="54"/>
      <c r="AD210" s="54"/>
      <c r="AG210" s="54"/>
      <c r="AH210" s="54"/>
      <c r="AI210" s="54"/>
    </row>
    <row r="211" spans="18:35" x14ac:dyDescent="0.2">
      <c r="R211" s="54"/>
      <c r="S211" s="54"/>
      <c r="T211" s="54"/>
      <c r="W211" s="54"/>
      <c r="X211" s="54"/>
      <c r="Y211" s="54"/>
      <c r="AB211" s="54"/>
      <c r="AC211" s="54"/>
      <c r="AD211" s="54"/>
      <c r="AG211" s="54"/>
      <c r="AH211" s="54"/>
      <c r="AI211" s="54"/>
    </row>
    <row r="212" spans="18:35" x14ac:dyDescent="0.2">
      <c r="R212" s="54"/>
      <c r="S212" s="54"/>
      <c r="T212" s="54"/>
      <c r="W212" s="54"/>
      <c r="X212" s="54"/>
      <c r="Y212" s="54"/>
      <c r="AB212" s="54"/>
      <c r="AC212" s="54"/>
      <c r="AD212" s="54"/>
      <c r="AG212" s="54"/>
      <c r="AH212" s="54"/>
      <c r="AI212" s="54"/>
    </row>
    <row r="213" spans="18:35" x14ac:dyDescent="0.2">
      <c r="R213" s="54"/>
      <c r="S213" s="54"/>
      <c r="T213" s="54"/>
      <c r="W213" s="54"/>
      <c r="X213" s="54"/>
      <c r="Y213" s="54"/>
      <c r="AB213" s="54"/>
      <c r="AC213" s="54"/>
      <c r="AD213" s="54"/>
      <c r="AG213" s="54"/>
      <c r="AH213" s="54"/>
      <c r="AI213" s="54"/>
    </row>
    <row r="214" spans="18:35" x14ac:dyDescent="0.2">
      <c r="R214" s="54"/>
      <c r="S214" s="54"/>
      <c r="T214" s="54"/>
      <c r="W214" s="54"/>
      <c r="X214" s="54"/>
      <c r="Y214" s="54"/>
      <c r="AB214" s="54"/>
      <c r="AC214" s="54"/>
      <c r="AD214" s="54"/>
      <c r="AG214" s="54"/>
      <c r="AH214" s="54"/>
      <c r="AI214" s="54"/>
    </row>
    <row r="215" spans="18:35" x14ac:dyDescent="0.2">
      <c r="R215" s="54"/>
      <c r="S215" s="54"/>
      <c r="T215" s="54"/>
      <c r="W215" s="54"/>
      <c r="X215" s="54"/>
      <c r="Y215" s="54"/>
      <c r="AB215" s="54"/>
      <c r="AC215" s="54"/>
      <c r="AD215" s="54"/>
      <c r="AG215" s="54"/>
      <c r="AH215" s="54"/>
      <c r="AI215" s="54"/>
    </row>
    <row r="216" spans="18:35" x14ac:dyDescent="0.2">
      <c r="R216" s="54"/>
      <c r="S216" s="54"/>
      <c r="T216" s="54"/>
      <c r="W216" s="54"/>
      <c r="X216" s="54"/>
      <c r="Y216" s="54"/>
      <c r="AB216" s="54"/>
      <c r="AC216" s="54"/>
      <c r="AD216" s="54"/>
      <c r="AG216" s="54"/>
      <c r="AH216" s="54"/>
      <c r="AI216" s="54"/>
    </row>
    <row r="217" spans="18:35" x14ac:dyDescent="0.2">
      <c r="R217" s="54"/>
      <c r="S217" s="54"/>
      <c r="T217" s="54"/>
      <c r="W217" s="54"/>
      <c r="X217" s="54"/>
      <c r="Y217" s="54"/>
      <c r="AB217" s="54"/>
      <c r="AC217" s="54"/>
      <c r="AD217" s="54"/>
      <c r="AG217" s="54"/>
      <c r="AH217" s="54"/>
      <c r="AI217" s="54"/>
    </row>
    <row r="218" spans="18:35" x14ac:dyDescent="0.2">
      <c r="R218" s="54"/>
      <c r="S218" s="54"/>
      <c r="T218" s="54"/>
      <c r="W218" s="54"/>
      <c r="X218" s="54"/>
      <c r="Y218" s="54"/>
      <c r="AB218" s="54"/>
      <c r="AC218" s="54"/>
      <c r="AD218" s="54"/>
      <c r="AG218" s="54"/>
      <c r="AH218" s="54"/>
      <c r="AI218" s="54"/>
    </row>
    <row r="219" spans="18:35" x14ac:dyDescent="0.2">
      <c r="R219" s="54"/>
      <c r="S219" s="54"/>
      <c r="T219" s="54"/>
      <c r="W219" s="54"/>
      <c r="X219" s="54"/>
      <c r="Y219" s="54"/>
      <c r="AB219" s="54"/>
      <c r="AC219" s="54"/>
      <c r="AD219" s="54"/>
      <c r="AG219" s="54"/>
      <c r="AH219" s="54"/>
      <c r="AI219" s="54"/>
    </row>
    <row r="220" spans="18:35" x14ac:dyDescent="0.2">
      <c r="R220" s="54"/>
      <c r="S220" s="54"/>
      <c r="T220" s="54"/>
      <c r="W220" s="54"/>
      <c r="X220" s="54"/>
      <c r="Y220" s="54"/>
      <c r="AB220" s="54"/>
      <c r="AC220" s="54"/>
      <c r="AD220" s="54"/>
      <c r="AG220" s="54"/>
      <c r="AH220" s="54"/>
      <c r="AI220" s="54"/>
    </row>
    <row r="221" spans="18:35" x14ac:dyDescent="0.2">
      <c r="R221" s="54"/>
      <c r="S221" s="54"/>
      <c r="T221" s="54"/>
      <c r="W221" s="54"/>
      <c r="X221" s="54"/>
      <c r="Y221" s="54"/>
      <c r="AB221" s="54"/>
      <c r="AC221" s="54"/>
      <c r="AD221" s="54"/>
      <c r="AG221" s="54"/>
      <c r="AH221" s="54"/>
      <c r="AI221" s="54"/>
    </row>
    <row r="222" spans="18:35" x14ac:dyDescent="0.2">
      <c r="R222" s="54"/>
      <c r="S222" s="54"/>
      <c r="T222" s="54"/>
      <c r="W222" s="54"/>
      <c r="X222" s="54"/>
      <c r="Y222" s="54"/>
      <c r="AB222" s="54"/>
      <c r="AC222" s="54"/>
      <c r="AD222" s="54"/>
      <c r="AG222" s="54"/>
      <c r="AH222" s="54"/>
      <c r="AI222" s="54"/>
    </row>
    <row r="223" spans="18:35" x14ac:dyDescent="0.2">
      <c r="R223" s="54"/>
      <c r="S223" s="54"/>
      <c r="T223" s="54"/>
      <c r="W223" s="54"/>
      <c r="X223" s="54"/>
      <c r="Y223" s="54"/>
      <c r="AB223" s="54"/>
      <c r="AC223" s="54"/>
      <c r="AD223" s="54"/>
      <c r="AG223" s="54"/>
      <c r="AH223" s="54"/>
      <c r="AI223" s="54"/>
    </row>
    <row r="224" spans="18:35" x14ac:dyDescent="0.2">
      <c r="R224" s="54"/>
      <c r="S224" s="54"/>
      <c r="T224" s="54"/>
      <c r="W224" s="54"/>
      <c r="X224" s="54"/>
      <c r="Y224" s="54"/>
      <c r="AB224" s="54"/>
      <c r="AC224" s="54"/>
      <c r="AD224" s="54"/>
      <c r="AG224" s="54"/>
      <c r="AH224" s="54"/>
      <c r="AI224" s="54"/>
    </row>
    <row r="225" spans="18:35" x14ac:dyDescent="0.2">
      <c r="R225" s="54"/>
      <c r="S225" s="54"/>
      <c r="T225" s="54"/>
      <c r="W225" s="54"/>
      <c r="X225" s="54"/>
      <c r="Y225" s="54"/>
      <c r="AB225" s="54"/>
      <c r="AC225" s="54"/>
      <c r="AD225" s="54"/>
      <c r="AG225" s="54"/>
      <c r="AH225" s="54"/>
      <c r="AI225" s="54"/>
    </row>
    <row r="226" spans="18:35" x14ac:dyDescent="0.2">
      <c r="R226" s="54"/>
      <c r="S226" s="54"/>
      <c r="T226" s="54"/>
      <c r="W226" s="54"/>
      <c r="X226" s="54"/>
      <c r="Y226" s="54"/>
      <c r="AB226" s="54"/>
      <c r="AC226" s="54"/>
      <c r="AD226" s="54"/>
      <c r="AG226" s="54"/>
      <c r="AH226" s="54"/>
      <c r="AI226" s="54"/>
    </row>
    <row r="227" spans="18:35" x14ac:dyDescent="0.2">
      <c r="R227" s="54"/>
      <c r="S227" s="54"/>
      <c r="T227" s="54"/>
      <c r="W227" s="54"/>
      <c r="X227" s="54"/>
      <c r="Y227" s="54"/>
      <c r="AB227" s="54"/>
      <c r="AC227" s="54"/>
      <c r="AD227" s="54"/>
      <c r="AG227" s="54"/>
      <c r="AH227" s="54"/>
      <c r="AI227" s="54"/>
    </row>
    <row r="228" spans="18:35" x14ac:dyDescent="0.2">
      <c r="R228" s="54"/>
      <c r="S228" s="54"/>
      <c r="T228" s="54"/>
      <c r="W228" s="54"/>
      <c r="X228" s="54"/>
      <c r="Y228" s="54"/>
      <c r="AB228" s="54"/>
      <c r="AC228" s="54"/>
      <c r="AD228" s="54"/>
      <c r="AG228" s="54"/>
      <c r="AH228" s="54"/>
      <c r="AI228" s="54"/>
    </row>
    <row r="229" spans="18:35" x14ac:dyDescent="0.2">
      <c r="R229" s="54"/>
      <c r="S229" s="54"/>
      <c r="T229" s="54"/>
      <c r="W229" s="54"/>
      <c r="X229" s="54"/>
      <c r="Y229" s="54"/>
      <c r="AB229" s="54"/>
      <c r="AC229" s="54"/>
      <c r="AD229" s="54"/>
      <c r="AG229" s="54"/>
      <c r="AH229" s="54"/>
      <c r="AI229" s="54"/>
    </row>
    <row r="230" spans="18:35" x14ac:dyDescent="0.2">
      <c r="R230" s="54"/>
      <c r="S230" s="54"/>
      <c r="T230" s="54"/>
      <c r="W230" s="54"/>
      <c r="X230" s="54"/>
      <c r="Y230" s="54"/>
      <c r="AB230" s="54"/>
      <c r="AC230" s="54"/>
      <c r="AD230" s="54"/>
      <c r="AG230" s="54"/>
      <c r="AH230" s="54"/>
      <c r="AI230" s="54"/>
    </row>
    <row r="231" spans="18:35" x14ac:dyDescent="0.2">
      <c r="R231" s="54"/>
      <c r="S231" s="54"/>
      <c r="T231" s="54"/>
      <c r="W231" s="54"/>
      <c r="X231" s="54"/>
      <c r="Y231" s="54"/>
      <c r="AB231" s="54"/>
      <c r="AC231" s="54"/>
      <c r="AD231" s="54"/>
      <c r="AG231" s="54"/>
      <c r="AH231" s="54"/>
      <c r="AI231" s="54"/>
    </row>
    <row r="232" spans="18:35" x14ac:dyDescent="0.2">
      <c r="R232" s="54"/>
      <c r="S232" s="54"/>
      <c r="T232" s="54"/>
      <c r="W232" s="54"/>
      <c r="X232" s="54"/>
      <c r="Y232" s="54"/>
      <c r="AB232" s="54"/>
      <c r="AC232" s="54"/>
      <c r="AD232" s="54"/>
      <c r="AG232" s="54"/>
      <c r="AH232" s="54"/>
      <c r="AI232" s="54"/>
    </row>
    <row r="233" spans="18:35" x14ac:dyDescent="0.2">
      <c r="R233" s="54"/>
      <c r="S233" s="54"/>
      <c r="T233" s="54"/>
      <c r="W233" s="54"/>
      <c r="X233" s="54"/>
      <c r="Y233" s="54"/>
      <c r="AB233" s="54"/>
      <c r="AC233" s="54"/>
      <c r="AD233" s="54"/>
      <c r="AG233" s="54"/>
      <c r="AH233" s="54"/>
      <c r="AI233" s="54"/>
    </row>
    <row r="234" spans="18:35" x14ac:dyDescent="0.2">
      <c r="R234" s="54"/>
      <c r="S234" s="54"/>
      <c r="T234" s="54"/>
      <c r="W234" s="54"/>
      <c r="X234" s="54"/>
      <c r="Y234" s="54"/>
      <c r="AB234" s="54"/>
      <c r="AC234" s="54"/>
      <c r="AD234" s="54"/>
      <c r="AG234" s="54"/>
      <c r="AH234" s="54"/>
      <c r="AI234" s="54"/>
    </row>
    <row r="235" spans="18:35" x14ac:dyDescent="0.2">
      <c r="R235" s="54"/>
      <c r="S235" s="54"/>
      <c r="T235" s="54"/>
      <c r="W235" s="54"/>
      <c r="X235" s="54"/>
      <c r="Y235" s="54"/>
      <c r="AB235" s="54"/>
      <c r="AC235" s="54"/>
      <c r="AD235" s="54"/>
      <c r="AG235" s="54"/>
      <c r="AH235" s="54"/>
      <c r="AI235" s="54"/>
    </row>
    <row r="236" spans="18:35" x14ac:dyDescent="0.2">
      <c r="R236" s="54"/>
      <c r="S236" s="54"/>
      <c r="T236" s="54"/>
      <c r="W236" s="54"/>
      <c r="X236" s="54"/>
      <c r="Y236" s="54"/>
      <c r="AB236" s="54"/>
      <c r="AC236" s="54"/>
      <c r="AD236" s="54"/>
      <c r="AG236" s="54"/>
      <c r="AH236" s="54"/>
      <c r="AI236" s="54"/>
    </row>
    <row r="237" spans="18:35" x14ac:dyDescent="0.2">
      <c r="R237" s="54"/>
      <c r="S237" s="54"/>
      <c r="T237" s="54"/>
      <c r="W237" s="54"/>
      <c r="X237" s="54"/>
      <c r="Y237" s="54"/>
      <c r="AB237" s="54"/>
      <c r="AC237" s="54"/>
      <c r="AD237" s="54"/>
      <c r="AG237" s="54"/>
      <c r="AH237" s="54"/>
      <c r="AI237" s="54"/>
    </row>
    <row r="238" spans="18:35" x14ac:dyDescent="0.2">
      <c r="R238" s="54"/>
      <c r="S238" s="54"/>
      <c r="T238" s="54"/>
      <c r="W238" s="54"/>
      <c r="X238" s="54"/>
      <c r="Y238" s="54"/>
      <c r="AB238" s="54"/>
      <c r="AC238" s="54"/>
      <c r="AD238" s="54"/>
      <c r="AG238" s="54"/>
      <c r="AH238" s="54"/>
      <c r="AI238" s="54"/>
    </row>
    <row r="239" spans="18:35" x14ac:dyDescent="0.2">
      <c r="R239" s="54"/>
      <c r="S239" s="54"/>
      <c r="T239" s="54"/>
      <c r="W239" s="54"/>
      <c r="X239" s="54"/>
      <c r="Y239" s="54"/>
      <c r="AB239" s="54"/>
      <c r="AC239" s="54"/>
      <c r="AD239" s="54"/>
      <c r="AG239" s="54"/>
      <c r="AH239" s="54"/>
      <c r="AI239" s="54"/>
    </row>
    <row r="240" spans="18:35" x14ac:dyDescent="0.2">
      <c r="R240" s="54"/>
      <c r="S240" s="54"/>
      <c r="T240" s="54"/>
      <c r="W240" s="54"/>
      <c r="X240" s="54"/>
      <c r="Y240" s="54"/>
      <c r="AB240" s="54"/>
      <c r="AC240" s="54"/>
      <c r="AD240" s="54"/>
      <c r="AG240" s="54"/>
      <c r="AH240" s="54"/>
      <c r="AI240" s="54"/>
    </row>
    <row r="241" spans="18:35" x14ac:dyDescent="0.2">
      <c r="R241" s="54"/>
      <c r="S241" s="54"/>
      <c r="T241" s="54"/>
      <c r="W241" s="54"/>
      <c r="X241" s="54"/>
      <c r="Y241" s="54"/>
      <c r="AB241" s="54"/>
      <c r="AC241" s="54"/>
      <c r="AD241" s="54"/>
      <c r="AG241" s="54"/>
      <c r="AH241" s="54"/>
      <c r="AI241" s="54"/>
    </row>
    <row r="242" spans="18:35" x14ac:dyDescent="0.2">
      <c r="R242" s="54"/>
      <c r="S242" s="54"/>
      <c r="T242" s="54"/>
      <c r="W242" s="54"/>
      <c r="X242" s="54"/>
      <c r="Y242" s="54"/>
      <c r="AB242" s="54"/>
      <c r="AC242" s="54"/>
      <c r="AD242" s="54"/>
      <c r="AG242" s="54"/>
      <c r="AH242" s="54"/>
      <c r="AI242" s="54"/>
    </row>
    <row r="243" spans="18:35" x14ac:dyDescent="0.2">
      <c r="R243" s="54"/>
      <c r="S243" s="54"/>
      <c r="T243" s="54"/>
      <c r="W243" s="54"/>
      <c r="X243" s="54"/>
      <c r="Y243" s="54"/>
      <c r="AB243" s="54"/>
      <c r="AC243" s="54"/>
      <c r="AD243" s="54"/>
      <c r="AG243" s="54"/>
      <c r="AH243" s="54"/>
      <c r="AI243" s="54"/>
    </row>
    <row r="244" spans="18:35" x14ac:dyDescent="0.2">
      <c r="R244" s="54"/>
      <c r="S244" s="54"/>
      <c r="T244" s="54"/>
      <c r="W244" s="54"/>
      <c r="X244" s="54"/>
      <c r="Y244" s="54"/>
      <c r="AB244" s="54"/>
      <c r="AC244" s="54"/>
      <c r="AD244" s="54"/>
      <c r="AG244" s="54"/>
      <c r="AH244" s="54"/>
      <c r="AI244" s="54"/>
    </row>
    <row r="245" spans="18:35" x14ac:dyDescent="0.2">
      <c r="R245" s="54"/>
      <c r="S245" s="54"/>
      <c r="T245" s="54"/>
      <c r="W245" s="54"/>
      <c r="X245" s="54"/>
      <c r="Y245" s="54"/>
      <c r="AB245" s="54"/>
      <c r="AC245" s="54"/>
      <c r="AD245" s="54"/>
      <c r="AG245" s="54"/>
      <c r="AH245" s="54"/>
      <c r="AI245" s="54"/>
    </row>
    <row r="246" spans="18:35" x14ac:dyDescent="0.2">
      <c r="R246" s="54"/>
      <c r="S246" s="54"/>
      <c r="T246" s="54"/>
      <c r="W246" s="54"/>
      <c r="X246" s="54"/>
      <c r="Y246" s="54"/>
      <c r="AB246" s="54"/>
      <c r="AC246" s="54"/>
      <c r="AD246" s="54"/>
      <c r="AG246" s="54"/>
      <c r="AH246" s="54"/>
      <c r="AI246" s="54"/>
    </row>
    <row r="247" spans="18:35" x14ac:dyDescent="0.2">
      <c r="R247" s="54"/>
      <c r="S247" s="54"/>
      <c r="T247" s="54"/>
      <c r="W247" s="54"/>
      <c r="X247" s="54"/>
      <c r="Y247" s="54"/>
      <c r="AB247" s="54"/>
      <c r="AC247" s="54"/>
      <c r="AD247" s="54"/>
      <c r="AG247" s="54"/>
      <c r="AH247" s="54"/>
      <c r="AI247" s="54"/>
    </row>
    <row r="248" spans="18:35" x14ac:dyDescent="0.2">
      <c r="R248" s="54"/>
      <c r="S248" s="54"/>
      <c r="T248" s="54"/>
      <c r="W248" s="54"/>
      <c r="X248" s="54"/>
      <c r="Y248" s="54"/>
      <c r="AB248" s="54"/>
      <c r="AC248" s="54"/>
      <c r="AD248" s="54"/>
      <c r="AG248" s="54"/>
      <c r="AH248" s="54"/>
      <c r="AI248" s="54"/>
    </row>
    <row r="249" spans="18:35" x14ac:dyDescent="0.2">
      <c r="R249" s="54"/>
      <c r="S249" s="54"/>
      <c r="T249" s="54"/>
      <c r="W249" s="54"/>
      <c r="X249" s="54"/>
      <c r="Y249" s="54"/>
      <c r="AB249" s="54"/>
      <c r="AC249" s="54"/>
      <c r="AD249" s="54"/>
      <c r="AG249" s="54"/>
      <c r="AH249" s="54"/>
      <c r="AI249" s="54"/>
    </row>
    <row r="250" spans="18:35" x14ac:dyDescent="0.2">
      <c r="R250" s="54"/>
      <c r="S250" s="54"/>
      <c r="T250" s="54"/>
      <c r="W250" s="54"/>
      <c r="X250" s="54"/>
      <c r="Y250" s="54"/>
      <c r="AB250" s="54"/>
      <c r="AC250" s="54"/>
      <c r="AD250" s="54"/>
      <c r="AG250" s="54"/>
      <c r="AH250" s="54"/>
      <c r="AI250" s="54"/>
    </row>
    <row r="251" spans="18:35" x14ac:dyDescent="0.2">
      <c r="R251" s="54"/>
      <c r="S251" s="54"/>
      <c r="T251" s="54"/>
      <c r="W251" s="54"/>
      <c r="X251" s="54"/>
      <c r="Y251" s="54"/>
      <c r="AB251" s="54"/>
      <c r="AC251" s="54"/>
      <c r="AD251" s="54"/>
      <c r="AG251" s="54"/>
      <c r="AH251" s="54"/>
      <c r="AI251" s="54"/>
    </row>
    <row r="252" spans="18:35" x14ac:dyDescent="0.2">
      <c r="R252" s="54"/>
      <c r="S252" s="54"/>
      <c r="T252" s="54"/>
      <c r="W252" s="54"/>
      <c r="X252" s="54"/>
      <c r="Y252" s="54"/>
      <c r="AB252" s="54"/>
      <c r="AC252" s="54"/>
      <c r="AD252" s="54"/>
      <c r="AG252" s="54"/>
      <c r="AH252" s="54"/>
      <c r="AI252" s="54"/>
    </row>
    <row r="253" spans="18:35" x14ac:dyDescent="0.2">
      <c r="R253" s="54"/>
      <c r="S253" s="54"/>
      <c r="T253" s="54"/>
      <c r="W253" s="54"/>
      <c r="X253" s="54"/>
      <c r="Y253" s="54"/>
      <c r="AB253" s="54"/>
      <c r="AC253" s="54"/>
      <c r="AD253" s="54"/>
      <c r="AG253" s="54"/>
      <c r="AH253" s="54"/>
      <c r="AI253" s="54"/>
    </row>
    <row r="254" spans="18:35" x14ac:dyDescent="0.2">
      <c r="R254" s="54"/>
      <c r="S254" s="54"/>
      <c r="T254" s="54"/>
      <c r="W254" s="54"/>
      <c r="X254" s="54"/>
      <c r="Y254" s="54"/>
      <c r="AB254" s="54"/>
      <c r="AC254" s="54"/>
      <c r="AD254" s="54"/>
      <c r="AG254" s="54"/>
      <c r="AH254" s="54"/>
      <c r="AI254" s="54"/>
    </row>
    <row r="255" spans="18:35" x14ac:dyDescent="0.2">
      <c r="R255" s="54"/>
      <c r="S255" s="54"/>
      <c r="T255" s="54"/>
      <c r="W255" s="54"/>
      <c r="X255" s="54"/>
      <c r="Y255" s="54"/>
      <c r="AB255" s="54"/>
      <c r="AC255" s="54"/>
      <c r="AD255" s="54"/>
      <c r="AG255" s="54"/>
      <c r="AH255" s="54"/>
      <c r="AI255" s="54"/>
    </row>
    <row r="256" spans="18:35" x14ac:dyDescent="0.2">
      <c r="R256" s="54"/>
      <c r="S256" s="54"/>
      <c r="T256" s="54"/>
      <c r="W256" s="54"/>
      <c r="X256" s="54"/>
      <c r="Y256" s="54"/>
      <c r="AB256" s="54"/>
      <c r="AC256" s="54"/>
      <c r="AD256" s="54"/>
      <c r="AG256" s="54"/>
      <c r="AH256" s="54"/>
      <c r="AI256" s="54"/>
    </row>
    <row r="257" spans="18:35" x14ac:dyDescent="0.2">
      <c r="R257" s="54"/>
      <c r="S257" s="54"/>
      <c r="T257" s="54"/>
      <c r="W257" s="54"/>
      <c r="X257" s="54"/>
      <c r="Y257" s="54"/>
      <c r="AB257" s="54"/>
      <c r="AC257" s="54"/>
      <c r="AD257" s="54"/>
      <c r="AG257" s="54"/>
      <c r="AH257" s="54"/>
      <c r="AI257" s="54"/>
    </row>
    <row r="258" spans="18:35" x14ac:dyDescent="0.2">
      <c r="R258" s="54"/>
      <c r="S258" s="54"/>
      <c r="T258" s="54"/>
      <c r="W258" s="54"/>
      <c r="X258" s="54"/>
      <c r="Y258" s="54"/>
      <c r="AB258" s="54"/>
      <c r="AC258" s="54"/>
      <c r="AD258" s="54"/>
      <c r="AG258" s="54"/>
      <c r="AH258" s="54"/>
      <c r="AI258" s="54"/>
    </row>
    <row r="259" spans="18:35" x14ac:dyDescent="0.2">
      <c r="R259" s="54"/>
      <c r="S259" s="54"/>
      <c r="T259" s="54"/>
      <c r="W259" s="54"/>
      <c r="X259" s="54"/>
      <c r="Y259" s="54"/>
      <c r="AB259" s="54"/>
      <c r="AC259" s="54"/>
      <c r="AD259" s="54"/>
      <c r="AG259" s="54"/>
      <c r="AH259" s="54"/>
      <c r="AI259" s="54"/>
    </row>
    <row r="260" spans="18:35" x14ac:dyDescent="0.2">
      <c r="R260" s="54"/>
      <c r="S260" s="54"/>
      <c r="T260" s="54"/>
      <c r="W260" s="54"/>
      <c r="X260" s="54"/>
      <c r="Y260" s="54"/>
      <c r="AB260" s="54"/>
      <c r="AC260" s="54"/>
      <c r="AD260" s="54"/>
      <c r="AG260" s="54"/>
      <c r="AH260" s="54"/>
      <c r="AI260" s="54"/>
    </row>
    <row r="261" spans="18:35" x14ac:dyDescent="0.2">
      <c r="R261" s="54"/>
      <c r="S261" s="54"/>
      <c r="T261" s="54"/>
      <c r="W261" s="54"/>
      <c r="X261" s="54"/>
      <c r="Y261" s="54"/>
      <c r="AB261" s="54"/>
      <c r="AC261" s="54"/>
      <c r="AD261" s="54"/>
      <c r="AG261" s="54"/>
      <c r="AH261" s="54"/>
      <c r="AI261" s="54"/>
    </row>
    <row r="262" spans="18:35" x14ac:dyDescent="0.2">
      <c r="R262" s="54"/>
      <c r="S262" s="54"/>
      <c r="T262" s="54"/>
      <c r="W262" s="54"/>
      <c r="X262" s="54"/>
      <c r="Y262" s="54"/>
      <c r="AB262" s="54"/>
      <c r="AC262" s="54"/>
      <c r="AD262" s="54"/>
      <c r="AG262" s="54"/>
      <c r="AH262" s="54"/>
      <c r="AI262" s="54"/>
    </row>
    <row r="263" spans="18:35" x14ac:dyDescent="0.2">
      <c r="R263" s="54"/>
      <c r="S263" s="54"/>
      <c r="T263" s="54"/>
      <c r="W263" s="54"/>
      <c r="X263" s="54"/>
      <c r="Y263" s="54"/>
      <c r="AB263" s="54"/>
      <c r="AC263" s="54"/>
      <c r="AD263" s="54"/>
      <c r="AG263" s="54"/>
      <c r="AH263" s="54"/>
      <c r="AI263" s="54"/>
    </row>
    <row r="264" spans="18:35" x14ac:dyDescent="0.2">
      <c r="R264" s="54"/>
      <c r="S264" s="54"/>
      <c r="T264" s="54"/>
      <c r="W264" s="54"/>
      <c r="X264" s="54"/>
      <c r="Y264" s="54"/>
      <c r="AB264" s="54"/>
      <c r="AC264" s="54"/>
      <c r="AD264" s="54"/>
      <c r="AG264" s="54"/>
      <c r="AH264" s="54"/>
      <c r="AI264" s="54"/>
    </row>
    <row r="265" spans="18:35" x14ac:dyDescent="0.2">
      <c r="R265" s="54"/>
      <c r="S265" s="54"/>
      <c r="T265" s="54"/>
      <c r="W265" s="54"/>
      <c r="X265" s="54"/>
      <c r="Y265" s="54"/>
      <c r="AB265" s="54"/>
      <c r="AC265" s="54"/>
      <c r="AD265" s="54"/>
      <c r="AG265" s="54"/>
      <c r="AH265" s="54"/>
      <c r="AI265" s="54"/>
    </row>
    <row r="266" spans="18:35" x14ac:dyDescent="0.2">
      <c r="R266" s="54"/>
      <c r="S266" s="54"/>
      <c r="T266" s="54"/>
      <c r="W266" s="54"/>
      <c r="X266" s="54"/>
      <c r="Y266" s="54"/>
      <c r="AB266" s="54"/>
      <c r="AC266" s="54"/>
      <c r="AD266" s="54"/>
      <c r="AG266" s="54"/>
      <c r="AH266" s="54"/>
      <c r="AI266" s="54"/>
    </row>
    <row r="267" spans="18:35" x14ac:dyDescent="0.2">
      <c r="R267" s="54"/>
      <c r="S267" s="54"/>
      <c r="T267" s="54"/>
      <c r="W267" s="54"/>
      <c r="X267" s="54"/>
      <c r="Y267" s="54"/>
      <c r="AB267" s="54"/>
      <c r="AC267" s="54"/>
      <c r="AD267" s="54"/>
      <c r="AG267" s="54"/>
      <c r="AH267" s="54"/>
      <c r="AI267" s="54"/>
    </row>
    <row r="268" spans="18:35" x14ac:dyDescent="0.2">
      <c r="R268" s="54"/>
      <c r="S268" s="54"/>
      <c r="T268" s="54"/>
      <c r="W268" s="54"/>
      <c r="X268" s="54"/>
      <c r="Y268" s="54"/>
      <c r="AB268" s="54"/>
      <c r="AC268" s="54"/>
      <c r="AD268" s="54"/>
      <c r="AG268" s="54"/>
      <c r="AH268" s="54"/>
      <c r="AI268" s="54"/>
    </row>
    <row r="269" spans="18:35" x14ac:dyDescent="0.2">
      <c r="R269" s="54"/>
      <c r="S269" s="54"/>
      <c r="T269" s="54"/>
      <c r="W269" s="54"/>
      <c r="X269" s="54"/>
      <c r="Y269" s="54"/>
      <c r="AB269" s="54"/>
      <c r="AC269" s="54"/>
      <c r="AD269" s="54"/>
      <c r="AG269" s="54"/>
      <c r="AH269" s="54"/>
      <c r="AI269" s="54"/>
    </row>
    <row r="270" spans="18:35" x14ac:dyDescent="0.2">
      <c r="R270" s="54"/>
      <c r="S270" s="54"/>
      <c r="T270" s="54"/>
      <c r="W270" s="54"/>
      <c r="X270" s="54"/>
      <c r="Y270" s="54"/>
      <c r="AB270" s="54"/>
      <c r="AC270" s="54"/>
      <c r="AD270" s="54"/>
      <c r="AG270" s="54"/>
      <c r="AH270" s="54"/>
      <c r="AI270" s="54"/>
    </row>
    <row r="271" spans="18:35" x14ac:dyDescent="0.2">
      <c r="R271" s="54"/>
      <c r="S271" s="54"/>
      <c r="T271" s="54"/>
      <c r="W271" s="54"/>
      <c r="X271" s="54"/>
      <c r="Y271" s="54"/>
      <c r="AB271" s="54"/>
      <c r="AC271" s="54"/>
      <c r="AD271" s="54"/>
      <c r="AG271" s="54"/>
      <c r="AH271" s="54"/>
      <c r="AI271" s="54"/>
    </row>
    <row r="272" spans="18:35" x14ac:dyDescent="0.2">
      <c r="R272" s="54"/>
      <c r="S272" s="54"/>
      <c r="T272" s="54"/>
      <c r="W272" s="54"/>
      <c r="X272" s="54"/>
      <c r="Y272" s="54"/>
      <c r="AB272" s="54"/>
      <c r="AC272" s="54"/>
      <c r="AD272" s="54"/>
      <c r="AG272" s="54"/>
      <c r="AH272" s="54"/>
      <c r="AI272" s="54"/>
    </row>
    <row r="273" spans="18:35" x14ac:dyDescent="0.2">
      <c r="R273" s="54"/>
      <c r="S273" s="54"/>
      <c r="T273" s="54"/>
      <c r="W273" s="54"/>
      <c r="X273" s="54"/>
      <c r="Y273" s="54"/>
      <c r="AB273" s="54"/>
      <c r="AC273" s="54"/>
      <c r="AD273" s="54"/>
      <c r="AG273" s="54"/>
      <c r="AH273" s="54"/>
      <c r="AI273" s="54"/>
    </row>
    <row r="274" spans="18:35" x14ac:dyDescent="0.2">
      <c r="R274" s="54"/>
      <c r="S274" s="54"/>
      <c r="T274" s="54"/>
      <c r="W274" s="54"/>
      <c r="X274" s="54"/>
      <c r="Y274" s="54"/>
      <c r="AB274" s="54"/>
      <c r="AC274" s="54"/>
      <c r="AD274" s="54"/>
      <c r="AG274" s="54"/>
      <c r="AH274" s="54"/>
      <c r="AI274" s="54"/>
    </row>
    <row r="275" spans="18:35" x14ac:dyDescent="0.2">
      <c r="R275" s="54"/>
      <c r="S275" s="54"/>
      <c r="T275" s="54"/>
      <c r="W275" s="54"/>
      <c r="X275" s="54"/>
      <c r="Y275" s="54"/>
      <c r="AB275" s="54"/>
      <c r="AC275" s="54"/>
      <c r="AD275" s="54"/>
      <c r="AG275" s="54"/>
      <c r="AH275" s="54"/>
      <c r="AI275" s="54"/>
    </row>
    <row r="276" spans="18:35" x14ac:dyDescent="0.2">
      <c r="R276" s="54"/>
      <c r="S276" s="54"/>
      <c r="T276" s="54"/>
      <c r="W276" s="54"/>
      <c r="X276" s="54"/>
      <c r="Y276" s="54"/>
      <c r="AB276" s="54"/>
      <c r="AC276" s="54"/>
      <c r="AD276" s="54"/>
      <c r="AG276" s="54"/>
      <c r="AH276" s="54"/>
      <c r="AI276" s="54"/>
    </row>
    <row r="277" spans="18:35" x14ac:dyDescent="0.2">
      <c r="R277" s="54"/>
      <c r="S277" s="54"/>
      <c r="T277" s="54"/>
      <c r="W277" s="54"/>
      <c r="X277" s="54"/>
      <c r="Y277" s="54"/>
      <c r="AB277" s="54"/>
      <c r="AC277" s="54"/>
      <c r="AD277" s="54"/>
      <c r="AG277" s="54"/>
      <c r="AH277" s="54"/>
      <c r="AI277" s="54"/>
    </row>
    <row r="278" spans="18:35" x14ac:dyDescent="0.2">
      <c r="R278" s="54"/>
      <c r="S278" s="54"/>
      <c r="T278" s="54"/>
      <c r="W278" s="54"/>
      <c r="X278" s="54"/>
      <c r="Y278" s="54"/>
      <c r="AB278" s="54"/>
      <c r="AC278" s="54"/>
      <c r="AD278" s="54"/>
      <c r="AG278" s="54"/>
      <c r="AH278" s="54"/>
      <c r="AI278" s="54"/>
    </row>
    <row r="279" spans="18:35" x14ac:dyDescent="0.2">
      <c r="R279" s="54"/>
      <c r="S279" s="54"/>
      <c r="T279" s="54"/>
      <c r="W279" s="54"/>
      <c r="X279" s="54"/>
      <c r="Y279" s="54"/>
      <c r="AB279" s="54"/>
      <c r="AC279" s="54"/>
      <c r="AD279" s="54"/>
      <c r="AG279" s="54"/>
      <c r="AH279" s="54"/>
      <c r="AI279" s="54"/>
    </row>
    <row r="280" spans="18:35" x14ac:dyDescent="0.2">
      <c r="R280" s="54"/>
      <c r="S280" s="54"/>
      <c r="T280" s="54"/>
      <c r="W280" s="54"/>
      <c r="X280" s="54"/>
      <c r="Y280" s="54"/>
      <c r="AB280" s="54"/>
      <c r="AC280" s="54"/>
      <c r="AD280" s="54"/>
      <c r="AG280" s="54"/>
      <c r="AH280" s="54"/>
      <c r="AI280" s="54"/>
    </row>
    <row r="281" spans="18:35" x14ac:dyDescent="0.2">
      <c r="R281" s="54"/>
      <c r="S281" s="54"/>
      <c r="T281" s="54"/>
      <c r="W281" s="54"/>
      <c r="X281" s="54"/>
      <c r="Y281" s="54"/>
      <c r="AB281" s="54"/>
      <c r="AC281" s="54"/>
      <c r="AD281" s="54"/>
      <c r="AG281" s="54"/>
      <c r="AH281" s="54"/>
      <c r="AI281" s="54"/>
    </row>
    <row r="282" spans="18:35" x14ac:dyDescent="0.2">
      <c r="R282" s="54"/>
      <c r="S282" s="54"/>
      <c r="T282" s="54"/>
      <c r="W282" s="54"/>
      <c r="X282" s="54"/>
      <c r="Y282" s="54"/>
      <c r="AB282" s="54"/>
      <c r="AC282" s="54"/>
      <c r="AD282" s="54"/>
      <c r="AG282" s="54"/>
      <c r="AH282" s="54"/>
      <c r="AI282" s="54"/>
    </row>
    <row r="283" spans="18:35" x14ac:dyDescent="0.2">
      <c r="R283" s="54"/>
      <c r="S283" s="54"/>
      <c r="T283" s="54"/>
      <c r="W283" s="54"/>
      <c r="X283" s="54"/>
      <c r="Y283" s="54"/>
      <c r="AB283" s="54"/>
      <c r="AC283" s="54"/>
      <c r="AD283" s="54"/>
      <c r="AG283" s="54"/>
      <c r="AH283" s="54"/>
      <c r="AI283" s="54"/>
    </row>
    <row r="284" spans="18:35" x14ac:dyDescent="0.2">
      <c r="R284" s="54"/>
      <c r="S284" s="54"/>
      <c r="T284" s="54"/>
      <c r="W284" s="54"/>
      <c r="X284" s="54"/>
      <c r="Y284" s="54"/>
      <c r="AB284" s="54"/>
      <c r="AC284" s="54"/>
      <c r="AD284" s="54"/>
      <c r="AG284" s="54"/>
      <c r="AH284" s="54"/>
      <c r="AI284" s="54"/>
    </row>
    <row r="285" spans="18:35" x14ac:dyDescent="0.2">
      <c r="R285" s="54"/>
      <c r="S285" s="54"/>
      <c r="T285" s="54"/>
      <c r="W285" s="54"/>
      <c r="X285" s="54"/>
      <c r="Y285" s="54"/>
      <c r="AB285" s="54"/>
      <c r="AC285" s="54"/>
      <c r="AD285" s="54"/>
      <c r="AG285" s="54"/>
      <c r="AH285" s="54"/>
      <c r="AI285" s="54"/>
    </row>
    <row r="286" spans="18:35" x14ac:dyDescent="0.2">
      <c r="R286" s="54"/>
      <c r="S286" s="54"/>
      <c r="T286" s="54"/>
      <c r="W286" s="54"/>
      <c r="X286" s="54"/>
      <c r="Y286" s="54"/>
      <c r="AB286" s="54"/>
      <c r="AC286" s="54"/>
      <c r="AD286" s="54"/>
      <c r="AG286" s="54"/>
      <c r="AH286" s="54"/>
      <c r="AI286" s="54"/>
    </row>
    <row r="287" spans="18:35" x14ac:dyDescent="0.2">
      <c r="R287" s="54"/>
      <c r="S287" s="54"/>
      <c r="T287" s="54"/>
      <c r="W287" s="54"/>
      <c r="X287" s="54"/>
      <c r="Y287" s="54"/>
      <c r="AB287" s="54"/>
      <c r="AC287" s="54"/>
      <c r="AD287" s="54"/>
      <c r="AG287" s="54"/>
      <c r="AH287" s="54"/>
      <c r="AI287" s="54"/>
    </row>
    <row r="288" spans="18:35" x14ac:dyDescent="0.2">
      <c r="R288" s="54"/>
      <c r="S288" s="54"/>
      <c r="T288" s="54"/>
      <c r="W288" s="54"/>
      <c r="X288" s="54"/>
      <c r="Y288" s="54"/>
      <c r="AB288" s="54"/>
      <c r="AC288" s="54"/>
      <c r="AD288" s="54"/>
      <c r="AG288" s="54"/>
      <c r="AH288" s="54"/>
      <c r="AI288" s="54"/>
    </row>
    <row r="289" spans="18:35" x14ac:dyDescent="0.2">
      <c r="R289" s="54"/>
      <c r="S289" s="54"/>
      <c r="T289" s="54"/>
      <c r="W289" s="54"/>
      <c r="X289" s="54"/>
      <c r="Y289" s="54"/>
      <c r="AB289" s="54"/>
      <c r="AC289" s="54"/>
      <c r="AD289" s="54"/>
      <c r="AG289" s="54"/>
      <c r="AH289" s="54"/>
      <c r="AI289" s="54"/>
    </row>
    <row r="290" spans="18:35" x14ac:dyDescent="0.2">
      <c r="R290" s="54"/>
      <c r="S290" s="54"/>
      <c r="T290" s="54"/>
      <c r="W290" s="54"/>
      <c r="X290" s="54"/>
      <c r="Y290" s="54"/>
      <c r="AB290" s="54"/>
      <c r="AC290" s="54"/>
      <c r="AD290" s="54"/>
      <c r="AG290" s="54"/>
      <c r="AH290" s="54"/>
      <c r="AI290" s="54"/>
    </row>
    <row r="291" spans="18:35" x14ac:dyDescent="0.2">
      <c r="R291" s="54"/>
      <c r="S291" s="54"/>
      <c r="T291" s="54"/>
      <c r="W291" s="54"/>
      <c r="X291" s="54"/>
      <c r="Y291" s="54"/>
      <c r="AB291" s="54"/>
      <c r="AC291" s="54"/>
      <c r="AD291" s="54"/>
      <c r="AG291" s="54"/>
      <c r="AH291" s="54"/>
      <c r="AI291" s="54"/>
    </row>
    <row r="292" spans="18:35" x14ac:dyDescent="0.2">
      <c r="R292" s="54"/>
      <c r="S292" s="54"/>
      <c r="T292" s="54"/>
      <c r="W292" s="54"/>
      <c r="X292" s="54"/>
      <c r="Y292" s="54"/>
      <c r="AB292" s="54"/>
      <c r="AC292" s="54"/>
      <c r="AD292" s="54"/>
      <c r="AG292" s="54"/>
      <c r="AH292" s="54"/>
      <c r="AI292" s="54"/>
    </row>
    <row r="293" spans="18:35" x14ac:dyDescent="0.2">
      <c r="R293" s="54"/>
      <c r="S293" s="54"/>
      <c r="T293" s="54"/>
      <c r="W293" s="54"/>
      <c r="X293" s="54"/>
      <c r="Y293" s="54"/>
      <c r="AB293" s="54"/>
      <c r="AC293" s="54"/>
      <c r="AD293" s="54"/>
      <c r="AG293" s="54"/>
      <c r="AH293" s="54"/>
      <c r="AI293" s="54"/>
    </row>
    <row r="294" spans="18:35" x14ac:dyDescent="0.2">
      <c r="R294" s="54"/>
      <c r="S294" s="54"/>
      <c r="T294" s="54"/>
      <c r="W294" s="54"/>
      <c r="X294" s="54"/>
      <c r="Y294" s="54"/>
      <c r="AB294" s="54"/>
      <c r="AC294" s="54"/>
      <c r="AD294" s="54"/>
      <c r="AG294" s="54"/>
      <c r="AH294" s="54"/>
      <c r="AI294" s="54"/>
    </row>
    <row r="295" spans="18:35" x14ac:dyDescent="0.2">
      <c r="R295" s="54"/>
      <c r="S295" s="54"/>
      <c r="T295" s="54"/>
      <c r="W295" s="54"/>
      <c r="X295" s="54"/>
      <c r="Y295" s="54"/>
      <c r="AB295" s="54"/>
      <c r="AC295" s="54"/>
      <c r="AD295" s="54"/>
      <c r="AG295" s="54"/>
      <c r="AH295" s="54"/>
      <c r="AI295" s="54"/>
    </row>
    <row r="296" spans="18:35" x14ac:dyDescent="0.2">
      <c r="R296" s="54"/>
      <c r="S296" s="54"/>
      <c r="T296" s="54"/>
      <c r="W296" s="54"/>
      <c r="X296" s="54"/>
      <c r="Y296" s="54"/>
      <c r="AB296" s="54"/>
      <c r="AC296" s="54"/>
      <c r="AD296" s="54"/>
      <c r="AG296" s="54"/>
      <c r="AH296" s="54"/>
      <c r="AI296" s="54"/>
    </row>
    <row r="297" spans="18:35" x14ac:dyDescent="0.2">
      <c r="R297" s="54"/>
      <c r="S297" s="54"/>
      <c r="T297" s="54"/>
      <c r="W297" s="54"/>
      <c r="X297" s="54"/>
      <c r="Y297" s="54"/>
      <c r="AB297" s="54"/>
      <c r="AC297" s="54"/>
      <c r="AD297" s="54"/>
      <c r="AG297" s="54"/>
      <c r="AH297" s="54"/>
      <c r="AI297" s="54"/>
    </row>
    <row r="298" spans="18:35" x14ac:dyDescent="0.2">
      <c r="R298" s="54"/>
      <c r="S298" s="54"/>
      <c r="T298" s="54"/>
      <c r="W298" s="54"/>
      <c r="X298" s="54"/>
      <c r="Y298" s="54"/>
      <c r="AB298" s="54"/>
      <c r="AC298" s="54"/>
      <c r="AD298" s="54"/>
      <c r="AG298" s="54"/>
      <c r="AH298" s="54"/>
      <c r="AI298" s="54"/>
    </row>
    <row r="299" spans="18:35" x14ac:dyDescent="0.2">
      <c r="R299" s="54"/>
      <c r="S299" s="54"/>
      <c r="T299" s="54"/>
      <c r="W299" s="54"/>
      <c r="X299" s="54"/>
      <c r="Y299" s="54"/>
      <c r="AB299" s="54"/>
      <c r="AC299" s="54"/>
      <c r="AD299" s="54"/>
      <c r="AG299" s="54"/>
      <c r="AH299" s="54"/>
      <c r="AI299" s="54"/>
    </row>
    <row r="300" spans="18:35" x14ac:dyDescent="0.2">
      <c r="R300" s="54"/>
      <c r="S300" s="54"/>
      <c r="T300" s="54"/>
      <c r="W300" s="54"/>
      <c r="X300" s="54"/>
      <c r="Y300" s="54"/>
      <c r="AB300" s="54"/>
      <c r="AC300" s="54"/>
      <c r="AD300" s="54"/>
      <c r="AG300" s="54"/>
      <c r="AH300" s="54"/>
      <c r="AI300" s="54"/>
    </row>
    <row r="301" spans="18:35" x14ac:dyDescent="0.2">
      <c r="R301" s="54"/>
      <c r="S301" s="54"/>
      <c r="T301" s="54"/>
      <c r="W301" s="54"/>
      <c r="X301" s="54"/>
      <c r="Y301" s="54"/>
      <c r="AB301" s="54"/>
      <c r="AC301" s="54"/>
      <c r="AD301" s="54"/>
      <c r="AG301" s="54"/>
      <c r="AH301" s="54"/>
      <c r="AI301" s="54"/>
    </row>
    <row r="302" spans="18:35" x14ac:dyDescent="0.2">
      <c r="R302" s="54"/>
      <c r="S302" s="54"/>
      <c r="T302" s="54"/>
      <c r="W302" s="54"/>
      <c r="X302" s="54"/>
      <c r="Y302" s="54"/>
      <c r="AB302" s="54"/>
      <c r="AC302" s="54"/>
      <c r="AD302" s="54"/>
      <c r="AG302" s="54"/>
      <c r="AH302" s="54"/>
      <c r="AI302" s="54"/>
    </row>
    <row r="303" spans="18:35" x14ac:dyDescent="0.2">
      <c r="R303" s="54"/>
      <c r="S303" s="54"/>
      <c r="T303" s="54"/>
      <c r="W303" s="54"/>
      <c r="X303" s="54"/>
      <c r="Y303" s="54"/>
      <c r="AB303" s="54"/>
      <c r="AC303" s="54"/>
      <c r="AD303" s="54"/>
      <c r="AG303" s="54"/>
      <c r="AH303" s="54"/>
      <c r="AI303" s="54"/>
    </row>
    <row r="304" spans="18:35" x14ac:dyDescent="0.2">
      <c r="R304" s="54"/>
      <c r="S304" s="54"/>
      <c r="T304" s="54"/>
      <c r="W304" s="54"/>
      <c r="X304" s="54"/>
      <c r="Y304" s="54"/>
      <c r="AB304" s="54"/>
      <c r="AC304" s="54"/>
      <c r="AD304" s="54"/>
      <c r="AG304" s="54"/>
      <c r="AH304" s="54"/>
      <c r="AI304" s="54"/>
    </row>
    <row r="305" spans="18:35" x14ac:dyDescent="0.2">
      <c r="R305" s="54"/>
      <c r="S305" s="54"/>
      <c r="T305" s="54"/>
      <c r="W305" s="54"/>
      <c r="X305" s="54"/>
      <c r="Y305" s="54"/>
      <c r="AB305" s="54"/>
      <c r="AC305" s="54"/>
      <c r="AD305" s="54"/>
      <c r="AG305" s="54"/>
      <c r="AH305" s="54"/>
      <c r="AI305" s="54"/>
    </row>
    <row r="306" spans="18:35" x14ac:dyDescent="0.2">
      <c r="R306" s="54"/>
      <c r="S306" s="54"/>
      <c r="T306" s="54"/>
      <c r="W306" s="54"/>
      <c r="X306" s="54"/>
      <c r="Y306" s="54"/>
      <c r="AB306" s="54"/>
      <c r="AC306" s="54"/>
      <c r="AD306" s="54"/>
      <c r="AG306" s="54"/>
      <c r="AH306" s="54"/>
      <c r="AI306" s="54"/>
    </row>
    <row r="307" spans="18:35" x14ac:dyDescent="0.2">
      <c r="R307" s="54"/>
      <c r="S307" s="54"/>
      <c r="T307" s="54"/>
      <c r="W307" s="54"/>
      <c r="X307" s="54"/>
      <c r="Y307" s="54"/>
      <c r="AB307" s="54"/>
      <c r="AC307" s="54"/>
      <c r="AD307" s="54"/>
      <c r="AG307" s="54"/>
      <c r="AH307" s="54"/>
      <c r="AI307" s="54"/>
    </row>
    <row r="308" spans="18:35" x14ac:dyDescent="0.2">
      <c r="R308" s="54"/>
      <c r="S308" s="54"/>
      <c r="T308" s="54"/>
      <c r="W308" s="54"/>
      <c r="X308" s="54"/>
      <c r="Y308" s="54"/>
      <c r="AB308" s="54"/>
      <c r="AC308" s="54"/>
      <c r="AD308" s="54"/>
      <c r="AG308" s="54"/>
      <c r="AH308" s="54"/>
      <c r="AI308" s="54"/>
    </row>
    <row r="309" spans="18:35" x14ac:dyDescent="0.2">
      <c r="R309" s="54"/>
      <c r="S309" s="54"/>
      <c r="T309" s="54"/>
      <c r="W309" s="54"/>
      <c r="X309" s="54"/>
      <c r="Y309" s="54"/>
      <c r="AB309" s="54"/>
      <c r="AC309" s="54"/>
      <c r="AD309" s="54"/>
      <c r="AG309" s="54"/>
      <c r="AH309" s="54"/>
      <c r="AI309" s="54"/>
    </row>
    <row r="310" spans="18:35" x14ac:dyDescent="0.2">
      <c r="R310" s="54"/>
      <c r="S310" s="54"/>
      <c r="T310" s="54"/>
      <c r="W310" s="54"/>
      <c r="X310" s="54"/>
      <c r="Y310" s="54"/>
      <c r="AB310" s="54"/>
      <c r="AC310" s="54"/>
      <c r="AD310" s="54"/>
      <c r="AG310" s="54"/>
      <c r="AH310" s="54"/>
      <c r="AI310" s="54"/>
    </row>
    <row r="311" spans="18:35" x14ac:dyDescent="0.2">
      <c r="R311" s="54"/>
      <c r="S311" s="54"/>
      <c r="T311" s="54"/>
      <c r="W311" s="54"/>
      <c r="X311" s="54"/>
      <c r="Y311" s="54"/>
      <c r="AB311" s="54"/>
      <c r="AC311" s="54"/>
      <c r="AD311" s="54"/>
      <c r="AG311" s="54"/>
      <c r="AH311" s="54"/>
      <c r="AI311" s="54"/>
    </row>
    <row r="312" spans="18:35" x14ac:dyDescent="0.2">
      <c r="R312" s="54"/>
      <c r="S312" s="54"/>
      <c r="T312" s="54"/>
      <c r="W312" s="54"/>
      <c r="X312" s="54"/>
      <c r="Y312" s="54"/>
      <c r="AB312" s="54"/>
      <c r="AC312" s="54"/>
      <c r="AD312" s="54"/>
      <c r="AG312" s="54"/>
      <c r="AH312" s="54"/>
      <c r="AI312" s="54"/>
    </row>
    <row r="313" spans="18:35" x14ac:dyDescent="0.2">
      <c r="R313" s="54"/>
      <c r="S313" s="54"/>
      <c r="T313" s="54"/>
      <c r="W313" s="54"/>
      <c r="X313" s="54"/>
      <c r="Y313" s="54"/>
      <c r="AB313" s="54"/>
      <c r="AC313" s="54"/>
      <c r="AD313" s="54"/>
      <c r="AG313" s="54"/>
      <c r="AH313" s="54"/>
      <c r="AI313" s="54"/>
    </row>
    <row r="314" spans="18:35" x14ac:dyDescent="0.2">
      <c r="R314" s="54"/>
      <c r="S314" s="54"/>
      <c r="T314" s="54"/>
      <c r="W314" s="54"/>
      <c r="X314" s="54"/>
      <c r="Y314" s="54"/>
      <c r="AB314" s="54"/>
      <c r="AC314" s="54"/>
      <c r="AD314" s="54"/>
      <c r="AG314" s="54"/>
      <c r="AH314" s="54"/>
      <c r="AI314" s="54"/>
    </row>
    <row r="315" spans="18:35" x14ac:dyDescent="0.2">
      <c r="R315" s="54"/>
      <c r="S315" s="54"/>
      <c r="T315" s="54"/>
      <c r="W315" s="54"/>
      <c r="X315" s="54"/>
      <c r="Y315" s="54"/>
      <c r="AB315" s="54"/>
      <c r="AC315" s="54"/>
      <c r="AD315" s="54"/>
      <c r="AG315" s="54"/>
      <c r="AH315" s="54"/>
      <c r="AI315" s="54"/>
    </row>
    <row r="316" spans="18:35" x14ac:dyDescent="0.2">
      <c r="R316" s="54"/>
      <c r="S316" s="54"/>
      <c r="T316" s="54"/>
      <c r="W316" s="54"/>
      <c r="X316" s="54"/>
      <c r="Y316" s="54"/>
      <c r="AB316" s="54"/>
      <c r="AC316" s="54"/>
      <c r="AD316" s="54"/>
      <c r="AG316" s="54"/>
      <c r="AH316" s="54"/>
      <c r="AI316" s="54"/>
    </row>
    <row r="317" spans="18:35" x14ac:dyDescent="0.2">
      <c r="R317" s="54"/>
      <c r="S317" s="54"/>
      <c r="T317" s="54"/>
      <c r="W317" s="54"/>
      <c r="X317" s="54"/>
      <c r="Y317" s="54"/>
      <c r="AB317" s="54"/>
      <c r="AC317" s="54"/>
      <c r="AD317" s="54"/>
      <c r="AG317" s="54"/>
      <c r="AH317" s="54"/>
      <c r="AI317" s="54"/>
    </row>
    <row r="318" spans="18:35" x14ac:dyDescent="0.2">
      <c r="R318" s="54"/>
      <c r="S318" s="54"/>
      <c r="T318" s="54"/>
      <c r="W318" s="54"/>
      <c r="X318" s="54"/>
      <c r="Y318" s="54"/>
      <c r="AB318" s="54"/>
      <c r="AC318" s="54"/>
      <c r="AD318" s="54"/>
      <c r="AG318" s="54"/>
      <c r="AH318" s="54"/>
      <c r="AI318" s="54"/>
    </row>
    <row r="319" spans="18:35" x14ac:dyDescent="0.2">
      <c r="R319" s="54"/>
      <c r="S319" s="54"/>
      <c r="T319" s="54"/>
      <c r="W319" s="54"/>
      <c r="X319" s="54"/>
      <c r="Y319" s="54"/>
      <c r="AB319" s="54"/>
      <c r="AC319" s="54"/>
      <c r="AD319" s="54"/>
      <c r="AG319" s="54"/>
      <c r="AH319" s="54"/>
      <c r="AI319" s="54"/>
    </row>
    <row r="320" spans="18:35" x14ac:dyDescent="0.2">
      <c r="R320" s="54"/>
      <c r="S320" s="54"/>
      <c r="T320" s="54"/>
      <c r="W320" s="54"/>
      <c r="X320" s="54"/>
      <c r="Y320" s="54"/>
      <c r="AB320" s="54"/>
      <c r="AC320" s="54"/>
      <c r="AD320" s="54"/>
      <c r="AG320" s="54"/>
      <c r="AH320" s="54"/>
      <c r="AI320" s="54"/>
    </row>
    <row r="321" spans="18:35" x14ac:dyDescent="0.2">
      <c r="R321" s="54"/>
      <c r="S321" s="54"/>
      <c r="T321" s="54"/>
      <c r="W321" s="54"/>
      <c r="X321" s="54"/>
      <c r="Y321" s="54"/>
      <c r="AB321" s="54"/>
      <c r="AC321" s="54"/>
      <c r="AD321" s="54"/>
      <c r="AG321" s="54"/>
      <c r="AH321" s="54"/>
      <c r="AI321" s="54"/>
    </row>
    <row r="322" spans="18:35" x14ac:dyDescent="0.2">
      <c r="R322" s="54"/>
      <c r="S322" s="54"/>
      <c r="T322" s="54"/>
      <c r="W322" s="54"/>
      <c r="X322" s="54"/>
      <c r="Y322" s="54"/>
      <c r="AB322" s="54"/>
      <c r="AC322" s="54"/>
      <c r="AD322" s="54"/>
      <c r="AG322" s="54"/>
      <c r="AH322" s="54"/>
      <c r="AI322" s="54"/>
    </row>
    <row r="323" spans="18:35" x14ac:dyDescent="0.2">
      <c r="R323" s="54"/>
      <c r="S323" s="54"/>
      <c r="T323" s="54"/>
      <c r="W323" s="54"/>
      <c r="X323" s="54"/>
      <c r="Y323" s="54"/>
      <c r="AB323" s="54"/>
      <c r="AC323" s="54"/>
      <c r="AD323" s="54"/>
      <c r="AG323" s="54"/>
      <c r="AH323" s="54"/>
      <c r="AI323" s="54"/>
    </row>
    <row r="324" spans="18:35" x14ac:dyDescent="0.2">
      <c r="R324" s="54"/>
      <c r="S324" s="54"/>
      <c r="T324" s="54"/>
      <c r="W324" s="54"/>
      <c r="X324" s="54"/>
      <c r="Y324" s="54"/>
      <c r="AB324" s="54"/>
      <c r="AC324" s="54"/>
      <c r="AD324" s="54"/>
      <c r="AG324" s="54"/>
      <c r="AH324" s="54"/>
      <c r="AI324" s="54"/>
    </row>
    <row r="325" spans="18:35" x14ac:dyDescent="0.2">
      <c r="R325" s="54"/>
      <c r="S325" s="54"/>
      <c r="T325" s="54"/>
      <c r="W325" s="54"/>
      <c r="X325" s="54"/>
      <c r="Y325" s="54"/>
      <c r="AB325" s="54"/>
      <c r="AC325" s="54"/>
      <c r="AD325" s="54"/>
      <c r="AG325" s="54"/>
      <c r="AH325" s="54"/>
      <c r="AI325" s="54"/>
    </row>
    <row r="326" spans="18:35" x14ac:dyDescent="0.2">
      <c r="R326" s="54"/>
      <c r="S326" s="54"/>
      <c r="T326" s="54"/>
      <c r="W326" s="54"/>
      <c r="X326" s="54"/>
      <c r="Y326" s="54"/>
      <c r="AB326" s="54"/>
      <c r="AC326" s="54"/>
      <c r="AD326" s="54"/>
      <c r="AG326" s="54"/>
      <c r="AH326" s="54"/>
      <c r="AI326" s="54"/>
    </row>
    <row r="327" spans="18:35" x14ac:dyDescent="0.2">
      <c r="R327" s="54"/>
      <c r="S327" s="54"/>
      <c r="T327" s="54"/>
      <c r="W327" s="54"/>
      <c r="X327" s="54"/>
      <c r="Y327" s="54"/>
      <c r="AB327" s="54"/>
      <c r="AC327" s="54"/>
      <c r="AD327" s="54"/>
      <c r="AG327" s="54"/>
      <c r="AH327" s="54"/>
      <c r="AI327" s="54"/>
    </row>
    <row r="328" spans="18:35" x14ac:dyDescent="0.2">
      <c r="R328" s="54"/>
      <c r="S328" s="54"/>
      <c r="T328" s="54"/>
      <c r="W328" s="54"/>
      <c r="X328" s="54"/>
      <c r="Y328" s="54"/>
      <c r="AB328" s="54"/>
      <c r="AC328" s="54"/>
      <c r="AD328" s="54"/>
      <c r="AG328" s="54"/>
      <c r="AH328" s="54"/>
      <c r="AI328" s="54"/>
    </row>
    <row r="329" spans="18:35" x14ac:dyDescent="0.2">
      <c r="R329" s="54"/>
      <c r="S329" s="54"/>
      <c r="T329" s="54"/>
      <c r="W329" s="54"/>
      <c r="X329" s="54"/>
      <c r="Y329" s="54"/>
      <c r="AB329" s="54"/>
      <c r="AC329" s="54"/>
      <c r="AD329" s="54"/>
      <c r="AG329" s="54"/>
      <c r="AH329" s="54"/>
      <c r="AI329" s="54"/>
    </row>
    <row r="330" spans="18:35" x14ac:dyDescent="0.2">
      <c r="R330" s="54"/>
      <c r="S330" s="54"/>
      <c r="T330" s="54"/>
      <c r="W330" s="54"/>
      <c r="X330" s="54"/>
      <c r="Y330" s="54"/>
      <c r="AB330" s="54"/>
      <c r="AC330" s="54"/>
      <c r="AD330" s="54"/>
      <c r="AG330" s="54"/>
      <c r="AH330" s="54"/>
      <c r="AI330" s="54"/>
    </row>
    <row r="331" spans="18:35" x14ac:dyDescent="0.2">
      <c r="R331" s="54"/>
      <c r="S331" s="54"/>
      <c r="T331" s="54"/>
      <c r="W331" s="54"/>
      <c r="X331" s="54"/>
      <c r="Y331" s="54"/>
      <c r="AB331" s="54"/>
      <c r="AC331" s="54"/>
      <c r="AD331" s="54"/>
      <c r="AG331" s="54"/>
      <c r="AH331" s="54"/>
      <c r="AI331" s="54"/>
    </row>
    <row r="332" spans="18:35" x14ac:dyDescent="0.2">
      <c r="R332" s="54"/>
      <c r="S332" s="54"/>
      <c r="T332" s="54"/>
      <c r="W332" s="54"/>
      <c r="X332" s="54"/>
      <c r="Y332" s="54"/>
      <c r="AB332" s="54"/>
      <c r="AC332" s="54"/>
      <c r="AD332" s="54"/>
      <c r="AG332" s="54"/>
      <c r="AH332" s="54"/>
      <c r="AI332" s="54"/>
    </row>
    <row r="333" spans="18:35" x14ac:dyDescent="0.2">
      <c r="R333" s="54"/>
      <c r="S333" s="54"/>
      <c r="T333" s="54"/>
      <c r="W333" s="54"/>
      <c r="X333" s="54"/>
      <c r="Y333" s="54"/>
      <c r="AB333" s="54"/>
      <c r="AC333" s="54"/>
      <c r="AD333" s="54"/>
      <c r="AG333" s="54"/>
      <c r="AH333" s="54"/>
      <c r="AI333" s="54"/>
    </row>
    <row r="334" spans="18:35" x14ac:dyDescent="0.2">
      <c r="R334" s="54"/>
      <c r="S334" s="54"/>
      <c r="T334" s="54"/>
      <c r="W334" s="54"/>
      <c r="X334" s="54"/>
      <c r="Y334" s="54"/>
      <c r="AB334" s="54"/>
      <c r="AC334" s="54"/>
      <c r="AD334" s="54"/>
      <c r="AG334" s="54"/>
      <c r="AH334" s="54"/>
      <c r="AI334" s="54"/>
    </row>
    <row r="335" spans="18:35" x14ac:dyDescent="0.2">
      <c r="R335" s="54"/>
      <c r="S335" s="54"/>
      <c r="T335" s="54"/>
      <c r="W335" s="54"/>
      <c r="X335" s="54"/>
      <c r="Y335" s="54"/>
      <c r="AB335" s="54"/>
      <c r="AC335" s="54"/>
      <c r="AD335" s="54"/>
      <c r="AG335" s="54"/>
      <c r="AH335" s="54"/>
      <c r="AI335" s="54"/>
    </row>
    <row r="336" spans="18:35" x14ac:dyDescent="0.2">
      <c r="R336" s="54"/>
      <c r="S336" s="54"/>
      <c r="T336" s="54"/>
      <c r="W336" s="54"/>
      <c r="X336" s="54"/>
      <c r="Y336" s="54"/>
      <c r="AB336" s="54"/>
      <c r="AC336" s="54"/>
      <c r="AD336" s="54"/>
      <c r="AG336" s="54"/>
      <c r="AH336" s="54"/>
      <c r="AI336" s="54"/>
    </row>
    <row r="337" spans="18:35" x14ac:dyDescent="0.2">
      <c r="R337" s="54"/>
      <c r="S337" s="54"/>
      <c r="T337" s="54"/>
      <c r="W337" s="54"/>
      <c r="X337" s="54"/>
      <c r="Y337" s="54"/>
      <c r="AB337" s="54"/>
      <c r="AC337" s="54"/>
      <c r="AD337" s="54"/>
      <c r="AG337" s="54"/>
      <c r="AH337" s="54"/>
      <c r="AI337" s="54"/>
    </row>
    <row r="338" spans="18:35" x14ac:dyDescent="0.2">
      <c r="R338" s="54"/>
      <c r="S338" s="54"/>
      <c r="T338" s="54"/>
      <c r="W338" s="54"/>
      <c r="X338" s="54"/>
      <c r="Y338" s="54"/>
      <c r="AB338" s="54"/>
      <c r="AC338" s="54"/>
      <c r="AD338" s="54"/>
      <c r="AG338" s="54"/>
      <c r="AH338" s="54"/>
      <c r="AI338" s="54"/>
    </row>
    <row r="339" spans="18:35" x14ac:dyDescent="0.2">
      <c r="R339" s="54"/>
      <c r="S339" s="54"/>
      <c r="T339" s="54"/>
      <c r="W339" s="54"/>
      <c r="X339" s="54"/>
      <c r="Y339" s="54"/>
      <c r="AB339" s="54"/>
      <c r="AC339" s="54"/>
      <c r="AD339" s="54"/>
      <c r="AG339" s="54"/>
      <c r="AH339" s="54"/>
      <c r="AI339" s="54"/>
    </row>
    <row r="340" spans="18:35" x14ac:dyDescent="0.2">
      <c r="R340" s="54"/>
      <c r="S340" s="54"/>
      <c r="T340" s="54"/>
      <c r="W340" s="54"/>
      <c r="X340" s="54"/>
      <c r="Y340" s="54"/>
      <c r="AB340" s="54"/>
      <c r="AC340" s="54"/>
      <c r="AD340" s="54"/>
      <c r="AG340" s="54"/>
      <c r="AH340" s="54"/>
      <c r="AI340" s="54"/>
    </row>
    <row r="341" spans="18:35" x14ac:dyDescent="0.2">
      <c r="R341" s="54"/>
      <c r="S341" s="54"/>
      <c r="T341" s="54"/>
      <c r="W341" s="54"/>
      <c r="X341" s="54"/>
      <c r="Y341" s="54"/>
      <c r="AB341" s="54"/>
      <c r="AC341" s="54"/>
      <c r="AD341" s="54"/>
      <c r="AG341" s="54"/>
      <c r="AH341" s="54"/>
      <c r="AI341" s="54"/>
    </row>
    <row r="342" spans="18:35" x14ac:dyDescent="0.2">
      <c r="R342" s="54"/>
      <c r="S342" s="54"/>
      <c r="T342" s="54"/>
      <c r="W342" s="54"/>
      <c r="X342" s="54"/>
      <c r="Y342" s="54"/>
      <c r="AB342" s="54"/>
      <c r="AC342" s="54"/>
      <c r="AD342" s="54"/>
      <c r="AG342" s="54"/>
      <c r="AH342" s="54"/>
      <c r="AI342" s="54"/>
    </row>
    <row r="343" spans="18:35" x14ac:dyDescent="0.2">
      <c r="R343" s="54"/>
      <c r="S343" s="54"/>
      <c r="T343" s="54"/>
      <c r="W343" s="54"/>
      <c r="X343" s="54"/>
      <c r="Y343" s="54"/>
      <c r="AB343" s="54"/>
      <c r="AC343" s="54"/>
      <c r="AD343" s="54"/>
      <c r="AG343" s="54"/>
      <c r="AH343" s="54"/>
      <c r="AI343" s="54"/>
    </row>
    <row r="344" spans="18:35" x14ac:dyDescent="0.2">
      <c r="R344" s="54"/>
      <c r="S344" s="54"/>
      <c r="T344" s="54"/>
      <c r="W344" s="54"/>
      <c r="X344" s="54"/>
      <c r="Y344" s="54"/>
      <c r="AB344" s="54"/>
      <c r="AC344" s="54"/>
      <c r="AD344" s="54"/>
      <c r="AG344" s="54"/>
      <c r="AH344" s="54"/>
      <c r="AI344" s="54"/>
    </row>
    <row r="345" spans="18:35" x14ac:dyDescent="0.2">
      <c r="R345" s="54"/>
      <c r="S345" s="54"/>
      <c r="T345" s="54"/>
      <c r="W345" s="54"/>
      <c r="X345" s="54"/>
      <c r="Y345" s="54"/>
      <c r="AB345" s="54"/>
      <c r="AC345" s="54"/>
      <c r="AD345" s="54"/>
      <c r="AG345" s="54"/>
      <c r="AH345" s="54"/>
      <c r="AI345" s="54"/>
    </row>
    <row r="346" spans="18:35" x14ac:dyDescent="0.2">
      <c r="R346" s="54"/>
      <c r="S346" s="54"/>
      <c r="T346" s="54"/>
      <c r="W346" s="54"/>
      <c r="X346" s="54"/>
      <c r="Y346" s="54"/>
      <c r="AB346" s="54"/>
      <c r="AC346" s="54"/>
      <c r="AD346" s="54"/>
      <c r="AG346" s="54"/>
      <c r="AH346" s="54"/>
      <c r="AI346" s="54"/>
    </row>
    <row r="347" spans="18:35" x14ac:dyDescent="0.2">
      <c r="R347" s="54"/>
      <c r="S347" s="54"/>
      <c r="T347" s="54"/>
      <c r="W347" s="54"/>
      <c r="X347" s="54"/>
      <c r="Y347" s="54"/>
      <c r="AB347" s="54"/>
      <c r="AC347" s="54"/>
      <c r="AD347" s="54"/>
      <c r="AG347" s="54"/>
      <c r="AH347" s="54"/>
      <c r="AI347" s="54"/>
    </row>
    <row r="348" spans="18:35" x14ac:dyDescent="0.2">
      <c r="R348" s="54"/>
      <c r="S348" s="54"/>
      <c r="T348" s="54"/>
      <c r="W348" s="54"/>
      <c r="X348" s="54"/>
      <c r="Y348" s="54"/>
      <c r="AB348" s="54"/>
      <c r="AC348" s="54"/>
      <c r="AD348" s="54"/>
      <c r="AG348" s="54"/>
      <c r="AH348" s="54"/>
      <c r="AI348" s="54"/>
    </row>
    <row r="349" spans="18:35" x14ac:dyDescent="0.2">
      <c r="R349" s="54"/>
      <c r="S349" s="54"/>
      <c r="T349" s="54"/>
      <c r="W349" s="54"/>
      <c r="X349" s="54"/>
      <c r="Y349" s="54"/>
      <c r="AB349" s="54"/>
      <c r="AC349" s="54"/>
      <c r="AD349" s="54"/>
      <c r="AG349" s="54"/>
      <c r="AH349" s="54"/>
      <c r="AI349" s="54"/>
    </row>
    <row r="350" spans="18:35" x14ac:dyDescent="0.2">
      <c r="R350" s="54"/>
      <c r="S350" s="54"/>
      <c r="T350" s="54"/>
      <c r="W350" s="54"/>
      <c r="X350" s="54"/>
      <c r="Y350" s="54"/>
      <c r="AB350" s="54"/>
      <c r="AC350" s="54"/>
      <c r="AD350" s="54"/>
      <c r="AG350" s="54"/>
      <c r="AH350" s="54"/>
      <c r="AI350" s="54"/>
    </row>
    <row r="351" spans="18:35" x14ac:dyDescent="0.2">
      <c r="R351" s="54"/>
      <c r="S351" s="54"/>
      <c r="T351" s="54"/>
      <c r="W351" s="54"/>
      <c r="X351" s="54"/>
      <c r="Y351" s="54"/>
      <c r="AB351" s="54"/>
      <c r="AC351" s="54"/>
      <c r="AD351" s="54"/>
      <c r="AG351" s="54"/>
      <c r="AH351" s="54"/>
      <c r="AI351" s="54"/>
    </row>
    <row r="352" spans="18:35" x14ac:dyDescent="0.2">
      <c r="R352" s="54"/>
      <c r="S352" s="54"/>
      <c r="T352" s="54"/>
      <c r="W352" s="54"/>
      <c r="X352" s="54"/>
      <c r="Y352" s="54"/>
      <c r="AB352" s="54"/>
      <c r="AC352" s="54"/>
      <c r="AD352" s="54"/>
      <c r="AG352" s="54"/>
      <c r="AH352" s="54"/>
      <c r="AI352" s="54"/>
    </row>
    <row r="353" spans="18:35" x14ac:dyDescent="0.2">
      <c r="R353" s="54"/>
      <c r="S353" s="54"/>
      <c r="T353" s="54"/>
      <c r="W353" s="54"/>
      <c r="X353" s="54"/>
      <c r="Y353" s="54"/>
      <c r="AB353" s="54"/>
      <c r="AC353" s="54"/>
      <c r="AD353" s="54"/>
      <c r="AG353" s="54"/>
      <c r="AH353" s="54"/>
      <c r="AI353" s="54"/>
    </row>
    <row r="354" spans="18:35" x14ac:dyDescent="0.2">
      <c r="R354" s="54"/>
      <c r="S354" s="54"/>
      <c r="T354" s="54"/>
      <c r="W354" s="54"/>
      <c r="X354" s="54"/>
      <c r="Y354" s="54"/>
      <c r="AB354" s="54"/>
      <c r="AC354" s="54"/>
      <c r="AD354" s="54"/>
      <c r="AG354" s="54"/>
      <c r="AH354" s="54"/>
      <c r="AI354" s="54"/>
    </row>
    <row r="355" spans="18:35" x14ac:dyDescent="0.2">
      <c r="R355" s="54"/>
      <c r="S355" s="54"/>
      <c r="T355" s="54"/>
      <c r="W355" s="54"/>
      <c r="X355" s="54"/>
      <c r="Y355" s="54"/>
      <c r="AB355" s="54"/>
      <c r="AC355" s="54"/>
      <c r="AD355" s="54"/>
      <c r="AG355" s="54"/>
      <c r="AH355" s="54"/>
      <c r="AI355" s="54"/>
    </row>
    <row r="356" spans="18:35" x14ac:dyDescent="0.2">
      <c r="R356" s="54"/>
      <c r="S356" s="54"/>
      <c r="T356" s="54"/>
      <c r="W356" s="54"/>
      <c r="X356" s="54"/>
      <c r="Y356" s="54"/>
      <c r="AB356" s="54"/>
      <c r="AC356" s="54"/>
      <c r="AD356" s="54"/>
      <c r="AG356" s="54"/>
      <c r="AH356" s="54"/>
      <c r="AI356" s="54"/>
    </row>
    <row r="357" spans="18:35" x14ac:dyDescent="0.2">
      <c r="R357" s="54"/>
      <c r="S357" s="54"/>
      <c r="T357" s="54"/>
      <c r="W357" s="54"/>
      <c r="X357" s="54"/>
      <c r="Y357" s="54"/>
      <c r="AB357" s="54"/>
      <c r="AC357" s="54"/>
      <c r="AD357" s="54"/>
      <c r="AG357" s="54"/>
      <c r="AH357" s="54"/>
      <c r="AI357" s="54"/>
    </row>
    <row r="358" spans="18:35" x14ac:dyDescent="0.2">
      <c r="R358" s="54"/>
      <c r="S358" s="54"/>
      <c r="T358" s="54"/>
      <c r="W358" s="54"/>
      <c r="X358" s="54"/>
      <c r="Y358" s="54"/>
      <c r="AB358" s="54"/>
      <c r="AC358" s="54"/>
      <c r="AD358" s="54"/>
      <c r="AG358" s="54"/>
      <c r="AH358" s="54"/>
      <c r="AI358" s="54"/>
    </row>
    <row r="359" spans="18:35" x14ac:dyDescent="0.2">
      <c r="R359" s="54"/>
      <c r="S359" s="54"/>
      <c r="T359" s="54"/>
      <c r="W359" s="54"/>
      <c r="X359" s="54"/>
      <c r="Y359" s="54"/>
      <c r="AB359" s="54"/>
      <c r="AC359" s="54"/>
      <c r="AD359" s="54"/>
      <c r="AG359" s="54"/>
      <c r="AH359" s="54"/>
      <c r="AI359" s="54"/>
    </row>
    <row r="360" spans="18:35" x14ac:dyDescent="0.2">
      <c r="R360" s="54"/>
      <c r="S360" s="54"/>
      <c r="T360" s="54"/>
      <c r="W360" s="54"/>
      <c r="X360" s="54"/>
      <c r="Y360" s="54"/>
      <c r="AB360" s="54"/>
      <c r="AC360" s="54"/>
      <c r="AD360" s="54"/>
      <c r="AG360" s="54"/>
      <c r="AH360" s="54"/>
      <c r="AI360" s="54"/>
    </row>
    <row r="361" spans="18:35" x14ac:dyDescent="0.2">
      <c r="R361" s="54"/>
      <c r="S361" s="54"/>
      <c r="T361" s="54"/>
      <c r="W361" s="54"/>
      <c r="X361" s="54"/>
      <c r="Y361" s="54"/>
      <c r="AB361" s="54"/>
      <c r="AC361" s="54"/>
      <c r="AD361" s="54"/>
      <c r="AG361" s="54"/>
      <c r="AH361" s="54"/>
      <c r="AI361" s="54"/>
    </row>
    <row r="362" spans="18:35" x14ac:dyDescent="0.2">
      <c r="R362" s="54"/>
      <c r="S362" s="54"/>
      <c r="T362" s="54"/>
      <c r="W362" s="54"/>
      <c r="X362" s="54"/>
      <c r="Y362" s="54"/>
      <c r="AB362" s="54"/>
      <c r="AC362" s="54"/>
      <c r="AD362" s="54"/>
      <c r="AG362" s="54"/>
      <c r="AH362" s="54"/>
      <c r="AI362" s="54"/>
    </row>
    <row r="363" spans="18:35" x14ac:dyDescent="0.2">
      <c r="R363" s="54"/>
      <c r="S363" s="54"/>
      <c r="T363" s="54"/>
      <c r="W363" s="54"/>
      <c r="X363" s="54"/>
      <c r="Y363" s="54"/>
      <c r="AB363" s="54"/>
      <c r="AC363" s="54"/>
      <c r="AD363" s="54"/>
      <c r="AG363" s="54"/>
      <c r="AH363" s="54"/>
      <c r="AI363" s="54"/>
    </row>
    <row r="364" spans="18:35" x14ac:dyDescent="0.2">
      <c r="R364" s="54"/>
      <c r="S364" s="54"/>
      <c r="T364" s="54"/>
      <c r="W364" s="54"/>
      <c r="X364" s="54"/>
      <c r="Y364" s="54"/>
      <c r="AB364" s="54"/>
      <c r="AC364" s="54"/>
      <c r="AD364" s="54"/>
      <c r="AG364" s="54"/>
      <c r="AH364" s="54"/>
      <c r="AI364" s="54"/>
    </row>
    <row r="365" spans="18:35" x14ac:dyDescent="0.2">
      <c r="R365" s="54"/>
      <c r="S365" s="54"/>
      <c r="T365" s="54"/>
      <c r="W365" s="54"/>
      <c r="X365" s="54"/>
      <c r="Y365" s="54"/>
      <c r="AB365" s="54"/>
      <c r="AC365" s="54"/>
      <c r="AD365" s="54"/>
      <c r="AG365" s="54"/>
      <c r="AH365" s="54"/>
      <c r="AI365" s="54"/>
    </row>
    <row r="366" spans="18:35" x14ac:dyDescent="0.2">
      <c r="R366" s="54"/>
      <c r="S366" s="54"/>
      <c r="T366" s="54"/>
      <c r="W366" s="54"/>
      <c r="X366" s="54"/>
      <c r="Y366" s="54"/>
      <c r="AB366" s="54"/>
      <c r="AC366" s="54"/>
      <c r="AD366" s="54"/>
      <c r="AG366" s="54"/>
      <c r="AH366" s="54"/>
      <c r="AI366" s="54"/>
    </row>
    <row r="367" spans="18:35" x14ac:dyDescent="0.2">
      <c r="R367" s="54"/>
      <c r="S367" s="54"/>
      <c r="T367" s="54"/>
      <c r="W367" s="54"/>
      <c r="X367" s="54"/>
      <c r="Y367" s="54"/>
      <c r="AB367" s="54"/>
      <c r="AC367" s="54"/>
      <c r="AD367" s="54"/>
      <c r="AG367" s="54"/>
      <c r="AH367" s="54"/>
      <c r="AI367" s="54"/>
    </row>
    <row r="368" spans="18:35" x14ac:dyDescent="0.2">
      <c r="R368" s="54"/>
      <c r="S368" s="54"/>
      <c r="T368" s="54"/>
      <c r="W368" s="54"/>
      <c r="X368" s="54"/>
      <c r="Y368" s="54"/>
      <c r="AB368" s="54"/>
      <c r="AC368" s="54"/>
      <c r="AD368" s="54"/>
      <c r="AG368" s="54"/>
      <c r="AH368" s="54"/>
      <c r="AI368" s="54"/>
    </row>
    <row r="369" spans="18:35" x14ac:dyDescent="0.2">
      <c r="R369" s="54"/>
      <c r="S369" s="54"/>
      <c r="T369" s="54"/>
      <c r="W369" s="54"/>
      <c r="X369" s="54"/>
      <c r="Y369" s="54"/>
      <c r="AB369" s="54"/>
      <c r="AC369" s="54"/>
      <c r="AD369" s="54"/>
      <c r="AG369" s="54"/>
      <c r="AH369" s="54"/>
      <c r="AI369" s="54"/>
    </row>
    <row r="370" spans="18:35" x14ac:dyDescent="0.2">
      <c r="R370" s="54"/>
      <c r="S370" s="54"/>
      <c r="T370" s="54"/>
      <c r="W370" s="54"/>
      <c r="X370" s="54"/>
      <c r="Y370" s="54"/>
      <c r="AB370" s="54"/>
      <c r="AC370" s="54"/>
      <c r="AD370" s="54"/>
      <c r="AG370" s="54"/>
      <c r="AH370" s="54"/>
      <c r="AI370" s="54"/>
    </row>
    <row r="371" spans="18:35" x14ac:dyDescent="0.2">
      <c r="R371" s="54"/>
      <c r="S371" s="54"/>
      <c r="T371" s="54"/>
      <c r="W371" s="54"/>
      <c r="X371" s="54"/>
      <c r="Y371" s="54"/>
      <c r="AB371" s="54"/>
      <c r="AC371" s="54"/>
      <c r="AD371" s="54"/>
      <c r="AG371" s="54"/>
      <c r="AH371" s="54"/>
      <c r="AI371" s="54"/>
    </row>
    <row r="372" spans="18:35" x14ac:dyDescent="0.2">
      <c r="R372" s="54"/>
      <c r="S372" s="54"/>
      <c r="T372" s="54"/>
      <c r="W372" s="54"/>
      <c r="X372" s="54"/>
      <c r="Y372" s="54"/>
      <c r="AB372" s="54"/>
      <c r="AC372" s="54"/>
      <c r="AD372" s="54"/>
      <c r="AG372" s="54"/>
      <c r="AH372" s="54"/>
      <c r="AI372" s="54"/>
    </row>
    <row r="373" spans="18:35" x14ac:dyDescent="0.2">
      <c r="R373" s="54"/>
      <c r="S373" s="54"/>
      <c r="T373" s="54"/>
      <c r="W373" s="54"/>
      <c r="X373" s="54"/>
      <c r="Y373" s="54"/>
      <c r="AB373" s="54"/>
      <c r="AC373" s="54"/>
      <c r="AD373" s="54"/>
      <c r="AG373" s="54"/>
      <c r="AH373" s="54"/>
      <c r="AI373" s="54"/>
    </row>
    <row r="374" spans="18:35" x14ac:dyDescent="0.2">
      <c r="R374" s="54"/>
      <c r="S374" s="54"/>
      <c r="T374" s="54"/>
      <c r="W374" s="54"/>
      <c r="X374" s="54"/>
      <c r="Y374" s="54"/>
      <c r="AB374" s="54"/>
      <c r="AC374" s="54"/>
      <c r="AD374" s="54"/>
      <c r="AG374" s="54"/>
      <c r="AH374" s="54"/>
      <c r="AI374" s="54"/>
    </row>
    <row r="375" spans="18:35" x14ac:dyDescent="0.2">
      <c r="R375" s="54"/>
      <c r="S375" s="54"/>
      <c r="T375" s="54"/>
      <c r="W375" s="54"/>
      <c r="X375" s="54"/>
      <c r="Y375" s="54"/>
      <c r="AB375" s="54"/>
      <c r="AC375" s="54"/>
      <c r="AD375" s="54"/>
      <c r="AG375" s="54"/>
      <c r="AH375" s="54"/>
      <c r="AI375" s="54"/>
    </row>
    <row r="376" spans="18:35" x14ac:dyDescent="0.2">
      <c r="R376" s="54"/>
      <c r="S376" s="54"/>
      <c r="T376" s="54"/>
      <c r="W376" s="54"/>
      <c r="X376" s="54"/>
      <c r="Y376" s="54"/>
      <c r="AB376" s="54"/>
      <c r="AC376" s="54"/>
      <c r="AD376" s="54"/>
      <c r="AG376" s="54"/>
      <c r="AH376" s="54"/>
      <c r="AI376" s="54"/>
    </row>
    <row r="377" spans="18:35" x14ac:dyDescent="0.2">
      <c r="R377" s="54"/>
      <c r="S377" s="54"/>
      <c r="T377" s="54"/>
      <c r="W377" s="54"/>
      <c r="X377" s="54"/>
      <c r="Y377" s="54"/>
      <c r="AB377" s="54"/>
      <c r="AC377" s="54"/>
      <c r="AD377" s="54"/>
      <c r="AG377" s="54"/>
      <c r="AH377" s="54"/>
      <c r="AI377" s="54"/>
    </row>
    <row r="378" spans="18:35" x14ac:dyDescent="0.2">
      <c r="R378" s="54"/>
      <c r="S378" s="54"/>
      <c r="T378" s="54"/>
      <c r="W378" s="54"/>
      <c r="X378" s="54"/>
      <c r="Y378" s="54"/>
      <c r="AB378" s="54"/>
      <c r="AC378" s="54"/>
      <c r="AD378" s="54"/>
      <c r="AG378" s="54"/>
      <c r="AH378" s="54"/>
      <c r="AI378" s="54"/>
    </row>
    <row r="379" spans="18:35" x14ac:dyDescent="0.2">
      <c r="R379" s="54"/>
      <c r="S379" s="54"/>
      <c r="T379" s="54"/>
      <c r="W379" s="54"/>
      <c r="X379" s="54"/>
      <c r="Y379" s="54"/>
      <c r="AB379" s="54"/>
      <c r="AC379" s="54"/>
      <c r="AD379" s="54"/>
      <c r="AG379" s="54"/>
      <c r="AH379" s="54"/>
      <c r="AI379" s="54"/>
    </row>
    <row r="380" spans="18:35" x14ac:dyDescent="0.2">
      <c r="R380" s="54"/>
      <c r="S380" s="54"/>
      <c r="T380" s="54"/>
      <c r="W380" s="54"/>
      <c r="X380" s="54"/>
      <c r="Y380" s="54"/>
      <c r="AB380" s="54"/>
      <c r="AC380" s="54"/>
      <c r="AD380" s="54"/>
      <c r="AG380" s="54"/>
      <c r="AH380" s="54"/>
      <c r="AI380" s="54"/>
    </row>
    <row r="381" spans="18:35" x14ac:dyDescent="0.2">
      <c r="R381" s="54"/>
      <c r="S381" s="54"/>
      <c r="T381" s="54"/>
      <c r="W381" s="54"/>
      <c r="X381" s="54"/>
      <c r="Y381" s="54"/>
      <c r="AB381" s="54"/>
      <c r="AC381" s="54"/>
      <c r="AD381" s="54"/>
      <c r="AG381" s="54"/>
      <c r="AH381" s="54"/>
      <c r="AI381" s="54"/>
    </row>
    <row r="382" spans="18:35" x14ac:dyDescent="0.2">
      <c r="R382" s="54"/>
      <c r="S382" s="54"/>
      <c r="T382" s="54"/>
      <c r="W382" s="54"/>
      <c r="X382" s="54"/>
      <c r="Y382" s="54"/>
      <c r="AB382" s="54"/>
      <c r="AC382" s="54"/>
      <c r="AD382" s="54"/>
      <c r="AG382" s="54"/>
      <c r="AH382" s="54"/>
      <c r="AI382" s="54"/>
    </row>
    <row r="383" spans="18:35" x14ac:dyDescent="0.2">
      <c r="R383" s="54"/>
      <c r="S383" s="54"/>
      <c r="T383" s="54"/>
      <c r="W383" s="54"/>
      <c r="X383" s="54"/>
      <c r="Y383" s="54"/>
      <c r="AB383" s="54"/>
      <c r="AC383" s="54"/>
      <c r="AD383" s="54"/>
      <c r="AG383" s="54"/>
      <c r="AH383" s="54"/>
      <c r="AI383" s="54"/>
    </row>
    <row r="384" spans="18:35" x14ac:dyDescent="0.2">
      <c r="R384" s="54"/>
      <c r="S384" s="54"/>
      <c r="T384" s="54"/>
      <c r="W384" s="54"/>
      <c r="X384" s="54"/>
      <c r="Y384" s="54"/>
      <c r="AB384" s="54"/>
      <c r="AC384" s="54"/>
      <c r="AD384" s="54"/>
      <c r="AG384" s="54"/>
      <c r="AH384" s="54"/>
      <c r="AI384" s="54"/>
    </row>
    <row r="385" spans="18:35" x14ac:dyDescent="0.2">
      <c r="R385" s="54"/>
      <c r="S385" s="54"/>
      <c r="T385" s="54"/>
      <c r="W385" s="54"/>
      <c r="X385" s="54"/>
      <c r="Y385" s="54"/>
      <c r="AB385" s="54"/>
      <c r="AC385" s="54"/>
      <c r="AD385" s="54"/>
      <c r="AG385" s="54"/>
      <c r="AH385" s="54"/>
      <c r="AI385" s="54"/>
    </row>
    <row r="386" spans="18:35" x14ac:dyDescent="0.2">
      <c r="R386" s="54"/>
      <c r="S386" s="54"/>
      <c r="T386" s="54"/>
      <c r="W386" s="54"/>
      <c r="X386" s="54"/>
      <c r="Y386" s="54"/>
      <c r="AB386" s="54"/>
      <c r="AC386" s="54"/>
      <c r="AD386" s="54"/>
      <c r="AG386" s="54"/>
      <c r="AH386" s="54"/>
      <c r="AI386" s="54"/>
    </row>
    <row r="387" spans="18:35" x14ac:dyDescent="0.2">
      <c r="R387" s="54"/>
      <c r="S387" s="54"/>
      <c r="T387" s="54"/>
      <c r="W387" s="54"/>
      <c r="X387" s="54"/>
      <c r="Y387" s="54"/>
      <c r="AB387" s="54"/>
      <c r="AC387" s="54"/>
      <c r="AD387" s="54"/>
      <c r="AG387" s="54"/>
      <c r="AH387" s="54"/>
      <c r="AI387" s="54"/>
    </row>
    <row r="388" spans="18:35" x14ac:dyDescent="0.2">
      <c r="R388" s="54"/>
      <c r="S388" s="54"/>
      <c r="T388" s="54"/>
      <c r="W388" s="54"/>
      <c r="X388" s="54"/>
      <c r="Y388" s="54"/>
      <c r="AB388" s="54"/>
      <c r="AC388" s="54"/>
      <c r="AD388" s="54"/>
      <c r="AG388" s="54"/>
      <c r="AH388" s="54"/>
      <c r="AI388" s="54"/>
    </row>
    <row r="389" spans="18:35" x14ac:dyDescent="0.2">
      <c r="R389" s="54"/>
      <c r="S389" s="54"/>
      <c r="T389" s="54"/>
      <c r="W389" s="54"/>
      <c r="X389" s="54"/>
      <c r="Y389" s="54"/>
      <c r="AB389" s="54"/>
      <c r="AC389" s="54"/>
      <c r="AD389" s="54"/>
      <c r="AG389" s="54"/>
      <c r="AH389" s="54"/>
      <c r="AI389" s="54"/>
    </row>
    <row r="390" spans="18:35" x14ac:dyDescent="0.2">
      <c r="R390" s="54"/>
      <c r="S390" s="54"/>
      <c r="T390" s="54"/>
      <c r="W390" s="54"/>
      <c r="X390" s="54"/>
      <c r="Y390" s="54"/>
      <c r="AB390" s="54"/>
      <c r="AC390" s="54"/>
      <c r="AD390" s="54"/>
      <c r="AG390" s="54"/>
      <c r="AH390" s="54"/>
      <c r="AI390" s="54"/>
    </row>
    <row r="391" spans="18:35" x14ac:dyDescent="0.2">
      <c r="R391" s="54"/>
      <c r="S391" s="54"/>
      <c r="T391" s="54"/>
      <c r="W391" s="54"/>
      <c r="X391" s="54"/>
      <c r="Y391" s="54"/>
      <c r="AB391" s="54"/>
      <c r="AC391" s="54"/>
      <c r="AD391" s="54"/>
      <c r="AG391" s="54"/>
      <c r="AH391" s="54"/>
      <c r="AI391" s="54"/>
    </row>
    <row r="392" spans="18:35" x14ac:dyDescent="0.2">
      <c r="R392" s="54"/>
      <c r="S392" s="54"/>
      <c r="T392" s="54"/>
      <c r="W392" s="54"/>
      <c r="X392" s="54"/>
      <c r="Y392" s="54"/>
      <c r="AB392" s="54"/>
      <c r="AC392" s="54"/>
      <c r="AD392" s="54"/>
      <c r="AG392" s="54"/>
      <c r="AH392" s="54"/>
      <c r="AI392" s="54"/>
    </row>
    <row r="393" spans="18:35" x14ac:dyDescent="0.2">
      <c r="R393" s="54"/>
      <c r="S393" s="54"/>
      <c r="T393" s="54"/>
      <c r="W393" s="54"/>
      <c r="X393" s="54"/>
      <c r="Y393" s="54"/>
      <c r="AB393" s="54"/>
      <c r="AC393" s="54"/>
      <c r="AD393" s="54"/>
      <c r="AG393" s="54"/>
      <c r="AH393" s="54"/>
      <c r="AI393" s="54"/>
    </row>
    <row r="394" spans="18:35" x14ac:dyDescent="0.2">
      <c r="R394" s="54"/>
      <c r="S394" s="54"/>
      <c r="T394" s="54"/>
      <c r="W394" s="54"/>
      <c r="X394" s="54"/>
      <c r="Y394" s="54"/>
      <c r="AB394" s="54"/>
      <c r="AC394" s="54"/>
      <c r="AD394" s="54"/>
      <c r="AG394" s="54"/>
      <c r="AH394" s="54"/>
      <c r="AI394" s="54"/>
    </row>
    <row r="395" spans="18:35" x14ac:dyDescent="0.2">
      <c r="R395" s="54"/>
      <c r="S395" s="54"/>
      <c r="T395" s="54"/>
      <c r="W395" s="54"/>
      <c r="X395" s="54"/>
      <c r="Y395" s="54"/>
      <c r="AB395" s="54"/>
      <c r="AC395" s="54"/>
      <c r="AD395" s="54"/>
      <c r="AG395" s="54"/>
      <c r="AH395" s="54"/>
      <c r="AI395" s="54"/>
    </row>
    <row r="396" spans="18:35" x14ac:dyDescent="0.2">
      <c r="R396" s="54"/>
      <c r="S396" s="54"/>
      <c r="T396" s="54"/>
      <c r="W396" s="54"/>
      <c r="X396" s="54"/>
      <c r="Y396" s="54"/>
      <c r="AB396" s="54"/>
      <c r="AC396" s="54"/>
      <c r="AD396" s="54"/>
      <c r="AG396" s="54"/>
      <c r="AH396" s="54"/>
      <c r="AI396" s="54"/>
    </row>
    <row r="397" spans="18:35" x14ac:dyDescent="0.2">
      <c r="R397" s="54"/>
      <c r="S397" s="54"/>
      <c r="T397" s="54"/>
      <c r="W397" s="54"/>
      <c r="X397" s="54"/>
      <c r="Y397" s="54"/>
      <c r="AB397" s="54"/>
      <c r="AC397" s="54"/>
      <c r="AD397" s="54"/>
      <c r="AG397" s="54"/>
      <c r="AH397" s="54"/>
      <c r="AI397" s="54"/>
    </row>
    <row r="398" spans="18:35" x14ac:dyDescent="0.2">
      <c r="R398" s="54"/>
      <c r="S398" s="54"/>
      <c r="T398" s="54"/>
      <c r="W398" s="54"/>
      <c r="X398" s="54"/>
      <c r="Y398" s="54"/>
      <c r="AB398" s="54"/>
      <c r="AC398" s="54"/>
      <c r="AD398" s="54"/>
      <c r="AG398" s="54"/>
      <c r="AH398" s="54"/>
      <c r="AI398" s="54"/>
    </row>
    <row r="399" spans="18:35" x14ac:dyDescent="0.2">
      <c r="R399" s="54"/>
      <c r="S399" s="54"/>
      <c r="T399" s="54"/>
      <c r="W399" s="54"/>
      <c r="X399" s="54"/>
      <c r="Y399" s="54"/>
      <c r="AB399" s="54"/>
      <c r="AC399" s="54"/>
      <c r="AD399" s="54"/>
      <c r="AG399" s="54"/>
      <c r="AH399" s="54"/>
      <c r="AI399" s="54"/>
    </row>
    <row r="400" spans="18:35" x14ac:dyDescent="0.2">
      <c r="R400" s="54"/>
      <c r="S400" s="54"/>
      <c r="T400" s="54"/>
      <c r="W400" s="54"/>
      <c r="X400" s="54"/>
      <c r="Y400" s="54"/>
      <c r="AB400" s="54"/>
      <c r="AC400" s="54"/>
      <c r="AD400" s="54"/>
      <c r="AG400" s="54"/>
      <c r="AH400" s="54"/>
      <c r="AI400" s="54"/>
    </row>
    <row r="401" spans="18:35" x14ac:dyDescent="0.2">
      <c r="R401" s="54"/>
      <c r="S401" s="54"/>
      <c r="T401" s="54"/>
      <c r="W401" s="54"/>
      <c r="X401" s="54"/>
      <c r="Y401" s="54"/>
      <c r="AB401" s="54"/>
      <c r="AC401" s="54"/>
      <c r="AD401" s="54"/>
      <c r="AG401" s="54"/>
      <c r="AH401" s="54"/>
      <c r="AI401" s="54"/>
    </row>
    <row r="402" spans="18:35" x14ac:dyDescent="0.2">
      <c r="R402" s="54"/>
      <c r="S402" s="54"/>
      <c r="T402" s="54"/>
      <c r="W402" s="54"/>
      <c r="X402" s="54"/>
      <c r="Y402" s="54"/>
      <c r="AB402" s="54"/>
      <c r="AC402" s="54"/>
      <c r="AD402" s="54"/>
      <c r="AG402" s="54"/>
      <c r="AH402" s="54"/>
      <c r="AI402" s="54"/>
    </row>
    <row r="403" spans="18:35" x14ac:dyDescent="0.2">
      <c r="R403" s="54"/>
      <c r="S403" s="54"/>
      <c r="T403" s="54"/>
      <c r="W403" s="54"/>
      <c r="X403" s="54"/>
      <c r="Y403" s="54"/>
      <c r="AB403" s="54"/>
      <c r="AC403" s="54"/>
      <c r="AD403" s="54"/>
      <c r="AG403" s="54"/>
      <c r="AH403" s="54"/>
      <c r="AI403" s="54"/>
    </row>
    <row r="404" spans="18:35" x14ac:dyDescent="0.2">
      <c r="R404" s="54"/>
      <c r="S404" s="54"/>
      <c r="T404" s="54"/>
      <c r="W404" s="54"/>
      <c r="X404" s="54"/>
      <c r="Y404" s="54"/>
      <c r="AB404" s="54"/>
      <c r="AC404" s="54"/>
      <c r="AD404" s="54"/>
      <c r="AG404" s="54"/>
      <c r="AH404" s="54"/>
      <c r="AI404" s="54"/>
    </row>
    <row r="405" spans="18:35" x14ac:dyDescent="0.2">
      <c r="R405" s="54"/>
      <c r="S405" s="54"/>
      <c r="T405" s="54"/>
      <c r="W405" s="54"/>
      <c r="X405" s="54"/>
      <c r="Y405" s="54"/>
      <c r="AB405" s="54"/>
      <c r="AC405" s="54"/>
      <c r="AD405" s="54"/>
      <c r="AG405" s="54"/>
      <c r="AH405" s="54"/>
      <c r="AI405" s="54"/>
    </row>
    <row r="406" spans="18:35" x14ac:dyDescent="0.2">
      <c r="R406" s="54"/>
      <c r="S406" s="54"/>
      <c r="T406" s="54"/>
      <c r="W406" s="54"/>
      <c r="X406" s="54"/>
      <c r="Y406" s="54"/>
      <c r="AB406" s="54"/>
      <c r="AC406" s="54"/>
      <c r="AD406" s="54"/>
      <c r="AG406" s="54"/>
      <c r="AH406" s="54"/>
      <c r="AI406" s="54"/>
    </row>
    <row r="407" spans="18:35" x14ac:dyDescent="0.2">
      <c r="R407" s="54"/>
      <c r="S407" s="54"/>
      <c r="T407" s="54"/>
      <c r="W407" s="54"/>
      <c r="X407" s="54"/>
      <c r="Y407" s="54"/>
      <c r="AB407" s="54"/>
      <c r="AC407" s="54"/>
      <c r="AD407" s="54"/>
      <c r="AG407" s="54"/>
      <c r="AH407" s="54"/>
      <c r="AI407" s="54"/>
    </row>
    <row r="408" spans="18:35" x14ac:dyDescent="0.2">
      <c r="R408" s="54"/>
      <c r="S408" s="54"/>
      <c r="T408" s="54"/>
      <c r="W408" s="54"/>
      <c r="X408" s="54"/>
      <c r="Y408" s="54"/>
      <c r="AB408" s="54"/>
      <c r="AC408" s="54"/>
      <c r="AD408" s="54"/>
      <c r="AG408" s="54"/>
      <c r="AH408" s="54"/>
      <c r="AI408" s="54"/>
    </row>
    <row r="409" spans="18:35" x14ac:dyDescent="0.2">
      <c r="R409" s="54"/>
      <c r="S409" s="54"/>
      <c r="T409" s="54"/>
      <c r="W409" s="54"/>
      <c r="X409" s="54"/>
      <c r="Y409" s="54"/>
      <c r="AB409" s="54"/>
      <c r="AC409" s="54"/>
      <c r="AD409" s="54"/>
      <c r="AG409" s="54"/>
      <c r="AH409" s="54"/>
      <c r="AI409" s="54"/>
    </row>
    <row r="410" spans="18:35" x14ac:dyDescent="0.2">
      <c r="R410" s="54"/>
      <c r="S410" s="54"/>
      <c r="T410" s="54"/>
      <c r="W410" s="54"/>
      <c r="X410" s="54"/>
      <c r="Y410" s="54"/>
      <c r="AB410" s="54"/>
      <c r="AC410" s="54"/>
      <c r="AD410" s="54"/>
      <c r="AG410" s="54"/>
      <c r="AH410" s="54"/>
      <c r="AI410" s="54"/>
    </row>
    <row r="411" spans="18:35" x14ac:dyDescent="0.2">
      <c r="R411" s="54"/>
      <c r="S411" s="54"/>
      <c r="T411" s="54"/>
      <c r="W411" s="54"/>
      <c r="X411" s="54"/>
      <c r="Y411" s="54"/>
      <c r="AB411" s="54"/>
      <c r="AC411" s="54"/>
      <c r="AD411" s="54"/>
      <c r="AG411" s="54"/>
      <c r="AH411" s="54"/>
      <c r="AI411" s="54"/>
    </row>
    <row r="412" spans="18:35" x14ac:dyDescent="0.2">
      <c r="R412" s="54"/>
      <c r="S412" s="54"/>
      <c r="T412" s="54"/>
      <c r="W412" s="54"/>
      <c r="X412" s="54"/>
      <c r="Y412" s="54"/>
      <c r="AB412" s="54"/>
      <c r="AC412" s="54"/>
      <c r="AD412" s="54"/>
      <c r="AG412" s="54"/>
      <c r="AH412" s="54"/>
      <c r="AI412" s="54"/>
    </row>
    <row r="413" spans="18:35" x14ac:dyDescent="0.2">
      <c r="R413" s="54"/>
      <c r="S413" s="54"/>
      <c r="T413" s="54"/>
      <c r="W413" s="54"/>
      <c r="X413" s="54"/>
      <c r="Y413" s="54"/>
      <c r="AB413" s="54"/>
      <c r="AC413" s="54"/>
      <c r="AD413" s="54"/>
      <c r="AG413" s="54"/>
      <c r="AH413" s="54"/>
      <c r="AI413" s="54"/>
    </row>
    <row r="414" spans="18:35" x14ac:dyDescent="0.2">
      <c r="R414" s="54"/>
      <c r="S414" s="54"/>
      <c r="T414" s="54"/>
      <c r="W414" s="54"/>
      <c r="X414" s="54"/>
      <c r="Y414" s="54"/>
      <c r="AB414" s="54"/>
      <c r="AC414" s="54"/>
      <c r="AD414" s="54"/>
      <c r="AG414" s="54"/>
      <c r="AH414" s="54"/>
      <c r="AI414" s="54"/>
    </row>
    <row r="415" spans="18:35" x14ac:dyDescent="0.2">
      <c r="R415" s="54"/>
      <c r="S415" s="54"/>
      <c r="T415" s="54"/>
      <c r="W415" s="54"/>
      <c r="X415" s="54"/>
      <c r="Y415" s="54"/>
      <c r="AB415" s="54"/>
      <c r="AC415" s="54"/>
      <c r="AD415" s="54"/>
      <c r="AG415" s="54"/>
      <c r="AH415" s="54"/>
      <c r="AI415" s="54"/>
    </row>
    <row r="416" spans="18:35" x14ac:dyDescent="0.2">
      <c r="R416" s="54"/>
      <c r="S416" s="54"/>
      <c r="T416" s="54"/>
      <c r="W416" s="54"/>
      <c r="X416" s="54"/>
      <c r="Y416" s="54"/>
      <c r="AB416" s="54"/>
      <c r="AC416" s="54"/>
      <c r="AD416" s="54"/>
      <c r="AG416" s="54"/>
      <c r="AH416" s="54"/>
      <c r="AI416" s="54"/>
    </row>
    <row r="417" spans="18:35" x14ac:dyDescent="0.2">
      <c r="R417" s="54"/>
      <c r="S417" s="54"/>
      <c r="T417" s="54"/>
      <c r="W417" s="54"/>
      <c r="X417" s="54"/>
      <c r="Y417" s="54"/>
      <c r="AB417" s="54"/>
      <c r="AC417" s="54"/>
      <c r="AD417" s="54"/>
      <c r="AG417" s="54"/>
      <c r="AH417" s="54"/>
      <c r="AI417" s="54"/>
    </row>
    <row r="418" spans="18:35" x14ac:dyDescent="0.2">
      <c r="R418" s="54"/>
      <c r="S418" s="54"/>
      <c r="T418" s="54"/>
      <c r="W418" s="54"/>
      <c r="X418" s="54"/>
      <c r="Y418" s="54"/>
      <c r="AB418" s="54"/>
      <c r="AC418" s="54"/>
      <c r="AD418" s="54"/>
      <c r="AG418" s="54"/>
      <c r="AH418" s="54"/>
      <c r="AI418" s="54"/>
    </row>
    <row r="419" spans="18:35" x14ac:dyDescent="0.2">
      <c r="R419" s="54"/>
      <c r="S419" s="54"/>
      <c r="T419" s="54"/>
      <c r="W419" s="54"/>
      <c r="X419" s="54"/>
      <c r="Y419" s="54"/>
      <c r="AB419" s="54"/>
      <c r="AC419" s="54"/>
      <c r="AD419" s="54"/>
      <c r="AG419" s="54"/>
      <c r="AH419" s="54"/>
      <c r="AI419" s="54"/>
    </row>
    <row r="420" spans="18:35" x14ac:dyDescent="0.2">
      <c r="R420" s="54"/>
      <c r="S420" s="54"/>
      <c r="T420" s="54"/>
      <c r="W420" s="54"/>
      <c r="X420" s="54"/>
      <c r="Y420" s="54"/>
      <c r="AB420" s="54"/>
      <c r="AC420" s="54"/>
      <c r="AD420" s="54"/>
      <c r="AG420" s="54"/>
      <c r="AH420" s="54"/>
      <c r="AI420" s="54"/>
    </row>
    <row r="421" spans="18:35" x14ac:dyDescent="0.2">
      <c r="R421" s="54"/>
      <c r="S421" s="54"/>
      <c r="T421" s="54"/>
      <c r="W421" s="54"/>
      <c r="X421" s="54"/>
      <c r="Y421" s="54"/>
      <c r="AB421" s="54"/>
      <c r="AC421" s="54"/>
      <c r="AD421" s="54"/>
      <c r="AG421" s="54"/>
      <c r="AH421" s="54"/>
      <c r="AI421" s="54"/>
    </row>
    <row r="422" spans="18:35" x14ac:dyDescent="0.2">
      <c r="R422" s="54"/>
      <c r="S422" s="54"/>
      <c r="T422" s="54"/>
      <c r="W422" s="54"/>
      <c r="X422" s="54"/>
      <c r="Y422" s="54"/>
      <c r="AB422" s="54"/>
      <c r="AC422" s="54"/>
      <c r="AD422" s="54"/>
      <c r="AG422" s="54"/>
      <c r="AH422" s="54"/>
      <c r="AI422" s="54"/>
    </row>
    <row r="423" spans="18:35" x14ac:dyDescent="0.2">
      <c r="R423" s="54"/>
      <c r="S423" s="54"/>
      <c r="T423" s="54"/>
      <c r="W423" s="54"/>
      <c r="X423" s="54"/>
      <c r="Y423" s="54"/>
      <c r="AB423" s="54"/>
      <c r="AC423" s="54"/>
      <c r="AD423" s="54"/>
      <c r="AG423" s="54"/>
      <c r="AH423" s="54"/>
      <c r="AI423" s="54"/>
    </row>
    <row r="424" spans="18:35" x14ac:dyDescent="0.2">
      <c r="R424" s="54"/>
      <c r="S424" s="54"/>
      <c r="T424" s="54"/>
      <c r="W424" s="54"/>
      <c r="X424" s="54"/>
      <c r="Y424" s="54"/>
      <c r="AB424" s="54"/>
      <c r="AC424" s="54"/>
      <c r="AD424" s="54"/>
      <c r="AG424" s="54"/>
      <c r="AH424" s="54"/>
      <c r="AI424" s="54"/>
    </row>
    <row r="425" spans="18:35" x14ac:dyDescent="0.2">
      <c r="R425" s="54"/>
      <c r="S425" s="54"/>
      <c r="T425" s="54"/>
      <c r="W425" s="54"/>
      <c r="X425" s="54"/>
      <c r="Y425" s="54"/>
      <c r="AB425" s="54"/>
      <c r="AC425" s="54"/>
      <c r="AD425" s="54"/>
      <c r="AG425" s="54"/>
      <c r="AH425" s="54"/>
      <c r="AI425" s="54"/>
    </row>
    <row r="426" spans="18:35" x14ac:dyDescent="0.2">
      <c r="R426" s="54"/>
      <c r="S426" s="54"/>
      <c r="T426" s="54"/>
      <c r="W426" s="54"/>
      <c r="X426" s="54"/>
      <c r="Y426" s="54"/>
      <c r="AB426" s="54"/>
      <c r="AC426" s="54"/>
      <c r="AD426" s="54"/>
      <c r="AG426" s="54"/>
      <c r="AH426" s="54"/>
      <c r="AI426" s="54"/>
    </row>
    <row r="427" spans="18:35" x14ac:dyDescent="0.2">
      <c r="R427" s="54"/>
      <c r="S427" s="54"/>
      <c r="T427" s="54"/>
      <c r="W427" s="54"/>
      <c r="X427" s="54"/>
      <c r="Y427" s="54"/>
      <c r="AB427" s="54"/>
      <c r="AC427" s="54"/>
      <c r="AD427" s="54"/>
      <c r="AG427" s="54"/>
      <c r="AH427" s="54"/>
      <c r="AI427" s="54"/>
    </row>
    <row r="428" spans="18:35" x14ac:dyDescent="0.2">
      <c r="R428" s="54"/>
      <c r="S428" s="54"/>
      <c r="T428" s="54"/>
      <c r="W428" s="54"/>
      <c r="X428" s="54"/>
      <c r="Y428" s="54"/>
      <c r="AB428" s="54"/>
      <c r="AC428" s="54"/>
      <c r="AD428" s="54"/>
      <c r="AG428" s="54"/>
      <c r="AH428" s="54"/>
      <c r="AI428" s="54"/>
    </row>
    <row r="429" spans="18:35" x14ac:dyDescent="0.2">
      <c r="R429" s="54"/>
      <c r="S429" s="54"/>
      <c r="T429" s="54"/>
      <c r="W429" s="54"/>
      <c r="X429" s="54"/>
      <c r="Y429" s="54"/>
      <c r="AB429" s="54"/>
      <c r="AC429" s="54"/>
      <c r="AD429" s="54"/>
      <c r="AG429" s="54"/>
      <c r="AH429" s="54"/>
      <c r="AI429" s="54"/>
    </row>
    <row r="430" spans="18:35" x14ac:dyDescent="0.2">
      <c r="R430" s="54"/>
      <c r="S430" s="54"/>
      <c r="T430" s="54"/>
      <c r="W430" s="54"/>
      <c r="X430" s="54"/>
      <c r="Y430" s="54"/>
      <c r="AB430" s="54"/>
      <c r="AC430" s="54"/>
      <c r="AD430" s="54"/>
      <c r="AG430" s="54"/>
      <c r="AH430" s="54"/>
      <c r="AI430" s="54"/>
    </row>
    <row r="431" spans="18:35" x14ac:dyDescent="0.2">
      <c r="R431" s="54"/>
      <c r="S431" s="54"/>
      <c r="T431" s="54"/>
      <c r="W431" s="54"/>
      <c r="X431" s="54"/>
      <c r="Y431" s="54"/>
      <c r="AB431" s="54"/>
      <c r="AC431" s="54"/>
      <c r="AD431" s="54"/>
      <c r="AG431" s="54"/>
      <c r="AH431" s="54"/>
      <c r="AI431" s="54"/>
    </row>
    <row r="432" spans="18:35" x14ac:dyDescent="0.2">
      <c r="R432" s="54"/>
      <c r="S432" s="54"/>
      <c r="T432" s="54"/>
      <c r="W432" s="54"/>
      <c r="X432" s="54"/>
      <c r="Y432" s="54"/>
      <c r="AB432" s="54"/>
      <c r="AC432" s="54"/>
      <c r="AD432" s="54"/>
      <c r="AG432" s="54"/>
      <c r="AH432" s="54"/>
      <c r="AI432" s="54"/>
    </row>
    <row r="433" spans="18:35" x14ac:dyDescent="0.2">
      <c r="R433" s="54"/>
      <c r="S433" s="54"/>
      <c r="T433" s="54"/>
      <c r="W433" s="54"/>
      <c r="X433" s="54"/>
      <c r="Y433" s="54"/>
      <c r="AB433" s="54"/>
      <c r="AC433" s="54"/>
      <c r="AD433" s="54"/>
      <c r="AG433" s="54"/>
      <c r="AH433" s="54"/>
      <c r="AI433" s="54"/>
    </row>
    <row r="434" spans="18:35" x14ac:dyDescent="0.2">
      <c r="R434" s="54"/>
      <c r="S434" s="54"/>
      <c r="T434" s="54"/>
      <c r="W434" s="54"/>
      <c r="X434" s="54"/>
      <c r="Y434" s="54"/>
      <c r="AB434" s="54"/>
      <c r="AC434" s="54"/>
      <c r="AD434" s="54"/>
      <c r="AG434" s="54"/>
      <c r="AH434" s="54"/>
      <c r="AI434" s="54"/>
    </row>
    <row r="435" spans="18:35" x14ac:dyDescent="0.2">
      <c r="R435" s="54"/>
      <c r="S435" s="54"/>
      <c r="T435" s="54"/>
      <c r="W435" s="54"/>
      <c r="X435" s="54"/>
      <c r="Y435" s="54"/>
      <c r="AB435" s="54"/>
      <c r="AC435" s="54"/>
      <c r="AD435" s="54"/>
      <c r="AG435" s="54"/>
      <c r="AH435" s="54"/>
      <c r="AI435" s="54"/>
    </row>
    <row r="436" spans="18:35" x14ac:dyDescent="0.2">
      <c r="R436" s="54"/>
      <c r="S436" s="54"/>
      <c r="T436" s="54"/>
      <c r="W436" s="54"/>
      <c r="X436" s="54"/>
      <c r="Y436" s="54"/>
      <c r="AB436" s="54"/>
      <c r="AC436" s="54"/>
      <c r="AD436" s="54"/>
      <c r="AG436" s="54"/>
      <c r="AH436" s="54"/>
      <c r="AI436" s="54"/>
    </row>
    <row r="437" spans="18:35" x14ac:dyDescent="0.2">
      <c r="R437" s="54"/>
      <c r="S437" s="54"/>
      <c r="T437" s="54"/>
      <c r="W437" s="54"/>
      <c r="X437" s="54"/>
      <c r="Y437" s="54"/>
      <c r="AB437" s="54"/>
      <c r="AC437" s="54"/>
      <c r="AD437" s="54"/>
      <c r="AG437" s="54"/>
      <c r="AH437" s="54"/>
      <c r="AI437" s="54"/>
    </row>
    <row r="438" spans="18:35" x14ac:dyDescent="0.2">
      <c r="R438" s="54"/>
      <c r="S438" s="54"/>
      <c r="T438" s="54"/>
      <c r="W438" s="54"/>
      <c r="X438" s="54"/>
      <c r="Y438" s="54"/>
      <c r="AB438" s="54"/>
      <c r="AC438" s="54"/>
      <c r="AD438" s="54"/>
      <c r="AG438" s="54"/>
      <c r="AH438" s="54"/>
      <c r="AI438" s="54"/>
    </row>
    <row r="439" spans="18:35" x14ac:dyDescent="0.2">
      <c r="R439" s="54"/>
      <c r="S439" s="54"/>
      <c r="T439" s="54"/>
      <c r="W439" s="54"/>
      <c r="X439" s="54"/>
      <c r="Y439" s="54"/>
      <c r="AB439" s="54"/>
      <c r="AC439" s="54"/>
      <c r="AD439" s="54"/>
      <c r="AG439" s="54"/>
      <c r="AH439" s="54"/>
      <c r="AI439" s="54"/>
    </row>
    <row r="440" spans="18:35" x14ac:dyDescent="0.2">
      <c r="R440" s="54"/>
      <c r="S440" s="54"/>
      <c r="T440" s="54"/>
      <c r="W440" s="54"/>
      <c r="X440" s="54"/>
      <c r="Y440" s="54"/>
      <c r="AB440" s="54"/>
      <c r="AC440" s="54"/>
      <c r="AD440" s="54"/>
      <c r="AG440" s="54"/>
      <c r="AH440" s="54"/>
      <c r="AI440" s="54"/>
    </row>
    <row r="441" spans="18:35" x14ac:dyDescent="0.2">
      <c r="R441" s="54"/>
      <c r="S441" s="54"/>
      <c r="T441" s="54"/>
      <c r="W441" s="54"/>
      <c r="X441" s="54"/>
      <c r="Y441" s="54"/>
      <c r="AB441" s="54"/>
      <c r="AC441" s="54"/>
      <c r="AD441" s="54"/>
      <c r="AG441" s="54"/>
      <c r="AH441" s="54"/>
      <c r="AI441" s="54"/>
    </row>
    <row r="442" spans="18:35" x14ac:dyDescent="0.2">
      <c r="R442" s="54"/>
      <c r="S442" s="54"/>
      <c r="T442" s="54"/>
      <c r="W442" s="54"/>
      <c r="X442" s="54"/>
      <c r="Y442" s="54"/>
      <c r="AB442" s="54"/>
      <c r="AC442" s="54"/>
      <c r="AD442" s="54"/>
      <c r="AG442" s="54"/>
      <c r="AH442" s="54"/>
      <c r="AI442" s="54"/>
    </row>
    <row r="443" spans="18:35" x14ac:dyDescent="0.2">
      <c r="R443" s="54"/>
      <c r="S443" s="54"/>
      <c r="T443" s="54"/>
      <c r="W443" s="54"/>
      <c r="X443" s="54"/>
      <c r="Y443" s="54"/>
      <c r="AB443" s="54"/>
      <c r="AC443" s="54"/>
      <c r="AD443" s="54"/>
      <c r="AG443" s="54"/>
      <c r="AH443" s="54"/>
      <c r="AI443" s="54"/>
    </row>
    <row r="444" spans="18:35" x14ac:dyDescent="0.2">
      <c r="R444" s="54"/>
      <c r="S444" s="54"/>
      <c r="T444" s="54"/>
      <c r="W444" s="54"/>
      <c r="X444" s="54"/>
      <c r="Y444" s="54"/>
      <c r="AB444" s="54"/>
      <c r="AC444" s="54"/>
      <c r="AD444" s="54"/>
      <c r="AG444" s="54"/>
      <c r="AH444" s="54"/>
      <c r="AI444" s="54"/>
    </row>
    <row r="445" spans="18:35" x14ac:dyDescent="0.2">
      <c r="R445" s="54"/>
      <c r="S445" s="54"/>
      <c r="T445" s="54"/>
      <c r="W445" s="54"/>
      <c r="X445" s="54"/>
      <c r="Y445" s="54"/>
      <c r="AB445" s="54"/>
      <c r="AC445" s="54"/>
      <c r="AD445" s="54"/>
      <c r="AG445" s="54"/>
      <c r="AH445" s="54"/>
      <c r="AI445" s="54"/>
    </row>
    <row r="446" spans="18:35" x14ac:dyDescent="0.2">
      <c r="R446" s="54"/>
      <c r="S446" s="54"/>
      <c r="T446" s="54"/>
      <c r="W446" s="54"/>
      <c r="X446" s="54"/>
      <c r="Y446" s="54"/>
      <c r="AB446" s="54"/>
      <c r="AC446" s="54"/>
      <c r="AD446" s="54"/>
      <c r="AG446" s="54"/>
      <c r="AH446" s="54"/>
      <c r="AI446" s="54"/>
    </row>
    <row r="447" spans="18:35" x14ac:dyDescent="0.2">
      <c r="R447" s="54"/>
      <c r="S447" s="54"/>
      <c r="T447" s="54"/>
      <c r="W447" s="54"/>
      <c r="X447" s="54"/>
      <c r="Y447" s="54"/>
      <c r="AB447" s="54"/>
      <c r="AC447" s="54"/>
      <c r="AD447" s="54"/>
      <c r="AG447" s="54"/>
      <c r="AH447" s="54"/>
      <c r="AI447" s="54"/>
    </row>
    <row r="448" spans="18:35" x14ac:dyDescent="0.2">
      <c r="R448" s="54"/>
      <c r="S448" s="54"/>
      <c r="T448" s="54"/>
      <c r="W448" s="54"/>
      <c r="X448" s="54"/>
      <c r="Y448" s="54"/>
      <c r="AB448" s="54"/>
      <c r="AC448" s="54"/>
      <c r="AD448" s="54"/>
      <c r="AG448" s="54"/>
      <c r="AH448" s="54"/>
      <c r="AI448" s="54"/>
    </row>
    <row r="449" spans="18:35" x14ac:dyDescent="0.2">
      <c r="R449" s="54"/>
      <c r="S449" s="54"/>
      <c r="T449" s="54"/>
      <c r="W449" s="54"/>
      <c r="X449" s="54"/>
      <c r="Y449" s="54"/>
      <c r="AB449" s="54"/>
      <c r="AC449" s="54"/>
      <c r="AD449" s="54"/>
      <c r="AG449" s="54"/>
      <c r="AH449" s="54"/>
      <c r="AI449" s="54"/>
    </row>
    <row r="450" spans="18:35" x14ac:dyDescent="0.2">
      <c r="R450" s="54"/>
      <c r="S450" s="54"/>
      <c r="T450" s="54"/>
      <c r="W450" s="54"/>
      <c r="X450" s="54"/>
      <c r="Y450" s="54"/>
      <c r="AB450" s="54"/>
      <c r="AC450" s="54"/>
      <c r="AD450" s="54"/>
      <c r="AG450" s="54"/>
      <c r="AH450" s="54"/>
      <c r="AI450" s="54"/>
    </row>
    <row r="451" spans="18:35" x14ac:dyDescent="0.2">
      <c r="R451" s="54"/>
      <c r="S451" s="54"/>
      <c r="T451" s="54"/>
      <c r="W451" s="54"/>
      <c r="X451" s="54"/>
      <c r="Y451" s="54"/>
      <c r="AB451" s="54"/>
      <c r="AC451" s="54"/>
      <c r="AD451" s="54"/>
      <c r="AG451" s="54"/>
      <c r="AH451" s="54"/>
      <c r="AI451" s="54"/>
    </row>
    <row r="452" spans="18:35" x14ac:dyDescent="0.2">
      <c r="R452" s="54"/>
      <c r="S452" s="54"/>
      <c r="T452" s="54"/>
      <c r="W452" s="54"/>
      <c r="X452" s="54"/>
      <c r="Y452" s="54"/>
      <c r="AB452" s="54"/>
      <c r="AC452" s="54"/>
      <c r="AD452" s="54"/>
      <c r="AG452" s="54"/>
      <c r="AH452" s="54"/>
      <c r="AI452" s="54"/>
    </row>
    <row r="453" spans="18:35" x14ac:dyDescent="0.2">
      <c r="R453" s="54"/>
      <c r="S453" s="54"/>
      <c r="T453" s="54"/>
      <c r="W453" s="54"/>
      <c r="X453" s="54"/>
      <c r="Y453" s="54"/>
      <c r="AB453" s="54"/>
      <c r="AC453" s="54"/>
      <c r="AD453" s="54"/>
      <c r="AG453" s="54"/>
      <c r="AH453" s="54"/>
      <c r="AI453" s="54"/>
    </row>
    <row r="454" spans="18:35" x14ac:dyDescent="0.2">
      <c r="R454" s="54"/>
      <c r="S454" s="54"/>
      <c r="T454" s="54"/>
      <c r="W454" s="54"/>
      <c r="X454" s="54"/>
      <c r="Y454" s="54"/>
      <c r="AB454" s="54"/>
      <c r="AC454" s="54"/>
      <c r="AD454" s="54"/>
      <c r="AG454" s="54"/>
      <c r="AH454" s="54"/>
      <c r="AI454" s="54"/>
    </row>
    <row r="455" spans="18:35" x14ac:dyDescent="0.2">
      <c r="R455" s="54"/>
      <c r="S455" s="54"/>
      <c r="T455" s="54"/>
      <c r="W455" s="54"/>
      <c r="X455" s="54"/>
      <c r="Y455" s="54"/>
      <c r="AB455" s="54"/>
      <c r="AC455" s="54"/>
      <c r="AD455" s="54"/>
      <c r="AG455" s="54"/>
      <c r="AH455" s="54"/>
      <c r="AI455" s="54"/>
    </row>
    <row r="456" spans="18:35" x14ac:dyDescent="0.2">
      <c r="R456" s="54"/>
      <c r="S456" s="54"/>
      <c r="T456" s="54"/>
      <c r="W456" s="54"/>
      <c r="X456" s="54"/>
      <c r="Y456" s="54"/>
      <c r="AB456" s="54"/>
      <c r="AC456" s="54"/>
      <c r="AD456" s="54"/>
      <c r="AG456" s="54"/>
      <c r="AH456" s="54"/>
      <c r="AI456" s="54"/>
    </row>
    <row r="457" spans="18:35" x14ac:dyDescent="0.2">
      <c r="R457" s="54"/>
      <c r="S457" s="54"/>
      <c r="T457" s="54"/>
      <c r="W457" s="54"/>
      <c r="X457" s="54"/>
      <c r="Y457" s="54"/>
      <c r="AB457" s="54"/>
      <c r="AC457" s="54"/>
      <c r="AD457" s="54"/>
      <c r="AG457" s="54"/>
      <c r="AH457" s="54"/>
      <c r="AI457" s="54"/>
    </row>
    <row r="458" spans="18:35" x14ac:dyDescent="0.2">
      <c r="R458" s="54"/>
      <c r="S458" s="54"/>
      <c r="T458" s="54"/>
      <c r="W458" s="54"/>
      <c r="X458" s="54"/>
      <c r="Y458" s="54"/>
      <c r="AB458" s="54"/>
      <c r="AC458" s="54"/>
      <c r="AD458" s="54"/>
      <c r="AG458" s="54"/>
      <c r="AH458" s="54"/>
      <c r="AI458" s="54"/>
    </row>
    <row r="459" spans="18:35" x14ac:dyDescent="0.2">
      <c r="R459" s="54"/>
      <c r="S459" s="54"/>
      <c r="T459" s="54"/>
      <c r="W459" s="54"/>
      <c r="X459" s="54"/>
      <c r="Y459" s="54"/>
      <c r="AB459" s="54"/>
      <c r="AC459" s="54"/>
      <c r="AD459" s="54"/>
      <c r="AG459" s="54"/>
      <c r="AH459" s="54"/>
      <c r="AI459" s="54"/>
    </row>
    <row r="460" spans="18:35" x14ac:dyDescent="0.2">
      <c r="R460" s="54"/>
      <c r="S460" s="54"/>
      <c r="T460" s="54"/>
      <c r="W460" s="54"/>
      <c r="X460" s="54"/>
      <c r="Y460" s="54"/>
      <c r="AB460" s="54"/>
      <c r="AC460" s="54"/>
      <c r="AD460" s="54"/>
      <c r="AG460" s="54"/>
      <c r="AH460" s="54"/>
      <c r="AI460" s="54"/>
    </row>
    <row r="461" spans="18:35" x14ac:dyDescent="0.2">
      <c r="R461" s="54"/>
      <c r="S461" s="54"/>
      <c r="T461" s="54"/>
      <c r="W461" s="54"/>
      <c r="X461" s="54"/>
      <c r="Y461" s="54"/>
      <c r="AB461" s="54"/>
      <c r="AC461" s="54"/>
      <c r="AD461" s="54"/>
      <c r="AG461" s="54"/>
      <c r="AH461" s="54"/>
      <c r="AI461" s="54"/>
    </row>
    <row r="462" spans="18:35" x14ac:dyDescent="0.2">
      <c r="R462" s="54"/>
      <c r="S462" s="54"/>
      <c r="T462" s="54"/>
      <c r="W462" s="54"/>
      <c r="X462" s="54"/>
      <c r="Y462" s="54"/>
      <c r="AB462" s="54"/>
      <c r="AC462" s="54"/>
      <c r="AD462" s="54"/>
      <c r="AG462" s="54"/>
      <c r="AH462" s="54"/>
      <c r="AI462" s="54"/>
    </row>
    <row r="463" spans="18:35" x14ac:dyDescent="0.2">
      <c r="R463" s="54"/>
      <c r="S463" s="54"/>
      <c r="T463" s="54"/>
      <c r="W463" s="54"/>
      <c r="X463" s="54"/>
      <c r="Y463" s="54"/>
      <c r="AB463" s="54"/>
      <c r="AC463" s="54"/>
      <c r="AD463" s="54"/>
      <c r="AG463" s="54"/>
      <c r="AH463" s="54"/>
      <c r="AI463" s="54"/>
    </row>
    <row r="464" spans="18:35" x14ac:dyDescent="0.2">
      <c r="R464" s="54"/>
      <c r="S464" s="54"/>
      <c r="T464" s="54"/>
      <c r="W464" s="54"/>
      <c r="X464" s="54"/>
      <c r="Y464" s="54"/>
      <c r="AB464" s="54"/>
      <c r="AC464" s="54"/>
      <c r="AD464" s="54"/>
      <c r="AG464" s="54"/>
      <c r="AH464" s="54"/>
      <c r="AI464" s="54"/>
    </row>
    <row r="465" spans="18:35" x14ac:dyDescent="0.2">
      <c r="R465" s="54"/>
      <c r="S465" s="54"/>
      <c r="T465" s="54"/>
      <c r="W465" s="54"/>
      <c r="X465" s="54"/>
      <c r="Y465" s="54"/>
      <c r="AB465" s="54"/>
      <c r="AC465" s="54"/>
      <c r="AD465" s="54"/>
      <c r="AG465" s="54"/>
      <c r="AH465" s="54"/>
      <c r="AI465" s="54"/>
    </row>
    <row r="466" spans="18:35" x14ac:dyDescent="0.2">
      <c r="R466" s="54"/>
      <c r="S466" s="54"/>
      <c r="T466" s="54"/>
      <c r="W466" s="54"/>
      <c r="X466" s="54"/>
      <c r="Y466" s="54"/>
      <c r="AB466" s="54"/>
      <c r="AC466" s="54"/>
      <c r="AD466" s="54"/>
      <c r="AG466" s="54"/>
      <c r="AH466" s="54"/>
      <c r="AI466" s="54"/>
    </row>
    <row r="467" spans="18:35" x14ac:dyDescent="0.2">
      <c r="R467" s="54"/>
      <c r="S467" s="54"/>
      <c r="T467" s="54"/>
      <c r="W467" s="54"/>
      <c r="X467" s="54"/>
      <c r="Y467" s="54"/>
      <c r="AB467" s="54"/>
      <c r="AC467" s="54"/>
      <c r="AD467" s="54"/>
      <c r="AG467" s="54"/>
      <c r="AH467" s="54"/>
      <c r="AI467" s="54"/>
    </row>
    <row r="468" spans="18:35" x14ac:dyDescent="0.2">
      <c r="R468" s="54"/>
      <c r="S468" s="54"/>
      <c r="T468" s="54"/>
      <c r="W468" s="54"/>
      <c r="X468" s="54"/>
      <c r="Y468" s="54"/>
      <c r="AB468" s="54"/>
      <c r="AC468" s="54"/>
      <c r="AD468" s="54"/>
      <c r="AG468" s="54"/>
      <c r="AH468" s="54"/>
      <c r="AI468" s="54"/>
    </row>
    <row r="469" spans="18:35" x14ac:dyDescent="0.2">
      <c r="R469" s="54"/>
      <c r="S469" s="54"/>
      <c r="T469" s="54"/>
      <c r="W469" s="54"/>
      <c r="X469" s="54"/>
      <c r="Y469" s="54"/>
      <c r="AB469" s="54"/>
      <c r="AC469" s="54"/>
      <c r="AD469" s="54"/>
      <c r="AG469" s="54"/>
      <c r="AH469" s="54"/>
      <c r="AI469" s="54"/>
    </row>
    <row r="470" spans="18:35" x14ac:dyDescent="0.2">
      <c r="R470" s="54"/>
      <c r="S470" s="54"/>
      <c r="T470" s="54"/>
      <c r="W470" s="54"/>
      <c r="X470" s="54"/>
      <c r="Y470" s="54"/>
      <c r="AB470" s="54"/>
      <c r="AC470" s="54"/>
      <c r="AD470" s="54"/>
      <c r="AG470" s="54"/>
      <c r="AH470" s="54"/>
      <c r="AI470" s="54"/>
    </row>
    <row r="471" spans="18:35" x14ac:dyDescent="0.2">
      <c r="R471" s="54"/>
      <c r="S471" s="54"/>
      <c r="T471" s="54"/>
      <c r="W471" s="54"/>
      <c r="X471" s="54"/>
      <c r="Y471" s="54"/>
      <c r="AB471" s="54"/>
      <c r="AC471" s="54"/>
      <c r="AD471" s="54"/>
      <c r="AG471" s="54"/>
      <c r="AH471" s="54"/>
      <c r="AI471" s="54"/>
    </row>
    <row r="472" spans="18:35" x14ac:dyDescent="0.2">
      <c r="R472" s="54"/>
      <c r="S472" s="54"/>
      <c r="T472" s="54"/>
      <c r="W472" s="54"/>
      <c r="X472" s="54"/>
      <c r="Y472" s="54"/>
      <c r="AB472" s="54"/>
      <c r="AC472" s="54"/>
      <c r="AD472" s="54"/>
      <c r="AG472" s="54"/>
      <c r="AH472" s="54"/>
      <c r="AI472" s="54"/>
    </row>
    <row r="473" spans="18:35" x14ac:dyDescent="0.2">
      <c r="R473" s="54"/>
      <c r="S473" s="54"/>
      <c r="T473" s="54"/>
      <c r="W473" s="54"/>
      <c r="X473" s="54"/>
      <c r="Y473" s="54"/>
      <c r="AB473" s="54"/>
      <c r="AC473" s="54"/>
      <c r="AD473" s="54"/>
      <c r="AG473" s="54"/>
      <c r="AH473" s="54"/>
      <c r="AI473" s="54"/>
    </row>
    <row r="474" spans="18:35" x14ac:dyDescent="0.2">
      <c r="AG474" s="54"/>
      <c r="AH474" s="54"/>
      <c r="AI474" s="54"/>
    </row>
  </sheetData>
  <sheetProtection algorithmName="SHA-512" hashValue="OJEIzlAFUd/odJ4O3KnDhiOnDkDrclviLrMMWYTgYF3mycjjCG/93nMsEQikA0nQtDQElhZdsCw+0gffBRz3fQ==" saltValue="/q9iZWBxoVVCtO/35gj2kw==" spinCount="100000" sheet="1" selectLockedCells="1"/>
  <mergeCells count="3">
    <mergeCell ref="A1:Q1"/>
    <mergeCell ref="F98:G98"/>
    <mergeCell ref="Q80:Q84"/>
  </mergeCells>
  <phoneticPr fontId="10" type="noConversion"/>
  <conditionalFormatting sqref="E10">
    <cfRule type="cellIs" dxfId="179" priority="83" stopIfTrue="1" operator="notBetween">
      <formula>3.3</formula>
      <formula>78</formula>
    </cfRule>
  </conditionalFormatting>
  <conditionalFormatting sqref="E43">
    <cfRule type="cellIs" dxfId="178" priority="81" stopIfTrue="1" operator="lessThanOrEqual">
      <formula>0</formula>
    </cfRule>
  </conditionalFormatting>
  <conditionalFormatting sqref="E45">
    <cfRule type="cellIs" dxfId="177" priority="80" stopIfTrue="1" operator="lessThan">
      <formula>$E$44</formula>
    </cfRule>
  </conditionalFormatting>
  <conditionalFormatting sqref="E47">
    <cfRule type="cellIs" dxfId="176" priority="79" stopIfTrue="1" operator="greaterThan">
      <formula>$E$46</formula>
    </cfRule>
  </conditionalFormatting>
  <conditionalFormatting sqref="E52">
    <cfRule type="cellIs" dxfId="175" priority="77" stopIfTrue="1" operator="equal">
      <formula>0</formula>
    </cfRule>
  </conditionalFormatting>
  <conditionalFormatting sqref="E54">
    <cfRule type="cellIs" dxfId="174" priority="76" stopIfTrue="1" operator="lessThan">
      <formula>$E$53</formula>
    </cfRule>
  </conditionalFormatting>
  <conditionalFormatting sqref="E56">
    <cfRule type="cellIs" dxfId="173" priority="74" stopIfTrue="1" operator="greaterThan">
      <formula>$E$55</formula>
    </cfRule>
    <cfRule type="cellIs" dxfId="172" priority="75" stopIfTrue="1" operator="equal">
      <formula>0</formula>
    </cfRule>
  </conditionalFormatting>
  <conditionalFormatting sqref="E65">
    <cfRule type="cellIs" dxfId="171" priority="72" operator="notBetween">
      <formula>2.8</formula>
      <formula>78</formula>
    </cfRule>
  </conditionalFormatting>
  <conditionalFormatting sqref="E8">
    <cfRule type="cellIs" dxfId="170" priority="69" operator="notBetween">
      <formula>$E$7</formula>
      <formula>$E$9</formula>
    </cfRule>
  </conditionalFormatting>
  <conditionalFormatting sqref="E62">
    <cfRule type="cellIs" dxfId="169" priority="65" operator="lessThanOrEqual">
      <formula>$E$61</formula>
    </cfRule>
  </conditionalFormatting>
  <conditionalFormatting sqref="E66">
    <cfRule type="cellIs" dxfId="168" priority="58" operator="notBetween">
      <formula>2.8</formula>
      <formula>78</formula>
    </cfRule>
  </conditionalFormatting>
  <conditionalFormatting sqref="O54">
    <cfRule type="expression" dxfId="167" priority="2">
      <formula>$K$54&gt;1</formula>
    </cfRule>
    <cfRule type="cellIs" dxfId="166" priority="27" operator="notBetween">
      <formula>10</formula>
      <formula>140</formula>
    </cfRule>
    <cfRule type="cellIs" dxfId="165" priority="3" operator="notBetween">
      <formula>0</formula>
      <formula>255</formula>
    </cfRule>
  </conditionalFormatting>
  <conditionalFormatting sqref="E32">
    <cfRule type="expression" dxfId="164" priority="25">
      <formula>$E$32&gt;$E$31</formula>
    </cfRule>
  </conditionalFormatting>
  <hyperlinks>
    <hyperlink ref="C3" r:id="rId1" xr:uid="{00000000-0004-0000-0000-000000000000}"/>
    <hyperlink ref="J3" r:id="rId2" display="http://www.ti.com/product/lm51772" xr:uid="{00000000-0004-0000-0000-000001000000}"/>
    <hyperlink ref="N3:P3" location="Licenses!A1" display="TERMS OF USE" xr:uid="{6BC3009B-6DD9-456B-A488-EC1FBD413205}"/>
  </hyperlinks>
  <printOptions horizontalCentered="1" verticalCentered="1"/>
  <pageMargins left="0.1" right="0.1" top="0.1" bottom="0.1" header="0.25" footer="0.25"/>
  <pageSetup scale="44" orientation="portrait" r:id="rId3"/>
  <headerFooter alignWithMargins="0"/>
  <rowBreaks count="1" manualBreakCount="1">
    <brk id="126" max="16383" man="1"/>
  </rowBreaks>
  <ignoredErrors>
    <ignoredError sqref="E88 E35"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73288" r:id="rId7" name="Button 520">
              <controlPr locked="0" defaultSize="0" print="0" autoFill="0" autoPict="0" macro="[0]!FIXValues">
                <anchor moveWithCells="1" sizeWithCells="1">
                  <from>
                    <xdr:col>2</xdr:col>
                    <xdr:colOff>742950</xdr:colOff>
                    <xdr:row>89</xdr:row>
                    <xdr:rowOff>95250</xdr:rowOff>
                  </from>
                  <to>
                    <xdr:col>3</xdr:col>
                    <xdr:colOff>447675</xdr:colOff>
                    <xdr:row>91</xdr:row>
                    <xdr:rowOff>171450</xdr:rowOff>
                  </to>
                </anchor>
              </controlPr>
            </control>
          </mc:Choice>
        </mc:AlternateContent>
        <mc:AlternateContent xmlns:mc="http://schemas.openxmlformats.org/markup-compatibility/2006">
          <mc:Choice Requires="x14">
            <control shapeId="673260" r:id="rId8" name="Button 492">
              <controlPr locked="0" defaultSize="0" print="0" autoFill="0" autoPict="0" macro="[0]!RESETvalues">
                <anchor moveWithCells="1" sizeWithCells="1">
                  <from>
                    <xdr:col>2</xdr:col>
                    <xdr:colOff>742950</xdr:colOff>
                    <xdr:row>89</xdr:row>
                    <xdr:rowOff>95250</xdr:rowOff>
                  </from>
                  <to>
                    <xdr:col>3</xdr:col>
                    <xdr:colOff>447675</xdr:colOff>
                    <xdr:row>91</xdr:row>
                    <xdr:rowOff>171450</xdr:rowOff>
                  </to>
                </anchor>
              </controlPr>
            </control>
          </mc:Choice>
        </mc:AlternateContent>
        <mc:AlternateContent xmlns:mc="http://schemas.openxmlformats.org/markup-compatibility/2006">
          <mc:Choice Requires="x14">
            <control shapeId="673664" r:id="rId9" name="Drop Down 896">
              <controlPr defaultSize="0" autoLine="0" autoPict="0" altText="used to fix comment show issue on excel">
                <anchor moveWithCells="1">
                  <from>
                    <xdr:col>6</xdr:col>
                    <xdr:colOff>514350</xdr:colOff>
                    <xdr:row>11</xdr:row>
                    <xdr:rowOff>190500</xdr:rowOff>
                  </from>
                  <to>
                    <xdr:col>8</xdr:col>
                    <xdr:colOff>533400</xdr:colOff>
                    <xdr:row>14</xdr:row>
                    <xdr:rowOff>9525</xdr:rowOff>
                  </to>
                </anchor>
              </controlPr>
            </control>
          </mc:Choice>
        </mc:AlternateContent>
        <mc:AlternateContent xmlns:mc="http://schemas.openxmlformats.org/markup-compatibility/2006">
          <mc:Choice Requires="x14">
            <control shapeId="672829" r:id="rId10" name="Spinner 61">
              <controlPr defaultSize="0" autoPict="0">
                <anchor moveWithCells="1" sizeWithCells="1">
                  <from>
                    <xdr:col>5</xdr:col>
                    <xdr:colOff>9525</xdr:colOff>
                    <xdr:row>75</xdr:row>
                    <xdr:rowOff>0</xdr:rowOff>
                  </from>
                  <to>
                    <xdr:col>5</xdr:col>
                    <xdr:colOff>180975</xdr:colOff>
                    <xdr:row>76</xdr:row>
                    <xdr:rowOff>0</xdr:rowOff>
                  </to>
                </anchor>
              </controlPr>
            </control>
          </mc:Choice>
        </mc:AlternateContent>
        <mc:AlternateContent xmlns:mc="http://schemas.openxmlformats.org/markup-compatibility/2006">
          <mc:Choice Requires="x14">
            <control shapeId="672895" r:id="rId11" name="Spinner 127">
              <controlPr defaultSize="0" autoPict="0">
                <anchor moveWithCells="1" sizeWithCells="1">
                  <from>
                    <xdr:col>5</xdr:col>
                    <xdr:colOff>152400</xdr:colOff>
                    <xdr:row>7</xdr:row>
                    <xdr:rowOff>9525</xdr:rowOff>
                  </from>
                  <to>
                    <xdr:col>5</xdr:col>
                    <xdr:colOff>304800</xdr:colOff>
                    <xdr:row>8</xdr:row>
                    <xdr:rowOff>28575</xdr:rowOff>
                  </to>
                </anchor>
              </controlPr>
            </control>
          </mc:Choice>
        </mc:AlternateContent>
        <mc:AlternateContent xmlns:mc="http://schemas.openxmlformats.org/markup-compatibility/2006">
          <mc:Choice Requires="x14">
            <control shapeId="672924" r:id="rId12" name="Drop Down 156">
              <controlPr defaultSize="0" autoLine="0" autoPict="0">
                <anchor>
                  <from>
                    <xdr:col>7</xdr:col>
                    <xdr:colOff>390525</xdr:colOff>
                    <xdr:row>95</xdr:row>
                    <xdr:rowOff>133350</xdr:rowOff>
                  </from>
                  <to>
                    <xdr:col>9</xdr:col>
                    <xdr:colOff>371475</xdr:colOff>
                    <xdr:row>96</xdr:row>
                    <xdr:rowOff>85725</xdr:rowOff>
                  </to>
                </anchor>
              </controlPr>
            </control>
          </mc:Choice>
        </mc:AlternateContent>
        <mc:AlternateContent xmlns:mc="http://schemas.openxmlformats.org/markup-compatibility/2006">
          <mc:Choice Requires="x14">
            <control shapeId="673295" r:id="rId13" name="Spinner 527">
              <controlPr defaultSize="0" autoPict="0">
                <anchor moveWithCells="1" sizeWithCells="1">
                  <from>
                    <xdr:col>13</xdr:col>
                    <xdr:colOff>533400</xdr:colOff>
                    <xdr:row>59</xdr:row>
                    <xdr:rowOff>247650</xdr:rowOff>
                  </from>
                  <to>
                    <xdr:col>14</xdr:col>
                    <xdr:colOff>76200</xdr:colOff>
                    <xdr:row>61</xdr:row>
                    <xdr:rowOff>0</xdr:rowOff>
                  </to>
                </anchor>
              </controlPr>
            </control>
          </mc:Choice>
        </mc:AlternateContent>
        <mc:AlternateContent xmlns:mc="http://schemas.openxmlformats.org/markup-compatibility/2006">
          <mc:Choice Requires="x14">
            <control shapeId="701838" r:id="rId14" name="Spinner 2446">
              <controlPr defaultSize="0" autoPict="0">
                <anchor moveWithCells="1" sizeWithCells="1">
                  <from>
                    <xdr:col>14</xdr:col>
                    <xdr:colOff>0</xdr:colOff>
                    <xdr:row>95</xdr:row>
                    <xdr:rowOff>0</xdr:rowOff>
                  </from>
                  <to>
                    <xdr:col>14</xdr:col>
                    <xdr:colOff>190500</xdr:colOff>
                    <xdr:row>96</xdr:row>
                    <xdr:rowOff>0</xdr:rowOff>
                  </to>
                </anchor>
              </controlPr>
            </control>
          </mc:Choice>
        </mc:AlternateContent>
        <mc:AlternateContent xmlns:mc="http://schemas.openxmlformats.org/markup-compatibility/2006">
          <mc:Choice Requires="x14">
            <control shapeId="716937" r:id="rId15" name="Drop Down 3209">
              <controlPr defaultSize="0" autoLine="0" autoPict="0">
                <anchor moveWithCells="1">
                  <from>
                    <xdr:col>7</xdr:col>
                    <xdr:colOff>57150</xdr:colOff>
                    <xdr:row>45</xdr:row>
                    <xdr:rowOff>28575</xdr:rowOff>
                  </from>
                  <to>
                    <xdr:col>8</xdr:col>
                    <xdr:colOff>561975</xdr:colOff>
                    <xdr:row>46</xdr:row>
                    <xdr:rowOff>0</xdr:rowOff>
                  </to>
                </anchor>
              </controlPr>
            </control>
          </mc:Choice>
        </mc:AlternateContent>
        <mc:AlternateContent xmlns:mc="http://schemas.openxmlformats.org/markup-compatibility/2006">
          <mc:Choice Requires="x14">
            <control shapeId="716938" r:id="rId16" name="Drop Down 3210">
              <controlPr defaultSize="0" autoLine="0" autoPict="0">
                <anchor moveWithCells="1">
                  <from>
                    <xdr:col>9</xdr:col>
                    <xdr:colOff>38100</xdr:colOff>
                    <xdr:row>45</xdr:row>
                    <xdr:rowOff>28575</xdr:rowOff>
                  </from>
                  <to>
                    <xdr:col>10</xdr:col>
                    <xdr:colOff>552450</xdr:colOff>
                    <xdr:row>46</xdr:row>
                    <xdr:rowOff>0</xdr:rowOff>
                  </to>
                </anchor>
              </controlPr>
            </control>
          </mc:Choice>
        </mc:AlternateContent>
        <mc:AlternateContent xmlns:mc="http://schemas.openxmlformats.org/markup-compatibility/2006">
          <mc:Choice Requires="x14">
            <control shapeId="716941" r:id="rId17" name="Drop Down 3213">
              <controlPr defaultSize="0" autoLine="0" autoPict="0">
                <anchor moveWithCells="1">
                  <from>
                    <xdr:col>7</xdr:col>
                    <xdr:colOff>57150</xdr:colOff>
                    <xdr:row>46</xdr:row>
                    <xdr:rowOff>38100</xdr:rowOff>
                  </from>
                  <to>
                    <xdr:col>8</xdr:col>
                    <xdr:colOff>561975</xdr:colOff>
                    <xdr:row>47</xdr:row>
                    <xdr:rowOff>9525</xdr:rowOff>
                  </to>
                </anchor>
              </controlPr>
            </control>
          </mc:Choice>
        </mc:AlternateContent>
        <mc:AlternateContent xmlns:mc="http://schemas.openxmlformats.org/markup-compatibility/2006">
          <mc:Choice Requires="x14">
            <control shapeId="716942" r:id="rId18" name="Drop Down 3214">
              <controlPr defaultSize="0" autoLine="0" autoPict="0">
                <anchor moveWithCells="1">
                  <from>
                    <xdr:col>9</xdr:col>
                    <xdr:colOff>38100</xdr:colOff>
                    <xdr:row>46</xdr:row>
                    <xdr:rowOff>38100</xdr:rowOff>
                  </from>
                  <to>
                    <xdr:col>10</xdr:col>
                    <xdr:colOff>571500</xdr:colOff>
                    <xdr:row>47</xdr:row>
                    <xdr:rowOff>9525</xdr:rowOff>
                  </to>
                </anchor>
              </controlPr>
            </control>
          </mc:Choice>
        </mc:AlternateContent>
        <mc:AlternateContent xmlns:mc="http://schemas.openxmlformats.org/markup-compatibility/2006">
          <mc:Choice Requires="x14">
            <control shapeId="716943" r:id="rId19" name="Drop Down 3215">
              <controlPr defaultSize="0" autoLine="0" autoPict="0">
                <anchor moveWithCells="1">
                  <from>
                    <xdr:col>11</xdr:col>
                    <xdr:colOff>47625</xdr:colOff>
                    <xdr:row>46</xdr:row>
                    <xdr:rowOff>38100</xdr:rowOff>
                  </from>
                  <to>
                    <xdr:col>12</xdr:col>
                    <xdr:colOff>600075</xdr:colOff>
                    <xdr:row>47</xdr:row>
                    <xdr:rowOff>0</xdr:rowOff>
                  </to>
                </anchor>
              </controlPr>
            </control>
          </mc:Choice>
        </mc:AlternateContent>
        <mc:AlternateContent xmlns:mc="http://schemas.openxmlformats.org/markup-compatibility/2006">
          <mc:Choice Requires="x14">
            <control shapeId="716944" r:id="rId20" name="Drop Down 3216">
              <controlPr defaultSize="0" autoLine="0" autoPict="0">
                <anchor moveWithCells="1">
                  <from>
                    <xdr:col>12</xdr:col>
                    <xdr:colOff>666750</xdr:colOff>
                    <xdr:row>46</xdr:row>
                    <xdr:rowOff>38100</xdr:rowOff>
                  </from>
                  <to>
                    <xdr:col>12</xdr:col>
                    <xdr:colOff>2009775</xdr:colOff>
                    <xdr:row>47</xdr:row>
                    <xdr:rowOff>9525</xdr:rowOff>
                  </to>
                </anchor>
              </controlPr>
            </control>
          </mc:Choice>
        </mc:AlternateContent>
        <mc:AlternateContent xmlns:mc="http://schemas.openxmlformats.org/markup-compatibility/2006">
          <mc:Choice Requires="x14">
            <control shapeId="716955" r:id="rId21" name="Drop Down 3227">
              <controlPr defaultSize="0" autoLine="0" autoPict="0">
                <anchor moveWithCells="1">
                  <from>
                    <xdr:col>7</xdr:col>
                    <xdr:colOff>57150</xdr:colOff>
                    <xdr:row>47</xdr:row>
                    <xdr:rowOff>57150</xdr:rowOff>
                  </from>
                  <to>
                    <xdr:col>8</xdr:col>
                    <xdr:colOff>561975</xdr:colOff>
                    <xdr:row>48</xdr:row>
                    <xdr:rowOff>28575</xdr:rowOff>
                  </to>
                </anchor>
              </controlPr>
            </control>
          </mc:Choice>
        </mc:AlternateContent>
        <mc:AlternateContent xmlns:mc="http://schemas.openxmlformats.org/markup-compatibility/2006">
          <mc:Choice Requires="x14">
            <control shapeId="716956" r:id="rId22" name="Drop Down 3228">
              <controlPr defaultSize="0" autoLine="0" autoPict="0">
                <anchor moveWithCells="1">
                  <from>
                    <xdr:col>9</xdr:col>
                    <xdr:colOff>38100</xdr:colOff>
                    <xdr:row>47</xdr:row>
                    <xdr:rowOff>57150</xdr:rowOff>
                  </from>
                  <to>
                    <xdr:col>10</xdr:col>
                    <xdr:colOff>552450</xdr:colOff>
                    <xdr:row>48</xdr:row>
                    <xdr:rowOff>28575</xdr:rowOff>
                  </to>
                </anchor>
              </controlPr>
            </control>
          </mc:Choice>
        </mc:AlternateContent>
        <mc:AlternateContent xmlns:mc="http://schemas.openxmlformats.org/markup-compatibility/2006">
          <mc:Choice Requires="x14">
            <control shapeId="716957" r:id="rId23" name="Drop Down 3229">
              <controlPr defaultSize="0" autoLine="0" autoPict="0">
                <anchor moveWithCells="1">
                  <from>
                    <xdr:col>11</xdr:col>
                    <xdr:colOff>47625</xdr:colOff>
                    <xdr:row>47</xdr:row>
                    <xdr:rowOff>47625</xdr:rowOff>
                  </from>
                  <to>
                    <xdr:col>12</xdr:col>
                    <xdr:colOff>600075</xdr:colOff>
                    <xdr:row>48</xdr:row>
                    <xdr:rowOff>38100</xdr:rowOff>
                  </to>
                </anchor>
              </controlPr>
            </control>
          </mc:Choice>
        </mc:AlternateContent>
        <mc:AlternateContent xmlns:mc="http://schemas.openxmlformats.org/markup-compatibility/2006">
          <mc:Choice Requires="x14">
            <control shapeId="716958" r:id="rId24" name="Drop Down 3230">
              <controlPr defaultSize="0" autoLine="0" autoPict="0">
                <anchor moveWithCells="1">
                  <from>
                    <xdr:col>12</xdr:col>
                    <xdr:colOff>666750</xdr:colOff>
                    <xdr:row>47</xdr:row>
                    <xdr:rowOff>47625</xdr:rowOff>
                  </from>
                  <to>
                    <xdr:col>12</xdr:col>
                    <xdr:colOff>2009775</xdr:colOff>
                    <xdr:row>48</xdr:row>
                    <xdr:rowOff>38100</xdr:rowOff>
                  </to>
                </anchor>
              </controlPr>
            </control>
          </mc:Choice>
        </mc:AlternateContent>
        <mc:AlternateContent xmlns:mc="http://schemas.openxmlformats.org/markup-compatibility/2006">
          <mc:Choice Requires="x14">
            <control shapeId="716963" r:id="rId25" name="Drop Down 3235">
              <controlPr defaultSize="0" autoLine="0" autoPict="0">
                <anchor moveWithCells="1">
                  <from>
                    <xdr:col>7</xdr:col>
                    <xdr:colOff>57150</xdr:colOff>
                    <xdr:row>48</xdr:row>
                    <xdr:rowOff>85725</xdr:rowOff>
                  </from>
                  <to>
                    <xdr:col>8</xdr:col>
                    <xdr:colOff>571500</xdr:colOff>
                    <xdr:row>49</xdr:row>
                    <xdr:rowOff>76200</xdr:rowOff>
                  </to>
                </anchor>
              </controlPr>
            </control>
          </mc:Choice>
        </mc:AlternateContent>
        <mc:AlternateContent xmlns:mc="http://schemas.openxmlformats.org/markup-compatibility/2006">
          <mc:Choice Requires="x14">
            <control shapeId="716964" r:id="rId26" name="Drop Down 3236">
              <controlPr defaultSize="0" autoLine="0" autoPict="0">
                <anchor moveWithCells="1">
                  <from>
                    <xdr:col>9</xdr:col>
                    <xdr:colOff>38100</xdr:colOff>
                    <xdr:row>48</xdr:row>
                    <xdr:rowOff>85725</xdr:rowOff>
                  </from>
                  <to>
                    <xdr:col>10</xdr:col>
                    <xdr:colOff>571500</xdr:colOff>
                    <xdr:row>49</xdr:row>
                    <xdr:rowOff>76200</xdr:rowOff>
                  </to>
                </anchor>
              </controlPr>
            </control>
          </mc:Choice>
        </mc:AlternateContent>
        <mc:AlternateContent xmlns:mc="http://schemas.openxmlformats.org/markup-compatibility/2006">
          <mc:Choice Requires="x14">
            <control shapeId="716965" r:id="rId27" name="Drop Down 3237">
              <controlPr defaultSize="0" autoLine="0" autoPict="0">
                <anchor moveWithCells="1">
                  <from>
                    <xdr:col>11</xdr:col>
                    <xdr:colOff>47625</xdr:colOff>
                    <xdr:row>48</xdr:row>
                    <xdr:rowOff>85725</xdr:rowOff>
                  </from>
                  <to>
                    <xdr:col>12</xdr:col>
                    <xdr:colOff>600075</xdr:colOff>
                    <xdr:row>49</xdr:row>
                    <xdr:rowOff>76200</xdr:rowOff>
                  </to>
                </anchor>
              </controlPr>
            </control>
          </mc:Choice>
        </mc:AlternateContent>
        <mc:AlternateContent xmlns:mc="http://schemas.openxmlformats.org/markup-compatibility/2006">
          <mc:Choice Requires="x14">
            <control shapeId="716966" r:id="rId28" name="Drop Down 3238">
              <controlPr defaultSize="0" autoLine="0" autoPict="0">
                <anchor moveWithCells="1">
                  <from>
                    <xdr:col>12</xdr:col>
                    <xdr:colOff>666750</xdr:colOff>
                    <xdr:row>48</xdr:row>
                    <xdr:rowOff>85725</xdr:rowOff>
                  </from>
                  <to>
                    <xdr:col>12</xdr:col>
                    <xdr:colOff>2009775</xdr:colOff>
                    <xdr:row>49</xdr:row>
                    <xdr:rowOff>76200</xdr:rowOff>
                  </to>
                </anchor>
              </controlPr>
            </control>
          </mc:Choice>
        </mc:AlternateContent>
        <mc:AlternateContent xmlns:mc="http://schemas.openxmlformats.org/markup-compatibility/2006">
          <mc:Choice Requires="x14">
            <control shapeId="733873" r:id="rId29" name="Drop Down 4785">
              <controlPr defaultSize="0" autoLine="0" autoPict="0">
                <anchor moveWithCells="1">
                  <from>
                    <xdr:col>10</xdr:col>
                    <xdr:colOff>247650</xdr:colOff>
                    <xdr:row>51</xdr:row>
                    <xdr:rowOff>19050</xdr:rowOff>
                  </from>
                  <to>
                    <xdr:col>11</xdr:col>
                    <xdr:colOff>819150</xdr:colOff>
                    <xdr:row>51</xdr:row>
                    <xdr:rowOff>161925</xdr:rowOff>
                  </to>
                </anchor>
              </controlPr>
            </control>
          </mc:Choice>
        </mc:AlternateContent>
        <mc:AlternateContent xmlns:mc="http://schemas.openxmlformats.org/markup-compatibility/2006">
          <mc:Choice Requires="x14">
            <control shapeId="751970" r:id="rId30" name="Check Box 5474">
              <controlPr defaultSize="0" autoFill="0" autoLine="0" autoPict="0">
                <anchor moveWithCells="1">
                  <from>
                    <xdr:col>14</xdr:col>
                    <xdr:colOff>190500</xdr:colOff>
                    <xdr:row>59</xdr:row>
                    <xdr:rowOff>228600</xdr:rowOff>
                  </from>
                  <to>
                    <xdr:col>16</xdr:col>
                    <xdr:colOff>1104900</xdr:colOff>
                    <xdr:row>61</xdr:row>
                    <xdr:rowOff>19050</xdr:rowOff>
                  </to>
                </anchor>
              </controlPr>
            </control>
          </mc:Choice>
        </mc:AlternateContent>
        <mc:AlternateContent xmlns:mc="http://schemas.openxmlformats.org/markup-compatibility/2006">
          <mc:Choice Requires="x14">
            <control shapeId="733907" r:id="rId31" name="Drop Down 4819">
              <controlPr defaultSize="0" autoLine="0" autoPict="0">
                <anchor moveWithCells="1">
                  <from>
                    <xdr:col>3</xdr:col>
                    <xdr:colOff>247650</xdr:colOff>
                    <xdr:row>69</xdr:row>
                    <xdr:rowOff>19050</xdr:rowOff>
                  </from>
                  <to>
                    <xdr:col>6</xdr:col>
                    <xdr:colOff>9525</xdr:colOff>
                    <xdr:row>69</xdr:row>
                    <xdr:rowOff>171450</xdr:rowOff>
                  </to>
                </anchor>
              </controlPr>
            </control>
          </mc:Choice>
        </mc:AlternateContent>
        <mc:AlternateContent xmlns:mc="http://schemas.openxmlformats.org/markup-compatibility/2006">
          <mc:Choice Requires="x14">
            <control shapeId="772540" r:id="rId32" name="Drop Down 6588">
              <controlPr defaultSize="0" autoLine="0" autoPict="0">
                <anchor moveWithCells="1">
                  <from>
                    <xdr:col>3</xdr:col>
                    <xdr:colOff>552450</xdr:colOff>
                    <xdr:row>5</xdr:row>
                    <xdr:rowOff>0</xdr:rowOff>
                  </from>
                  <to>
                    <xdr:col>5</xdr:col>
                    <xdr:colOff>485775</xdr:colOff>
                    <xdr:row>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86" stopIfTrue="1" operator="notBetween" id="{62D9C4C2-E531-49B1-93A4-627035A64D4C}">
            <xm:f>DeviceParameter!$B$8</xm:f>
            <xm:f>DeviceParameter!$B$7</xm:f>
            <x14:dxf>
              <font>
                <b/>
                <i val="0"/>
                <condense val="0"/>
                <extend val="0"/>
                <color indexed="10"/>
              </font>
            </x14:dxf>
          </x14:cfRule>
          <xm:sqref>E7 E9</xm:sqref>
        </x14:conditionalFormatting>
        <x14:conditionalFormatting xmlns:xm="http://schemas.microsoft.com/office/excel/2006/main">
          <x14:cfRule type="cellIs" priority="89" stopIfTrue="1" operator="notBetween" id="{91D4B932-763E-4F6D-8B52-9DDA104D0834}">
            <xm:f>100</xm:f>
            <xm:f>DeviceParameter!$B$9</xm:f>
            <x14:dxf>
              <font>
                <b/>
                <i val="0"/>
                <condense val="0"/>
                <extend val="0"/>
                <color indexed="10"/>
              </font>
            </x14:dxf>
          </x14:cfRule>
          <xm:sqref>E12</xm:sqref>
        </x14:conditionalFormatting>
        <x14:conditionalFormatting xmlns:xm="http://schemas.microsoft.com/office/excel/2006/main">
          <x14:cfRule type="cellIs" priority="60" operator="greaterThan" id="{261B1385-33AC-41C6-9CC9-14CB02FA7EC8}">
            <xm:f>'Variable Management'!$O$65*1000000</xm:f>
            <x14:dxf>
              <font>
                <b/>
                <i val="0"/>
              </font>
              <fill>
                <patternFill>
                  <bgColor rgb="FFFF0000"/>
                </patternFill>
              </fill>
            </x14:dxf>
          </x14:cfRule>
          <x14:cfRule type="cellIs" priority="61" operator="lessThan" id="{684B9E61-D286-49CD-B4F5-79613842F5BA}">
            <xm:f>'Variable Management'!$O$64*1000000</xm:f>
            <x14:dxf>
              <font>
                <b/>
                <i val="0"/>
              </font>
              <fill>
                <patternFill>
                  <bgColor rgb="FFFF0000"/>
                </patternFill>
              </fill>
            </x14:dxf>
          </x14:cfRule>
          <xm:sqref>E18</xm:sqref>
        </x14:conditionalFormatting>
        <x14:conditionalFormatting xmlns:xm="http://schemas.microsoft.com/office/excel/2006/main">
          <x14:cfRule type="cellIs" priority="59" operator="greaterThanOrEqual" id="{346D012F-3F01-43C5-AA6F-2C80BA8F526E}">
            <xm:f>'Variable Management'!$B$384/1000</xm:f>
            <x14:dxf>
              <font>
                <b/>
                <i val="0"/>
              </font>
              <fill>
                <patternFill>
                  <bgColor rgb="FFFF0000"/>
                </patternFill>
              </fill>
            </x14:dxf>
          </x14:cfRule>
          <xm:sqref>E79</xm:sqref>
        </x14:conditionalFormatting>
        <x14:conditionalFormatting xmlns:xm="http://schemas.microsoft.com/office/excel/2006/main">
          <x14:cfRule type="expression" priority="41" id="{2886A386-301C-4848-8434-4FEEA9C2D084}">
            <xm:f>'Variable Management'!$C$29 &lt;2</xm:f>
            <x14:dxf>
              <fill>
                <patternFill>
                  <bgColor theme="0" tint="-0.499984740745262"/>
                </patternFill>
              </fill>
            </x14:dxf>
          </x14:cfRule>
          <xm:sqref>H45:P50</xm:sqref>
        </x14:conditionalFormatting>
        <x14:conditionalFormatting xmlns:xm="http://schemas.microsoft.com/office/excel/2006/main">
          <x14:cfRule type="expression" priority="31" id="{28F8545A-8D3F-4763-BBCB-9D21779E3B37}">
            <xm:f>OR('Variable Management'!$B$247=0,'Variable Management'!$B$247=0)</xm:f>
            <x14:dxf>
              <font>
                <strike val="0"/>
                <color theme="0"/>
              </font>
              <fill>
                <patternFill>
                  <bgColor theme="0"/>
                </patternFill>
              </fill>
            </x14:dxf>
          </x14:cfRule>
          <xm:sqref>N53:P53</xm:sqref>
        </x14:conditionalFormatting>
        <x14:conditionalFormatting xmlns:xm="http://schemas.microsoft.com/office/excel/2006/main">
          <x14:cfRule type="expression" priority="1" stopIfTrue="1" id="{7D08E9DB-3964-4707-BA08-692BB02B5FAC}">
            <xm:f>'Variable Management'!$B$247&lt;2</xm:f>
            <x14:dxf>
              <font>
                <color theme="0"/>
              </font>
              <fill>
                <patternFill>
                  <bgColor theme="0"/>
                </patternFill>
              </fill>
            </x14:dxf>
          </x14:cfRule>
          <xm:sqref>O54</xm:sqref>
        </x14:conditionalFormatting>
        <x14:conditionalFormatting xmlns:xm="http://schemas.microsoft.com/office/excel/2006/main">
          <x14:cfRule type="expression" priority="29" id="{29813C44-F92A-4B13-AA71-B0CD66888A40}">
            <xm:f>'Variable Management'!$B$247=0</xm:f>
            <x14:dxf>
              <font>
                <strike/>
                <color theme="0"/>
              </font>
              <fill>
                <patternFill>
                  <bgColor theme="0"/>
                </patternFill>
              </fill>
            </x14:dxf>
          </x14:cfRule>
          <xm:sqref>N55:P55</xm:sqref>
        </x14:conditionalFormatting>
        <x14:conditionalFormatting xmlns:xm="http://schemas.microsoft.com/office/excel/2006/main">
          <x14:cfRule type="expression" priority="28" id="{9D39BC90-8272-4B3E-98C1-6579773F45E9}">
            <xm:f>'Variable Management'!$B$247=0</xm:f>
            <x14:dxf>
              <font>
                <strike/>
                <color theme="0"/>
              </font>
              <fill>
                <patternFill>
                  <bgColor theme="0"/>
                </patternFill>
              </fill>
            </x14:dxf>
          </x14:cfRule>
          <xm:sqref>O57:P57</xm:sqref>
        </x14:conditionalFormatting>
        <x14:conditionalFormatting xmlns:xm="http://schemas.microsoft.com/office/excel/2006/main">
          <x14:cfRule type="expression" priority="26" id="{3600A614-2FE3-4BB9-841E-448EB68D6141}">
            <xm:f>'Variable Management'!$B$247=0</xm:f>
            <x14:dxf>
              <font>
                <strike/>
                <color theme="0"/>
              </font>
              <fill>
                <patternFill>
                  <bgColor theme="0"/>
                </patternFill>
              </fill>
            </x14:dxf>
          </x14:cfRule>
          <xm:sqref>N57:P57</xm:sqref>
        </x14:conditionalFormatting>
        <x14:conditionalFormatting xmlns:xm="http://schemas.microsoft.com/office/excel/2006/main">
          <x14:cfRule type="expression" priority="21" id="{39D4D275-0C74-4F64-80F2-F16B811BF58B}">
            <xm:f>'Variable Management'!$B$247=0</xm:f>
            <x14:dxf>
              <font>
                <strike/>
                <color theme="0"/>
              </font>
              <fill>
                <patternFill>
                  <bgColor theme="0"/>
                </patternFill>
              </fill>
            </x14:dxf>
          </x14:cfRule>
          <xm:sqref>N56:P56</xm:sqref>
        </x14:conditionalFormatting>
        <x14:conditionalFormatting xmlns:xm="http://schemas.microsoft.com/office/excel/2006/main">
          <x14:cfRule type="expression" priority="20" id="{D1B329F7-094C-479D-B6D8-FD719DA933BB}">
            <xm:f>OR('Variable Management'!$B$247&lt;1, 'Variable Management'!$B$247&gt;2)</xm:f>
            <x14:dxf>
              <font>
                <strike/>
                <color theme="0"/>
              </font>
              <fill>
                <patternFill>
                  <bgColor theme="0"/>
                </patternFill>
              </fill>
            </x14:dxf>
          </x14:cfRule>
          <xm:sqref>N58:P58</xm:sqref>
        </x14:conditionalFormatting>
        <x14:conditionalFormatting xmlns:xm="http://schemas.microsoft.com/office/excel/2006/main">
          <x14:cfRule type="expression" priority="17" id="{9BD93B70-1CDC-43D8-AD0E-52B7050E85B0}">
            <xm:f>'CFG Setting'!$B$159&lt;2</xm:f>
            <x14:dxf>
              <font>
                <color theme="0"/>
              </font>
              <fill>
                <patternFill>
                  <bgColor theme="0"/>
                </patternFill>
              </fill>
            </x14:dxf>
          </x14:cfRule>
          <xm:sqref>J53:L57</xm:sqref>
        </x14:conditionalFormatting>
        <x14:conditionalFormatting xmlns:xm="http://schemas.microsoft.com/office/excel/2006/main">
          <x14:cfRule type="expression" priority="15" id="{F3FDF775-1F09-4823-9D6E-8DDD6485BD93}">
            <xm:f>'CFG Setting'!$B$162&gt;1</xm:f>
            <x14:dxf>
              <font>
                <color theme="0"/>
              </font>
              <fill>
                <patternFill patternType="solid">
                  <bgColor theme="0"/>
                </patternFill>
              </fill>
            </x14:dxf>
          </x14:cfRule>
          <xm:sqref>D78:F79</xm:sqref>
        </x14:conditionalFormatting>
        <x14:conditionalFormatting xmlns:xm="http://schemas.microsoft.com/office/excel/2006/main">
          <x14:cfRule type="cellIs" priority="13" operator="greaterThan" id="{FD155E1F-BA31-4C44-B399-60EEA3297EBD}">
            <xm:f>'Variable Management'!$O$65*1000000</xm:f>
            <x14:dxf>
              <font>
                <b/>
                <i val="0"/>
              </font>
              <fill>
                <patternFill>
                  <bgColor rgb="FFFF0000"/>
                </patternFill>
              </fill>
            </x14:dxf>
          </x14:cfRule>
          <x14:cfRule type="cellIs" priority="14" operator="lessThan" id="{E9BE8BE6-87AF-4140-AE43-C7F34E78C460}">
            <xm:f>'Variable Management'!$O$64*1000000</xm:f>
            <x14:dxf>
              <font>
                <b/>
                <i val="0"/>
              </font>
              <fill>
                <patternFill>
                  <bgColor rgb="FFFF0000"/>
                </patternFill>
              </fill>
            </x14:dxf>
          </x14:cfRule>
          <xm:sqref>E17</xm:sqref>
        </x14:conditionalFormatting>
        <x14:conditionalFormatting xmlns:xm="http://schemas.microsoft.com/office/excel/2006/main">
          <x14:cfRule type="expression" priority="12" id="{37A1F99F-C700-40BD-9153-F2F8E3FDAB11}">
            <xm:f>'Variable Management'!$L$10=1</xm:f>
            <x14:dxf>
              <font>
                <color theme="0"/>
              </font>
              <fill>
                <patternFill patternType="none">
                  <bgColor auto="1"/>
                </patternFill>
              </fill>
              <border>
                <left/>
                <right style="thin">
                  <color theme="0"/>
                </right>
                <top style="thin">
                  <color theme="0"/>
                </top>
                <bottom style="thin">
                  <color theme="0"/>
                </bottom>
              </border>
            </x14:dxf>
          </x14:cfRule>
          <xm:sqref>M96:O96</xm:sqref>
        </x14:conditionalFormatting>
        <x14:conditionalFormatting xmlns:xm="http://schemas.microsoft.com/office/excel/2006/main">
          <x14:cfRule type="expression" priority="7" id="{77E40254-9067-45DC-9E4E-03702E87EFB7}">
            <xm:f>'Variable Management'!$B$247&lt;3</xm:f>
            <x14:dxf>
              <font>
                <color theme="0"/>
              </font>
              <fill>
                <patternFill>
                  <bgColor theme="0"/>
                </patternFill>
              </fill>
              <border>
                <left/>
                <right/>
                <top/>
                <bottom/>
              </border>
            </x14:dxf>
          </x14:cfRule>
          <xm:sqref>J88:O92</xm:sqref>
        </x14:conditionalFormatting>
        <x14:conditionalFormatting xmlns:xm="http://schemas.microsoft.com/office/excel/2006/main">
          <x14:cfRule type="expression" priority="6" id="{2136BD3D-32E9-4845-B611-DDB32C047CE9}">
            <xm:f>'Variable Management'!$B$247=0</xm:f>
            <x14:dxf>
              <font>
                <color theme="0"/>
              </font>
            </x14:dxf>
          </x14:cfRule>
          <xm:sqref>N59:O59</xm:sqref>
        </x14:conditionalFormatting>
        <x14:conditionalFormatting xmlns:xm="http://schemas.microsoft.com/office/excel/2006/main">
          <x14:cfRule type="expression" priority="5" id="{49187E97-3CB7-4089-966C-C2B48140AA9C}">
            <xm:f>OR('Variable Management'!$B$247&lt;1, 'Variable Management'!$B$247&gt;2)</xm:f>
            <x14:dxf>
              <font>
                <strike/>
                <color theme="0"/>
              </font>
              <fill>
                <patternFill>
                  <bgColor theme="0"/>
                </patternFill>
              </fill>
            </x14:dxf>
          </x14:cfRule>
          <xm:sqref>P59</xm:sqref>
        </x14:conditionalFormatting>
        <x14:conditionalFormatting xmlns:xm="http://schemas.microsoft.com/office/excel/2006/main">
          <x14:cfRule type="cellIs" priority="4" stopIfTrue="1" operator="notBetween" id="{18E3A449-CDEE-48CF-9550-BFD4B51DD5B1}">
            <xm:f>DeviceParameter!$B$8</xm:f>
            <xm:f>DeviceParameter!$B$7</xm:f>
            <x14:dxf>
              <font>
                <b/>
                <i val="0"/>
                <condense val="0"/>
                <extend val="0"/>
                <color indexed="10"/>
              </font>
            </x14:dxf>
          </x14:cfRule>
          <xm:sqref>E6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C887B-35BF-4FDD-BB4C-9B32B13D18D7}">
  <sheetPr codeName="Sheet21"/>
  <dimension ref="A6:F25"/>
  <sheetViews>
    <sheetView workbookViewId="0">
      <selection activeCell="F14" sqref="F14"/>
    </sheetView>
  </sheetViews>
  <sheetFormatPr defaultRowHeight="12.75" x14ac:dyDescent="0.2"/>
  <cols>
    <col min="1" max="16384" width="9.140625" style="781"/>
  </cols>
  <sheetData>
    <row r="6" spans="1:6" ht="19.5" thickBot="1" x14ac:dyDescent="0.25">
      <c r="A6" s="800" t="s">
        <v>1278</v>
      </c>
      <c r="D6" s="813"/>
    </row>
    <row r="7" spans="1:6" ht="14.25" x14ac:dyDescent="0.2">
      <c r="A7" s="814"/>
      <c r="B7" s="785"/>
      <c r="C7" s="815"/>
      <c r="D7" s="816" t="s">
        <v>1277</v>
      </c>
      <c r="E7" s="821">
        <v>4.32</v>
      </c>
      <c r="F7" s="817" t="s">
        <v>54</v>
      </c>
    </row>
    <row r="8" spans="1:6" ht="15" thickBot="1" x14ac:dyDescent="0.25">
      <c r="A8" s="809"/>
      <c r="B8" s="810"/>
      <c r="C8" s="811"/>
      <c r="D8" s="818" t="s">
        <v>894</v>
      </c>
      <c r="E8" s="811">
        <f>(Vout-Vref)/(Vref/E7)</f>
        <v>58.752000000000002</v>
      </c>
      <c r="F8" s="812" t="s">
        <v>54</v>
      </c>
    </row>
    <row r="19" spans="1:6" ht="19.5" thickBot="1" x14ac:dyDescent="0.35">
      <c r="A19" s="800" t="s">
        <v>1279</v>
      </c>
      <c r="B19" s="801"/>
      <c r="C19" s="802"/>
      <c r="D19" s="802"/>
      <c r="E19" s="803"/>
      <c r="F19" s="802"/>
    </row>
    <row r="20" spans="1:6" x14ac:dyDescent="0.2">
      <c r="A20" s="804"/>
      <c r="B20" s="805"/>
      <c r="C20" s="806"/>
      <c r="D20" s="807" t="str">
        <f>Timings!E2</f>
        <v>Buck -&gt; BuBo</v>
      </c>
      <c r="E20" s="822">
        <f>Timings!F2</f>
        <v>16.696809135219741</v>
      </c>
      <c r="F20" s="823" t="s">
        <v>0</v>
      </c>
    </row>
    <row r="21" spans="1:6" x14ac:dyDescent="0.2">
      <c r="A21" s="780"/>
      <c r="C21" s="571"/>
      <c r="D21" s="808" t="str">
        <f>Timings!E3</f>
        <v>BuBo -&gt; Buck</v>
      </c>
      <c r="E21" s="824">
        <f>Timings!F3</f>
        <v>19.92819751994363</v>
      </c>
      <c r="F21" s="825" t="s">
        <v>0</v>
      </c>
    </row>
    <row r="22" spans="1:6" x14ac:dyDescent="0.2">
      <c r="A22" s="780"/>
      <c r="C22" s="571"/>
      <c r="D22" s="808" t="str">
        <f>Timings!E4</f>
        <v>Boost -&gt; BuBo</v>
      </c>
      <c r="E22" s="824">
        <f>Timings!F4</f>
        <v>12.766511150347091</v>
      </c>
      <c r="F22" s="826" t="s">
        <v>0</v>
      </c>
    </row>
    <row r="23" spans="1:6" x14ac:dyDescent="0.2">
      <c r="A23" s="780"/>
      <c r="C23" s="571"/>
      <c r="D23" s="808" t="str">
        <f>Timings!E5</f>
        <v>BuBo -&gt; Boost</v>
      </c>
      <c r="E23" s="824">
        <f>Timings!F5</f>
        <v>10.696401407436619</v>
      </c>
      <c r="F23" s="826" t="s">
        <v>0</v>
      </c>
    </row>
    <row r="24" spans="1:6" ht="13.5" thickBot="1" x14ac:dyDescent="0.25">
      <c r="A24" s="809"/>
      <c r="B24" s="810"/>
      <c r="C24" s="811"/>
      <c r="D24" s="811"/>
      <c r="E24" s="811"/>
      <c r="F24" s="812"/>
    </row>
    <row r="25" spans="1:6" x14ac:dyDescent="0.2">
      <c r="A25" s="780"/>
      <c r="C25" s="571"/>
      <c r="D25" s="808"/>
      <c r="E25" s="819"/>
      <c r="F25" s="820"/>
    </row>
  </sheetData>
  <conditionalFormatting sqref="E23">
    <cfRule type="cellIs" dxfId="141" priority="6" stopIfTrue="1" operator="notBetween">
      <formula>3.3</formula>
      <formula>78</formula>
    </cfRule>
  </conditionalFormatting>
  <conditionalFormatting sqref="E21">
    <cfRule type="cellIs" dxfId="140" priority="5" operator="notBetween">
      <formula>$E$6</formula>
      <formula>$E$8</formula>
    </cfRule>
  </conditionalFormatting>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7" stopIfTrue="1" operator="notBetween" id="{8BA63DAC-915B-4D33-ABA7-8B4E712A9E0A}">
            <xm:f>DeviceParameter!$B$8</xm:f>
            <xm:f>DeviceParameter!$B$7</xm:f>
            <x14:dxf>
              <font>
                <b/>
                <i val="0"/>
                <condense val="0"/>
                <extend val="0"/>
                <color indexed="10"/>
              </font>
            </x14:dxf>
          </x14:cfRule>
          <xm:sqref>E20 E22</xm:sqref>
        </x14:conditionalFormatting>
        <x14:conditionalFormatting xmlns:xm="http://schemas.microsoft.com/office/excel/2006/main">
          <x14:cfRule type="cellIs" priority="8" stopIfTrue="1" operator="notBetween" id="{C3C6AE85-A2B3-4F2E-A9A6-8E48CB6ACCE4}">
            <xm:f>100</xm:f>
            <xm:f>DeviceParameter!$B$9</xm:f>
            <x14:dxf>
              <font>
                <b/>
                <i val="0"/>
                <condense val="0"/>
                <extend val="0"/>
                <color indexed="10"/>
              </font>
            </x14:dxf>
          </x14:cfRule>
          <xm:sqref>E25</xm:sqref>
        </x14:conditionalFormatting>
        <x14:conditionalFormatting xmlns:xm="http://schemas.microsoft.com/office/excel/2006/main">
          <x14:cfRule type="cellIs" priority="4" operator="greaterThanOrEqual" id="{56370B07-19DC-43C5-A151-C0DCC1545EB0}">
            <xm:f>'Variable Management'!$B$384/1000</xm:f>
            <x14:dxf>
              <font>
                <b/>
                <i val="0"/>
              </font>
              <fill>
                <patternFill>
                  <bgColor rgb="FFFF0000"/>
                </patternFill>
              </fill>
            </x14:dxf>
          </x14:cfRule>
          <xm:sqref>E8</xm:sqref>
        </x14:conditionalFormatting>
        <x14:conditionalFormatting xmlns:xm="http://schemas.microsoft.com/office/excel/2006/main">
          <x14:cfRule type="expression" priority="3" id="{A48BE0A6-D4D6-4A1A-81BD-3D9A862EF38F}">
            <xm:f>'CFG Setting'!$B$162&gt;1</xm:f>
            <x14:dxf>
              <font>
                <color theme="0"/>
              </font>
              <fill>
                <patternFill patternType="solid">
                  <bgColor theme="0"/>
                </patternFill>
              </fill>
            </x14:dxf>
          </x14:cfRule>
          <xm:sqref>E7:F8</xm:sqref>
        </x14:conditionalFormatting>
        <x14:conditionalFormatting xmlns:xm="http://schemas.microsoft.com/office/excel/2006/main">
          <x14:cfRule type="expression" priority="2" id="{73CDA68F-66A0-4DBB-A453-B573A47E208D}">
            <xm:f>'CFG Setting'!$B$162&gt;1</xm:f>
            <x14:dxf>
              <font>
                <color theme="0"/>
              </font>
              <fill>
                <patternFill patternType="solid">
                  <bgColor theme="0"/>
                </patternFill>
              </fill>
            </x14:dxf>
          </x14:cfRule>
          <xm:sqref>D6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92981-BA50-42C6-992B-8EA3E85B601A}">
  <sheetPr codeName="Sheet11"/>
  <dimension ref="A1:AM72"/>
  <sheetViews>
    <sheetView showGridLines="0" showRowColHeaders="0" zoomScaleNormal="100" workbookViewId="0">
      <selection activeCell="B6" sqref="B6"/>
    </sheetView>
  </sheetViews>
  <sheetFormatPr defaultColWidth="9.140625" defaultRowHeight="14.25" x14ac:dyDescent="0.2"/>
  <cols>
    <col min="1" max="1" width="25.7109375" style="585" bestFit="1" customWidth="1"/>
    <col min="2" max="2" width="56.5703125" style="586" customWidth="1"/>
    <col min="3" max="11" width="9.140625" style="579"/>
    <col min="12" max="12" width="20.42578125" style="579" customWidth="1"/>
    <col min="13" max="16384" width="9.140625" style="579"/>
  </cols>
  <sheetData>
    <row r="1" spans="1:12" x14ac:dyDescent="0.2">
      <c r="A1" s="840"/>
      <c r="B1" s="840"/>
      <c r="C1" s="840"/>
      <c r="D1" s="840"/>
      <c r="E1" s="840"/>
      <c r="F1" s="840"/>
      <c r="G1" s="840"/>
      <c r="H1" s="840"/>
      <c r="I1" s="840"/>
      <c r="J1" s="840"/>
      <c r="K1" s="840"/>
      <c r="L1" s="840"/>
    </row>
    <row r="2" spans="1:12" x14ac:dyDescent="0.2">
      <c r="A2" s="840"/>
      <c r="B2" s="840"/>
      <c r="C2" s="840"/>
      <c r="D2" s="840"/>
      <c r="E2" s="840"/>
      <c r="F2" s="840"/>
      <c r="G2" s="840"/>
      <c r="H2" s="840"/>
      <c r="I2" s="840"/>
      <c r="J2" s="840"/>
      <c r="K2" s="840"/>
      <c r="L2" s="840"/>
    </row>
    <row r="3" spans="1:12" x14ac:dyDescent="0.2">
      <c r="A3" s="840"/>
      <c r="B3" s="840"/>
      <c r="C3" s="840"/>
      <c r="D3" s="840"/>
      <c r="E3" s="840"/>
      <c r="F3" s="840"/>
      <c r="G3" s="840"/>
      <c r="H3" s="840"/>
      <c r="I3" s="840"/>
      <c r="J3" s="840"/>
      <c r="K3" s="840"/>
      <c r="L3" s="840"/>
    </row>
    <row r="4" spans="1:12" ht="12.75" customHeight="1" x14ac:dyDescent="0.2">
      <c r="A4" s="841"/>
      <c r="B4" s="841"/>
      <c r="C4" s="841"/>
      <c r="D4" s="841"/>
      <c r="E4" s="841"/>
      <c r="F4" s="841"/>
      <c r="G4" s="841"/>
      <c r="H4" s="841"/>
      <c r="I4" s="841"/>
      <c r="J4" s="841"/>
      <c r="K4" s="841"/>
      <c r="L4" s="841"/>
    </row>
    <row r="5" spans="1:12" x14ac:dyDescent="0.2">
      <c r="A5" s="580" t="s">
        <v>889</v>
      </c>
      <c r="B5" s="799" t="s">
        <v>1285</v>
      </c>
      <c r="C5" s="582"/>
      <c r="D5" s="582"/>
      <c r="E5" s="582"/>
      <c r="F5" s="582"/>
      <c r="G5" s="582"/>
      <c r="H5" s="582"/>
      <c r="I5" s="582"/>
      <c r="J5" s="582"/>
      <c r="K5" s="583"/>
      <c r="L5" s="584"/>
    </row>
    <row r="6" spans="1:12" x14ac:dyDescent="0.2">
      <c r="A6" s="580"/>
      <c r="B6" s="581"/>
      <c r="C6" s="582"/>
      <c r="D6" s="582"/>
      <c r="E6" s="582"/>
      <c r="F6" s="582"/>
      <c r="G6" s="582"/>
      <c r="H6" s="582"/>
      <c r="I6" s="582"/>
      <c r="J6" s="584"/>
      <c r="K6" s="584"/>
      <c r="L6" s="584"/>
    </row>
    <row r="35" spans="1:39" x14ac:dyDescent="0.2">
      <c r="A35" s="587" t="s">
        <v>890</v>
      </c>
      <c r="B35" s="588"/>
      <c r="C35" s="582"/>
      <c r="D35" s="582"/>
      <c r="E35" s="582"/>
      <c r="F35" s="582"/>
      <c r="G35" s="582"/>
      <c r="H35" s="582"/>
      <c r="I35" s="582"/>
      <c r="J35" s="582"/>
      <c r="K35" s="582"/>
    </row>
    <row r="36" spans="1:39" x14ac:dyDescent="0.2">
      <c r="A36" s="589" t="s">
        <v>891</v>
      </c>
      <c r="B36" s="842" t="s">
        <v>892</v>
      </c>
      <c r="C36" s="842"/>
      <c r="D36" s="842"/>
      <c r="E36" s="842"/>
      <c r="F36" s="842"/>
      <c r="G36" s="842"/>
      <c r="H36" s="842"/>
      <c r="I36" s="842"/>
      <c r="J36" s="842"/>
      <c r="K36" s="842"/>
    </row>
    <row r="37" spans="1:39" x14ac:dyDescent="0.2">
      <c r="A37" s="677" t="s">
        <v>906</v>
      </c>
      <c r="B37" s="843" t="s">
        <v>893</v>
      </c>
      <c r="C37" s="843"/>
      <c r="D37" s="843"/>
      <c r="E37" s="843"/>
      <c r="F37" s="843"/>
      <c r="G37" s="843"/>
      <c r="H37" s="843"/>
      <c r="I37" s="843"/>
      <c r="J37" s="843"/>
      <c r="K37" s="843"/>
    </row>
    <row r="38" spans="1:39" ht="14.25" customHeight="1" x14ac:dyDescent="0.2">
      <c r="A38" s="677" t="s">
        <v>1008</v>
      </c>
      <c r="B38" s="839" t="s">
        <v>1040</v>
      </c>
      <c r="C38" s="839"/>
      <c r="D38" s="839"/>
      <c r="E38" s="839"/>
      <c r="F38" s="839"/>
      <c r="G38" s="839"/>
      <c r="H38" s="839"/>
      <c r="I38" s="839"/>
      <c r="J38" s="839"/>
      <c r="K38" s="839"/>
    </row>
    <row r="39" spans="1:39" ht="14.25" customHeight="1" x14ac:dyDescent="0.2">
      <c r="A39" s="677" t="s">
        <v>1087</v>
      </c>
      <c r="B39" s="839" t="s">
        <v>1041</v>
      </c>
      <c r="C39" s="839"/>
      <c r="D39" s="839"/>
      <c r="E39" s="839"/>
      <c r="F39" s="839"/>
      <c r="G39" s="839"/>
      <c r="H39" s="839"/>
      <c r="I39" s="839"/>
      <c r="J39" s="839"/>
      <c r="K39" s="839"/>
    </row>
    <row r="40" spans="1:39" ht="14.25" customHeight="1" x14ac:dyDescent="0.2">
      <c r="A40" s="677"/>
      <c r="B40" s="839" t="s">
        <v>1042</v>
      </c>
      <c r="C40" s="839"/>
      <c r="D40" s="839"/>
      <c r="E40" s="839"/>
      <c r="F40" s="839"/>
      <c r="G40" s="839"/>
      <c r="H40" s="839"/>
      <c r="I40" s="839"/>
      <c r="J40" s="839"/>
      <c r="K40" s="839"/>
    </row>
    <row r="41" spans="1:39" ht="14.25" customHeight="1" x14ac:dyDescent="0.2">
      <c r="A41" s="677"/>
      <c r="B41" s="839" t="s">
        <v>1065</v>
      </c>
      <c r="C41" s="839"/>
      <c r="D41" s="839"/>
      <c r="E41" s="839"/>
      <c r="F41" s="839"/>
      <c r="G41" s="839"/>
      <c r="H41" s="839"/>
      <c r="I41" s="839"/>
      <c r="J41" s="839"/>
      <c r="K41" s="839"/>
    </row>
    <row r="42" spans="1:39" x14ac:dyDescent="0.2">
      <c r="A42" s="677"/>
      <c r="B42" s="839" t="s">
        <v>1081</v>
      </c>
      <c r="C42" s="839"/>
      <c r="D42" s="839"/>
      <c r="E42" s="839"/>
      <c r="F42" s="839"/>
      <c r="G42" s="839"/>
      <c r="H42" s="839"/>
      <c r="I42" s="839"/>
      <c r="J42" s="839"/>
      <c r="K42" s="839"/>
    </row>
    <row r="43" spans="1:39" x14ac:dyDescent="0.2">
      <c r="A43" s="677"/>
      <c r="B43" s="839" t="s">
        <v>1089</v>
      </c>
      <c r="C43" s="839"/>
      <c r="D43" s="839"/>
      <c r="E43" s="839"/>
      <c r="F43" s="839"/>
      <c r="G43" s="839"/>
      <c r="H43" s="839"/>
      <c r="I43" s="839"/>
      <c r="J43" s="839"/>
      <c r="K43" s="839"/>
    </row>
    <row r="44" spans="1:39" ht="15" x14ac:dyDescent="0.2">
      <c r="A44" s="677" t="s">
        <v>1088</v>
      </c>
      <c r="B44" s="839" t="s">
        <v>1095</v>
      </c>
      <c r="C44" s="839"/>
      <c r="D44" s="839"/>
      <c r="E44" s="839"/>
      <c r="F44" s="839"/>
      <c r="G44" s="839"/>
      <c r="H44" s="839"/>
      <c r="I44" s="839"/>
      <c r="J44" s="839"/>
      <c r="K44" s="839"/>
      <c r="L44" s="590"/>
      <c r="M44" s="590"/>
      <c r="N44" s="590"/>
      <c r="O44" s="590"/>
      <c r="P44" s="590"/>
      <c r="Q44" s="590"/>
      <c r="R44" s="590"/>
      <c r="S44" s="590"/>
      <c r="T44" s="590"/>
      <c r="U44" s="590"/>
      <c r="V44" s="590"/>
      <c r="W44" s="590"/>
      <c r="X44" s="590"/>
      <c r="Y44" s="590"/>
      <c r="Z44" s="590"/>
      <c r="AA44" s="590"/>
      <c r="AB44" s="590"/>
      <c r="AC44" s="590"/>
      <c r="AD44" s="590"/>
      <c r="AE44" s="590"/>
      <c r="AF44" s="590"/>
      <c r="AG44" s="590"/>
      <c r="AH44" s="590"/>
      <c r="AI44" s="590"/>
      <c r="AJ44" s="590"/>
      <c r="AK44" s="590"/>
      <c r="AL44" s="590"/>
      <c r="AM44" s="590"/>
    </row>
    <row r="45" spans="1:39" x14ac:dyDescent="0.2">
      <c r="A45" s="677"/>
      <c r="B45" s="839" t="s">
        <v>1101</v>
      </c>
      <c r="C45" s="839"/>
      <c r="D45" s="839"/>
      <c r="E45" s="839"/>
      <c r="F45" s="839"/>
      <c r="G45" s="839"/>
      <c r="H45" s="839"/>
      <c r="I45" s="839"/>
      <c r="J45" s="839"/>
      <c r="K45" s="839"/>
    </row>
    <row r="46" spans="1:39" x14ac:dyDescent="0.2">
      <c r="A46" s="677" t="s">
        <v>1096</v>
      </c>
      <c r="B46" s="839" t="s">
        <v>1100</v>
      </c>
      <c r="C46" s="839"/>
      <c r="D46" s="839"/>
      <c r="E46" s="839"/>
      <c r="F46" s="839"/>
      <c r="G46" s="839"/>
      <c r="H46" s="839"/>
      <c r="I46" s="839"/>
      <c r="J46" s="839"/>
      <c r="K46" s="839"/>
    </row>
    <row r="47" spans="1:39" x14ac:dyDescent="0.2">
      <c r="A47" s="677"/>
      <c r="B47" s="839" t="s">
        <v>1102</v>
      </c>
      <c r="C47" s="839"/>
      <c r="D47" s="839"/>
      <c r="E47" s="839"/>
      <c r="F47" s="839"/>
      <c r="G47" s="839"/>
      <c r="H47" s="839"/>
      <c r="I47" s="839"/>
      <c r="J47" s="839"/>
      <c r="K47" s="839"/>
    </row>
    <row r="48" spans="1:39" x14ac:dyDescent="0.2">
      <c r="A48" s="680"/>
      <c r="B48" s="839" t="s">
        <v>1108</v>
      </c>
      <c r="C48" s="839"/>
      <c r="D48" s="839"/>
      <c r="E48" s="839"/>
      <c r="F48" s="839"/>
      <c r="G48" s="839"/>
      <c r="H48" s="839"/>
      <c r="I48" s="839"/>
      <c r="J48" s="839"/>
      <c r="K48" s="839"/>
    </row>
    <row r="49" spans="1:11" ht="14.25" customHeight="1" x14ac:dyDescent="0.2">
      <c r="A49" s="677"/>
      <c r="B49" s="582" t="s">
        <v>1262</v>
      </c>
      <c r="C49" s="582"/>
      <c r="D49" s="582"/>
      <c r="E49" s="582"/>
      <c r="F49" s="582"/>
      <c r="G49" s="582"/>
      <c r="H49" s="582"/>
      <c r="I49" s="582"/>
      <c r="J49" s="582"/>
      <c r="K49" s="582"/>
    </row>
    <row r="50" spans="1:11" x14ac:dyDescent="0.2">
      <c r="A50" s="680"/>
      <c r="B50" s="582" t="s">
        <v>1109</v>
      </c>
      <c r="C50" s="582"/>
      <c r="D50" s="582"/>
      <c r="E50" s="582"/>
      <c r="F50" s="582"/>
      <c r="G50" s="582"/>
      <c r="H50" s="582"/>
      <c r="I50" s="582"/>
      <c r="J50" s="582"/>
      <c r="K50" s="582"/>
    </row>
    <row r="51" spans="1:11" x14ac:dyDescent="0.2">
      <c r="A51" s="680"/>
      <c r="B51" s="582" t="s">
        <v>1264</v>
      </c>
      <c r="C51" s="582"/>
      <c r="D51" s="582"/>
      <c r="E51" s="582"/>
      <c r="F51" s="582"/>
      <c r="G51" s="582"/>
      <c r="H51" s="582"/>
      <c r="I51" s="582"/>
      <c r="J51" s="582"/>
      <c r="K51" s="582"/>
    </row>
    <row r="52" spans="1:11" x14ac:dyDescent="0.2">
      <c r="A52" s="680"/>
      <c r="B52" s="582" t="s">
        <v>1190</v>
      </c>
      <c r="C52" s="582"/>
      <c r="D52" s="582"/>
      <c r="E52" s="582"/>
      <c r="F52" s="582"/>
      <c r="G52" s="582"/>
      <c r="H52" s="582"/>
      <c r="I52" s="582"/>
      <c r="J52" s="582"/>
      <c r="K52" s="582"/>
    </row>
    <row r="53" spans="1:11" x14ac:dyDescent="0.2">
      <c r="A53" s="680"/>
      <c r="B53" s="582" t="s">
        <v>1191</v>
      </c>
      <c r="C53" s="582"/>
      <c r="D53" s="582"/>
      <c r="E53" s="582"/>
      <c r="F53" s="582"/>
      <c r="G53" s="582"/>
      <c r="H53" s="582"/>
      <c r="I53" s="582"/>
      <c r="J53" s="582"/>
      <c r="K53" s="582"/>
    </row>
    <row r="54" spans="1:11" x14ac:dyDescent="0.2">
      <c r="A54" s="680"/>
      <c r="B54" s="582" t="s">
        <v>1251</v>
      </c>
      <c r="C54" s="582"/>
      <c r="D54" s="582"/>
      <c r="E54" s="582"/>
      <c r="F54" s="582"/>
      <c r="G54" s="582"/>
      <c r="H54" s="582"/>
      <c r="I54" s="582"/>
      <c r="J54" s="582"/>
      <c r="K54" s="582"/>
    </row>
    <row r="55" spans="1:11" x14ac:dyDescent="0.2">
      <c r="A55" s="677" t="s">
        <v>1263</v>
      </c>
      <c r="B55" s="582" t="s">
        <v>1265</v>
      </c>
      <c r="C55" s="582"/>
      <c r="D55" s="582"/>
      <c r="E55" s="582"/>
      <c r="F55" s="582"/>
      <c r="G55" s="582"/>
      <c r="H55" s="582"/>
      <c r="I55" s="582"/>
      <c r="J55" s="582"/>
      <c r="K55" s="582"/>
    </row>
    <row r="56" spans="1:11" x14ac:dyDescent="0.2">
      <c r="A56" s="680"/>
      <c r="B56" s="582" t="s">
        <v>1267</v>
      </c>
      <c r="C56" s="582"/>
      <c r="D56" s="582"/>
      <c r="E56" s="582"/>
      <c r="F56" s="582"/>
      <c r="G56" s="582"/>
      <c r="H56" s="582"/>
      <c r="I56" s="582"/>
      <c r="J56" s="582"/>
      <c r="K56" s="582"/>
    </row>
    <row r="57" spans="1:11" x14ac:dyDescent="0.2">
      <c r="A57" s="680"/>
      <c r="B57" s="582" t="s">
        <v>1276</v>
      </c>
      <c r="C57" s="582"/>
      <c r="D57" s="582"/>
      <c r="E57" s="582"/>
      <c r="F57" s="582"/>
      <c r="G57" s="582"/>
      <c r="H57" s="582"/>
      <c r="I57" s="582"/>
      <c r="J57" s="582"/>
      <c r="K57" s="582"/>
    </row>
    <row r="58" spans="1:11" x14ac:dyDescent="0.2">
      <c r="A58" s="680"/>
      <c r="B58" s="689" t="s">
        <v>1273</v>
      </c>
      <c r="C58" s="689"/>
      <c r="D58" s="689"/>
      <c r="E58" s="689"/>
      <c r="F58" s="689"/>
      <c r="G58" s="689"/>
      <c r="H58" s="689"/>
      <c r="I58" s="689"/>
      <c r="J58" s="689"/>
      <c r="K58" s="689"/>
    </row>
    <row r="59" spans="1:11" x14ac:dyDescent="0.2">
      <c r="A59" s="677" t="s">
        <v>1285</v>
      </c>
      <c r="B59" s="689" t="s">
        <v>1283</v>
      </c>
    </row>
    <row r="60" spans="1:11" x14ac:dyDescent="0.2">
      <c r="A60" s="680"/>
      <c r="B60" s="689" t="s">
        <v>1284</v>
      </c>
    </row>
    <row r="61" spans="1:11" x14ac:dyDescent="0.2">
      <c r="A61" s="680"/>
      <c r="B61" s="689"/>
    </row>
    <row r="62" spans="1:11" x14ac:dyDescent="0.2">
      <c r="A62" s="680"/>
      <c r="B62" s="689"/>
    </row>
    <row r="63" spans="1:11" x14ac:dyDescent="0.2">
      <c r="A63" s="680"/>
      <c r="B63" s="689"/>
    </row>
    <row r="64" spans="1:11" x14ac:dyDescent="0.2">
      <c r="A64" s="680"/>
      <c r="B64" s="689"/>
    </row>
    <row r="65" spans="1:2" x14ac:dyDescent="0.2">
      <c r="A65" s="680"/>
      <c r="B65" s="689"/>
    </row>
    <row r="66" spans="1:2" x14ac:dyDescent="0.2">
      <c r="A66" s="680"/>
      <c r="B66" s="689"/>
    </row>
    <row r="67" spans="1:2" x14ac:dyDescent="0.2">
      <c r="A67" s="680"/>
      <c r="B67" s="689"/>
    </row>
    <row r="68" spans="1:2" x14ac:dyDescent="0.2">
      <c r="A68" s="680"/>
      <c r="B68" s="689"/>
    </row>
    <row r="69" spans="1:2" x14ac:dyDescent="0.2">
      <c r="A69" s="680"/>
      <c r="B69" s="689"/>
    </row>
    <row r="70" spans="1:2" x14ac:dyDescent="0.2">
      <c r="A70" s="680"/>
    </row>
    <row r="71" spans="1:2" x14ac:dyDescent="0.2">
      <c r="A71" s="680"/>
    </row>
    <row r="72" spans="1:2" x14ac:dyDescent="0.2">
      <c r="A72" s="680"/>
    </row>
  </sheetData>
  <sheetProtection algorithmName="SHA-512" hashValue="/Pmpl+TaBE6zZNwn1qv5XP24k9ho6PUUNP5MoAi/W/z4JZS7qBmKx1r1X/O9fzZgDcgn2wZYgWhZe05tNw+ENA==" saltValue="QM6eVukCD2XMp1M5YM/L+g==" spinCount="100000" sheet="1" objects="1" scenarios="1" selectLockedCells="1" selectUnlockedCells="1"/>
  <mergeCells count="15">
    <mergeCell ref="B48:K48"/>
    <mergeCell ref="B40:K40"/>
    <mergeCell ref="A1:L3"/>
    <mergeCell ref="A4:L4"/>
    <mergeCell ref="B36:K36"/>
    <mergeCell ref="B37:K37"/>
    <mergeCell ref="B38:K38"/>
    <mergeCell ref="B39:K39"/>
    <mergeCell ref="B46:K46"/>
    <mergeCell ref="B47:K47"/>
    <mergeCell ref="B41:K41"/>
    <mergeCell ref="B42:K42"/>
    <mergeCell ref="B43:K43"/>
    <mergeCell ref="B44:K44"/>
    <mergeCell ref="B45:K45"/>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sheetPr>
  <dimension ref="A1:M81"/>
  <sheetViews>
    <sheetView topLeftCell="A49" zoomScale="85" zoomScaleNormal="85" workbookViewId="0">
      <selection activeCell="C52" sqref="C52"/>
    </sheetView>
  </sheetViews>
  <sheetFormatPr defaultRowHeight="12.75" x14ac:dyDescent="0.2"/>
  <cols>
    <col min="1" max="1" width="9.5703125" style="214" customWidth="1"/>
    <col min="2" max="2" width="20.28515625" style="214" customWidth="1"/>
    <col min="3" max="3" width="16.140625" style="214" customWidth="1"/>
    <col min="4" max="4" width="24.85546875" style="214" customWidth="1"/>
    <col min="5" max="5" width="17.28515625" style="214" customWidth="1"/>
    <col min="6" max="6" width="20.5703125" style="214" bestFit="1" customWidth="1"/>
    <col min="7" max="7" width="9.7109375" style="214" customWidth="1"/>
    <col min="8" max="8" width="16.140625" style="214" customWidth="1"/>
    <col min="9" max="9" width="15.5703125" style="214" bestFit="1" customWidth="1"/>
    <col min="10" max="10" width="18.42578125" style="214" customWidth="1"/>
    <col min="11" max="11" width="26.42578125" style="214" customWidth="1"/>
    <col min="12" max="12" width="9.140625" style="214"/>
    <col min="13" max="13" width="9.140625" style="215"/>
    <col min="14" max="256" width="9.140625" style="214"/>
    <col min="257" max="257" width="8.7109375" style="214" bestFit="1" customWidth="1"/>
    <col min="258" max="258" width="13.28515625" style="214" customWidth="1"/>
    <col min="259" max="259" width="16.140625" style="214" bestFit="1" customWidth="1"/>
    <col min="260" max="260" width="23.5703125" style="214" customWidth="1"/>
    <col min="261" max="261" width="17.28515625" style="214" customWidth="1"/>
    <col min="262" max="262" width="20.5703125" style="214" bestFit="1" customWidth="1"/>
    <col min="263" max="263" width="17.140625" style="214" customWidth="1"/>
    <col min="264" max="264" width="21.85546875" style="214" bestFit="1" customWidth="1"/>
    <col min="265" max="265" width="17.140625" style="214" bestFit="1" customWidth="1"/>
    <col min="266" max="266" width="18.140625" style="214" bestFit="1" customWidth="1"/>
    <col min="267" max="267" width="26.42578125" style="214" customWidth="1"/>
    <col min="268" max="512" width="9.140625" style="214"/>
    <col min="513" max="513" width="8.7109375" style="214" bestFit="1" customWidth="1"/>
    <col min="514" max="514" width="13.28515625" style="214" customWidth="1"/>
    <col min="515" max="515" width="16.140625" style="214" bestFit="1" customWidth="1"/>
    <col min="516" max="516" width="23.5703125" style="214" customWidth="1"/>
    <col min="517" max="517" width="17.28515625" style="214" customWidth="1"/>
    <col min="518" max="518" width="20.5703125" style="214" bestFit="1" customWidth="1"/>
    <col min="519" max="519" width="17.140625" style="214" customWidth="1"/>
    <col min="520" max="520" width="21.85546875" style="214" bestFit="1" customWidth="1"/>
    <col min="521" max="521" width="17.140625" style="214" bestFit="1" customWidth="1"/>
    <col min="522" max="522" width="18.140625" style="214" bestFit="1" customWidth="1"/>
    <col min="523" max="523" width="26.42578125" style="214" customWidth="1"/>
    <col min="524" max="768" width="9.140625" style="214"/>
    <col min="769" max="769" width="8.7109375" style="214" bestFit="1" customWidth="1"/>
    <col min="770" max="770" width="13.28515625" style="214" customWidth="1"/>
    <col min="771" max="771" width="16.140625" style="214" bestFit="1" customWidth="1"/>
    <col min="772" max="772" width="23.5703125" style="214" customWidth="1"/>
    <col min="773" max="773" width="17.28515625" style="214" customWidth="1"/>
    <col min="774" max="774" width="20.5703125" style="214" bestFit="1" customWidth="1"/>
    <col min="775" max="775" width="17.140625" style="214" customWidth="1"/>
    <col min="776" max="776" width="21.85546875" style="214" bestFit="1" customWidth="1"/>
    <col min="777" max="777" width="17.140625" style="214" bestFit="1" customWidth="1"/>
    <col min="778" max="778" width="18.140625" style="214" bestFit="1" customWidth="1"/>
    <col min="779" max="779" width="26.42578125" style="214" customWidth="1"/>
    <col min="780" max="1024" width="9.140625" style="214"/>
    <col min="1025" max="1025" width="8.7109375" style="214" bestFit="1" customWidth="1"/>
    <col min="1026" max="1026" width="13.28515625" style="214" customWidth="1"/>
    <col min="1027" max="1027" width="16.140625" style="214" bestFit="1" customWidth="1"/>
    <col min="1028" max="1028" width="23.5703125" style="214" customWidth="1"/>
    <col min="1029" max="1029" width="17.28515625" style="214" customWidth="1"/>
    <col min="1030" max="1030" width="20.5703125" style="214" bestFit="1" customWidth="1"/>
    <col min="1031" max="1031" width="17.140625" style="214" customWidth="1"/>
    <col min="1032" max="1032" width="21.85546875" style="214" bestFit="1" customWidth="1"/>
    <col min="1033" max="1033" width="17.140625" style="214" bestFit="1" customWidth="1"/>
    <col min="1034" max="1034" width="18.140625" style="214" bestFit="1" customWidth="1"/>
    <col min="1035" max="1035" width="26.42578125" style="214" customWidth="1"/>
    <col min="1036" max="1280" width="9.140625" style="214"/>
    <col min="1281" max="1281" width="8.7109375" style="214" bestFit="1" customWidth="1"/>
    <col min="1282" max="1282" width="13.28515625" style="214" customWidth="1"/>
    <col min="1283" max="1283" width="16.140625" style="214" bestFit="1" customWidth="1"/>
    <col min="1284" max="1284" width="23.5703125" style="214" customWidth="1"/>
    <col min="1285" max="1285" width="17.28515625" style="214" customWidth="1"/>
    <col min="1286" max="1286" width="20.5703125" style="214" bestFit="1" customWidth="1"/>
    <col min="1287" max="1287" width="17.140625" style="214" customWidth="1"/>
    <col min="1288" max="1288" width="21.85546875" style="214" bestFit="1" customWidth="1"/>
    <col min="1289" max="1289" width="17.140625" style="214" bestFit="1" customWidth="1"/>
    <col min="1290" max="1290" width="18.140625" style="214" bestFit="1" customWidth="1"/>
    <col min="1291" max="1291" width="26.42578125" style="214" customWidth="1"/>
    <col min="1292" max="1536" width="9.140625" style="214"/>
    <col min="1537" max="1537" width="8.7109375" style="214" bestFit="1" customWidth="1"/>
    <col min="1538" max="1538" width="13.28515625" style="214" customWidth="1"/>
    <col min="1539" max="1539" width="16.140625" style="214" bestFit="1" customWidth="1"/>
    <col min="1540" max="1540" width="23.5703125" style="214" customWidth="1"/>
    <col min="1541" max="1541" width="17.28515625" style="214" customWidth="1"/>
    <col min="1542" max="1542" width="20.5703125" style="214" bestFit="1" customWidth="1"/>
    <col min="1543" max="1543" width="17.140625" style="214" customWidth="1"/>
    <col min="1544" max="1544" width="21.85546875" style="214" bestFit="1" customWidth="1"/>
    <col min="1545" max="1545" width="17.140625" style="214" bestFit="1" customWidth="1"/>
    <col min="1546" max="1546" width="18.140625" style="214" bestFit="1" customWidth="1"/>
    <col min="1547" max="1547" width="26.42578125" style="214" customWidth="1"/>
    <col min="1548" max="1792" width="9.140625" style="214"/>
    <col min="1793" max="1793" width="8.7109375" style="214" bestFit="1" customWidth="1"/>
    <col min="1794" max="1794" width="13.28515625" style="214" customWidth="1"/>
    <col min="1795" max="1795" width="16.140625" style="214" bestFit="1" customWidth="1"/>
    <col min="1796" max="1796" width="23.5703125" style="214" customWidth="1"/>
    <col min="1797" max="1797" width="17.28515625" style="214" customWidth="1"/>
    <col min="1798" max="1798" width="20.5703125" style="214" bestFit="1" customWidth="1"/>
    <col min="1799" max="1799" width="17.140625" style="214" customWidth="1"/>
    <col min="1800" max="1800" width="21.85546875" style="214" bestFit="1" customWidth="1"/>
    <col min="1801" max="1801" width="17.140625" style="214" bestFit="1" customWidth="1"/>
    <col min="1802" max="1802" width="18.140625" style="214" bestFit="1" customWidth="1"/>
    <col min="1803" max="1803" width="26.42578125" style="214" customWidth="1"/>
    <col min="1804" max="2048" width="9.140625" style="214"/>
    <col min="2049" max="2049" width="8.7109375" style="214" bestFit="1" customWidth="1"/>
    <col min="2050" max="2050" width="13.28515625" style="214" customWidth="1"/>
    <col min="2051" max="2051" width="16.140625" style="214" bestFit="1" customWidth="1"/>
    <col min="2052" max="2052" width="23.5703125" style="214" customWidth="1"/>
    <col min="2053" max="2053" width="17.28515625" style="214" customWidth="1"/>
    <col min="2054" max="2054" width="20.5703125" style="214" bestFit="1" customWidth="1"/>
    <col min="2055" max="2055" width="17.140625" style="214" customWidth="1"/>
    <col min="2056" max="2056" width="21.85546875" style="214" bestFit="1" customWidth="1"/>
    <col min="2057" max="2057" width="17.140625" style="214" bestFit="1" customWidth="1"/>
    <col min="2058" max="2058" width="18.140625" style="214" bestFit="1" customWidth="1"/>
    <col min="2059" max="2059" width="26.42578125" style="214" customWidth="1"/>
    <col min="2060" max="2304" width="9.140625" style="214"/>
    <col min="2305" max="2305" width="8.7109375" style="214" bestFit="1" customWidth="1"/>
    <col min="2306" max="2306" width="13.28515625" style="214" customWidth="1"/>
    <col min="2307" max="2307" width="16.140625" style="214" bestFit="1" customWidth="1"/>
    <col min="2308" max="2308" width="23.5703125" style="214" customWidth="1"/>
    <col min="2309" max="2309" width="17.28515625" style="214" customWidth="1"/>
    <col min="2310" max="2310" width="20.5703125" style="214" bestFit="1" customWidth="1"/>
    <col min="2311" max="2311" width="17.140625" style="214" customWidth="1"/>
    <col min="2312" max="2312" width="21.85546875" style="214" bestFit="1" customWidth="1"/>
    <col min="2313" max="2313" width="17.140625" style="214" bestFit="1" customWidth="1"/>
    <col min="2314" max="2314" width="18.140625" style="214" bestFit="1" customWidth="1"/>
    <col min="2315" max="2315" width="26.42578125" style="214" customWidth="1"/>
    <col min="2316" max="2560" width="9.140625" style="214"/>
    <col min="2561" max="2561" width="8.7109375" style="214" bestFit="1" customWidth="1"/>
    <col min="2562" max="2562" width="13.28515625" style="214" customWidth="1"/>
    <col min="2563" max="2563" width="16.140625" style="214" bestFit="1" customWidth="1"/>
    <col min="2564" max="2564" width="23.5703125" style="214" customWidth="1"/>
    <col min="2565" max="2565" width="17.28515625" style="214" customWidth="1"/>
    <col min="2566" max="2566" width="20.5703125" style="214" bestFit="1" customWidth="1"/>
    <col min="2567" max="2567" width="17.140625" style="214" customWidth="1"/>
    <col min="2568" max="2568" width="21.85546875" style="214" bestFit="1" customWidth="1"/>
    <col min="2569" max="2569" width="17.140625" style="214" bestFit="1" customWidth="1"/>
    <col min="2570" max="2570" width="18.140625" style="214" bestFit="1" customWidth="1"/>
    <col min="2571" max="2571" width="26.42578125" style="214" customWidth="1"/>
    <col min="2572" max="2816" width="9.140625" style="214"/>
    <col min="2817" max="2817" width="8.7109375" style="214" bestFit="1" customWidth="1"/>
    <col min="2818" max="2818" width="13.28515625" style="214" customWidth="1"/>
    <col min="2819" max="2819" width="16.140625" style="214" bestFit="1" customWidth="1"/>
    <col min="2820" max="2820" width="23.5703125" style="214" customWidth="1"/>
    <col min="2821" max="2821" width="17.28515625" style="214" customWidth="1"/>
    <col min="2822" max="2822" width="20.5703125" style="214" bestFit="1" customWidth="1"/>
    <col min="2823" max="2823" width="17.140625" style="214" customWidth="1"/>
    <col min="2824" max="2824" width="21.85546875" style="214" bestFit="1" customWidth="1"/>
    <col min="2825" max="2825" width="17.140625" style="214" bestFit="1" customWidth="1"/>
    <col min="2826" max="2826" width="18.140625" style="214" bestFit="1" customWidth="1"/>
    <col min="2827" max="2827" width="26.42578125" style="214" customWidth="1"/>
    <col min="2828" max="3072" width="9.140625" style="214"/>
    <col min="3073" max="3073" width="8.7109375" style="214" bestFit="1" customWidth="1"/>
    <col min="3074" max="3074" width="13.28515625" style="214" customWidth="1"/>
    <col min="3075" max="3075" width="16.140625" style="214" bestFit="1" customWidth="1"/>
    <col min="3076" max="3076" width="23.5703125" style="214" customWidth="1"/>
    <col min="3077" max="3077" width="17.28515625" style="214" customWidth="1"/>
    <col min="3078" max="3078" width="20.5703125" style="214" bestFit="1" customWidth="1"/>
    <col min="3079" max="3079" width="17.140625" style="214" customWidth="1"/>
    <col min="3080" max="3080" width="21.85546875" style="214" bestFit="1" customWidth="1"/>
    <col min="3081" max="3081" width="17.140625" style="214" bestFit="1" customWidth="1"/>
    <col min="3082" max="3082" width="18.140625" style="214" bestFit="1" customWidth="1"/>
    <col min="3083" max="3083" width="26.42578125" style="214" customWidth="1"/>
    <col min="3084" max="3328" width="9.140625" style="214"/>
    <col min="3329" max="3329" width="8.7109375" style="214" bestFit="1" customWidth="1"/>
    <col min="3330" max="3330" width="13.28515625" style="214" customWidth="1"/>
    <col min="3331" max="3331" width="16.140625" style="214" bestFit="1" customWidth="1"/>
    <col min="3332" max="3332" width="23.5703125" style="214" customWidth="1"/>
    <col min="3333" max="3333" width="17.28515625" style="214" customWidth="1"/>
    <col min="3334" max="3334" width="20.5703125" style="214" bestFit="1" customWidth="1"/>
    <col min="3335" max="3335" width="17.140625" style="214" customWidth="1"/>
    <col min="3336" max="3336" width="21.85546875" style="214" bestFit="1" customWidth="1"/>
    <col min="3337" max="3337" width="17.140625" style="214" bestFit="1" customWidth="1"/>
    <col min="3338" max="3338" width="18.140625" style="214" bestFit="1" customWidth="1"/>
    <col min="3339" max="3339" width="26.42578125" style="214" customWidth="1"/>
    <col min="3340" max="3584" width="9.140625" style="214"/>
    <col min="3585" max="3585" width="8.7109375" style="214" bestFit="1" customWidth="1"/>
    <col min="3586" max="3586" width="13.28515625" style="214" customWidth="1"/>
    <col min="3587" max="3587" width="16.140625" style="214" bestFit="1" customWidth="1"/>
    <col min="3588" max="3588" width="23.5703125" style="214" customWidth="1"/>
    <col min="3589" max="3589" width="17.28515625" style="214" customWidth="1"/>
    <col min="3590" max="3590" width="20.5703125" style="214" bestFit="1" customWidth="1"/>
    <col min="3591" max="3591" width="17.140625" style="214" customWidth="1"/>
    <col min="3592" max="3592" width="21.85546875" style="214" bestFit="1" customWidth="1"/>
    <col min="3593" max="3593" width="17.140625" style="214" bestFit="1" customWidth="1"/>
    <col min="3594" max="3594" width="18.140625" style="214" bestFit="1" customWidth="1"/>
    <col min="3595" max="3595" width="26.42578125" style="214" customWidth="1"/>
    <col min="3596" max="3840" width="9.140625" style="214"/>
    <col min="3841" max="3841" width="8.7109375" style="214" bestFit="1" customWidth="1"/>
    <col min="3842" max="3842" width="13.28515625" style="214" customWidth="1"/>
    <col min="3843" max="3843" width="16.140625" style="214" bestFit="1" customWidth="1"/>
    <col min="3844" max="3844" width="23.5703125" style="214" customWidth="1"/>
    <col min="3845" max="3845" width="17.28515625" style="214" customWidth="1"/>
    <col min="3846" max="3846" width="20.5703125" style="214" bestFit="1" customWidth="1"/>
    <col min="3847" max="3847" width="17.140625" style="214" customWidth="1"/>
    <col min="3848" max="3848" width="21.85546875" style="214" bestFit="1" customWidth="1"/>
    <col min="3849" max="3849" width="17.140625" style="214" bestFit="1" customWidth="1"/>
    <col min="3850" max="3850" width="18.140625" style="214" bestFit="1" customWidth="1"/>
    <col min="3851" max="3851" width="26.42578125" style="214" customWidth="1"/>
    <col min="3852" max="4096" width="9.140625" style="214"/>
    <col min="4097" max="4097" width="8.7109375" style="214" bestFit="1" customWidth="1"/>
    <col min="4098" max="4098" width="13.28515625" style="214" customWidth="1"/>
    <col min="4099" max="4099" width="16.140625" style="214" bestFit="1" customWidth="1"/>
    <col min="4100" max="4100" width="23.5703125" style="214" customWidth="1"/>
    <col min="4101" max="4101" width="17.28515625" style="214" customWidth="1"/>
    <col min="4102" max="4102" width="20.5703125" style="214" bestFit="1" customWidth="1"/>
    <col min="4103" max="4103" width="17.140625" style="214" customWidth="1"/>
    <col min="4104" max="4104" width="21.85546875" style="214" bestFit="1" customWidth="1"/>
    <col min="4105" max="4105" width="17.140625" style="214" bestFit="1" customWidth="1"/>
    <col min="4106" max="4106" width="18.140625" style="214" bestFit="1" customWidth="1"/>
    <col min="4107" max="4107" width="26.42578125" style="214" customWidth="1"/>
    <col min="4108" max="4352" width="9.140625" style="214"/>
    <col min="4353" max="4353" width="8.7109375" style="214" bestFit="1" customWidth="1"/>
    <col min="4354" max="4354" width="13.28515625" style="214" customWidth="1"/>
    <col min="4355" max="4355" width="16.140625" style="214" bestFit="1" customWidth="1"/>
    <col min="4356" max="4356" width="23.5703125" style="214" customWidth="1"/>
    <col min="4357" max="4357" width="17.28515625" style="214" customWidth="1"/>
    <col min="4358" max="4358" width="20.5703125" style="214" bestFit="1" customWidth="1"/>
    <col min="4359" max="4359" width="17.140625" style="214" customWidth="1"/>
    <col min="4360" max="4360" width="21.85546875" style="214" bestFit="1" customWidth="1"/>
    <col min="4361" max="4361" width="17.140625" style="214" bestFit="1" customWidth="1"/>
    <col min="4362" max="4362" width="18.140625" style="214" bestFit="1" customWidth="1"/>
    <col min="4363" max="4363" width="26.42578125" style="214" customWidth="1"/>
    <col min="4364" max="4608" width="9.140625" style="214"/>
    <col min="4609" max="4609" width="8.7109375" style="214" bestFit="1" customWidth="1"/>
    <col min="4610" max="4610" width="13.28515625" style="214" customWidth="1"/>
    <col min="4611" max="4611" width="16.140625" style="214" bestFit="1" customWidth="1"/>
    <col min="4612" max="4612" width="23.5703125" style="214" customWidth="1"/>
    <col min="4613" max="4613" width="17.28515625" style="214" customWidth="1"/>
    <col min="4614" max="4614" width="20.5703125" style="214" bestFit="1" customWidth="1"/>
    <col min="4615" max="4615" width="17.140625" style="214" customWidth="1"/>
    <col min="4616" max="4616" width="21.85546875" style="214" bestFit="1" customWidth="1"/>
    <col min="4617" max="4617" width="17.140625" style="214" bestFit="1" customWidth="1"/>
    <col min="4618" max="4618" width="18.140625" style="214" bestFit="1" customWidth="1"/>
    <col min="4619" max="4619" width="26.42578125" style="214" customWidth="1"/>
    <col min="4620" max="4864" width="9.140625" style="214"/>
    <col min="4865" max="4865" width="8.7109375" style="214" bestFit="1" customWidth="1"/>
    <col min="4866" max="4866" width="13.28515625" style="214" customWidth="1"/>
    <col min="4867" max="4867" width="16.140625" style="214" bestFit="1" customWidth="1"/>
    <col min="4868" max="4868" width="23.5703125" style="214" customWidth="1"/>
    <col min="4869" max="4869" width="17.28515625" style="214" customWidth="1"/>
    <col min="4870" max="4870" width="20.5703125" style="214" bestFit="1" customWidth="1"/>
    <col min="4871" max="4871" width="17.140625" style="214" customWidth="1"/>
    <col min="4872" max="4872" width="21.85546875" style="214" bestFit="1" customWidth="1"/>
    <col min="4873" max="4873" width="17.140625" style="214" bestFit="1" customWidth="1"/>
    <col min="4874" max="4874" width="18.140625" style="214" bestFit="1" customWidth="1"/>
    <col min="4875" max="4875" width="26.42578125" style="214" customWidth="1"/>
    <col min="4876" max="5120" width="9.140625" style="214"/>
    <col min="5121" max="5121" width="8.7109375" style="214" bestFit="1" customWidth="1"/>
    <col min="5122" max="5122" width="13.28515625" style="214" customWidth="1"/>
    <col min="5123" max="5123" width="16.140625" style="214" bestFit="1" customWidth="1"/>
    <col min="5124" max="5124" width="23.5703125" style="214" customWidth="1"/>
    <col min="5125" max="5125" width="17.28515625" style="214" customWidth="1"/>
    <col min="5126" max="5126" width="20.5703125" style="214" bestFit="1" customWidth="1"/>
    <col min="5127" max="5127" width="17.140625" style="214" customWidth="1"/>
    <col min="5128" max="5128" width="21.85546875" style="214" bestFit="1" customWidth="1"/>
    <col min="5129" max="5129" width="17.140625" style="214" bestFit="1" customWidth="1"/>
    <col min="5130" max="5130" width="18.140625" style="214" bestFit="1" customWidth="1"/>
    <col min="5131" max="5131" width="26.42578125" style="214" customWidth="1"/>
    <col min="5132" max="5376" width="9.140625" style="214"/>
    <col min="5377" max="5377" width="8.7109375" style="214" bestFit="1" customWidth="1"/>
    <col min="5378" max="5378" width="13.28515625" style="214" customWidth="1"/>
    <col min="5379" max="5379" width="16.140625" style="214" bestFit="1" customWidth="1"/>
    <col min="5380" max="5380" width="23.5703125" style="214" customWidth="1"/>
    <col min="5381" max="5381" width="17.28515625" style="214" customWidth="1"/>
    <col min="5382" max="5382" width="20.5703125" style="214" bestFit="1" customWidth="1"/>
    <col min="5383" max="5383" width="17.140625" style="214" customWidth="1"/>
    <col min="5384" max="5384" width="21.85546875" style="214" bestFit="1" customWidth="1"/>
    <col min="5385" max="5385" width="17.140625" style="214" bestFit="1" customWidth="1"/>
    <col min="5386" max="5386" width="18.140625" style="214" bestFit="1" customWidth="1"/>
    <col min="5387" max="5387" width="26.42578125" style="214" customWidth="1"/>
    <col min="5388" max="5632" width="9.140625" style="214"/>
    <col min="5633" max="5633" width="8.7109375" style="214" bestFit="1" customWidth="1"/>
    <col min="5634" max="5634" width="13.28515625" style="214" customWidth="1"/>
    <col min="5635" max="5635" width="16.140625" style="214" bestFit="1" customWidth="1"/>
    <col min="5636" max="5636" width="23.5703125" style="214" customWidth="1"/>
    <col min="5637" max="5637" width="17.28515625" style="214" customWidth="1"/>
    <col min="5638" max="5638" width="20.5703125" style="214" bestFit="1" customWidth="1"/>
    <col min="5639" max="5639" width="17.140625" style="214" customWidth="1"/>
    <col min="5640" max="5640" width="21.85546875" style="214" bestFit="1" customWidth="1"/>
    <col min="5641" max="5641" width="17.140625" style="214" bestFit="1" customWidth="1"/>
    <col min="5642" max="5642" width="18.140625" style="214" bestFit="1" customWidth="1"/>
    <col min="5643" max="5643" width="26.42578125" style="214" customWidth="1"/>
    <col min="5644" max="5888" width="9.140625" style="214"/>
    <col min="5889" max="5889" width="8.7109375" style="214" bestFit="1" customWidth="1"/>
    <col min="5890" max="5890" width="13.28515625" style="214" customWidth="1"/>
    <col min="5891" max="5891" width="16.140625" style="214" bestFit="1" customWidth="1"/>
    <col min="5892" max="5892" width="23.5703125" style="214" customWidth="1"/>
    <col min="5893" max="5893" width="17.28515625" style="214" customWidth="1"/>
    <col min="5894" max="5894" width="20.5703125" style="214" bestFit="1" customWidth="1"/>
    <col min="5895" max="5895" width="17.140625" style="214" customWidth="1"/>
    <col min="5896" max="5896" width="21.85546875" style="214" bestFit="1" customWidth="1"/>
    <col min="5897" max="5897" width="17.140625" style="214" bestFit="1" customWidth="1"/>
    <col min="5898" max="5898" width="18.140625" style="214" bestFit="1" customWidth="1"/>
    <col min="5899" max="5899" width="26.42578125" style="214" customWidth="1"/>
    <col min="5900" max="6144" width="9.140625" style="214"/>
    <col min="6145" max="6145" width="8.7109375" style="214" bestFit="1" customWidth="1"/>
    <col min="6146" max="6146" width="13.28515625" style="214" customWidth="1"/>
    <col min="6147" max="6147" width="16.140625" style="214" bestFit="1" customWidth="1"/>
    <col min="6148" max="6148" width="23.5703125" style="214" customWidth="1"/>
    <col min="6149" max="6149" width="17.28515625" style="214" customWidth="1"/>
    <col min="6150" max="6150" width="20.5703125" style="214" bestFit="1" customWidth="1"/>
    <col min="6151" max="6151" width="17.140625" style="214" customWidth="1"/>
    <col min="6152" max="6152" width="21.85546875" style="214" bestFit="1" customWidth="1"/>
    <col min="6153" max="6153" width="17.140625" style="214" bestFit="1" customWidth="1"/>
    <col min="6154" max="6154" width="18.140625" style="214" bestFit="1" customWidth="1"/>
    <col min="6155" max="6155" width="26.42578125" style="214" customWidth="1"/>
    <col min="6156" max="6400" width="9.140625" style="214"/>
    <col min="6401" max="6401" width="8.7109375" style="214" bestFit="1" customWidth="1"/>
    <col min="6402" max="6402" width="13.28515625" style="214" customWidth="1"/>
    <col min="6403" max="6403" width="16.140625" style="214" bestFit="1" customWidth="1"/>
    <col min="6404" max="6404" width="23.5703125" style="214" customWidth="1"/>
    <col min="6405" max="6405" width="17.28515625" style="214" customWidth="1"/>
    <col min="6406" max="6406" width="20.5703125" style="214" bestFit="1" customWidth="1"/>
    <col min="6407" max="6407" width="17.140625" style="214" customWidth="1"/>
    <col min="6408" max="6408" width="21.85546875" style="214" bestFit="1" customWidth="1"/>
    <col min="6409" max="6409" width="17.140625" style="214" bestFit="1" customWidth="1"/>
    <col min="6410" max="6410" width="18.140625" style="214" bestFit="1" customWidth="1"/>
    <col min="6411" max="6411" width="26.42578125" style="214" customWidth="1"/>
    <col min="6412" max="6656" width="9.140625" style="214"/>
    <col min="6657" max="6657" width="8.7109375" style="214" bestFit="1" customWidth="1"/>
    <col min="6658" max="6658" width="13.28515625" style="214" customWidth="1"/>
    <col min="6659" max="6659" width="16.140625" style="214" bestFit="1" customWidth="1"/>
    <col min="6660" max="6660" width="23.5703125" style="214" customWidth="1"/>
    <col min="6661" max="6661" width="17.28515625" style="214" customWidth="1"/>
    <col min="6662" max="6662" width="20.5703125" style="214" bestFit="1" customWidth="1"/>
    <col min="6663" max="6663" width="17.140625" style="214" customWidth="1"/>
    <col min="6664" max="6664" width="21.85546875" style="214" bestFit="1" customWidth="1"/>
    <col min="6665" max="6665" width="17.140625" style="214" bestFit="1" customWidth="1"/>
    <col min="6666" max="6666" width="18.140625" style="214" bestFit="1" customWidth="1"/>
    <col min="6667" max="6667" width="26.42578125" style="214" customWidth="1"/>
    <col min="6668" max="6912" width="9.140625" style="214"/>
    <col min="6913" max="6913" width="8.7109375" style="214" bestFit="1" customWidth="1"/>
    <col min="6914" max="6914" width="13.28515625" style="214" customWidth="1"/>
    <col min="6915" max="6915" width="16.140625" style="214" bestFit="1" customWidth="1"/>
    <col min="6916" max="6916" width="23.5703125" style="214" customWidth="1"/>
    <col min="6917" max="6917" width="17.28515625" style="214" customWidth="1"/>
    <col min="6918" max="6918" width="20.5703125" style="214" bestFit="1" customWidth="1"/>
    <col min="6919" max="6919" width="17.140625" style="214" customWidth="1"/>
    <col min="6920" max="6920" width="21.85546875" style="214" bestFit="1" customWidth="1"/>
    <col min="6921" max="6921" width="17.140625" style="214" bestFit="1" customWidth="1"/>
    <col min="6922" max="6922" width="18.140625" style="214" bestFit="1" customWidth="1"/>
    <col min="6923" max="6923" width="26.42578125" style="214" customWidth="1"/>
    <col min="6924" max="7168" width="9.140625" style="214"/>
    <col min="7169" max="7169" width="8.7109375" style="214" bestFit="1" customWidth="1"/>
    <col min="7170" max="7170" width="13.28515625" style="214" customWidth="1"/>
    <col min="7171" max="7171" width="16.140625" style="214" bestFit="1" customWidth="1"/>
    <col min="7172" max="7172" width="23.5703125" style="214" customWidth="1"/>
    <col min="7173" max="7173" width="17.28515625" style="214" customWidth="1"/>
    <col min="7174" max="7174" width="20.5703125" style="214" bestFit="1" customWidth="1"/>
    <col min="7175" max="7175" width="17.140625" style="214" customWidth="1"/>
    <col min="7176" max="7176" width="21.85546875" style="214" bestFit="1" customWidth="1"/>
    <col min="7177" max="7177" width="17.140625" style="214" bestFit="1" customWidth="1"/>
    <col min="7178" max="7178" width="18.140625" style="214" bestFit="1" customWidth="1"/>
    <col min="7179" max="7179" width="26.42578125" style="214" customWidth="1"/>
    <col min="7180" max="7424" width="9.140625" style="214"/>
    <col min="7425" max="7425" width="8.7109375" style="214" bestFit="1" customWidth="1"/>
    <col min="7426" max="7426" width="13.28515625" style="214" customWidth="1"/>
    <col min="7427" max="7427" width="16.140625" style="214" bestFit="1" customWidth="1"/>
    <col min="7428" max="7428" width="23.5703125" style="214" customWidth="1"/>
    <col min="7429" max="7429" width="17.28515625" style="214" customWidth="1"/>
    <col min="7430" max="7430" width="20.5703125" style="214" bestFit="1" customWidth="1"/>
    <col min="7431" max="7431" width="17.140625" style="214" customWidth="1"/>
    <col min="7432" max="7432" width="21.85546875" style="214" bestFit="1" customWidth="1"/>
    <col min="7433" max="7433" width="17.140625" style="214" bestFit="1" customWidth="1"/>
    <col min="7434" max="7434" width="18.140625" style="214" bestFit="1" customWidth="1"/>
    <col min="7435" max="7435" width="26.42578125" style="214" customWidth="1"/>
    <col min="7436" max="7680" width="9.140625" style="214"/>
    <col min="7681" max="7681" width="8.7109375" style="214" bestFit="1" customWidth="1"/>
    <col min="7682" max="7682" width="13.28515625" style="214" customWidth="1"/>
    <col min="7683" max="7683" width="16.140625" style="214" bestFit="1" customWidth="1"/>
    <col min="7684" max="7684" width="23.5703125" style="214" customWidth="1"/>
    <col min="7685" max="7685" width="17.28515625" style="214" customWidth="1"/>
    <col min="7686" max="7686" width="20.5703125" style="214" bestFit="1" customWidth="1"/>
    <col min="7687" max="7687" width="17.140625" style="214" customWidth="1"/>
    <col min="7688" max="7688" width="21.85546875" style="214" bestFit="1" customWidth="1"/>
    <col min="7689" max="7689" width="17.140625" style="214" bestFit="1" customWidth="1"/>
    <col min="7690" max="7690" width="18.140625" style="214" bestFit="1" customWidth="1"/>
    <col min="7691" max="7691" width="26.42578125" style="214" customWidth="1"/>
    <col min="7692" max="7936" width="9.140625" style="214"/>
    <col min="7937" max="7937" width="8.7109375" style="214" bestFit="1" customWidth="1"/>
    <col min="7938" max="7938" width="13.28515625" style="214" customWidth="1"/>
    <col min="7939" max="7939" width="16.140625" style="214" bestFit="1" customWidth="1"/>
    <col min="7940" max="7940" width="23.5703125" style="214" customWidth="1"/>
    <col min="7941" max="7941" width="17.28515625" style="214" customWidth="1"/>
    <col min="7942" max="7942" width="20.5703125" style="214" bestFit="1" customWidth="1"/>
    <col min="7943" max="7943" width="17.140625" style="214" customWidth="1"/>
    <col min="7944" max="7944" width="21.85546875" style="214" bestFit="1" customWidth="1"/>
    <col min="7945" max="7945" width="17.140625" style="214" bestFit="1" customWidth="1"/>
    <col min="7946" max="7946" width="18.140625" style="214" bestFit="1" customWidth="1"/>
    <col min="7947" max="7947" width="26.42578125" style="214" customWidth="1"/>
    <col min="7948" max="8192" width="9.140625" style="214"/>
    <col min="8193" max="8193" width="8.7109375" style="214" bestFit="1" customWidth="1"/>
    <col min="8194" max="8194" width="13.28515625" style="214" customWidth="1"/>
    <col min="8195" max="8195" width="16.140625" style="214" bestFit="1" customWidth="1"/>
    <col min="8196" max="8196" width="23.5703125" style="214" customWidth="1"/>
    <col min="8197" max="8197" width="17.28515625" style="214" customWidth="1"/>
    <col min="8198" max="8198" width="20.5703125" style="214" bestFit="1" customWidth="1"/>
    <col min="8199" max="8199" width="17.140625" style="214" customWidth="1"/>
    <col min="8200" max="8200" width="21.85546875" style="214" bestFit="1" customWidth="1"/>
    <col min="8201" max="8201" width="17.140625" style="214" bestFit="1" customWidth="1"/>
    <col min="8202" max="8202" width="18.140625" style="214" bestFit="1" customWidth="1"/>
    <col min="8203" max="8203" width="26.42578125" style="214" customWidth="1"/>
    <col min="8204" max="8448" width="9.140625" style="214"/>
    <col min="8449" max="8449" width="8.7109375" style="214" bestFit="1" customWidth="1"/>
    <col min="8450" max="8450" width="13.28515625" style="214" customWidth="1"/>
    <col min="8451" max="8451" width="16.140625" style="214" bestFit="1" customWidth="1"/>
    <col min="8452" max="8452" width="23.5703125" style="214" customWidth="1"/>
    <col min="8453" max="8453" width="17.28515625" style="214" customWidth="1"/>
    <col min="8454" max="8454" width="20.5703125" style="214" bestFit="1" customWidth="1"/>
    <col min="8455" max="8455" width="17.140625" style="214" customWidth="1"/>
    <col min="8456" max="8456" width="21.85546875" style="214" bestFit="1" customWidth="1"/>
    <col min="8457" max="8457" width="17.140625" style="214" bestFit="1" customWidth="1"/>
    <col min="8458" max="8458" width="18.140625" style="214" bestFit="1" customWidth="1"/>
    <col min="8459" max="8459" width="26.42578125" style="214" customWidth="1"/>
    <col min="8460" max="8704" width="9.140625" style="214"/>
    <col min="8705" max="8705" width="8.7109375" style="214" bestFit="1" customWidth="1"/>
    <col min="8706" max="8706" width="13.28515625" style="214" customWidth="1"/>
    <col min="8707" max="8707" width="16.140625" style="214" bestFit="1" customWidth="1"/>
    <col min="8708" max="8708" width="23.5703125" style="214" customWidth="1"/>
    <col min="8709" max="8709" width="17.28515625" style="214" customWidth="1"/>
    <col min="8710" max="8710" width="20.5703125" style="214" bestFit="1" customWidth="1"/>
    <col min="8711" max="8711" width="17.140625" style="214" customWidth="1"/>
    <col min="8712" max="8712" width="21.85546875" style="214" bestFit="1" customWidth="1"/>
    <col min="8713" max="8713" width="17.140625" style="214" bestFit="1" customWidth="1"/>
    <col min="8714" max="8714" width="18.140625" style="214" bestFit="1" customWidth="1"/>
    <col min="8715" max="8715" width="26.42578125" style="214" customWidth="1"/>
    <col min="8716" max="8960" width="9.140625" style="214"/>
    <col min="8961" max="8961" width="8.7109375" style="214" bestFit="1" customWidth="1"/>
    <col min="8962" max="8962" width="13.28515625" style="214" customWidth="1"/>
    <col min="8963" max="8963" width="16.140625" style="214" bestFit="1" customWidth="1"/>
    <col min="8964" max="8964" width="23.5703125" style="214" customWidth="1"/>
    <col min="8965" max="8965" width="17.28515625" style="214" customWidth="1"/>
    <col min="8966" max="8966" width="20.5703125" style="214" bestFit="1" customWidth="1"/>
    <col min="8967" max="8967" width="17.140625" style="214" customWidth="1"/>
    <col min="8968" max="8968" width="21.85546875" style="214" bestFit="1" customWidth="1"/>
    <col min="8969" max="8969" width="17.140625" style="214" bestFit="1" customWidth="1"/>
    <col min="8970" max="8970" width="18.140625" style="214" bestFit="1" customWidth="1"/>
    <col min="8971" max="8971" width="26.42578125" style="214" customWidth="1"/>
    <col min="8972" max="9216" width="9.140625" style="214"/>
    <col min="9217" max="9217" width="8.7109375" style="214" bestFit="1" customWidth="1"/>
    <col min="9218" max="9218" width="13.28515625" style="214" customWidth="1"/>
    <col min="9219" max="9219" width="16.140625" style="214" bestFit="1" customWidth="1"/>
    <col min="9220" max="9220" width="23.5703125" style="214" customWidth="1"/>
    <col min="9221" max="9221" width="17.28515625" style="214" customWidth="1"/>
    <col min="9222" max="9222" width="20.5703125" style="214" bestFit="1" customWidth="1"/>
    <col min="9223" max="9223" width="17.140625" style="214" customWidth="1"/>
    <col min="9224" max="9224" width="21.85546875" style="214" bestFit="1" customWidth="1"/>
    <col min="9225" max="9225" width="17.140625" style="214" bestFit="1" customWidth="1"/>
    <col min="9226" max="9226" width="18.140625" style="214" bestFit="1" customWidth="1"/>
    <col min="9227" max="9227" width="26.42578125" style="214" customWidth="1"/>
    <col min="9228" max="9472" width="9.140625" style="214"/>
    <col min="9473" max="9473" width="8.7109375" style="214" bestFit="1" customWidth="1"/>
    <col min="9474" max="9474" width="13.28515625" style="214" customWidth="1"/>
    <col min="9475" max="9475" width="16.140625" style="214" bestFit="1" customWidth="1"/>
    <col min="9476" max="9476" width="23.5703125" style="214" customWidth="1"/>
    <col min="9477" max="9477" width="17.28515625" style="214" customWidth="1"/>
    <col min="9478" max="9478" width="20.5703125" style="214" bestFit="1" customWidth="1"/>
    <col min="9479" max="9479" width="17.140625" style="214" customWidth="1"/>
    <col min="9480" max="9480" width="21.85546875" style="214" bestFit="1" customWidth="1"/>
    <col min="9481" max="9481" width="17.140625" style="214" bestFit="1" customWidth="1"/>
    <col min="9482" max="9482" width="18.140625" style="214" bestFit="1" customWidth="1"/>
    <col min="9483" max="9483" width="26.42578125" style="214" customWidth="1"/>
    <col min="9484" max="9728" width="9.140625" style="214"/>
    <col min="9729" max="9729" width="8.7109375" style="214" bestFit="1" customWidth="1"/>
    <col min="9730" max="9730" width="13.28515625" style="214" customWidth="1"/>
    <col min="9731" max="9731" width="16.140625" style="214" bestFit="1" customWidth="1"/>
    <col min="9732" max="9732" width="23.5703125" style="214" customWidth="1"/>
    <col min="9733" max="9733" width="17.28515625" style="214" customWidth="1"/>
    <col min="9734" max="9734" width="20.5703125" style="214" bestFit="1" customWidth="1"/>
    <col min="9735" max="9735" width="17.140625" style="214" customWidth="1"/>
    <col min="9736" max="9736" width="21.85546875" style="214" bestFit="1" customWidth="1"/>
    <col min="9737" max="9737" width="17.140625" style="214" bestFit="1" customWidth="1"/>
    <col min="9738" max="9738" width="18.140625" style="214" bestFit="1" customWidth="1"/>
    <col min="9739" max="9739" width="26.42578125" style="214" customWidth="1"/>
    <col min="9740" max="9984" width="9.140625" style="214"/>
    <col min="9985" max="9985" width="8.7109375" style="214" bestFit="1" customWidth="1"/>
    <col min="9986" max="9986" width="13.28515625" style="214" customWidth="1"/>
    <col min="9987" max="9987" width="16.140625" style="214" bestFit="1" customWidth="1"/>
    <col min="9988" max="9988" width="23.5703125" style="214" customWidth="1"/>
    <col min="9989" max="9989" width="17.28515625" style="214" customWidth="1"/>
    <col min="9990" max="9990" width="20.5703125" style="214" bestFit="1" customWidth="1"/>
    <col min="9991" max="9991" width="17.140625" style="214" customWidth="1"/>
    <col min="9992" max="9992" width="21.85546875" style="214" bestFit="1" customWidth="1"/>
    <col min="9993" max="9993" width="17.140625" style="214" bestFit="1" customWidth="1"/>
    <col min="9994" max="9994" width="18.140625" style="214" bestFit="1" customWidth="1"/>
    <col min="9995" max="9995" width="26.42578125" style="214" customWidth="1"/>
    <col min="9996" max="10240" width="9.140625" style="214"/>
    <col min="10241" max="10241" width="8.7109375" style="214" bestFit="1" customWidth="1"/>
    <col min="10242" max="10242" width="13.28515625" style="214" customWidth="1"/>
    <col min="10243" max="10243" width="16.140625" style="214" bestFit="1" customWidth="1"/>
    <col min="10244" max="10244" width="23.5703125" style="214" customWidth="1"/>
    <col min="10245" max="10245" width="17.28515625" style="214" customWidth="1"/>
    <col min="10246" max="10246" width="20.5703125" style="214" bestFit="1" customWidth="1"/>
    <col min="10247" max="10247" width="17.140625" style="214" customWidth="1"/>
    <col min="10248" max="10248" width="21.85546875" style="214" bestFit="1" customWidth="1"/>
    <col min="10249" max="10249" width="17.140625" style="214" bestFit="1" customWidth="1"/>
    <col min="10250" max="10250" width="18.140625" style="214" bestFit="1" customWidth="1"/>
    <col min="10251" max="10251" width="26.42578125" style="214" customWidth="1"/>
    <col min="10252" max="10496" width="9.140625" style="214"/>
    <col min="10497" max="10497" width="8.7109375" style="214" bestFit="1" customWidth="1"/>
    <col min="10498" max="10498" width="13.28515625" style="214" customWidth="1"/>
    <col min="10499" max="10499" width="16.140625" style="214" bestFit="1" customWidth="1"/>
    <col min="10500" max="10500" width="23.5703125" style="214" customWidth="1"/>
    <col min="10501" max="10501" width="17.28515625" style="214" customWidth="1"/>
    <col min="10502" max="10502" width="20.5703125" style="214" bestFit="1" customWidth="1"/>
    <col min="10503" max="10503" width="17.140625" style="214" customWidth="1"/>
    <col min="10504" max="10504" width="21.85546875" style="214" bestFit="1" customWidth="1"/>
    <col min="10505" max="10505" width="17.140625" style="214" bestFit="1" customWidth="1"/>
    <col min="10506" max="10506" width="18.140625" style="214" bestFit="1" customWidth="1"/>
    <col min="10507" max="10507" width="26.42578125" style="214" customWidth="1"/>
    <col min="10508" max="10752" width="9.140625" style="214"/>
    <col min="10753" max="10753" width="8.7109375" style="214" bestFit="1" customWidth="1"/>
    <col min="10754" max="10754" width="13.28515625" style="214" customWidth="1"/>
    <col min="10755" max="10755" width="16.140625" style="214" bestFit="1" customWidth="1"/>
    <col min="10756" max="10756" width="23.5703125" style="214" customWidth="1"/>
    <col min="10757" max="10757" width="17.28515625" style="214" customWidth="1"/>
    <col min="10758" max="10758" width="20.5703125" style="214" bestFit="1" customWidth="1"/>
    <col min="10759" max="10759" width="17.140625" style="214" customWidth="1"/>
    <col min="10760" max="10760" width="21.85546875" style="214" bestFit="1" customWidth="1"/>
    <col min="10761" max="10761" width="17.140625" style="214" bestFit="1" customWidth="1"/>
    <col min="10762" max="10762" width="18.140625" style="214" bestFit="1" customWidth="1"/>
    <col min="10763" max="10763" width="26.42578125" style="214" customWidth="1"/>
    <col min="10764" max="11008" width="9.140625" style="214"/>
    <col min="11009" max="11009" width="8.7109375" style="214" bestFit="1" customWidth="1"/>
    <col min="11010" max="11010" width="13.28515625" style="214" customWidth="1"/>
    <col min="11011" max="11011" width="16.140625" style="214" bestFit="1" customWidth="1"/>
    <col min="11012" max="11012" width="23.5703125" style="214" customWidth="1"/>
    <col min="11013" max="11013" width="17.28515625" style="214" customWidth="1"/>
    <col min="11014" max="11014" width="20.5703125" style="214" bestFit="1" customWidth="1"/>
    <col min="11015" max="11015" width="17.140625" style="214" customWidth="1"/>
    <col min="11016" max="11016" width="21.85546875" style="214" bestFit="1" customWidth="1"/>
    <col min="11017" max="11017" width="17.140625" style="214" bestFit="1" customWidth="1"/>
    <col min="11018" max="11018" width="18.140625" style="214" bestFit="1" customWidth="1"/>
    <col min="11019" max="11019" width="26.42578125" style="214" customWidth="1"/>
    <col min="11020" max="11264" width="9.140625" style="214"/>
    <col min="11265" max="11265" width="8.7109375" style="214" bestFit="1" customWidth="1"/>
    <col min="11266" max="11266" width="13.28515625" style="214" customWidth="1"/>
    <col min="11267" max="11267" width="16.140625" style="214" bestFit="1" customWidth="1"/>
    <col min="11268" max="11268" width="23.5703125" style="214" customWidth="1"/>
    <col min="11269" max="11269" width="17.28515625" style="214" customWidth="1"/>
    <col min="11270" max="11270" width="20.5703125" style="214" bestFit="1" customWidth="1"/>
    <col min="11271" max="11271" width="17.140625" style="214" customWidth="1"/>
    <col min="11272" max="11272" width="21.85546875" style="214" bestFit="1" customWidth="1"/>
    <col min="11273" max="11273" width="17.140625" style="214" bestFit="1" customWidth="1"/>
    <col min="11274" max="11274" width="18.140625" style="214" bestFit="1" customWidth="1"/>
    <col min="11275" max="11275" width="26.42578125" style="214" customWidth="1"/>
    <col min="11276" max="11520" width="9.140625" style="214"/>
    <col min="11521" max="11521" width="8.7109375" style="214" bestFit="1" customWidth="1"/>
    <col min="11522" max="11522" width="13.28515625" style="214" customWidth="1"/>
    <col min="11523" max="11523" width="16.140625" style="214" bestFit="1" customWidth="1"/>
    <col min="11524" max="11524" width="23.5703125" style="214" customWidth="1"/>
    <col min="11525" max="11525" width="17.28515625" style="214" customWidth="1"/>
    <col min="11526" max="11526" width="20.5703125" style="214" bestFit="1" customWidth="1"/>
    <col min="11527" max="11527" width="17.140625" style="214" customWidth="1"/>
    <col min="11528" max="11528" width="21.85546875" style="214" bestFit="1" customWidth="1"/>
    <col min="11529" max="11529" width="17.140625" style="214" bestFit="1" customWidth="1"/>
    <col min="11530" max="11530" width="18.140625" style="214" bestFit="1" customWidth="1"/>
    <col min="11531" max="11531" width="26.42578125" style="214" customWidth="1"/>
    <col min="11532" max="11776" width="9.140625" style="214"/>
    <col min="11777" max="11777" width="8.7109375" style="214" bestFit="1" customWidth="1"/>
    <col min="11778" max="11778" width="13.28515625" style="214" customWidth="1"/>
    <col min="11779" max="11779" width="16.140625" style="214" bestFit="1" customWidth="1"/>
    <col min="11780" max="11780" width="23.5703125" style="214" customWidth="1"/>
    <col min="11781" max="11781" width="17.28515625" style="214" customWidth="1"/>
    <col min="11782" max="11782" width="20.5703125" style="214" bestFit="1" customWidth="1"/>
    <col min="11783" max="11783" width="17.140625" style="214" customWidth="1"/>
    <col min="11784" max="11784" width="21.85546875" style="214" bestFit="1" customWidth="1"/>
    <col min="11785" max="11785" width="17.140625" style="214" bestFit="1" customWidth="1"/>
    <col min="11786" max="11786" width="18.140625" style="214" bestFit="1" customWidth="1"/>
    <col min="11787" max="11787" width="26.42578125" style="214" customWidth="1"/>
    <col min="11788" max="12032" width="9.140625" style="214"/>
    <col min="12033" max="12033" width="8.7109375" style="214" bestFit="1" customWidth="1"/>
    <col min="12034" max="12034" width="13.28515625" style="214" customWidth="1"/>
    <col min="12035" max="12035" width="16.140625" style="214" bestFit="1" customWidth="1"/>
    <col min="12036" max="12036" width="23.5703125" style="214" customWidth="1"/>
    <col min="12037" max="12037" width="17.28515625" style="214" customWidth="1"/>
    <col min="12038" max="12038" width="20.5703125" style="214" bestFit="1" customWidth="1"/>
    <col min="12039" max="12039" width="17.140625" style="214" customWidth="1"/>
    <col min="12040" max="12040" width="21.85546875" style="214" bestFit="1" customWidth="1"/>
    <col min="12041" max="12041" width="17.140625" style="214" bestFit="1" customWidth="1"/>
    <col min="12042" max="12042" width="18.140625" style="214" bestFit="1" customWidth="1"/>
    <col min="12043" max="12043" width="26.42578125" style="214" customWidth="1"/>
    <col min="12044" max="12288" width="9.140625" style="214"/>
    <col min="12289" max="12289" width="8.7109375" style="214" bestFit="1" customWidth="1"/>
    <col min="12290" max="12290" width="13.28515625" style="214" customWidth="1"/>
    <col min="12291" max="12291" width="16.140625" style="214" bestFit="1" customWidth="1"/>
    <col min="12292" max="12292" width="23.5703125" style="214" customWidth="1"/>
    <col min="12293" max="12293" width="17.28515625" style="214" customWidth="1"/>
    <col min="12294" max="12294" width="20.5703125" style="214" bestFit="1" customWidth="1"/>
    <col min="12295" max="12295" width="17.140625" style="214" customWidth="1"/>
    <col min="12296" max="12296" width="21.85546875" style="214" bestFit="1" customWidth="1"/>
    <col min="12297" max="12297" width="17.140625" style="214" bestFit="1" customWidth="1"/>
    <col min="12298" max="12298" width="18.140625" style="214" bestFit="1" customWidth="1"/>
    <col min="12299" max="12299" width="26.42578125" style="214" customWidth="1"/>
    <col min="12300" max="12544" width="9.140625" style="214"/>
    <col min="12545" max="12545" width="8.7109375" style="214" bestFit="1" customWidth="1"/>
    <col min="12546" max="12546" width="13.28515625" style="214" customWidth="1"/>
    <col min="12547" max="12547" width="16.140625" style="214" bestFit="1" customWidth="1"/>
    <col min="12548" max="12548" width="23.5703125" style="214" customWidth="1"/>
    <col min="12549" max="12549" width="17.28515625" style="214" customWidth="1"/>
    <col min="12550" max="12550" width="20.5703125" style="214" bestFit="1" customWidth="1"/>
    <col min="12551" max="12551" width="17.140625" style="214" customWidth="1"/>
    <col min="12552" max="12552" width="21.85546875" style="214" bestFit="1" customWidth="1"/>
    <col min="12553" max="12553" width="17.140625" style="214" bestFit="1" customWidth="1"/>
    <col min="12554" max="12554" width="18.140625" style="214" bestFit="1" customWidth="1"/>
    <col min="12555" max="12555" width="26.42578125" style="214" customWidth="1"/>
    <col min="12556" max="12800" width="9.140625" style="214"/>
    <col min="12801" max="12801" width="8.7109375" style="214" bestFit="1" customWidth="1"/>
    <col min="12802" max="12802" width="13.28515625" style="214" customWidth="1"/>
    <col min="12803" max="12803" width="16.140625" style="214" bestFit="1" customWidth="1"/>
    <col min="12804" max="12804" width="23.5703125" style="214" customWidth="1"/>
    <col min="12805" max="12805" width="17.28515625" style="214" customWidth="1"/>
    <col min="12806" max="12806" width="20.5703125" style="214" bestFit="1" customWidth="1"/>
    <col min="12807" max="12807" width="17.140625" style="214" customWidth="1"/>
    <col min="12808" max="12808" width="21.85546875" style="214" bestFit="1" customWidth="1"/>
    <col min="12809" max="12809" width="17.140625" style="214" bestFit="1" customWidth="1"/>
    <col min="12810" max="12810" width="18.140625" style="214" bestFit="1" customWidth="1"/>
    <col min="12811" max="12811" width="26.42578125" style="214" customWidth="1"/>
    <col min="12812" max="13056" width="9.140625" style="214"/>
    <col min="13057" max="13057" width="8.7109375" style="214" bestFit="1" customWidth="1"/>
    <col min="13058" max="13058" width="13.28515625" style="214" customWidth="1"/>
    <col min="13059" max="13059" width="16.140625" style="214" bestFit="1" customWidth="1"/>
    <col min="13060" max="13060" width="23.5703125" style="214" customWidth="1"/>
    <col min="13061" max="13061" width="17.28515625" style="214" customWidth="1"/>
    <col min="13062" max="13062" width="20.5703125" style="214" bestFit="1" customWidth="1"/>
    <col min="13063" max="13063" width="17.140625" style="214" customWidth="1"/>
    <col min="13064" max="13064" width="21.85546875" style="214" bestFit="1" customWidth="1"/>
    <col min="13065" max="13065" width="17.140625" style="214" bestFit="1" customWidth="1"/>
    <col min="13066" max="13066" width="18.140625" style="214" bestFit="1" customWidth="1"/>
    <col min="13067" max="13067" width="26.42578125" style="214" customWidth="1"/>
    <col min="13068" max="13312" width="9.140625" style="214"/>
    <col min="13313" max="13313" width="8.7109375" style="214" bestFit="1" customWidth="1"/>
    <col min="13314" max="13314" width="13.28515625" style="214" customWidth="1"/>
    <col min="13315" max="13315" width="16.140625" style="214" bestFit="1" customWidth="1"/>
    <col min="13316" max="13316" width="23.5703125" style="214" customWidth="1"/>
    <col min="13317" max="13317" width="17.28515625" style="214" customWidth="1"/>
    <col min="13318" max="13318" width="20.5703125" style="214" bestFit="1" customWidth="1"/>
    <col min="13319" max="13319" width="17.140625" style="214" customWidth="1"/>
    <col min="13320" max="13320" width="21.85546875" style="214" bestFit="1" customWidth="1"/>
    <col min="13321" max="13321" width="17.140625" style="214" bestFit="1" customWidth="1"/>
    <col min="13322" max="13322" width="18.140625" style="214" bestFit="1" customWidth="1"/>
    <col min="13323" max="13323" width="26.42578125" style="214" customWidth="1"/>
    <col min="13324" max="13568" width="9.140625" style="214"/>
    <col min="13569" max="13569" width="8.7109375" style="214" bestFit="1" customWidth="1"/>
    <col min="13570" max="13570" width="13.28515625" style="214" customWidth="1"/>
    <col min="13571" max="13571" width="16.140625" style="214" bestFit="1" customWidth="1"/>
    <col min="13572" max="13572" width="23.5703125" style="214" customWidth="1"/>
    <col min="13573" max="13573" width="17.28515625" style="214" customWidth="1"/>
    <col min="13574" max="13574" width="20.5703125" style="214" bestFit="1" customWidth="1"/>
    <col min="13575" max="13575" width="17.140625" style="214" customWidth="1"/>
    <col min="13576" max="13576" width="21.85546875" style="214" bestFit="1" customWidth="1"/>
    <col min="13577" max="13577" width="17.140625" style="214" bestFit="1" customWidth="1"/>
    <col min="13578" max="13578" width="18.140625" style="214" bestFit="1" customWidth="1"/>
    <col min="13579" max="13579" width="26.42578125" style="214" customWidth="1"/>
    <col min="13580" max="13824" width="9.140625" style="214"/>
    <col min="13825" max="13825" width="8.7109375" style="214" bestFit="1" customWidth="1"/>
    <col min="13826" max="13826" width="13.28515625" style="214" customWidth="1"/>
    <col min="13827" max="13827" width="16.140625" style="214" bestFit="1" customWidth="1"/>
    <col min="13828" max="13828" width="23.5703125" style="214" customWidth="1"/>
    <col min="13829" max="13829" width="17.28515625" style="214" customWidth="1"/>
    <col min="13830" max="13830" width="20.5703125" style="214" bestFit="1" customWidth="1"/>
    <col min="13831" max="13831" width="17.140625" style="214" customWidth="1"/>
    <col min="13832" max="13832" width="21.85546875" style="214" bestFit="1" customWidth="1"/>
    <col min="13833" max="13833" width="17.140625" style="214" bestFit="1" customWidth="1"/>
    <col min="13834" max="13834" width="18.140625" style="214" bestFit="1" customWidth="1"/>
    <col min="13835" max="13835" width="26.42578125" style="214" customWidth="1"/>
    <col min="13836" max="14080" width="9.140625" style="214"/>
    <col min="14081" max="14081" width="8.7109375" style="214" bestFit="1" customWidth="1"/>
    <col min="14082" max="14082" width="13.28515625" style="214" customWidth="1"/>
    <col min="14083" max="14083" width="16.140625" style="214" bestFit="1" customWidth="1"/>
    <col min="14084" max="14084" width="23.5703125" style="214" customWidth="1"/>
    <col min="14085" max="14085" width="17.28515625" style="214" customWidth="1"/>
    <col min="14086" max="14086" width="20.5703125" style="214" bestFit="1" customWidth="1"/>
    <col min="14087" max="14087" width="17.140625" style="214" customWidth="1"/>
    <col min="14088" max="14088" width="21.85546875" style="214" bestFit="1" customWidth="1"/>
    <col min="14089" max="14089" width="17.140625" style="214" bestFit="1" customWidth="1"/>
    <col min="14090" max="14090" width="18.140625" style="214" bestFit="1" customWidth="1"/>
    <col min="14091" max="14091" width="26.42578125" style="214" customWidth="1"/>
    <col min="14092" max="14336" width="9.140625" style="214"/>
    <col min="14337" max="14337" width="8.7109375" style="214" bestFit="1" customWidth="1"/>
    <col min="14338" max="14338" width="13.28515625" style="214" customWidth="1"/>
    <col min="14339" max="14339" width="16.140625" style="214" bestFit="1" customWidth="1"/>
    <col min="14340" max="14340" width="23.5703125" style="214" customWidth="1"/>
    <col min="14341" max="14341" width="17.28515625" style="214" customWidth="1"/>
    <col min="14342" max="14342" width="20.5703125" style="214" bestFit="1" customWidth="1"/>
    <col min="14343" max="14343" width="17.140625" style="214" customWidth="1"/>
    <col min="14344" max="14344" width="21.85546875" style="214" bestFit="1" customWidth="1"/>
    <col min="14345" max="14345" width="17.140625" style="214" bestFit="1" customWidth="1"/>
    <col min="14346" max="14346" width="18.140625" style="214" bestFit="1" customWidth="1"/>
    <col min="14347" max="14347" width="26.42578125" style="214" customWidth="1"/>
    <col min="14348" max="14592" width="9.140625" style="214"/>
    <col min="14593" max="14593" width="8.7109375" style="214" bestFit="1" customWidth="1"/>
    <col min="14594" max="14594" width="13.28515625" style="214" customWidth="1"/>
    <col min="14595" max="14595" width="16.140625" style="214" bestFit="1" customWidth="1"/>
    <col min="14596" max="14596" width="23.5703125" style="214" customWidth="1"/>
    <col min="14597" max="14597" width="17.28515625" style="214" customWidth="1"/>
    <col min="14598" max="14598" width="20.5703125" style="214" bestFit="1" customWidth="1"/>
    <col min="14599" max="14599" width="17.140625" style="214" customWidth="1"/>
    <col min="14600" max="14600" width="21.85546875" style="214" bestFit="1" customWidth="1"/>
    <col min="14601" max="14601" width="17.140625" style="214" bestFit="1" customWidth="1"/>
    <col min="14602" max="14602" width="18.140625" style="214" bestFit="1" customWidth="1"/>
    <col min="14603" max="14603" width="26.42578125" style="214" customWidth="1"/>
    <col min="14604" max="14848" width="9.140625" style="214"/>
    <col min="14849" max="14849" width="8.7109375" style="214" bestFit="1" customWidth="1"/>
    <col min="14850" max="14850" width="13.28515625" style="214" customWidth="1"/>
    <col min="14851" max="14851" width="16.140625" style="214" bestFit="1" customWidth="1"/>
    <col min="14852" max="14852" width="23.5703125" style="214" customWidth="1"/>
    <col min="14853" max="14853" width="17.28515625" style="214" customWidth="1"/>
    <col min="14854" max="14854" width="20.5703125" style="214" bestFit="1" customWidth="1"/>
    <col min="14855" max="14855" width="17.140625" style="214" customWidth="1"/>
    <col min="14856" max="14856" width="21.85546875" style="214" bestFit="1" customWidth="1"/>
    <col min="14857" max="14857" width="17.140625" style="214" bestFit="1" customWidth="1"/>
    <col min="14858" max="14858" width="18.140625" style="214" bestFit="1" customWidth="1"/>
    <col min="14859" max="14859" width="26.42578125" style="214" customWidth="1"/>
    <col min="14860" max="15104" width="9.140625" style="214"/>
    <col min="15105" max="15105" width="8.7109375" style="214" bestFit="1" customWidth="1"/>
    <col min="15106" max="15106" width="13.28515625" style="214" customWidth="1"/>
    <col min="15107" max="15107" width="16.140625" style="214" bestFit="1" customWidth="1"/>
    <col min="15108" max="15108" width="23.5703125" style="214" customWidth="1"/>
    <col min="15109" max="15109" width="17.28515625" style="214" customWidth="1"/>
    <col min="15110" max="15110" width="20.5703125" style="214" bestFit="1" customWidth="1"/>
    <col min="15111" max="15111" width="17.140625" style="214" customWidth="1"/>
    <col min="15112" max="15112" width="21.85546875" style="214" bestFit="1" customWidth="1"/>
    <col min="15113" max="15113" width="17.140625" style="214" bestFit="1" customWidth="1"/>
    <col min="15114" max="15114" width="18.140625" style="214" bestFit="1" customWidth="1"/>
    <col min="15115" max="15115" width="26.42578125" style="214" customWidth="1"/>
    <col min="15116" max="15360" width="9.140625" style="214"/>
    <col min="15361" max="15361" width="8.7109375" style="214" bestFit="1" customWidth="1"/>
    <col min="15362" max="15362" width="13.28515625" style="214" customWidth="1"/>
    <col min="15363" max="15363" width="16.140625" style="214" bestFit="1" customWidth="1"/>
    <col min="15364" max="15364" width="23.5703125" style="214" customWidth="1"/>
    <col min="15365" max="15365" width="17.28515625" style="214" customWidth="1"/>
    <col min="15366" max="15366" width="20.5703125" style="214" bestFit="1" customWidth="1"/>
    <col min="15367" max="15367" width="17.140625" style="214" customWidth="1"/>
    <col min="15368" max="15368" width="21.85546875" style="214" bestFit="1" customWidth="1"/>
    <col min="15369" max="15369" width="17.140625" style="214" bestFit="1" customWidth="1"/>
    <col min="15370" max="15370" width="18.140625" style="214" bestFit="1" customWidth="1"/>
    <col min="15371" max="15371" width="26.42578125" style="214" customWidth="1"/>
    <col min="15372" max="15616" width="9.140625" style="214"/>
    <col min="15617" max="15617" width="8.7109375" style="214" bestFit="1" customWidth="1"/>
    <col min="15618" max="15618" width="13.28515625" style="214" customWidth="1"/>
    <col min="15619" max="15619" width="16.140625" style="214" bestFit="1" customWidth="1"/>
    <col min="15620" max="15620" width="23.5703125" style="214" customWidth="1"/>
    <col min="15621" max="15621" width="17.28515625" style="214" customWidth="1"/>
    <col min="15622" max="15622" width="20.5703125" style="214" bestFit="1" customWidth="1"/>
    <col min="15623" max="15623" width="17.140625" style="214" customWidth="1"/>
    <col min="15624" max="15624" width="21.85546875" style="214" bestFit="1" customWidth="1"/>
    <col min="15625" max="15625" width="17.140625" style="214" bestFit="1" customWidth="1"/>
    <col min="15626" max="15626" width="18.140625" style="214" bestFit="1" customWidth="1"/>
    <col min="15627" max="15627" width="26.42578125" style="214" customWidth="1"/>
    <col min="15628" max="15872" width="9.140625" style="214"/>
    <col min="15873" max="15873" width="8.7109375" style="214" bestFit="1" customWidth="1"/>
    <col min="15874" max="15874" width="13.28515625" style="214" customWidth="1"/>
    <col min="15875" max="15875" width="16.140625" style="214" bestFit="1" customWidth="1"/>
    <col min="15876" max="15876" width="23.5703125" style="214" customWidth="1"/>
    <col min="15877" max="15877" width="17.28515625" style="214" customWidth="1"/>
    <col min="15878" max="15878" width="20.5703125" style="214" bestFit="1" customWidth="1"/>
    <col min="15879" max="15879" width="17.140625" style="214" customWidth="1"/>
    <col min="15880" max="15880" width="21.85546875" style="214" bestFit="1" customWidth="1"/>
    <col min="15881" max="15881" width="17.140625" style="214" bestFit="1" customWidth="1"/>
    <col min="15882" max="15882" width="18.140625" style="214" bestFit="1" customWidth="1"/>
    <col min="15883" max="15883" width="26.42578125" style="214" customWidth="1"/>
    <col min="15884" max="16128" width="9.140625" style="214"/>
    <col min="16129" max="16129" width="8.7109375" style="214" bestFit="1" customWidth="1"/>
    <col min="16130" max="16130" width="13.28515625" style="214" customWidth="1"/>
    <col min="16131" max="16131" width="16.140625" style="214" bestFit="1" customWidth="1"/>
    <col min="16132" max="16132" width="23.5703125" style="214" customWidth="1"/>
    <col min="16133" max="16133" width="17.28515625" style="214" customWidth="1"/>
    <col min="16134" max="16134" width="20.5703125" style="214" bestFit="1" customWidth="1"/>
    <col min="16135" max="16135" width="17.140625" style="214" customWidth="1"/>
    <col min="16136" max="16136" width="21.85546875" style="214" bestFit="1" customWidth="1"/>
    <col min="16137" max="16137" width="17.140625" style="214" bestFit="1" customWidth="1"/>
    <col min="16138" max="16138" width="18.140625" style="214" bestFit="1" customWidth="1"/>
    <col min="16139" max="16139" width="26.42578125" style="214" customWidth="1"/>
    <col min="16140" max="16384" width="9.140625" style="214"/>
  </cols>
  <sheetData>
    <row r="1" spans="13:13" s="249" customFormat="1" x14ac:dyDescent="0.2">
      <c r="M1" s="250"/>
    </row>
    <row r="2" spans="13:13" s="249" customFormat="1" x14ac:dyDescent="0.2">
      <c r="M2" s="250"/>
    </row>
    <row r="3" spans="13:13" s="249" customFormat="1" x14ac:dyDescent="0.2">
      <c r="M3" s="250"/>
    </row>
    <row r="4" spans="13:13" s="249" customFormat="1" x14ac:dyDescent="0.2">
      <c r="M4" s="250"/>
    </row>
    <row r="5" spans="13:13" s="249" customFormat="1" x14ac:dyDescent="0.2">
      <c r="M5" s="250"/>
    </row>
    <row r="6" spans="13:13" s="249" customFormat="1" x14ac:dyDescent="0.2">
      <c r="M6" s="250"/>
    </row>
    <row r="7" spans="13:13" s="249" customFormat="1" x14ac:dyDescent="0.2">
      <c r="M7" s="250"/>
    </row>
    <row r="8" spans="13:13" s="249" customFormat="1" x14ac:dyDescent="0.2">
      <c r="M8" s="250"/>
    </row>
    <row r="9" spans="13:13" s="249" customFormat="1" x14ac:dyDescent="0.2">
      <c r="M9" s="250"/>
    </row>
    <row r="10" spans="13:13" s="249" customFormat="1" x14ac:dyDescent="0.2">
      <c r="M10" s="250"/>
    </row>
    <row r="11" spans="13:13" s="249" customFormat="1" x14ac:dyDescent="0.2">
      <c r="M11" s="250"/>
    </row>
    <row r="12" spans="13:13" s="249" customFormat="1" x14ac:dyDescent="0.2">
      <c r="M12" s="250"/>
    </row>
    <row r="13" spans="13:13" s="249" customFormat="1" x14ac:dyDescent="0.2">
      <c r="M13" s="250"/>
    </row>
    <row r="14" spans="13:13" s="249" customFormat="1" x14ac:dyDescent="0.2">
      <c r="M14" s="250"/>
    </row>
    <row r="15" spans="13:13" s="249" customFormat="1" x14ac:dyDescent="0.2">
      <c r="M15" s="250"/>
    </row>
    <row r="16" spans="13:13" s="249" customFormat="1" x14ac:dyDescent="0.2">
      <c r="M16" s="250"/>
    </row>
    <row r="17" spans="13:13" s="249" customFormat="1" x14ac:dyDescent="0.2">
      <c r="M17" s="250"/>
    </row>
    <row r="18" spans="13:13" s="249" customFormat="1" x14ac:dyDescent="0.2">
      <c r="M18" s="250"/>
    </row>
    <row r="19" spans="13:13" s="249" customFormat="1" x14ac:dyDescent="0.2">
      <c r="M19" s="250"/>
    </row>
    <row r="20" spans="13:13" s="249" customFormat="1" x14ac:dyDescent="0.2">
      <c r="M20" s="250"/>
    </row>
    <row r="21" spans="13:13" s="249" customFormat="1" x14ac:dyDescent="0.2">
      <c r="M21" s="250"/>
    </row>
    <row r="22" spans="13:13" s="249" customFormat="1" x14ac:dyDescent="0.2">
      <c r="M22" s="250"/>
    </row>
    <row r="23" spans="13:13" s="249" customFormat="1" x14ac:dyDescent="0.2">
      <c r="M23" s="250"/>
    </row>
    <row r="24" spans="13:13" s="249" customFormat="1" x14ac:dyDescent="0.2">
      <c r="M24" s="250"/>
    </row>
    <row r="25" spans="13:13" s="249" customFormat="1" x14ac:dyDescent="0.2">
      <c r="M25" s="250"/>
    </row>
    <row r="26" spans="13:13" s="249" customFormat="1" x14ac:dyDescent="0.2">
      <c r="M26" s="250"/>
    </row>
    <row r="27" spans="13:13" s="249" customFormat="1" x14ac:dyDescent="0.2">
      <c r="M27" s="250"/>
    </row>
    <row r="28" spans="13:13" s="249" customFormat="1" x14ac:dyDescent="0.2">
      <c r="M28" s="250"/>
    </row>
    <row r="29" spans="13:13" s="249" customFormat="1" x14ac:dyDescent="0.2">
      <c r="M29" s="250"/>
    </row>
    <row r="30" spans="13:13" s="249" customFormat="1" x14ac:dyDescent="0.2">
      <c r="M30" s="250"/>
    </row>
    <row r="31" spans="13:13" s="249" customFormat="1" x14ac:dyDescent="0.2">
      <c r="M31" s="250"/>
    </row>
    <row r="32" spans="13:13" s="249" customFormat="1" x14ac:dyDescent="0.2">
      <c r="M32" s="250"/>
    </row>
    <row r="33" spans="1:13" s="249" customFormat="1" x14ac:dyDescent="0.2">
      <c r="M33" s="250"/>
    </row>
    <row r="34" spans="1:13" s="249" customFormat="1" x14ac:dyDescent="0.2">
      <c r="M34" s="250"/>
    </row>
    <row r="35" spans="1:13" s="249" customFormat="1" x14ac:dyDescent="0.2">
      <c r="M35" s="250"/>
    </row>
    <row r="36" spans="1:13" s="249" customFormat="1" x14ac:dyDescent="0.2">
      <c r="M36" s="250"/>
    </row>
    <row r="37" spans="1:13" s="249" customFormat="1" x14ac:dyDescent="0.2">
      <c r="M37" s="250"/>
    </row>
    <row r="38" spans="1:13" s="249" customFormat="1" x14ac:dyDescent="0.2">
      <c r="M38" s="250"/>
    </row>
    <row r="39" spans="1:13" s="249" customFormat="1" x14ac:dyDescent="0.2">
      <c r="M39" s="250"/>
    </row>
    <row r="40" spans="1:13" s="249" customFormat="1" x14ac:dyDescent="0.2">
      <c r="M40" s="250"/>
    </row>
    <row r="41" spans="1:13" s="249" customFormat="1" x14ac:dyDescent="0.2">
      <c r="M41" s="250"/>
    </row>
    <row r="42" spans="1:13" s="249" customFormat="1" x14ac:dyDescent="0.2">
      <c r="M42" s="250"/>
    </row>
    <row r="43" spans="1:13" s="249" customFormat="1" x14ac:dyDescent="0.2">
      <c r="M43" s="250"/>
    </row>
    <row r="44" spans="1:13" s="249" customFormat="1" ht="15.75" customHeight="1" x14ac:dyDescent="0.2"/>
    <row r="45" spans="1:13" s="249" customFormat="1" ht="23.25" customHeight="1" x14ac:dyDescent="0.2">
      <c r="B45" s="249" t="s">
        <v>863</v>
      </c>
    </row>
    <row r="46" spans="1:13" s="249" customFormat="1" ht="24.75" customHeight="1" x14ac:dyDescent="0.25">
      <c r="A46" s="254" t="e">
        <f>"VIN = "&amp;VIN_min&amp;" V to "&amp;VIN_max&amp;" V, VOUT = "&amp; Vout &amp;" V, IOUT = " &amp;Iout &amp; " A,  Fsw = " &amp; Fsw/1000 &amp;" kHz, Current Limit = "&amp;ROUNDUP(Ilimit_DC,0)&amp;" A"</f>
        <v>#NAME?</v>
      </c>
    </row>
    <row r="47" spans="1:13" ht="24.75" customHeight="1" thickBot="1" x14ac:dyDescent="0.25">
      <c r="A47" s="216" t="s">
        <v>622</v>
      </c>
    </row>
    <row r="48" spans="1:13" ht="18" customHeight="1" x14ac:dyDescent="0.2">
      <c r="A48" s="489" t="s">
        <v>318</v>
      </c>
      <c r="B48" s="490" t="s">
        <v>317</v>
      </c>
      <c r="C48" s="490" t="s">
        <v>8</v>
      </c>
      <c r="D48" s="858" t="s">
        <v>109</v>
      </c>
      <c r="E48" s="859"/>
      <c r="F48" s="859"/>
      <c r="G48" s="860"/>
      <c r="H48" s="491" t="s">
        <v>304</v>
      </c>
      <c r="I48" s="491" t="s">
        <v>188</v>
      </c>
      <c r="J48" s="491" t="s">
        <v>305</v>
      </c>
      <c r="L48" s="215"/>
      <c r="M48" s="214"/>
    </row>
    <row r="49" spans="1:12" s="221" customFormat="1" ht="15.75" customHeight="1" x14ac:dyDescent="0.2">
      <c r="A49" s="218">
        <v>2</v>
      </c>
      <c r="B49" s="219" t="s">
        <v>633</v>
      </c>
      <c r="C49" s="233">
        <v>0.1</v>
      </c>
      <c r="D49" s="881">
        <f t="shared" ref="D49:D59" si="0">C49</f>
        <v>0.1</v>
      </c>
      <c r="E49" s="882"/>
      <c r="F49" s="882"/>
      <c r="G49" s="234"/>
      <c r="H49" s="235" t="s">
        <v>309</v>
      </c>
      <c r="I49" s="220" t="s">
        <v>306</v>
      </c>
      <c r="J49" s="220" t="s">
        <v>306</v>
      </c>
      <c r="L49" s="222"/>
    </row>
    <row r="50" spans="1:12" s="221" customFormat="1" ht="15.75" x14ac:dyDescent="0.2">
      <c r="A50" s="217">
        <v>1</v>
      </c>
      <c r="B50" s="236" t="s">
        <v>310</v>
      </c>
      <c r="C50" s="245">
        <f>'Design Converter'!E91</f>
        <v>100</v>
      </c>
      <c r="D50" s="883">
        <f t="shared" si="0"/>
        <v>100</v>
      </c>
      <c r="E50" s="884"/>
      <c r="F50" s="884"/>
      <c r="G50" s="238"/>
      <c r="H50" s="239" t="s">
        <v>309</v>
      </c>
      <c r="I50" s="240" t="s">
        <v>306</v>
      </c>
      <c r="J50" s="240" t="s">
        <v>306</v>
      </c>
      <c r="L50" s="222"/>
    </row>
    <row r="51" spans="1:12" s="221" customFormat="1" ht="15.75" x14ac:dyDescent="0.2">
      <c r="A51" s="217">
        <v>1</v>
      </c>
      <c r="B51" s="236" t="s">
        <v>311</v>
      </c>
      <c r="C51" s="237">
        <f>'Design Converter'!E92</f>
        <v>1000</v>
      </c>
      <c r="D51" s="889">
        <f t="shared" si="0"/>
        <v>1000</v>
      </c>
      <c r="E51" s="890"/>
      <c r="F51" s="890"/>
      <c r="G51" s="238"/>
      <c r="H51" s="239" t="s">
        <v>309</v>
      </c>
      <c r="I51" s="240" t="s">
        <v>306</v>
      </c>
      <c r="J51" s="240" t="s">
        <v>306</v>
      </c>
      <c r="L51" s="222"/>
    </row>
    <row r="52" spans="1:12" s="221" customFormat="1" ht="15.75" x14ac:dyDescent="0.2">
      <c r="A52" s="217">
        <v>1</v>
      </c>
      <c r="B52" s="236" t="s">
        <v>885</v>
      </c>
      <c r="C52" s="576">
        <f>Rslope/1000</f>
        <v>52.083333333333336</v>
      </c>
      <c r="D52" s="889"/>
      <c r="E52" s="890"/>
      <c r="F52" s="890"/>
      <c r="G52" s="238"/>
      <c r="H52" s="239" t="s">
        <v>309</v>
      </c>
      <c r="I52" s="240" t="s">
        <v>306</v>
      </c>
      <c r="J52" s="240" t="s">
        <v>306</v>
      </c>
      <c r="L52" s="222"/>
    </row>
    <row r="53" spans="1:12" s="221" customFormat="1" ht="15.75" x14ac:dyDescent="0.2">
      <c r="A53" s="228">
        <v>1</v>
      </c>
      <c r="B53" s="229" t="s">
        <v>312</v>
      </c>
      <c r="C53" s="241">
        <v>100</v>
      </c>
      <c r="D53" s="891">
        <f>C53</f>
        <v>100</v>
      </c>
      <c r="E53" s="892"/>
      <c r="F53" s="892"/>
      <c r="G53" s="242"/>
      <c r="H53" s="231" t="s">
        <v>309</v>
      </c>
      <c r="I53" s="232" t="s">
        <v>306</v>
      </c>
      <c r="J53" s="232" t="s">
        <v>306</v>
      </c>
      <c r="L53" s="222"/>
    </row>
    <row r="54" spans="1:12" s="221" customFormat="1" ht="15.75" x14ac:dyDescent="0.2">
      <c r="A54" s="223">
        <v>1</v>
      </c>
      <c r="B54" s="224" t="s">
        <v>632</v>
      </c>
      <c r="C54" s="438">
        <f>Cdither*1000000000</f>
        <v>0</v>
      </c>
      <c r="D54" s="861">
        <f>C54</f>
        <v>0</v>
      </c>
      <c r="E54" s="862"/>
      <c r="F54" s="862"/>
      <c r="G54" s="439"/>
      <c r="H54" s="226" t="s">
        <v>309</v>
      </c>
      <c r="I54" s="227" t="s">
        <v>306</v>
      </c>
      <c r="J54" s="227" t="s">
        <v>306</v>
      </c>
      <c r="L54" s="222"/>
    </row>
    <row r="55" spans="1:12" s="221" customFormat="1" ht="15.75" x14ac:dyDescent="0.2">
      <c r="A55" s="217">
        <f>ROUNDUP('Design Converter'!E54/10,0)</f>
        <v>10</v>
      </c>
      <c r="B55" s="236" t="s">
        <v>313</v>
      </c>
      <c r="C55" s="244">
        <v>10</v>
      </c>
      <c r="D55" s="895">
        <f>C55</f>
        <v>10</v>
      </c>
      <c r="E55" s="896"/>
      <c r="F55" s="896"/>
      <c r="G55" s="238"/>
      <c r="H55" s="239">
        <v>1210</v>
      </c>
      <c r="I55" s="240" t="s">
        <v>306</v>
      </c>
      <c r="J55" s="240" t="s">
        <v>306</v>
      </c>
      <c r="L55" s="222"/>
    </row>
    <row r="56" spans="1:12" s="221" customFormat="1" ht="15.75" x14ac:dyDescent="0.2">
      <c r="A56" s="217">
        <f>ROUNDUP('Design Converter'!E45/22,0)</f>
        <v>5</v>
      </c>
      <c r="B56" s="236" t="s">
        <v>314</v>
      </c>
      <c r="C56" s="244">
        <v>22</v>
      </c>
      <c r="D56" s="885">
        <f>C56</f>
        <v>22</v>
      </c>
      <c r="E56" s="886"/>
      <c r="F56" s="886"/>
      <c r="G56" s="238"/>
      <c r="H56" s="239">
        <v>1210</v>
      </c>
      <c r="I56" s="240" t="s">
        <v>306</v>
      </c>
      <c r="J56" s="240" t="s">
        <v>306</v>
      </c>
      <c r="L56" s="222"/>
    </row>
    <row r="57" spans="1:12" s="221" customFormat="1" ht="15.75" x14ac:dyDescent="0.2">
      <c r="A57" s="217">
        <v>1</v>
      </c>
      <c r="B57" s="236" t="s">
        <v>315</v>
      </c>
      <c r="C57" s="245">
        <f>'Design Converter'!E63</f>
        <v>2700</v>
      </c>
      <c r="D57" s="883">
        <f>C57</f>
        <v>2700</v>
      </c>
      <c r="E57" s="884"/>
      <c r="F57" s="884"/>
      <c r="G57" s="238"/>
      <c r="H57" s="239" t="s">
        <v>309</v>
      </c>
      <c r="I57" s="240" t="s">
        <v>306</v>
      </c>
      <c r="J57" s="240" t="s">
        <v>306</v>
      </c>
      <c r="L57" s="222"/>
    </row>
    <row r="58" spans="1:12" s="221" customFormat="1" ht="15.75" x14ac:dyDescent="0.2">
      <c r="A58" s="228">
        <v>1</v>
      </c>
      <c r="B58" s="229" t="s">
        <v>634</v>
      </c>
      <c r="C58" s="243">
        <v>1</v>
      </c>
      <c r="D58" s="893">
        <f t="shared" si="0"/>
        <v>1</v>
      </c>
      <c r="E58" s="894"/>
      <c r="F58" s="894"/>
      <c r="G58" s="242"/>
      <c r="H58" s="231" t="s">
        <v>309</v>
      </c>
      <c r="I58" s="232" t="s">
        <v>306</v>
      </c>
      <c r="J58" s="232" t="s">
        <v>306</v>
      </c>
      <c r="L58" s="222"/>
    </row>
    <row r="59" spans="1:12" s="221" customFormat="1" ht="15.75" x14ac:dyDescent="0.2">
      <c r="A59" s="228">
        <v>1</v>
      </c>
      <c r="B59" s="229" t="s">
        <v>316</v>
      </c>
      <c r="C59" s="243">
        <v>0.1</v>
      </c>
      <c r="D59" s="887">
        <f t="shared" si="0"/>
        <v>0.1</v>
      </c>
      <c r="E59" s="888"/>
      <c r="F59" s="888"/>
      <c r="G59" s="242"/>
      <c r="H59" s="231" t="s">
        <v>309</v>
      </c>
      <c r="I59" s="232" t="s">
        <v>306</v>
      </c>
      <c r="J59" s="232" t="s">
        <v>306</v>
      </c>
      <c r="L59" s="222"/>
    </row>
    <row r="60" spans="1:12" s="221" customFormat="1" ht="15.75" customHeight="1" x14ac:dyDescent="0.2">
      <c r="A60" s="228">
        <v>3</v>
      </c>
      <c r="B60" s="229" t="s">
        <v>631</v>
      </c>
      <c r="C60" s="246" t="s">
        <v>307</v>
      </c>
      <c r="D60" s="897" t="s">
        <v>630</v>
      </c>
      <c r="E60" s="898"/>
      <c r="F60" s="898"/>
      <c r="G60" s="242"/>
      <c r="H60" s="247" t="s">
        <v>320</v>
      </c>
      <c r="I60" s="232" t="s">
        <v>320</v>
      </c>
      <c r="J60" s="232" t="s">
        <v>319</v>
      </c>
      <c r="L60" s="222"/>
    </row>
    <row r="61" spans="1:12" s="221" customFormat="1" ht="15.75" x14ac:dyDescent="0.2">
      <c r="A61" s="217">
        <v>1</v>
      </c>
      <c r="B61" s="236" t="s">
        <v>626</v>
      </c>
      <c r="C61" s="248">
        <f>'Design Converter'!E18</f>
        <v>2.64</v>
      </c>
      <c r="D61" s="875" t="str">
        <f>"Inductor, "&amp;Lf*1000000&amp;"µH, "&amp;Rdcr*1000&amp;"mΩ, &gt;"&amp;ROUNDUP(IL_peak_OCP*1.1,0)&amp;"A"</f>
        <v>Inductor, 2.64µH, 5.8mΩ, &gt;25A</v>
      </c>
      <c r="E61" s="876"/>
      <c r="F61" s="876"/>
      <c r="G61" s="877"/>
      <c r="H61" s="240" t="s">
        <v>320</v>
      </c>
      <c r="I61" s="240" t="s">
        <v>320</v>
      </c>
      <c r="J61" s="240" t="s">
        <v>319</v>
      </c>
      <c r="L61" s="222"/>
    </row>
    <row r="62" spans="1:12" s="221" customFormat="1" ht="15.75" x14ac:dyDescent="0.2">
      <c r="A62" s="228">
        <v>2</v>
      </c>
      <c r="B62" s="229" t="s">
        <v>722</v>
      </c>
      <c r="C62" s="246" t="s">
        <v>307</v>
      </c>
      <c r="D62" s="869">
        <f>'Design Converter'!E99</f>
        <v>4.2</v>
      </c>
      <c r="E62" s="870"/>
      <c r="F62" s="870"/>
      <c r="G62" s="871"/>
      <c r="H62" s="232" t="s">
        <v>306</v>
      </c>
      <c r="I62" s="232" t="str">
        <f>'Design Converter'!E97</f>
        <v>ISZ034N06LM5ATMA1</v>
      </c>
      <c r="J62" s="232" t="s">
        <v>320</v>
      </c>
      <c r="L62" s="222"/>
    </row>
    <row r="63" spans="1:12" s="221" customFormat="1" ht="15.75" x14ac:dyDescent="0.2">
      <c r="A63" s="228">
        <v>2</v>
      </c>
      <c r="B63" s="229" t="s">
        <v>723</v>
      </c>
      <c r="C63" s="246" t="s">
        <v>307</v>
      </c>
      <c r="D63" s="869">
        <f>'Design Converter'!E112</f>
        <v>4.2</v>
      </c>
      <c r="E63" s="870"/>
      <c r="F63" s="870"/>
      <c r="G63" s="871"/>
      <c r="H63" s="232" t="s">
        <v>306</v>
      </c>
      <c r="I63" s="232" t="str">
        <f>'Design Converter'!E110</f>
        <v>ISZ034N06LM5ATMA1</v>
      </c>
      <c r="J63" s="232" t="s">
        <v>320</v>
      </c>
      <c r="L63" s="222"/>
    </row>
    <row r="64" spans="1:12" s="221" customFormat="1" ht="15.75" x14ac:dyDescent="0.2">
      <c r="A64" s="223">
        <v>1</v>
      </c>
      <c r="B64" s="224" t="s">
        <v>321</v>
      </c>
      <c r="C64" s="225">
        <f>'Design Converter'!E90</f>
        <v>100</v>
      </c>
      <c r="D64" s="866">
        <f t="shared" ref="D64:D74" si="1">C64</f>
        <v>100</v>
      </c>
      <c r="E64" s="867"/>
      <c r="F64" s="867"/>
      <c r="G64" s="868"/>
      <c r="H64" s="226" t="s">
        <v>309</v>
      </c>
      <c r="I64" s="227" t="s">
        <v>306</v>
      </c>
      <c r="J64" s="227" t="s">
        <v>306</v>
      </c>
      <c r="L64" s="222"/>
    </row>
    <row r="65" spans="1:12" s="221" customFormat="1" ht="15.75" x14ac:dyDescent="0.2">
      <c r="A65" s="223">
        <v>1</v>
      </c>
      <c r="B65" s="224" t="s">
        <v>325</v>
      </c>
      <c r="C65" s="437">
        <f>Rs*1000</f>
        <v>2.5</v>
      </c>
      <c r="D65" s="872">
        <f t="shared" si="1"/>
        <v>2.5</v>
      </c>
      <c r="E65" s="873"/>
      <c r="F65" s="873"/>
      <c r="G65" s="874"/>
      <c r="H65" s="226">
        <v>2512</v>
      </c>
      <c r="I65" s="227" t="s">
        <v>306</v>
      </c>
      <c r="J65" s="227" t="s">
        <v>306</v>
      </c>
      <c r="L65" s="222"/>
    </row>
    <row r="66" spans="1:12" s="221" customFormat="1" ht="15.75" x14ac:dyDescent="0.2">
      <c r="A66" s="223">
        <v>1</v>
      </c>
      <c r="B66" s="224" t="s">
        <v>749</v>
      </c>
      <c r="C66" s="437">
        <f>'Standard Value Calculator'!R21</f>
        <v>10</v>
      </c>
      <c r="D66" s="872">
        <f>C66</f>
        <v>10</v>
      </c>
      <c r="E66" s="873"/>
      <c r="F66" s="873"/>
      <c r="G66" s="874"/>
      <c r="H66" s="226">
        <v>2512</v>
      </c>
      <c r="I66" s="227" t="s">
        <v>306</v>
      </c>
      <c r="J66" s="227" t="s">
        <v>306</v>
      </c>
      <c r="L66" s="222"/>
    </row>
    <row r="67" spans="1:12" s="221" customFormat="1" ht="15.75" x14ac:dyDescent="0.2">
      <c r="A67" s="223">
        <v>1</v>
      </c>
      <c r="B67" s="224" t="s">
        <v>628</v>
      </c>
      <c r="C67" s="225">
        <f>'Design Converter'!E13</f>
        <v>52.3</v>
      </c>
      <c r="D67" s="866">
        <f t="shared" si="1"/>
        <v>52.3</v>
      </c>
      <c r="E67" s="867"/>
      <c r="F67" s="867"/>
      <c r="G67" s="868"/>
      <c r="H67" s="226" t="s">
        <v>309</v>
      </c>
      <c r="I67" s="227" t="s">
        <v>306</v>
      </c>
      <c r="J67" s="227" t="s">
        <v>306</v>
      </c>
      <c r="L67" s="222"/>
    </row>
    <row r="68" spans="1:12" s="221" customFormat="1" ht="15.75" x14ac:dyDescent="0.2">
      <c r="A68" s="223">
        <v>1</v>
      </c>
      <c r="B68" s="224" t="s">
        <v>327</v>
      </c>
      <c r="C68" s="225">
        <f>'Design Converter'!E78</f>
        <v>82</v>
      </c>
      <c r="D68" s="866">
        <f t="shared" si="1"/>
        <v>82</v>
      </c>
      <c r="E68" s="867"/>
      <c r="F68" s="867"/>
      <c r="G68" s="868"/>
      <c r="H68" s="226" t="s">
        <v>309</v>
      </c>
      <c r="I68" s="227" t="s">
        <v>306</v>
      </c>
      <c r="J68" s="227" t="s">
        <v>306</v>
      </c>
      <c r="L68" s="222"/>
    </row>
    <row r="69" spans="1:12" s="221" customFormat="1" ht="15.75" x14ac:dyDescent="0.2">
      <c r="A69" s="223">
        <v>1</v>
      </c>
      <c r="B69" s="224" t="s">
        <v>328</v>
      </c>
      <c r="C69" s="225">
        <f>'Design Converter'!E79</f>
        <v>6.04</v>
      </c>
      <c r="D69" s="866">
        <f t="shared" si="1"/>
        <v>6.04</v>
      </c>
      <c r="E69" s="867"/>
      <c r="F69" s="867"/>
      <c r="G69" s="868"/>
      <c r="H69" s="226" t="s">
        <v>309</v>
      </c>
      <c r="I69" s="227" t="s">
        <v>306</v>
      </c>
      <c r="J69" s="227" t="s">
        <v>306</v>
      </c>
      <c r="L69" s="222"/>
    </row>
    <row r="70" spans="1:12" s="221" customFormat="1" ht="15.75" x14ac:dyDescent="0.2">
      <c r="A70" s="228">
        <v>1</v>
      </c>
      <c r="B70" s="229" t="s">
        <v>326</v>
      </c>
      <c r="C70" s="230">
        <v>20</v>
      </c>
      <c r="D70" s="863">
        <f t="shared" si="1"/>
        <v>20</v>
      </c>
      <c r="E70" s="864"/>
      <c r="F70" s="864"/>
      <c r="G70" s="865"/>
      <c r="H70" s="231" t="s">
        <v>309</v>
      </c>
      <c r="I70" s="232" t="s">
        <v>306</v>
      </c>
      <c r="J70" s="232" t="s">
        <v>306</v>
      </c>
      <c r="L70" s="222"/>
    </row>
    <row r="71" spans="1:12" s="435" customFormat="1" ht="15.75" x14ac:dyDescent="0.2">
      <c r="A71" s="228">
        <v>2</v>
      </c>
      <c r="B71" s="229" t="s">
        <v>627</v>
      </c>
      <c r="C71" s="246">
        <v>100</v>
      </c>
      <c r="D71" s="878">
        <f t="shared" si="1"/>
        <v>100</v>
      </c>
      <c r="E71" s="879"/>
      <c r="F71" s="879"/>
      <c r="G71" s="880"/>
      <c r="H71" s="231" t="s">
        <v>309</v>
      </c>
      <c r="I71" s="232" t="s">
        <v>306</v>
      </c>
      <c r="J71" s="232" t="s">
        <v>306</v>
      </c>
      <c r="L71" s="436"/>
    </row>
    <row r="72" spans="1:12" s="221" customFormat="1" ht="15.75" x14ac:dyDescent="0.2">
      <c r="A72" s="223">
        <v>1</v>
      </c>
      <c r="B72" s="224" t="s">
        <v>322</v>
      </c>
      <c r="C72" s="225" t="str">
        <f>'Design Converter'!E67</f>
        <v>N/A</v>
      </c>
      <c r="D72" s="866" t="str">
        <f t="shared" si="1"/>
        <v>N/A</v>
      </c>
      <c r="E72" s="867"/>
      <c r="F72" s="867"/>
      <c r="G72" s="868"/>
      <c r="H72" s="226" t="s">
        <v>309</v>
      </c>
      <c r="I72" s="227" t="s">
        <v>306</v>
      </c>
      <c r="J72" s="227" t="s">
        <v>306</v>
      </c>
      <c r="L72" s="222"/>
    </row>
    <row r="73" spans="1:12" s="221" customFormat="1" ht="15.75" x14ac:dyDescent="0.2">
      <c r="A73" s="223">
        <v>1</v>
      </c>
      <c r="B73" s="224" t="s">
        <v>323</v>
      </c>
      <c r="C73" s="225" t="str">
        <f>'Design Converter'!E68</f>
        <v>N/A</v>
      </c>
      <c r="D73" s="866" t="str">
        <f t="shared" si="1"/>
        <v>N/A</v>
      </c>
      <c r="E73" s="867"/>
      <c r="F73" s="867"/>
      <c r="G73" s="868"/>
      <c r="H73" s="226" t="s">
        <v>309</v>
      </c>
      <c r="I73" s="227" t="s">
        <v>306</v>
      </c>
      <c r="J73" s="227" t="s">
        <v>306</v>
      </c>
      <c r="L73" s="222"/>
    </row>
    <row r="74" spans="1:12" s="221" customFormat="1" ht="15.75" x14ac:dyDescent="0.2">
      <c r="A74" s="228">
        <v>1</v>
      </c>
      <c r="B74" s="229" t="s">
        <v>324</v>
      </c>
      <c r="C74" s="246">
        <v>2.2000000000000002</v>
      </c>
      <c r="D74" s="878">
        <f t="shared" si="1"/>
        <v>2.2000000000000002</v>
      </c>
      <c r="E74" s="879"/>
      <c r="F74" s="879"/>
      <c r="G74" s="880"/>
      <c r="H74" s="231" t="s">
        <v>309</v>
      </c>
      <c r="I74" s="232" t="s">
        <v>306</v>
      </c>
      <c r="J74" s="232" t="s">
        <v>306</v>
      </c>
      <c r="L74" s="222"/>
    </row>
    <row r="75" spans="1:12" s="221" customFormat="1" ht="14.25" customHeight="1" x14ac:dyDescent="0.2">
      <c r="A75" s="844">
        <v>1</v>
      </c>
      <c r="B75" s="856" t="s">
        <v>329</v>
      </c>
      <c r="C75" s="854" t="s">
        <v>864</v>
      </c>
      <c r="D75" s="848" t="s">
        <v>865</v>
      </c>
      <c r="E75" s="849"/>
      <c r="F75" s="849"/>
      <c r="G75" s="850"/>
      <c r="H75" s="846" t="s">
        <v>867</v>
      </c>
      <c r="I75" s="846" t="s">
        <v>866</v>
      </c>
      <c r="J75" s="846" t="s">
        <v>308</v>
      </c>
      <c r="L75" s="222"/>
    </row>
    <row r="76" spans="1:12" x14ac:dyDescent="0.2">
      <c r="A76" s="845"/>
      <c r="B76" s="857"/>
      <c r="C76" s="855"/>
      <c r="D76" s="851"/>
      <c r="E76" s="852"/>
      <c r="F76" s="852"/>
      <c r="G76" s="853"/>
      <c r="H76" s="847"/>
      <c r="I76" s="847"/>
      <c r="J76" s="847"/>
    </row>
    <row r="78" spans="1:12" x14ac:dyDescent="0.2">
      <c r="A78" s="256" t="s">
        <v>340</v>
      </c>
    </row>
    <row r="79" spans="1:12" ht="14.25" x14ac:dyDescent="0.2">
      <c r="A79" s="128" t="s">
        <v>850</v>
      </c>
      <c r="D79" s="561" t="s">
        <v>849</v>
      </c>
      <c r="E79" s="214" t="s">
        <v>851</v>
      </c>
    </row>
    <row r="80" spans="1:12" x14ac:dyDescent="0.2">
      <c r="A80" s="214" t="s">
        <v>636</v>
      </c>
    </row>
    <row r="81" spans="1:1" x14ac:dyDescent="0.2">
      <c r="A81" s="214" t="s">
        <v>629</v>
      </c>
    </row>
  </sheetData>
  <sheetProtection selectLockedCells="1" selectUnlockedCells="1"/>
  <mergeCells count="34">
    <mergeCell ref="D72:G72"/>
    <mergeCell ref="D73:G73"/>
    <mergeCell ref="D74:G74"/>
    <mergeCell ref="D71:G71"/>
    <mergeCell ref="D49:F49"/>
    <mergeCell ref="D50:F50"/>
    <mergeCell ref="D56:F56"/>
    <mergeCell ref="D57:F57"/>
    <mergeCell ref="D59:F59"/>
    <mergeCell ref="D51:F51"/>
    <mergeCell ref="D52:F52"/>
    <mergeCell ref="D53:F53"/>
    <mergeCell ref="D58:F58"/>
    <mergeCell ref="D55:F55"/>
    <mergeCell ref="D60:F60"/>
    <mergeCell ref="D64:G64"/>
    <mergeCell ref="D48:G48"/>
    <mergeCell ref="D54:F54"/>
    <mergeCell ref="D70:G70"/>
    <mergeCell ref="D68:G68"/>
    <mergeCell ref="D69:G69"/>
    <mergeCell ref="D62:G62"/>
    <mergeCell ref="D63:G63"/>
    <mergeCell ref="D67:G67"/>
    <mergeCell ref="D65:G65"/>
    <mergeCell ref="D66:G66"/>
    <mergeCell ref="D61:G61"/>
    <mergeCell ref="A75:A76"/>
    <mergeCell ref="J75:J76"/>
    <mergeCell ref="D75:G76"/>
    <mergeCell ref="C75:C76"/>
    <mergeCell ref="B75:B76"/>
    <mergeCell ref="H75:H76"/>
    <mergeCell ref="I75:I76"/>
  </mergeCells>
  <hyperlinks>
    <hyperlink ref="D79" r:id="rId1" xr:uid="{00000000-0004-0000-0100-000000000000}"/>
  </hyperlinks>
  <printOptions horizontalCentered="1"/>
  <pageMargins left="0.23" right="0.23" top="0.7" bottom="0.61" header="0.3" footer="0.5"/>
  <pageSetup scale="46" fitToHeight="2" orientation="landscape" r:id="rId2"/>
  <headerFooter alignWithMargins="0"/>
  <ignoredErrors>
    <ignoredError sqref="H49:H54 H72:H74 H68:H70 H64 H58:H59 H57 H61 H67 H71" numberStoredAsText="1"/>
  </ignoredError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0000FF"/>
    <pageSetUpPr fitToPage="1"/>
  </sheetPr>
  <dimension ref="A1:W6"/>
  <sheetViews>
    <sheetView zoomScale="85" zoomScaleNormal="85" zoomScaleSheetLayoutView="80" workbookViewId="0">
      <selection sqref="A1:Q1"/>
    </sheetView>
  </sheetViews>
  <sheetFormatPr defaultColWidth="9.140625" defaultRowHeight="12.75" x14ac:dyDescent="0.2"/>
  <cols>
    <col min="1" max="13" width="9.140625" style="121"/>
    <col min="14" max="14" width="11.85546875" style="121" customWidth="1"/>
    <col min="15" max="16" width="9.140625" style="121"/>
    <col min="17" max="17" width="15.7109375" style="121" customWidth="1"/>
    <col min="18" max="16384" width="9.140625" style="121"/>
  </cols>
  <sheetData>
    <row r="1" spans="1:23" s="113" customFormat="1" ht="47.25" customHeight="1" x14ac:dyDescent="0.2">
      <c r="A1" s="899" t="s">
        <v>848</v>
      </c>
      <c r="B1" s="900"/>
      <c r="C1" s="900"/>
      <c r="D1" s="900"/>
      <c r="E1" s="900"/>
      <c r="F1" s="900"/>
      <c r="G1" s="900"/>
      <c r="H1" s="900"/>
      <c r="I1" s="900"/>
      <c r="J1" s="900"/>
      <c r="K1" s="900"/>
      <c r="L1" s="900"/>
      <c r="M1" s="900"/>
      <c r="N1" s="900"/>
      <c r="O1" s="900"/>
      <c r="P1" s="900"/>
      <c r="Q1" s="900"/>
    </row>
    <row r="6" spans="1:23" ht="20.25" x14ac:dyDescent="0.3">
      <c r="B6" s="122" t="s">
        <v>762</v>
      </c>
      <c r="M6" s="122" t="s">
        <v>763</v>
      </c>
      <c r="W6" s="122" t="s">
        <v>764</v>
      </c>
    </row>
  </sheetData>
  <mergeCells count="1">
    <mergeCell ref="A1:Q1"/>
  </mergeCells>
  <pageMargins left="0.19" right="0.2" top="0.75" bottom="0.75" header="0.3" footer="0.3"/>
  <pageSetup scale="30"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1D6A6-D833-4AF0-ADD8-36F775973604}">
  <sheetPr codeName="Sheet19"/>
  <dimension ref="A1"/>
  <sheetViews>
    <sheetView showGridLines="0" workbookViewId="0">
      <selection activeCell="H46" sqref="H46"/>
    </sheetView>
  </sheetViews>
  <sheetFormatPr defaultColWidth="9.140625" defaultRowHeight="12.75" x14ac:dyDescent="0.2"/>
  <cols>
    <col min="1" max="16384" width="9.140625" style="675"/>
  </cols>
  <sheetData/>
  <sheetProtection algorithmName="SHA-512" hashValue="OSOKrqeXdzLnf2P+rWGXWmf9fuiUmkNE5ODQsvOuBoWU9zKTIwdE3O3pCs5GZQ0dMhiqMe8j/k2I6wUcKkoJaw==" saltValue="d1yQfDU1vxC2kqbwHnnVVA==" spinCount="100000" sheet="1" objects="1" scenarios="1" selectLockedCells="1" selectUnlockedCells="1"/>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125B3-1BD9-46F1-A1E6-174C2A721FAD}">
  <sheetPr codeName="Sheet18"/>
  <dimension ref="B5:C12"/>
  <sheetViews>
    <sheetView showGridLines="0" zoomScale="70" zoomScaleNormal="70" workbookViewId="0"/>
  </sheetViews>
  <sheetFormatPr defaultColWidth="9.140625" defaultRowHeight="12.75" x14ac:dyDescent="0.2"/>
  <cols>
    <col min="1" max="1" width="10.5703125" style="405" customWidth="1"/>
    <col min="2" max="2" width="132.7109375" style="405" customWidth="1"/>
    <col min="3" max="16384" width="9.140625" style="405"/>
  </cols>
  <sheetData>
    <row r="5" spans="2:3" ht="409.5" customHeight="1" x14ac:dyDescent="0.2">
      <c r="B5" s="249"/>
      <c r="C5" s="681"/>
    </row>
    <row r="7" spans="2:3" ht="409.5" customHeight="1" x14ac:dyDescent="0.2">
      <c r="B7" s="249"/>
    </row>
    <row r="10" spans="2:3" ht="409.5" customHeight="1" x14ac:dyDescent="0.2"/>
    <row r="12" spans="2:3" ht="408" customHeight="1" x14ac:dyDescent="0.2"/>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F187B-EEFE-4A61-A2A5-EB1F1CBC2558}">
  <sheetPr codeName="Sheet16"/>
  <dimension ref="A1:Q66"/>
  <sheetViews>
    <sheetView workbookViewId="0">
      <selection activeCell="D24" sqref="D24"/>
    </sheetView>
  </sheetViews>
  <sheetFormatPr defaultRowHeight="12.75" x14ac:dyDescent="0.2"/>
  <cols>
    <col min="1" max="1" width="30.28515625" bestFit="1" customWidth="1"/>
    <col min="2" max="2" width="16.5703125" bestFit="1" customWidth="1"/>
    <col min="7" max="7" width="10.7109375" bestFit="1" customWidth="1"/>
    <col min="14" max="14" width="9.7109375" bestFit="1" customWidth="1"/>
    <col min="16" max="16" width="11.28515625" bestFit="1" customWidth="1"/>
    <col min="17" max="17" width="14.5703125" bestFit="1" customWidth="1"/>
  </cols>
  <sheetData>
    <row r="1" spans="1:17" ht="27.75" x14ac:dyDescent="0.4">
      <c r="A1" s="901" t="s">
        <v>986</v>
      </c>
      <c r="B1" s="901"/>
      <c r="C1" s="901"/>
      <c r="D1" s="901"/>
      <c r="E1" s="901"/>
      <c r="F1" s="901"/>
      <c r="G1" s="901"/>
      <c r="H1" s="901"/>
      <c r="I1" s="901"/>
    </row>
    <row r="2" spans="1:17" x14ac:dyDescent="0.2">
      <c r="A2" s="49"/>
      <c r="B2" s="49" t="s">
        <v>224</v>
      </c>
      <c r="C2" s="50"/>
      <c r="E2" s="568"/>
      <c r="F2" s="49" t="s">
        <v>871</v>
      </c>
      <c r="G2" s="49"/>
      <c r="H2" s="49"/>
      <c r="I2" s="49"/>
    </row>
    <row r="3" spans="1:17" x14ac:dyDescent="0.2">
      <c r="A3" s="49"/>
      <c r="B3" s="49" t="s">
        <v>272</v>
      </c>
      <c r="C3" s="51"/>
      <c r="E3" s="49"/>
      <c r="F3" s="49"/>
      <c r="G3" s="49"/>
      <c r="H3" s="49"/>
      <c r="I3" s="49"/>
    </row>
    <row r="4" spans="1:17" x14ac:dyDescent="0.2">
      <c r="A4" s="49"/>
      <c r="B4" s="49" t="s">
        <v>225</v>
      </c>
      <c r="C4" s="52"/>
      <c r="E4" s="49"/>
      <c r="F4" s="49"/>
      <c r="G4" s="49"/>
      <c r="H4" s="49"/>
      <c r="I4" s="49"/>
    </row>
    <row r="5" spans="1:17" x14ac:dyDescent="0.2">
      <c r="A5" s="2" t="s">
        <v>51</v>
      </c>
      <c r="B5" s="2" t="s">
        <v>987</v>
      </c>
      <c r="C5" s="2" t="s">
        <v>9</v>
      </c>
      <c r="D5" s="2" t="s">
        <v>957</v>
      </c>
      <c r="E5" s="902"/>
      <c r="F5" s="902"/>
      <c r="G5" s="902"/>
      <c r="H5" s="902"/>
      <c r="I5" s="2"/>
    </row>
    <row r="6" spans="1:17" ht="16.5" thickBot="1" x14ac:dyDescent="0.3">
      <c r="A6" s="531"/>
      <c r="B6" s="2"/>
      <c r="C6" s="2"/>
      <c r="D6" s="2" t="s">
        <v>864</v>
      </c>
      <c r="E6" s="49" t="s">
        <v>988</v>
      </c>
      <c r="F6" s="49" t="s">
        <v>958</v>
      </c>
      <c r="G6" s="49" t="s">
        <v>1290</v>
      </c>
      <c r="H6" s="49"/>
      <c r="I6" s="2"/>
      <c r="M6" s="114" t="s">
        <v>1105</v>
      </c>
      <c r="N6" s="685">
        <f>VLOOKUP((Fsw/1000000),P7:Q107,2)</f>
        <v>226.49473484852686</v>
      </c>
      <c r="P6" s="690" t="s">
        <v>1110</v>
      </c>
      <c r="Q6" s="690" t="s">
        <v>1111</v>
      </c>
    </row>
    <row r="7" spans="1:17" ht="15" x14ac:dyDescent="0.25">
      <c r="A7" s="210" t="s">
        <v>989</v>
      </c>
      <c r="B7" s="649">
        <f>_xlfn.SWITCH(Device,DeviceParameter!$D$6,DeviceParameter!D7,DeviceParameter!$E$6,DeviceParameter!E7,DeviceParameter!$F$6,DeviceParameter!F7,DeviceParameter!$G$6,DeviceParameter!G7)</f>
        <v>55</v>
      </c>
      <c r="C7" s="291" t="s">
        <v>0</v>
      </c>
      <c r="D7" s="650">
        <v>60</v>
      </c>
      <c r="E7" s="651"/>
      <c r="F7" s="651">
        <v>55</v>
      </c>
      <c r="G7" s="651">
        <v>55</v>
      </c>
      <c r="H7" s="63"/>
      <c r="I7" s="64"/>
      <c r="P7" s="690">
        <v>9.8750000000000004E-2</v>
      </c>
      <c r="Q7" s="690">
        <v>604.18063250011289</v>
      </c>
    </row>
    <row r="8" spans="1:17" ht="15" x14ac:dyDescent="0.25">
      <c r="A8" s="114" t="s">
        <v>990</v>
      </c>
      <c r="B8" s="29">
        <f>_xlfn.SWITCH(Device,DeviceParameter!$D$6,DeviceParameter!D8,DeviceParameter!$E$6,DeviceParameter!E8,DeviceParameter!$F$6,DeviceParameter!F8,DeviceParameter!$G$6,DeviceParameter!G8)</f>
        <v>3.3</v>
      </c>
      <c r="C8" t="s">
        <v>0</v>
      </c>
      <c r="D8" s="652">
        <v>2.8</v>
      </c>
      <c r="E8" s="652"/>
      <c r="F8" s="652">
        <v>3.3</v>
      </c>
      <c r="G8" s="652">
        <v>3.3</v>
      </c>
      <c r="M8" s="114" t="s">
        <v>1106</v>
      </c>
      <c r="N8" s="312">
        <v>10</v>
      </c>
      <c r="P8" s="690">
        <v>0.14041666666666669</v>
      </c>
      <c r="Q8" s="690">
        <v>523.33810748298765</v>
      </c>
    </row>
    <row r="9" spans="1:17" ht="15" x14ac:dyDescent="0.25">
      <c r="A9" s="114" t="s">
        <v>991</v>
      </c>
      <c r="B9" s="29">
        <f>_xlfn.SWITCH(Device,DeviceParameter!$D$6,DeviceParameter!D9,DeviceParameter!$E$6,DeviceParameter!E9,DeviceParameter!$F$6,DeviceParameter!F9,DeviceParameter!$G$6,DeviceParameter!G9)</f>
        <v>2200</v>
      </c>
      <c r="C9" s="114" t="s">
        <v>3</v>
      </c>
      <c r="D9" s="652">
        <v>600</v>
      </c>
      <c r="E9" s="652"/>
      <c r="F9" s="652">
        <v>2200</v>
      </c>
      <c r="G9" s="652">
        <v>2200</v>
      </c>
      <c r="M9" s="114" t="s">
        <v>1107</v>
      </c>
      <c r="N9" s="686">
        <f>(N6*0.000000001)/(2*PI()*(2*N8)*10)</f>
        <v>1.802387831771561E-10</v>
      </c>
      <c r="P9" s="690">
        <v>0.18208333333333335</v>
      </c>
      <c r="Q9" s="690">
        <v>459.91179890990088</v>
      </c>
    </row>
    <row r="10" spans="1:17" ht="15" x14ac:dyDescent="0.25">
      <c r="B10" s="29"/>
      <c r="D10" s="652"/>
      <c r="E10" s="652"/>
      <c r="F10" s="652"/>
      <c r="G10" s="652"/>
      <c r="M10" s="114" t="s">
        <v>1112</v>
      </c>
      <c r="N10" s="622">
        <f>'Standard Value Calculator'!R23</f>
        <v>1.8E-10</v>
      </c>
      <c r="P10" s="690">
        <v>0.22374999999999998</v>
      </c>
      <c r="Q10" s="690">
        <v>415.93095914315774</v>
      </c>
    </row>
    <row r="11" spans="1:17" ht="15" x14ac:dyDescent="0.25">
      <c r="A11" s="114" t="s">
        <v>1029</v>
      </c>
      <c r="B11" s="833">
        <f>_xlfn.SWITCH(Device,DeviceParameter!$D$6,DeviceParameter!D11,DeviceParameter!$E$6,DeviceParameter!E11,DeviceParameter!$F$6,DeviceParameter!F11,DeviceParameter!$G$6,DeviceParameter!G11)</f>
        <v>1E-3</v>
      </c>
      <c r="C11" s="114" t="s">
        <v>70</v>
      </c>
      <c r="D11" s="622">
        <v>1E-3</v>
      </c>
      <c r="E11" s="652"/>
      <c r="F11" s="622">
        <v>1E-3</v>
      </c>
      <c r="G11" s="622">
        <v>1E-3</v>
      </c>
      <c r="P11" s="690">
        <v>0.26541666666666669</v>
      </c>
      <c r="Q11" s="690">
        <v>378.55342556962148</v>
      </c>
    </row>
    <row r="12" spans="1:17" ht="15" x14ac:dyDescent="0.25">
      <c r="A12" s="114" t="s">
        <v>1032</v>
      </c>
      <c r="B12" s="833">
        <f>_xlfn.SWITCH(Device,DeviceParameter!$D$6,DeviceParameter!D12,DeviceParameter!$E$6,DeviceParameter!E12,DeviceParameter!$F$6,DeviceParameter!F12,DeviceParameter!$G$6,DeviceParameter!G12)</f>
        <v>5.0000000000000001E-4</v>
      </c>
      <c r="C12" s="114" t="s">
        <v>70</v>
      </c>
      <c r="D12" s="622"/>
      <c r="E12" s="652"/>
      <c r="F12" s="622">
        <v>5.0000000000000001E-4</v>
      </c>
      <c r="G12" s="622">
        <v>5.0000000000000001E-4</v>
      </c>
      <c r="P12" s="690">
        <v>0.30708333333333332</v>
      </c>
      <c r="Q12" s="690">
        <v>349.80497717766156</v>
      </c>
    </row>
    <row r="13" spans="1:17" ht="15" x14ac:dyDescent="0.25">
      <c r="A13" s="114" t="s">
        <v>945</v>
      </c>
      <c r="B13" s="833">
        <f>_xlfn.SWITCH(Device,DeviceParameter!$D$6,DeviceParameter!D13,DeviceParameter!$E$6,DeviceParameter!E13,DeviceParameter!$F$6,DeviceParameter!F13,DeviceParameter!$G$6,DeviceParameter!G13)</f>
        <v>1E-3</v>
      </c>
      <c r="C13" s="114" t="s">
        <v>70</v>
      </c>
      <c r="D13" s="622">
        <v>2.0000000000000001E-4</v>
      </c>
      <c r="E13" s="652"/>
      <c r="F13" s="622">
        <v>1E-3</v>
      </c>
      <c r="G13" s="622">
        <v>1E-3</v>
      </c>
      <c r="P13" s="690">
        <v>0.34875</v>
      </c>
      <c r="Q13" s="690">
        <v>323.54756471089627</v>
      </c>
    </row>
    <row r="14" spans="1:17" ht="15.75" thickBot="1" x14ac:dyDescent="0.3">
      <c r="A14" s="657" t="s">
        <v>1002</v>
      </c>
      <c r="B14" s="833">
        <f>_xlfn.SWITCH(Device,DeviceParameter!$D$6,DeviceParameter!D14,DeviceParameter!$E$6,DeviceParameter!E14,DeviceParameter!$F$6,DeviceParameter!F14,DeviceParameter!$G$6,DeviceParameter!G14)</f>
        <v>5.0000000000000001E-4</v>
      </c>
      <c r="C14" s="405" t="s">
        <v>70</v>
      </c>
      <c r="D14" s="405"/>
      <c r="E14" s="405"/>
      <c r="F14" s="658">
        <v>5.0000000000000001E-4</v>
      </c>
      <c r="G14" s="658">
        <v>5.0000000000000001E-4</v>
      </c>
      <c r="H14" s="405"/>
      <c r="I14" s="405"/>
      <c r="J14" s="405" t="s">
        <v>1003</v>
      </c>
      <c r="P14" s="690">
        <v>0.39041666666666663</v>
      </c>
      <c r="Q14" s="690">
        <v>300.09066752155144</v>
      </c>
    </row>
    <row r="15" spans="1:17" ht="15" x14ac:dyDescent="0.25">
      <c r="P15" s="690">
        <v>0.43208333333333337</v>
      </c>
      <c r="Q15" s="690">
        <v>283.54982887365657</v>
      </c>
    </row>
    <row r="16" spans="1:17" ht="15" x14ac:dyDescent="0.25">
      <c r="A16" s="114" t="s">
        <v>1033</v>
      </c>
      <c r="B16">
        <v>0.05</v>
      </c>
      <c r="C16" s="114" t="s">
        <v>0</v>
      </c>
      <c r="P16" s="690">
        <v>0.47374999999999989</v>
      </c>
      <c r="Q16" s="690">
        <v>265.43067517169754</v>
      </c>
    </row>
    <row r="17" spans="1:17" ht="15" x14ac:dyDescent="0.25">
      <c r="A17" s="114" t="s">
        <v>1034</v>
      </c>
      <c r="B17">
        <v>0.05</v>
      </c>
      <c r="C17" s="114" t="s">
        <v>0</v>
      </c>
      <c r="P17" s="690">
        <v>0.51541666666666652</v>
      </c>
      <c r="Q17" s="690">
        <v>251.25440489783642</v>
      </c>
    </row>
    <row r="18" spans="1:17" ht="15" x14ac:dyDescent="0.25">
      <c r="A18" s="114" t="s">
        <v>1035</v>
      </c>
      <c r="B18">
        <v>0.05</v>
      </c>
      <c r="C18" s="114" t="s">
        <v>0</v>
      </c>
      <c r="P18" s="690">
        <v>0.55708333333333326</v>
      </c>
      <c r="Q18" s="690">
        <v>238.82660859347064</v>
      </c>
    </row>
    <row r="19" spans="1:17" ht="15" x14ac:dyDescent="0.25">
      <c r="P19" s="690">
        <v>0.59875</v>
      </c>
      <c r="Q19" s="690">
        <v>226.49473484852686</v>
      </c>
    </row>
    <row r="20" spans="1:17" ht="15" x14ac:dyDescent="0.25">
      <c r="A20" s="114" t="s">
        <v>1090</v>
      </c>
      <c r="B20">
        <v>1</v>
      </c>
      <c r="C20" s="114" t="s">
        <v>0</v>
      </c>
      <c r="P20" s="690">
        <v>0.64041666666666652</v>
      </c>
      <c r="Q20" s="690">
        <v>216.9915209201273</v>
      </c>
    </row>
    <row r="21" spans="1:17" ht="15" x14ac:dyDescent="0.25">
      <c r="P21" s="690">
        <v>0.68208333333333337</v>
      </c>
      <c r="Q21" s="690">
        <v>207.09264103806078</v>
      </c>
    </row>
    <row r="22" spans="1:17" ht="15" x14ac:dyDescent="0.25">
      <c r="A22" s="114"/>
      <c r="B22" s="114"/>
      <c r="D22" s="114"/>
      <c r="E22" s="114"/>
      <c r="F22" s="114"/>
      <c r="G22" s="114"/>
      <c r="P22" s="690">
        <v>0.72375000000000023</v>
      </c>
      <c r="Q22" s="690">
        <v>198.4870349794904</v>
      </c>
    </row>
    <row r="23" spans="1:17" ht="15" x14ac:dyDescent="0.25">
      <c r="P23" s="690">
        <v>0.76541666666666652</v>
      </c>
      <c r="Q23" s="690">
        <v>190.69229215281874</v>
      </c>
    </row>
    <row r="24" spans="1:17" ht="15" x14ac:dyDescent="0.25">
      <c r="P24" s="690">
        <v>0.80708333333333349</v>
      </c>
      <c r="Q24" s="690">
        <v>183.75345897712631</v>
      </c>
    </row>
    <row r="25" spans="1:17" ht="15" x14ac:dyDescent="0.25">
      <c r="P25" s="690">
        <v>0.84875000000000012</v>
      </c>
      <c r="Q25" s="690">
        <v>176.97592733608062</v>
      </c>
    </row>
    <row r="26" spans="1:17" ht="15" x14ac:dyDescent="0.25">
      <c r="P26" s="690">
        <v>0.89041666666666663</v>
      </c>
      <c r="Q26" s="690">
        <v>170.83689486631351</v>
      </c>
    </row>
    <row r="27" spans="1:17" ht="15" x14ac:dyDescent="0.25">
      <c r="P27" s="690">
        <v>0.93208333333333337</v>
      </c>
      <c r="Q27" s="690">
        <v>165.32388225412782</v>
      </c>
    </row>
    <row r="28" spans="1:17" ht="15" x14ac:dyDescent="0.25">
      <c r="P28" s="690">
        <v>0.97375</v>
      </c>
      <c r="Q28" s="690">
        <v>160.05100814409749</v>
      </c>
    </row>
    <row r="29" spans="1:17" ht="15" x14ac:dyDescent="0.25">
      <c r="P29" s="690">
        <v>1.0154166666666666</v>
      </c>
      <c r="Q29" s="690">
        <v>155.28035675442277</v>
      </c>
    </row>
    <row r="30" spans="1:17" ht="15" x14ac:dyDescent="0.25">
      <c r="P30" s="690">
        <v>1.0570833333333332</v>
      </c>
      <c r="Q30" s="690">
        <v>150.60149036199206</v>
      </c>
    </row>
    <row r="31" spans="1:17" ht="15" x14ac:dyDescent="0.25">
      <c r="P31" s="690">
        <v>1.0987499999999999</v>
      </c>
      <c r="Q31" s="690">
        <v>146.53481516091131</v>
      </c>
    </row>
    <row r="32" spans="1:17" ht="15" x14ac:dyDescent="0.25">
      <c r="P32" s="690">
        <v>1.1404166666666666</v>
      </c>
      <c r="Q32" s="690">
        <v>142.55215302090039</v>
      </c>
    </row>
    <row r="33" spans="16:17" ht="15" x14ac:dyDescent="0.25">
      <c r="P33" s="690">
        <v>1.1820833333333336</v>
      </c>
      <c r="Q33" s="690">
        <v>138.85817947609672</v>
      </c>
    </row>
    <row r="34" spans="16:17" ht="15" x14ac:dyDescent="0.25">
      <c r="P34" s="690">
        <v>1.2237499999999997</v>
      </c>
      <c r="Q34" s="690">
        <v>135.34466224995703</v>
      </c>
    </row>
    <row r="35" spans="16:17" ht="15" x14ac:dyDescent="0.25">
      <c r="P35" s="690">
        <v>1.2654166666666666</v>
      </c>
      <c r="Q35" s="690">
        <v>131.89956881910555</v>
      </c>
    </row>
    <row r="36" spans="16:17" ht="15" x14ac:dyDescent="0.25">
      <c r="P36" s="690">
        <v>1.3070833333333332</v>
      </c>
      <c r="Q36" s="690">
        <v>128.98058537752249</v>
      </c>
    </row>
    <row r="37" spans="16:17" ht="15" x14ac:dyDescent="0.25">
      <c r="P37" s="690">
        <v>1.3487499999999999</v>
      </c>
      <c r="Q37" s="690">
        <v>125.88539231343111</v>
      </c>
    </row>
    <row r="38" spans="16:17" ht="15" x14ac:dyDescent="0.25">
      <c r="P38" s="690">
        <v>1.3904166666666664</v>
      </c>
      <c r="Q38" s="690">
        <v>123.1361357533811</v>
      </c>
    </row>
    <row r="39" spans="16:17" ht="15" x14ac:dyDescent="0.25">
      <c r="P39" s="690">
        <v>1.4320833333333336</v>
      </c>
      <c r="Q39" s="690">
        <v>120.57792055657669</v>
      </c>
    </row>
    <row r="40" spans="16:17" ht="15" x14ac:dyDescent="0.25">
      <c r="P40" s="690">
        <v>1.4737499999999997</v>
      </c>
      <c r="Q40" s="690">
        <v>117.90048619102598</v>
      </c>
    </row>
    <row r="41" spans="16:17" ht="15" x14ac:dyDescent="0.25">
      <c r="P41" s="690">
        <v>1.5154166666666671</v>
      </c>
      <c r="Q41" s="690">
        <v>115.22373543635396</v>
      </c>
    </row>
    <row r="42" spans="16:17" ht="15" x14ac:dyDescent="0.25">
      <c r="P42" s="690">
        <v>1.5570833333333336</v>
      </c>
      <c r="Q42" s="690">
        <v>113.06831906216505</v>
      </c>
    </row>
    <row r="43" spans="16:17" ht="15" x14ac:dyDescent="0.25">
      <c r="P43" s="690">
        <v>1.5987499999999997</v>
      </c>
      <c r="Q43" s="690">
        <v>111.18776299338631</v>
      </c>
    </row>
    <row r="44" spans="16:17" ht="15" x14ac:dyDescent="0.25">
      <c r="P44" s="690">
        <v>1.6404166666666662</v>
      </c>
      <c r="Q44" s="690">
        <v>109.05746410284583</v>
      </c>
    </row>
    <row r="45" spans="16:17" ht="15" x14ac:dyDescent="0.25">
      <c r="P45" s="690">
        <v>1.6820833333333329</v>
      </c>
      <c r="Q45" s="690">
        <v>107.07804463255033</v>
      </c>
    </row>
    <row r="46" spans="16:17" ht="15" x14ac:dyDescent="0.25">
      <c r="P46" s="690">
        <v>1.7237500000000003</v>
      </c>
      <c r="Q46" s="690">
        <v>105.36814628196186</v>
      </c>
    </row>
    <row r="47" spans="16:17" ht="15" x14ac:dyDescent="0.25">
      <c r="P47" s="690">
        <v>1.7654166666666664</v>
      </c>
      <c r="Q47" s="690">
        <v>103.44966753824211</v>
      </c>
    </row>
    <row r="48" spans="16:17" ht="15" x14ac:dyDescent="0.25">
      <c r="P48" s="690">
        <v>1.8070833333333329</v>
      </c>
      <c r="Q48" s="690">
        <v>101.88664009296646</v>
      </c>
    </row>
    <row r="49" spans="16:17" ht="15" x14ac:dyDescent="0.25">
      <c r="P49" s="690">
        <v>1.8487499999999999</v>
      </c>
      <c r="Q49" s="690">
        <v>100.33981686593194</v>
      </c>
    </row>
    <row r="50" spans="16:17" ht="15" x14ac:dyDescent="0.25">
      <c r="P50" s="690">
        <v>1.8904166666666662</v>
      </c>
      <c r="Q50" s="690">
        <v>98.885216789244353</v>
      </c>
    </row>
    <row r="51" spans="16:17" ht="15" x14ac:dyDescent="0.25">
      <c r="P51" s="690">
        <v>1.9320833333333332</v>
      </c>
      <c r="Q51" s="690">
        <v>97.352294242602028</v>
      </c>
    </row>
    <row r="52" spans="16:17" ht="15" x14ac:dyDescent="0.25">
      <c r="P52" s="690">
        <v>1.9737499999999997</v>
      </c>
      <c r="Q52" s="690">
        <v>95.900476562665546</v>
      </c>
    </row>
    <row r="53" spans="16:17" ht="15" x14ac:dyDescent="0.25">
      <c r="P53" s="690">
        <v>2.0154166666666664</v>
      </c>
      <c r="Q53" s="690">
        <v>94.520755329934616</v>
      </c>
    </row>
    <row r="54" spans="16:17" ht="15" x14ac:dyDescent="0.25">
      <c r="P54" s="690">
        <v>2.0570833333333334</v>
      </c>
      <c r="Q54" s="690">
        <v>93.439001330341654</v>
      </c>
    </row>
    <row r="55" spans="16:17" ht="15" x14ac:dyDescent="0.25">
      <c r="P55" s="690">
        <v>2.0987499999999999</v>
      </c>
      <c r="Q55" s="690">
        <v>94.045882976384405</v>
      </c>
    </row>
    <row r="56" spans="16:17" ht="15" x14ac:dyDescent="0.25">
      <c r="P56" s="690">
        <v>2.140416666666666</v>
      </c>
      <c r="Q56" s="690">
        <v>94.37021410456785</v>
      </c>
    </row>
    <row r="57" spans="16:17" ht="15" x14ac:dyDescent="0.25">
      <c r="P57" s="690">
        <v>2.1820833333333329</v>
      </c>
      <c r="Q57" s="690">
        <v>94.832576550964987</v>
      </c>
    </row>
    <row r="58" spans="16:17" ht="15" x14ac:dyDescent="0.25">
      <c r="P58" s="690">
        <v>2.2237499999999999</v>
      </c>
      <c r="Q58" s="690">
        <v>94.921207904859386</v>
      </c>
    </row>
    <row r="59" spans="16:17" ht="15" x14ac:dyDescent="0.25">
      <c r="P59" s="690">
        <v>2.2654166666666664</v>
      </c>
      <c r="Q59" s="690">
        <v>95.115398574694169</v>
      </c>
    </row>
    <row r="60" spans="16:17" ht="15" x14ac:dyDescent="0.25">
      <c r="P60" s="690">
        <v>2.3070833333333329</v>
      </c>
      <c r="Q60" s="690">
        <v>95.204302555485128</v>
      </c>
    </row>
    <row r="61" spans="16:17" ht="15" x14ac:dyDescent="0.25">
      <c r="P61" s="690">
        <v>2.3487499999999999</v>
      </c>
      <c r="Q61" s="690">
        <v>95.269653244380066</v>
      </c>
    </row>
    <row r="62" spans="16:17" ht="15" x14ac:dyDescent="0.25">
      <c r="P62" s="690">
        <v>2.3904166666666664</v>
      </c>
      <c r="Q62" s="690">
        <v>95.302329682511441</v>
      </c>
    </row>
    <row r="63" spans="16:17" ht="15" x14ac:dyDescent="0.25">
      <c r="P63" s="690">
        <v>2.4320833333333329</v>
      </c>
      <c r="Q63" s="690">
        <v>95.352525948685951</v>
      </c>
    </row>
    <row r="64" spans="16:17" ht="15" x14ac:dyDescent="0.25">
      <c r="P64" s="690">
        <v>2.4737499999999999</v>
      </c>
      <c r="Q64" s="690">
        <v>95.229572087695288</v>
      </c>
    </row>
    <row r="65" spans="16:17" ht="15" x14ac:dyDescent="0.25">
      <c r="P65" s="690">
        <v>2.5154166666666664</v>
      </c>
      <c r="Q65" s="690">
        <v>95.27100455483918</v>
      </c>
    </row>
    <row r="66" spans="16:17" ht="15" x14ac:dyDescent="0.25">
      <c r="P66" s="690">
        <v>2.5570833333333325</v>
      </c>
      <c r="Q66" s="690">
        <v>95.216588882174079</v>
      </c>
    </row>
  </sheetData>
  <mergeCells count="2">
    <mergeCell ref="A1:I1"/>
    <mergeCell ref="E5:H5"/>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R546"/>
  <sheetViews>
    <sheetView zoomScaleNormal="100" workbookViewId="0">
      <pane ySplit="5" topLeftCell="A387" activePane="bottomLeft" state="frozenSplit"/>
      <selection activeCell="D24" sqref="D24"/>
      <selection pane="bottomLeft" activeCell="L412" sqref="L412"/>
    </sheetView>
  </sheetViews>
  <sheetFormatPr defaultRowHeight="12.75" x14ac:dyDescent="0.2"/>
  <cols>
    <col min="1" max="1" width="38.85546875" customWidth="1"/>
    <col min="2" max="2" width="12" customWidth="1"/>
    <col min="3" max="3" width="10" style="2" customWidth="1"/>
    <col min="4" max="4" width="13.42578125" customWidth="1"/>
    <col min="5" max="5" width="11.5703125" customWidth="1"/>
    <col min="7" max="7" width="12.42578125" bestFit="1" customWidth="1"/>
    <col min="8" max="8" width="34.7109375" customWidth="1"/>
    <col min="10" max="10" width="12.42578125" bestFit="1" customWidth="1"/>
    <col min="11" max="11" width="15.140625" customWidth="1"/>
    <col min="12" max="12" width="13.28515625" customWidth="1"/>
    <col min="14" max="14" width="7.85546875" customWidth="1"/>
    <col min="15" max="15" width="12.42578125" bestFit="1" customWidth="1"/>
    <col min="16" max="16" width="8.28515625" customWidth="1"/>
  </cols>
  <sheetData>
    <row r="1" spans="1:16" ht="30.75" customHeight="1" x14ac:dyDescent="0.4">
      <c r="A1" s="901" t="s">
        <v>512</v>
      </c>
      <c r="B1" s="901"/>
      <c r="C1" s="901"/>
      <c r="D1" s="901"/>
      <c r="E1" s="901"/>
      <c r="F1" s="901"/>
      <c r="G1" s="901"/>
      <c r="H1" s="901"/>
      <c r="I1" s="901"/>
    </row>
    <row r="2" spans="1:16" ht="12" customHeight="1" x14ac:dyDescent="0.2">
      <c r="A2" s="49"/>
      <c r="B2" s="49" t="s">
        <v>224</v>
      </c>
      <c r="C2" s="50"/>
      <c r="E2" s="568"/>
      <c r="F2" s="49" t="s">
        <v>871</v>
      </c>
      <c r="G2" s="49"/>
      <c r="H2" s="49"/>
      <c r="I2" s="49"/>
    </row>
    <row r="3" spans="1:16" ht="11.25" customHeight="1" x14ac:dyDescent="0.2">
      <c r="A3" s="49"/>
      <c r="B3" s="49" t="s">
        <v>272</v>
      </c>
      <c r="C3" s="51"/>
      <c r="E3" s="49"/>
      <c r="F3" s="49"/>
      <c r="G3" s="49"/>
      <c r="H3" s="49"/>
      <c r="I3" s="49"/>
    </row>
    <row r="4" spans="1:16" ht="11.25" customHeight="1" x14ac:dyDescent="0.2">
      <c r="A4" s="49"/>
      <c r="B4" s="49" t="s">
        <v>225</v>
      </c>
      <c r="C4" s="52"/>
      <c r="E4" s="49"/>
      <c r="F4" s="49"/>
      <c r="G4" s="49"/>
      <c r="H4" s="49"/>
      <c r="I4" s="49"/>
    </row>
    <row r="5" spans="1:16" x14ac:dyDescent="0.2">
      <c r="A5" s="2" t="s">
        <v>51</v>
      </c>
      <c r="B5" s="2" t="s">
        <v>8</v>
      </c>
      <c r="C5" s="2" t="s">
        <v>9</v>
      </c>
      <c r="E5" s="902" t="s">
        <v>13</v>
      </c>
      <c r="F5" s="902"/>
      <c r="G5" s="902"/>
      <c r="H5" s="902"/>
      <c r="I5" s="2" t="s">
        <v>540</v>
      </c>
    </row>
    <row r="6" spans="1:16" ht="16.5" thickBot="1" x14ac:dyDescent="0.3">
      <c r="A6" s="531" t="s">
        <v>177</v>
      </c>
      <c r="B6" s="2"/>
      <c r="D6" s="2"/>
      <c r="E6" s="49"/>
      <c r="F6" s="49"/>
      <c r="G6" s="49"/>
      <c r="H6" s="49"/>
      <c r="I6" s="2"/>
    </row>
    <row r="7" spans="1:16" x14ac:dyDescent="0.2">
      <c r="A7" s="210" t="s">
        <v>363</v>
      </c>
      <c r="B7" s="12">
        <f>'Design Converter'!E7</f>
        <v>20</v>
      </c>
      <c r="C7" s="63" t="s">
        <v>0</v>
      </c>
      <c r="D7" s="117" t="s">
        <v>364</v>
      </c>
      <c r="E7" s="63"/>
      <c r="F7" s="63"/>
      <c r="G7" s="63"/>
      <c r="H7" s="63"/>
      <c r="I7" s="64">
        <v>1</v>
      </c>
    </row>
    <row r="8" spans="1:16" x14ac:dyDescent="0.2">
      <c r="A8" s="211" t="s">
        <v>173</v>
      </c>
      <c r="B8" s="29">
        <f>'Design Converter'!E8</f>
        <v>20</v>
      </c>
      <c r="C8" t="s">
        <v>0</v>
      </c>
      <c r="D8" t="s">
        <v>14</v>
      </c>
      <c r="I8" s="57"/>
      <c r="K8" s="293" t="s">
        <v>846</v>
      </c>
      <c r="L8" s="116">
        <v>1</v>
      </c>
      <c r="M8" s="114"/>
      <c r="O8" s="116"/>
    </row>
    <row r="9" spans="1:16" x14ac:dyDescent="0.2">
      <c r="A9" s="211" t="s">
        <v>362</v>
      </c>
      <c r="B9" s="29">
        <f>'Design Converter'!E9</f>
        <v>48</v>
      </c>
      <c r="C9" t="s">
        <v>0</v>
      </c>
      <c r="D9" s="114" t="s">
        <v>365</v>
      </c>
      <c r="I9" s="57"/>
      <c r="K9" s="293" t="s">
        <v>847</v>
      </c>
      <c r="L9" s="116">
        <v>2</v>
      </c>
      <c r="M9" s="114"/>
      <c r="O9" s="116"/>
    </row>
    <row r="10" spans="1:16" x14ac:dyDescent="0.2">
      <c r="A10" s="211" t="s">
        <v>761</v>
      </c>
      <c r="B10" s="535">
        <f>B44</f>
        <v>10.696401407436619</v>
      </c>
      <c r="C10" t="s">
        <v>0</v>
      </c>
      <c r="D10" s="114"/>
      <c r="I10" s="57"/>
      <c r="K10" s="544" t="s">
        <v>815</v>
      </c>
      <c r="L10" s="646">
        <v>1</v>
      </c>
      <c r="M10" s="356" t="s">
        <v>881</v>
      </c>
      <c r="O10" s="562">
        <f>'CFG Setting'!G28</f>
        <v>13</v>
      </c>
      <c r="P10" s="114" t="s">
        <v>853</v>
      </c>
    </row>
    <row r="11" spans="1:16" x14ac:dyDescent="0.2">
      <c r="A11" s="211"/>
      <c r="B11" s="501"/>
      <c r="C11"/>
      <c r="D11" s="114"/>
      <c r="I11" s="57"/>
      <c r="K11" s="356" t="s">
        <v>985</v>
      </c>
      <c r="L11" s="646" t="b">
        <v>0</v>
      </c>
    </row>
    <row r="12" spans="1:16" x14ac:dyDescent="0.2">
      <c r="A12" s="56" t="s">
        <v>5</v>
      </c>
      <c r="B12" s="29">
        <f>'Design Converter'!E10</f>
        <v>14.6</v>
      </c>
      <c r="C12" t="s">
        <v>0</v>
      </c>
      <c r="D12" t="s">
        <v>1</v>
      </c>
      <c r="I12" s="57">
        <v>1</v>
      </c>
    </row>
    <row r="13" spans="1:16" x14ac:dyDescent="0.2">
      <c r="A13" s="56" t="s">
        <v>6</v>
      </c>
      <c r="B13" s="29">
        <f>'Design Converter'!E11</f>
        <v>12</v>
      </c>
      <c r="C13" t="s">
        <v>2</v>
      </c>
      <c r="D13" s="114" t="s">
        <v>366</v>
      </c>
      <c r="I13" s="57">
        <v>1</v>
      </c>
    </row>
    <row r="14" spans="1:16" x14ac:dyDescent="0.2">
      <c r="A14" s="211" t="s">
        <v>442</v>
      </c>
      <c r="B14" s="292">
        <f>Vout/Iout</f>
        <v>1.2166666666666666</v>
      </c>
      <c r="C14" s="213" t="s">
        <v>118</v>
      </c>
      <c r="D14" s="114" t="s">
        <v>443</v>
      </c>
      <c r="I14" s="57"/>
    </row>
    <row r="15" spans="1:16" x14ac:dyDescent="0.2">
      <c r="A15" s="211" t="s">
        <v>384</v>
      </c>
      <c r="B15" s="292">
        <f>Vout*Iout</f>
        <v>175.2</v>
      </c>
      <c r="C15" t="s">
        <v>118</v>
      </c>
      <c r="D15" s="114" t="s">
        <v>412</v>
      </c>
      <c r="I15" s="57"/>
    </row>
    <row r="16" spans="1:16" x14ac:dyDescent="0.2">
      <c r="A16" s="211" t="s">
        <v>150</v>
      </c>
      <c r="B16" s="312">
        <v>0.95</v>
      </c>
      <c r="C16"/>
      <c r="D16" s="566" t="s">
        <v>860</v>
      </c>
      <c r="I16" s="57"/>
    </row>
    <row r="17" spans="1:12" x14ac:dyDescent="0.2">
      <c r="A17" s="211" t="s">
        <v>388</v>
      </c>
      <c r="B17" s="313">
        <f>Pout/Efficiency</f>
        <v>184.42105263157893</v>
      </c>
      <c r="C17" t="s">
        <v>118</v>
      </c>
      <c r="D17" s="114" t="s">
        <v>411</v>
      </c>
      <c r="I17" s="57"/>
    </row>
    <row r="18" spans="1:12" x14ac:dyDescent="0.2">
      <c r="A18" s="211" t="s">
        <v>385</v>
      </c>
      <c r="B18" s="306">
        <f>Pin/VIN_min</f>
        <v>9.2210526315789458</v>
      </c>
      <c r="C18" t="s">
        <v>2</v>
      </c>
      <c r="D18" s="114"/>
      <c r="I18" s="57"/>
    </row>
    <row r="19" spans="1:12" x14ac:dyDescent="0.2">
      <c r="A19" s="211" t="s">
        <v>386</v>
      </c>
      <c r="B19" s="306">
        <f>Pin/VIN_nom</f>
        <v>9.2210526315789458</v>
      </c>
      <c r="C19" t="s">
        <v>2</v>
      </c>
      <c r="D19" s="114" t="s">
        <v>413</v>
      </c>
      <c r="I19" s="57"/>
    </row>
    <row r="20" spans="1:12" x14ac:dyDescent="0.2">
      <c r="A20" s="211" t="s">
        <v>387</v>
      </c>
      <c r="B20" s="306">
        <f>Pin/VIN_max</f>
        <v>3.8421052631578942</v>
      </c>
      <c r="C20" t="s">
        <v>2</v>
      </c>
      <c r="D20" s="114"/>
      <c r="I20" s="57"/>
    </row>
    <row r="21" spans="1:12" x14ac:dyDescent="0.2">
      <c r="A21" s="211"/>
      <c r="C21"/>
      <c r="D21" s="114"/>
      <c r="I21" s="57"/>
    </row>
    <row r="22" spans="1:12" x14ac:dyDescent="0.2">
      <c r="A22" s="58" t="s">
        <v>7</v>
      </c>
      <c r="B22" s="258">
        <f>'Design Converter'!E12*1000</f>
        <v>600000</v>
      </c>
      <c r="C22" s="114" t="s">
        <v>10</v>
      </c>
      <c r="D22" s="114" t="s">
        <v>367</v>
      </c>
      <c r="I22" s="57">
        <v>1</v>
      </c>
    </row>
    <row r="23" spans="1:12" x14ac:dyDescent="0.2">
      <c r="A23" s="211" t="s">
        <v>790</v>
      </c>
      <c r="B23" s="534">
        <f>1/Fsw</f>
        <v>1.6666666666666667E-6</v>
      </c>
      <c r="C23" s="114" t="s">
        <v>755</v>
      </c>
      <c r="D23" s="114" t="s">
        <v>789</v>
      </c>
      <c r="I23" s="57"/>
    </row>
    <row r="24" spans="1:12" x14ac:dyDescent="0.2">
      <c r="A24" s="58" t="s">
        <v>44</v>
      </c>
      <c r="B24" s="59">
        <f>_xlfn.SWITCH(Internal_FB_enabled,1,1,2,Vout/10,3,Vout/20)</f>
        <v>1</v>
      </c>
      <c r="C24" t="s">
        <v>0</v>
      </c>
      <c r="D24" t="s">
        <v>45</v>
      </c>
      <c r="I24" s="57"/>
    </row>
    <row r="25" spans="1:12" x14ac:dyDescent="0.2">
      <c r="A25" s="211" t="s">
        <v>883</v>
      </c>
      <c r="B25" s="307">
        <f>Vref</f>
        <v>1</v>
      </c>
      <c r="C25" t="s">
        <v>0</v>
      </c>
      <c r="D25" t="s">
        <v>884</v>
      </c>
      <c r="I25" s="57"/>
    </row>
    <row r="26" spans="1:12" x14ac:dyDescent="0.2">
      <c r="A26" s="211" t="s">
        <v>351</v>
      </c>
      <c r="B26" s="307">
        <f>1/(0.000000000032*Fsw)</f>
        <v>52083.333333333336</v>
      </c>
      <c r="C26" s="213" t="s">
        <v>118</v>
      </c>
      <c r="D26" t="s">
        <v>414</v>
      </c>
      <c r="F26" s="566" t="s">
        <v>868</v>
      </c>
      <c r="I26" s="57"/>
    </row>
    <row r="27" spans="1:12" ht="12.6" customHeight="1" x14ac:dyDescent="0.2">
      <c r="A27" s="211" t="s">
        <v>916</v>
      </c>
      <c r="B27" s="614">
        <v>5.9999999999999995E-8</v>
      </c>
      <c r="C27" s="213" t="s">
        <v>2</v>
      </c>
      <c r="F27" s="566"/>
      <c r="I27" s="57"/>
    </row>
    <row r="28" spans="1:12" ht="12.6" customHeight="1" x14ac:dyDescent="0.2">
      <c r="A28" s="114"/>
      <c r="B28" s="614"/>
      <c r="C28" s="213"/>
      <c r="F28" s="566"/>
      <c r="I28" s="57"/>
    </row>
    <row r="29" spans="1:12" ht="12.6" customHeight="1" x14ac:dyDescent="0.2">
      <c r="A29" s="114" t="s">
        <v>957</v>
      </c>
      <c r="B29" s="632" t="str">
        <f>CHOOSE(C29,L29,L30,L31)</f>
        <v>LM51772</v>
      </c>
      <c r="C29" s="213">
        <f>D29+1</f>
        <v>2</v>
      </c>
      <c r="D29">
        <v>1</v>
      </c>
      <c r="F29" s="566"/>
      <c r="I29" s="57"/>
      <c r="K29" s="114" t="s">
        <v>957</v>
      </c>
      <c r="L29" s="114" t="s">
        <v>864</v>
      </c>
    </row>
    <row r="30" spans="1:12" ht="12.6" customHeight="1" x14ac:dyDescent="0.2">
      <c r="A30" s="114" t="s">
        <v>828</v>
      </c>
      <c r="B30" s="59">
        <v>1</v>
      </c>
      <c r="C30" s="213"/>
      <c r="D30" s="114" t="s">
        <v>1182</v>
      </c>
      <c r="F30" s="566"/>
      <c r="I30" s="57"/>
      <c r="L30" s="114" t="s">
        <v>958</v>
      </c>
    </row>
    <row r="31" spans="1:12" x14ac:dyDescent="0.2">
      <c r="I31" s="57"/>
      <c r="L31" s="114" t="s">
        <v>1290</v>
      </c>
    </row>
    <row r="32" spans="1:12" x14ac:dyDescent="0.2">
      <c r="A32" s="114"/>
      <c r="B32" s="600"/>
      <c r="C32" s="114"/>
      <c r="D32" s="114"/>
      <c r="E32" s="2"/>
      <c r="I32" s="57"/>
    </row>
    <row r="33" spans="1:12" x14ac:dyDescent="0.2">
      <c r="A33" s="114"/>
      <c r="B33" s="601"/>
      <c r="C33" s="114"/>
      <c r="D33" s="114"/>
      <c r="E33" s="2"/>
      <c r="I33" s="57"/>
      <c r="K33" s="114" t="s">
        <v>1266</v>
      </c>
      <c r="L33">
        <f>IF(OR('CFG Setting'!G57=1,'CFG Setting'!G57=16),1,0)</f>
        <v>1</v>
      </c>
    </row>
    <row r="34" spans="1:12" x14ac:dyDescent="0.2">
      <c r="A34" s="114"/>
      <c r="B34" s="601"/>
      <c r="C34" s="114"/>
      <c r="E34" s="2"/>
      <c r="I34" s="57"/>
    </row>
    <row r="35" spans="1:12" x14ac:dyDescent="0.2">
      <c r="A35" s="114"/>
      <c r="B35" s="601"/>
      <c r="C35" s="114"/>
      <c r="E35" s="114"/>
      <c r="I35" s="57"/>
    </row>
    <row r="36" spans="1:12" x14ac:dyDescent="0.2">
      <c r="A36" s="114"/>
      <c r="B36" s="601"/>
      <c r="C36"/>
      <c r="E36" s="114"/>
      <c r="I36" s="57"/>
    </row>
    <row r="37" spans="1:12" x14ac:dyDescent="0.2">
      <c r="A37" s="114"/>
      <c r="B37" s="594"/>
      <c r="C37"/>
      <c r="E37" s="114"/>
      <c r="I37" s="57"/>
    </row>
    <row r="38" spans="1:12" x14ac:dyDescent="0.2">
      <c r="A38" s="114"/>
      <c r="B38" s="595"/>
      <c r="C38"/>
      <c r="E38" s="114"/>
      <c r="I38" s="57"/>
    </row>
    <row r="39" spans="1:12" x14ac:dyDescent="0.2">
      <c r="A39" s="211"/>
      <c r="B39" s="596"/>
      <c r="C39" s="213"/>
      <c r="I39" s="57"/>
    </row>
    <row r="40" spans="1:12" x14ac:dyDescent="0.2">
      <c r="A40" s="114"/>
      <c r="B40" s="595"/>
      <c r="C40"/>
      <c r="I40" s="57"/>
    </row>
    <row r="41" spans="1:12" x14ac:dyDescent="0.2">
      <c r="A41" s="114"/>
      <c r="B41" s="595"/>
      <c r="C41"/>
      <c r="I41" s="57"/>
    </row>
    <row r="42" spans="1:12" x14ac:dyDescent="0.2">
      <c r="A42" s="114"/>
      <c r="B42" s="595"/>
      <c r="C42"/>
      <c r="I42" s="57"/>
    </row>
    <row r="43" spans="1:12" x14ac:dyDescent="0.2">
      <c r="B43" s="597"/>
      <c r="I43" s="57"/>
    </row>
    <row r="44" spans="1:12" x14ac:dyDescent="0.2">
      <c r="A44" s="114" t="s">
        <v>792</v>
      </c>
      <c r="B44" s="598">
        <f>IF($B$30=0,Vout,Timings!F5)</f>
        <v>10.696401407436619</v>
      </c>
      <c r="C44" s="114" t="s">
        <v>0</v>
      </c>
      <c r="I44" s="57"/>
    </row>
    <row r="45" spans="1:12" x14ac:dyDescent="0.2">
      <c r="A45" s="114" t="s">
        <v>791</v>
      </c>
      <c r="B45" s="598">
        <f>IF($B$30=0,Vout,Timings!F4)</f>
        <v>12.766511150347091</v>
      </c>
      <c r="C45" s="114" t="s">
        <v>0</v>
      </c>
      <c r="I45" s="57"/>
    </row>
    <row r="46" spans="1:12" x14ac:dyDescent="0.2">
      <c r="A46" s="114" t="s">
        <v>794</v>
      </c>
      <c r="B46" s="599">
        <f>IF($B$30=0,Vout,Timings!F2)</f>
        <v>16.696809135219741</v>
      </c>
      <c r="C46" s="114" t="s">
        <v>0</v>
      </c>
      <c r="I46" s="57"/>
    </row>
    <row r="47" spans="1:12" x14ac:dyDescent="0.2">
      <c r="A47" s="114" t="s">
        <v>793</v>
      </c>
      <c r="B47" s="599">
        <f>IF($B$30=0,Vout,Timings!F3)</f>
        <v>19.92819751994363</v>
      </c>
      <c r="C47" s="114" t="s">
        <v>0</v>
      </c>
      <c r="I47" s="57"/>
    </row>
    <row r="48" spans="1:12" ht="13.5" thickBot="1" x14ac:dyDescent="0.25">
      <c r="A48" s="60"/>
      <c r="B48" s="536"/>
      <c r="C48" s="61"/>
      <c r="D48" s="61"/>
      <c r="E48" s="61"/>
      <c r="F48" s="61"/>
      <c r="G48" s="61"/>
      <c r="H48" s="61"/>
      <c r="I48" s="62"/>
    </row>
    <row r="51" spans="1:18" ht="16.5" thickBot="1" x14ac:dyDescent="0.3">
      <c r="A51" s="531" t="s">
        <v>276</v>
      </c>
      <c r="B51" s="2"/>
    </row>
    <row r="52" spans="1:18" x14ac:dyDescent="0.2">
      <c r="A52" s="210" t="s">
        <v>15</v>
      </c>
      <c r="B52" s="289">
        <f>Vout/VIN_nom</f>
        <v>0.73</v>
      </c>
      <c r="C52" s="302">
        <f>(Vout-VIN_nom)/Vout</f>
        <v>-0.36986301369863017</v>
      </c>
      <c r="D52" s="291"/>
      <c r="E52" s="117" t="s">
        <v>377</v>
      </c>
      <c r="F52" s="63"/>
      <c r="G52" s="63"/>
      <c r="H52" s="63"/>
      <c r="I52" s="64">
        <v>1</v>
      </c>
    </row>
    <row r="53" spans="1:18" x14ac:dyDescent="0.2">
      <c r="A53" s="211" t="s">
        <v>16</v>
      </c>
      <c r="B53" s="290">
        <f>1-_Don1</f>
        <v>0.27</v>
      </c>
      <c r="C53"/>
      <c r="E53" s="114" t="s">
        <v>378</v>
      </c>
      <c r="I53" s="57">
        <v>1</v>
      </c>
    </row>
    <row r="54" spans="1:18" x14ac:dyDescent="0.2">
      <c r="A54" s="114"/>
      <c r="C54"/>
      <c r="E54" s="114"/>
      <c r="I54" s="57"/>
    </row>
    <row r="55" spans="1:18" x14ac:dyDescent="0.2">
      <c r="A55" s="211" t="s">
        <v>379</v>
      </c>
      <c r="B55" s="300">
        <f>IF(VIN_min&gt;Vout, Vout/VIN_min, (Vout-VIN_min)/Vout)</f>
        <v>0.73</v>
      </c>
      <c r="C55" t="str">
        <f>IF(VIN_min&gt;Vout, "BUCK", "BOOST")</f>
        <v>BUCK</v>
      </c>
      <c r="E55" s="114"/>
      <c r="I55" s="57"/>
    </row>
    <row r="56" spans="1:18" x14ac:dyDescent="0.2">
      <c r="A56" s="211" t="s">
        <v>397</v>
      </c>
      <c r="B56" s="300">
        <f>IF(VIN_nom&gt;Vout, Vout/VIN_nom, (Vout-VIN_nom)/Vout)</f>
        <v>0.73</v>
      </c>
      <c r="C56" t="str">
        <f>IF(VIN_nom&gt;Vout, "BUCK", "BOOST")</f>
        <v>BUCK</v>
      </c>
      <c r="I56" s="57"/>
    </row>
    <row r="57" spans="1:18" x14ac:dyDescent="0.2">
      <c r="A57" s="211" t="s">
        <v>380</v>
      </c>
      <c r="B57" s="300">
        <f>IF(VIN_max&gt;Vout, Vout/VIN_max, (Vout-VIN_max)/Vout)</f>
        <v>0.30416666666666664</v>
      </c>
      <c r="C57" t="str">
        <f>IF(VIN_max&gt;Vout, "BUCK", "BOOST")</f>
        <v>BUCK</v>
      </c>
      <c r="E57" s="114"/>
      <c r="I57" s="57"/>
    </row>
    <row r="58" spans="1:18" x14ac:dyDescent="0.2">
      <c r="A58" s="114"/>
      <c r="B58" s="300"/>
      <c r="C58" s="114"/>
      <c r="E58" s="114"/>
      <c r="I58" s="57"/>
    </row>
    <row r="59" spans="1:18" x14ac:dyDescent="0.2">
      <c r="A59" s="114"/>
      <c r="B59" s="114" t="s">
        <v>759</v>
      </c>
      <c r="C59" s="114" t="s">
        <v>427</v>
      </c>
      <c r="E59" s="114"/>
      <c r="I59" s="57"/>
    </row>
    <row r="60" spans="1:18" x14ac:dyDescent="0.2">
      <c r="A60" s="211" t="s">
        <v>381</v>
      </c>
      <c r="B60" s="610">
        <f>(VIN_min-Vout)*Don_Vinmin/(Fsw*Iout*0.3)</f>
        <v>1.8250000000000001E-6</v>
      </c>
      <c r="C60" s="610">
        <f>VIN_min/(Iin_Vinmin*0.3*Fsw)*(1-VIN_min/Vout)</f>
        <v>-4.4567461062112968E-6</v>
      </c>
      <c r="D60" s="114" t="s">
        <v>20</v>
      </c>
      <c r="E60" s="114" t="s">
        <v>765</v>
      </c>
      <c r="I60" s="57"/>
    </row>
    <row r="61" spans="1:18" x14ac:dyDescent="0.2">
      <c r="A61" s="211" t="s">
        <v>395</v>
      </c>
      <c r="B61" s="610">
        <f>(VIN_nom-Vout)*Don_Vinnom/(Fsw*Iout*0.35)</f>
        <v>1.5642857142857144E-6</v>
      </c>
      <c r="C61" s="610">
        <f>VIN_nom/(Iin_Vinnom*0.35*Fsw)*(1-VIN_nom/Vout)</f>
        <v>-3.8200680910382542E-6</v>
      </c>
      <c r="D61" t="s">
        <v>20</v>
      </c>
      <c r="E61" s="114" t="s">
        <v>1010</v>
      </c>
      <c r="I61" s="57">
        <v>1</v>
      </c>
    </row>
    <row r="62" spans="1:18" x14ac:dyDescent="0.2">
      <c r="A62" s="211" t="s">
        <v>382</v>
      </c>
      <c r="B62" s="610">
        <f>(VIN_max-Vout)*Don_Vinmax/(Fsw*Iout*0.4)</f>
        <v>3.5274884259259255E-6</v>
      </c>
      <c r="C62" s="610">
        <f>VIN_max/(Iin_Vinmax*0.4*Fsw)*(1-VIN_max/Vout)</f>
        <v>-1.1908425595796586E-4</v>
      </c>
      <c r="D62" s="114" t="s">
        <v>20</v>
      </c>
      <c r="E62" s="114" t="s">
        <v>1009</v>
      </c>
      <c r="I62" s="57"/>
      <c r="K62" s="114" t="s">
        <v>914</v>
      </c>
      <c r="R62" s="114" t="s">
        <v>864</v>
      </c>
    </row>
    <row r="63" spans="1:18" x14ac:dyDescent="0.2">
      <c r="A63" s="114"/>
      <c r="C63"/>
      <c r="I63" s="57"/>
      <c r="K63" s="114"/>
      <c r="L63" s="602"/>
      <c r="M63" s="114"/>
      <c r="N63" s="114"/>
      <c r="O63" s="602"/>
      <c r="P63" s="114"/>
    </row>
    <row r="64" spans="1:18" ht="15" x14ac:dyDescent="0.25">
      <c r="A64" s="114" t="s">
        <v>392</v>
      </c>
      <c r="B64" s="610">
        <f>MAX(IF(VIN_min&gt;Vout,B60,C60),O64)</f>
        <v>1.8250000000000001E-6</v>
      </c>
      <c r="C64" s="114" t="s">
        <v>20</v>
      </c>
      <c r="D64" t="str">
        <f>IF(VIN_min&gt;Vout, "BUCK", "BOOST")</f>
        <v>BUCK</v>
      </c>
      <c r="E64" s="114" t="s">
        <v>765</v>
      </c>
      <c r="I64" s="57"/>
      <c r="K64" t="s">
        <v>908</v>
      </c>
      <c r="L64" s="663">
        <f>(VIN_max-Vout)*Vout/(0.4*Iout*Fsw*VIN_max)</f>
        <v>3.5274884259259251E-6</v>
      </c>
      <c r="M64" s="114" t="s">
        <v>20</v>
      </c>
      <c r="N64" t="s">
        <v>909</v>
      </c>
      <c r="O64" s="663">
        <f>MAX(10*Vout*Rs/Fsw,Rs*125/Fsw)</f>
        <v>6.0833333333333337E-7</v>
      </c>
      <c r="P64" s="114" t="s">
        <v>20</v>
      </c>
    </row>
    <row r="65" spans="1:18" ht="15" x14ac:dyDescent="0.25">
      <c r="A65" s="114" t="s">
        <v>393</v>
      </c>
      <c r="B65" s="610">
        <f>IF(VIN_nom&gt;Vout, B61,C61)</f>
        <v>1.5642857142857144E-6</v>
      </c>
      <c r="C65" t="s">
        <v>20</v>
      </c>
      <c r="D65" t="str">
        <f>IF(VIN_nom&gt;Vout, "BUCK", "BOOST")</f>
        <v>BUCK</v>
      </c>
      <c r="E65" s="114" t="s">
        <v>1010</v>
      </c>
      <c r="I65" s="57"/>
      <c r="K65" t="s">
        <v>910</v>
      </c>
      <c r="L65" s="663">
        <f>(Vout-VIN_min)*VIN_min^2/(0.3*Iout*Fsw*Vout^2)</f>
        <v>-4.6913116907487332E-6</v>
      </c>
      <c r="M65" s="114" t="s">
        <v>20</v>
      </c>
      <c r="N65" t="s">
        <v>911</v>
      </c>
      <c r="O65" s="663">
        <f>Rs*5000/Fsw</f>
        <v>2.0833333333333333E-5</v>
      </c>
      <c r="P65" s="114" t="s">
        <v>20</v>
      </c>
    </row>
    <row r="66" spans="1:18" ht="15" x14ac:dyDescent="0.25">
      <c r="A66" s="114" t="s">
        <v>394</v>
      </c>
      <c r="B66" s="610">
        <f>MIN(IF(VIN_max&gt;Vout,B62,C62),O65)</f>
        <v>3.5274884259259255E-6</v>
      </c>
      <c r="C66" s="114" t="s">
        <v>20</v>
      </c>
      <c r="D66" t="str">
        <f>IF(VIN_max&gt;Vout, "BUCK", "BOOST")</f>
        <v>BUCK</v>
      </c>
      <c r="E66" s="114" t="s">
        <v>1009</v>
      </c>
      <c r="I66" s="57"/>
      <c r="K66" t="s">
        <v>1011</v>
      </c>
      <c r="L66" s="663">
        <f>Rs*25*Vout/Fsw</f>
        <v>1.5208333333333333E-6</v>
      </c>
      <c r="M66" s="114" t="s">
        <v>20</v>
      </c>
      <c r="N66" s="114" t="s">
        <v>1013</v>
      </c>
      <c r="O66" s="663">
        <f>Rs*625/Fsw</f>
        <v>2.6041666666666666E-6</v>
      </c>
      <c r="P66" s="114" t="s">
        <v>20</v>
      </c>
    </row>
    <row r="67" spans="1:18" ht="15" x14ac:dyDescent="0.25">
      <c r="A67" s="114"/>
      <c r="C67" s="114"/>
      <c r="E67" s="114"/>
      <c r="I67" s="57"/>
      <c r="K67" t="s">
        <v>1012</v>
      </c>
      <c r="L67" s="663">
        <f>Vout/VIN_min*1.4*Iout</f>
        <v>12.263999999999999</v>
      </c>
      <c r="M67" s="114" t="s">
        <v>2</v>
      </c>
      <c r="N67" t="s">
        <v>1014</v>
      </c>
      <c r="O67" s="663">
        <f>Rs*10*Vout/Fsw</f>
        <v>6.0833333333333337E-7</v>
      </c>
      <c r="P67" s="114" t="s">
        <v>20</v>
      </c>
    </row>
    <row r="68" spans="1:18" ht="15" x14ac:dyDescent="0.25">
      <c r="A68" s="211" t="s">
        <v>396</v>
      </c>
      <c r="B68" s="610">
        <f>O74</f>
        <v>4.2468471406827577E-6</v>
      </c>
      <c r="C68" t="s">
        <v>20</v>
      </c>
      <c r="D68" s="114" t="s">
        <v>915</v>
      </c>
      <c r="E68" s="114"/>
      <c r="I68" s="57"/>
      <c r="K68" s="114" t="s">
        <v>1027</v>
      </c>
      <c r="L68" s="663">
        <f>Buck_CS_threshold/L67</f>
        <v>4.0769732550554475E-3</v>
      </c>
      <c r="M68" s="213" t="s">
        <v>118</v>
      </c>
      <c r="N68" t="s">
        <v>1015</v>
      </c>
      <c r="O68" s="663">
        <f>Rs*125/Fsw</f>
        <v>5.2083333333333336E-7</v>
      </c>
      <c r="P68" s="114" t="s">
        <v>20</v>
      </c>
    </row>
    <row r="69" spans="1:18" x14ac:dyDescent="0.2">
      <c r="A69" s="211" t="s">
        <v>909</v>
      </c>
      <c r="B69" s="610">
        <f>O64</f>
        <v>6.0833333333333337E-7</v>
      </c>
      <c r="C69" t="s">
        <v>20</v>
      </c>
      <c r="D69" s="114"/>
      <c r="E69" s="114"/>
      <c r="I69" s="57"/>
      <c r="K69" s="114"/>
      <c r="L69" s="4"/>
    </row>
    <row r="70" spans="1:18" x14ac:dyDescent="0.2">
      <c r="A70" s="211" t="s">
        <v>911</v>
      </c>
      <c r="B70" s="610">
        <f>O65</f>
        <v>2.0833333333333333E-5</v>
      </c>
      <c r="C70" t="s">
        <v>20</v>
      </c>
      <c r="D70" s="114"/>
      <c r="E70" s="114"/>
      <c r="I70" s="57"/>
      <c r="K70" s="114" t="s">
        <v>912</v>
      </c>
      <c r="L70" s="4">
        <f>(MAX(MIN(AVERAGE(L64:L65),O65),O64))</f>
        <v>6.0833333333333337E-7</v>
      </c>
      <c r="M70" s="114" t="s">
        <v>20</v>
      </c>
    </row>
    <row r="71" spans="1:18" x14ac:dyDescent="0.2">
      <c r="A71" s="211" t="s">
        <v>995</v>
      </c>
      <c r="B71" s="602">
        <f>MAX(MIN(B68,B70),B69)</f>
        <v>4.2468471406827577E-6</v>
      </c>
      <c r="C71" t="s">
        <v>20</v>
      </c>
      <c r="E71" s="114"/>
      <c r="I71" s="57"/>
      <c r="K71" s="114" t="s">
        <v>913</v>
      </c>
      <c r="L71" s="4">
        <f>(MAX(MIN(MIN(L64:L65),O65),O64))</f>
        <v>6.0833333333333337E-7</v>
      </c>
      <c r="M71" s="114" t="s">
        <v>20</v>
      </c>
    </row>
    <row r="72" spans="1:18" x14ac:dyDescent="0.2">
      <c r="A72" s="211" t="s">
        <v>383</v>
      </c>
      <c r="B72" s="70">
        <f>'Design Converter'!E18/1000000</f>
        <v>2.6400000000000001E-6</v>
      </c>
      <c r="C72" t="s">
        <v>20</v>
      </c>
      <c r="E72" s="114" t="s">
        <v>766</v>
      </c>
      <c r="I72" s="57">
        <v>2</v>
      </c>
      <c r="K72" s="30"/>
    </row>
    <row r="73" spans="1:18" x14ac:dyDescent="0.2">
      <c r="A73" s="211" t="s">
        <v>12</v>
      </c>
      <c r="B73" s="29">
        <f>'Design Converter'!E19/1000</f>
        <v>5.7999999999999996E-3</v>
      </c>
      <c r="C73" s="213" t="s">
        <v>118</v>
      </c>
      <c r="E73" s="114" t="s">
        <v>767</v>
      </c>
      <c r="I73" s="57">
        <v>1</v>
      </c>
      <c r="K73" s="30"/>
      <c r="N73" s="114" t="s">
        <v>1026</v>
      </c>
      <c r="O73" s="602">
        <f>L68*625/Fsw</f>
        <v>4.2468471406827577E-6</v>
      </c>
      <c r="P73" s="114" t="s">
        <v>20</v>
      </c>
    </row>
    <row r="74" spans="1:18" x14ac:dyDescent="0.2">
      <c r="A74" s="211"/>
      <c r="B74" s="114"/>
      <c r="C74" s="114"/>
      <c r="D74" s="114"/>
      <c r="E74" s="114"/>
      <c r="I74" s="57"/>
      <c r="N74" s="114" t="s">
        <v>1028</v>
      </c>
      <c r="O74" s="602">
        <f>MAX(O64,MIN(O65,O73))</f>
        <v>4.2468471406827577E-6</v>
      </c>
      <c r="P74" s="114" t="s">
        <v>20</v>
      </c>
    </row>
    <row r="75" spans="1:18" x14ac:dyDescent="0.2">
      <c r="A75" s="211" t="s">
        <v>17</v>
      </c>
      <c r="B75" s="300">
        <f>(Vout+Iout*(Rdcr+Rs))/(Vin+Iout*Rs)</f>
        <v>0.73387918122815776</v>
      </c>
      <c r="C75"/>
      <c r="I75" s="57">
        <v>2</v>
      </c>
    </row>
    <row r="76" spans="1:18" x14ac:dyDescent="0.2">
      <c r="A76" s="211" t="s">
        <v>18</v>
      </c>
      <c r="B76" s="300">
        <f>1-_Don2</f>
        <v>0.26612081877184224</v>
      </c>
      <c r="C76"/>
      <c r="I76" s="57">
        <v>2</v>
      </c>
    </row>
    <row r="77" spans="1:18" x14ac:dyDescent="0.2">
      <c r="A77" s="211"/>
      <c r="C77"/>
      <c r="I77" s="57"/>
    </row>
    <row r="78" spans="1:18" x14ac:dyDescent="0.2">
      <c r="A78" s="211" t="s">
        <v>398</v>
      </c>
      <c r="B78" s="300">
        <f>IF(VIN_min&gt;Vout, (Vout+Iout*(Rdcr+Rs))/(VIN_min+Iout*Rs), (Vout-VIN_min+Iin_Vinmin*(Rdcr))/(Vout-Iin_Vinmin*Rs))</f>
        <v>0.73387918122815776</v>
      </c>
      <c r="C78" t="str">
        <f>IF(VIN_min&gt;Vout, "BUCK", "BOOST")</f>
        <v>BUCK</v>
      </c>
      <c r="E78" s="114" t="s">
        <v>530</v>
      </c>
      <c r="I78" s="57">
        <v>2</v>
      </c>
      <c r="J78" s="114"/>
      <c r="L78" s="565"/>
    </row>
    <row r="79" spans="1:18" ht="15.75" x14ac:dyDescent="0.3">
      <c r="A79" s="211" t="s">
        <v>399</v>
      </c>
      <c r="B79" s="300">
        <f>IF(VIN_nom&gt;Vout, (Vout+Iout*(Rdcr+Rs))/(VIN_nom+Iout*Rs), (Vout-VIN_nom+Iin_Vinnom*(Rdcr))/(Vout-Iin_Vinnom*Rs))</f>
        <v>0.73387918122815776</v>
      </c>
      <c r="C79" t="str">
        <f>IF(VIN_nom&gt;Vout, "BUCK", "BOOST")</f>
        <v>BUCK</v>
      </c>
      <c r="E79" s="371" t="s">
        <v>560</v>
      </c>
      <c r="I79" s="57"/>
      <c r="R79" s="114" t="s">
        <v>958</v>
      </c>
    </row>
    <row r="80" spans="1:18" x14ac:dyDescent="0.2">
      <c r="A80" s="211" t="s">
        <v>400</v>
      </c>
      <c r="B80" s="300">
        <f>IF(VIN_max&gt;Vout, (Vout+Iout*(Rdcr+Rs))/(VIN_max+Iout*Rs), (Vout-VIN_max+Iin_Vinmax*(Rdcr))/(Vout-Iin_Vinmax*Rs))</f>
        <v>0.30605038517593169</v>
      </c>
      <c r="C80" t="str">
        <f>IF(VIN_max&gt;Vout, "BUCK", "BOOST")</f>
        <v>BUCK</v>
      </c>
      <c r="I80" s="57"/>
    </row>
    <row r="81" spans="1:9" x14ac:dyDescent="0.2">
      <c r="A81" s="211"/>
      <c r="C81"/>
      <c r="I81" s="57"/>
    </row>
    <row r="82" spans="1:9" x14ac:dyDescent="0.2">
      <c r="A82" s="211" t="s">
        <v>22</v>
      </c>
      <c r="B82" s="411">
        <f>'Design Converter'!E43/1000</f>
        <v>0.15</v>
      </c>
      <c r="C82" t="s">
        <v>0</v>
      </c>
      <c r="E82" s="114" t="s">
        <v>569</v>
      </c>
      <c r="I82" s="57">
        <v>1</v>
      </c>
    </row>
    <row r="83" spans="1:9" x14ac:dyDescent="0.2">
      <c r="A83" s="211"/>
      <c r="C83"/>
      <c r="I83" s="57"/>
    </row>
    <row r="84" spans="1:9" x14ac:dyDescent="0.2">
      <c r="A84" s="211" t="s">
        <v>389</v>
      </c>
      <c r="B84" s="527">
        <f>IF(VIN_min&gt;Vout, (VIN_min-Vout)*Don_Vinmin_2/(Fsw*Lf),VIN_min*Don_Vinmin_2/(Lf*Fsw))</f>
        <v>2.5018608450959925</v>
      </c>
      <c r="C84" s="527">
        <f>(VIN_min-Vout)*Don_Vinmin_2/(Fsw*Lf)</f>
        <v>2.5018608450959925</v>
      </c>
      <c r="D84" s="114" t="s">
        <v>2</v>
      </c>
      <c r="E84" t="str">
        <f>IF(VIN_min&gt;Vout, "BUCK", "BOOST")</f>
        <v>BUCK</v>
      </c>
      <c r="G84" s="30"/>
      <c r="H84">
        <f>VIN_min*Don_Vinmin_2/(Lopt*Fsw)</f>
        <v>5.7601883382925605</v>
      </c>
      <c r="I84" s="57"/>
    </row>
    <row r="85" spans="1:9" x14ac:dyDescent="0.2">
      <c r="A85" s="211" t="s">
        <v>390</v>
      </c>
      <c r="B85" s="527">
        <f>IF(VIN_nom&gt;Vout, (VIN_nom-Vout)*Don_Vinnom_2/(Fsw*Lf),VIN_nom*Don_Vinnom_2/(Lf*Fsw))</f>
        <v>2.5018608450959925</v>
      </c>
      <c r="C85" s="527">
        <f>(VIN_nom-Vout)*Don_Vinnom_2/(Fsw*Lf)</f>
        <v>2.5018608450959925</v>
      </c>
      <c r="D85" s="114" t="s">
        <v>2</v>
      </c>
      <c r="E85" t="str">
        <f>IF(VIN_nom&gt;Vout, "BUCK", "BOOST")</f>
        <v>BUCK</v>
      </c>
      <c r="I85" s="57"/>
    </row>
    <row r="86" spans="1:9" x14ac:dyDescent="0.2">
      <c r="A86" s="211" t="s">
        <v>391</v>
      </c>
      <c r="B86" s="527">
        <f>IF(VIN_max&gt;Vout, (VIN_max-Vout)*Don_Vinmax_2/(Fsw*Lf),VIN_max*Don_Vinmax_2/(Lf*Fsw))</f>
        <v>6.453335141967246</v>
      </c>
      <c r="C86" s="527">
        <f>(VIN_max-Vout)*Don_Vinmax_2/(Fsw*Lf)</f>
        <v>6.453335141967246</v>
      </c>
      <c r="D86" s="114" t="s">
        <v>2</v>
      </c>
      <c r="E86" t="str">
        <f>IF(VIN_max&gt;Vout, "BUCK", "BOOST")</f>
        <v>BUCK</v>
      </c>
      <c r="I86" s="57"/>
    </row>
    <row r="87" spans="1:9" x14ac:dyDescent="0.2">
      <c r="A87" s="211"/>
      <c r="B87" s="527"/>
      <c r="C87" s="480"/>
      <c r="D87" s="114"/>
      <c r="E87" s="114"/>
      <c r="I87" s="57"/>
    </row>
    <row r="88" spans="1:9" x14ac:dyDescent="0.2">
      <c r="A88" s="211"/>
      <c r="B88" s="114"/>
      <c r="C88" s="114"/>
      <c r="D88" s="114"/>
      <c r="I88" s="57"/>
    </row>
    <row r="89" spans="1:9" x14ac:dyDescent="0.2">
      <c r="A89" s="211" t="s">
        <v>795</v>
      </c>
      <c r="B89" s="569">
        <f>IF(VIN_min&gt;Vout, SQRT(1-Don_Vinmin_2)*SQRT(Iout^2+(Iripple_Vinmin^2)/12), SQRT(Don_Vinmin_2)*SQRT(Iin_Vinmin^2+(Iripple_Vinmin^2)/12))</f>
        <v>6.2016295366935523</v>
      </c>
      <c r="C89" s="114" t="s">
        <v>2</v>
      </c>
      <c r="E89" s="4">
        <f>SQRT(1-Don_Vinmin_2)*SQRT(Iout^2+(Iripple_Vinmin^2)/12)</f>
        <v>6.2016295366935523</v>
      </c>
      <c r="F89" s="354">
        <f>SQRT(Don_Vinmin_2)*SQRT(Iout^2+(Iripple_Vinmin^2)/12)</f>
        <v>10.298611559993356</v>
      </c>
      <c r="I89" s="57"/>
    </row>
    <row r="90" spans="1:9" x14ac:dyDescent="0.2">
      <c r="A90" s="211" t="s">
        <v>796</v>
      </c>
      <c r="B90" s="569">
        <f>IF(VIN_nom&gt;Vout, SQRT(1-Don_Vinnom_2)*SQRT(Iout^2+(Iripple_Vinnom^2)/12), SQRT(Don_Vinnom_2)*SQRT(Iin_Vinnom^2+(Iripple_Vinnom^2)/12))</f>
        <v>6.2016295366935523</v>
      </c>
      <c r="C90" s="114" t="s">
        <v>2</v>
      </c>
      <c r="E90" s="4">
        <f>SQRT(1-Don_Vinnom_2)*SQRT(Iout^2+(Iripple_Vinnom^2)/12)</f>
        <v>6.2016295366935523</v>
      </c>
      <c r="F90" s="354">
        <f>SQRT(Don_Vinnom_2)*SQRT(Iout^2+(Iripple_Vinnom^2)/12)</f>
        <v>10.298611559993356</v>
      </c>
      <c r="I90" s="57"/>
    </row>
    <row r="91" spans="1:9" x14ac:dyDescent="0.2">
      <c r="A91" s="211" t="s">
        <v>797</v>
      </c>
      <c r="B91" s="569">
        <f>IF(VIN_max&gt;Vout, SQRT(1-Don_Vinmax_2)*SQRT(Iout^2+(Iripple_Vinmax^2)/12), SQRT(Don_Vinmax_2)*SQRT(Iin_Vinmax^2+(Iripple_Vinmax^2)/12))</f>
        <v>10.116178614023294</v>
      </c>
      <c r="C91" s="114" t="s">
        <v>2</v>
      </c>
      <c r="E91" s="4">
        <f>SQRT(1-Don_Vinmax_2)*SQRT(Iout^2+(Iripple_Vinmax^2)/12)</f>
        <v>10.116178614023294</v>
      </c>
      <c r="F91" s="354">
        <f>SQRT(Don_Vinmax_2)*SQRT(Iout^2+(Iripple_Vinmax^2)/12)</f>
        <v>6.7181389873776451</v>
      </c>
      <c r="I91" s="57"/>
    </row>
    <row r="92" spans="1:9" x14ac:dyDescent="0.2">
      <c r="A92" s="211" t="s">
        <v>798</v>
      </c>
      <c r="B92" s="394">
        <f>MAX(B89,B91)^2*Rs</f>
        <v>0.25584267437705566</v>
      </c>
      <c r="C92" s="114" t="s">
        <v>118</v>
      </c>
      <c r="D92" s="114" t="str">
        <f>IF(B91&gt;B89, "BUCK", "BOOST")</f>
        <v>BUCK</v>
      </c>
      <c r="E92" s="114"/>
      <c r="I92" s="57"/>
    </row>
    <row r="93" spans="1:9" x14ac:dyDescent="0.2">
      <c r="A93" s="211"/>
      <c r="B93" s="114"/>
      <c r="C93" s="114"/>
      <c r="D93" s="114"/>
      <c r="I93" s="57"/>
    </row>
    <row r="94" spans="1:9" x14ac:dyDescent="0.2">
      <c r="A94" s="211" t="s">
        <v>410</v>
      </c>
      <c r="B94" s="301">
        <f>MAX(B84:B86)</f>
        <v>6.453335141967246</v>
      </c>
      <c r="C94" s="114" t="s">
        <v>2</v>
      </c>
      <c r="I94" s="57"/>
    </row>
    <row r="95" spans="1:9" x14ac:dyDescent="0.2">
      <c r="A95" s="211"/>
      <c r="B95" s="114"/>
      <c r="C95" s="114"/>
      <c r="D95" s="114"/>
      <c r="F95" s="114" t="s">
        <v>184</v>
      </c>
      <c r="G95" s="293" t="s">
        <v>402</v>
      </c>
      <c r="I95" s="57"/>
    </row>
    <row r="96" spans="1:9" x14ac:dyDescent="0.2">
      <c r="A96" s="211" t="s">
        <v>401</v>
      </c>
      <c r="B96" s="408">
        <f>IF(VIN_min&gt;Vout, B84/Iout, B84/Iin_Vinmin)</f>
        <v>0.20848840375799937</v>
      </c>
      <c r="C96" t="str">
        <f>IF(VIN_min&gt;Vout, "BUCK", "BOOST")</f>
        <v>BUCK</v>
      </c>
      <c r="F96" s="4">
        <f>B84</f>
        <v>2.5018608450959925</v>
      </c>
      <c r="G96" s="409">
        <f>Iin_Vinmin</f>
        <v>9.2210526315789458</v>
      </c>
      <c r="I96" s="57"/>
    </row>
    <row r="97" spans="1:16" x14ac:dyDescent="0.2">
      <c r="A97" s="211"/>
      <c r="B97" s="408">
        <f>IF(VIN_nom&gt;Vout, B85/Iout, B85/Iin_Vinnom)</f>
        <v>0.20848840375799937</v>
      </c>
      <c r="C97" t="str">
        <f>IF(VIN_nom&gt;Vout, "BUCK", "BOOST")</f>
        <v>BUCK</v>
      </c>
      <c r="F97" s="4">
        <f>B85</f>
        <v>2.5018608450959925</v>
      </c>
      <c r="G97" s="409">
        <f>Iin_Vinnom</f>
        <v>9.2210526315789458</v>
      </c>
      <c r="I97" s="57"/>
    </row>
    <row r="98" spans="1:16" x14ac:dyDescent="0.2">
      <c r="A98" s="211"/>
      <c r="B98" s="408">
        <f>IF(VIN_max&gt;Vout, B86/Iout, B86/Iin_Vinmax)</f>
        <v>0.53777792849727046</v>
      </c>
      <c r="C98" t="str">
        <f>IF(VIN_max&gt;Vout, "BUCK", "BOOST")</f>
        <v>BUCK</v>
      </c>
      <c r="F98" s="4">
        <f>B86</f>
        <v>6.453335141967246</v>
      </c>
      <c r="G98" s="409">
        <f>Iin_Vinmax</f>
        <v>3.8421052631578942</v>
      </c>
      <c r="I98" s="57"/>
    </row>
    <row r="99" spans="1:16" x14ac:dyDescent="0.2">
      <c r="A99" s="211"/>
      <c r="C99"/>
      <c r="I99" s="57"/>
    </row>
    <row r="100" spans="1:16" x14ac:dyDescent="0.2">
      <c r="A100" t="s">
        <v>265</v>
      </c>
      <c r="B100" s="312">
        <v>100</v>
      </c>
      <c r="C100"/>
      <c r="D100" s="114"/>
      <c r="I100" s="57"/>
    </row>
    <row r="101" spans="1:16" x14ac:dyDescent="0.2">
      <c r="A101" s="211" t="s">
        <v>264</v>
      </c>
      <c r="B101" s="385">
        <f>Rdcr*(1+0.0039*(B100-25))</f>
        <v>7.4964999999999997E-3</v>
      </c>
      <c r="C101" s="213" t="s">
        <v>118</v>
      </c>
      <c r="I101" s="57"/>
    </row>
    <row r="102" spans="1:16" ht="13.5" thickBot="1" x14ac:dyDescent="0.25">
      <c r="A102" s="316"/>
      <c r="B102" s="317"/>
      <c r="C102" s="61"/>
      <c r="D102" s="61"/>
      <c r="E102" s="61"/>
      <c r="F102" s="61"/>
      <c r="G102" s="61"/>
      <c r="H102" s="61"/>
      <c r="I102" s="62"/>
    </row>
    <row r="103" spans="1:16" x14ac:dyDescent="0.2">
      <c r="A103" s="2"/>
      <c r="B103" s="1"/>
      <c r="C103" s="1"/>
    </row>
    <row r="104" spans="1:16" ht="16.5" thickBot="1" x14ac:dyDescent="0.3">
      <c r="A104" s="531" t="s">
        <v>509</v>
      </c>
      <c r="B104" s="1"/>
      <c r="C104" s="1"/>
    </row>
    <row r="105" spans="1:16" x14ac:dyDescent="0.2">
      <c r="A105" s="92"/>
      <c r="B105" s="63"/>
      <c r="C105" s="63"/>
      <c r="D105" s="63"/>
      <c r="E105" s="63"/>
      <c r="F105" s="63"/>
      <c r="G105" s="63"/>
      <c r="H105" s="63"/>
      <c r="I105" s="64"/>
    </row>
    <row r="106" spans="1:16" x14ac:dyDescent="0.2">
      <c r="A106" s="211" t="s">
        <v>1001</v>
      </c>
      <c r="B106" s="29">
        <f>'Design Converter'!E30</f>
        <v>20</v>
      </c>
      <c r="C106" s="114" t="s">
        <v>185</v>
      </c>
      <c r="E106" s="114" t="s">
        <v>697</v>
      </c>
      <c r="I106" s="57"/>
    </row>
    <row r="107" spans="1:16" x14ac:dyDescent="0.2">
      <c r="A107" s="211"/>
      <c r="C107"/>
      <c r="I107" s="57"/>
    </row>
    <row r="108" spans="1:16" x14ac:dyDescent="0.2">
      <c r="A108" s="211" t="s">
        <v>997</v>
      </c>
      <c r="B108" s="306">
        <f>IF(VIN_min&gt;Vout, Iout/Efficiency+Iripple_Vinmin/2, Iin_Vinmin+Iripple_Vinmin/2)</f>
        <v>13.882509369916418</v>
      </c>
      <c r="C108" t="s">
        <v>2</v>
      </c>
      <c r="D108" t="str">
        <f>IF(VIN_min&gt;Vout, "BUCK", "BOOST")</f>
        <v>BUCK</v>
      </c>
      <c r="E108" s="566"/>
      <c r="I108" s="57"/>
      <c r="P108" s="311"/>
    </row>
    <row r="109" spans="1:16" x14ac:dyDescent="0.2">
      <c r="A109" s="211" t="s">
        <v>998</v>
      </c>
      <c r="B109" s="306">
        <f>IF(VIN_nom&gt;Vout, Iout/Efficiency+Iripple_Vinnom/2,Iin_Vinnom+Iripple_Vinnom/2)</f>
        <v>13.882509369916418</v>
      </c>
      <c r="C109" t="s">
        <v>2</v>
      </c>
      <c r="D109" t="str">
        <f>IF(VIN_nom&gt;Vout, "BUCK", "BOOST")</f>
        <v>BUCK</v>
      </c>
      <c r="E109" s="114"/>
      <c r="I109" s="57"/>
      <c r="P109" s="311"/>
    </row>
    <row r="110" spans="1:16" x14ac:dyDescent="0.2">
      <c r="A110" s="211" t="s">
        <v>999</v>
      </c>
      <c r="B110" s="306">
        <f>IF(VIN_max&gt;Vout, Iout/Efficiency+Iripple_Vinmax/2,Iin_Vinmin+Iripple_Vinmax/2)</f>
        <v>15.858246518352043</v>
      </c>
      <c r="C110" t="s">
        <v>2</v>
      </c>
      <c r="D110" t="str">
        <f>IF(VIN_max&gt;Vout, "BUCK", "BOOST")</f>
        <v>BUCK</v>
      </c>
      <c r="E110" s="114"/>
      <c r="I110" s="57"/>
      <c r="P110" s="311"/>
    </row>
    <row r="111" spans="1:16" x14ac:dyDescent="0.2">
      <c r="A111" s="211" t="s">
        <v>1000</v>
      </c>
      <c r="B111" s="306">
        <f>I_2</f>
        <v>14.438421634866792</v>
      </c>
      <c r="C111" s="114" t="s">
        <v>2</v>
      </c>
      <c r="D111" s="114" t="s">
        <v>768</v>
      </c>
      <c r="I111" s="57"/>
    </row>
    <row r="112" spans="1:16" x14ac:dyDescent="0.2">
      <c r="A112" s="211" t="s">
        <v>1022</v>
      </c>
      <c r="B112" s="306">
        <f>MAX(B108:B110)</f>
        <v>15.858246518352043</v>
      </c>
      <c r="C112" s="114" t="s">
        <v>2</v>
      </c>
      <c r="D112" s="114" t="s">
        <v>1024</v>
      </c>
      <c r="I112" s="57"/>
    </row>
    <row r="113" spans="1:9" x14ac:dyDescent="0.2">
      <c r="A113" s="211" t="s">
        <v>1023</v>
      </c>
      <c r="B113" s="306">
        <f>Ipeak_inductor_max*(1+Ilimit_Margin/100)</f>
        <v>19.02989582202245</v>
      </c>
      <c r="C113" s="114" t="s">
        <v>2</v>
      </c>
      <c r="D113" s="114" t="s">
        <v>1025</v>
      </c>
      <c r="I113" s="57"/>
    </row>
    <row r="114" spans="1:9" x14ac:dyDescent="0.2">
      <c r="I114" s="57"/>
    </row>
    <row r="115" spans="1:9" x14ac:dyDescent="0.2">
      <c r="A115" s="211" t="s">
        <v>695</v>
      </c>
      <c r="B115" s="481">
        <v>4.4999999999999998E-2</v>
      </c>
      <c r="C115" s="114" t="s">
        <v>0</v>
      </c>
      <c r="I115" s="57"/>
    </row>
    <row r="116" spans="1:9" x14ac:dyDescent="0.2">
      <c r="A116" s="211" t="s">
        <v>408</v>
      </c>
      <c r="B116" s="305">
        <v>0.05</v>
      </c>
      <c r="C116" s="114" t="s">
        <v>0</v>
      </c>
      <c r="D116" s="2"/>
      <c r="E116" s="566" t="s">
        <v>872</v>
      </c>
      <c r="I116" s="57"/>
    </row>
    <row r="117" spans="1:9" x14ac:dyDescent="0.2">
      <c r="A117" s="211" t="s">
        <v>699</v>
      </c>
      <c r="B117" s="481">
        <v>5.5E-2</v>
      </c>
      <c r="C117" s="114" t="s">
        <v>0</v>
      </c>
      <c r="E117" s="114" t="s">
        <v>873</v>
      </c>
      <c r="I117" s="57"/>
    </row>
    <row r="118" spans="1:9" x14ac:dyDescent="0.2">
      <c r="A118" s="211"/>
      <c r="B118" s="354"/>
      <c r="C118" s="114"/>
      <c r="I118" s="57"/>
    </row>
    <row r="119" spans="1:9" x14ac:dyDescent="0.2">
      <c r="A119" s="211" t="s">
        <v>696</v>
      </c>
      <c r="B119" s="481">
        <v>4.4999999999999998E-2</v>
      </c>
      <c r="C119" s="114" t="s">
        <v>0</v>
      </c>
      <c r="I119" s="57"/>
    </row>
    <row r="120" spans="1:9" x14ac:dyDescent="0.2">
      <c r="A120" s="211" t="s">
        <v>409</v>
      </c>
      <c r="B120" s="305">
        <v>0.05</v>
      </c>
      <c r="C120" s="114" t="s">
        <v>0</v>
      </c>
      <c r="D120" s="2"/>
      <c r="E120" s="566" t="s">
        <v>872</v>
      </c>
      <c r="I120" s="57"/>
    </row>
    <row r="121" spans="1:9" x14ac:dyDescent="0.2">
      <c r="A121" s="211" t="s">
        <v>700</v>
      </c>
      <c r="B121" s="481">
        <v>5.5E-2</v>
      </c>
      <c r="C121" s="114" t="s">
        <v>0</v>
      </c>
      <c r="E121" s="114" t="s">
        <v>873</v>
      </c>
      <c r="I121" s="57"/>
    </row>
    <row r="122" spans="1:9" x14ac:dyDescent="0.2">
      <c r="I122" s="57"/>
    </row>
    <row r="123" spans="1:9" x14ac:dyDescent="0.2">
      <c r="A123" s="523" t="s">
        <v>774</v>
      </c>
      <c r="B123" s="114"/>
      <c r="C123" s="114"/>
      <c r="I123" s="57"/>
    </row>
    <row r="124" spans="1:9" x14ac:dyDescent="0.2">
      <c r="A124" s="211" t="s">
        <v>770</v>
      </c>
      <c r="B124" s="574">
        <f>IF(VIN_min&gt;Vout,Buck_CS_threshold/B108, Boost_CS_Threshold/B108)/(1+Ilimit_Margin/100)</f>
        <v>3.0013786093282882E-3</v>
      </c>
      <c r="C124" s="213" t="s">
        <v>118</v>
      </c>
      <c r="D124" t="str">
        <f>IF(VIN_min&gt;Vout, "BUCK", "BOOST")</f>
        <v>BUCK</v>
      </c>
      <c r="I124" s="57"/>
    </row>
    <row r="125" spans="1:9" x14ac:dyDescent="0.2">
      <c r="A125" s="211" t="s">
        <v>771</v>
      </c>
      <c r="B125" s="574">
        <f>IF(VIN_nom&gt;Vout,Buck_CS_threshold/B109, Boost_CS_Threshold/B109)/(1+Ilimit_Margin/100)</f>
        <v>3.0013786093282882E-3</v>
      </c>
      <c r="C125" s="213" t="s">
        <v>118</v>
      </c>
      <c r="D125" t="str">
        <f>IF(VIN_nom&gt;Vout, "BUCK", "BOOST")</f>
        <v>BUCK</v>
      </c>
      <c r="I125" s="57"/>
    </row>
    <row r="126" spans="1:9" x14ac:dyDescent="0.2">
      <c r="A126" s="211" t="s">
        <v>772</v>
      </c>
      <c r="B126" s="574">
        <f>IF(VIN_max&gt;Vout,Buck_CS_threshold/B110, Boost_CS_Threshold/B110)/(1+Ilimit_Margin/100)</f>
        <v>2.6274447567987856E-3</v>
      </c>
      <c r="C126" s="213" t="s">
        <v>118</v>
      </c>
      <c r="D126" t="str">
        <f>IF(VIN_max&gt;Vout, "BUCK", "BOOST")</f>
        <v>BUCK</v>
      </c>
      <c r="I126" s="57"/>
    </row>
    <row r="127" spans="1:9" x14ac:dyDescent="0.2">
      <c r="A127" s="211"/>
      <c r="B127" s="574"/>
      <c r="C127" s="213"/>
      <c r="D127" s="114"/>
      <c r="I127" s="57"/>
    </row>
    <row r="128" spans="1:9" x14ac:dyDescent="0.2">
      <c r="A128" s="211"/>
      <c r="B128" s="602"/>
      <c r="C128" s="213"/>
      <c r="I128" s="57"/>
    </row>
    <row r="129" spans="1:14" x14ac:dyDescent="0.2">
      <c r="A129" s="211" t="s">
        <v>415</v>
      </c>
      <c r="B129" s="603">
        <f>MIN(B124:B126)</f>
        <v>2.6274447567987856E-3</v>
      </c>
      <c r="C129" s="213" t="s">
        <v>118</v>
      </c>
      <c r="E129" s="114" t="s">
        <v>773</v>
      </c>
      <c r="I129" s="57"/>
    </row>
    <row r="130" spans="1:14" x14ac:dyDescent="0.2">
      <c r="A130" s="211" t="s">
        <v>197</v>
      </c>
      <c r="B130" s="604">
        <f>'Design Converter'!E32/1000</f>
        <v>2.5000000000000001E-3</v>
      </c>
      <c r="C130" s="213" t="s">
        <v>118</v>
      </c>
      <c r="E130" s="114" t="s">
        <v>416</v>
      </c>
      <c r="I130" s="57"/>
      <c r="K130" s="114"/>
      <c r="L130" s="114"/>
    </row>
    <row r="131" spans="1:14" x14ac:dyDescent="0.2">
      <c r="A131" s="211" t="s">
        <v>1020</v>
      </c>
      <c r="B131" s="296">
        <f>IF(AND(100&lt;Rs/Lf,Rs/Lf&lt;8000,Rs/Lf&lt;(1*Fsw/(Vout*10))),1,0)</f>
        <v>1</v>
      </c>
      <c r="C131" s="213"/>
      <c r="E131" s="114"/>
      <c r="I131" s="57"/>
      <c r="K131" s="114"/>
      <c r="L131" s="114"/>
    </row>
    <row r="132" spans="1:14" x14ac:dyDescent="0.2">
      <c r="A132" s="211" t="s">
        <v>561</v>
      </c>
      <c r="B132" s="306">
        <f>Boost_CS_Threshold_max/Rs</f>
        <v>22</v>
      </c>
      <c r="C132" s="114" t="s">
        <v>2</v>
      </c>
      <c r="E132" s="114" t="s">
        <v>769</v>
      </c>
      <c r="I132" s="57"/>
    </row>
    <row r="133" spans="1:14" x14ac:dyDescent="0.2">
      <c r="A133" s="211" t="s">
        <v>1018</v>
      </c>
      <c r="B133" s="306">
        <f>Buck_CS_threshold_max/Rs</f>
        <v>22</v>
      </c>
      <c r="C133" s="114" t="s">
        <v>2</v>
      </c>
      <c r="E133" s="114" t="s">
        <v>1019</v>
      </c>
      <c r="I133" s="57"/>
    </row>
    <row r="134" spans="1:14" x14ac:dyDescent="0.2">
      <c r="A134" s="211"/>
      <c r="I134" s="57"/>
    </row>
    <row r="135" spans="1:14" ht="15.75" x14ac:dyDescent="0.3">
      <c r="A135" s="211" t="s">
        <v>562</v>
      </c>
      <c r="B135" s="313">
        <f>IF(VIN_min&gt;Vout,Buck_CS_threshold/Rs-Iripple_Vinmin/2, (Boost_CS_Threshold/Rs-Iripple_Vinmin/2)*(1-Don_Vinmin_2))</f>
        <v>18.749069577452005</v>
      </c>
      <c r="C135" t="s">
        <v>2</v>
      </c>
      <c r="D135" t="str">
        <f>IF(VIN_min&gt;Vout, "BUCK", "BOOST")</f>
        <v>BUCK</v>
      </c>
      <c r="E135" s="114" t="s">
        <v>568</v>
      </c>
      <c r="I135" s="57"/>
    </row>
    <row r="136" spans="1:14" x14ac:dyDescent="0.2">
      <c r="A136" s="211" t="s">
        <v>623</v>
      </c>
      <c r="B136" s="313">
        <f>IF(VIN_nom&gt;Vout,Buck_CS_threshold/Rs-Iripple_Vinnom/2, IF(VIN_nom&lt;VIN_edgebuckboost,(Boost_CS_Threshold/Rs-Iripple_Vinnom/2)*(1-Don_Vinnom_2),(Buck_CS_threshold/Rs-Iripple_Vinnom/2)*(1-Don_Vinnom_2)))</f>
        <v>18.749069577452005</v>
      </c>
      <c r="C136" t="s">
        <v>2</v>
      </c>
      <c r="D136" t="str">
        <f>IF(VIN_nom&gt;Vout,"BUCK",IF(VIN_nom&lt;VIN_edgebuckboost,"BOOST","BUCK-BOOST"))</f>
        <v>BUCK</v>
      </c>
      <c r="I136" s="57"/>
    </row>
    <row r="137" spans="1:14" x14ac:dyDescent="0.2">
      <c r="A137" s="211" t="s">
        <v>563</v>
      </c>
      <c r="B137" s="313">
        <f>IF(VIN_max&gt;Vout, Buck_CS_threshold/Rs-Iripple_Vinmax/2, (Boost_CS_Threshold/Rs-Iripple_Vinmax/2)*(1-Don_Vinmax_2))</f>
        <v>16.773332429016378</v>
      </c>
      <c r="C137" t="s">
        <v>2</v>
      </c>
      <c r="D137" t="str">
        <f>IF(VIN_max&gt;Vout, "BUCK", "BOOST")</f>
        <v>BUCK</v>
      </c>
      <c r="I137" s="57"/>
    </row>
    <row r="138" spans="1:14" x14ac:dyDescent="0.2">
      <c r="A138" s="211"/>
      <c r="B138" s="313"/>
      <c r="C138"/>
      <c r="D138" s="2"/>
      <c r="I138" s="57"/>
      <c r="K138" s="114" t="s">
        <v>701</v>
      </c>
      <c r="M138" s="114" t="s">
        <v>702</v>
      </c>
    </row>
    <row r="139" spans="1:14" x14ac:dyDescent="0.2">
      <c r="A139" s="211"/>
      <c r="B139" s="114"/>
      <c r="C139"/>
      <c r="I139" s="57"/>
      <c r="K139" s="114"/>
      <c r="M139" s="114"/>
    </row>
    <row r="140" spans="1:14" x14ac:dyDescent="0.2">
      <c r="A140" s="211" t="s">
        <v>564</v>
      </c>
      <c r="B140" s="524">
        <f>IF(VIN_min&gt;Vout, Buck_CS_threshold_max/Rs, Boost_CS_Threshold_max/Rs)</f>
        <v>22</v>
      </c>
      <c r="C140" t="s">
        <v>2</v>
      </c>
      <c r="D140" t="str">
        <f>IF(VIN_min&gt;Vout, "BUCK", "BOOST")</f>
        <v>BUCK</v>
      </c>
      <c r="E140" s="114" t="s">
        <v>567</v>
      </c>
      <c r="H140">
        <f>SQRT(Don_Vinmin_2)*SQRT(Iin_Vinmin^2+(Iripple_Vinmin^2)/12)</f>
        <v>7.9235685616149105</v>
      </c>
      <c r="I140" s="57"/>
      <c r="K140" s="48">
        <f>IF(VIN_min&gt;Vout, SQRT(1-Don_Vinmin_2)*SQRT(Iout_OCP_Vinmin^2+(Iripple_Vinmin^2)/12), SQRT(Don_Vinmin_2)*SQRT(Iin_Vinmin^2+(Iripple_Vinmin^2)/12))</f>
        <v>9.6792368710922716</v>
      </c>
      <c r="L140" s="2" t="s">
        <v>2</v>
      </c>
      <c r="M140" s="4">
        <f>K140^2*Rs</f>
        <v>0.23421906601678028</v>
      </c>
      <c r="N140" s="2" t="s">
        <v>118</v>
      </c>
    </row>
    <row r="141" spans="1:14" x14ac:dyDescent="0.2">
      <c r="A141" s="211" t="s">
        <v>565</v>
      </c>
      <c r="B141" s="524">
        <f>IF(VIN_nom&gt;Vout, Buck_CS_threshold_max/Rs, IF(VIN_nom&lt;VIN_edgebuckboost, Boost_CS_Threshold_max/Rs, Buck_CS_threshold_max/Rs))</f>
        <v>22</v>
      </c>
      <c r="C141" t="s">
        <v>2</v>
      </c>
      <c r="D141" t="str">
        <f>IF(VIN_nom&gt;Vout,"BUCK",IF(VIN_nom&lt;VIN_edgebuckboost,"BOOST","BUCK-BOOST"))</f>
        <v>BUCK</v>
      </c>
      <c r="H141">
        <f>SQRT(1-Don_Vinnom_2)*SQRT(Iout_OCP_Vinnom^2+(Iripple_Vinnom^2)/12)</f>
        <v>9.6792368710922716</v>
      </c>
      <c r="I141" s="57"/>
      <c r="K141" s="48">
        <f>IF(VIN_nom&gt;Vout, SQRT(1-Don_Vinnom_2)*SQRT(Iout_OCP_Vinnom^2+(Iripple_Vinnom^2)/12), SQRT(Don_Vinnom_2)*SQRT(Iin_Vinnom^2+(Iripple_Vinnom^2)/12))</f>
        <v>9.6792368710922716</v>
      </c>
      <c r="L141" s="2" t="s">
        <v>2</v>
      </c>
      <c r="M141" s="4">
        <f>K141^2*Rs</f>
        <v>0.23421906601678028</v>
      </c>
      <c r="N141" s="2" t="s">
        <v>118</v>
      </c>
    </row>
    <row r="142" spans="1:14" x14ac:dyDescent="0.2">
      <c r="A142" s="211" t="s">
        <v>566</v>
      </c>
      <c r="B142" s="524">
        <f>IF(VIN_max&gt;Vout, Buck_CS_threshold_max/Rs, Boost_CS_Threshold_max/Rs)</f>
        <v>22</v>
      </c>
      <c r="C142" t="s">
        <v>2</v>
      </c>
      <c r="D142" t="str">
        <f>IF(VIN_max&gt;Vout, "BUCK", "BOOST")</f>
        <v>BUCK</v>
      </c>
      <c r="H142">
        <f>SQRT(1-Don_Vinmax_2)*SQRT(Iout_OCP_Vinmax^2+(Iripple_Vinmax^2)/12)</f>
        <v>14.058711109923166</v>
      </c>
      <c r="I142" s="57"/>
      <c r="K142" s="48">
        <f>IF(VIN_max&gt;Vout, SQRT(1-Don_Vinmax_2)*SQRT(Iout_OCP_Vinmax^2+(Iripple_Vinmax^2)/12), SQRT(Don_Vinmax_2)*SQRT(Iin_Vinmax^2+(Iripple_Vinmax^2)/12))</f>
        <v>14.058711109923166</v>
      </c>
      <c r="L142" s="482" t="s">
        <v>2</v>
      </c>
      <c r="M142" s="4">
        <f>K142^2*Rs</f>
        <v>0.49411839518069267</v>
      </c>
      <c r="N142" s="2" t="s">
        <v>118</v>
      </c>
    </row>
    <row r="143" spans="1:14" x14ac:dyDescent="0.2">
      <c r="A143" s="211" t="s">
        <v>854</v>
      </c>
      <c r="B143" s="525">
        <f>MAX(B140:B142)</f>
        <v>22</v>
      </c>
      <c r="C143" s="114" t="s">
        <v>2</v>
      </c>
      <c r="I143" s="57"/>
      <c r="K143" s="567"/>
      <c r="L143" s="482"/>
      <c r="M143" s="4"/>
      <c r="N143" s="2"/>
    </row>
    <row r="144" spans="1:14" x14ac:dyDescent="0.2">
      <c r="A144" s="211"/>
      <c r="B144" s="483"/>
      <c r="C144"/>
      <c r="I144" s="57"/>
    </row>
    <row r="145" spans="1:16" x14ac:dyDescent="0.2">
      <c r="A145" s="211" t="s">
        <v>624</v>
      </c>
      <c r="B145" s="525">
        <f>MAX(B140:B142)</f>
        <v>22</v>
      </c>
      <c r="C145" t="s">
        <v>2</v>
      </c>
      <c r="E145" t="s">
        <v>625</v>
      </c>
      <c r="I145" s="57"/>
    </row>
    <row r="146" spans="1:16" x14ac:dyDescent="0.2">
      <c r="A146" s="211"/>
      <c r="B146" s="4"/>
      <c r="C146" s="114"/>
      <c r="I146" s="57"/>
    </row>
    <row r="147" spans="1:16" x14ac:dyDescent="0.2">
      <c r="A147" s="211" t="s">
        <v>980</v>
      </c>
      <c r="B147" s="319">
        <f>Rs/Lf/Fsw*625</f>
        <v>0.98642676767676762</v>
      </c>
      <c r="C147" s="645"/>
      <c r="E147" s="114"/>
      <c r="I147" s="57"/>
    </row>
    <row r="148" spans="1:16" x14ac:dyDescent="0.2">
      <c r="A148" s="211" t="s">
        <v>976</v>
      </c>
      <c r="B148" s="319">
        <f>INDEX(P153:P168,MATCH(B147,P153:P168,1)+1)</f>
        <v>1</v>
      </c>
      <c r="C148" s="645"/>
      <c r="I148" s="57"/>
    </row>
    <row r="149" spans="1:16" x14ac:dyDescent="0.2">
      <c r="A149" s="211" t="s">
        <v>981</v>
      </c>
      <c r="B149" s="319">
        <f>INDEX(O153:O168,MATCH(B147,P153:P168)+1)+1</f>
        <v>8</v>
      </c>
      <c r="C149" s="213"/>
      <c r="E149" s="114"/>
      <c r="I149" s="57"/>
    </row>
    <row r="150" spans="1:16" x14ac:dyDescent="0.2">
      <c r="A150" s="211" t="s">
        <v>982</v>
      </c>
      <c r="B150" s="310">
        <f>625*50000000/(Fsw*B148)</f>
        <v>52083.333333333336</v>
      </c>
      <c r="C150" s="213" t="s">
        <v>118</v>
      </c>
      <c r="E150" s="114"/>
      <c r="I150" s="57"/>
    </row>
    <row r="151" spans="1:16" x14ac:dyDescent="0.2">
      <c r="A151" s="211" t="s">
        <v>424</v>
      </c>
      <c r="B151" s="407">
        <f>Isc_const</f>
        <v>0</v>
      </c>
      <c r="C151" s="114" t="s">
        <v>2</v>
      </c>
      <c r="E151" s="114"/>
      <c r="I151" s="57"/>
      <c r="K151" s="2" t="s">
        <v>426</v>
      </c>
      <c r="L151" s="2" t="s">
        <v>427</v>
      </c>
      <c r="O151" s="114" t="s">
        <v>979</v>
      </c>
    </row>
    <row r="152" spans="1:16" ht="13.5" thickBot="1" x14ac:dyDescent="0.25">
      <c r="A152" s="211" t="s">
        <v>983</v>
      </c>
      <c r="B152" s="310">
        <f>B150</f>
        <v>52083.333333333336</v>
      </c>
      <c r="C152" s="213" t="s">
        <v>118</v>
      </c>
      <c r="D152" s="114"/>
      <c r="G152" s="419"/>
      <c r="I152" s="57"/>
      <c r="K152" s="311">
        <f>B153*(1-Don_Vinmin_2)/Fsw</f>
        <v>3.4489258112830753E-2</v>
      </c>
      <c r="L152" s="311">
        <f>B153*Don_Vinmin_2/Fsw</f>
        <v>9.5110741887169239E-2</v>
      </c>
      <c r="M152" t="str">
        <f>IF(VIN_min&gt;Vout, "BUCK", "BOOST")</f>
        <v>BUCK</v>
      </c>
      <c r="O152" s="640" t="s">
        <v>977</v>
      </c>
      <c r="P152" s="640" t="s">
        <v>978</v>
      </c>
    </row>
    <row r="153" spans="1:16" x14ac:dyDescent="0.2">
      <c r="A153" s="211" t="s">
        <v>425</v>
      </c>
      <c r="B153" s="574">
        <f>(ABS((VIN_min-Vout))*gm_slopecomp/Cslope + Islope_fixed)/(Rslope)</f>
        <v>77760</v>
      </c>
      <c r="C153" s="114" t="s">
        <v>420</v>
      </c>
      <c r="E153" t="s">
        <v>421</v>
      </c>
      <c r="I153" s="57"/>
      <c r="K153" s="311">
        <f>B154*(1-Don_Vinnom_2)/Fsw</f>
        <v>3.4489258112830753E-2</v>
      </c>
      <c r="L153" s="311">
        <f>B154*Don_Vinnom_2/Fsw</f>
        <v>9.5110741887169239E-2</v>
      </c>
      <c r="M153" t="str">
        <f>IF(VIN_nom&gt;Vout, "BUCK", "BOOST")</f>
        <v>BUCK</v>
      </c>
      <c r="O153" s="641">
        <v>0</v>
      </c>
      <c r="P153" s="642">
        <f>0.125 + 0.125 *O153</f>
        <v>0.125</v>
      </c>
    </row>
    <row r="154" spans="1:16" x14ac:dyDescent="0.2">
      <c r="A154" s="211" t="s">
        <v>425</v>
      </c>
      <c r="B154" s="574">
        <f>(ABS((VIN_nom-Vout))*gm_slopecomp/Cslope + Islope_fixed)/(Rslope)</f>
        <v>77760</v>
      </c>
      <c r="C154" s="114" t="s">
        <v>420</v>
      </c>
      <c r="E154" s="114" t="s">
        <v>422</v>
      </c>
      <c r="I154" s="57"/>
      <c r="K154" s="311">
        <f>B155*(1-Don_Vinmax_2)/Fsw</f>
        <v>0.55627001124297304</v>
      </c>
      <c r="L154" s="311">
        <f>B155*Don_Vinmax_2/Fsw</f>
        <v>0.24532998875702683</v>
      </c>
      <c r="M154" t="str">
        <f>IF(VIN_max&gt;Vout, "BUCK", "BOOST")</f>
        <v>BUCK</v>
      </c>
      <c r="O154" s="26">
        <v>1</v>
      </c>
      <c r="P154" s="643">
        <f>0.125 + 0.125 *O154</f>
        <v>0.25</v>
      </c>
    </row>
    <row r="155" spans="1:16" x14ac:dyDescent="0.2">
      <c r="A155" s="211" t="s">
        <v>425</v>
      </c>
      <c r="B155" s="574">
        <f>(ABS((VIN_max-Vout))*gm_slopecomp/Cslope + Islope_fixed)/(Rslope)</f>
        <v>480960</v>
      </c>
      <c r="C155" s="114" t="s">
        <v>420</v>
      </c>
      <c r="E155" s="114" t="s">
        <v>423</v>
      </c>
      <c r="I155" s="57"/>
      <c r="O155" s="26">
        <v>2</v>
      </c>
      <c r="P155" s="643">
        <f t="shared" ref="P155:P160" si="0">0.125 + 0.125 *O155</f>
        <v>0.375</v>
      </c>
    </row>
    <row r="156" spans="1:16" x14ac:dyDescent="0.2">
      <c r="C156"/>
      <c r="I156" s="57"/>
      <c r="O156" s="26">
        <v>3</v>
      </c>
      <c r="P156" s="643">
        <f t="shared" si="0"/>
        <v>0.5</v>
      </c>
    </row>
    <row r="157" spans="1:16" x14ac:dyDescent="0.2">
      <c r="A157" s="211" t="s">
        <v>437</v>
      </c>
      <c r="B157" s="526">
        <f>IF(D157="BUCK", K152,L152)</f>
        <v>3.4489258112830753E-2</v>
      </c>
      <c r="C157" s="114" t="s">
        <v>0</v>
      </c>
      <c r="D157" t="str">
        <f>IF(VIN_min&gt;Vout, "BUCK", "BOOST")</f>
        <v>BUCK</v>
      </c>
      <c r="E157" t="s">
        <v>421</v>
      </c>
      <c r="I157" s="57"/>
      <c r="O157" s="26">
        <v>4</v>
      </c>
      <c r="P157" s="643">
        <f t="shared" si="0"/>
        <v>0.625</v>
      </c>
    </row>
    <row r="158" spans="1:16" x14ac:dyDescent="0.2">
      <c r="A158" s="211" t="s">
        <v>438</v>
      </c>
      <c r="B158" s="526">
        <f>IF(D158="BUCK", K153,L153)</f>
        <v>3.4489258112830753E-2</v>
      </c>
      <c r="C158" s="114" t="s">
        <v>0</v>
      </c>
      <c r="D158" t="str">
        <f>IF(VIN_nom&gt;Vout,"BUCK",IF(VIN_nom&lt;VIN_edgebuckboost,"BOOST","BUCK-BOOST"))</f>
        <v>BUCK</v>
      </c>
      <c r="E158" s="114" t="s">
        <v>422</v>
      </c>
      <c r="I158" s="57"/>
      <c r="O158" s="26">
        <v>5</v>
      </c>
      <c r="P158" s="643">
        <f t="shared" si="0"/>
        <v>0.75</v>
      </c>
    </row>
    <row r="159" spans="1:16" x14ac:dyDescent="0.2">
      <c r="A159" s="211" t="s">
        <v>439</v>
      </c>
      <c r="B159" s="526">
        <f>IF(D159="BUCK", K154,L154)</f>
        <v>0.55627001124297304</v>
      </c>
      <c r="C159" s="114" t="s">
        <v>0</v>
      </c>
      <c r="D159" t="str">
        <f>IF(VIN_max&gt;Vout, "BUCK", "BOOST")</f>
        <v>BUCK</v>
      </c>
      <c r="E159" s="114" t="s">
        <v>423</v>
      </c>
      <c r="I159" s="57"/>
      <c r="O159" s="26">
        <v>6</v>
      </c>
      <c r="P159" s="643">
        <f t="shared" si="0"/>
        <v>0.875</v>
      </c>
    </row>
    <row r="160" spans="1:16" x14ac:dyDescent="0.2">
      <c r="A160" s="211"/>
      <c r="C160" s="213"/>
      <c r="E160" s="114"/>
      <c r="I160" s="57"/>
      <c r="O160" s="21">
        <v>7</v>
      </c>
      <c r="P160" s="644">
        <f t="shared" si="0"/>
        <v>1</v>
      </c>
    </row>
    <row r="161" spans="1:16" x14ac:dyDescent="0.2">
      <c r="A161" s="56"/>
      <c r="D161" s="213"/>
      <c r="E161" s="114"/>
      <c r="I161" s="57"/>
      <c r="O161" s="26">
        <v>8</v>
      </c>
      <c r="P161" s="643">
        <f xml:space="preserve"> 1 + 4 *P153</f>
        <v>1.5</v>
      </c>
    </row>
    <row r="162" spans="1:16" x14ac:dyDescent="0.2">
      <c r="I162" s="57"/>
      <c r="O162" s="26">
        <v>9</v>
      </c>
      <c r="P162" s="643">
        <f t="shared" ref="P162:P168" si="1" xml:space="preserve"> 1 + 4 *P154</f>
        <v>2</v>
      </c>
    </row>
    <row r="163" spans="1:16" x14ac:dyDescent="0.2">
      <c r="I163" s="57"/>
      <c r="O163" s="26">
        <v>10</v>
      </c>
      <c r="P163" s="643">
        <f t="shared" si="1"/>
        <v>2.5</v>
      </c>
    </row>
    <row r="164" spans="1:16" x14ac:dyDescent="0.2">
      <c r="I164" s="57"/>
      <c r="O164" s="26">
        <v>11</v>
      </c>
      <c r="P164" s="643">
        <f t="shared" si="1"/>
        <v>3</v>
      </c>
    </row>
    <row r="165" spans="1:16" ht="13.5" thickBot="1" x14ac:dyDescent="0.25">
      <c r="A165" s="61"/>
      <c r="B165" s="61"/>
      <c r="C165" s="61"/>
      <c r="D165" s="61"/>
      <c r="E165" s="61"/>
      <c r="F165" s="61"/>
      <c r="G165" s="61"/>
      <c r="H165" s="61"/>
      <c r="I165" s="62"/>
      <c r="O165" s="26">
        <v>12</v>
      </c>
      <c r="P165" s="643">
        <f t="shared" si="1"/>
        <v>3.5</v>
      </c>
    </row>
    <row r="166" spans="1:16" x14ac:dyDescent="0.2">
      <c r="O166" s="26">
        <v>13</v>
      </c>
      <c r="P166" s="643">
        <f t="shared" si="1"/>
        <v>4</v>
      </c>
    </row>
    <row r="167" spans="1:16" ht="16.5" thickBot="1" x14ac:dyDescent="0.3">
      <c r="A167" s="543" t="s">
        <v>168</v>
      </c>
      <c r="D167" s="2"/>
      <c r="O167" s="26">
        <v>14</v>
      </c>
      <c r="P167" s="643">
        <f t="shared" si="1"/>
        <v>4.5</v>
      </c>
    </row>
    <row r="168" spans="1:16" x14ac:dyDescent="0.2">
      <c r="A168" s="210" t="s">
        <v>434</v>
      </c>
      <c r="B168" s="315">
        <f>IF(D168="BUCK", Iripple_Vinmin/SQRT(12), Iout*SQRT((Vout-VIN_min)/VIN_min))</f>
        <v>0.722225016195578</v>
      </c>
      <c r="C168" s="314" t="s">
        <v>2</v>
      </c>
      <c r="D168" s="291" t="str">
        <f>IF(VIN_min&gt;Vout, "BUCK", "BOOST")</f>
        <v>BUCK</v>
      </c>
      <c r="E168" s="117" t="s">
        <v>433</v>
      </c>
      <c r="F168" s="63"/>
      <c r="G168" s="63"/>
      <c r="H168" s="63"/>
      <c r="I168" s="64"/>
      <c r="L168" s="4"/>
      <c r="O168" s="21">
        <v>15</v>
      </c>
      <c r="P168" s="644">
        <f t="shared" si="1"/>
        <v>5</v>
      </c>
    </row>
    <row r="169" spans="1:16" x14ac:dyDescent="0.2">
      <c r="A169" s="211" t="s">
        <v>435</v>
      </c>
      <c r="B169" s="313">
        <f>IF(D169="BUCK", Iripple_Vinnom/SQRT(12), Iout*SQRT((Vout-VIN_nom)/VIN_nom))</f>
        <v>0.722225016195578</v>
      </c>
      <c r="C169" s="114" t="s">
        <v>2</v>
      </c>
      <c r="D169" t="str">
        <f>IF(VIN_nom&gt;Vout,"BUCK",IF(VIN_nom&lt;VIN_edgebuckboost,"BOOST","BUCK-BOOST"))</f>
        <v>BUCK</v>
      </c>
      <c r="E169" s="114"/>
      <c r="I169" s="57"/>
      <c r="L169" s="4"/>
    </row>
    <row r="170" spans="1:16" x14ac:dyDescent="0.2">
      <c r="A170" s="211" t="s">
        <v>436</v>
      </c>
      <c r="B170" s="313">
        <f>IF(D170="BUCK", Iripple_Vinmax/SQRT(12), Iout*SQRT((Vout-VIN_max)/VIN_max))</f>
        <v>1.8629173906928307</v>
      </c>
      <c r="C170" s="114" t="s">
        <v>2</v>
      </c>
      <c r="D170" t="str">
        <f>IF(VIN_max&gt;Vout, "BUCK", "BOOST")</f>
        <v>BUCK</v>
      </c>
      <c r="E170" s="114"/>
      <c r="I170" s="57"/>
      <c r="L170" s="4"/>
    </row>
    <row r="171" spans="1:16" x14ac:dyDescent="0.2">
      <c r="A171" s="211" t="s">
        <v>778</v>
      </c>
      <c r="B171" s="313">
        <f>MAX(B168:B170)</f>
        <v>1.8629173906928307</v>
      </c>
      <c r="C171" s="114" t="s">
        <v>2</v>
      </c>
      <c r="E171" s="114"/>
      <c r="I171" s="57"/>
      <c r="L171" s="4"/>
    </row>
    <row r="172" spans="1:16" x14ac:dyDescent="0.2">
      <c r="A172" s="211"/>
      <c r="B172" s="48"/>
      <c r="C172" s="114"/>
      <c r="E172" s="114"/>
      <c r="I172" s="57"/>
      <c r="L172" s="4"/>
    </row>
    <row r="173" spans="1:16" x14ac:dyDescent="0.2">
      <c r="A173" s="211" t="s">
        <v>541</v>
      </c>
      <c r="B173" s="410">
        <f>Vripple1*1000</f>
        <v>150</v>
      </c>
      <c r="C173" s="114" t="s">
        <v>371</v>
      </c>
      <c r="E173" s="114" t="s">
        <v>570</v>
      </c>
      <c r="I173" s="57"/>
      <c r="L173" s="4"/>
    </row>
    <row r="174" spans="1:16" x14ac:dyDescent="0.2">
      <c r="A174" s="56"/>
      <c r="B174" s="114"/>
      <c r="E174" s="114"/>
      <c r="I174" s="57"/>
    </row>
    <row r="175" spans="1:16" x14ac:dyDescent="0.2">
      <c r="A175" s="66" t="s">
        <v>24</v>
      </c>
      <c r="B175" s="420">
        <f>IF(VIN_min&gt;Vout, Iripple_Vinmin/(Fsw*8*Vripple1), Iout*Don_Vinmin_2/(Vripple1*Fsw))</f>
        <v>3.4748067292999898E-6</v>
      </c>
      <c r="C175" t="s">
        <v>26</v>
      </c>
      <c r="E175" t="s">
        <v>23</v>
      </c>
      <c r="H175">
        <f>Vripple2</f>
        <v>3.4955565352322582E-2</v>
      </c>
      <c r="I175" s="57">
        <v>1</v>
      </c>
      <c r="K175" s="1">
        <f>Coutmin</f>
        <v>3.4748067292999898E-6</v>
      </c>
    </row>
    <row r="176" spans="1:16" x14ac:dyDescent="0.2">
      <c r="A176" s="211" t="s">
        <v>785</v>
      </c>
      <c r="B176" s="478">
        <f>IF(Coutmin*1000000&lt;H176, H176,Coutmin*1000000)</f>
        <v>3.4748067292999898</v>
      </c>
      <c r="C176" s="42" t="s">
        <v>25</v>
      </c>
      <c r="E176" s="114" t="s">
        <v>896</v>
      </c>
      <c r="H176">
        <v>0.1</v>
      </c>
      <c r="I176" s="57"/>
      <c r="K176" s="1">
        <f>Coutmin*1000000</f>
        <v>3.4748067292999898</v>
      </c>
    </row>
    <row r="177" spans="1:12" x14ac:dyDescent="0.2">
      <c r="A177" s="211" t="s">
        <v>27</v>
      </c>
      <c r="B177" s="421">
        <f>'Design Converter'!E45/1000000</f>
        <v>1E-4</v>
      </c>
      <c r="C177" t="s">
        <v>26</v>
      </c>
      <c r="E177" s="114" t="s">
        <v>440</v>
      </c>
      <c r="I177" s="57">
        <v>1</v>
      </c>
    </row>
    <row r="178" spans="1:12" x14ac:dyDescent="0.2">
      <c r="A178" s="66" t="s">
        <v>52</v>
      </c>
      <c r="B178" s="479">
        <f>IF(VIN_min&gt;Vout, SQRT((Vripple1/Iripple_Vinmin)^2-(1/(Fsw*Cout*8))^2), (Vripple1-Iout*Don_Vinmin_2/(Fsw*Cout))/Iout)</f>
        <v>5.9919166099298142E-2</v>
      </c>
      <c r="C178" s="213" t="s">
        <v>118</v>
      </c>
      <c r="E178" s="114" t="s">
        <v>294</v>
      </c>
      <c r="I178" s="57">
        <v>1</v>
      </c>
    </row>
    <row r="179" spans="1:12" x14ac:dyDescent="0.2">
      <c r="A179" s="2"/>
      <c r="B179" s="529"/>
      <c r="C179" s="213"/>
      <c r="E179" s="114"/>
      <c r="I179" s="57"/>
    </row>
    <row r="180" spans="1:12" x14ac:dyDescent="0.2">
      <c r="A180" s="476" t="s">
        <v>687</v>
      </c>
      <c r="B180" s="477">
        <f>IF(OR(CoutEsrMax&gt;0.3, CoutEsrMax&lt;0, (ISERROR(CoutEsrMax))), "N/A", CoutEsrMax*1000)</f>
        <v>59.919166099298145</v>
      </c>
      <c r="C180" s="45" t="s">
        <v>418</v>
      </c>
      <c r="E180" s="114"/>
      <c r="I180" s="57"/>
    </row>
    <row r="181" spans="1:12" x14ac:dyDescent="0.2">
      <c r="A181" s="211" t="s">
        <v>166</v>
      </c>
      <c r="B181" s="411">
        <f>'Design Converter'!E47/1000</f>
        <v>5.0000000000000001E-3</v>
      </c>
      <c r="C181" s="213" t="s">
        <v>118</v>
      </c>
      <c r="E181" s="114" t="s">
        <v>295</v>
      </c>
      <c r="I181" s="57">
        <v>1</v>
      </c>
      <c r="K181" t="b">
        <f>ISERROR(CoutEsrMax)</f>
        <v>0</v>
      </c>
      <c r="L181" t="b">
        <f>ISERROR(B180)</f>
        <v>0</v>
      </c>
    </row>
    <row r="182" spans="1:12" ht="13.5" thickBot="1" x14ac:dyDescent="0.25">
      <c r="A182" s="376" t="s">
        <v>227</v>
      </c>
      <c r="B182" s="412">
        <f>IF(VIN_min&gt;Vout, Iripple_Vinmax*SQRT(CoutEsr^2+(1/(8*Fsw*Cout))^2), CoutEsr*Iout+Iout*Don_Vinmin_2/(Fsw*Cout))</f>
        <v>3.4955565352322582E-2</v>
      </c>
      <c r="C182" s="107" t="s">
        <v>42</v>
      </c>
      <c r="D182" s="61"/>
      <c r="E182" s="61"/>
      <c r="F182" s="61"/>
      <c r="G182" s="61"/>
      <c r="H182" s="61"/>
      <c r="I182" s="62"/>
      <c r="L182" t="b">
        <f>OR(CoutEsrMax&gt;0.3,CoutEsrMax&lt;0)</f>
        <v>0</v>
      </c>
    </row>
    <row r="183" spans="1:12" x14ac:dyDescent="0.2">
      <c r="K183" t="b">
        <f>OR(TRUE, FALSE, TRUE)</f>
        <v>1</v>
      </c>
    </row>
    <row r="184" spans="1:12" ht="16.5" thickBot="1" x14ac:dyDescent="0.3">
      <c r="A184" s="543" t="s">
        <v>169</v>
      </c>
    </row>
    <row r="185" spans="1:12" ht="15.75" x14ac:dyDescent="0.25">
      <c r="A185" s="97"/>
      <c r="B185" s="98"/>
      <c r="C185" s="318"/>
      <c r="D185" s="98"/>
      <c r="E185" s="98"/>
      <c r="F185" s="98"/>
      <c r="G185" s="98"/>
      <c r="H185" s="98"/>
      <c r="I185" s="99"/>
    </row>
    <row r="186" spans="1:12" x14ac:dyDescent="0.2">
      <c r="A186" s="211" t="s">
        <v>775</v>
      </c>
      <c r="B186" s="112">
        <f>IF(D186="BUCK", Iout*SQRT(Don_Vinmin_2*(1-Don_Vinmax_2)), Iripple_Vinmin/SQRT(12))</f>
        <v>8.5636222020975623</v>
      </c>
      <c r="C186" s="95" t="s">
        <v>2</v>
      </c>
      <c r="D186" t="str">
        <f>IF(VIN_min&gt;Vout, "BUCK", "BOOST")</f>
        <v>BUCK</v>
      </c>
      <c r="F186" s="394">
        <f>Iripple_Vinmin/SQRT(12)</f>
        <v>0.722225016195578</v>
      </c>
      <c r="G186" s="354">
        <f>Iout*SQRT(Don_Vinmax_2*(1-Don_Vinmax_2))</f>
        <v>5.5302107333248838</v>
      </c>
      <c r="H186" s="116">
        <f>Iout*0.25</f>
        <v>3</v>
      </c>
      <c r="I186" s="101"/>
    </row>
    <row r="187" spans="1:12" x14ac:dyDescent="0.2">
      <c r="A187" s="211" t="s">
        <v>776</v>
      </c>
      <c r="B187" s="112">
        <f>IF(D187="BUCK", Iout*SQRT(Don_Vinnom_2*(1-Don_Vinnom_2)), Iripple_Vinnom/SQRT(12))</f>
        <v>5.3031383271303323</v>
      </c>
      <c r="C187" s="95" t="s">
        <v>2</v>
      </c>
      <c r="D187" t="str">
        <f>IF(VIN_nom&gt;Vout,"BUCK",IF(VIN_nom&lt;VIN_edgebuckboost,"BOOST","BUCK-BOOST"))</f>
        <v>BUCK</v>
      </c>
      <c r="F187" s="394"/>
      <c r="G187" s="354"/>
      <c r="I187" s="101"/>
    </row>
    <row r="188" spans="1:12" x14ac:dyDescent="0.2">
      <c r="A188" s="211" t="s">
        <v>777</v>
      </c>
      <c r="B188" s="112">
        <f>IF(D188="BUCK", Iout*SQRT(Don_Vinmax_2*(1-Don_Vinmax_2)), Iripple_Vinmax/SQRT(12))</f>
        <v>5.5302107333248838</v>
      </c>
      <c r="C188" s="95" t="s">
        <v>2</v>
      </c>
      <c r="D188" t="str">
        <f>IF(VIN_max&gt;Vout, "BUCK", "BOOST")</f>
        <v>BUCK</v>
      </c>
      <c r="F188" s="394"/>
      <c r="G188" s="354"/>
      <c r="I188" s="101"/>
    </row>
    <row r="189" spans="1:12" x14ac:dyDescent="0.2">
      <c r="A189" s="211" t="s">
        <v>783</v>
      </c>
      <c r="B189" s="112">
        <f>MAX(B186:B188)</f>
        <v>8.5636222020975623</v>
      </c>
      <c r="C189" s="42" t="s">
        <v>2</v>
      </c>
      <c r="D189" s="114" t="s">
        <v>814</v>
      </c>
      <c r="F189" s="394"/>
      <c r="G189" s="354"/>
      <c r="I189" s="101"/>
    </row>
    <row r="190" spans="1:12" x14ac:dyDescent="0.2">
      <c r="A190" s="114"/>
      <c r="B190" s="530"/>
      <c r="C190" s="95"/>
      <c r="F190" s="394"/>
      <c r="G190" s="354"/>
      <c r="I190" s="101"/>
    </row>
    <row r="191" spans="1:12" x14ac:dyDescent="0.2">
      <c r="A191" s="100" t="s">
        <v>269</v>
      </c>
      <c r="B191" s="319">
        <f>'Design Converter'!E52/1000</f>
        <v>0.18</v>
      </c>
      <c r="C191" t="s">
        <v>42</v>
      </c>
      <c r="D191" s="114" t="s">
        <v>784</v>
      </c>
      <c r="I191" s="101"/>
    </row>
    <row r="192" spans="1:12" x14ac:dyDescent="0.2">
      <c r="A192" s="114"/>
      <c r="B192" s="530"/>
      <c r="C192" s="95"/>
      <c r="F192" s="394"/>
      <c r="G192" s="354"/>
      <c r="I192" s="101"/>
    </row>
    <row r="193" spans="1:11" x14ac:dyDescent="0.2">
      <c r="A193" s="476" t="s">
        <v>800</v>
      </c>
      <c r="B193" s="539">
        <f>IF(VIN_max&gt;Vout, Iout*Don_Vinmax_2*(1-Don_Vinmax_2)/(Vinripple1*Fsw), Iripple_Vinmax/(Fsw*8*Vinripple1))</f>
        <v>2.3598171878843948E-5</v>
      </c>
      <c r="C193" s="95" t="s">
        <v>26</v>
      </c>
      <c r="D193" s="114" t="s">
        <v>808</v>
      </c>
      <c r="I193" s="101"/>
      <c r="K193" s="8">
        <f>Iripple_Vinnom/(Fsw*8*Vinripple1)</f>
        <v>2.8956722744166581E-6</v>
      </c>
    </row>
    <row r="194" spans="1:11" x14ac:dyDescent="0.2">
      <c r="A194" s="476" t="s">
        <v>804</v>
      </c>
      <c r="B194" s="540">
        <f>IF(VIN_max&gt;Vout, Iout*0.5*(1-0.5)/(Vinripple1*Fsw), Iripple_Vinmax/(Fsw*8*Vinripple1))</f>
        <v>2.7777777777777779E-5</v>
      </c>
      <c r="C194" s="95"/>
      <c r="D194" s="114" t="s">
        <v>801</v>
      </c>
      <c r="G194" s="30"/>
      <c r="I194" s="101"/>
      <c r="K194" s="8"/>
    </row>
    <row r="195" spans="1:11" x14ac:dyDescent="0.2">
      <c r="A195" s="476" t="s">
        <v>268</v>
      </c>
      <c r="B195" s="30">
        <f>IF(VIN_max&lt;2*Vout, B193,B194)</f>
        <v>2.7777777777777779E-5</v>
      </c>
      <c r="C195" s="95"/>
      <c r="G195" s="30"/>
      <c r="I195" s="101"/>
      <c r="K195" s="8"/>
    </row>
    <row r="196" spans="1:11" x14ac:dyDescent="0.2">
      <c r="A196" s="476" t="s">
        <v>686</v>
      </c>
      <c r="B196" s="478">
        <f>IF(Cinmin*1000000&lt;10, 10,Cinmin*1000000)</f>
        <v>27.777777777777779</v>
      </c>
      <c r="C196" s="42" t="s">
        <v>25</v>
      </c>
      <c r="D196" s="114" t="s">
        <v>814</v>
      </c>
      <c r="I196" s="101"/>
    </row>
    <row r="197" spans="1:11" x14ac:dyDescent="0.2">
      <c r="A197" s="102" t="s">
        <v>61</v>
      </c>
      <c r="B197" s="422">
        <f>'Design Converter'!E54/1000000</f>
        <v>1E-4</v>
      </c>
      <c r="C197" s="95" t="s">
        <v>26</v>
      </c>
      <c r="D197" t="s">
        <v>176</v>
      </c>
      <c r="I197" s="101"/>
    </row>
    <row r="198" spans="1:11" x14ac:dyDescent="0.2">
      <c r="A198" s="476" t="s">
        <v>802</v>
      </c>
      <c r="B198" s="541">
        <f>IF(VIN_max&gt;Vout, -(Iout*Don_Vinmax_2*(1-Don_Vinmax_2)/(Cin*Fsw)-Vinripple1)/(Iout+Iripple_Vinmax/2), SQRT((Vinripple1/Iripple_Vinmax)^2-(1/(Fsw*Cin*8))^2))</f>
        <v>9.0317392152271872E-3</v>
      </c>
      <c r="C198" s="213" t="s">
        <v>118</v>
      </c>
      <c r="I198" s="101"/>
    </row>
    <row r="199" spans="1:11" x14ac:dyDescent="0.2">
      <c r="A199" s="476" t="s">
        <v>803</v>
      </c>
      <c r="B199" s="541">
        <f>IF(VIN_max&gt;Vout, -(Iout*0.5*(1-0.5)/(Cin*Fsw)-Vinripple1)/(Iout+Iripple_Vinmax/2), SQRT((Vinripple1/Iripple_Vinmax)^2-(1/(Fsw*Cin*8))^2))</f>
        <v>8.537652732875824E-3</v>
      </c>
      <c r="C199" s="213" t="s">
        <v>118</v>
      </c>
      <c r="D199" s="114" t="s">
        <v>809</v>
      </c>
      <c r="I199" s="101"/>
    </row>
    <row r="200" spans="1:11" x14ac:dyDescent="0.2">
      <c r="A200" s="476" t="s">
        <v>270</v>
      </c>
      <c r="B200" s="541">
        <f>IF(VIN_max&lt;2*Vout, B198,B199)</f>
        <v>8.537652732875824E-3</v>
      </c>
      <c r="C200" s="213" t="s">
        <v>118</v>
      </c>
      <c r="I200" s="101"/>
    </row>
    <row r="201" spans="1:11" x14ac:dyDescent="0.2">
      <c r="A201" s="476" t="s">
        <v>688</v>
      </c>
      <c r="B201" s="528">
        <f>IF(OR(CinEsrMax&gt;0.3, CinEsrMax&lt;0), "N/A",CinEsrMax*1000)</f>
        <v>8.5376527328758236</v>
      </c>
      <c r="C201" s="45" t="s">
        <v>418</v>
      </c>
      <c r="D201" t="s">
        <v>814</v>
      </c>
      <c r="I201" s="101"/>
    </row>
    <row r="202" spans="1:11" x14ac:dyDescent="0.2">
      <c r="A202" s="102" t="s">
        <v>89</v>
      </c>
      <c r="B202" s="96">
        <f>'Design Converter'!E56/1000</f>
        <v>2E-3</v>
      </c>
      <c r="C202" s="213" t="s">
        <v>118</v>
      </c>
      <c r="D202" s="114" t="s">
        <v>296</v>
      </c>
      <c r="I202" s="101"/>
    </row>
    <row r="203" spans="1:11" x14ac:dyDescent="0.2">
      <c r="D203" s="114"/>
      <c r="I203" s="101"/>
      <c r="K203" s="311">
        <f>CinEsrMax</f>
        <v>8.537652732875824E-3</v>
      </c>
    </row>
    <row r="204" spans="1:11" x14ac:dyDescent="0.2">
      <c r="A204" s="476" t="s">
        <v>805</v>
      </c>
      <c r="B204" s="389">
        <f>IF(VIN_max&gt;Vout, Iout*Don_Vinmax_2*(1-Don_Vinmax_2)/(Cin*Fsw)+(Iout +Iripple_Vinmax/2)*RCinEsr, Iripple_Vinmax*SQRT(RCinEsr^2+(1/(8*Fsw*Cin))^2))</f>
        <v>7.293004452388635E-2</v>
      </c>
      <c r="C204" s="95" t="s">
        <v>42</v>
      </c>
      <c r="I204" s="101"/>
    </row>
    <row r="205" spans="1:11" x14ac:dyDescent="0.2">
      <c r="A205" s="476" t="s">
        <v>806</v>
      </c>
      <c r="B205" s="389">
        <f>IF(VIN_max&gt;Vout, Iout*0.5*(1-0.5)/(Cin*Fsw)+(Iout +Iripple_Vinmax/2)*RCinEsr, Iripple_Vinmax*SQRT(RCinEsr^2+(1/(8*Fsw*Cin))^2))</f>
        <v>8.0453335141967244E-2</v>
      </c>
      <c r="C205" s="95" t="s">
        <v>42</v>
      </c>
      <c r="D205" s="114" t="s">
        <v>807</v>
      </c>
      <c r="I205" s="101"/>
    </row>
    <row r="206" spans="1:11" x14ac:dyDescent="0.2">
      <c r="A206" s="476" t="s">
        <v>271</v>
      </c>
      <c r="B206" s="389">
        <f>IF(VIN_max&lt;2*Vout, B204,B205)</f>
        <v>8.0453335141967244E-2</v>
      </c>
      <c r="C206" s="95" t="s">
        <v>42</v>
      </c>
      <c r="D206" s="114" t="s">
        <v>813</v>
      </c>
      <c r="I206" s="101"/>
    </row>
    <row r="207" spans="1:11" x14ac:dyDescent="0.2">
      <c r="A207" s="102"/>
      <c r="B207" s="542"/>
      <c r="C207" s="95"/>
      <c r="I207" s="101"/>
    </row>
    <row r="208" spans="1:11" ht="13.5" thickBot="1" x14ac:dyDescent="0.25">
      <c r="A208" s="103"/>
      <c r="B208" s="390">
        <f>Iout*Don_Vinmax_2*(1-Don_Vinmax_2)/(Cin*Fsw)</f>
        <v>4.2476709381919102E-2</v>
      </c>
      <c r="C208" s="320" t="s">
        <v>42</v>
      </c>
      <c r="D208" s="104"/>
      <c r="E208" s="105"/>
      <c r="F208" s="105"/>
      <c r="G208" s="105"/>
      <c r="H208" s="105"/>
      <c r="I208" s="106"/>
    </row>
    <row r="210" spans="1:14" ht="16.5" thickBot="1" x14ac:dyDescent="0.3">
      <c r="A210" s="531" t="s">
        <v>812</v>
      </c>
    </row>
    <row r="211" spans="1:14" x14ac:dyDescent="0.2">
      <c r="A211" s="91" t="s">
        <v>179</v>
      </c>
      <c r="B211" s="12">
        <f>'Design Converter'!E62/1000</f>
        <v>0.25</v>
      </c>
      <c r="C211" s="63" t="s">
        <v>161</v>
      </c>
      <c r="D211" s="117" t="s">
        <v>573</v>
      </c>
      <c r="E211" s="63"/>
      <c r="F211" s="63"/>
      <c r="G211" s="63"/>
      <c r="H211" s="63"/>
      <c r="I211" s="64"/>
    </row>
    <row r="212" spans="1:14" x14ac:dyDescent="0.2">
      <c r="A212" s="56" t="s">
        <v>180</v>
      </c>
      <c r="B212" s="603">
        <v>1.0000000000000001E-5</v>
      </c>
      <c r="C212" t="s">
        <v>2</v>
      </c>
      <c r="D212" s="114" t="s">
        <v>572</v>
      </c>
      <c r="I212" s="57"/>
    </row>
    <row r="213" spans="1:14" x14ac:dyDescent="0.2">
      <c r="A213" s="56" t="s">
        <v>181</v>
      </c>
      <c r="B213" s="603">
        <f>Iss*Tss/Vref</f>
        <v>2.5000000000000002E-6</v>
      </c>
      <c r="C213" t="s">
        <v>26</v>
      </c>
      <c r="I213" s="57"/>
    </row>
    <row r="214" spans="1:14" ht="13.5" thickBot="1" x14ac:dyDescent="0.25">
      <c r="A214" s="60" t="s">
        <v>194</v>
      </c>
      <c r="B214" s="605">
        <f>'Standard Value Calculator'!B4</f>
        <v>2.7E-6</v>
      </c>
      <c r="C214" s="61" t="s">
        <v>26</v>
      </c>
      <c r="D214" s="61"/>
      <c r="E214" s="61"/>
      <c r="F214" s="61"/>
      <c r="G214" s="61"/>
      <c r="H214" s="61"/>
      <c r="I214" s="62"/>
    </row>
    <row r="216" spans="1:14" ht="16.5" thickBot="1" x14ac:dyDescent="0.3">
      <c r="A216" s="531" t="s">
        <v>811</v>
      </c>
    </row>
    <row r="217" spans="1:14" ht="12.75" customHeight="1" x14ac:dyDescent="0.2">
      <c r="A217" s="210"/>
      <c r="B217" s="93"/>
      <c r="C217" s="294"/>
      <c r="D217" s="117"/>
      <c r="E217" s="63"/>
      <c r="F217" s="63"/>
      <c r="G217" s="63"/>
      <c r="H217" s="63"/>
      <c r="I217" s="64"/>
    </row>
    <row r="218" spans="1:14" ht="12.75" customHeight="1" x14ac:dyDescent="0.3">
      <c r="A218" s="211" t="s">
        <v>297</v>
      </c>
      <c r="B218" s="388">
        <f>'Design Converter'!E65</f>
        <v>6.2</v>
      </c>
      <c r="C218" s="114" t="s">
        <v>0</v>
      </c>
      <c r="I218" s="57"/>
    </row>
    <row r="219" spans="1:14" ht="12.75" customHeight="1" x14ac:dyDescent="0.3">
      <c r="A219" s="211" t="s">
        <v>919</v>
      </c>
      <c r="B219" s="388">
        <f>'Design Converter'!E66</f>
        <v>5.99</v>
      </c>
      <c r="C219" s="114" t="s">
        <v>0</v>
      </c>
      <c r="I219" s="57"/>
    </row>
    <row r="220" spans="1:14" ht="12.75" customHeight="1" x14ac:dyDescent="0.3">
      <c r="A220" s="211" t="s">
        <v>322</v>
      </c>
      <c r="B220" s="392">
        <f>1/Iuvlo1*(VINuvlo_on-Vuvlo_on*VINuvlo_off/Vuvlo_off)</f>
        <v>-41.144067796610322</v>
      </c>
      <c r="C220" s="45" t="s">
        <v>301</v>
      </c>
      <c r="D220" s="114" t="s">
        <v>1268</v>
      </c>
      <c r="E220" t="e">
        <f>'Standard Value Calculator'!R16</f>
        <v>#NUM!</v>
      </c>
      <c r="F220" s="45" t="s">
        <v>301</v>
      </c>
      <c r="G220" s="44" t="str">
        <f>IF(Ruvlo1&lt;0,"N/A",E220)</f>
        <v>N/A</v>
      </c>
      <c r="H220" s="44" t="str">
        <f>IF(Ruvlo1&lt;0,"N/A",E220&amp;"kΩ")</f>
        <v>N/A</v>
      </c>
      <c r="I220" s="57"/>
      <c r="L220" s="602"/>
      <c r="N220" s="602"/>
    </row>
    <row r="221" spans="1:14" ht="12.75" customHeight="1" x14ac:dyDescent="0.3">
      <c r="A221" s="211" t="s">
        <v>323</v>
      </c>
      <c r="B221" s="392">
        <f>Ruvlo1/(VINuvlo_off/Vuvlo_off-1)</f>
        <v>-10.09355509355513</v>
      </c>
      <c r="C221" s="45" t="s">
        <v>301</v>
      </c>
      <c r="D221" s="114" t="s">
        <v>1269</v>
      </c>
      <c r="E221" t="e">
        <f>'Standard Value Calculator'!R17</f>
        <v>#NUM!</v>
      </c>
      <c r="F221" s="45" t="s">
        <v>301</v>
      </c>
      <c r="G221" s="44" t="str">
        <f>IF(G220="N/A","N/A",E221)</f>
        <v>N/A</v>
      </c>
      <c r="H221" s="44" t="str">
        <f>IF(H220="N/A","N/A",E221&amp;"kΩ")</f>
        <v>N/A</v>
      </c>
      <c r="I221" s="57"/>
      <c r="L221" s="602"/>
    </row>
    <row r="222" spans="1:14" ht="12.75" customHeight="1" x14ac:dyDescent="0.2">
      <c r="A222" s="211"/>
      <c r="B222" s="212"/>
      <c r="C222" s="45"/>
      <c r="F222" s="45"/>
      <c r="I222" s="57"/>
    </row>
    <row r="223" spans="1:14" ht="12.75" customHeight="1" x14ac:dyDescent="0.3">
      <c r="A223" s="211" t="s">
        <v>302</v>
      </c>
      <c r="B223" s="212" t="e">
        <f>(Iuvlo1+Vuvlo_on/RUV2_STD)*(RUV1_STD)+Vuvlo_on</f>
        <v>#NUM!</v>
      </c>
      <c r="C223" s="45"/>
      <c r="F223" s="45"/>
      <c r="I223" s="57"/>
      <c r="L223" s="212"/>
      <c r="N223" s="212"/>
    </row>
    <row r="224" spans="1:14" ht="12.75" customHeight="1" x14ac:dyDescent="0.3">
      <c r="A224" s="211" t="s">
        <v>303</v>
      </c>
      <c r="B224" s="212" t="e">
        <f>Vuvlo_off*(RUV1_STD+RUV2_STD)/RUV2_STD</f>
        <v>#NUM!</v>
      </c>
      <c r="C224" s="45"/>
      <c r="F224" s="45"/>
      <c r="I224" s="57"/>
      <c r="L224" s="212"/>
      <c r="N224" s="212"/>
    </row>
    <row r="225" spans="1:18" ht="12.75" customHeight="1" x14ac:dyDescent="0.2">
      <c r="A225" s="211"/>
      <c r="B225" s="44"/>
      <c r="C225"/>
      <c r="I225" s="57"/>
    </row>
    <row r="226" spans="1:18" ht="12.75" customHeight="1" x14ac:dyDescent="0.2">
      <c r="A226" s="211" t="s">
        <v>298</v>
      </c>
      <c r="B226" s="391">
        <v>1.27</v>
      </c>
      <c r="C226" s="114" t="s">
        <v>0</v>
      </c>
      <c r="D226">
        <v>1.23</v>
      </c>
      <c r="I226" s="57"/>
      <c r="K226" s="114"/>
    </row>
    <row r="227" spans="1:18" ht="12.75" customHeight="1" x14ac:dyDescent="0.2">
      <c r="A227" s="211" t="s">
        <v>299</v>
      </c>
      <c r="B227" s="391">
        <v>1.18</v>
      </c>
      <c r="C227" s="114" t="s">
        <v>0</v>
      </c>
      <c r="D227">
        <v>1.22</v>
      </c>
      <c r="I227" s="57"/>
      <c r="K227" s="114"/>
    </row>
    <row r="228" spans="1:18" ht="12.75" customHeight="1" x14ac:dyDescent="0.2">
      <c r="A228" s="211" t="s">
        <v>368</v>
      </c>
      <c r="B228" s="391">
        <f>B226-B227</f>
        <v>9.000000000000008E-2</v>
      </c>
      <c r="C228" s="114" t="s">
        <v>0</v>
      </c>
      <c r="I228" s="57"/>
      <c r="K228" s="114"/>
    </row>
    <row r="229" spans="1:18" ht="12.75" customHeight="1" x14ac:dyDescent="0.2">
      <c r="A229" s="211" t="s">
        <v>370</v>
      </c>
      <c r="B229" s="44">
        <v>6.0000000000000001E-3</v>
      </c>
      <c r="C229" s="114" t="s">
        <v>68</v>
      </c>
      <c r="E229" s="114"/>
      <c r="I229" s="57"/>
    </row>
    <row r="230" spans="1:18" ht="12.75" customHeight="1" x14ac:dyDescent="0.2">
      <c r="A230" s="211" t="s">
        <v>369</v>
      </c>
      <c r="B230" s="44"/>
      <c r="C230" s="114" t="s">
        <v>68</v>
      </c>
      <c r="E230" s="114"/>
      <c r="G230" s="114"/>
      <c r="I230" s="57"/>
    </row>
    <row r="231" spans="1:18" ht="12.75" customHeight="1" x14ac:dyDescent="0.2">
      <c r="A231" s="211" t="s">
        <v>300</v>
      </c>
      <c r="B231" s="44"/>
      <c r="C231" s="114" t="s">
        <v>68</v>
      </c>
      <c r="E231" s="114"/>
      <c r="H231" s="114"/>
      <c r="I231" s="57"/>
    </row>
    <row r="232" spans="1:18" ht="12.75" customHeight="1" x14ac:dyDescent="0.2">
      <c r="B232" s="44"/>
      <c r="C232"/>
      <c r="I232" s="57"/>
    </row>
    <row r="233" spans="1:18" ht="12.75" customHeight="1" x14ac:dyDescent="0.3">
      <c r="A233" s="56" t="s">
        <v>204</v>
      </c>
      <c r="B233" s="44">
        <v>20</v>
      </c>
      <c r="C233" s="45" t="s">
        <v>301</v>
      </c>
      <c r="I233" s="57"/>
      <c r="K233" s="114"/>
    </row>
    <row r="234" spans="1:18" ht="12.75" customHeight="1" x14ac:dyDescent="0.3">
      <c r="A234" s="56" t="s">
        <v>205</v>
      </c>
      <c r="B234" s="44"/>
      <c r="C234" s="213" t="s">
        <v>118</v>
      </c>
      <c r="I234" s="57"/>
      <c r="K234" s="114"/>
    </row>
    <row r="235" spans="1:18" ht="12.75" customHeight="1" x14ac:dyDescent="0.2">
      <c r="A235" s="56" t="s">
        <v>189</v>
      </c>
      <c r="B235" s="44">
        <v>0</v>
      </c>
      <c r="C235" s="213" t="s">
        <v>118</v>
      </c>
      <c r="I235" s="57"/>
    </row>
    <row r="236" spans="1:18" ht="12.75" customHeight="1" x14ac:dyDescent="0.2">
      <c r="A236" s="393" t="s">
        <v>542</v>
      </c>
      <c r="B236" s="44"/>
      <c r="C236" s="213" t="s">
        <v>118</v>
      </c>
      <c r="D236" s="371" t="s">
        <v>432</v>
      </c>
      <c r="E236" s="114" t="s">
        <v>754</v>
      </c>
      <c r="I236" s="57"/>
    </row>
    <row r="237" spans="1:18" ht="12.75" customHeight="1" x14ac:dyDescent="0.2">
      <c r="A237" s="211"/>
      <c r="B237" s="44"/>
      <c r="C237" s="213"/>
      <c r="I237" s="57"/>
    </row>
    <row r="238" spans="1:18" ht="12.75" customHeight="1" x14ac:dyDescent="0.2">
      <c r="A238" s="211"/>
      <c r="B238" s="388"/>
      <c r="C238" s="114"/>
      <c r="I238" s="57"/>
    </row>
    <row r="239" spans="1:18" ht="12.75" customHeight="1" x14ac:dyDescent="0.2">
      <c r="A239" s="211"/>
      <c r="B239" s="387"/>
      <c r="C239" s="114"/>
      <c r="I239" s="57"/>
    </row>
    <row r="240" spans="1:18" ht="12.75" customHeight="1" x14ac:dyDescent="0.2">
      <c r="A240" s="211"/>
      <c r="B240" s="387"/>
      <c r="C240" s="114"/>
      <c r="I240" s="57"/>
      <c r="R240" s="114"/>
    </row>
    <row r="241" spans="1:9" ht="12.75" customHeight="1" thickBot="1" x14ac:dyDescent="0.25">
      <c r="A241" s="60"/>
      <c r="B241" s="68"/>
      <c r="C241" s="295"/>
      <c r="D241" s="61"/>
      <c r="E241" s="61"/>
      <c r="F241" s="61"/>
      <c r="G241" s="61"/>
      <c r="H241" s="61"/>
      <c r="I241" s="62"/>
    </row>
    <row r="242" spans="1:9" x14ac:dyDescent="0.2">
      <c r="B242" s="44"/>
      <c r="C242" s="296"/>
    </row>
    <row r="243" spans="1:9" ht="18" customHeight="1" thickBot="1" x14ac:dyDescent="0.3">
      <c r="A243" s="531" t="s">
        <v>921</v>
      </c>
      <c r="B243" s="44"/>
      <c r="C243" s="296"/>
    </row>
    <row r="244" spans="1:9" ht="12.75" customHeight="1" x14ac:dyDescent="0.2">
      <c r="A244" s="621" t="s">
        <v>922</v>
      </c>
      <c r="B244" s="617"/>
      <c r="C244" s="294"/>
      <c r="D244" s="291"/>
      <c r="E244" s="291"/>
      <c r="F244" s="291"/>
      <c r="G244" s="291"/>
      <c r="H244" s="291"/>
      <c r="I244" s="618"/>
    </row>
    <row r="245" spans="1:9" ht="12.75" customHeight="1" x14ac:dyDescent="0.2">
      <c r="A245" s="114" t="s">
        <v>905</v>
      </c>
      <c r="B245" s="308">
        <f>'CFG Setting'!J146</f>
        <v>3</v>
      </c>
      <c r="C245"/>
      <c r="E245" s="114" t="s">
        <v>924</v>
      </c>
      <c r="I245" s="57"/>
    </row>
    <row r="246" spans="1:9" ht="12.75" customHeight="1" x14ac:dyDescent="0.2">
      <c r="A246" s="114" t="s">
        <v>1076</v>
      </c>
      <c r="B246" s="308">
        <f>'CFG Setting'!B159</f>
        <v>1</v>
      </c>
      <c r="C246" s="296"/>
      <c r="E246" s="114" t="s">
        <v>1077</v>
      </c>
      <c r="I246" s="57"/>
    </row>
    <row r="247" spans="1:9" ht="12.75" customHeight="1" x14ac:dyDescent="0.2">
      <c r="A247" s="211" t="s">
        <v>929</v>
      </c>
      <c r="B247" s="44">
        <f>'CFG Setting'!F145-1</f>
        <v>2</v>
      </c>
      <c r="C247" s="296"/>
      <c r="E247" s="114" t="s">
        <v>1072</v>
      </c>
      <c r="I247" s="57"/>
    </row>
    <row r="248" spans="1:9" ht="12.75" customHeight="1" x14ac:dyDescent="0.3">
      <c r="A248" s="211" t="s">
        <v>923</v>
      </c>
      <c r="B248" s="44"/>
      <c r="C248" s="296"/>
      <c r="I248" s="57"/>
    </row>
    <row r="249" spans="1:9" ht="12.75" customHeight="1" x14ac:dyDescent="0.2">
      <c r="A249" s="211" t="s">
        <v>428</v>
      </c>
      <c r="B249" s="388">
        <f>'Design Converter'!O53</f>
        <v>15</v>
      </c>
      <c r="C249" s="114" t="s">
        <v>2</v>
      </c>
      <c r="D249" s="213"/>
      <c r="E249" s="114"/>
      <c r="I249" s="57"/>
    </row>
    <row r="250" spans="1:9" ht="12.75" customHeight="1" x14ac:dyDescent="0.2">
      <c r="A250" s="211" t="s">
        <v>429</v>
      </c>
      <c r="B250" s="312">
        <v>50</v>
      </c>
      <c r="C250" s="114" t="s">
        <v>371</v>
      </c>
      <c r="E250" s="566" t="s">
        <v>859</v>
      </c>
      <c r="I250" s="57"/>
    </row>
    <row r="251" spans="1:9" ht="12.75" customHeight="1" x14ac:dyDescent="0.2">
      <c r="A251" s="211" t="s">
        <v>430</v>
      </c>
      <c r="B251" s="308">
        <f>IF(IMONLIM_select&gt;0,'Design Converter'!O56, 0)</f>
        <v>10</v>
      </c>
      <c r="C251" s="45" t="s">
        <v>418</v>
      </c>
      <c r="I251" s="57"/>
    </row>
    <row r="252" spans="1:9" ht="12.75" customHeight="1" x14ac:dyDescent="0.2">
      <c r="A252" s="114" t="s">
        <v>1075</v>
      </c>
      <c r="B252" s="674">
        <f>'Design Converter'!O56/1000</f>
        <v>0.01</v>
      </c>
      <c r="C252" s="45" t="s">
        <v>339</v>
      </c>
      <c r="I252" s="57"/>
    </row>
    <row r="253" spans="1:9" ht="12.75" customHeight="1" x14ac:dyDescent="0.2">
      <c r="A253" s="114" t="s">
        <v>940</v>
      </c>
      <c r="B253" s="309">
        <f>IF(IMONLIM_select=1,'Design Converter'!O53,'Design Converter'!O57)</f>
        <v>5</v>
      </c>
      <c r="C253" s="114" t="s">
        <v>2</v>
      </c>
      <c r="E253" s="114" t="s">
        <v>1208</v>
      </c>
      <c r="I253" s="57"/>
    </row>
    <row r="254" spans="1:9" ht="12.75" customHeight="1" x14ac:dyDescent="0.2">
      <c r="A254" t="s">
        <v>925</v>
      </c>
      <c r="B254" s="622">
        <f>DeviceParameter!B11</f>
        <v>1E-3</v>
      </c>
      <c r="C254" s="114" t="s">
        <v>70</v>
      </c>
      <c r="E254" s="114" t="s">
        <v>926</v>
      </c>
      <c r="I254" s="57"/>
    </row>
    <row r="255" spans="1:9" ht="12.75" customHeight="1" x14ac:dyDescent="0.2">
      <c r="A255" s="211" t="s">
        <v>1074</v>
      </c>
      <c r="B255" s="319" t="e">
        <f>'Design Converter'!#REF!</f>
        <v>#REF!</v>
      </c>
      <c r="C255" s="114" t="s">
        <v>0</v>
      </c>
      <c r="E255" s="114" t="s">
        <v>928</v>
      </c>
      <c r="I255" s="57"/>
    </row>
    <row r="256" spans="1:9" ht="12.75" customHeight="1" x14ac:dyDescent="0.2">
      <c r="A256" s="211" t="s">
        <v>1073</v>
      </c>
      <c r="B256" s="623">
        <f>'Design Converter'!O57*1000</f>
        <v>5000</v>
      </c>
      <c r="C256" s="45" t="s">
        <v>339</v>
      </c>
      <c r="E256" s="114" t="s">
        <v>927</v>
      </c>
      <c r="I256" s="57"/>
    </row>
    <row r="257" spans="1:9" ht="12.75" customHeight="1" x14ac:dyDescent="0.2">
      <c r="A257" s="66" t="s">
        <v>1234</v>
      </c>
      <c r="B257" s="293" t="s">
        <v>1092</v>
      </c>
      <c r="C257" s="296"/>
      <c r="I257" s="57"/>
    </row>
    <row r="258" spans="1:9" ht="12.75" customHeight="1" x14ac:dyDescent="0.3">
      <c r="A258" s="211" t="s">
        <v>1235</v>
      </c>
      <c r="B258" s="674">
        <f>'Design Converter'!O58*0.000000000001</f>
        <v>6.8000000000000003E-13</v>
      </c>
      <c r="C258" s="299" t="s">
        <v>26</v>
      </c>
      <c r="I258" s="57"/>
    </row>
    <row r="259" spans="1:9" ht="12.75" customHeight="1" x14ac:dyDescent="0.3">
      <c r="A259" s="211" t="s">
        <v>1236</v>
      </c>
      <c r="B259" s="674">
        <f>'Design Converter'!O57*1000</f>
        <v>5000</v>
      </c>
      <c r="C259" s="45" t="s">
        <v>339</v>
      </c>
      <c r="I259" s="57"/>
    </row>
    <row r="260" spans="1:9" ht="12.75" customHeight="1" x14ac:dyDescent="0.2">
      <c r="A260" s="211"/>
      <c r="B260" s="44"/>
      <c r="C260" s="296"/>
      <c r="I260" s="57"/>
    </row>
    <row r="261" spans="1:9" x14ac:dyDescent="0.2">
      <c r="B261" s="379"/>
      <c r="C261"/>
      <c r="D261" s="114"/>
      <c r="I261" s="57"/>
    </row>
    <row r="262" spans="1:9" x14ac:dyDescent="0.2">
      <c r="A262" s="114" t="s">
        <v>945</v>
      </c>
      <c r="B262" s="603">
        <f>IF(IMONLIM_select=1,gm_IL,gm_IL_DAC)</f>
        <v>5.0000000000000001E-4</v>
      </c>
      <c r="C262" s="114" t="s">
        <v>70</v>
      </c>
      <c r="D262" s="114" t="s">
        <v>481</v>
      </c>
      <c r="I262" s="57"/>
    </row>
    <row r="263" spans="1:9" x14ac:dyDescent="0.2">
      <c r="A263" s="114" t="s">
        <v>946</v>
      </c>
      <c r="B263" s="366">
        <v>2</v>
      </c>
      <c r="C263" s="114" t="s">
        <v>214</v>
      </c>
      <c r="D263" s="114" t="s">
        <v>609</v>
      </c>
      <c r="I263" s="57"/>
    </row>
    <row r="264" spans="1:9" x14ac:dyDescent="0.2">
      <c r="A264" s="114" t="s">
        <v>947</v>
      </c>
      <c r="B264" s="603">
        <f>gm_IL/(2*Pi*GBW_IL*1000000)</f>
        <v>7.9577471545947675E-11</v>
      </c>
      <c r="C264" s="114" t="s">
        <v>26</v>
      </c>
      <c r="D264" s="114" t="s">
        <v>608</v>
      </c>
      <c r="I264" s="57"/>
    </row>
    <row r="265" spans="1:9" x14ac:dyDescent="0.2">
      <c r="A265" s="114" t="s">
        <v>948</v>
      </c>
      <c r="B265" s="386">
        <v>20000000</v>
      </c>
      <c r="C265" s="213" t="s">
        <v>118</v>
      </c>
      <c r="D265" s="114" t="s">
        <v>607</v>
      </c>
      <c r="I265" s="57"/>
    </row>
    <row r="266" spans="1:9" x14ac:dyDescent="0.2">
      <c r="A266" s="2" t="s">
        <v>1233</v>
      </c>
      <c r="B266" s="386"/>
      <c r="C266" s="213"/>
      <c r="D266" s="114"/>
      <c r="I266" s="57"/>
    </row>
    <row r="267" spans="1:9" x14ac:dyDescent="0.2">
      <c r="A267" s="114" t="s">
        <v>1066</v>
      </c>
      <c r="B267" s="603">
        <f>5/(2*PI()*'Stability Calculations'!R4*1000*Rout)</f>
        <v>4.0095718618647866E-5</v>
      </c>
      <c r="C267" s="114" t="s">
        <v>26</v>
      </c>
      <c r="D267" s="114" t="s">
        <v>1067</v>
      </c>
      <c r="F267" s="603">
        <f>'Standard Value Calculator'!M4</f>
        <v>3.8999999999999999E-5</v>
      </c>
      <c r="G267" s="114" t="s">
        <v>26</v>
      </c>
      <c r="I267" s="57"/>
    </row>
    <row r="268" spans="1:9" x14ac:dyDescent="0.2">
      <c r="A268" s="114" t="s">
        <v>1068</v>
      </c>
      <c r="B268" s="603">
        <f>1/(2*PI()*Rshunt/1000*Co2_)</f>
        <v>396937.49999999994</v>
      </c>
      <c r="C268" s="114" t="s">
        <v>1071</v>
      </c>
      <c r="D268" s="114"/>
      <c r="I268" s="57"/>
    </row>
    <row r="269" spans="1:9" x14ac:dyDescent="0.2">
      <c r="A269" s="114" t="s">
        <v>1069</v>
      </c>
      <c r="B269" s="603">
        <f>f_p*10^-0.25</f>
        <v>223214.35976774414</v>
      </c>
      <c r="C269" s="114" t="s">
        <v>1071</v>
      </c>
      <c r="D269" s="114"/>
      <c r="I269" s="57"/>
    </row>
    <row r="270" spans="1:9" ht="12.75" customHeight="1" x14ac:dyDescent="0.2">
      <c r="A270" s="211" t="s">
        <v>1070</v>
      </c>
      <c r="B270" s="603">
        <f>gm_IL/(2*PI()*f_bwilim)</f>
        <v>7.1301390850255778E-10</v>
      </c>
      <c r="C270" s="114" t="s">
        <v>26</v>
      </c>
      <c r="I270" s="57"/>
    </row>
    <row r="271" spans="1:9" ht="12.75" customHeight="1" x14ac:dyDescent="0.2">
      <c r="A271" s="211" t="s">
        <v>1094</v>
      </c>
      <c r="B271" s="603">
        <f>'Standard Value Calculator'!R19</f>
        <v>6.8000000000000003E-10</v>
      </c>
      <c r="C271" s="114" t="s">
        <v>26</v>
      </c>
      <c r="I271" s="57"/>
    </row>
    <row r="272" spans="1:9" ht="12.75" customHeight="1" x14ac:dyDescent="0.2">
      <c r="A272" s="211" t="s">
        <v>1091</v>
      </c>
      <c r="B272" s="603">
        <f>1/(2*PI()*RiLim*Fsw/2)</f>
        <v>1.061032953945969E-10</v>
      </c>
      <c r="C272" s="114" t="s">
        <v>26</v>
      </c>
      <c r="I272" s="57"/>
    </row>
    <row r="273" spans="1:9" ht="12.75" customHeight="1" x14ac:dyDescent="0.2">
      <c r="A273" s="114" t="s">
        <v>1093</v>
      </c>
      <c r="B273" s="603">
        <f>'Standard Value Calculator'!R36</f>
        <v>1E-10</v>
      </c>
      <c r="C273" s="114" t="s">
        <v>26</v>
      </c>
      <c r="I273" s="57"/>
    </row>
    <row r="274" spans="1:9" ht="12.75" customHeight="1" x14ac:dyDescent="0.2">
      <c r="A274" s="721" t="s">
        <v>1195</v>
      </c>
      <c r="B274" s="722">
        <v>1</v>
      </c>
      <c r="C274" s="114"/>
      <c r="D274" s="114" t="s">
        <v>1196</v>
      </c>
      <c r="E274" s="114" t="s">
        <v>1244</v>
      </c>
      <c r="F274" s="114" t="s">
        <v>1245</v>
      </c>
      <c r="H274" s="114" t="s">
        <v>1240</v>
      </c>
      <c r="I274" s="57"/>
    </row>
    <row r="275" spans="1:9" ht="12.75" customHeight="1" x14ac:dyDescent="0.2">
      <c r="A275" s="721" t="s">
        <v>1192</v>
      </c>
      <c r="B275" s="603">
        <f>'Design Converter'!N90*1000</f>
        <v>34000</v>
      </c>
      <c r="C275" s="45" t="s">
        <v>339</v>
      </c>
      <c r="E275" s="603">
        <f>VLOOKUP('Stability Calculations'!R4*1000/5,'Stability Calculations'!B13:AI613,32)/gm_IL_DAC</f>
        <v>55472.916457826628</v>
      </c>
      <c r="F275" s="603">
        <f>'Standard Value Calculator'!R31</f>
        <v>54900</v>
      </c>
      <c r="G275" s="45" t="s">
        <v>339</v>
      </c>
      <c r="H275" s="114" t="s">
        <v>1256</v>
      </c>
      <c r="I275" s="57"/>
    </row>
    <row r="276" spans="1:9" ht="12.75" customHeight="1" x14ac:dyDescent="0.2">
      <c r="A276" s="721" t="s">
        <v>1194</v>
      </c>
      <c r="B276" s="603">
        <f>'Design Converter'!N91*0.000000001</f>
        <v>4.7000000000000004E-8</v>
      </c>
      <c r="C276" s="114" t="s">
        <v>26</v>
      </c>
      <c r="E276" s="603">
        <f>1/(2*PI()*Fp_dominant/10*E275)</f>
        <v>2.1932624861929508E-8</v>
      </c>
      <c r="F276" s="603">
        <f>'Standard Value Calculator'!R32</f>
        <v>2.1999999999999998E-8</v>
      </c>
      <c r="G276" s="114" t="s">
        <v>26</v>
      </c>
      <c r="H276" s="114" t="s">
        <v>1258</v>
      </c>
      <c r="I276" s="57"/>
    </row>
    <row r="277" spans="1:9" ht="12.75" customHeight="1" x14ac:dyDescent="0.2">
      <c r="A277" s="721" t="s">
        <v>1193</v>
      </c>
      <c r="B277" s="603">
        <f>'Design Converter'!N92*0.000000000001</f>
        <v>2.1999999999999998E-9</v>
      </c>
      <c r="C277" s="114" t="s">
        <v>26</v>
      </c>
      <c r="E277" s="603">
        <f>1/(2*PI()*Fz1_u*E275)</f>
        <v>1.8026814955010552E-7</v>
      </c>
      <c r="F277" s="603">
        <f>'Standard Value Calculator'!R33</f>
        <v>1.8E-7</v>
      </c>
      <c r="G277" s="114" t="s">
        <v>26</v>
      </c>
      <c r="H277" s="114" t="s">
        <v>1257</v>
      </c>
      <c r="I277" s="57"/>
    </row>
    <row r="278" spans="1:9" ht="12.75" customHeight="1" thickBot="1" x14ac:dyDescent="0.25">
      <c r="A278" s="788" t="s">
        <v>1248</v>
      </c>
      <c r="B278" s="789">
        <f>'Design Converter'!O58*0.000000001</f>
        <v>6.8000000000000013E-10</v>
      </c>
      <c r="C278" s="790" t="s">
        <v>26</v>
      </c>
      <c r="D278" s="619"/>
      <c r="E278" s="619"/>
      <c r="F278" s="619"/>
      <c r="G278" s="619"/>
      <c r="H278" s="619"/>
      <c r="I278" s="620"/>
    </row>
    <row r="279" spans="1:9" x14ac:dyDescent="0.2">
      <c r="B279" s="44"/>
      <c r="C279" s="296"/>
    </row>
    <row r="280" spans="1:9" ht="16.5" thickBot="1" x14ac:dyDescent="0.3">
      <c r="A280" s="531" t="s">
        <v>810</v>
      </c>
    </row>
    <row r="281" spans="1:9" x14ac:dyDescent="0.2">
      <c r="A281" s="367" t="s">
        <v>41</v>
      </c>
      <c r="B281" s="572">
        <f>PI()</f>
        <v>3.1415926535897931</v>
      </c>
      <c r="C281" s="368"/>
      <c r="D281" s="369" t="s">
        <v>492</v>
      </c>
      <c r="E281" s="63"/>
      <c r="F281" s="63"/>
      <c r="G281" s="63"/>
      <c r="H281" s="63"/>
      <c r="I281" s="64"/>
    </row>
    <row r="282" spans="1:9" x14ac:dyDescent="0.2">
      <c r="A282" s="114" t="s">
        <v>506</v>
      </c>
      <c r="B282" s="573">
        <v>10</v>
      </c>
      <c r="C282" s="46"/>
      <c r="D282" s="213"/>
      <c r="I282" s="57"/>
    </row>
    <row r="283" spans="1:9" x14ac:dyDescent="0.2">
      <c r="A283" s="114" t="s">
        <v>480</v>
      </c>
      <c r="B283">
        <f>Rs*CSAmp_gain</f>
        <v>2.5000000000000001E-2</v>
      </c>
      <c r="C283" s="213" t="s">
        <v>118</v>
      </c>
      <c r="D283" s="114" t="s">
        <v>497</v>
      </c>
      <c r="I283" s="57"/>
    </row>
    <row r="284" spans="1:9" x14ac:dyDescent="0.2">
      <c r="A284" s="114" t="s">
        <v>464</v>
      </c>
      <c r="B284" s="575">
        <v>5.9999999999999995E-4</v>
      </c>
      <c r="C284" s="114" t="s">
        <v>70</v>
      </c>
      <c r="D284" s="114" t="s">
        <v>481</v>
      </c>
      <c r="I284" s="57"/>
    </row>
    <row r="285" spans="1:9" x14ac:dyDescent="0.2">
      <c r="A285" s="114" t="s">
        <v>419</v>
      </c>
      <c r="B285" s="575">
        <v>2.4999999999999998E-12</v>
      </c>
      <c r="C285" s="114"/>
      <c r="D285" s="114" t="s">
        <v>901</v>
      </c>
      <c r="I285" s="57"/>
    </row>
    <row r="286" spans="1:9" x14ac:dyDescent="0.2">
      <c r="A286" s="114" t="s">
        <v>504</v>
      </c>
      <c r="B286" s="575">
        <f>0.00000002*125000*0.75</f>
        <v>1.8749999999999999E-3</v>
      </c>
      <c r="C286" s="114" t="s">
        <v>70</v>
      </c>
      <c r="D286" s="114" t="s">
        <v>505</v>
      </c>
      <c r="I286" s="57"/>
    </row>
    <row r="287" spans="1:9" x14ac:dyDescent="0.2">
      <c r="A287" s="114" t="s">
        <v>518</v>
      </c>
      <c r="B287" s="575">
        <v>0</v>
      </c>
      <c r="C287" s="114" t="s">
        <v>2</v>
      </c>
      <c r="D287" s="114" t="s">
        <v>529</v>
      </c>
      <c r="I287" s="57"/>
    </row>
    <row r="288" spans="1:9" x14ac:dyDescent="0.2">
      <c r="A288" s="114"/>
      <c r="B288" s="384"/>
      <c r="C288" s="114"/>
      <c r="D288" s="114"/>
      <c r="I288" s="57"/>
    </row>
    <row r="289" spans="1:9" x14ac:dyDescent="0.2">
      <c r="A289" s="114" t="s">
        <v>597</v>
      </c>
      <c r="B289" s="364">
        <f>Isc_const/(Cslope)</f>
        <v>0</v>
      </c>
      <c r="C289" s="114" t="s">
        <v>420</v>
      </c>
      <c r="D289" s="114"/>
      <c r="I289" s="57"/>
    </row>
    <row r="290" spans="1:9" x14ac:dyDescent="0.2">
      <c r="A290" s="114" t="s">
        <v>598</v>
      </c>
      <c r="B290" s="309">
        <f>(ABS((Vin-Vout))*gm_slopecomp)/(Cslope*Rslope)</f>
        <v>77760</v>
      </c>
      <c r="C290" s="114" t="s">
        <v>420</v>
      </c>
      <c r="D290" s="114"/>
      <c r="I290" s="57"/>
    </row>
    <row r="291" spans="1:9" x14ac:dyDescent="0.2">
      <c r="A291" s="114" t="s">
        <v>482</v>
      </c>
      <c r="B291" s="372">
        <f>Se_fixed+Se_proportional</f>
        <v>77760</v>
      </c>
      <c r="C291" s="373" t="s">
        <v>420</v>
      </c>
      <c r="D291" s="373" t="s">
        <v>605</v>
      </c>
      <c r="E291" s="373"/>
      <c r="I291" s="57"/>
    </row>
    <row r="292" spans="1:9" x14ac:dyDescent="0.2">
      <c r="A292" s="114"/>
      <c r="B292" s="372"/>
      <c r="C292" s="373"/>
      <c r="D292" s="373"/>
      <c r="E292" s="373"/>
      <c r="I292" s="57"/>
    </row>
    <row r="293" spans="1:9" x14ac:dyDescent="0.2">
      <c r="A293" s="114" t="s">
        <v>602</v>
      </c>
      <c r="B293" s="431">
        <f>Se_fixed/Fsw</f>
        <v>0</v>
      </c>
      <c r="C293" s="373" t="s">
        <v>420</v>
      </c>
      <c r="D293" s="373" t="s">
        <v>612</v>
      </c>
      <c r="E293" s="373"/>
      <c r="I293" s="57"/>
    </row>
    <row r="294" spans="1:9" x14ac:dyDescent="0.2">
      <c r="A294" s="114" t="s">
        <v>603</v>
      </c>
      <c r="B294" s="431">
        <f>Se_proportional/Fsw</f>
        <v>0.12959999999999999</v>
      </c>
      <c r="C294" s="373" t="s">
        <v>420</v>
      </c>
      <c r="D294" s="373" t="s">
        <v>613</v>
      </c>
      <c r="E294" s="373"/>
      <c r="I294" s="57"/>
    </row>
    <row r="295" spans="1:9" x14ac:dyDescent="0.2">
      <c r="A295" s="114" t="s">
        <v>604</v>
      </c>
      <c r="B295" s="431">
        <f>Se/Fsw</f>
        <v>0.12959999999999999</v>
      </c>
      <c r="C295" s="373" t="s">
        <v>420</v>
      </c>
      <c r="D295" s="373" t="s">
        <v>614</v>
      </c>
      <c r="I295" s="57"/>
    </row>
    <row r="296" spans="1:9" x14ac:dyDescent="0.2">
      <c r="A296" s="114" t="s">
        <v>611</v>
      </c>
      <c r="B296" s="431">
        <f>gm_slopecomp/(Cslope*Fsw)</f>
        <v>1250</v>
      </c>
      <c r="C296" s="373"/>
      <c r="D296" s="373" t="s">
        <v>615</v>
      </c>
      <c r="I296" s="57"/>
    </row>
    <row r="297" spans="1:9" x14ac:dyDescent="0.2">
      <c r="A297" s="114"/>
      <c r="B297" s="374"/>
      <c r="C297" s="373"/>
      <c r="D297" s="373" t="s">
        <v>616</v>
      </c>
      <c r="I297" s="57"/>
    </row>
    <row r="298" spans="1:9" x14ac:dyDescent="0.2">
      <c r="A298" s="114"/>
      <c r="B298" s="374"/>
      <c r="C298" s="373"/>
      <c r="D298" s="373"/>
      <c r="I298" s="57"/>
    </row>
    <row r="299" spans="1:9" x14ac:dyDescent="0.2">
      <c r="A299" s="114" t="s">
        <v>599</v>
      </c>
      <c r="B299" s="370">
        <f>(ABS((Vin-Vout))*gm_slopecomp+Isc_const)/(Cslope*Rslope*Ri)</f>
        <v>3110399.9999999995</v>
      </c>
      <c r="C299" s="356" t="s">
        <v>483</v>
      </c>
      <c r="D299" s="356" t="s">
        <v>507</v>
      </c>
      <c r="I299" s="57"/>
    </row>
    <row r="300" spans="1:9" x14ac:dyDescent="0.2">
      <c r="A300" s="114" t="s">
        <v>484</v>
      </c>
      <c r="B300" s="370">
        <f>IF(VIN_nom&gt;Vout, (Vin-Vout)/Lf, Vin/Lf)</f>
        <v>2045454.5454545454</v>
      </c>
      <c r="C300" s="356" t="s">
        <v>483</v>
      </c>
      <c r="D300" s="356" t="s">
        <v>485</v>
      </c>
      <c r="I300" s="57"/>
    </row>
    <row r="301" spans="1:9" x14ac:dyDescent="0.2">
      <c r="A301" s="114" t="s">
        <v>502</v>
      </c>
      <c r="B301" s="370">
        <f>IF(VIN_nom&gt;Vout, Vout/Lf, (Vout-Vin)/Lf)</f>
        <v>5530303.0303030303</v>
      </c>
      <c r="C301" s="356" t="s">
        <v>483</v>
      </c>
      <c r="D301" s="356" t="s">
        <v>501</v>
      </c>
      <c r="I301" s="57"/>
    </row>
    <row r="302" spans="1:9" x14ac:dyDescent="0.2">
      <c r="A302" s="114"/>
      <c r="B302" s="370"/>
      <c r="C302" s="356"/>
      <c r="D302" s="356"/>
      <c r="I302" s="57"/>
    </row>
    <row r="303" spans="1:9" x14ac:dyDescent="0.2">
      <c r="A303" s="114" t="s">
        <v>508</v>
      </c>
      <c r="B303" s="380">
        <f>Se/1000</f>
        <v>77.760000000000005</v>
      </c>
      <c r="C303" s="381" t="s">
        <v>556</v>
      </c>
      <c r="D303" s="381" t="s">
        <v>516</v>
      </c>
      <c r="I303" s="57"/>
    </row>
    <row r="304" spans="1:9" x14ac:dyDescent="0.2">
      <c r="A304" s="114" t="s">
        <v>514</v>
      </c>
      <c r="B304" s="380">
        <f>Sn*Ri/1000</f>
        <v>51.13636363636364</v>
      </c>
      <c r="C304" s="381" t="s">
        <v>556</v>
      </c>
      <c r="D304" s="381" t="s">
        <v>517</v>
      </c>
      <c r="I304" s="57"/>
    </row>
    <row r="305" spans="1:9" x14ac:dyDescent="0.2">
      <c r="A305" s="114" t="s">
        <v>515</v>
      </c>
      <c r="B305" s="380">
        <f>Sf*Ri/1000</f>
        <v>138.25757575757578</v>
      </c>
      <c r="C305" s="381" t="s">
        <v>556</v>
      </c>
      <c r="D305" s="381" t="s">
        <v>517</v>
      </c>
      <c r="I305" s="57"/>
    </row>
    <row r="306" spans="1:9" x14ac:dyDescent="0.2">
      <c r="A306" s="114"/>
      <c r="B306" s="380"/>
      <c r="C306" s="381"/>
      <c r="D306" s="381"/>
      <c r="I306" s="57"/>
    </row>
    <row r="307" spans="1:9" x14ac:dyDescent="0.2">
      <c r="A307" s="114" t="s">
        <v>756</v>
      </c>
      <c r="B307" s="498">
        <f>(1-Don_Vinmax_2)/Fsw</f>
        <v>1.1565826913734472E-6</v>
      </c>
      <c r="C307" s="373" t="s">
        <v>755</v>
      </c>
      <c r="D307" s="381"/>
      <c r="I307" s="57"/>
    </row>
    <row r="308" spans="1:9" x14ac:dyDescent="0.2">
      <c r="A308" s="114"/>
      <c r="B308" s="498"/>
      <c r="C308" s="373"/>
      <c r="D308" s="381"/>
      <c r="I308" s="57"/>
    </row>
    <row r="309" spans="1:9" x14ac:dyDescent="0.2">
      <c r="A309" s="114" t="s">
        <v>760</v>
      </c>
      <c r="B309" s="498">
        <f>IF(VIN_min&gt;Vout, (1-Don_Vinmin_2)/Fsw, Don_Vinmin_2/Fsw)</f>
        <v>4.435346979530704E-7</v>
      </c>
      <c r="C309" s="373" t="s">
        <v>755</v>
      </c>
      <c r="D309" s="381"/>
      <c r="I309" s="57"/>
    </row>
    <row r="310" spans="1:9" x14ac:dyDescent="0.2">
      <c r="A310" s="114"/>
      <c r="B310" s="497"/>
      <c r="C310" s="373"/>
      <c r="D310" s="381"/>
      <c r="I310" s="57"/>
    </row>
    <row r="311" spans="1:9" x14ac:dyDescent="0.2">
      <c r="A311" s="114" t="s">
        <v>758</v>
      </c>
      <c r="B311" s="499">
        <f>1.6+5*Rs*(-Iripple_Vinmax/2)-(gm_slopecomp*(VIN_max-Vout)+Isc_const)/(Cslope*Rslope)*Toff_Vinmax</f>
        <v>1.0033966441197317</v>
      </c>
      <c r="C311" s="500" t="s">
        <v>0</v>
      </c>
      <c r="D311" s="500" t="s">
        <v>759</v>
      </c>
      <c r="F311" s="375">
        <f>1.6+5*Rs*(Iripple_Vinmax/2)+(gm_slopecomp*(Vout-VIN_max)+Isc_const)/(Cslope*Rslope)*Don_Vinmax_2/Fsw</f>
        <v>1.3950033558802686</v>
      </c>
      <c r="G311" s="356" t="s">
        <v>427</v>
      </c>
      <c r="I311" s="57"/>
    </row>
    <row r="312" spans="1:9" x14ac:dyDescent="0.2">
      <c r="A312" s="114" t="s">
        <v>757</v>
      </c>
      <c r="B312" s="499">
        <f>1.6+5*Rs*(Iin_Vinmin+Iripple_Vinmin/2)+(gm_slopecomp*(Vout-VIN_min)+Isc_const)/(Cslope*Rslope)*Ton_Vinmin</f>
        <v>1.6964105300637562</v>
      </c>
      <c r="C312" s="500" t="s">
        <v>0</v>
      </c>
      <c r="D312" s="500" t="s">
        <v>427</v>
      </c>
      <c r="F312" s="375">
        <f>1.6+5*Rs*(-Iripple_Vinmin/2)-(gm_slopecomp*(VIN_min-Vout)+Isc_const)/(Cslope*Rslope)*(1-Don_Vinmin_2)/Fsw</f>
        <v>1.5498741116053194</v>
      </c>
      <c r="G312" s="356" t="s">
        <v>759</v>
      </c>
      <c r="I312" s="57"/>
    </row>
    <row r="313" spans="1:9" x14ac:dyDescent="0.2">
      <c r="A313" s="114"/>
      <c r="B313" s="380"/>
      <c r="C313" s="381"/>
      <c r="D313" s="381"/>
      <c r="I313" s="57"/>
    </row>
    <row r="314" spans="1:9" x14ac:dyDescent="0.2">
      <c r="A314" s="114"/>
      <c r="B314" s="418">
        <f>IF(VIN_max&gt;Vout, B311,F311)</f>
        <v>1.0033966441197317</v>
      </c>
      <c r="C314" s="381"/>
      <c r="D314" s="381"/>
      <c r="I314" s="57"/>
    </row>
    <row r="315" spans="1:9" x14ac:dyDescent="0.2">
      <c r="A315" s="114"/>
      <c r="B315" s="418">
        <f>IF(VIN_min&lt;Vout, B312,F312)</f>
        <v>1.5498741116053194</v>
      </c>
      <c r="C315" s="381"/>
      <c r="D315" s="381"/>
      <c r="I315" s="57"/>
    </row>
    <row r="316" spans="1:9" x14ac:dyDescent="0.2">
      <c r="A316" s="114"/>
      <c r="B316" s="418"/>
      <c r="C316" s="381"/>
      <c r="D316" s="381"/>
      <c r="I316" s="57"/>
    </row>
    <row r="317" spans="1:9" x14ac:dyDescent="0.2">
      <c r="A317" s="114"/>
      <c r="B317" s="380"/>
      <c r="C317" s="381"/>
      <c r="D317" s="356"/>
      <c r="I317" s="57"/>
    </row>
    <row r="318" spans="1:9" x14ac:dyDescent="0.2">
      <c r="A318" s="114" t="s">
        <v>554</v>
      </c>
      <c r="B318" s="354">
        <f>1+Se_ext/Sf</f>
        <v>1.5624284931506849</v>
      </c>
      <c r="C318"/>
      <c r="D318" s="114" t="s">
        <v>503</v>
      </c>
      <c r="I318" s="57"/>
    </row>
    <row r="319" spans="1:9" x14ac:dyDescent="0.2">
      <c r="A319" s="114" t="s">
        <v>555</v>
      </c>
      <c r="B319" s="375">
        <f>mc_buck*Don_Vinnom_2</f>
        <v>1.146633743280969</v>
      </c>
      <c r="C319" s="356"/>
      <c r="D319" s="356" t="s">
        <v>500</v>
      </c>
      <c r="I319" s="57"/>
    </row>
    <row r="320" spans="1:9" x14ac:dyDescent="0.2">
      <c r="A320" s="2" t="s">
        <v>546</v>
      </c>
      <c r="B320" s="394">
        <f>1+Se_ext/Sn</f>
        <v>2.5206399999999998</v>
      </c>
      <c r="C320" s="356"/>
      <c r="D320" s="114" t="s">
        <v>610</v>
      </c>
      <c r="I320" s="57"/>
    </row>
    <row r="321" spans="1:9" x14ac:dyDescent="0.2">
      <c r="A321" s="2" t="s">
        <v>547</v>
      </c>
      <c r="B321" s="375">
        <f>mc_boost*(1-Don_Vinnom_2)</f>
        <v>0.6707947806290564</v>
      </c>
      <c r="C321" s="356"/>
      <c r="D321" s="356" t="s">
        <v>557</v>
      </c>
      <c r="I321" s="57"/>
    </row>
    <row r="322" spans="1:9" x14ac:dyDescent="0.2">
      <c r="A322" s="2"/>
      <c r="B322" s="394"/>
      <c r="C322" s="356"/>
      <c r="D322" s="356"/>
      <c r="I322" s="57"/>
    </row>
    <row r="323" spans="1:9" x14ac:dyDescent="0.2">
      <c r="A323" s="2" t="s">
        <v>486</v>
      </c>
      <c r="B323" s="375">
        <f>IF(VIN_nom&gt;Vout, mc_buck, mc_boost)</f>
        <v>1.5624284931506849</v>
      </c>
      <c r="C323" s="356"/>
      <c r="D323" s="356"/>
      <c r="I323" s="57"/>
    </row>
    <row r="324" spans="1:9" x14ac:dyDescent="0.2">
      <c r="A324" s="2" t="s">
        <v>463</v>
      </c>
      <c r="B324" s="418">
        <f>IF(VIN_nom&gt;Vout, k_buck, k_boost)</f>
        <v>1.146633743280969</v>
      </c>
      <c r="C324" s="356"/>
      <c r="D324" s="356"/>
      <c r="I324" s="57"/>
    </row>
    <row r="325" spans="1:9" x14ac:dyDescent="0.2">
      <c r="A325" s="114" t="s">
        <v>29</v>
      </c>
      <c r="B325" s="354">
        <f>1/Pi/(k-0.5)</f>
        <v>0.49225684476147386</v>
      </c>
      <c r="C325"/>
      <c r="D325" s="114" t="s">
        <v>495</v>
      </c>
      <c r="F325" s="114" t="s">
        <v>510</v>
      </c>
      <c r="I325" s="57"/>
    </row>
    <row r="326" spans="1:9" x14ac:dyDescent="0.2">
      <c r="A326" s="114"/>
      <c r="B326" s="354"/>
      <c r="C326"/>
      <c r="D326" s="114"/>
      <c r="F326" s="114"/>
      <c r="I326" s="57"/>
    </row>
    <row r="327" spans="1:9" x14ac:dyDescent="0.2">
      <c r="A327" s="2" t="s">
        <v>595</v>
      </c>
      <c r="B327" s="409">
        <f>1/((0.5-Don_Vinnom_2)*Ri/(Fsw*Lf)+V_sc_fixed/Vout+K_SL*Don_Vinnom_2)</f>
        <v>1.0901020761406224E-3</v>
      </c>
      <c r="C327" s="114"/>
      <c r="D327" s="114"/>
      <c r="E327" s="114"/>
      <c r="I327" s="57"/>
    </row>
    <row r="328" spans="1:9" x14ac:dyDescent="0.2">
      <c r="A328" s="2" t="s">
        <v>617</v>
      </c>
      <c r="B328" s="363">
        <f>0.5*Ri/(Lf*Fsw)*Don_Vinnom_2*(1-Don_Vinnom_2)+K_SL*Don_Vinnom_2^2</f>
        <v>673.22485699749211</v>
      </c>
      <c r="C328" s="114"/>
      <c r="D328" s="114"/>
      <c r="E328" s="114"/>
      <c r="I328" s="57"/>
    </row>
    <row r="329" spans="1:9" x14ac:dyDescent="0.2">
      <c r="A329" s="2" t="s">
        <v>596</v>
      </c>
      <c r="B329" s="409">
        <f>1+Ro/Rout+Rout*(1-Don_Vinnom_2)^2/Ri*(1/KM+K_1/(1-Don_Vinnom_2))</f>
        <v>11882.78939384634</v>
      </c>
      <c r="C329" s="114"/>
      <c r="E329" s="114"/>
      <c r="I329" s="57"/>
    </row>
    <row r="330" spans="1:9" x14ac:dyDescent="0.2">
      <c r="A330" s="114"/>
      <c r="B330" s="354"/>
      <c r="C330"/>
      <c r="D330" s="114"/>
      <c r="F330" s="114"/>
      <c r="I330" s="57"/>
    </row>
    <row r="331" spans="1:9" x14ac:dyDescent="0.2">
      <c r="A331" s="356" t="s">
        <v>558</v>
      </c>
      <c r="B331" s="354"/>
      <c r="C331"/>
      <c r="D331" s="114"/>
      <c r="I331" s="57"/>
    </row>
    <row r="332" spans="1:9" x14ac:dyDescent="0.2">
      <c r="A332" s="114" t="s">
        <v>487</v>
      </c>
      <c r="B332" s="366">
        <v>13</v>
      </c>
      <c r="C332" s="114" t="s">
        <v>214</v>
      </c>
      <c r="D332" s="114" t="s">
        <v>609</v>
      </c>
      <c r="I332" s="57"/>
    </row>
    <row r="333" spans="1:9" x14ac:dyDescent="0.2">
      <c r="A333" s="114" t="s">
        <v>488</v>
      </c>
      <c r="B333" s="30">
        <f>gm/(2*Pi*GBW*1000000)</f>
        <v>7.3456127580874771E-12</v>
      </c>
      <c r="C333" s="114" t="s">
        <v>26</v>
      </c>
      <c r="D333" s="114" t="s">
        <v>608</v>
      </c>
      <c r="I333" s="57"/>
    </row>
    <row r="334" spans="1:9" x14ac:dyDescent="0.2">
      <c r="A334" s="114" t="s">
        <v>489</v>
      </c>
      <c r="B334" s="386">
        <v>10000000</v>
      </c>
      <c r="C334" s="213" t="s">
        <v>118</v>
      </c>
      <c r="D334" s="114" t="s">
        <v>607</v>
      </c>
      <c r="I334" s="57"/>
    </row>
    <row r="335" spans="1:9" x14ac:dyDescent="0.2">
      <c r="A335" s="114" t="s">
        <v>857</v>
      </c>
      <c r="B335">
        <f>gm*RoEA</f>
        <v>5999.9999999999991</v>
      </c>
      <c r="C335" s="213"/>
      <c r="D335" s="114"/>
      <c r="I335" s="57"/>
    </row>
    <row r="336" spans="1:9" x14ac:dyDescent="0.2">
      <c r="A336" s="114" t="s">
        <v>858</v>
      </c>
      <c r="B336" s="4">
        <f>20*LOG(B335)</f>
        <v>75.563025007672863</v>
      </c>
      <c r="C336" s="114" t="s">
        <v>856</v>
      </c>
      <c r="D336" s="114"/>
      <c r="I336" s="57"/>
    </row>
    <row r="337" spans="1:12" x14ac:dyDescent="0.2">
      <c r="A337" s="2" t="s">
        <v>490</v>
      </c>
      <c r="B337" s="309">
        <f>gm*RoEA</f>
        <v>5999.9999999999991</v>
      </c>
      <c r="C337" s="114" t="s">
        <v>30</v>
      </c>
      <c r="D337" s="114" t="s">
        <v>606</v>
      </c>
      <c r="I337" s="57"/>
    </row>
    <row r="338" spans="1:12" x14ac:dyDescent="0.2">
      <c r="A338" s="2" t="s">
        <v>491</v>
      </c>
      <c r="B338" s="4">
        <f>Vref/Vout</f>
        <v>6.8493150684931503E-2</v>
      </c>
      <c r="C338" s="114" t="s">
        <v>30</v>
      </c>
      <c r="D338" s="114" t="s">
        <v>601</v>
      </c>
      <c r="I338" s="57"/>
    </row>
    <row r="339" spans="1:12" x14ac:dyDescent="0.2">
      <c r="A339" s="2" t="s">
        <v>448</v>
      </c>
      <c r="B339" s="114">
        <f>1/Ri</f>
        <v>40</v>
      </c>
      <c r="C339" s="114"/>
      <c r="D339" s="114" t="s">
        <v>496</v>
      </c>
      <c r="I339" s="57"/>
      <c r="L339">
        <f>Ri</f>
        <v>2.5000000000000001E-2</v>
      </c>
    </row>
    <row r="340" spans="1:12" x14ac:dyDescent="0.2">
      <c r="A340" s="2" t="s">
        <v>545</v>
      </c>
      <c r="B340" s="48">
        <f>Ro/Ri*1/((1+Ro*(k-0.5)/(Fsw*Lf)))</f>
        <v>32.516460727569928</v>
      </c>
      <c r="C340"/>
      <c r="D340" s="2" t="s">
        <v>600</v>
      </c>
      <c r="I340" s="57"/>
      <c r="J340" s="577" t="s">
        <v>887</v>
      </c>
    </row>
    <row r="341" spans="1:12" x14ac:dyDescent="0.2">
      <c r="A341" s="2" t="s">
        <v>548</v>
      </c>
      <c r="B341" s="48">
        <f>Rout*(1-Don_Vinnom_2)/(2*Ri)</f>
        <v>6.4756065901148272</v>
      </c>
      <c r="C341"/>
      <c r="D341" s="356" t="s">
        <v>559</v>
      </c>
      <c r="I341" s="57"/>
      <c r="J341" s="577" t="s">
        <v>886</v>
      </c>
    </row>
    <row r="342" spans="1:12" x14ac:dyDescent="0.2">
      <c r="A342" s="2" t="s">
        <v>453</v>
      </c>
      <c r="B342" s="48">
        <f>IF(VIN_nom&gt;Vout, Am_buck, Am_boost)</f>
        <v>32.516460727569928</v>
      </c>
      <c r="C342"/>
      <c r="D342" s="114" t="s">
        <v>618</v>
      </c>
      <c r="I342" s="57"/>
    </row>
    <row r="343" spans="1:12" x14ac:dyDescent="0.2">
      <c r="A343" s="2"/>
      <c r="B343" s="4"/>
      <c r="C343"/>
      <c r="D343" s="356"/>
      <c r="I343" s="57"/>
    </row>
    <row r="344" spans="1:12" x14ac:dyDescent="0.2">
      <c r="A344" s="114" t="s">
        <v>592</v>
      </c>
      <c r="B344" s="4">
        <f>2*Pi*Ri/gm</f>
        <v>261.79938779914943</v>
      </c>
      <c r="C344"/>
      <c r="D344" s="114" t="s">
        <v>619</v>
      </c>
      <c r="I344" s="57"/>
    </row>
    <row r="345" spans="1:12" x14ac:dyDescent="0.2">
      <c r="A345" s="114" t="s">
        <v>593</v>
      </c>
      <c r="B345" s="4">
        <f>2*Pi*Ri/gm</f>
        <v>261.79938779914943</v>
      </c>
      <c r="C345"/>
      <c r="D345" s="114" t="s">
        <v>620</v>
      </c>
      <c r="I345" s="57"/>
    </row>
    <row r="346" spans="1:12" x14ac:dyDescent="0.2">
      <c r="A346" s="356" t="s">
        <v>549</v>
      </c>
      <c r="B346" s="4"/>
      <c r="C346"/>
      <c r="D346" s="114"/>
      <c r="I346" s="57"/>
    </row>
    <row r="347" spans="1:12" x14ac:dyDescent="0.2">
      <c r="A347" s="356"/>
      <c r="B347" s="4"/>
      <c r="C347"/>
      <c r="D347" s="114"/>
      <c r="I347" s="57"/>
    </row>
    <row r="348" spans="1:12" x14ac:dyDescent="0.2">
      <c r="A348" s="211" t="s">
        <v>46</v>
      </c>
      <c r="B348" s="114">
        <f>Rout</f>
        <v>1.2166666666666666</v>
      </c>
      <c r="C348" s="213" t="s">
        <v>118</v>
      </c>
      <c r="D348" s="114" t="s">
        <v>342</v>
      </c>
      <c r="I348" s="57"/>
    </row>
    <row r="349" spans="1:12" x14ac:dyDescent="0.2">
      <c r="A349" s="114" t="s">
        <v>442</v>
      </c>
      <c r="B349" s="114">
        <f>Rout</f>
        <v>1.2166666666666666</v>
      </c>
      <c r="C349" s="213" t="s">
        <v>118</v>
      </c>
      <c r="D349" s="114" t="s">
        <v>342</v>
      </c>
      <c r="I349" s="57"/>
    </row>
    <row r="350" spans="1:12" x14ac:dyDescent="0.2">
      <c r="A350" s="114"/>
      <c r="B350" s="114"/>
      <c r="C350" s="213"/>
      <c r="D350" s="114"/>
      <c r="I350" s="57"/>
    </row>
    <row r="351" spans="1:12" x14ac:dyDescent="0.2">
      <c r="A351" s="114" t="s">
        <v>538</v>
      </c>
      <c r="B351" s="379">
        <f>1/(2*Pi*Ro*Cout)</f>
        <v>1308.1228199333864</v>
      </c>
      <c r="C351" t="s">
        <v>10</v>
      </c>
      <c r="D351" s="114" t="s">
        <v>535</v>
      </c>
      <c r="E351" s="46"/>
      <c r="I351" s="57"/>
      <c r="J351" s="578" t="s">
        <v>888</v>
      </c>
      <c r="K351">
        <f>1/(2*Pi*Ro*Cout)+(k-0.5)/(2*Pi*Fsw*Lf*Cout)</f>
        <v>1957.8384551176152</v>
      </c>
      <c r="L351">
        <f>(1-Don_Vinnom_2)/(2*Pi*SQRT(Lf*Cout))</f>
        <v>2606.7358164525472</v>
      </c>
    </row>
    <row r="352" spans="1:12" x14ac:dyDescent="0.2">
      <c r="A352" s="114" t="s">
        <v>537</v>
      </c>
      <c r="B352" s="379">
        <f>2/(2*Pi*Ro*Cout)</f>
        <v>2616.2456398667728</v>
      </c>
      <c r="C352" s="114" t="s">
        <v>10</v>
      </c>
      <c r="D352" s="356" t="s">
        <v>536</v>
      </c>
      <c r="I352" s="57"/>
    </row>
    <row r="353" spans="1:12" x14ac:dyDescent="0.2">
      <c r="A353" s="114" t="s">
        <v>584</v>
      </c>
      <c r="B353" s="379">
        <f>IF(VIN_nom&gt;Vout, Fload_buck,Fload_boost)</f>
        <v>1308.1228199333864</v>
      </c>
      <c r="C353" s="114" t="s">
        <v>10</v>
      </c>
      <c r="D353" s="608" t="s">
        <v>907</v>
      </c>
      <c r="E353" s="46"/>
      <c r="I353" s="57"/>
    </row>
    <row r="354" spans="1:12" x14ac:dyDescent="0.2">
      <c r="A354" s="114"/>
      <c r="B354" s="364"/>
      <c r="C354"/>
      <c r="D354" s="114"/>
      <c r="E354" s="46"/>
      <c r="I354" s="57"/>
    </row>
    <row r="355" spans="1:12" x14ac:dyDescent="0.2">
      <c r="A355" s="114" t="s">
        <v>498</v>
      </c>
      <c r="B355" s="432">
        <f>1/(2*Pi*(RoEA+Rcea1_u)*Cc1ea_u)</f>
        <v>0.157579151576134</v>
      </c>
      <c r="C355" t="s">
        <v>10</v>
      </c>
      <c r="D355" s="114" t="s">
        <v>534</v>
      </c>
      <c r="E355" s="46"/>
      <c r="I355" s="57"/>
    </row>
    <row r="356" spans="1:12" x14ac:dyDescent="0.2">
      <c r="A356" s="114" t="s">
        <v>499</v>
      </c>
      <c r="B356" s="379">
        <f>1/(2*Pi*Rcea1_u*(Cc2ea_u+Cbw))</f>
        <v>1579.9437757626504</v>
      </c>
      <c r="C356" t="s">
        <v>10</v>
      </c>
      <c r="D356" s="114" t="s">
        <v>511</v>
      </c>
      <c r="E356" s="46"/>
      <c r="I356" s="57"/>
      <c r="K356">
        <f>Fcross</f>
        <v>13000</v>
      </c>
    </row>
    <row r="357" spans="1:12" x14ac:dyDescent="0.2">
      <c r="A357" s="211" t="s">
        <v>28</v>
      </c>
      <c r="B357" s="379">
        <f>1/(2*Pi*Cout*CoutEsr)</f>
        <v>318309.88618379069</v>
      </c>
      <c r="C357" t="s">
        <v>10</v>
      </c>
      <c r="D357" s="114" t="s">
        <v>532</v>
      </c>
      <c r="I357" s="57"/>
    </row>
    <row r="358" spans="1:12" x14ac:dyDescent="0.2">
      <c r="A358" s="211" t="s">
        <v>441</v>
      </c>
      <c r="B358" s="433">
        <f>(1-Don_Vinnom_2)^2*Ro/(2*Pi*Lf)</f>
        <v>5194.5211208245373</v>
      </c>
      <c r="C358" t="s">
        <v>10</v>
      </c>
      <c r="D358" s="114" t="s">
        <v>533</v>
      </c>
      <c r="H358" s="356" t="s">
        <v>579</v>
      </c>
      <c r="I358" s="57"/>
    </row>
    <row r="359" spans="1:12" x14ac:dyDescent="0.2">
      <c r="A359" s="211" t="s">
        <v>897</v>
      </c>
      <c r="B359" s="433">
        <f>(1-Don_Vinmin_2)^2*Ro/(2*Pi*Lf)</f>
        <v>5194.5211208245373</v>
      </c>
      <c r="C359" t="s">
        <v>10</v>
      </c>
      <c r="D359" s="114" t="s">
        <v>533</v>
      </c>
      <c r="H359" s="356" t="s">
        <v>898</v>
      </c>
      <c r="I359" s="57"/>
    </row>
    <row r="360" spans="1:12" x14ac:dyDescent="0.2">
      <c r="A360" s="114" t="s">
        <v>544</v>
      </c>
      <c r="B360" s="379">
        <f>Fsw/2</f>
        <v>300000</v>
      </c>
      <c r="C360" t="s">
        <v>10</v>
      </c>
      <c r="D360" s="114" t="s">
        <v>543</v>
      </c>
      <c r="I360" s="57"/>
    </row>
    <row r="361" spans="1:12" x14ac:dyDescent="0.2">
      <c r="A361" s="114"/>
      <c r="B361" s="379"/>
      <c r="C361"/>
      <c r="D361" s="114"/>
      <c r="I361" s="57"/>
    </row>
    <row r="362" spans="1:12" x14ac:dyDescent="0.2">
      <c r="A362" s="114"/>
      <c r="B362" s="629"/>
      <c r="C362"/>
      <c r="D362" s="114"/>
      <c r="I362" s="57"/>
    </row>
    <row r="363" spans="1:12" x14ac:dyDescent="0.2">
      <c r="A363" s="114"/>
      <c r="B363" s="629"/>
      <c r="C363"/>
      <c r="D363" s="114"/>
      <c r="I363" s="57"/>
    </row>
    <row r="364" spans="1:12" x14ac:dyDescent="0.2">
      <c r="A364" s="114"/>
      <c r="B364" s="364"/>
      <c r="C364"/>
      <c r="D364" s="114"/>
      <c r="E364" s="46"/>
      <c r="I364" s="57"/>
    </row>
    <row r="365" spans="1:12" x14ac:dyDescent="0.2">
      <c r="A365" s="211" t="s">
        <v>531</v>
      </c>
      <c r="B365" s="319">
        <f>'Design Converter'!E76*1000</f>
        <v>13000</v>
      </c>
      <c r="C365" s="363" t="s">
        <v>10</v>
      </c>
      <c r="D365" s="114"/>
      <c r="E365" t="e">
        <f>PS_RHPZ</f>
        <v>#NAME?</v>
      </c>
      <c r="I365" s="57"/>
    </row>
    <row r="366" spans="1:12" x14ac:dyDescent="0.2">
      <c r="A366" s="66" t="s">
        <v>35</v>
      </c>
      <c r="B366" s="364">
        <f>IF(VIN_nom&gt;Vout, Fcross*Cout*2*Pi*Ri/(gm*Afb), Fcross*Cout*2*Pi*Ri/(gm*Afb*(1-Don_Vinnom_2)*SQRT(1+(Fcross/'Stability Calculations'!PS_RHPZ)^2)))</f>
        <v>4968.952380427857</v>
      </c>
      <c r="C366" s="213" t="s">
        <v>118</v>
      </c>
      <c r="D366" s="114" t="s">
        <v>493</v>
      </c>
      <c r="I366" s="57">
        <v>1</v>
      </c>
      <c r="K366" s="309">
        <f>Fcross*Cout*2*Pi*Ri/(gm*Afb*(1-Don_Vinnom_2))</f>
        <v>18671.791268942288</v>
      </c>
      <c r="L366" s="213" t="s">
        <v>118</v>
      </c>
    </row>
    <row r="367" spans="1:12" x14ac:dyDescent="0.2">
      <c r="A367" s="66" t="s">
        <v>33</v>
      </c>
      <c r="B367" s="749">
        <f>1/(Rcea1*(1.5*Fp_dominant)*2*Pi)</f>
        <v>1.6323583906861055E-8</v>
      </c>
      <c r="C367" t="s">
        <v>26</v>
      </c>
      <c r="D367" s="566" t="s">
        <v>862</v>
      </c>
      <c r="I367" s="57">
        <v>1</v>
      </c>
    </row>
    <row r="368" spans="1:12" x14ac:dyDescent="0.2">
      <c r="A368" s="66" t="s">
        <v>34</v>
      </c>
      <c r="B368" s="749">
        <f>1/((Rcea1*2*Pi*B369))-Cbw</f>
        <v>2.3903807122263175E-10</v>
      </c>
      <c r="C368" t="s">
        <v>26</v>
      </c>
      <c r="D368" s="114" t="s">
        <v>494</v>
      </c>
      <c r="I368" s="57">
        <v>1</v>
      </c>
    </row>
    <row r="369" spans="1:9" x14ac:dyDescent="0.2">
      <c r="A369" s="65"/>
      <c r="B369" s="1">
        <f>MAX(Fcross*7,Fcross*10)</f>
        <v>130000</v>
      </c>
      <c r="C369" s="213"/>
      <c r="D369" s="566" t="s">
        <v>861</v>
      </c>
      <c r="E369" s="565"/>
      <c r="F369" s="565"/>
      <c r="G369" s="565"/>
      <c r="H369" s="565"/>
      <c r="I369" s="57">
        <v>1</v>
      </c>
    </row>
    <row r="370" spans="1:9" x14ac:dyDescent="0.2">
      <c r="A370" s="66" t="s">
        <v>444</v>
      </c>
      <c r="I370" s="57"/>
    </row>
    <row r="371" spans="1:9" x14ac:dyDescent="0.2">
      <c r="A371" s="56" t="s">
        <v>36</v>
      </c>
      <c r="B371" s="603">
        <f>'Design Converter'!E90*1000</f>
        <v>100000</v>
      </c>
      <c r="C371" s="213" t="s">
        <v>118</v>
      </c>
      <c r="I371" s="57">
        <v>2</v>
      </c>
    </row>
    <row r="372" spans="1:9" x14ac:dyDescent="0.2">
      <c r="A372" s="56" t="s">
        <v>37</v>
      </c>
      <c r="B372" s="603">
        <f>'Design Converter'!E91*0.000000001</f>
        <v>1.0000000000000001E-7</v>
      </c>
      <c r="C372" t="s">
        <v>26</v>
      </c>
      <c r="I372" s="57">
        <v>2</v>
      </c>
    </row>
    <row r="373" spans="1:9" x14ac:dyDescent="0.2">
      <c r="A373" s="56" t="s">
        <v>38</v>
      </c>
      <c r="B373" s="603">
        <f>'Design Converter'!E92*0.000000000001</f>
        <v>1.0000000000000001E-9</v>
      </c>
      <c r="C373" t="s">
        <v>26</v>
      </c>
      <c r="I373" s="57">
        <v>2</v>
      </c>
    </row>
    <row r="374" spans="1:9" x14ac:dyDescent="0.2">
      <c r="A374" s="56"/>
      <c r="B374" s="48"/>
      <c r="C374"/>
      <c r="I374" s="57"/>
    </row>
    <row r="375" spans="1:9" x14ac:dyDescent="0.2">
      <c r="A375" s="211"/>
      <c r="B375" s="603"/>
      <c r="C375" s="114"/>
      <c r="I375" s="57">
        <v>2</v>
      </c>
    </row>
    <row r="376" spans="1:9" x14ac:dyDescent="0.2">
      <c r="A376" s="56"/>
      <c r="B376" s="603"/>
      <c r="C376"/>
      <c r="I376" s="57"/>
    </row>
    <row r="377" spans="1:9" x14ac:dyDescent="0.2">
      <c r="A377" s="66" t="s">
        <v>513</v>
      </c>
      <c r="B377" s="603"/>
      <c r="C377"/>
      <c r="D377">
        <f>Cout</f>
        <v>1E-4</v>
      </c>
      <c r="E377">
        <f>CoutEsr</f>
        <v>5.0000000000000001E-3</v>
      </c>
      <c r="I377" s="57"/>
    </row>
    <row r="378" spans="1:9" x14ac:dyDescent="0.2">
      <c r="A378" s="66" t="s">
        <v>39</v>
      </c>
      <c r="B378" s="365">
        <f>1/(2*Pi*Rcea1_u*Cc1ea_u)</f>
        <v>15.915494309189533</v>
      </c>
      <c r="C378" t="s">
        <v>10</v>
      </c>
      <c r="D378" s="114" t="s">
        <v>590</v>
      </c>
      <c r="I378" s="57"/>
    </row>
    <row r="379" spans="1:9" x14ac:dyDescent="0.2">
      <c r="A379" s="66" t="s">
        <v>40</v>
      </c>
      <c r="B379" s="365">
        <f>1/(2*Pi*Rcea1_u*(Cc1ea_u*(Cc2ea_u+Cbw)/(Cc1ea_u+Cc2ea_u+Cbw)))</f>
        <v>1595.85927007184</v>
      </c>
      <c r="C379" t="s">
        <v>10</v>
      </c>
      <c r="D379" t="s">
        <v>160</v>
      </c>
      <c r="I379" s="57"/>
    </row>
    <row r="380" spans="1:9" x14ac:dyDescent="0.2">
      <c r="C380"/>
      <c r="I380" s="57"/>
    </row>
    <row r="381" spans="1:9" x14ac:dyDescent="0.2">
      <c r="A381" s="56" t="s">
        <v>31</v>
      </c>
      <c r="B381" s="319">
        <f>IF(Internal_FB_enabled=2,100000,'Design Converter'!E78*1000)</f>
        <v>82000</v>
      </c>
      <c r="C381" s="213" t="s">
        <v>118</v>
      </c>
      <c r="D381" s="114" t="s">
        <v>522</v>
      </c>
      <c r="I381" s="57">
        <v>1</v>
      </c>
    </row>
    <row r="382" spans="1:9" x14ac:dyDescent="0.2">
      <c r="A382" s="66" t="s">
        <v>43</v>
      </c>
      <c r="B382" s="355">
        <f>IF(Internal_FB_enabled=2,Rfb1_/(20-1),Vref*B381/((Vout-Vref)))</f>
        <v>6029.4117647058829</v>
      </c>
      <c r="C382" s="213" t="s">
        <v>118</v>
      </c>
      <c r="D382" s="114" t="s">
        <v>521</v>
      </c>
      <c r="I382" s="57"/>
    </row>
    <row r="383" spans="1:9" x14ac:dyDescent="0.2">
      <c r="A383" s="56" t="s">
        <v>165</v>
      </c>
      <c r="B383" s="676">
        <f>IF(Internal_FB_enabled=2,Rfb1_/(20-1),'Standard Value Calculator'!R10)</f>
        <v>6040</v>
      </c>
      <c r="C383" s="213" t="s">
        <v>118</v>
      </c>
      <c r="D383" s="114" t="s">
        <v>520</v>
      </c>
      <c r="I383" s="57"/>
    </row>
    <row r="384" spans="1:9" ht="13.5" thickBot="1" x14ac:dyDescent="0.25">
      <c r="A384" s="615" t="s">
        <v>917</v>
      </c>
      <c r="B384" s="307">
        <f>Vref/(100*Ifb)</f>
        <v>166666.66666666669</v>
      </c>
      <c r="C384" s="616" t="s">
        <v>118</v>
      </c>
      <c r="D384" s="118" t="s">
        <v>918</v>
      </c>
      <c r="E384" s="69"/>
      <c r="F384" s="61"/>
      <c r="G384" s="61"/>
      <c r="H384" s="61"/>
      <c r="I384" s="62"/>
    </row>
    <row r="385" spans="1:9" x14ac:dyDescent="0.2">
      <c r="A385" s="1"/>
      <c r="B385" s="46"/>
      <c r="C385" s="46"/>
      <c r="E385" s="46"/>
    </row>
    <row r="386" spans="1:9" x14ac:dyDescent="0.2">
      <c r="A386" s="66" t="s">
        <v>203</v>
      </c>
      <c r="B386" s="1"/>
      <c r="C386"/>
    </row>
    <row r="387" spans="1:9" x14ac:dyDescent="0.2">
      <c r="A387" s="66" t="s">
        <v>206</v>
      </c>
      <c r="B387" s="2">
        <v>0</v>
      </c>
      <c r="C387" s="213" t="s">
        <v>118</v>
      </c>
      <c r="D387" s="114" t="s">
        <v>341</v>
      </c>
      <c r="H387" t="e">
        <f>_Don2*RdsonTop+Doff2*RdsonBot+B391*Vin^2*Fsw/2/(((Iripple1/SQRT(3))^2))</f>
        <v>#NAME?</v>
      </c>
    </row>
    <row r="388" spans="1:9" x14ac:dyDescent="0.2">
      <c r="A388" s="66" t="s">
        <v>209</v>
      </c>
      <c r="B388" s="377" t="e">
        <f>0.00000002*Fsw*0.6*4/Iripple1</f>
        <v>#NAME?</v>
      </c>
      <c r="C388" s="46"/>
      <c r="E388" s="46"/>
    </row>
    <row r="389" spans="1:9" x14ac:dyDescent="0.2">
      <c r="A389" s="66" t="s">
        <v>208</v>
      </c>
      <c r="B389" s="377" t="e">
        <f>_Don2*RdsonTop+Doff2*RdsonBot</f>
        <v>#NAME?</v>
      </c>
      <c r="C389" s="46"/>
      <c r="E389" s="46"/>
    </row>
    <row r="390" spans="1:9" x14ac:dyDescent="0.2">
      <c r="A390" s="66" t="s">
        <v>207</v>
      </c>
      <c r="B390" s="377" t="e">
        <f>B391*Vin^2*Fsw/2/(((Iripple1/SQRT(3))^2))</f>
        <v>#NAME?</v>
      </c>
      <c r="C390" s="46"/>
      <c r="E390" s="46"/>
    </row>
    <row r="391" spans="1:9" x14ac:dyDescent="0.2">
      <c r="A391" s="66" t="s">
        <v>210</v>
      </c>
      <c r="B391" s="378">
        <v>5.0000000000000001E-9</v>
      </c>
      <c r="C391" s="46"/>
      <c r="E391" s="46"/>
    </row>
    <row r="392" spans="1:9" x14ac:dyDescent="0.2">
      <c r="A392" s="1"/>
      <c r="B392" s="46"/>
      <c r="C392" s="46"/>
      <c r="E392" s="46"/>
    </row>
    <row r="393" spans="1:9" ht="16.5" thickBot="1" x14ac:dyDescent="0.3">
      <c r="A393" s="94" t="s">
        <v>226</v>
      </c>
    </row>
    <row r="394" spans="1:9" x14ac:dyDescent="0.2">
      <c r="A394" s="91"/>
      <c r="B394" s="63"/>
      <c r="C394" s="297"/>
      <c r="D394" s="63"/>
      <c r="E394" s="63"/>
      <c r="F394" s="63"/>
      <c r="G394" s="63"/>
      <c r="H394" s="63"/>
      <c r="I394" s="64"/>
    </row>
    <row r="395" spans="1:9" x14ac:dyDescent="0.2">
      <c r="A395" s="66" t="s">
        <v>59</v>
      </c>
      <c r="I395" s="57"/>
    </row>
    <row r="396" spans="1:9" x14ac:dyDescent="0.2">
      <c r="A396" s="56" t="s">
        <v>87</v>
      </c>
      <c r="B396" s="29">
        <v>25</v>
      </c>
      <c r="C396" s="114" t="s">
        <v>278</v>
      </c>
      <c r="D396" t="s">
        <v>98</v>
      </c>
      <c r="I396" s="57"/>
    </row>
    <row r="397" spans="1:9" x14ac:dyDescent="0.2">
      <c r="A397" s="66" t="s">
        <v>62</v>
      </c>
      <c r="C397"/>
      <c r="I397" s="57"/>
    </row>
    <row r="398" spans="1:9" x14ac:dyDescent="0.2">
      <c r="A398" s="56" t="s">
        <v>86</v>
      </c>
      <c r="B398" s="59">
        <f>4000/1000000</f>
        <v>4.0000000000000001E-3</v>
      </c>
      <c r="C398" s="114" t="s">
        <v>350</v>
      </c>
      <c r="D398" s="114" t="s">
        <v>654</v>
      </c>
      <c r="I398" s="57"/>
    </row>
    <row r="399" spans="1:9" ht="15.75" x14ac:dyDescent="0.3">
      <c r="A399" s="211" t="s">
        <v>651</v>
      </c>
      <c r="B399" s="59">
        <v>20</v>
      </c>
      <c r="C399" s="114" t="s">
        <v>237</v>
      </c>
      <c r="D399" s="114" t="s">
        <v>652</v>
      </c>
      <c r="I399" s="57"/>
    </row>
    <row r="400" spans="1:9" x14ac:dyDescent="0.2">
      <c r="A400" s="56" t="s">
        <v>89</v>
      </c>
      <c r="B400" s="29">
        <f>RCinEsr</f>
        <v>2E-3</v>
      </c>
      <c r="C400" s="213" t="s">
        <v>118</v>
      </c>
      <c r="D400" s="114" t="s">
        <v>653</v>
      </c>
      <c r="I400" s="57"/>
    </row>
    <row r="401" spans="1:14" x14ac:dyDescent="0.2">
      <c r="A401" s="65" t="s">
        <v>162</v>
      </c>
      <c r="C401"/>
      <c r="I401" s="57"/>
    </row>
    <row r="402" spans="1:14" x14ac:dyDescent="0.2">
      <c r="A402" s="211" t="s">
        <v>648</v>
      </c>
      <c r="B402" s="59">
        <f>7.5</f>
        <v>7.5</v>
      </c>
      <c r="C402" t="s">
        <v>0</v>
      </c>
      <c r="D402" s="356" t="s">
        <v>650</v>
      </c>
      <c r="I402" s="57"/>
    </row>
    <row r="403" spans="1:14" x14ac:dyDescent="0.2">
      <c r="A403" s="66" t="s">
        <v>114</v>
      </c>
      <c r="C403"/>
      <c r="I403" s="57"/>
    </row>
    <row r="404" spans="1:14" x14ac:dyDescent="0.2">
      <c r="A404" s="56" t="s">
        <v>65</v>
      </c>
      <c r="B404" s="59">
        <v>1.5</v>
      </c>
      <c r="C404" s="213" t="s">
        <v>118</v>
      </c>
      <c r="D404" s="114" t="s">
        <v>523</v>
      </c>
      <c r="I404" s="57"/>
    </row>
    <row r="405" spans="1:14" x14ac:dyDescent="0.2">
      <c r="A405" s="56" t="s">
        <v>148</v>
      </c>
      <c r="B405" s="59">
        <v>1</v>
      </c>
      <c r="C405" s="213" t="s">
        <v>118</v>
      </c>
      <c r="D405" s="114" t="s">
        <v>524</v>
      </c>
      <c r="I405" s="57"/>
    </row>
    <row r="406" spans="1:14" x14ac:dyDescent="0.2">
      <c r="A406" s="66" t="s">
        <v>115</v>
      </c>
      <c r="C406"/>
      <c r="I406" s="57"/>
    </row>
    <row r="407" spans="1:14" x14ac:dyDescent="0.2">
      <c r="A407" s="56" t="s">
        <v>64</v>
      </c>
      <c r="B407" s="108">
        <v>1.5</v>
      </c>
      <c r="C407" s="213" t="s">
        <v>118</v>
      </c>
      <c r="D407" s="114" t="s">
        <v>525</v>
      </c>
      <c r="I407" s="57"/>
    </row>
    <row r="408" spans="1:14" x14ac:dyDescent="0.2">
      <c r="A408" s="56" t="s">
        <v>147</v>
      </c>
      <c r="B408" s="59">
        <v>1</v>
      </c>
      <c r="C408" s="213" t="s">
        <v>118</v>
      </c>
      <c r="D408" s="114" t="s">
        <v>526</v>
      </c>
      <c r="I408" s="57"/>
    </row>
    <row r="409" spans="1:14" x14ac:dyDescent="0.2">
      <c r="A409" s="721" t="s">
        <v>1291</v>
      </c>
      <c r="B409" s="59" t="b">
        <f>OR(Device="LM51772-Q1",'CFG Setting'!F116&lt;&gt;0)</f>
        <v>0</v>
      </c>
      <c r="C409" s="213"/>
      <c r="D409" s="114"/>
      <c r="I409" s="57"/>
    </row>
    <row r="410" spans="1:14" x14ac:dyDescent="0.2">
      <c r="A410" s="721" t="s">
        <v>1292</v>
      </c>
      <c r="B410" s="59" t="b">
        <f>'CFG Setting'!E116&lt;&gt;0</f>
        <v>0</v>
      </c>
      <c r="C410" s="213"/>
      <c r="D410" s="114"/>
      <c r="I410" s="57"/>
    </row>
    <row r="411" spans="1:14" x14ac:dyDescent="0.2">
      <c r="A411" s="66" t="s">
        <v>66</v>
      </c>
      <c r="C411"/>
      <c r="I411" s="57"/>
      <c r="K411" s="114" t="s">
        <v>1280</v>
      </c>
    </row>
    <row r="412" spans="1:14" x14ac:dyDescent="0.2">
      <c r="A412" s="56" t="s">
        <v>66</v>
      </c>
      <c r="B412" s="614">
        <f>N414*0.000000001</f>
        <v>4.0095238095238094E-8</v>
      </c>
      <c r="C412" t="s">
        <v>161</v>
      </c>
      <c r="D412" t="s">
        <v>100</v>
      </c>
      <c r="G412" s="356" t="s">
        <v>869</v>
      </c>
      <c r="I412" s="57"/>
      <c r="K412">
        <v>100</v>
      </c>
      <c r="L412">
        <f>IF(Scale_DT,23,42)</f>
        <v>42</v>
      </c>
      <c r="M412" s="114" t="s">
        <v>1281</v>
      </c>
      <c r="N412">
        <f>(L413-L412)/(K413-K412)</f>
        <v>-3.8095238095238095E-3</v>
      </c>
    </row>
    <row r="413" spans="1:14" x14ac:dyDescent="0.2">
      <c r="A413" s="66" t="s">
        <v>56</v>
      </c>
      <c r="C413"/>
      <c r="I413" s="57"/>
      <c r="K413">
        <v>2200</v>
      </c>
      <c r="L413">
        <f>L412-8</f>
        <v>34</v>
      </c>
      <c r="M413" s="114" t="s">
        <v>1282</v>
      </c>
      <c r="N413">
        <f>L412-(N412*K412)</f>
        <v>42.38095238095238</v>
      </c>
    </row>
    <row r="414" spans="1:14" x14ac:dyDescent="0.2">
      <c r="A414" s="56" t="s">
        <v>156</v>
      </c>
      <c r="B414" s="59">
        <v>3.0000000000000001E-3</v>
      </c>
      <c r="C414" t="s">
        <v>2</v>
      </c>
      <c r="D414" s="114" t="s">
        <v>870</v>
      </c>
      <c r="I414" s="57"/>
      <c r="N414">
        <f>IF(Const_DT,L412,N412*Fsw/1000+N413)</f>
        <v>40.095238095238095</v>
      </c>
    </row>
    <row r="415" spans="1:14" x14ac:dyDescent="0.2">
      <c r="A415" s="56"/>
      <c r="C415"/>
      <c r="I415" s="57"/>
    </row>
    <row r="416" spans="1:14" x14ac:dyDescent="0.2">
      <c r="A416" s="66" t="s">
        <v>712</v>
      </c>
      <c r="B416" s="2" t="s">
        <v>731</v>
      </c>
      <c r="C416"/>
      <c r="D416" s="2" t="s">
        <v>732</v>
      </c>
      <c r="I416" s="57"/>
    </row>
    <row r="417" spans="1:9" x14ac:dyDescent="0.2">
      <c r="A417" s="211" t="s">
        <v>733</v>
      </c>
      <c r="B417" s="29">
        <f>'Design Converter'!E99/1000</f>
        <v>4.2000000000000006E-3</v>
      </c>
      <c r="C417" s="213" t="s">
        <v>118</v>
      </c>
      <c r="D417" s="29">
        <f>'Design Converter'!F99/1000</f>
        <v>4.2000000000000006E-3</v>
      </c>
      <c r="E417" s="213" t="s">
        <v>118</v>
      </c>
      <c r="F417" s="114" t="s">
        <v>719</v>
      </c>
      <c r="I417" s="57"/>
    </row>
    <row r="418" spans="1:9" x14ac:dyDescent="0.2">
      <c r="A418" s="56" t="s">
        <v>83</v>
      </c>
      <c r="B418" s="59">
        <f>4000/1000000</f>
        <v>4.0000000000000001E-3</v>
      </c>
      <c r="C418" s="114" t="s">
        <v>350</v>
      </c>
      <c r="E418" s="114"/>
      <c r="F418" s="114" t="s">
        <v>527</v>
      </c>
      <c r="I418" s="57"/>
    </row>
    <row r="419" spans="1:9" x14ac:dyDescent="0.2">
      <c r="A419" s="211" t="s">
        <v>130</v>
      </c>
      <c r="B419" s="70">
        <f>'Design Converter'!E100/1000000000</f>
        <v>2.7E-8</v>
      </c>
      <c r="C419" t="s">
        <v>163</v>
      </c>
      <c r="D419" s="70">
        <f>'Design Converter'!F100/1000000000</f>
        <v>2.7E-8</v>
      </c>
      <c r="E419" t="s">
        <v>163</v>
      </c>
      <c r="F419" s="114" t="s">
        <v>707</v>
      </c>
      <c r="I419" s="57"/>
    </row>
    <row r="420" spans="1:9" x14ac:dyDescent="0.2">
      <c r="A420" s="211" t="s">
        <v>734</v>
      </c>
      <c r="B420" s="70">
        <f>'Design Converter'!E101/1000000000</f>
        <v>6.2000000000000001E-9</v>
      </c>
      <c r="C420" t="s">
        <v>163</v>
      </c>
      <c r="D420" s="70">
        <f>'Design Converter'!F101/1000000000</f>
        <v>6.2000000000000001E-9</v>
      </c>
      <c r="E420" t="s">
        <v>163</v>
      </c>
      <c r="F420" t="s">
        <v>129</v>
      </c>
      <c r="I420" s="57"/>
    </row>
    <row r="421" spans="1:9" x14ac:dyDescent="0.2">
      <c r="A421" s="211" t="s">
        <v>735</v>
      </c>
      <c r="B421" s="70">
        <f>'Design Converter'!E102/1000000000</f>
        <v>6.2000000000000001E-9</v>
      </c>
      <c r="C421" t="s">
        <v>163</v>
      </c>
      <c r="D421" s="70">
        <f>'Design Converter'!F102/1000000000</f>
        <v>6.2000000000000001E-9</v>
      </c>
      <c r="E421" t="s">
        <v>163</v>
      </c>
      <c r="I421" s="57"/>
    </row>
    <row r="422" spans="1:9" x14ac:dyDescent="0.2">
      <c r="A422" s="211" t="s">
        <v>736</v>
      </c>
      <c r="B422" s="29">
        <f>'Design Converter'!E103</f>
        <v>4.7</v>
      </c>
      <c r="C422" s="213" t="s">
        <v>118</v>
      </c>
      <c r="D422" s="29">
        <f>'Design Converter'!F103</f>
        <v>4.7</v>
      </c>
      <c r="E422" s="213" t="s">
        <v>118</v>
      </c>
      <c r="F422" t="s">
        <v>102</v>
      </c>
      <c r="I422" s="57"/>
    </row>
    <row r="423" spans="1:9" x14ac:dyDescent="0.2">
      <c r="A423" s="211" t="s">
        <v>737</v>
      </c>
      <c r="B423" s="29">
        <f>'Design Converter'!E104</f>
        <v>80</v>
      </c>
      <c r="C423" t="s">
        <v>70</v>
      </c>
      <c r="D423" s="29">
        <f>'Design Converter'!F104</f>
        <v>80</v>
      </c>
      <c r="E423" t="s">
        <v>70</v>
      </c>
      <c r="F423" s="114" t="s">
        <v>718</v>
      </c>
      <c r="I423" s="57"/>
    </row>
    <row r="424" spans="1:9" x14ac:dyDescent="0.2">
      <c r="A424" s="211" t="s">
        <v>738</v>
      </c>
      <c r="B424" s="29">
        <f>'Design Converter'!E105</f>
        <v>2.2999999999999998</v>
      </c>
      <c r="C424" t="s">
        <v>0</v>
      </c>
      <c r="D424" s="29">
        <f>'Design Converter'!F105</f>
        <v>2.2999999999999998</v>
      </c>
      <c r="E424" t="s">
        <v>0</v>
      </c>
      <c r="F424" s="114" t="s">
        <v>720</v>
      </c>
      <c r="I424" s="57"/>
    </row>
    <row r="425" spans="1:9" x14ac:dyDescent="0.2">
      <c r="A425" s="211" t="s">
        <v>739</v>
      </c>
      <c r="B425" s="383">
        <f>Vth_Q1+Iout/Gfs_Q1</f>
        <v>2.4499999999999997</v>
      </c>
      <c r="C425" t="s">
        <v>0</v>
      </c>
      <c r="D425" s="383">
        <f>Vth_Q2+Iout/Gfs_Q2</f>
        <v>2.4499999999999997</v>
      </c>
      <c r="E425" t="s">
        <v>0</v>
      </c>
      <c r="F425" s="114" t="s">
        <v>721</v>
      </c>
      <c r="I425" s="57"/>
    </row>
    <row r="426" spans="1:9" x14ac:dyDescent="0.2">
      <c r="A426" s="56"/>
      <c r="C426"/>
      <c r="F426" s="114"/>
      <c r="I426" s="57"/>
    </row>
    <row r="427" spans="1:9" x14ac:dyDescent="0.2">
      <c r="A427" s="211" t="s">
        <v>742</v>
      </c>
      <c r="B427" s="29">
        <f>'Design Converter'!E106</f>
        <v>1</v>
      </c>
      <c r="C427" t="s">
        <v>0</v>
      </c>
      <c r="D427" s="29">
        <f>'Design Converter'!F106</f>
        <v>1</v>
      </c>
      <c r="E427" t="s">
        <v>0</v>
      </c>
      <c r="F427" s="114" t="s">
        <v>740</v>
      </c>
      <c r="I427" s="57"/>
    </row>
    <row r="428" spans="1:9" x14ac:dyDescent="0.2">
      <c r="A428" s="211" t="s">
        <v>669</v>
      </c>
      <c r="B428" s="70">
        <f>'Design Converter'!E107/1000000000</f>
        <v>0</v>
      </c>
      <c r="C428" t="s">
        <v>163</v>
      </c>
      <c r="D428" s="70">
        <f>'Design Converter'!F107/1000000000</f>
        <v>2E-8</v>
      </c>
      <c r="E428" t="s">
        <v>163</v>
      </c>
      <c r="F428" t="s">
        <v>112</v>
      </c>
      <c r="I428" s="57"/>
    </row>
    <row r="429" spans="1:9" x14ac:dyDescent="0.2">
      <c r="A429" s="211" t="s">
        <v>670</v>
      </c>
      <c r="B429" s="70">
        <v>4.0000000000000001E-8</v>
      </c>
      <c r="C429" t="s">
        <v>161</v>
      </c>
      <c r="D429" s="70">
        <v>4.0000000000000001E-8</v>
      </c>
      <c r="E429" t="s">
        <v>161</v>
      </c>
      <c r="F429" t="s">
        <v>108</v>
      </c>
      <c r="I429" s="57"/>
    </row>
    <row r="430" spans="1:9" x14ac:dyDescent="0.2">
      <c r="A430" s="211" t="s">
        <v>838</v>
      </c>
      <c r="B430" s="29">
        <f>'Design Converter'!E108</f>
        <v>60</v>
      </c>
      <c r="C430" s="114" t="s">
        <v>237</v>
      </c>
      <c r="D430" s="29">
        <f>'Design Converter'!F108</f>
        <v>60</v>
      </c>
      <c r="E430" s="114" t="s">
        <v>237</v>
      </c>
      <c r="F430" t="s">
        <v>105</v>
      </c>
      <c r="I430" s="57"/>
    </row>
    <row r="431" spans="1:9" x14ac:dyDescent="0.2">
      <c r="A431" s="211"/>
      <c r="B431" s="29"/>
      <c r="C431" s="114"/>
      <c r="D431" s="29"/>
      <c r="E431" s="114"/>
      <c r="I431" s="57"/>
    </row>
    <row r="432" spans="1:9" x14ac:dyDescent="0.2">
      <c r="A432" s="211"/>
      <c r="B432" s="114"/>
      <c r="C432" s="114"/>
      <c r="D432" s="114"/>
      <c r="E432" s="114"/>
      <c r="I432" s="57"/>
    </row>
    <row r="433" spans="1:9" x14ac:dyDescent="0.2">
      <c r="A433" s="66" t="s">
        <v>711</v>
      </c>
      <c r="B433" s="2" t="s">
        <v>729</v>
      </c>
      <c r="C433"/>
      <c r="D433" s="2" t="s">
        <v>730</v>
      </c>
      <c r="I433" s="57"/>
    </row>
    <row r="434" spans="1:9" x14ac:dyDescent="0.2">
      <c r="A434" s="211" t="s">
        <v>733</v>
      </c>
      <c r="B434" s="29">
        <f>'Design Converter'!E112/1000</f>
        <v>4.2000000000000006E-3</v>
      </c>
      <c r="C434" s="213" t="s">
        <v>118</v>
      </c>
      <c r="D434" s="29">
        <f>'Design Converter'!F112/1000</f>
        <v>4.2000000000000006E-3</v>
      </c>
      <c r="E434" s="213" t="s">
        <v>118</v>
      </c>
      <c r="F434" s="114" t="s">
        <v>713</v>
      </c>
      <c r="I434" s="57"/>
    </row>
    <row r="435" spans="1:9" x14ac:dyDescent="0.2">
      <c r="A435" s="56" t="s">
        <v>84</v>
      </c>
      <c r="B435" s="312">
        <f>4000/1000000</f>
        <v>4.0000000000000001E-3</v>
      </c>
      <c r="C435" s="114" t="s">
        <v>350</v>
      </c>
      <c r="E435" s="114"/>
      <c r="F435" s="114" t="s">
        <v>527</v>
      </c>
      <c r="I435" s="57"/>
    </row>
    <row r="436" spans="1:9" x14ac:dyDescent="0.2">
      <c r="A436" s="211" t="s">
        <v>130</v>
      </c>
      <c r="B436" s="70">
        <f>'Design Converter'!E113/1000000000</f>
        <v>2.7E-8</v>
      </c>
      <c r="C436" t="s">
        <v>163</v>
      </c>
      <c r="D436" s="70">
        <f>'Design Converter'!F113/1000000000</f>
        <v>2.7E-8</v>
      </c>
      <c r="E436" t="s">
        <v>163</v>
      </c>
      <c r="F436" s="114" t="s">
        <v>714</v>
      </c>
      <c r="I436" s="57"/>
    </row>
    <row r="437" spans="1:9" x14ac:dyDescent="0.2">
      <c r="A437" s="211" t="s">
        <v>734</v>
      </c>
      <c r="B437" s="70">
        <f>'Design Converter'!E114/1000000000</f>
        <v>6.2000000000000001E-9</v>
      </c>
      <c r="C437" t="s">
        <v>163</v>
      </c>
      <c r="D437" s="70">
        <f>'Design Converter'!F114/1000000000</f>
        <v>6.2000000000000001E-9</v>
      </c>
      <c r="E437" t="s">
        <v>163</v>
      </c>
      <c r="F437" t="s">
        <v>129</v>
      </c>
      <c r="I437" s="57"/>
    </row>
    <row r="438" spans="1:9" x14ac:dyDescent="0.2">
      <c r="A438" s="211" t="s">
        <v>735</v>
      </c>
      <c r="B438" s="70">
        <f>'Design Converter'!E115/1000000000</f>
        <v>6.2000000000000001E-9</v>
      </c>
      <c r="C438" t="s">
        <v>163</v>
      </c>
      <c r="D438" s="70">
        <f>'Design Converter'!F115/1000000000</f>
        <v>6.2000000000000001E-9</v>
      </c>
      <c r="E438" t="s">
        <v>163</v>
      </c>
      <c r="I438" s="57"/>
    </row>
    <row r="439" spans="1:9" x14ac:dyDescent="0.2">
      <c r="A439" s="211" t="s">
        <v>736</v>
      </c>
      <c r="B439" s="70">
        <f>'Design Converter'!E116</f>
        <v>4.7</v>
      </c>
      <c r="C439" s="213" t="s">
        <v>118</v>
      </c>
      <c r="D439" s="70">
        <f>'Design Converter'!F116</f>
        <v>4.7</v>
      </c>
      <c r="E439" s="213" t="s">
        <v>118</v>
      </c>
      <c r="F439" t="s">
        <v>102</v>
      </c>
      <c r="I439" s="57"/>
    </row>
    <row r="440" spans="1:9" x14ac:dyDescent="0.2">
      <c r="A440" s="211" t="s">
        <v>737</v>
      </c>
      <c r="B440" s="29">
        <f>'Design Converter'!E117</f>
        <v>80</v>
      </c>
      <c r="C440" t="s">
        <v>70</v>
      </c>
      <c r="D440" s="29">
        <f>'Design Converter'!F117</f>
        <v>80</v>
      </c>
      <c r="E440" t="s">
        <v>70</v>
      </c>
      <c r="F440" s="114" t="s">
        <v>715</v>
      </c>
      <c r="I440" s="57"/>
    </row>
    <row r="441" spans="1:9" x14ac:dyDescent="0.2">
      <c r="A441" s="211" t="s">
        <v>738</v>
      </c>
      <c r="B441" s="29">
        <f>'Design Converter'!E118</f>
        <v>2.2999999999999998</v>
      </c>
      <c r="C441" t="s">
        <v>0</v>
      </c>
      <c r="D441" s="29">
        <f>'Design Converter'!F118</f>
        <v>2.2999999999999998</v>
      </c>
      <c r="E441" t="s">
        <v>0</v>
      </c>
      <c r="F441" s="114" t="s">
        <v>716</v>
      </c>
      <c r="I441" s="57"/>
    </row>
    <row r="442" spans="1:9" x14ac:dyDescent="0.2">
      <c r="A442" s="211" t="s">
        <v>739</v>
      </c>
      <c r="B442" s="383">
        <f>Vth_Q3+Iin_Vinnom/Gfs_Q3</f>
        <v>2.4152631578947368</v>
      </c>
      <c r="C442" t="s">
        <v>0</v>
      </c>
      <c r="D442" s="383">
        <f>Vth_Q4+Iin_Vinnom/Gfs_Q4</f>
        <v>2.4152631578947368</v>
      </c>
      <c r="E442" t="s">
        <v>0</v>
      </c>
      <c r="F442" s="114" t="s">
        <v>717</v>
      </c>
      <c r="I442" s="57"/>
    </row>
    <row r="443" spans="1:9" x14ac:dyDescent="0.2">
      <c r="E443" s="2"/>
      <c r="I443" s="57"/>
    </row>
    <row r="444" spans="1:9" x14ac:dyDescent="0.2">
      <c r="A444" s="211" t="s">
        <v>741</v>
      </c>
      <c r="B444" s="29">
        <f>'Design Converter'!E119</f>
        <v>1</v>
      </c>
      <c r="C444" t="s">
        <v>0</v>
      </c>
      <c r="D444" s="29">
        <f>'Design Converter'!F119</f>
        <v>1</v>
      </c>
      <c r="E444" t="s">
        <v>0</v>
      </c>
      <c r="F444" s="114" t="s">
        <v>528</v>
      </c>
      <c r="I444" s="57"/>
    </row>
    <row r="445" spans="1:9" x14ac:dyDescent="0.2">
      <c r="A445" s="56" t="s">
        <v>77</v>
      </c>
      <c r="B445" s="70">
        <f>'Design Converter'!E120/1000000000</f>
        <v>2E-8</v>
      </c>
      <c r="C445" t="s">
        <v>163</v>
      </c>
      <c r="D445" s="70">
        <f>'Design Converter'!F120/1000000000</f>
        <v>0</v>
      </c>
      <c r="E445" t="s">
        <v>163</v>
      </c>
      <c r="F445" t="s">
        <v>112</v>
      </c>
      <c r="I445" s="57"/>
    </row>
    <row r="446" spans="1:9" x14ac:dyDescent="0.2">
      <c r="A446" s="56" t="s">
        <v>78</v>
      </c>
      <c r="B446" s="70">
        <v>4.0000000000000001E-8</v>
      </c>
      <c r="C446" t="s">
        <v>161</v>
      </c>
      <c r="D446" s="70">
        <v>4.0000000000000001E-8</v>
      </c>
      <c r="E446" t="s">
        <v>161</v>
      </c>
      <c r="F446" t="s">
        <v>108</v>
      </c>
      <c r="I446" s="57"/>
    </row>
    <row r="447" spans="1:9" x14ac:dyDescent="0.2">
      <c r="A447" s="211" t="s">
        <v>839</v>
      </c>
      <c r="B447" s="29">
        <f>'Design Converter'!E121</f>
        <v>60</v>
      </c>
      <c r="C447" s="114" t="s">
        <v>237</v>
      </c>
      <c r="D447" s="29">
        <f>'Design Converter'!F121</f>
        <v>60</v>
      </c>
      <c r="E447" s="114" t="s">
        <v>237</v>
      </c>
      <c r="F447" t="s">
        <v>105</v>
      </c>
      <c r="I447" s="57"/>
    </row>
    <row r="448" spans="1:9" x14ac:dyDescent="0.2">
      <c r="A448" s="211"/>
      <c r="B448" s="29"/>
      <c r="C448" s="114"/>
      <c r="D448" s="29"/>
      <c r="E448" s="114"/>
      <c r="I448" s="57"/>
    </row>
    <row r="449" spans="1:9" x14ac:dyDescent="0.2">
      <c r="A449" s="66" t="s">
        <v>710</v>
      </c>
      <c r="B449" s="488" t="s">
        <v>709</v>
      </c>
      <c r="D449" s="488" t="s">
        <v>708</v>
      </c>
      <c r="I449" s="57"/>
    </row>
    <row r="450" spans="1:9" x14ac:dyDescent="0.2">
      <c r="A450" s="56" t="s">
        <v>228</v>
      </c>
      <c r="B450" s="29">
        <f>'Design Converter'!E124</f>
        <v>0</v>
      </c>
      <c r="C450" t="s">
        <v>0</v>
      </c>
      <c r="D450" s="29">
        <f>'Design Converter'!F124</f>
        <v>0</v>
      </c>
      <c r="E450" t="s">
        <v>0</v>
      </c>
      <c r="F450" t="s">
        <v>231</v>
      </c>
      <c r="I450" s="57"/>
    </row>
    <row r="451" spans="1:9" x14ac:dyDescent="0.2">
      <c r="A451" s="56" t="s">
        <v>229</v>
      </c>
      <c r="B451" s="70">
        <f>'Design Converter'!E125/1000000000</f>
        <v>0</v>
      </c>
      <c r="C451" t="s">
        <v>163</v>
      </c>
      <c r="D451" s="70">
        <f>'Design Converter'!F125/1000000000</f>
        <v>0</v>
      </c>
      <c r="E451" t="s">
        <v>163</v>
      </c>
      <c r="F451" t="s">
        <v>232</v>
      </c>
      <c r="I451" s="57"/>
    </row>
    <row r="452" spans="1:9" x14ac:dyDescent="0.2">
      <c r="A452" s="56" t="s">
        <v>230</v>
      </c>
      <c r="B452" s="29">
        <v>0</v>
      </c>
      <c r="C452" t="s">
        <v>2</v>
      </c>
      <c r="D452" s="29">
        <v>0</v>
      </c>
      <c r="E452" t="s">
        <v>2</v>
      </c>
      <c r="F452" t="s">
        <v>233</v>
      </c>
      <c r="I452" s="57"/>
    </row>
    <row r="453" spans="1:9" x14ac:dyDescent="0.2">
      <c r="A453" s="56"/>
      <c r="C453"/>
      <c r="I453" s="57"/>
    </row>
    <row r="454" spans="1:9" x14ac:dyDescent="0.2">
      <c r="A454" s="66" t="s">
        <v>119</v>
      </c>
      <c r="C454"/>
      <c r="I454" s="57"/>
    </row>
    <row r="455" spans="1:9" x14ac:dyDescent="0.2">
      <c r="A455" s="211" t="s">
        <v>645</v>
      </c>
      <c r="B455" s="29">
        <v>30.5</v>
      </c>
      <c r="C455" s="114" t="s">
        <v>237</v>
      </c>
      <c r="D455" s="114"/>
      <c r="E455" s="114"/>
      <c r="F455" t="s">
        <v>649</v>
      </c>
      <c r="I455" s="57"/>
    </row>
    <row r="456" spans="1:9" x14ac:dyDescent="0.2">
      <c r="A456" s="66" t="s">
        <v>81</v>
      </c>
      <c r="C456"/>
      <c r="I456" s="57"/>
    </row>
    <row r="457" spans="1:9" x14ac:dyDescent="0.2">
      <c r="A457" s="211" t="s">
        <v>63</v>
      </c>
      <c r="C457"/>
      <c r="I457" s="57"/>
    </row>
    <row r="458" spans="1:9" x14ac:dyDescent="0.2">
      <c r="A458" s="56" t="s">
        <v>91</v>
      </c>
      <c r="B458" s="67">
        <f>(Qgd_Q1+Qgs_Q1/2)*(RdsonDRT+Rgate1)/(Vdd-Vsp_Q1)</f>
        <v>1.1417821782178218E-8</v>
      </c>
      <c r="C458" t="s">
        <v>161</v>
      </c>
      <c r="D458" s="67">
        <f>(Qgd_Q4+Qgs_Q4/2)*(RdsonDRT+Rgate4)/(Vdd-Vsp_Q4)</f>
        <v>1.1339819894420868E-8</v>
      </c>
      <c r="E458" t="s">
        <v>161</v>
      </c>
      <c r="I458" s="57"/>
    </row>
    <row r="459" spans="1:9" x14ac:dyDescent="0.2">
      <c r="A459" s="56" t="s">
        <v>92</v>
      </c>
      <c r="B459" s="67">
        <f>(Qgd_Q1+Qgs_Q1/2)*(RdsonDRT2+Rgate1)/(Vsp_Q1)</f>
        <v>2.1636734693877553E-8</v>
      </c>
      <c r="C459" t="s">
        <v>161</v>
      </c>
      <c r="D459" s="67">
        <f>(Qgd_Q4+Qgs_Q4/2)*(RdsonDRT2+Rgate4)/(Vsp_Q4)</f>
        <v>2.1947918936587494E-8</v>
      </c>
      <c r="E459" t="s">
        <v>161</v>
      </c>
      <c r="I459" s="57"/>
    </row>
    <row r="460" spans="1:9" x14ac:dyDescent="0.2">
      <c r="A460" s="56"/>
      <c r="C460"/>
      <c r="I460" s="57"/>
    </row>
    <row r="461" spans="1:9" x14ac:dyDescent="0.2">
      <c r="A461" s="66" t="s">
        <v>539</v>
      </c>
      <c r="B461" s="2" t="s">
        <v>8</v>
      </c>
      <c r="C461" s="2" t="s">
        <v>80</v>
      </c>
      <c r="I461" s="57"/>
    </row>
    <row r="462" spans="1:9" x14ac:dyDescent="0.2">
      <c r="A462" s="58" t="s">
        <v>117</v>
      </c>
      <c r="B462" s="3" t="e">
        <f>#REF!</f>
        <v>#REF!</v>
      </c>
      <c r="C462" s="3" t="s">
        <v>118</v>
      </c>
      <c r="I462" s="57"/>
    </row>
    <row r="463" spans="1:9" x14ac:dyDescent="0.2">
      <c r="A463" s="58" t="s">
        <v>121</v>
      </c>
      <c r="B463" s="42" t="e">
        <f>B462*ThetaJaCtrl</f>
        <v>#REF!</v>
      </c>
      <c r="C463" s="114" t="s">
        <v>278</v>
      </c>
      <c r="I463" s="57"/>
    </row>
    <row r="464" spans="1:9" x14ac:dyDescent="0.2">
      <c r="A464" s="58" t="s">
        <v>242</v>
      </c>
      <c r="B464" s="42">
        <f>(Qg_Q1+Qg_Q2)*Fsw+Iq</f>
        <v>3.5400000000000001E-2</v>
      </c>
      <c r="C464" t="s">
        <v>2</v>
      </c>
      <c r="I464" s="57"/>
    </row>
    <row r="465" spans="1:9" x14ac:dyDescent="0.2">
      <c r="A465" s="58" t="s">
        <v>243</v>
      </c>
      <c r="B465">
        <f>Qrr_Q2*Fsw</f>
        <v>1.2E-2</v>
      </c>
      <c r="C465" t="s">
        <v>2</v>
      </c>
      <c r="I465" s="57"/>
    </row>
    <row r="466" spans="1:9" x14ac:dyDescent="0.2">
      <c r="A466" s="58" t="s">
        <v>244</v>
      </c>
      <c r="B466" t="e">
        <f>C466/Vin</f>
        <v>#NAME?</v>
      </c>
      <c r="C466" t="e">
        <f>Deadtime*Fsw*(Ipp/2)*(Vsd_Q1+Vsd_Q2)</f>
        <v>#NAME?</v>
      </c>
      <c r="I466" s="57"/>
    </row>
    <row r="467" spans="1:9" x14ac:dyDescent="0.2">
      <c r="A467" s="58" t="s">
        <v>246</v>
      </c>
      <c r="B467" t="e">
        <f>SUM(B464:B466)</f>
        <v>#NAME?</v>
      </c>
      <c r="C467" t="s">
        <v>2</v>
      </c>
      <c r="I467" s="57"/>
    </row>
    <row r="468" spans="1:9" x14ac:dyDescent="0.2">
      <c r="A468" s="56"/>
      <c r="I468" s="57"/>
    </row>
    <row r="469" spans="1:9" x14ac:dyDescent="0.2">
      <c r="A469" s="66" t="s">
        <v>580</v>
      </c>
      <c r="I469" s="57"/>
    </row>
    <row r="470" spans="1:9" x14ac:dyDescent="0.2">
      <c r="A470" s="56" t="s">
        <v>116</v>
      </c>
      <c r="I470" s="57"/>
    </row>
    <row r="471" spans="1:9" ht="13.5" thickBot="1" x14ac:dyDescent="0.25">
      <c r="A471" s="60" t="s">
        <v>117</v>
      </c>
      <c r="B471" s="61"/>
      <c r="C471" s="298"/>
      <c r="D471" s="61"/>
      <c r="E471" s="61"/>
      <c r="F471" s="61"/>
      <c r="G471" s="61"/>
      <c r="H471" s="61"/>
      <c r="I471" s="62"/>
    </row>
    <row r="472" spans="1:9" x14ac:dyDescent="0.2">
      <c r="A472" s="1"/>
      <c r="B472" s="1"/>
      <c r="C472" s="1"/>
    </row>
    <row r="473" spans="1:9" ht="21.75" customHeight="1" thickBot="1" x14ac:dyDescent="0.3">
      <c r="A473" s="90" t="s">
        <v>238</v>
      </c>
    </row>
    <row r="474" spans="1:9" x14ac:dyDescent="0.2">
      <c r="A474" s="91" t="str">
        <f>"RC1 = "&amp;'Design Converter'!E90&amp;"kΩ"</f>
        <v>RC1 = 100kΩ</v>
      </c>
      <c r="B474" s="63" t="str">
        <f>'Design Converter'!E90&amp;"kΩ"</f>
        <v>100kΩ</v>
      </c>
      <c r="C474" s="297"/>
      <c r="D474" s="63"/>
      <c r="E474" s="63"/>
      <c r="F474" s="63"/>
      <c r="G474" s="63"/>
      <c r="H474" s="63"/>
      <c r="I474" s="64"/>
    </row>
    <row r="475" spans="1:9" x14ac:dyDescent="0.2">
      <c r="A475" s="56" t="str">
        <f>"RUV1 = "&amp;'Design Converter'!E67&amp;"kΩ"</f>
        <v>RUV1 = N/AkΩ</v>
      </c>
      <c r="B475" t="str">
        <f>'Design Converter'!E67&amp;"kΩ"</f>
        <v>N/AkΩ</v>
      </c>
      <c r="I475" s="57"/>
    </row>
    <row r="476" spans="1:9" x14ac:dyDescent="0.2">
      <c r="A476" s="56" t="str">
        <f>"RUV2 = "&amp;'Design Converter'!E68&amp;"kΩ"</f>
        <v>RUV2 = N/AkΩ</v>
      </c>
      <c r="B476" t="str">
        <f>'Design Converter'!E68&amp;"kΩ"</f>
        <v>N/AkΩ</v>
      </c>
      <c r="I476" s="57"/>
    </row>
    <row r="477" spans="1:9" x14ac:dyDescent="0.2">
      <c r="A477" s="56" t="str">
        <f>"LF = "&amp;'Design Converter'!E18&amp;"µH"</f>
        <v>LF = 2.64µH</v>
      </c>
      <c r="B477" t="str">
        <f>'Design Converter'!E18&amp;"µH"</f>
        <v>2.64µH</v>
      </c>
      <c r="I477" s="57"/>
    </row>
    <row r="478" spans="1:9" x14ac:dyDescent="0.2">
      <c r="A478" s="56" t="str">
        <f>"Rdcr = "&amp;Rdcr*1000&amp;"mΩ"</f>
        <v>Rdcr = 5.8mΩ</v>
      </c>
      <c r="B478" t="str">
        <f>Rdcr*1000&amp;"mΩ"</f>
        <v>5.8mΩ</v>
      </c>
      <c r="I478" s="57"/>
    </row>
    <row r="479" spans="1:9" x14ac:dyDescent="0.2">
      <c r="A479" s="56" t="str">
        <f>"Rs = "&amp;'Design Converter'!E32&amp;"mΩ"</f>
        <v>Rs = 2.5mΩ</v>
      </c>
      <c r="B479" t="str">
        <f>'Design Converter'!E32&amp;"mΩ"</f>
        <v>2.5mΩ</v>
      </c>
      <c r="I479" s="57"/>
    </row>
    <row r="480" spans="1:9" x14ac:dyDescent="0.2">
      <c r="A480" s="56" t="e">
        <f>"Rshunt = "&amp;ROUND('Design Converter'!#REF!,1)&amp;"mΩ"</f>
        <v>#REF!</v>
      </c>
      <c r="B480" t="e">
        <f>ROUND('Design Converter'!#REF!,1)&amp;"mΩ"</f>
        <v>#REF!</v>
      </c>
      <c r="I480" s="57"/>
    </row>
    <row r="481" spans="1:9" x14ac:dyDescent="0.2">
      <c r="A481" s="56"/>
      <c r="I481" s="57"/>
    </row>
    <row r="482" spans="1:9" x14ac:dyDescent="0.2">
      <c r="A482" s="56" t="str">
        <f>"VOUT = "&amp;'Design Converter'!E10&amp;"V"</f>
        <v>VOUT = 14.6V</v>
      </c>
      <c r="B482" t="str">
        <f>'Design Converter'!E10&amp;"V"</f>
        <v>14.6V</v>
      </c>
      <c r="I482" s="57"/>
    </row>
    <row r="483" spans="1:9" x14ac:dyDescent="0.2">
      <c r="A483" s="56"/>
      <c r="I483" s="57"/>
    </row>
    <row r="484" spans="1:9" x14ac:dyDescent="0.2">
      <c r="A484" s="56" t="str">
        <f>"COUT = "&amp;'Design Converter'!$E$45&amp;"µF"</f>
        <v>COUT = 100µF</v>
      </c>
      <c r="B484" t="str">
        <f>'Design Converter'!$E$45&amp;"µF"</f>
        <v>100µF</v>
      </c>
      <c r="I484" s="57"/>
    </row>
    <row r="485" spans="1:9" x14ac:dyDescent="0.2">
      <c r="A485" s="211" t="s">
        <v>336</v>
      </c>
      <c r="B485" t="str">
        <f>"22µF"</f>
        <v>22µF</v>
      </c>
      <c r="I485" s="57"/>
    </row>
    <row r="486" spans="1:9" x14ac:dyDescent="0.2">
      <c r="A486" s="211" t="s">
        <v>337</v>
      </c>
      <c r="B486" s="116" t="str">
        <f>ROUNDUP(Cout*1000000/22,0)&amp;" x"</f>
        <v>5 x</v>
      </c>
      <c r="C486" s="299"/>
      <c r="I486" s="57"/>
    </row>
    <row r="487" spans="1:9" x14ac:dyDescent="0.2">
      <c r="A487" s="56"/>
      <c r="I487" s="57"/>
    </row>
    <row r="488" spans="1:9" x14ac:dyDescent="0.2">
      <c r="A488" s="56" t="s">
        <v>263</v>
      </c>
      <c r="B488" t="str">
        <f>Cin*1000000&amp;"µF"</f>
        <v>100µF</v>
      </c>
      <c r="I488" s="57"/>
    </row>
    <row r="489" spans="1:9" x14ac:dyDescent="0.2">
      <c r="A489" s="211" t="s">
        <v>335</v>
      </c>
      <c r="B489" t="str">
        <f>"10µF"</f>
        <v>10µF</v>
      </c>
      <c r="I489" s="57"/>
    </row>
    <row r="490" spans="1:9" x14ac:dyDescent="0.2">
      <c r="A490" s="211" t="s">
        <v>334</v>
      </c>
      <c r="B490" s="116" t="str">
        <f>ROUNDUP(Cin*1000000/10,0)&amp;" x"</f>
        <v>10 x</v>
      </c>
      <c r="C490" s="299"/>
      <c r="I490" s="57"/>
    </row>
    <row r="491" spans="1:9" x14ac:dyDescent="0.2">
      <c r="A491" s="211"/>
      <c r="B491" s="116"/>
      <c r="C491" s="299"/>
      <c r="I491" s="57"/>
    </row>
    <row r="492" spans="1:9" x14ac:dyDescent="0.2">
      <c r="A492" s="56" t="str">
        <f>"RC1 = "&amp;Rcea1_u/1000&amp;"kΩ"</f>
        <v>RC1 = 100kΩ</v>
      </c>
      <c r="B492" t="str">
        <f>ROUND(Rcea1_u/1000,2)&amp;"kΩ"</f>
        <v>100kΩ</v>
      </c>
      <c r="I492" s="57"/>
    </row>
    <row r="493" spans="1:9" x14ac:dyDescent="0.2">
      <c r="A493" s="56" t="str">
        <f>"CC1 = "&amp;Cc1ea_u*10^9&amp;"nF"</f>
        <v>CC1 = 100nF</v>
      </c>
      <c r="B493" t="str">
        <f>Cc1ea_u*10^9&amp;"nF"</f>
        <v>100nF</v>
      </c>
      <c r="I493" s="57"/>
    </row>
    <row r="494" spans="1:9" x14ac:dyDescent="0.2">
      <c r="A494" s="56" t="str">
        <f>"CC2 = "&amp;IF(Cc2ea_u&gt;0, Cc2ea_u*10^12&amp;"pF", "OPEN")</f>
        <v>CC2 = 1000pF</v>
      </c>
      <c r="B494" t="str">
        <f>IF(Cc2ea_u&gt;0, ROUND(Cc2ea_u*10^12,1)&amp;"pF", "N/A")</f>
        <v>1000pF</v>
      </c>
      <c r="I494" s="57"/>
    </row>
    <row r="495" spans="1:9" x14ac:dyDescent="0.2">
      <c r="A495" s="56"/>
      <c r="I495" s="57"/>
    </row>
    <row r="496" spans="1:9" x14ac:dyDescent="0.2">
      <c r="A496" s="56" t="str">
        <f>"gm = "&amp;$B$284*1000&amp;"mS"</f>
        <v>gm = 0.6mS</v>
      </c>
      <c r="B496" t="str">
        <f>$B$284*1000&amp;"mS"</f>
        <v>0.6mS</v>
      </c>
      <c r="I496" s="57"/>
    </row>
    <row r="497" spans="1:9" x14ac:dyDescent="0.2">
      <c r="A497" s="56" t="str">
        <f>"RoEA = "&amp;RoEA/1000000&amp;"MΩ"</f>
        <v>RoEA = 10MΩ</v>
      </c>
      <c r="B497" t="str">
        <f>RoEA/1000000&amp;"MΩ"</f>
        <v>10MΩ</v>
      </c>
      <c r="I497" s="57"/>
    </row>
    <row r="498" spans="1:9" x14ac:dyDescent="0.2">
      <c r="A498" s="56" t="str">
        <f>"GBW = "&amp;GBW&amp;"MHz"</f>
        <v>GBW = 13MHz</v>
      </c>
      <c r="B498" t="str">
        <f>GBW&amp;"MHz"</f>
        <v>13MHz</v>
      </c>
      <c r="I498" s="57"/>
    </row>
    <row r="499" spans="1:9" x14ac:dyDescent="0.2">
      <c r="A499" s="56"/>
      <c r="I499" s="57"/>
    </row>
    <row r="500" spans="1:9" x14ac:dyDescent="0.2">
      <c r="A500" s="56" t="str">
        <f>"Cslope = "&amp;Cslope&amp;"pF"</f>
        <v>Cslope = 0.0000000000025pF</v>
      </c>
      <c r="B500" t="str">
        <f>ROUND(Cslope*1,0)&amp;"pF"</f>
        <v>0pF</v>
      </c>
      <c r="I500" s="57"/>
    </row>
    <row r="501" spans="1:9" x14ac:dyDescent="0.2">
      <c r="A501" s="56"/>
      <c r="I501" s="57"/>
    </row>
    <row r="502" spans="1:9" x14ac:dyDescent="0.2">
      <c r="A502" s="56" t="str">
        <f>"RFB1 = "&amp;'Design Converter'!E78&amp;"kΩ"</f>
        <v>RFB1 = 82kΩ</v>
      </c>
      <c r="B502" t="str">
        <f>'Design Converter'!E78&amp;"kΩ"</f>
        <v>82kΩ</v>
      </c>
      <c r="I502" s="57"/>
    </row>
    <row r="503" spans="1:9" x14ac:dyDescent="0.2">
      <c r="A503" s="56" t="str">
        <f>"RFB2 = "&amp;'Design Converter'!E79&amp;"kΩ"</f>
        <v>RFB2 = 6.04kΩ</v>
      </c>
      <c r="B503" t="str">
        <f>Rfb2_u/1000&amp;"kΩ"</f>
        <v>6.04kΩ</v>
      </c>
      <c r="I503" s="57"/>
    </row>
    <row r="504" spans="1:9" x14ac:dyDescent="0.2">
      <c r="A504" s="56" t="str">
        <f>"Crossover Frequency = "&amp;ROUND(D504,1)&amp;" kHz"</f>
        <v>Crossover Frequency = 16.3 kHz</v>
      </c>
      <c r="B504" t="str">
        <f>ROUND(D504,1)&amp;" kHz"</f>
        <v>16.3 kHz</v>
      </c>
      <c r="D504" s="115">
        <f>IF(OR(BODEPLOT_TYPE=FALSE,IMONLIM_select &lt; 2), 'Stability Calculations'!R4, 'IL Stability Calculations'!U4)</f>
        <v>16.3125</v>
      </c>
      <c r="I504" s="57"/>
    </row>
    <row r="505" spans="1:9" x14ac:dyDescent="0.2">
      <c r="A505" s="56" t="str">
        <f>"Phase Margin = "&amp;ROUND(D505,0)&amp;"°"</f>
        <v>Phase Margin = 0°</v>
      </c>
      <c r="B505" s="116" t="str">
        <f>ROUND(D505,0)&amp;"°"</f>
        <v>0°</v>
      </c>
      <c r="C505" s="299"/>
      <c r="D505" s="115">
        <f>IF(OR(BODEPLOT_TYPE=FALSE,IMONLIM_select &lt; 2), 'Stability Calculations'!R5, 'IL Stability Calculations'!U5)</f>
        <v>0.39315454548278694</v>
      </c>
      <c r="E505" s="213"/>
      <c r="I505" s="57"/>
    </row>
    <row r="506" spans="1:9" x14ac:dyDescent="0.2">
      <c r="A506" s="56"/>
      <c r="B506" s="116"/>
      <c r="C506" s="299"/>
      <c r="E506" s="213"/>
      <c r="I506" s="57"/>
    </row>
    <row r="507" spans="1:9" x14ac:dyDescent="0.2">
      <c r="A507" s="66" t="s">
        <v>837</v>
      </c>
      <c r="B507" s="496" t="str">
        <f>IF(PLOT_TYPE=1, "", ROUND('Efficiency vs VIN Calculations'!BO9,1)&amp;"%")</f>
        <v/>
      </c>
      <c r="C507" s="299"/>
      <c r="E507" s="213"/>
      <c r="I507" s="57"/>
    </row>
    <row r="508" spans="1:9" x14ac:dyDescent="0.2">
      <c r="A508" s="66" t="s">
        <v>835</v>
      </c>
      <c r="B508" s="496" t="str">
        <f>IF(PLOT_TYPE=1, ROUND('Efficiency vs Load Calculations'!BO109,1)&amp;"%", ROUND('Efficiency vs VIN Calculations'!BO209,1)&amp;"%")</f>
        <v>94.4%</v>
      </c>
      <c r="C508" s="299"/>
      <c r="E508" s="213"/>
      <c r="I508" s="57"/>
    </row>
    <row r="509" spans="1:9" x14ac:dyDescent="0.2">
      <c r="A509" s="66" t="s">
        <v>836</v>
      </c>
      <c r="B509" s="496" t="str">
        <f>IF(PLOT_TYPE=1, ROUND('Efficiency vs Load Calculations'!BO59,1)&amp;"%", ROUND('Efficiency vs VIN Calculations'!BO109,1)&amp;"%")</f>
        <v>94.6%</v>
      </c>
      <c r="C509" s="299"/>
      <c r="E509" s="213"/>
      <c r="I509" s="57"/>
    </row>
    <row r="510" spans="1:9" x14ac:dyDescent="0.2">
      <c r="A510" s="56"/>
      <c r="B510" s="116"/>
      <c r="C510" s="299"/>
      <c r="E510" s="213"/>
      <c r="I510" s="57"/>
    </row>
    <row r="511" spans="1:9" x14ac:dyDescent="0.2">
      <c r="A511" s="56" t="str">
        <f>"CDITH = "&amp;Cdither*1000000000&amp;"nF"</f>
        <v>CDITH = 0nF</v>
      </c>
      <c r="B511" t="str">
        <f>Cdither*1000000000&amp;"nF"</f>
        <v>0nF</v>
      </c>
      <c r="I511" s="57"/>
    </row>
    <row r="512" spans="1:9" x14ac:dyDescent="0.2">
      <c r="A512" s="56" t="str">
        <f>"Rs = "&amp;Rs&amp;"Ω"</f>
        <v>Rs = 0.0025Ω</v>
      </c>
      <c r="B512" t="str">
        <f>'Standard Value Calculator'!R6&amp;"Ω"</f>
        <v>10Ω</v>
      </c>
      <c r="I512" s="57"/>
    </row>
    <row r="513" spans="1:9" x14ac:dyDescent="0.2">
      <c r="A513" s="56" t="s">
        <v>222</v>
      </c>
      <c r="B513" t="str">
        <f>'Standard Value Calculator'!R13&amp;"mΩ"</f>
        <v>2.61mΩ</v>
      </c>
      <c r="I513" s="57"/>
    </row>
    <row r="514" spans="1:9" x14ac:dyDescent="0.2">
      <c r="A514" s="56" t="s">
        <v>197</v>
      </c>
      <c r="B514" t="str">
        <f>'Standard Value Calculator'!R6&amp;"mΩ"</f>
        <v>10mΩ</v>
      </c>
      <c r="I514" s="57"/>
    </row>
    <row r="515" spans="1:9" x14ac:dyDescent="0.2">
      <c r="A515" s="56" t="str">
        <f>"Rshunt = "&amp;ROUND(Rshunt,1)&amp;"mΩ"</f>
        <v>Rshunt = 10mΩ</v>
      </c>
      <c r="B515" t="str">
        <f>IF(Rshunt="0", "N/A",ROUND(Rshunt,1)&amp;"mΩ")</f>
        <v>10mΩ</v>
      </c>
      <c r="I515" s="57"/>
    </row>
    <row r="516" spans="1:9" x14ac:dyDescent="0.2">
      <c r="A516" s="56"/>
      <c r="I516" s="57"/>
    </row>
    <row r="517" spans="1:9" x14ac:dyDescent="0.2">
      <c r="A517" s="211" t="s">
        <v>330</v>
      </c>
      <c r="B517" s="114" t="s">
        <v>331</v>
      </c>
      <c r="I517" s="57"/>
    </row>
    <row r="518" spans="1:9" x14ac:dyDescent="0.2">
      <c r="A518" s="211"/>
      <c r="B518" s="114"/>
      <c r="I518" s="57"/>
    </row>
    <row r="519" spans="1:9" x14ac:dyDescent="0.2">
      <c r="A519" s="211"/>
      <c r="B519" s="114"/>
      <c r="I519" s="57"/>
    </row>
    <row r="520" spans="1:9" x14ac:dyDescent="0.2">
      <c r="A520" s="211" t="s">
        <v>351</v>
      </c>
      <c r="B520" t="str">
        <f>'Standard Value Calculator'!R4/1000&amp;"kΩ"</f>
        <v>52.3kΩ</v>
      </c>
      <c r="I520" s="57"/>
    </row>
    <row r="521" spans="1:9" x14ac:dyDescent="0.2">
      <c r="A521" s="56" t="s">
        <v>181</v>
      </c>
      <c r="B521" t="str">
        <f>'Standard Value Calculator'!B4*1000000000 &amp;"nF"</f>
        <v>2700nF</v>
      </c>
      <c r="I521" s="57"/>
    </row>
    <row r="522" spans="1:9" x14ac:dyDescent="0.2">
      <c r="A522" s="211" t="s">
        <v>419</v>
      </c>
      <c r="B522" s="114" t="str">
        <f>Cslope &amp;"pF"</f>
        <v>0.0000000000025pF</v>
      </c>
      <c r="I522" s="57"/>
    </row>
    <row r="523" spans="1:9" x14ac:dyDescent="0.2">
      <c r="A523" s="56" t="s">
        <v>223</v>
      </c>
      <c r="B523" t="str">
        <f>IF(B105="y","","|")</f>
        <v>|</v>
      </c>
      <c r="I523" s="57"/>
    </row>
    <row r="524" spans="1:9" x14ac:dyDescent="0.2">
      <c r="A524" s="56" t="s">
        <v>239</v>
      </c>
      <c r="B524" t="str">
        <f>'Design Converter'!$E$11&amp;"A"</f>
        <v>12A</v>
      </c>
      <c r="I524" s="57"/>
    </row>
    <row r="525" spans="1:9" x14ac:dyDescent="0.2">
      <c r="A525" s="56" t="s">
        <v>173</v>
      </c>
      <c r="B525" t="str">
        <f>VIN_nom&amp;"V"</f>
        <v>20V</v>
      </c>
      <c r="I525" s="57"/>
    </row>
    <row r="526" spans="1:9" x14ac:dyDescent="0.2">
      <c r="A526" s="211" t="s">
        <v>852</v>
      </c>
      <c r="B526" t="str">
        <f>VIN_min&amp;"V"&amp;"..."&amp;VIN_max&amp;"V"</f>
        <v>20V...48V</v>
      </c>
      <c r="I526" s="57"/>
    </row>
    <row r="527" spans="1:9" x14ac:dyDescent="0.2">
      <c r="A527" s="56"/>
      <c r="I527" s="57"/>
    </row>
    <row r="528" spans="1:9" x14ac:dyDescent="0.2">
      <c r="A528" s="56" t="s">
        <v>247</v>
      </c>
      <c r="B528">
        <v>12</v>
      </c>
      <c r="I528" s="57"/>
    </row>
    <row r="529" spans="1:9" x14ac:dyDescent="0.2">
      <c r="A529" s="56" t="s">
        <v>248</v>
      </c>
      <c r="B529">
        <v>18</v>
      </c>
      <c r="I529" s="57"/>
    </row>
    <row r="530" spans="1:9" x14ac:dyDescent="0.2">
      <c r="A530" s="56" t="s">
        <v>249</v>
      </c>
      <c r="B530">
        <v>14</v>
      </c>
      <c r="I530" s="57"/>
    </row>
    <row r="531" spans="1:9" x14ac:dyDescent="0.2">
      <c r="A531" s="56" t="s">
        <v>250</v>
      </c>
      <c r="B531">
        <v>6</v>
      </c>
      <c r="I531" s="57"/>
    </row>
    <row r="532" spans="1:9" x14ac:dyDescent="0.2">
      <c r="A532" s="56" t="s">
        <v>251</v>
      </c>
      <c r="B532">
        <v>7</v>
      </c>
      <c r="I532" s="57"/>
    </row>
    <row r="533" spans="1:9" x14ac:dyDescent="0.2">
      <c r="A533" s="56" t="s">
        <v>252</v>
      </c>
      <c r="B533">
        <v>11</v>
      </c>
      <c r="I533" s="57"/>
    </row>
    <row r="534" spans="1:9" x14ac:dyDescent="0.2">
      <c r="A534" s="56" t="s">
        <v>253</v>
      </c>
      <c r="B534">
        <v>1</v>
      </c>
      <c r="I534" s="57"/>
    </row>
    <row r="535" spans="1:9" x14ac:dyDescent="0.2">
      <c r="A535" s="56" t="s">
        <v>254</v>
      </c>
      <c r="B535">
        <v>5</v>
      </c>
      <c r="I535" s="57"/>
    </row>
    <row r="536" spans="1:9" x14ac:dyDescent="0.2">
      <c r="A536" s="56" t="s">
        <v>255</v>
      </c>
      <c r="B536">
        <v>13</v>
      </c>
      <c r="I536" s="57"/>
    </row>
    <row r="537" spans="1:9" x14ac:dyDescent="0.2">
      <c r="A537" s="56" t="s">
        <v>256</v>
      </c>
      <c r="B537">
        <v>4</v>
      </c>
      <c r="I537" s="57"/>
    </row>
    <row r="538" spans="1:9" x14ac:dyDescent="0.2">
      <c r="A538" s="56" t="s">
        <v>257</v>
      </c>
      <c r="B538">
        <v>3</v>
      </c>
      <c r="I538" s="57"/>
    </row>
    <row r="539" spans="1:9" x14ac:dyDescent="0.2">
      <c r="A539" s="56" t="s">
        <v>258</v>
      </c>
      <c r="B539">
        <v>24</v>
      </c>
      <c r="I539" s="57"/>
    </row>
    <row r="540" spans="1:9" x14ac:dyDescent="0.2">
      <c r="A540" s="56" t="s">
        <v>259</v>
      </c>
      <c r="B540">
        <v>23</v>
      </c>
      <c r="I540" s="57"/>
    </row>
    <row r="541" spans="1:9" x14ac:dyDescent="0.2">
      <c r="A541" s="56" t="s">
        <v>260</v>
      </c>
      <c r="B541">
        <v>15</v>
      </c>
      <c r="I541" s="57"/>
    </row>
    <row r="542" spans="1:9" x14ac:dyDescent="0.2">
      <c r="A542" s="56" t="s">
        <v>261</v>
      </c>
      <c r="B542">
        <v>16</v>
      </c>
      <c r="I542" s="57"/>
    </row>
    <row r="543" spans="1:9" x14ac:dyDescent="0.2">
      <c r="A543" s="56" t="s">
        <v>262</v>
      </c>
      <c r="B543">
        <v>17</v>
      </c>
      <c r="I543" s="57"/>
    </row>
    <row r="544" spans="1:9" x14ac:dyDescent="0.2">
      <c r="A544" t="s">
        <v>274</v>
      </c>
      <c r="B544">
        <v>2</v>
      </c>
      <c r="I544" s="57"/>
    </row>
    <row r="545" spans="1:9" x14ac:dyDescent="0.2">
      <c r="A545" s="56" t="s">
        <v>273</v>
      </c>
      <c r="B545">
        <v>8</v>
      </c>
      <c r="I545" s="57"/>
    </row>
    <row r="546" spans="1:9" ht="13.5" thickBot="1" x14ac:dyDescent="0.25">
      <c r="A546" s="60"/>
      <c r="B546" s="61"/>
      <c r="C546" s="298"/>
      <c r="D546" s="61"/>
      <c r="E546" s="61"/>
      <c r="F546" s="61"/>
      <c r="G546" s="61"/>
      <c r="H546" s="61"/>
      <c r="I546" s="62"/>
    </row>
  </sheetData>
  <sheetProtection selectLockedCells="1"/>
  <mergeCells count="2">
    <mergeCell ref="E5:H5"/>
    <mergeCell ref="A1:I1"/>
  </mergeCells>
  <phoneticPr fontId="10" type="noConversion"/>
  <pageMargins left="0.75" right="0.75" top="1" bottom="1" header="0.5" footer="0.5"/>
  <pageSetup orientation="portrait" r:id="rId1"/>
  <headerFooter alignWithMargins="0"/>
  <ignoredErrors>
    <ignoredError sqref="B336" 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22E50-1EB4-4F98-BD5E-35B0B5DD5FE3}">
  <sheetPr codeName="Sheet17"/>
  <dimension ref="A1:AE102"/>
  <sheetViews>
    <sheetView topLeftCell="N59" workbookViewId="0">
      <selection activeCell="W83" sqref="W83:Z102"/>
    </sheetView>
  </sheetViews>
  <sheetFormatPr defaultRowHeight="12.75" x14ac:dyDescent="0.2"/>
  <cols>
    <col min="9" max="9" width="12.42578125" bestFit="1" customWidth="1"/>
  </cols>
  <sheetData>
    <row r="1" spans="1:17" ht="13.5" thickBot="1" x14ac:dyDescent="0.25">
      <c r="A1" s="210" t="s">
        <v>363</v>
      </c>
      <c r="B1" s="12">
        <f>'Design Converter'!E7</f>
        <v>20</v>
      </c>
      <c r="C1" s="63" t="s">
        <v>0</v>
      </c>
      <c r="D1" s="117" t="s">
        <v>364</v>
      </c>
    </row>
    <row r="2" spans="1:17" ht="13.5" thickBot="1" x14ac:dyDescent="0.25">
      <c r="A2" s="211"/>
      <c r="B2" s="12">
        <f>'Design Converter'!E8</f>
        <v>20</v>
      </c>
      <c r="C2" t="s">
        <v>0</v>
      </c>
      <c r="D2" t="s">
        <v>14</v>
      </c>
    </row>
    <row r="3" spans="1:17" x14ac:dyDescent="0.2">
      <c r="A3" s="211" t="s">
        <v>362</v>
      </c>
      <c r="B3" s="12">
        <f>'Design Converter'!E9</f>
        <v>48</v>
      </c>
      <c r="C3" t="s">
        <v>0</v>
      </c>
      <c r="D3" s="114" t="s">
        <v>365</v>
      </c>
      <c r="I3" s="114" t="s">
        <v>4</v>
      </c>
      <c r="J3" s="114" t="s">
        <v>402</v>
      </c>
      <c r="K3" s="114" t="s">
        <v>904</v>
      </c>
      <c r="L3" s="114" t="s">
        <v>903</v>
      </c>
      <c r="N3" s="114" t="s">
        <v>1036</v>
      </c>
    </row>
    <row r="4" spans="1:17" x14ac:dyDescent="0.2">
      <c r="H4">
        <v>0</v>
      </c>
      <c r="I4">
        <f>Vin</f>
        <v>20</v>
      </c>
      <c r="J4">
        <f t="shared" ref="J4:J24" si="0">Pin/I4</f>
        <v>9.2210526315789458</v>
      </c>
      <c r="K4">
        <f t="shared" ref="K4:K24" si="1">IF(I4&gt;Vout, (Vout+Iout*(Rdcr+Rs))/(I4+Iout*Rs), (Vout-I4+J4*(Rdcr))/(Vout-J4*Rs))</f>
        <v>0.73387918122815776</v>
      </c>
      <c r="L4">
        <f t="shared" ref="L4:L24" si="2">IF(I4&gt;Vout, (I4-Vout)*K4/(Fsw*Lf),I4*K4/(Lf*Fsw))</f>
        <v>2.5018608450959925</v>
      </c>
      <c r="M4">
        <f t="shared" ref="M4:M24" si="3">(I4-Vout)*K4/(Fsw*Lf)</f>
        <v>2.5018608450959925</v>
      </c>
      <c r="N4">
        <f t="shared" ref="N4:N24" si="4">IF(I4&gt;Vout, L4/Iout, L4/J4)</f>
        <v>0.20848840375799937</v>
      </c>
      <c r="Q4" t="str">
        <f t="shared" ref="Q4:Q24" si="5">IF(I4&gt;Vout, "BUCK", "BOOST")</f>
        <v>BUCK</v>
      </c>
    </row>
    <row r="5" spans="1:17" x14ac:dyDescent="0.2">
      <c r="H5">
        <v>1</v>
      </c>
      <c r="I5">
        <f t="shared" ref="I5:I24" si="6">VIN_min+(VIN_max-VIN_min)/20*H5</f>
        <v>21.4</v>
      </c>
      <c r="J5">
        <f t="shared" si="0"/>
        <v>8.6178061977373339</v>
      </c>
      <c r="K5">
        <f t="shared" si="1"/>
        <v>0.68593560429304712</v>
      </c>
      <c r="L5">
        <f t="shared" si="2"/>
        <v>2.9446730487327772</v>
      </c>
      <c r="M5">
        <f t="shared" si="3"/>
        <v>2.9446730487327772</v>
      </c>
      <c r="N5">
        <f t="shared" si="4"/>
        <v>0.24538942072773143</v>
      </c>
      <c r="Q5" t="str">
        <f t="shared" si="5"/>
        <v>BUCK</v>
      </c>
    </row>
    <row r="6" spans="1:17" x14ac:dyDescent="0.2">
      <c r="H6">
        <v>2</v>
      </c>
      <c r="I6">
        <f t="shared" si="6"/>
        <v>22.8</v>
      </c>
      <c r="J6">
        <f t="shared" si="0"/>
        <v>8.0886426592797775</v>
      </c>
      <c r="K6">
        <f t="shared" si="1"/>
        <v>0.64387209811651336</v>
      </c>
      <c r="L6">
        <f t="shared" si="2"/>
        <v>3.3331762655021526</v>
      </c>
      <c r="M6">
        <f t="shared" si="3"/>
        <v>3.3331762655021526</v>
      </c>
      <c r="N6">
        <f t="shared" si="4"/>
        <v>0.27776468879184607</v>
      </c>
      <c r="Q6" t="str">
        <f t="shared" si="5"/>
        <v>BUCK</v>
      </c>
    </row>
    <row r="7" spans="1:17" x14ac:dyDescent="0.2">
      <c r="H7">
        <v>3</v>
      </c>
      <c r="I7">
        <f t="shared" si="6"/>
        <v>24.2</v>
      </c>
      <c r="J7">
        <f t="shared" si="0"/>
        <v>7.6207046541974766</v>
      </c>
      <c r="K7">
        <f t="shared" si="1"/>
        <v>0.60666941807676433</v>
      </c>
      <c r="L7">
        <f t="shared" si="2"/>
        <v>3.6767843519803893</v>
      </c>
      <c r="M7">
        <f t="shared" si="3"/>
        <v>3.6767843519803893</v>
      </c>
      <c r="N7">
        <f t="shared" si="4"/>
        <v>0.30639869599836578</v>
      </c>
      <c r="Q7" t="str">
        <f t="shared" si="5"/>
        <v>BUCK</v>
      </c>
    </row>
    <row r="8" spans="1:17" x14ac:dyDescent="0.2">
      <c r="H8">
        <v>4</v>
      </c>
      <c r="I8">
        <f t="shared" si="6"/>
        <v>25.6</v>
      </c>
      <c r="J8">
        <f t="shared" si="0"/>
        <v>7.2039473684210513</v>
      </c>
      <c r="K8">
        <f t="shared" si="1"/>
        <v>0.57353101833788522</v>
      </c>
      <c r="L8">
        <f t="shared" si="2"/>
        <v>3.9828542940130922</v>
      </c>
      <c r="M8">
        <f t="shared" si="3"/>
        <v>3.9828542940130922</v>
      </c>
      <c r="N8">
        <f t="shared" si="4"/>
        <v>0.33190452450109104</v>
      </c>
      <c r="Q8" t="str">
        <f t="shared" si="5"/>
        <v>BUCK</v>
      </c>
    </row>
    <row r="9" spans="1:17" x14ac:dyDescent="0.2">
      <c r="H9">
        <v>5</v>
      </c>
      <c r="I9">
        <f t="shared" si="6"/>
        <v>27</v>
      </c>
      <c r="J9">
        <f t="shared" si="0"/>
        <v>6.8304093567251458</v>
      </c>
      <c r="K9">
        <f t="shared" si="1"/>
        <v>0.54382537920828711</v>
      </c>
      <c r="L9">
        <f t="shared" si="2"/>
        <v>4.2572188776406312</v>
      </c>
      <c r="M9">
        <f t="shared" si="3"/>
        <v>4.2572188776406312</v>
      </c>
      <c r="N9">
        <f t="shared" si="4"/>
        <v>0.35476823980338595</v>
      </c>
      <c r="Q9" t="str">
        <f t="shared" si="5"/>
        <v>BUCK</v>
      </c>
    </row>
    <row r="10" spans="1:17" x14ac:dyDescent="0.2">
      <c r="H10">
        <v>6</v>
      </c>
      <c r="I10">
        <f t="shared" si="6"/>
        <v>28.4</v>
      </c>
      <c r="J10">
        <f t="shared" si="0"/>
        <v>6.4936990363232026</v>
      </c>
      <c r="K10">
        <f t="shared" si="1"/>
        <v>0.51704537460429123</v>
      </c>
      <c r="L10">
        <f t="shared" si="2"/>
        <v>4.504561975719203</v>
      </c>
      <c r="M10">
        <f t="shared" si="3"/>
        <v>4.504561975719203</v>
      </c>
      <c r="N10">
        <f t="shared" si="4"/>
        <v>0.3753801646432669</v>
      </c>
      <c r="Q10" t="str">
        <f t="shared" si="5"/>
        <v>BUCK</v>
      </c>
    </row>
    <row r="11" spans="1:17" x14ac:dyDescent="0.2">
      <c r="H11">
        <v>7</v>
      </c>
      <c r="I11">
        <f t="shared" si="6"/>
        <v>29.799999999999997</v>
      </c>
      <c r="J11">
        <f t="shared" si="0"/>
        <v>6.1886259272341926</v>
      </c>
      <c r="K11">
        <f t="shared" si="1"/>
        <v>0.49277908146161586</v>
      </c>
      <c r="L11">
        <f t="shared" si="2"/>
        <v>4.7286881554397473</v>
      </c>
      <c r="M11">
        <f t="shared" si="3"/>
        <v>4.7286881554397473</v>
      </c>
      <c r="N11">
        <f t="shared" si="4"/>
        <v>0.39405734628664563</v>
      </c>
      <c r="Q11" t="str">
        <f t="shared" si="5"/>
        <v>BUCK</v>
      </c>
    </row>
    <row r="12" spans="1:17" x14ac:dyDescent="0.2">
      <c r="H12">
        <v>8</v>
      </c>
      <c r="I12">
        <f t="shared" si="6"/>
        <v>31.2</v>
      </c>
      <c r="J12">
        <f t="shared" si="0"/>
        <v>5.9109311740890682</v>
      </c>
      <c r="K12">
        <f t="shared" si="1"/>
        <v>0.47068844060198528</v>
      </c>
      <c r="L12">
        <f t="shared" si="2"/>
        <v>4.9327197689349473</v>
      </c>
      <c r="M12">
        <f t="shared" si="3"/>
        <v>4.9327197689349473</v>
      </c>
      <c r="N12">
        <f t="shared" si="4"/>
        <v>0.41105998074457895</v>
      </c>
      <c r="Q12" t="str">
        <f t="shared" si="5"/>
        <v>BUCK</v>
      </c>
    </row>
    <row r="13" spans="1:17" x14ac:dyDescent="0.2">
      <c r="H13">
        <v>9</v>
      </c>
      <c r="I13">
        <f t="shared" si="6"/>
        <v>32.6</v>
      </c>
      <c r="J13">
        <f t="shared" si="0"/>
        <v>5.6570875040361637</v>
      </c>
      <c r="K13">
        <f t="shared" si="1"/>
        <v>0.45049341097149859</v>
      </c>
      <c r="L13">
        <f t="shared" si="2"/>
        <v>5.1192433064943019</v>
      </c>
      <c r="M13">
        <f t="shared" si="3"/>
        <v>5.1192433064943019</v>
      </c>
      <c r="N13">
        <f t="shared" si="4"/>
        <v>0.42660360887452514</v>
      </c>
      <c r="Q13" t="str">
        <f t="shared" si="5"/>
        <v>BUCK</v>
      </c>
    </row>
    <row r="14" spans="1:17" x14ac:dyDescent="0.2">
      <c r="H14">
        <v>10</v>
      </c>
      <c r="I14">
        <f t="shared" si="6"/>
        <v>34</v>
      </c>
      <c r="J14">
        <f t="shared" si="0"/>
        <v>5.4241486068111451</v>
      </c>
      <c r="K14">
        <f t="shared" si="1"/>
        <v>0.43196003526300325</v>
      </c>
      <c r="L14">
        <f t="shared" si="2"/>
        <v>5.2904196238019328</v>
      </c>
      <c r="M14">
        <f t="shared" si="3"/>
        <v>5.2904196238019328</v>
      </c>
      <c r="N14">
        <f t="shared" si="4"/>
        <v>0.44086830198349442</v>
      </c>
      <c r="Q14" t="str">
        <f t="shared" si="5"/>
        <v>BUCK</v>
      </c>
    </row>
    <row r="15" spans="1:17" x14ac:dyDescent="0.2">
      <c r="H15">
        <v>11</v>
      </c>
      <c r="I15">
        <f t="shared" si="6"/>
        <v>35.4</v>
      </c>
      <c r="J15">
        <f t="shared" si="0"/>
        <v>5.2096342551293482</v>
      </c>
      <c r="K15">
        <f t="shared" si="1"/>
        <v>0.41489133502681347</v>
      </c>
      <c r="L15">
        <f t="shared" si="2"/>
        <v>5.4480680357056306</v>
      </c>
      <c r="M15">
        <f t="shared" si="3"/>
        <v>5.4480680357056306</v>
      </c>
      <c r="N15">
        <f t="shared" si="4"/>
        <v>0.4540056696421359</v>
      </c>
      <c r="Q15" t="str">
        <f t="shared" si="5"/>
        <v>BUCK</v>
      </c>
    </row>
    <row r="16" spans="1:17" x14ac:dyDescent="0.2">
      <c r="H16">
        <v>12</v>
      </c>
      <c r="I16">
        <f t="shared" si="6"/>
        <v>36.799999999999997</v>
      </c>
      <c r="J16">
        <f t="shared" si="0"/>
        <v>5.0114416475972536</v>
      </c>
      <c r="K16">
        <f t="shared" si="1"/>
        <v>0.39912028237849584</v>
      </c>
      <c r="L16">
        <f t="shared" si="2"/>
        <v>5.5937312303046758</v>
      </c>
      <c r="M16">
        <f t="shared" si="3"/>
        <v>5.5937312303046758</v>
      </c>
      <c r="N16">
        <f t="shared" si="4"/>
        <v>0.46614426919205632</v>
      </c>
      <c r="Q16" t="str">
        <f t="shared" si="5"/>
        <v>BUCK</v>
      </c>
    </row>
    <row r="17" spans="8:17" x14ac:dyDescent="0.2">
      <c r="H17">
        <v>13</v>
      </c>
      <c r="I17">
        <f t="shared" si="6"/>
        <v>38.200000000000003</v>
      </c>
      <c r="J17">
        <f t="shared" si="0"/>
        <v>4.8277762468999716</v>
      </c>
      <c r="K17">
        <f t="shared" si="1"/>
        <v>0.38450431598221291</v>
      </c>
      <c r="L17">
        <f t="shared" si="2"/>
        <v>5.7287259199370109</v>
      </c>
      <c r="M17">
        <f t="shared" si="3"/>
        <v>5.7287259199370109</v>
      </c>
      <c r="N17">
        <f t="shared" si="4"/>
        <v>0.47739382666141755</v>
      </c>
      <c r="Q17" t="str">
        <f t="shared" si="5"/>
        <v>BUCK</v>
      </c>
    </row>
    <row r="18" spans="8:17" x14ac:dyDescent="0.2">
      <c r="H18">
        <v>14</v>
      </c>
      <c r="I18">
        <f t="shared" si="6"/>
        <v>39.599999999999994</v>
      </c>
      <c r="J18">
        <f t="shared" si="0"/>
        <v>4.6570972886762361</v>
      </c>
      <c r="K18">
        <f t="shared" si="1"/>
        <v>0.370921019429725</v>
      </c>
      <c r="L18">
        <f t="shared" si="2"/>
        <v>5.8541827561509612</v>
      </c>
      <c r="M18">
        <f t="shared" si="3"/>
        <v>5.8541827561509612</v>
      </c>
      <c r="N18">
        <f t="shared" si="4"/>
        <v>0.48784856301258012</v>
      </c>
      <c r="Q18" t="str">
        <f t="shared" si="5"/>
        <v>BUCK</v>
      </c>
    </row>
    <row r="19" spans="8:17" x14ac:dyDescent="0.2">
      <c r="H19">
        <v>15</v>
      </c>
      <c r="I19">
        <f t="shared" si="6"/>
        <v>41</v>
      </c>
      <c r="J19">
        <f t="shared" si="0"/>
        <v>4.4980744544287541</v>
      </c>
      <c r="K19">
        <f t="shared" si="1"/>
        <v>0.35826468437728493</v>
      </c>
      <c r="L19">
        <f t="shared" si="2"/>
        <v>5.9710780729547484</v>
      </c>
      <c r="M19">
        <f t="shared" si="3"/>
        <v>5.9710780729547484</v>
      </c>
      <c r="N19">
        <f t="shared" si="4"/>
        <v>0.4975898394128957</v>
      </c>
      <c r="Q19" t="str">
        <f t="shared" si="5"/>
        <v>BUCK</v>
      </c>
    </row>
    <row r="20" spans="8:17" x14ac:dyDescent="0.2">
      <c r="H20">
        <v>16</v>
      </c>
      <c r="I20">
        <f t="shared" si="6"/>
        <v>42.4</v>
      </c>
      <c r="J20">
        <f t="shared" si="0"/>
        <v>4.3495531281032767</v>
      </c>
      <c r="K20">
        <f t="shared" si="1"/>
        <v>0.34644355408908789</v>
      </c>
      <c r="L20">
        <f t="shared" si="2"/>
        <v>6.0802593457554561</v>
      </c>
      <c r="M20">
        <f t="shared" si="3"/>
        <v>6.0802593457554561</v>
      </c>
      <c r="N20">
        <f t="shared" si="4"/>
        <v>0.50668827881295464</v>
      </c>
      <c r="Q20" t="str">
        <f t="shared" si="5"/>
        <v>BUCK</v>
      </c>
    </row>
    <row r="21" spans="8:17" x14ac:dyDescent="0.2">
      <c r="H21">
        <v>17</v>
      </c>
      <c r="I21">
        <f t="shared" si="6"/>
        <v>43.8</v>
      </c>
      <c r="J21">
        <f t="shared" si="0"/>
        <v>4.2105263157894735</v>
      </c>
      <c r="K21">
        <f t="shared" si="1"/>
        <v>0.33537759525439198</v>
      </c>
      <c r="L21">
        <f t="shared" si="2"/>
        <v>6.1824657711036899</v>
      </c>
      <c r="M21">
        <f t="shared" si="3"/>
        <v>6.1824657711036899</v>
      </c>
      <c r="N21">
        <f t="shared" si="4"/>
        <v>0.51520548092530749</v>
      </c>
      <c r="Q21" t="str">
        <f t="shared" si="5"/>
        <v>BUCK</v>
      </c>
    </row>
    <row r="22" spans="8:17" x14ac:dyDescent="0.2">
      <c r="H22">
        <v>18</v>
      </c>
      <c r="I22">
        <f t="shared" si="6"/>
        <v>45.2</v>
      </c>
      <c r="J22">
        <f t="shared" si="0"/>
        <v>4.0801117838844894</v>
      </c>
      <c r="K22">
        <f t="shared" si="1"/>
        <v>0.32499668361706829</v>
      </c>
      <c r="L22">
        <f t="shared" si="2"/>
        <v>6.2783450244206378</v>
      </c>
      <c r="M22">
        <f t="shared" si="3"/>
        <v>6.2783450244206378</v>
      </c>
      <c r="N22">
        <f t="shared" si="4"/>
        <v>0.52319541870171982</v>
      </c>
      <c r="Q22" t="str">
        <f t="shared" si="5"/>
        <v>BUCK</v>
      </c>
    </row>
    <row r="23" spans="8:17" x14ac:dyDescent="0.2">
      <c r="H23">
        <v>19</v>
      </c>
      <c r="I23">
        <f t="shared" si="6"/>
        <v>46.599999999999994</v>
      </c>
      <c r="J23">
        <f t="shared" si="0"/>
        <v>3.9575333182742263</v>
      </c>
      <c r="K23">
        <f t="shared" si="1"/>
        <v>0.31523911644863822</v>
      </c>
      <c r="L23">
        <f t="shared" si="2"/>
        <v>6.3684669989623872</v>
      </c>
      <c r="M23">
        <f t="shared" si="3"/>
        <v>6.3684669989623872</v>
      </c>
      <c r="N23">
        <f t="shared" si="4"/>
        <v>0.53070558324686556</v>
      </c>
      <c r="Q23" t="str">
        <f t="shared" si="5"/>
        <v>BUCK</v>
      </c>
    </row>
    <row r="24" spans="8:17" x14ac:dyDescent="0.2">
      <c r="H24">
        <v>20</v>
      </c>
      <c r="I24">
        <f t="shared" si="6"/>
        <v>48</v>
      </c>
      <c r="J24">
        <f t="shared" si="0"/>
        <v>3.8421052631578942</v>
      </c>
      <c r="K24">
        <f t="shared" si="1"/>
        <v>0.30605038517593169</v>
      </c>
      <c r="L24">
        <f t="shared" si="2"/>
        <v>6.453335141967246</v>
      </c>
      <c r="M24">
        <f t="shared" si="3"/>
        <v>6.453335141967246</v>
      </c>
      <c r="N24">
        <f t="shared" si="4"/>
        <v>0.53777792849727046</v>
      </c>
      <c r="Q24" t="str">
        <f t="shared" si="5"/>
        <v>BUCK</v>
      </c>
    </row>
    <row r="28" spans="8:17" x14ac:dyDescent="0.2">
      <c r="H28" s="114" t="s">
        <v>4</v>
      </c>
      <c r="I28">
        <f>VIN_min</f>
        <v>20</v>
      </c>
    </row>
    <row r="29" spans="8:17" x14ac:dyDescent="0.2">
      <c r="I29" s="114" t="s">
        <v>60</v>
      </c>
      <c r="J29" s="114" t="s">
        <v>402</v>
      </c>
      <c r="K29" s="114" t="s">
        <v>904</v>
      </c>
      <c r="L29" s="114" t="s">
        <v>1038</v>
      </c>
      <c r="N29" s="114" t="s">
        <v>1037</v>
      </c>
      <c r="O29" s="114" t="s">
        <v>1039</v>
      </c>
    </row>
    <row r="30" spans="8:17" x14ac:dyDescent="0.2">
      <c r="H30">
        <v>0</v>
      </c>
      <c r="I30" s="602">
        <f>Lmin</f>
        <v>6.0833333333333337E-7</v>
      </c>
      <c r="J30">
        <f t="shared" ref="J30:J50" si="7">Pin/$I$28</f>
        <v>9.2210526315789458</v>
      </c>
      <c r="K30">
        <f t="shared" ref="K30:K50" si="8">IF($I$28&gt;Vout, (Vout+Iout*(Rdcr+Rs))/($I$28+Iout*Rs), (Vout-$I$28+J30*(Rdcr))/(Vout-J30*Rs))</f>
        <v>0.73387918122815776</v>
      </c>
      <c r="L30">
        <f t="shared" ref="L30:L50" si="9">IF($I$28&gt;Vout, ($I$28-Vout)*K30/(Fsw*I30),$I$28*K30/(I30*Fsw))</f>
        <v>10.857390626389183</v>
      </c>
      <c r="M30" s="602">
        <f t="shared" ref="M30:M50" si="10">($I$28-Vout)*K30/(Fsw*I30)</f>
        <v>10.857390626389183</v>
      </c>
      <c r="N30">
        <f t="shared" ref="N30:N50" si="11">IF($I$28&gt;Vout, L30/Iout, L30/J30)</f>
        <v>0.90478255219909853</v>
      </c>
      <c r="O30">
        <f t="shared" ref="O30:O50" si="12">IF($I$80&gt;Vout, L30/2+Iout, L30/2+J30)</f>
        <v>17.428695313194591</v>
      </c>
      <c r="Q30" t="str">
        <f t="shared" ref="Q30:Q50" si="13">IF(I30&gt;Vout, "BUCK", "BOOST")</f>
        <v>BOOST</v>
      </c>
    </row>
    <row r="31" spans="8:17" x14ac:dyDescent="0.2">
      <c r="H31">
        <v>1</v>
      </c>
      <c r="I31" s="602">
        <f t="shared" ref="I31:I50" si="14">Lmin+(Lmax-Lmin)/20*H5</f>
        <v>1.6195833333333334E-6</v>
      </c>
      <c r="J31">
        <f t="shared" si="7"/>
        <v>9.2210526315789458</v>
      </c>
      <c r="K31">
        <f t="shared" si="8"/>
        <v>0.73387918122815776</v>
      </c>
      <c r="L31">
        <f t="shared" si="9"/>
        <v>4.078155470678726</v>
      </c>
      <c r="M31" s="602">
        <f t="shared" si="10"/>
        <v>4.078155470678726</v>
      </c>
      <c r="N31">
        <f t="shared" si="11"/>
        <v>0.33984628922322718</v>
      </c>
      <c r="O31">
        <f t="shared" si="12"/>
        <v>14.039077735339363</v>
      </c>
      <c r="Q31" t="str">
        <f t="shared" si="13"/>
        <v>BOOST</v>
      </c>
    </row>
    <row r="32" spans="8:17" x14ac:dyDescent="0.2">
      <c r="H32">
        <v>2</v>
      </c>
      <c r="I32" s="602">
        <f t="shared" si="14"/>
        <v>2.6308333333333337E-6</v>
      </c>
      <c r="J32">
        <f t="shared" si="7"/>
        <v>9.2210526315789458</v>
      </c>
      <c r="K32">
        <f t="shared" si="8"/>
        <v>0.73387918122815776</v>
      </c>
      <c r="L32">
        <f t="shared" si="9"/>
        <v>2.5105781302705426</v>
      </c>
      <c r="M32" s="602">
        <f t="shared" si="10"/>
        <v>2.5105781302705426</v>
      </c>
      <c r="N32">
        <f t="shared" si="11"/>
        <v>0.20921484418921188</v>
      </c>
      <c r="O32">
        <f t="shared" si="12"/>
        <v>13.255289065135271</v>
      </c>
      <c r="Q32" t="str">
        <f t="shared" si="13"/>
        <v>BOOST</v>
      </c>
    </row>
    <row r="33" spans="8:17" x14ac:dyDescent="0.2">
      <c r="H33">
        <v>3</v>
      </c>
      <c r="I33" s="602">
        <f t="shared" si="14"/>
        <v>3.6420833333333335E-6</v>
      </c>
      <c r="J33">
        <f t="shared" si="7"/>
        <v>9.2210526315789458</v>
      </c>
      <c r="K33">
        <f t="shared" si="8"/>
        <v>0.73387918122815776</v>
      </c>
      <c r="L33">
        <f t="shared" si="9"/>
        <v>1.8134984915373766</v>
      </c>
      <c r="M33" s="602">
        <f t="shared" si="10"/>
        <v>1.8134984915373766</v>
      </c>
      <c r="N33">
        <f t="shared" si="11"/>
        <v>0.15112487429478139</v>
      </c>
      <c r="O33">
        <f t="shared" si="12"/>
        <v>12.906749245768689</v>
      </c>
      <c r="Q33" t="str">
        <f t="shared" si="13"/>
        <v>BOOST</v>
      </c>
    </row>
    <row r="34" spans="8:17" x14ac:dyDescent="0.2">
      <c r="H34">
        <v>4</v>
      </c>
      <c r="I34" s="602">
        <f t="shared" si="14"/>
        <v>4.6533333333333334E-6</v>
      </c>
      <c r="J34">
        <f t="shared" si="7"/>
        <v>9.2210526315789458</v>
      </c>
      <c r="K34">
        <f t="shared" si="8"/>
        <v>0.73387918122815776</v>
      </c>
      <c r="L34">
        <f t="shared" si="9"/>
        <v>1.4193938318882711</v>
      </c>
      <c r="M34" s="602">
        <f t="shared" si="10"/>
        <v>1.4193938318882711</v>
      </c>
      <c r="N34">
        <f t="shared" si="11"/>
        <v>0.11828281932402258</v>
      </c>
      <c r="O34">
        <f t="shared" si="12"/>
        <v>12.709696915944136</v>
      </c>
      <c r="Q34" t="str">
        <f t="shared" si="13"/>
        <v>BOOST</v>
      </c>
    </row>
    <row r="35" spans="8:17" x14ac:dyDescent="0.2">
      <c r="H35">
        <v>5</v>
      </c>
      <c r="I35" s="602">
        <f t="shared" si="14"/>
        <v>5.6645833333333332E-6</v>
      </c>
      <c r="J35">
        <f t="shared" si="7"/>
        <v>9.2210526315789458</v>
      </c>
      <c r="K35">
        <f t="shared" si="8"/>
        <v>0.73387918122815776</v>
      </c>
      <c r="L35">
        <f t="shared" si="9"/>
        <v>1.1660014942646715</v>
      </c>
      <c r="M35" s="602">
        <f t="shared" si="10"/>
        <v>1.1660014942646715</v>
      </c>
      <c r="N35">
        <f t="shared" si="11"/>
        <v>9.7166791188722623E-2</v>
      </c>
      <c r="O35">
        <f t="shared" si="12"/>
        <v>12.583000747132335</v>
      </c>
      <c r="Q35" t="str">
        <f t="shared" si="13"/>
        <v>BOOST</v>
      </c>
    </row>
    <row r="36" spans="8:17" x14ac:dyDescent="0.2">
      <c r="H36">
        <v>6</v>
      </c>
      <c r="I36" s="602">
        <f t="shared" si="14"/>
        <v>6.6758333333333339E-6</v>
      </c>
      <c r="J36">
        <f t="shared" si="7"/>
        <v>9.2210526315789458</v>
      </c>
      <c r="K36">
        <f t="shared" si="8"/>
        <v>0.73387918122815776</v>
      </c>
      <c r="L36">
        <f t="shared" si="9"/>
        <v>0.98937650196780724</v>
      </c>
      <c r="M36" s="602">
        <f t="shared" si="10"/>
        <v>0.98937650196780724</v>
      </c>
      <c r="N36">
        <f t="shared" si="11"/>
        <v>8.2448041830650604E-2</v>
      </c>
      <c r="O36">
        <f t="shared" si="12"/>
        <v>12.494688250983904</v>
      </c>
      <c r="Q36" t="str">
        <f t="shared" si="13"/>
        <v>BOOST</v>
      </c>
    </row>
    <row r="37" spans="8:17" x14ac:dyDescent="0.2">
      <c r="H37">
        <v>7</v>
      </c>
      <c r="I37" s="602">
        <f t="shared" si="14"/>
        <v>7.6870833333333346E-6</v>
      </c>
      <c r="J37">
        <f t="shared" si="7"/>
        <v>9.2210526315789458</v>
      </c>
      <c r="K37">
        <f t="shared" si="8"/>
        <v>0.73387918122815776</v>
      </c>
      <c r="L37">
        <f t="shared" si="9"/>
        <v>0.85922219711248349</v>
      </c>
      <c r="M37" s="602">
        <f t="shared" si="10"/>
        <v>0.85922219711248349</v>
      </c>
      <c r="N37">
        <f t="shared" si="11"/>
        <v>7.1601849759373629E-2</v>
      </c>
      <c r="O37">
        <f t="shared" si="12"/>
        <v>12.429611098556242</v>
      </c>
      <c r="Q37" t="str">
        <f t="shared" si="13"/>
        <v>BOOST</v>
      </c>
    </row>
    <row r="38" spans="8:17" x14ac:dyDescent="0.2">
      <c r="H38">
        <v>8</v>
      </c>
      <c r="I38" s="602">
        <f t="shared" si="14"/>
        <v>8.6983333333333345E-6</v>
      </c>
      <c r="J38">
        <f t="shared" si="7"/>
        <v>9.2210526315789458</v>
      </c>
      <c r="K38">
        <f t="shared" si="8"/>
        <v>0.73387918122815776</v>
      </c>
      <c r="L38">
        <f t="shared" si="9"/>
        <v>0.75933082556659359</v>
      </c>
      <c r="M38" s="602">
        <f t="shared" si="10"/>
        <v>0.75933082556659359</v>
      </c>
      <c r="N38">
        <f t="shared" si="11"/>
        <v>6.3277568797216133E-2</v>
      </c>
      <c r="O38">
        <f t="shared" si="12"/>
        <v>12.379665412783297</v>
      </c>
      <c r="Q38" t="str">
        <f t="shared" si="13"/>
        <v>BOOST</v>
      </c>
    </row>
    <row r="39" spans="8:17" x14ac:dyDescent="0.2">
      <c r="H39">
        <v>9</v>
      </c>
      <c r="I39" s="602">
        <f t="shared" si="14"/>
        <v>9.7095833333333343E-6</v>
      </c>
      <c r="J39">
        <f t="shared" si="7"/>
        <v>9.2210526315789458</v>
      </c>
      <c r="K39">
        <f t="shared" si="8"/>
        <v>0.73387918122815776</v>
      </c>
      <c r="L39">
        <f t="shared" si="9"/>
        <v>0.68024676284290475</v>
      </c>
      <c r="M39" s="602">
        <f t="shared" si="10"/>
        <v>0.68024676284290475</v>
      </c>
      <c r="N39">
        <f t="shared" si="11"/>
        <v>5.6687230236908727E-2</v>
      </c>
      <c r="O39">
        <f t="shared" si="12"/>
        <v>12.340123381421453</v>
      </c>
      <c r="Q39" t="str">
        <f t="shared" si="13"/>
        <v>BOOST</v>
      </c>
    </row>
    <row r="40" spans="8:17" x14ac:dyDescent="0.2">
      <c r="H40">
        <v>10</v>
      </c>
      <c r="I40" s="602">
        <f t="shared" si="14"/>
        <v>1.0720833333333334E-5</v>
      </c>
      <c r="J40">
        <f t="shared" si="7"/>
        <v>9.2210526315789458</v>
      </c>
      <c r="K40">
        <f t="shared" si="8"/>
        <v>0.73387918122815776</v>
      </c>
      <c r="L40">
        <f t="shared" si="9"/>
        <v>0.61608201766530157</v>
      </c>
      <c r="M40" s="602">
        <f t="shared" si="10"/>
        <v>0.61608201766530157</v>
      </c>
      <c r="N40">
        <f t="shared" si="11"/>
        <v>5.1340168138775129E-2</v>
      </c>
      <c r="O40">
        <f t="shared" si="12"/>
        <v>12.308041008832651</v>
      </c>
      <c r="Q40" t="str">
        <f t="shared" si="13"/>
        <v>BOOST</v>
      </c>
    </row>
    <row r="41" spans="8:17" x14ac:dyDescent="0.2">
      <c r="H41">
        <v>11</v>
      </c>
      <c r="I41" s="602">
        <f t="shared" si="14"/>
        <v>1.1732083333333334E-5</v>
      </c>
      <c r="J41">
        <f t="shared" si="7"/>
        <v>9.2210526315789458</v>
      </c>
      <c r="K41">
        <f t="shared" si="8"/>
        <v>0.73387918122815776</v>
      </c>
      <c r="L41">
        <f t="shared" si="9"/>
        <v>0.56297866656704232</v>
      </c>
      <c r="M41" s="602">
        <f t="shared" si="10"/>
        <v>0.56297866656704232</v>
      </c>
      <c r="N41">
        <f t="shared" si="11"/>
        <v>4.6914888880586862E-2</v>
      </c>
      <c r="O41">
        <f t="shared" si="12"/>
        <v>12.28148933328352</v>
      </c>
      <c r="Q41" t="str">
        <f t="shared" si="13"/>
        <v>BOOST</v>
      </c>
    </row>
    <row r="42" spans="8:17" x14ac:dyDescent="0.2">
      <c r="H42">
        <v>12</v>
      </c>
      <c r="I42" s="602">
        <f t="shared" si="14"/>
        <v>1.2743333333333336E-5</v>
      </c>
      <c r="J42">
        <f t="shared" si="7"/>
        <v>9.2210526315789458</v>
      </c>
      <c r="K42">
        <f t="shared" si="8"/>
        <v>0.73387918122815776</v>
      </c>
      <c r="L42">
        <f t="shared" si="9"/>
        <v>0.51830337151870931</v>
      </c>
      <c r="M42" s="602">
        <f t="shared" si="10"/>
        <v>0.51830337151870931</v>
      </c>
      <c r="N42">
        <f t="shared" si="11"/>
        <v>4.3191947626559112E-2</v>
      </c>
      <c r="O42">
        <f t="shared" si="12"/>
        <v>12.259151685759354</v>
      </c>
      <c r="Q42" t="str">
        <f t="shared" si="13"/>
        <v>BOOST</v>
      </c>
    </row>
    <row r="43" spans="8:17" x14ac:dyDescent="0.2">
      <c r="H43">
        <v>13</v>
      </c>
      <c r="I43" s="602">
        <f t="shared" si="14"/>
        <v>1.3754583333333335E-5</v>
      </c>
      <c r="J43">
        <f t="shared" si="7"/>
        <v>9.2210526315789458</v>
      </c>
      <c r="K43">
        <f t="shared" si="8"/>
        <v>0.73387918122815776</v>
      </c>
      <c r="L43">
        <f t="shared" si="9"/>
        <v>0.48019721651959069</v>
      </c>
      <c r="M43" s="602">
        <f t="shared" si="10"/>
        <v>0.48019721651959069</v>
      </c>
      <c r="N43">
        <f t="shared" si="11"/>
        <v>4.0016434709965888E-2</v>
      </c>
      <c r="O43">
        <f t="shared" si="12"/>
        <v>12.240098608259796</v>
      </c>
      <c r="Q43" t="str">
        <f t="shared" si="13"/>
        <v>BOOST</v>
      </c>
    </row>
    <row r="44" spans="8:17" x14ac:dyDescent="0.2">
      <c r="H44">
        <v>14</v>
      </c>
      <c r="I44" s="602">
        <f t="shared" si="14"/>
        <v>1.4765833333333335E-5</v>
      </c>
      <c r="J44">
        <f t="shared" si="7"/>
        <v>9.2210526315789458</v>
      </c>
      <c r="K44">
        <f t="shared" si="8"/>
        <v>0.73387918122815776</v>
      </c>
      <c r="L44">
        <f t="shared" si="9"/>
        <v>0.44731052301281699</v>
      </c>
      <c r="M44" s="602">
        <f t="shared" si="10"/>
        <v>0.44731052301281699</v>
      </c>
      <c r="N44">
        <f t="shared" si="11"/>
        <v>3.7275876917734749E-2</v>
      </c>
      <c r="O44">
        <f t="shared" si="12"/>
        <v>12.223655261506408</v>
      </c>
      <c r="Q44" t="str">
        <f t="shared" si="13"/>
        <v>BOOST</v>
      </c>
    </row>
    <row r="45" spans="8:17" x14ac:dyDescent="0.2">
      <c r="H45">
        <v>15</v>
      </c>
      <c r="I45" s="602">
        <f t="shared" si="14"/>
        <v>1.5777083333333335E-5</v>
      </c>
      <c r="J45">
        <f t="shared" si="7"/>
        <v>9.2210526315789458</v>
      </c>
      <c r="K45">
        <f t="shared" si="8"/>
        <v>0.73387918122815776</v>
      </c>
      <c r="L45">
        <f t="shared" si="9"/>
        <v>0.41863964913583013</v>
      </c>
      <c r="M45" s="602">
        <f t="shared" si="10"/>
        <v>0.41863964913583013</v>
      </c>
      <c r="N45">
        <f t="shared" si="11"/>
        <v>3.4886637427985846E-2</v>
      </c>
      <c r="O45">
        <f t="shared" si="12"/>
        <v>12.209319824567915</v>
      </c>
      <c r="Q45" t="str">
        <f t="shared" si="13"/>
        <v>BOOST</v>
      </c>
    </row>
    <row r="46" spans="8:17" x14ac:dyDescent="0.2">
      <c r="H46">
        <v>16</v>
      </c>
      <c r="I46" s="602">
        <f t="shared" si="14"/>
        <v>1.6788333333333333E-5</v>
      </c>
      <c r="J46">
        <f t="shared" si="7"/>
        <v>9.2210526315789458</v>
      </c>
      <c r="K46">
        <f t="shared" si="8"/>
        <v>0.73387918122815776</v>
      </c>
      <c r="L46">
        <f t="shared" si="9"/>
        <v>0.39342277163030398</v>
      </c>
      <c r="M46" s="602">
        <f t="shared" si="10"/>
        <v>0.39342277163030398</v>
      </c>
      <c r="N46">
        <f t="shared" si="11"/>
        <v>3.2785230969191996E-2</v>
      </c>
      <c r="O46">
        <f t="shared" si="12"/>
        <v>12.196711385815153</v>
      </c>
      <c r="Q46" t="str">
        <f t="shared" si="13"/>
        <v>BOOST</v>
      </c>
    </row>
    <row r="47" spans="8:17" x14ac:dyDescent="0.2">
      <c r="H47">
        <v>17</v>
      </c>
      <c r="I47" s="602">
        <f t="shared" si="14"/>
        <v>1.7799583333333335E-5</v>
      </c>
      <c r="J47">
        <f t="shared" si="7"/>
        <v>9.2210526315789458</v>
      </c>
      <c r="K47">
        <f t="shared" si="8"/>
        <v>0.73387918122815776</v>
      </c>
      <c r="L47">
        <f t="shared" si="9"/>
        <v>0.37107119348599471</v>
      </c>
      <c r="M47" s="602">
        <f t="shared" si="10"/>
        <v>0.37107119348599471</v>
      </c>
      <c r="N47">
        <f t="shared" si="11"/>
        <v>3.0922599457166227E-2</v>
      </c>
      <c r="O47">
        <f t="shared" si="12"/>
        <v>12.185535596742998</v>
      </c>
      <c r="Q47" t="str">
        <f t="shared" si="13"/>
        <v>BOOST</v>
      </c>
    </row>
    <row r="48" spans="8:17" x14ac:dyDescent="0.2">
      <c r="H48">
        <v>18</v>
      </c>
      <c r="I48" s="602">
        <f t="shared" si="14"/>
        <v>1.8810833333333333E-5</v>
      </c>
      <c r="J48">
        <f t="shared" si="7"/>
        <v>9.2210526315789458</v>
      </c>
      <c r="K48">
        <f t="shared" si="8"/>
        <v>0.73387918122815776</v>
      </c>
      <c r="L48">
        <f t="shared" si="9"/>
        <v>0.3511228085440174</v>
      </c>
      <c r="M48" s="602">
        <f t="shared" si="10"/>
        <v>0.3511228085440174</v>
      </c>
      <c r="N48">
        <f t="shared" si="11"/>
        <v>2.9260234045334784E-2</v>
      </c>
      <c r="O48">
        <f t="shared" si="12"/>
        <v>12.175561404272008</v>
      </c>
      <c r="Q48" t="str">
        <f t="shared" si="13"/>
        <v>BOOST</v>
      </c>
    </row>
    <row r="49" spans="8:17" x14ac:dyDescent="0.2">
      <c r="H49">
        <v>19</v>
      </c>
      <c r="I49" s="602">
        <f t="shared" si="14"/>
        <v>1.9822083333333334E-5</v>
      </c>
      <c r="J49">
        <f t="shared" si="7"/>
        <v>9.2210526315789458</v>
      </c>
      <c r="K49">
        <f t="shared" si="8"/>
        <v>0.73387918122815776</v>
      </c>
      <c r="L49">
        <f t="shared" si="9"/>
        <v>0.33320981049183801</v>
      </c>
      <c r="M49" s="602">
        <f t="shared" si="10"/>
        <v>0.33320981049183801</v>
      </c>
      <c r="N49">
        <f t="shared" si="11"/>
        <v>2.7767484207653167E-2</v>
      </c>
      <c r="O49">
        <f t="shared" si="12"/>
        <v>12.166604905245919</v>
      </c>
      <c r="Q49" t="str">
        <f t="shared" si="13"/>
        <v>BOOST</v>
      </c>
    </row>
    <row r="50" spans="8:17" x14ac:dyDescent="0.2">
      <c r="H50">
        <v>20</v>
      </c>
      <c r="I50" s="602">
        <f t="shared" si="14"/>
        <v>2.0833333333333333E-5</v>
      </c>
      <c r="J50">
        <f t="shared" si="7"/>
        <v>9.2210526315789458</v>
      </c>
      <c r="K50">
        <f t="shared" si="8"/>
        <v>0.73387918122815776</v>
      </c>
      <c r="L50">
        <f t="shared" si="9"/>
        <v>0.31703580629056416</v>
      </c>
      <c r="M50" s="602">
        <f t="shared" si="10"/>
        <v>0.31703580629056416</v>
      </c>
      <c r="N50">
        <f t="shared" si="11"/>
        <v>2.6419650524213679E-2</v>
      </c>
      <c r="O50">
        <f t="shared" si="12"/>
        <v>12.158517903145283</v>
      </c>
      <c r="Q50" t="str">
        <f t="shared" si="13"/>
        <v>BOOST</v>
      </c>
    </row>
    <row r="54" spans="8:17" x14ac:dyDescent="0.2">
      <c r="H54" s="114" t="s">
        <v>4</v>
      </c>
      <c r="I54">
        <f>VIN_nom</f>
        <v>20</v>
      </c>
    </row>
    <row r="55" spans="8:17" x14ac:dyDescent="0.2">
      <c r="I55" s="114" t="s">
        <v>60</v>
      </c>
      <c r="J55" s="114" t="s">
        <v>402</v>
      </c>
      <c r="K55" s="114" t="s">
        <v>904</v>
      </c>
      <c r="L55" s="114" t="s">
        <v>1038</v>
      </c>
      <c r="N55" s="114" t="s">
        <v>1037</v>
      </c>
      <c r="O55" s="114" t="s">
        <v>1039</v>
      </c>
    </row>
    <row r="56" spans="8:17" x14ac:dyDescent="0.2">
      <c r="H56">
        <v>0</v>
      </c>
      <c r="I56" s="602">
        <f>Lmin</f>
        <v>6.0833333333333337E-7</v>
      </c>
      <c r="J56">
        <f t="shared" ref="J56:J76" si="15">Pin/$I$54</f>
        <v>9.2210526315789458</v>
      </c>
      <c r="K56">
        <f t="shared" ref="K56:K76" si="16">IF($I$54&gt;Vout, (Vout+Iout*(Rdcr+Rs))/($I$54+Iout*Rs), (Vout-$I$54+J56*(Rdcr))/(Vout-J56*Rs))</f>
        <v>0.73387918122815776</v>
      </c>
      <c r="L56">
        <f t="shared" ref="L56:L76" si="17">IF($I$54&gt;Vout, ($I$54-Vout)*K56/(Fsw*I56),$I$54*K56/(I56*Fsw))</f>
        <v>10.857390626389183</v>
      </c>
      <c r="M56" s="602">
        <f t="shared" ref="M56:M76" si="18">($I$54-Vout)*K56/(Fsw*I56)</f>
        <v>10.857390626389183</v>
      </c>
      <c r="N56">
        <f t="shared" ref="N56:N76" si="19">IF($I$54&gt;Vout, L56/Iout, L56/J56)</f>
        <v>0.90478255219909853</v>
      </c>
      <c r="O56">
        <f t="shared" ref="O56:O76" si="20">IF($I$80&gt;Vout, L56/2+Iout, L56/2+J56)</f>
        <v>17.428695313194591</v>
      </c>
      <c r="Q56" t="str">
        <f t="shared" ref="Q56:Q76" si="21">IF(I56&gt;Vout, "BUCK", "BOOST")</f>
        <v>BOOST</v>
      </c>
    </row>
    <row r="57" spans="8:17" x14ac:dyDescent="0.2">
      <c r="H57">
        <v>1</v>
      </c>
      <c r="I57" s="602">
        <f t="shared" ref="I57:I76" si="22">Lmin+(Lmax-Lmin)/20*H31</f>
        <v>1.6195833333333334E-6</v>
      </c>
      <c r="J57">
        <f t="shared" si="15"/>
        <v>9.2210526315789458</v>
      </c>
      <c r="K57">
        <f t="shared" si="16"/>
        <v>0.73387918122815776</v>
      </c>
      <c r="L57">
        <f t="shared" si="17"/>
        <v>4.078155470678726</v>
      </c>
      <c r="M57" s="602">
        <f t="shared" si="18"/>
        <v>4.078155470678726</v>
      </c>
      <c r="N57">
        <f t="shared" si="19"/>
        <v>0.33984628922322718</v>
      </c>
      <c r="O57">
        <f t="shared" si="20"/>
        <v>14.039077735339363</v>
      </c>
      <c r="Q57" t="str">
        <f t="shared" si="21"/>
        <v>BOOST</v>
      </c>
    </row>
    <row r="58" spans="8:17" x14ac:dyDescent="0.2">
      <c r="H58">
        <v>2</v>
      </c>
      <c r="I58" s="602">
        <f t="shared" si="22"/>
        <v>2.6308333333333337E-6</v>
      </c>
      <c r="J58">
        <f t="shared" si="15"/>
        <v>9.2210526315789458</v>
      </c>
      <c r="K58">
        <f t="shared" si="16"/>
        <v>0.73387918122815776</v>
      </c>
      <c r="L58">
        <f t="shared" si="17"/>
        <v>2.5105781302705426</v>
      </c>
      <c r="M58" s="602">
        <f t="shared" si="18"/>
        <v>2.5105781302705426</v>
      </c>
      <c r="N58">
        <f t="shared" si="19"/>
        <v>0.20921484418921188</v>
      </c>
      <c r="O58">
        <f t="shared" si="20"/>
        <v>13.255289065135271</v>
      </c>
      <c r="Q58" t="str">
        <f t="shared" si="21"/>
        <v>BOOST</v>
      </c>
    </row>
    <row r="59" spans="8:17" x14ac:dyDescent="0.2">
      <c r="H59">
        <v>3</v>
      </c>
      <c r="I59" s="602">
        <f t="shared" si="22"/>
        <v>3.6420833333333335E-6</v>
      </c>
      <c r="J59">
        <f t="shared" si="15"/>
        <v>9.2210526315789458</v>
      </c>
      <c r="K59">
        <f t="shared" si="16"/>
        <v>0.73387918122815776</v>
      </c>
      <c r="L59">
        <f t="shared" si="17"/>
        <v>1.8134984915373766</v>
      </c>
      <c r="M59" s="602">
        <f t="shared" si="18"/>
        <v>1.8134984915373766</v>
      </c>
      <c r="N59">
        <f t="shared" si="19"/>
        <v>0.15112487429478139</v>
      </c>
      <c r="O59">
        <f t="shared" si="20"/>
        <v>12.906749245768689</v>
      </c>
      <c r="Q59" t="str">
        <f t="shared" si="21"/>
        <v>BOOST</v>
      </c>
    </row>
    <row r="60" spans="8:17" x14ac:dyDescent="0.2">
      <c r="H60">
        <v>4</v>
      </c>
      <c r="I60" s="602">
        <f t="shared" si="22"/>
        <v>4.6533333333333334E-6</v>
      </c>
      <c r="J60">
        <f t="shared" si="15"/>
        <v>9.2210526315789458</v>
      </c>
      <c r="K60">
        <f t="shared" si="16"/>
        <v>0.73387918122815776</v>
      </c>
      <c r="L60">
        <f t="shared" si="17"/>
        <v>1.4193938318882711</v>
      </c>
      <c r="M60" s="602">
        <f t="shared" si="18"/>
        <v>1.4193938318882711</v>
      </c>
      <c r="N60">
        <f t="shared" si="19"/>
        <v>0.11828281932402258</v>
      </c>
      <c r="O60">
        <f t="shared" si="20"/>
        <v>12.709696915944136</v>
      </c>
      <c r="Q60" t="str">
        <f t="shared" si="21"/>
        <v>BOOST</v>
      </c>
    </row>
    <row r="61" spans="8:17" x14ac:dyDescent="0.2">
      <c r="H61">
        <v>5</v>
      </c>
      <c r="I61" s="602">
        <f t="shared" si="22"/>
        <v>5.6645833333333332E-6</v>
      </c>
      <c r="J61">
        <f t="shared" si="15"/>
        <v>9.2210526315789458</v>
      </c>
      <c r="K61">
        <f t="shared" si="16"/>
        <v>0.73387918122815776</v>
      </c>
      <c r="L61">
        <f t="shared" si="17"/>
        <v>1.1660014942646715</v>
      </c>
      <c r="M61" s="602">
        <f t="shared" si="18"/>
        <v>1.1660014942646715</v>
      </c>
      <c r="N61">
        <f t="shared" si="19"/>
        <v>9.7166791188722623E-2</v>
      </c>
      <c r="O61">
        <f t="shared" si="20"/>
        <v>12.583000747132335</v>
      </c>
      <c r="Q61" t="str">
        <f t="shared" si="21"/>
        <v>BOOST</v>
      </c>
    </row>
    <row r="62" spans="8:17" x14ac:dyDescent="0.2">
      <c r="H62">
        <v>6</v>
      </c>
      <c r="I62" s="602">
        <f t="shared" si="22"/>
        <v>6.6758333333333339E-6</v>
      </c>
      <c r="J62">
        <f t="shared" si="15"/>
        <v>9.2210526315789458</v>
      </c>
      <c r="K62">
        <f t="shared" si="16"/>
        <v>0.73387918122815776</v>
      </c>
      <c r="L62">
        <f t="shared" si="17"/>
        <v>0.98937650196780724</v>
      </c>
      <c r="M62" s="602">
        <f t="shared" si="18"/>
        <v>0.98937650196780724</v>
      </c>
      <c r="N62">
        <f t="shared" si="19"/>
        <v>8.2448041830650604E-2</v>
      </c>
      <c r="O62">
        <f t="shared" si="20"/>
        <v>12.494688250983904</v>
      </c>
      <c r="Q62" t="str">
        <f t="shared" si="21"/>
        <v>BOOST</v>
      </c>
    </row>
    <row r="63" spans="8:17" x14ac:dyDescent="0.2">
      <c r="H63">
        <v>7</v>
      </c>
      <c r="I63" s="602">
        <f t="shared" si="22"/>
        <v>7.6870833333333346E-6</v>
      </c>
      <c r="J63">
        <f t="shared" si="15"/>
        <v>9.2210526315789458</v>
      </c>
      <c r="K63">
        <f t="shared" si="16"/>
        <v>0.73387918122815776</v>
      </c>
      <c r="L63">
        <f t="shared" si="17"/>
        <v>0.85922219711248349</v>
      </c>
      <c r="M63" s="602">
        <f t="shared" si="18"/>
        <v>0.85922219711248349</v>
      </c>
      <c r="N63">
        <f t="shared" si="19"/>
        <v>7.1601849759373629E-2</v>
      </c>
      <c r="O63">
        <f t="shared" si="20"/>
        <v>12.429611098556242</v>
      </c>
      <c r="Q63" t="str">
        <f t="shared" si="21"/>
        <v>BOOST</v>
      </c>
    </row>
    <row r="64" spans="8:17" x14ac:dyDescent="0.2">
      <c r="H64">
        <v>8</v>
      </c>
      <c r="I64" s="602">
        <f t="shared" si="22"/>
        <v>8.6983333333333345E-6</v>
      </c>
      <c r="J64">
        <f t="shared" si="15"/>
        <v>9.2210526315789458</v>
      </c>
      <c r="K64">
        <f t="shared" si="16"/>
        <v>0.73387918122815776</v>
      </c>
      <c r="L64">
        <f t="shared" si="17"/>
        <v>0.75933082556659359</v>
      </c>
      <c r="M64" s="602">
        <f t="shared" si="18"/>
        <v>0.75933082556659359</v>
      </c>
      <c r="N64">
        <f t="shared" si="19"/>
        <v>6.3277568797216133E-2</v>
      </c>
      <c r="O64">
        <f t="shared" si="20"/>
        <v>12.379665412783297</v>
      </c>
      <c r="Q64" t="str">
        <f t="shared" si="21"/>
        <v>BOOST</v>
      </c>
    </row>
    <row r="65" spans="8:29" x14ac:dyDescent="0.2">
      <c r="H65">
        <v>9</v>
      </c>
      <c r="I65" s="602">
        <f t="shared" si="22"/>
        <v>9.7095833333333343E-6</v>
      </c>
      <c r="J65">
        <f t="shared" si="15"/>
        <v>9.2210526315789458</v>
      </c>
      <c r="K65">
        <f t="shared" si="16"/>
        <v>0.73387918122815776</v>
      </c>
      <c r="L65">
        <f t="shared" si="17"/>
        <v>0.68024676284290475</v>
      </c>
      <c r="M65" s="602">
        <f t="shared" si="18"/>
        <v>0.68024676284290475</v>
      </c>
      <c r="N65">
        <f t="shared" si="19"/>
        <v>5.6687230236908727E-2</v>
      </c>
      <c r="O65">
        <f t="shared" si="20"/>
        <v>12.340123381421453</v>
      </c>
      <c r="Q65" t="str">
        <f t="shared" si="21"/>
        <v>BOOST</v>
      </c>
    </row>
    <row r="66" spans="8:29" x14ac:dyDescent="0.2">
      <c r="H66">
        <v>10</v>
      </c>
      <c r="I66" s="602">
        <f t="shared" si="22"/>
        <v>1.0720833333333334E-5</v>
      </c>
      <c r="J66">
        <f t="shared" si="15"/>
        <v>9.2210526315789458</v>
      </c>
      <c r="K66">
        <f t="shared" si="16"/>
        <v>0.73387918122815776</v>
      </c>
      <c r="L66">
        <f t="shared" si="17"/>
        <v>0.61608201766530157</v>
      </c>
      <c r="M66" s="602">
        <f t="shared" si="18"/>
        <v>0.61608201766530157</v>
      </c>
      <c r="N66">
        <f t="shared" si="19"/>
        <v>5.1340168138775129E-2</v>
      </c>
      <c r="O66">
        <f t="shared" si="20"/>
        <v>12.308041008832651</v>
      </c>
      <c r="Q66" t="str">
        <f t="shared" si="21"/>
        <v>BOOST</v>
      </c>
    </row>
    <row r="67" spans="8:29" x14ac:dyDescent="0.2">
      <c r="H67">
        <v>11</v>
      </c>
      <c r="I67" s="602">
        <f t="shared" si="22"/>
        <v>1.1732083333333334E-5</v>
      </c>
      <c r="J67">
        <f t="shared" si="15"/>
        <v>9.2210526315789458</v>
      </c>
      <c r="K67">
        <f t="shared" si="16"/>
        <v>0.73387918122815776</v>
      </c>
      <c r="L67">
        <f t="shared" si="17"/>
        <v>0.56297866656704232</v>
      </c>
      <c r="M67" s="602">
        <f t="shared" si="18"/>
        <v>0.56297866656704232</v>
      </c>
      <c r="N67">
        <f t="shared" si="19"/>
        <v>4.6914888880586862E-2</v>
      </c>
      <c r="O67">
        <f t="shared" si="20"/>
        <v>12.28148933328352</v>
      </c>
      <c r="Q67" t="str">
        <f t="shared" si="21"/>
        <v>BOOST</v>
      </c>
    </row>
    <row r="68" spans="8:29" x14ac:dyDescent="0.2">
      <c r="H68">
        <v>12</v>
      </c>
      <c r="I68" s="602">
        <f t="shared" si="22"/>
        <v>1.2743333333333336E-5</v>
      </c>
      <c r="J68">
        <f t="shared" si="15"/>
        <v>9.2210526315789458</v>
      </c>
      <c r="K68">
        <f t="shared" si="16"/>
        <v>0.73387918122815776</v>
      </c>
      <c r="L68">
        <f t="shared" si="17"/>
        <v>0.51830337151870931</v>
      </c>
      <c r="M68" s="602">
        <f t="shared" si="18"/>
        <v>0.51830337151870931</v>
      </c>
      <c r="N68">
        <f t="shared" si="19"/>
        <v>4.3191947626559112E-2</v>
      </c>
      <c r="O68">
        <f t="shared" si="20"/>
        <v>12.259151685759354</v>
      </c>
      <c r="Q68" t="str">
        <f t="shared" si="21"/>
        <v>BOOST</v>
      </c>
    </row>
    <row r="69" spans="8:29" x14ac:dyDescent="0.2">
      <c r="H69">
        <v>13</v>
      </c>
      <c r="I69" s="602">
        <f t="shared" si="22"/>
        <v>1.3754583333333335E-5</v>
      </c>
      <c r="J69">
        <f t="shared" si="15"/>
        <v>9.2210526315789458</v>
      </c>
      <c r="K69">
        <f t="shared" si="16"/>
        <v>0.73387918122815776</v>
      </c>
      <c r="L69">
        <f t="shared" si="17"/>
        <v>0.48019721651959069</v>
      </c>
      <c r="M69" s="602">
        <f t="shared" si="18"/>
        <v>0.48019721651959069</v>
      </c>
      <c r="N69">
        <f t="shared" si="19"/>
        <v>4.0016434709965888E-2</v>
      </c>
      <c r="O69">
        <f t="shared" si="20"/>
        <v>12.240098608259796</v>
      </c>
      <c r="Q69" t="str">
        <f t="shared" si="21"/>
        <v>BOOST</v>
      </c>
    </row>
    <row r="70" spans="8:29" x14ac:dyDescent="0.2">
      <c r="H70">
        <v>14</v>
      </c>
      <c r="I70" s="602">
        <f t="shared" si="22"/>
        <v>1.4765833333333335E-5</v>
      </c>
      <c r="J70">
        <f t="shared" si="15"/>
        <v>9.2210526315789458</v>
      </c>
      <c r="K70">
        <f t="shared" si="16"/>
        <v>0.73387918122815776</v>
      </c>
      <c r="L70">
        <f t="shared" si="17"/>
        <v>0.44731052301281699</v>
      </c>
      <c r="M70" s="602">
        <f t="shared" si="18"/>
        <v>0.44731052301281699</v>
      </c>
      <c r="N70">
        <f t="shared" si="19"/>
        <v>3.7275876917734749E-2</v>
      </c>
      <c r="O70">
        <f t="shared" si="20"/>
        <v>12.223655261506408</v>
      </c>
      <c r="Q70" t="str">
        <f t="shared" si="21"/>
        <v>BOOST</v>
      </c>
    </row>
    <row r="71" spans="8:29" x14ac:dyDescent="0.2">
      <c r="H71">
        <v>15</v>
      </c>
      <c r="I71" s="602">
        <f t="shared" si="22"/>
        <v>1.5777083333333335E-5</v>
      </c>
      <c r="J71">
        <f t="shared" si="15"/>
        <v>9.2210526315789458</v>
      </c>
      <c r="K71">
        <f t="shared" si="16"/>
        <v>0.73387918122815776</v>
      </c>
      <c r="L71">
        <f t="shared" si="17"/>
        <v>0.41863964913583013</v>
      </c>
      <c r="M71" s="602">
        <f t="shared" si="18"/>
        <v>0.41863964913583013</v>
      </c>
      <c r="N71">
        <f t="shared" si="19"/>
        <v>3.4886637427985846E-2</v>
      </c>
      <c r="O71">
        <f t="shared" si="20"/>
        <v>12.209319824567915</v>
      </c>
      <c r="Q71" t="str">
        <f t="shared" si="21"/>
        <v>BOOST</v>
      </c>
    </row>
    <row r="72" spans="8:29" x14ac:dyDescent="0.2">
      <c r="H72">
        <v>16</v>
      </c>
      <c r="I72" s="602">
        <f t="shared" si="22"/>
        <v>1.6788333333333333E-5</v>
      </c>
      <c r="J72">
        <f t="shared" si="15"/>
        <v>9.2210526315789458</v>
      </c>
      <c r="K72">
        <f t="shared" si="16"/>
        <v>0.73387918122815776</v>
      </c>
      <c r="L72">
        <f t="shared" si="17"/>
        <v>0.39342277163030398</v>
      </c>
      <c r="M72" s="602">
        <f t="shared" si="18"/>
        <v>0.39342277163030398</v>
      </c>
      <c r="N72">
        <f t="shared" si="19"/>
        <v>3.2785230969191996E-2</v>
      </c>
      <c r="O72">
        <f t="shared" si="20"/>
        <v>12.196711385815153</v>
      </c>
      <c r="Q72" t="str">
        <f t="shared" si="21"/>
        <v>BOOST</v>
      </c>
    </row>
    <row r="73" spans="8:29" x14ac:dyDescent="0.2">
      <c r="H73">
        <v>17</v>
      </c>
      <c r="I73" s="602">
        <f t="shared" si="22"/>
        <v>1.7799583333333335E-5</v>
      </c>
      <c r="J73">
        <f t="shared" si="15"/>
        <v>9.2210526315789458</v>
      </c>
      <c r="K73">
        <f t="shared" si="16"/>
        <v>0.73387918122815776</v>
      </c>
      <c r="L73">
        <f t="shared" si="17"/>
        <v>0.37107119348599471</v>
      </c>
      <c r="M73" s="602">
        <f t="shared" si="18"/>
        <v>0.37107119348599471</v>
      </c>
      <c r="N73">
        <f t="shared" si="19"/>
        <v>3.0922599457166227E-2</v>
      </c>
      <c r="O73">
        <f t="shared" si="20"/>
        <v>12.185535596742998</v>
      </c>
      <c r="Q73" t="str">
        <f t="shared" si="21"/>
        <v>BOOST</v>
      </c>
    </row>
    <row r="74" spans="8:29" x14ac:dyDescent="0.2">
      <c r="H74">
        <v>18</v>
      </c>
      <c r="I74" s="602">
        <f t="shared" si="22"/>
        <v>1.8810833333333333E-5</v>
      </c>
      <c r="J74">
        <f t="shared" si="15"/>
        <v>9.2210526315789458</v>
      </c>
      <c r="K74">
        <f t="shared" si="16"/>
        <v>0.73387918122815776</v>
      </c>
      <c r="L74">
        <f t="shared" si="17"/>
        <v>0.3511228085440174</v>
      </c>
      <c r="M74" s="602">
        <f t="shared" si="18"/>
        <v>0.3511228085440174</v>
      </c>
      <c r="N74">
        <f t="shared" si="19"/>
        <v>2.9260234045334784E-2</v>
      </c>
      <c r="O74">
        <f t="shared" si="20"/>
        <v>12.175561404272008</v>
      </c>
      <c r="Q74" t="str">
        <f t="shared" si="21"/>
        <v>BOOST</v>
      </c>
    </row>
    <row r="75" spans="8:29" x14ac:dyDescent="0.2">
      <c r="H75">
        <v>19</v>
      </c>
      <c r="I75" s="602">
        <f t="shared" si="22"/>
        <v>1.9822083333333334E-5</v>
      </c>
      <c r="J75">
        <f t="shared" si="15"/>
        <v>9.2210526315789458</v>
      </c>
      <c r="K75">
        <f t="shared" si="16"/>
        <v>0.73387918122815776</v>
      </c>
      <c r="L75">
        <f t="shared" si="17"/>
        <v>0.33320981049183801</v>
      </c>
      <c r="M75" s="602">
        <f t="shared" si="18"/>
        <v>0.33320981049183801</v>
      </c>
      <c r="N75">
        <f t="shared" si="19"/>
        <v>2.7767484207653167E-2</v>
      </c>
      <c r="O75">
        <f t="shared" si="20"/>
        <v>12.166604905245919</v>
      </c>
      <c r="Q75" t="str">
        <f t="shared" si="21"/>
        <v>BOOST</v>
      </c>
    </row>
    <row r="76" spans="8:29" x14ac:dyDescent="0.2">
      <c r="H76">
        <v>20</v>
      </c>
      <c r="I76" s="602">
        <f t="shared" si="22"/>
        <v>2.0833333333333333E-5</v>
      </c>
      <c r="J76">
        <f t="shared" si="15"/>
        <v>9.2210526315789458</v>
      </c>
      <c r="K76">
        <f t="shared" si="16"/>
        <v>0.73387918122815776</v>
      </c>
      <c r="L76">
        <f t="shared" si="17"/>
        <v>0.31703580629056416</v>
      </c>
      <c r="M76" s="602">
        <f t="shared" si="18"/>
        <v>0.31703580629056416</v>
      </c>
      <c r="N76">
        <f t="shared" si="19"/>
        <v>2.6419650524213679E-2</v>
      </c>
      <c r="O76">
        <f t="shared" si="20"/>
        <v>12.158517903145283</v>
      </c>
      <c r="Q76" t="str">
        <f t="shared" si="21"/>
        <v>BOOST</v>
      </c>
    </row>
    <row r="80" spans="8:29" x14ac:dyDescent="0.2">
      <c r="H80" s="114" t="s">
        <v>4</v>
      </c>
      <c r="I80">
        <f>VIN_max</f>
        <v>48</v>
      </c>
      <c r="S80" s="114" t="s">
        <v>1038</v>
      </c>
      <c r="X80" s="114" t="s">
        <v>1039</v>
      </c>
      <c r="AC80" s="114" t="s">
        <v>1037</v>
      </c>
    </row>
    <row r="81" spans="8:31" x14ac:dyDescent="0.2">
      <c r="I81" s="114" t="s">
        <v>60</v>
      </c>
      <c r="J81" s="114" t="s">
        <v>402</v>
      </c>
      <c r="K81" s="114" t="s">
        <v>904</v>
      </c>
      <c r="L81" s="114" t="s">
        <v>1038</v>
      </c>
      <c r="N81" s="114" t="s">
        <v>1037</v>
      </c>
      <c r="O81" s="114" t="s">
        <v>1039</v>
      </c>
      <c r="R81" t="str">
        <f>I81</f>
        <v>L</v>
      </c>
      <c r="S81" s="114" t="str">
        <f>CONCATENATE("Vin = ",$I$28," V")</f>
        <v>Vin = 20 V</v>
      </c>
      <c r="T81" s="114" t="str">
        <f>CONCATENATE("Vin = ",$I$54," V")</f>
        <v>Vin = 20 V</v>
      </c>
      <c r="U81" s="114" t="str">
        <f>CONCATENATE("Vin = ",$I$80," V")</f>
        <v>Vin = 48 V</v>
      </c>
      <c r="W81" t="str">
        <f>I81</f>
        <v>L</v>
      </c>
      <c r="X81" s="114" t="str">
        <f>CONCATENATE("Vin = ",$I$28," V")</f>
        <v>Vin = 20 V</v>
      </c>
      <c r="Y81" s="114" t="str">
        <f>CONCATENATE("Vin = ",$I$54," V")</f>
        <v>Vin = 20 V</v>
      </c>
      <c r="Z81" s="114" t="str">
        <f>CONCATENATE("Vin = ",$I$80," V")</f>
        <v>Vin = 48 V</v>
      </c>
      <c r="AB81" t="str">
        <f>I81</f>
        <v>L</v>
      </c>
      <c r="AC81" s="114" t="str">
        <f>CONCATENATE("Vin = ",$I$28," V")</f>
        <v>Vin = 20 V</v>
      </c>
      <c r="AD81" s="114" t="str">
        <f>CONCATENATE("Vin = ",$I$54," V")</f>
        <v>Vin = 20 V</v>
      </c>
      <c r="AE81" s="114" t="str">
        <f>CONCATENATE("Vin = ",$I$80," V")</f>
        <v>Vin = 48 V</v>
      </c>
    </row>
    <row r="82" spans="8:31" x14ac:dyDescent="0.2">
      <c r="H82">
        <v>0</v>
      </c>
      <c r="I82" s="602">
        <f>Lmin</f>
        <v>6.0833333333333337E-7</v>
      </c>
      <c r="J82">
        <f t="shared" ref="J82:J102" si="23">Pin/$I$80</f>
        <v>3.8421052631578942</v>
      </c>
      <c r="K82">
        <f t="shared" ref="K82:K102" si="24">IF($I$80&gt;Vout, (Vout+Iout*(Rdcr+Rs))/($I$80+Iout*Rs), (Vout-$I$80+J82*(Rdcr))/(Vout-J82*Rs))</f>
        <v>0.30605038517593169</v>
      </c>
      <c r="L82">
        <f t="shared" ref="L82:L102" si="25">IF($I$80&gt;Vout, ($I$80-Vout)*K82/(Fsw*I82),$I$80*K82/(I82*Fsw))</f>
        <v>28.005706479112646</v>
      </c>
      <c r="M82" s="602">
        <f t="shared" ref="M82:M102" si="26">($I$80-Vout)*K82/(Fsw*I82)</f>
        <v>28.005706479112646</v>
      </c>
      <c r="N82">
        <f t="shared" ref="N82:N102" si="27">IF($I$80&gt;Vout, L82/Iout, L82/J82)</f>
        <v>2.3338088732593874</v>
      </c>
      <c r="O82">
        <f t="shared" ref="O82:O102" si="28">IF($I$80&gt;Vout, L82/2+Iout, L82/2+J82)</f>
        <v>26.002853239556323</v>
      </c>
      <c r="Q82" t="str">
        <f t="shared" ref="Q82:Q102" si="29">IF(I82&gt;Vout, "BUCK", "BOOST")</f>
        <v>BOOST</v>
      </c>
      <c r="R82" s="669">
        <f t="shared" ref="R82" si="30">I82*1000000</f>
        <v>0.60833333333333339</v>
      </c>
      <c r="S82">
        <f>L30</f>
        <v>10.857390626389183</v>
      </c>
      <c r="T82">
        <f>L56</f>
        <v>10.857390626389183</v>
      </c>
      <c r="U82">
        <f>L82</f>
        <v>28.005706479112646</v>
      </c>
      <c r="W82">
        <f t="shared" ref="W82" si="31">I82</f>
        <v>6.0833333333333337E-7</v>
      </c>
      <c r="X82">
        <f>O30</f>
        <v>17.428695313194591</v>
      </c>
      <c r="Y82">
        <f>O56</f>
        <v>17.428695313194591</v>
      </c>
      <c r="Z82">
        <f>O82</f>
        <v>26.002853239556323</v>
      </c>
      <c r="AB82" s="669">
        <f t="shared" ref="AB82:AB102" si="32">I82*1000000</f>
        <v>0.60833333333333339</v>
      </c>
      <c r="AC82" s="668">
        <f t="shared" ref="AC82:AC102" si="33">N30</f>
        <v>0.90478255219909853</v>
      </c>
      <c r="AD82" s="668">
        <f t="shared" ref="AD82:AD102" si="34">N56</f>
        <v>0.90478255219909853</v>
      </c>
      <c r="AE82" s="668">
        <f t="shared" ref="AE82:AE102" si="35">N82</f>
        <v>2.3338088732593874</v>
      </c>
    </row>
    <row r="83" spans="8:31" x14ac:dyDescent="0.2">
      <c r="H83">
        <v>1</v>
      </c>
      <c r="I83" s="602">
        <f t="shared" ref="I83:I102" si="36">Lmin+(Lmax-Lmin)/20*H57</f>
        <v>1.6195833333333334E-6</v>
      </c>
      <c r="J83">
        <f t="shared" si="23"/>
        <v>3.8421052631578942</v>
      </c>
      <c r="K83">
        <f t="shared" si="24"/>
        <v>0.30605038517593169</v>
      </c>
      <c r="L83">
        <f t="shared" si="25"/>
        <v>10.51925172613956</v>
      </c>
      <c r="M83" s="602">
        <f t="shared" si="26"/>
        <v>10.51925172613956</v>
      </c>
      <c r="N83">
        <f t="shared" si="27"/>
        <v>0.87660431051163001</v>
      </c>
      <c r="O83">
        <f t="shared" si="28"/>
        <v>17.259625863069779</v>
      </c>
      <c r="Q83" t="str">
        <f t="shared" si="29"/>
        <v>BOOST</v>
      </c>
      <c r="R83" s="669">
        <f>I83*1000000</f>
        <v>1.6195833333333334</v>
      </c>
      <c r="S83">
        <f t="shared" ref="S83:S102" si="37">L31</f>
        <v>4.078155470678726</v>
      </c>
      <c r="T83">
        <f t="shared" ref="T83:T102" si="38">L57</f>
        <v>4.078155470678726</v>
      </c>
      <c r="U83">
        <f t="shared" ref="U83:U102" si="39">L83</f>
        <v>10.51925172613956</v>
      </c>
      <c r="W83">
        <f t="shared" ref="W83:W102" si="40">I83</f>
        <v>1.6195833333333334E-6</v>
      </c>
      <c r="X83">
        <f t="shared" ref="X83:X102" si="41">O31</f>
        <v>14.039077735339363</v>
      </c>
      <c r="Y83">
        <f t="shared" ref="Y83:Y102" si="42">O57</f>
        <v>14.039077735339363</v>
      </c>
      <c r="Z83">
        <f t="shared" ref="Z83:Z102" si="43">O83</f>
        <v>17.259625863069779</v>
      </c>
      <c r="AB83" s="669">
        <f t="shared" si="32"/>
        <v>1.6195833333333334</v>
      </c>
      <c r="AC83" s="668">
        <f t="shared" si="33"/>
        <v>0.33984628922322718</v>
      </c>
      <c r="AD83" s="668">
        <f t="shared" si="34"/>
        <v>0.33984628922322718</v>
      </c>
      <c r="AE83" s="668">
        <f t="shared" si="35"/>
        <v>0.87660431051163001</v>
      </c>
    </row>
    <row r="84" spans="8:31" x14ac:dyDescent="0.2">
      <c r="H84">
        <v>2</v>
      </c>
      <c r="I84" s="602">
        <f t="shared" si="36"/>
        <v>2.6308333333333337E-6</v>
      </c>
      <c r="J84">
        <f t="shared" si="23"/>
        <v>3.8421052631578942</v>
      </c>
      <c r="K84">
        <f t="shared" si="24"/>
        <v>0.30605038517593169</v>
      </c>
      <c r="L84">
        <f t="shared" si="25"/>
        <v>6.4758206302667825</v>
      </c>
      <c r="M84" s="602">
        <f t="shared" si="26"/>
        <v>6.4758206302667825</v>
      </c>
      <c r="N84">
        <f t="shared" si="27"/>
        <v>0.53965171918889854</v>
      </c>
      <c r="O84">
        <f t="shared" si="28"/>
        <v>15.237910315133391</v>
      </c>
      <c r="Q84" t="str">
        <f t="shared" si="29"/>
        <v>BOOST</v>
      </c>
      <c r="R84" s="669">
        <f t="shared" ref="R84:R102" si="44">I84*1000000</f>
        <v>2.6308333333333338</v>
      </c>
      <c r="S84">
        <f t="shared" si="37"/>
        <v>2.5105781302705426</v>
      </c>
      <c r="T84">
        <f t="shared" si="38"/>
        <v>2.5105781302705426</v>
      </c>
      <c r="U84">
        <f t="shared" si="39"/>
        <v>6.4758206302667825</v>
      </c>
      <c r="W84">
        <f t="shared" si="40"/>
        <v>2.6308333333333337E-6</v>
      </c>
      <c r="X84">
        <f t="shared" si="41"/>
        <v>13.255289065135271</v>
      </c>
      <c r="Y84">
        <f t="shared" si="42"/>
        <v>13.255289065135271</v>
      </c>
      <c r="Z84">
        <f t="shared" si="43"/>
        <v>15.237910315133391</v>
      </c>
      <c r="AB84" s="669">
        <f t="shared" si="32"/>
        <v>2.6308333333333338</v>
      </c>
      <c r="AC84" s="668">
        <f t="shared" si="33"/>
        <v>0.20921484418921188</v>
      </c>
      <c r="AD84" s="668">
        <f t="shared" si="34"/>
        <v>0.20921484418921188</v>
      </c>
      <c r="AE84" s="668">
        <f t="shared" si="35"/>
        <v>0.53965171918889854</v>
      </c>
    </row>
    <row r="85" spans="8:31" x14ac:dyDescent="0.2">
      <c r="H85">
        <v>3</v>
      </c>
      <c r="I85" s="602">
        <f t="shared" si="36"/>
        <v>3.6420833333333335E-6</v>
      </c>
      <c r="J85">
        <f t="shared" si="23"/>
        <v>3.8421052631578942</v>
      </c>
      <c r="K85">
        <f t="shared" si="24"/>
        <v>0.30605038517593169</v>
      </c>
      <c r="L85">
        <f t="shared" si="25"/>
        <v>4.6777635807693025</v>
      </c>
      <c r="M85" s="602">
        <f t="shared" si="26"/>
        <v>4.6777635807693025</v>
      </c>
      <c r="N85">
        <f t="shared" si="27"/>
        <v>0.38981363173077521</v>
      </c>
      <c r="O85">
        <f t="shared" si="28"/>
        <v>14.338881790384651</v>
      </c>
      <c r="Q85" t="str">
        <f t="shared" si="29"/>
        <v>BOOST</v>
      </c>
      <c r="R85" s="669">
        <f t="shared" si="44"/>
        <v>3.6420833333333333</v>
      </c>
      <c r="S85">
        <f t="shared" si="37"/>
        <v>1.8134984915373766</v>
      </c>
      <c r="T85">
        <f t="shared" si="38"/>
        <v>1.8134984915373766</v>
      </c>
      <c r="U85">
        <f t="shared" si="39"/>
        <v>4.6777635807693025</v>
      </c>
      <c r="W85">
        <f t="shared" si="40"/>
        <v>3.6420833333333335E-6</v>
      </c>
      <c r="X85">
        <f t="shared" si="41"/>
        <v>12.906749245768689</v>
      </c>
      <c r="Y85">
        <f t="shared" si="42"/>
        <v>12.906749245768689</v>
      </c>
      <c r="Z85">
        <f t="shared" si="43"/>
        <v>14.338881790384651</v>
      </c>
      <c r="AB85" s="669">
        <f t="shared" si="32"/>
        <v>3.6420833333333333</v>
      </c>
      <c r="AC85" s="668">
        <f t="shared" si="33"/>
        <v>0.15112487429478139</v>
      </c>
      <c r="AD85" s="668">
        <f t="shared" si="34"/>
        <v>0.15112487429478139</v>
      </c>
      <c r="AE85" s="668">
        <f t="shared" si="35"/>
        <v>0.38981363173077521</v>
      </c>
    </row>
    <row r="86" spans="8:31" x14ac:dyDescent="0.2">
      <c r="H86">
        <v>4</v>
      </c>
      <c r="I86" s="602">
        <f t="shared" si="36"/>
        <v>4.6533333333333334E-6</v>
      </c>
      <c r="J86">
        <f t="shared" si="23"/>
        <v>3.8421052631578942</v>
      </c>
      <c r="K86">
        <f t="shared" si="24"/>
        <v>0.30605038517593169</v>
      </c>
      <c r="L86">
        <f t="shared" si="25"/>
        <v>3.6612044644971773</v>
      </c>
      <c r="M86" s="602">
        <f t="shared" si="26"/>
        <v>3.6612044644971773</v>
      </c>
      <c r="N86">
        <f t="shared" si="27"/>
        <v>0.30510037204143142</v>
      </c>
      <c r="O86">
        <f t="shared" si="28"/>
        <v>13.830602232248589</v>
      </c>
      <c r="Q86" t="str">
        <f t="shared" si="29"/>
        <v>BOOST</v>
      </c>
      <c r="R86" s="669">
        <f t="shared" si="44"/>
        <v>4.6533333333333333</v>
      </c>
      <c r="S86">
        <f t="shared" si="37"/>
        <v>1.4193938318882711</v>
      </c>
      <c r="T86">
        <f t="shared" si="38"/>
        <v>1.4193938318882711</v>
      </c>
      <c r="U86">
        <f t="shared" si="39"/>
        <v>3.6612044644971773</v>
      </c>
      <c r="W86">
        <f t="shared" si="40"/>
        <v>4.6533333333333334E-6</v>
      </c>
      <c r="X86">
        <f t="shared" si="41"/>
        <v>12.709696915944136</v>
      </c>
      <c r="Y86">
        <f t="shared" si="42"/>
        <v>12.709696915944136</v>
      </c>
      <c r="Z86">
        <f t="shared" si="43"/>
        <v>13.830602232248589</v>
      </c>
      <c r="AB86" s="669">
        <f t="shared" si="32"/>
        <v>4.6533333333333333</v>
      </c>
      <c r="AC86" s="668">
        <f t="shared" si="33"/>
        <v>0.11828281932402258</v>
      </c>
      <c r="AD86" s="668">
        <f t="shared" si="34"/>
        <v>0.11828281932402258</v>
      </c>
      <c r="AE86" s="668">
        <f t="shared" si="35"/>
        <v>0.30510037204143142</v>
      </c>
    </row>
    <row r="87" spans="8:31" x14ac:dyDescent="0.2">
      <c r="H87">
        <v>5</v>
      </c>
      <c r="I87" s="602">
        <f t="shared" si="36"/>
        <v>5.6645833333333332E-6</v>
      </c>
      <c r="J87">
        <f t="shared" si="23"/>
        <v>3.8421052631578942</v>
      </c>
      <c r="K87">
        <f t="shared" si="24"/>
        <v>0.30605038517593169</v>
      </c>
      <c r="L87">
        <f t="shared" si="25"/>
        <v>3.0076006958076107</v>
      </c>
      <c r="M87" s="602">
        <f t="shared" si="26"/>
        <v>3.0076006958076107</v>
      </c>
      <c r="N87">
        <f t="shared" si="27"/>
        <v>0.25063339131730089</v>
      </c>
      <c r="O87">
        <f t="shared" si="28"/>
        <v>13.503800347903805</v>
      </c>
      <c r="Q87" t="str">
        <f t="shared" si="29"/>
        <v>BOOST</v>
      </c>
      <c r="R87" s="669">
        <f t="shared" si="44"/>
        <v>5.6645833333333329</v>
      </c>
      <c r="S87">
        <f t="shared" si="37"/>
        <v>1.1660014942646715</v>
      </c>
      <c r="T87">
        <f t="shared" si="38"/>
        <v>1.1660014942646715</v>
      </c>
      <c r="U87">
        <f t="shared" si="39"/>
        <v>3.0076006958076107</v>
      </c>
      <c r="W87">
        <f t="shared" si="40"/>
        <v>5.6645833333333332E-6</v>
      </c>
      <c r="X87">
        <f t="shared" si="41"/>
        <v>12.583000747132335</v>
      </c>
      <c r="Y87">
        <f t="shared" si="42"/>
        <v>12.583000747132335</v>
      </c>
      <c r="Z87">
        <f t="shared" si="43"/>
        <v>13.503800347903805</v>
      </c>
      <c r="AB87" s="669">
        <f t="shared" si="32"/>
        <v>5.6645833333333329</v>
      </c>
      <c r="AC87" s="668">
        <f t="shared" si="33"/>
        <v>9.7166791188722623E-2</v>
      </c>
      <c r="AD87" s="668">
        <f t="shared" si="34"/>
        <v>9.7166791188722623E-2</v>
      </c>
      <c r="AE87" s="668">
        <f t="shared" si="35"/>
        <v>0.25063339131730089</v>
      </c>
    </row>
    <row r="88" spans="8:31" x14ac:dyDescent="0.2">
      <c r="H88">
        <v>6</v>
      </c>
      <c r="I88" s="602">
        <f t="shared" si="36"/>
        <v>6.6758333333333339E-6</v>
      </c>
      <c r="J88">
        <f t="shared" si="23"/>
        <v>3.8421052631578942</v>
      </c>
      <c r="K88">
        <f t="shared" si="24"/>
        <v>0.30605038517593169</v>
      </c>
      <c r="L88">
        <f t="shared" si="25"/>
        <v>2.5520117001313487</v>
      </c>
      <c r="M88" s="602">
        <f t="shared" si="26"/>
        <v>2.5520117001313487</v>
      </c>
      <c r="N88">
        <f t="shared" si="27"/>
        <v>0.2126676416776124</v>
      </c>
      <c r="O88">
        <f t="shared" si="28"/>
        <v>13.276005850065674</v>
      </c>
      <c r="Q88" t="str">
        <f t="shared" si="29"/>
        <v>BOOST</v>
      </c>
      <c r="R88" s="669">
        <f t="shared" si="44"/>
        <v>6.6758333333333342</v>
      </c>
      <c r="S88">
        <f t="shared" si="37"/>
        <v>0.98937650196780724</v>
      </c>
      <c r="T88">
        <f t="shared" si="38"/>
        <v>0.98937650196780724</v>
      </c>
      <c r="U88">
        <f t="shared" si="39"/>
        <v>2.5520117001313487</v>
      </c>
      <c r="W88">
        <f t="shared" si="40"/>
        <v>6.6758333333333339E-6</v>
      </c>
      <c r="X88">
        <f t="shared" si="41"/>
        <v>12.494688250983904</v>
      </c>
      <c r="Y88">
        <f t="shared" si="42"/>
        <v>12.494688250983904</v>
      </c>
      <c r="Z88">
        <f t="shared" si="43"/>
        <v>13.276005850065674</v>
      </c>
      <c r="AB88" s="669">
        <f t="shared" si="32"/>
        <v>6.6758333333333342</v>
      </c>
      <c r="AC88" s="668">
        <f t="shared" si="33"/>
        <v>8.2448041830650604E-2</v>
      </c>
      <c r="AD88" s="668">
        <f t="shared" si="34"/>
        <v>8.2448041830650604E-2</v>
      </c>
      <c r="AE88" s="668">
        <f t="shared" si="35"/>
        <v>0.2126676416776124</v>
      </c>
    </row>
    <row r="89" spans="8:31" x14ac:dyDescent="0.2">
      <c r="H89">
        <v>7</v>
      </c>
      <c r="I89" s="602">
        <f t="shared" si="36"/>
        <v>7.6870833333333346E-6</v>
      </c>
      <c r="J89">
        <f t="shared" si="23"/>
        <v>3.8421052631578942</v>
      </c>
      <c r="K89">
        <f t="shared" si="24"/>
        <v>0.30605038517593169</v>
      </c>
      <c r="L89">
        <f t="shared" si="25"/>
        <v>2.2162898509135709</v>
      </c>
      <c r="M89" s="602">
        <f t="shared" si="26"/>
        <v>2.2162898509135709</v>
      </c>
      <c r="N89">
        <f t="shared" si="27"/>
        <v>0.18469082090946423</v>
      </c>
      <c r="O89">
        <f t="shared" si="28"/>
        <v>13.108144925456786</v>
      </c>
      <c r="Q89" t="str">
        <f t="shared" si="29"/>
        <v>BOOST</v>
      </c>
      <c r="R89" s="669">
        <f t="shared" si="44"/>
        <v>7.6870833333333346</v>
      </c>
      <c r="S89">
        <f t="shared" si="37"/>
        <v>0.85922219711248349</v>
      </c>
      <c r="T89">
        <f t="shared" si="38"/>
        <v>0.85922219711248349</v>
      </c>
      <c r="U89">
        <f t="shared" si="39"/>
        <v>2.2162898509135709</v>
      </c>
      <c r="W89">
        <f t="shared" si="40"/>
        <v>7.6870833333333346E-6</v>
      </c>
      <c r="X89">
        <f t="shared" si="41"/>
        <v>12.429611098556242</v>
      </c>
      <c r="Y89">
        <f t="shared" si="42"/>
        <v>12.429611098556242</v>
      </c>
      <c r="Z89">
        <f t="shared" si="43"/>
        <v>13.108144925456786</v>
      </c>
      <c r="AB89" s="669">
        <f t="shared" si="32"/>
        <v>7.6870833333333346</v>
      </c>
      <c r="AC89" s="668">
        <f t="shared" si="33"/>
        <v>7.1601849759373629E-2</v>
      </c>
      <c r="AD89" s="668">
        <f t="shared" si="34"/>
        <v>7.1601849759373629E-2</v>
      </c>
      <c r="AE89" s="668">
        <f t="shared" si="35"/>
        <v>0.18469082090946423</v>
      </c>
    </row>
    <row r="90" spans="8:31" x14ac:dyDescent="0.2">
      <c r="H90">
        <v>8</v>
      </c>
      <c r="I90" s="602">
        <f t="shared" si="36"/>
        <v>8.6983333333333345E-6</v>
      </c>
      <c r="J90">
        <f t="shared" si="23"/>
        <v>3.8421052631578942</v>
      </c>
      <c r="K90">
        <f t="shared" si="24"/>
        <v>0.30605038517593169</v>
      </c>
      <c r="L90">
        <f t="shared" si="25"/>
        <v>1.9586286386043528</v>
      </c>
      <c r="M90" s="602">
        <f t="shared" si="26"/>
        <v>1.9586286386043528</v>
      </c>
      <c r="N90">
        <f t="shared" si="27"/>
        <v>0.1632190532170294</v>
      </c>
      <c r="O90">
        <f t="shared" si="28"/>
        <v>12.979314319302176</v>
      </c>
      <c r="Q90" t="str">
        <f t="shared" si="29"/>
        <v>BOOST</v>
      </c>
      <c r="R90" s="669">
        <f t="shared" si="44"/>
        <v>8.6983333333333341</v>
      </c>
      <c r="S90">
        <f t="shared" si="37"/>
        <v>0.75933082556659359</v>
      </c>
      <c r="T90">
        <f t="shared" si="38"/>
        <v>0.75933082556659359</v>
      </c>
      <c r="U90">
        <f t="shared" si="39"/>
        <v>1.9586286386043528</v>
      </c>
      <c r="W90">
        <f t="shared" si="40"/>
        <v>8.6983333333333345E-6</v>
      </c>
      <c r="X90">
        <f t="shared" si="41"/>
        <v>12.379665412783297</v>
      </c>
      <c r="Y90">
        <f t="shared" si="42"/>
        <v>12.379665412783297</v>
      </c>
      <c r="Z90">
        <f t="shared" si="43"/>
        <v>12.979314319302176</v>
      </c>
      <c r="AB90" s="669">
        <f t="shared" si="32"/>
        <v>8.6983333333333341</v>
      </c>
      <c r="AC90" s="668">
        <f t="shared" si="33"/>
        <v>6.3277568797216133E-2</v>
      </c>
      <c r="AD90" s="668">
        <f t="shared" si="34"/>
        <v>6.3277568797216133E-2</v>
      </c>
      <c r="AE90" s="668">
        <f t="shared" si="35"/>
        <v>0.1632190532170294</v>
      </c>
    </row>
    <row r="91" spans="8:31" x14ac:dyDescent="0.2">
      <c r="H91">
        <v>9</v>
      </c>
      <c r="I91" s="602">
        <f t="shared" si="36"/>
        <v>9.7095833333333343E-6</v>
      </c>
      <c r="J91">
        <f t="shared" si="23"/>
        <v>3.8421052631578942</v>
      </c>
      <c r="K91">
        <f t="shared" si="24"/>
        <v>0.30605038517593169</v>
      </c>
      <c r="L91">
        <f t="shared" si="25"/>
        <v>1.7546380920698823</v>
      </c>
      <c r="M91" s="602">
        <f t="shared" si="26"/>
        <v>1.7546380920698823</v>
      </c>
      <c r="N91">
        <f t="shared" si="27"/>
        <v>0.14621984100582353</v>
      </c>
      <c r="O91">
        <f t="shared" si="28"/>
        <v>12.877319046034941</v>
      </c>
      <c r="Q91" t="str">
        <f t="shared" si="29"/>
        <v>BOOST</v>
      </c>
      <c r="R91" s="669">
        <f t="shared" si="44"/>
        <v>9.7095833333333346</v>
      </c>
      <c r="S91">
        <f t="shared" si="37"/>
        <v>0.68024676284290475</v>
      </c>
      <c r="T91">
        <f t="shared" si="38"/>
        <v>0.68024676284290475</v>
      </c>
      <c r="U91">
        <f t="shared" si="39"/>
        <v>1.7546380920698823</v>
      </c>
      <c r="W91">
        <f t="shared" si="40"/>
        <v>9.7095833333333343E-6</v>
      </c>
      <c r="X91">
        <f t="shared" si="41"/>
        <v>12.340123381421453</v>
      </c>
      <c r="Y91">
        <f t="shared" si="42"/>
        <v>12.340123381421453</v>
      </c>
      <c r="Z91">
        <f t="shared" si="43"/>
        <v>12.877319046034941</v>
      </c>
      <c r="AB91" s="669">
        <f t="shared" si="32"/>
        <v>9.7095833333333346</v>
      </c>
      <c r="AC91" s="668">
        <f t="shared" si="33"/>
        <v>5.6687230236908727E-2</v>
      </c>
      <c r="AD91" s="668">
        <f t="shared" si="34"/>
        <v>5.6687230236908727E-2</v>
      </c>
      <c r="AE91" s="668">
        <f t="shared" si="35"/>
        <v>0.14621984100582353</v>
      </c>
    </row>
    <row r="92" spans="8:31" x14ac:dyDescent="0.2">
      <c r="H92">
        <v>10</v>
      </c>
      <c r="I92" s="602">
        <f t="shared" si="36"/>
        <v>1.0720833333333334E-5</v>
      </c>
      <c r="J92">
        <f t="shared" si="23"/>
        <v>3.8421052631578942</v>
      </c>
      <c r="K92">
        <f t="shared" si="24"/>
        <v>0.30605038517593169</v>
      </c>
      <c r="L92">
        <f t="shared" si="25"/>
        <v>1.589130643587426</v>
      </c>
      <c r="M92" s="602">
        <f t="shared" si="26"/>
        <v>1.589130643587426</v>
      </c>
      <c r="N92">
        <f t="shared" si="27"/>
        <v>0.13242755363228551</v>
      </c>
      <c r="O92">
        <f t="shared" si="28"/>
        <v>12.794565321793712</v>
      </c>
      <c r="Q92" t="str">
        <f t="shared" si="29"/>
        <v>BOOST</v>
      </c>
      <c r="R92" s="669">
        <f t="shared" si="44"/>
        <v>10.720833333333335</v>
      </c>
      <c r="S92">
        <f t="shared" si="37"/>
        <v>0.61608201766530157</v>
      </c>
      <c r="T92">
        <f t="shared" si="38"/>
        <v>0.61608201766530157</v>
      </c>
      <c r="U92">
        <f t="shared" si="39"/>
        <v>1.589130643587426</v>
      </c>
      <c r="W92">
        <f t="shared" si="40"/>
        <v>1.0720833333333334E-5</v>
      </c>
      <c r="X92">
        <f t="shared" si="41"/>
        <v>12.308041008832651</v>
      </c>
      <c r="Y92">
        <f t="shared" si="42"/>
        <v>12.308041008832651</v>
      </c>
      <c r="Z92">
        <f t="shared" si="43"/>
        <v>12.794565321793712</v>
      </c>
      <c r="AB92" s="669">
        <f t="shared" si="32"/>
        <v>10.720833333333335</v>
      </c>
      <c r="AC92" s="668">
        <f t="shared" si="33"/>
        <v>5.1340168138775129E-2</v>
      </c>
      <c r="AD92" s="668">
        <f t="shared" si="34"/>
        <v>5.1340168138775129E-2</v>
      </c>
      <c r="AE92" s="668">
        <f t="shared" si="35"/>
        <v>0.13242755363228551</v>
      </c>
    </row>
    <row r="93" spans="8:31" x14ac:dyDescent="0.2">
      <c r="H93">
        <v>11</v>
      </c>
      <c r="I93" s="602">
        <f t="shared" si="36"/>
        <v>1.1732083333333334E-5</v>
      </c>
      <c r="J93">
        <f t="shared" si="23"/>
        <v>3.8421052631578942</v>
      </c>
      <c r="K93">
        <f t="shared" si="24"/>
        <v>0.30605038517593169</v>
      </c>
      <c r="L93">
        <f t="shared" si="25"/>
        <v>1.4521551109672362</v>
      </c>
      <c r="M93" s="602">
        <f t="shared" si="26"/>
        <v>1.4521551109672362</v>
      </c>
      <c r="N93">
        <f t="shared" si="27"/>
        <v>0.12101292591393635</v>
      </c>
      <c r="O93">
        <f t="shared" si="28"/>
        <v>12.726077555483618</v>
      </c>
      <c r="Q93" t="str">
        <f t="shared" si="29"/>
        <v>BOOST</v>
      </c>
      <c r="R93" s="669">
        <f t="shared" si="44"/>
        <v>11.732083333333334</v>
      </c>
      <c r="S93">
        <f t="shared" si="37"/>
        <v>0.56297866656704232</v>
      </c>
      <c r="T93">
        <f t="shared" si="38"/>
        <v>0.56297866656704232</v>
      </c>
      <c r="U93">
        <f t="shared" si="39"/>
        <v>1.4521551109672362</v>
      </c>
      <c r="W93">
        <f t="shared" si="40"/>
        <v>1.1732083333333334E-5</v>
      </c>
      <c r="X93">
        <f t="shared" si="41"/>
        <v>12.28148933328352</v>
      </c>
      <c r="Y93">
        <f t="shared" si="42"/>
        <v>12.28148933328352</v>
      </c>
      <c r="Z93">
        <f t="shared" si="43"/>
        <v>12.726077555483618</v>
      </c>
      <c r="AB93" s="669">
        <f t="shared" si="32"/>
        <v>11.732083333333334</v>
      </c>
      <c r="AC93" s="668">
        <f t="shared" si="33"/>
        <v>4.6914888880586862E-2</v>
      </c>
      <c r="AD93" s="668">
        <f t="shared" si="34"/>
        <v>4.6914888880586862E-2</v>
      </c>
      <c r="AE93" s="668">
        <f t="shared" si="35"/>
        <v>0.12101292591393635</v>
      </c>
    </row>
    <row r="94" spans="8:31" x14ac:dyDescent="0.2">
      <c r="H94">
        <v>12</v>
      </c>
      <c r="I94" s="602">
        <f t="shared" si="36"/>
        <v>1.2743333333333336E-5</v>
      </c>
      <c r="J94">
        <f t="shared" si="23"/>
        <v>3.8421052631578942</v>
      </c>
      <c r="K94">
        <f t="shared" si="24"/>
        <v>0.30605038517593169</v>
      </c>
      <c r="L94">
        <f t="shared" si="25"/>
        <v>1.3369190249641794</v>
      </c>
      <c r="M94" s="602">
        <f t="shared" si="26"/>
        <v>1.3369190249641794</v>
      </c>
      <c r="N94">
        <f t="shared" si="27"/>
        <v>0.11140991874701495</v>
      </c>
      <c r="O94">
        <f t="shared" si="28"/>
        <v>12.668459512482089</v>
      </c>
      <c r="Q94" t="str">
        <f t="shared" si="29"/>
        <v>BOOST</v>
      </c>
      <c r="R94" s="669">
        <f t="shared" si="44"/>
        <v>12.743333333333336</v>
      </c>
      <c r="S94">
        <f t="shared" si="37"/>
        <v>0.51830337151870931</v>
      </c>
      <c r="T94">
        <f t="shared" si="38"/>
        <v>0.51830337151870931</v>
      </c>
      <c r="U94">
        <f t="shared" si="39"/>
        <v>1.3369190249641794</v>
      </c>
      <c r="W94">
        <f t="shared" si="40"/>
        <v>1.2743333333333336E-5</v>
      </c>
      <c r="X94">
        <f t="shared" si="41"/>
        <v>12.259151685759354</v>
      </c>
      <c r="Y94">
        <f t="shared" si="42"/>
        <v>12.259151685759354</v>
      </c>
      <c r="Z94">
        <f t="shared" si="43"/>
        <v>12.668459512482089</v>
      </c>
      <c r="AB94" s="669">
        <f t="shared" si="32"/>
        <v>12.743333333333336</v>
      </c>
      <c r="AC94" s="668">
        <f t="shared" si="33"/>
        <v>4.3191947626559112E-2</v>
      </c>
      <c r="AD94" s="668">
        <f t="shared" si="34"/>
        <v>4.3191947626559112E-2</v>
      </c>
      <c r="AE94" s="668">
        <f t="shared" si="35"/>
        <v>0.11140991874701495</v>
      </c>
    </row>
    <row r="95" spans="8:31" x14ac:dyDescent="0.2">
      <c r="H95">
        <v>13</v>
      </c>
      <c r="I95" s="602">
        <f t="shared" si="36"/>
        <v>1.3754583333333335E-5</v>
      </c>
      <c r="J95">
        <f t="shared" si="23"/>
        <v>3.8421052631578942</v>
      </c>
      <c r="K95">
        <f t="shared" si="24"/>
        <v>0.30605038517593169</v>
      </c>
      <c r="L95">
        <f t="shared" si="25"/>
        <v>1.2386274714338998</v>
      </c>
      <c r="M95" s="602">
        <f t="shared" si="26"/>
        <v>1.2386274714338998</v>
      </c>
      <c r="N95">
        <f t="shared" si="27"/>
        <v>0.10321895595282499</v>
      </c>
      <c r="O95">
        <f t="shared" si="28"/>
        <v>12.61931373571695</v>
      </c>
      <c r="Q95" t="str">
        <f t="shared" si="29"/>
        <v>BOOST</v>
      </c>
      <c r="R95" s="669">
        <f t="shared" si="44"/>
        <v>13.754583333333336</v>
      </c>
      <c r="S95">
        <f t="shared" si="37"/>
        <v>0.48019721651959069</v>
      </c>
      <c r="T95">
        <f t="shared" si="38"/>
        <v>0.48019721651959069</v>
      </c>
      <c r="U95">
        <f t="shared" si="39"/>
        <v>1.2386274714338998</v>
      </c>
      <c r="W95">
        <f t="shared" si="40"/>
        <v>1.3754583333333335E-5</v>
      </c>
      <c r="X95">
        <f t="shared" si="41"/>
        <v>12.240098608259796</v>
      </c>
      <c r="Y95">
        <f t="shared" si="42"/>
        <v>12.240098608259796</v>
      </c>
      <c r="Z95">
        <f t="shared" si="43"/>
        <v>12.61931373571695</v>
      </c>
      <c r="AB95" s="669">
        <f t="shared" si="32"/>
        <v>13.754583333333336</v>
      </c>
      <c r="AC95" s="668">
        <f t="shared" si="33"/>
        <v>4.0016434709965888E-2</v>
      </c>
      <c r="AD95" s="668">
        <f t="shared" si="34"/>
        <v>4.0016434709965888E-2</v>
      </c>
      <c r="AE95" s="668">
        <f t="shared" si="35"/>
        <v>0.10321895595282499</v>
      </c>
    </row>
    <row r="96" spans="8:31" x14ac:dyDescent="0.2">
      <c r="H96">
        <v>14</v>
      </c>
      <c r="I96" s="602">
        <f t="shared" si="36"/>
        <v>1.4765833333333335E-5</v>
      </c>
      <c r="J96">
        <f t="shared" si="23"/>
        <v>3.8421052631578942</v>
      </c>
      <c r="K96">
        <f t="shared" si="24"/>
        <v>0.30605038517593169</v>
      </c>
      <c r="L96">
        <f t="shared" si="25"/>
        <v>1.1537990704753223</v>
      </c>
      <c r="M96" s="602">
        <f t="shared" si="26"/>
        <v>1.1537990704753223</v>
      </c>
      <c r="N96">
        <f t="shared" si="27"/>
        <v>9.6149922539610189E-2</v>
      </c>
      <c r="O96">
        <f t="shared" si="28"/>
        <v>12.576899535237661</v>
      </c>
      <c r="Q96" t="str">
        <f t="shared" si="29"/>
        <v>BOOST</v>
      </c>
      <c r="R96" s="669">
        <f t="shared" si="44"/>
        <v>14.765833333333335</v>
      </c>
      <c r="S96">
        <f t="shared" si="37"/>
        <v>0.44731052301281699</v>
      </c>
      <c r="T96">
        <f t="shared" si="38"/>
        <v>0.44731052301281699</v>
      </c>
      <c r="U96">
        <f t="shared" si="39"/>
        <v>1.1537990704753223</v>
      </c>
      <c r="W96">
        <f t="shared" si="40"/>
        <v>1.4765833333333335E-5</v>
      </c>
      <c r="X96">
        <f t="shared" si="41"/>
        <v>12.223655261506408</v>
      </c>
      <c r="Y96">
        <f t="shared" si="42"/>
        <v>12.223655261506408</v>
      </c>
      <c r="Z96">
        <f t="shared" si="43"/>
        <v>12.576899535237661</v>
      </c>
      <c r="AB96" s="669">
        <f t="shared" si="32"/>
        <v>14.765833333333335</v>
      </c>
      <c r="AC96" s="668">
        <f t="shared" si="33"/>
        <v>3.7275876917734749E-2</v>
      </c>
      <c r="AD96" s="668">
        <f t="shared" si="34"/>
        <v>3.7275876917734749E-2</v>
      </c>
      <c r="AE96" s="668">
        <f t="shared" si="35"/>
        <v>9.6149922539610189E-2</v>
      </c>
    </row>
    <row r="97" spans="8:31" x14ac:dyDescent="0.2">
      <c r="H97">
        <v>15</v>
      </c>
      <c r="I97" s="602">
        <f t="shared" si="36"/>
        <v>1.5777083333333335E-5</v>
      </c>
      <c r="J97">
        <f t="shared" si="23"/>
        <v>3.8421052631578942</v>
      </c>
      <c r="K97">
        <f t="shared" si="24"/>
        <v>0.30605038517593169</v>
      </c>
      <c r="L97">
        <f t="shared" si="25"/>
        <v>1.0798450141160563</v>
      </c>
      <c r="M97" s="602">
        <f t="shared" si="26"/>
        <v>1.0798450141160563</v>
      </c>
      <c r="N97">
        <f t="shared" si="27"/>
        <v>8.9987084509671356E-2</v>
      </c>
      <c r="O97">
        <f t="shared" si="28"/>
        <v>12.539922507058028</v>
      </c>
      <c r="Q97" t="str">
        <f t="shared" si="29"/>
        <v>BOOST</v>
      </c>
      <c r="R97" s="669">
        <f t="shared" si="44"/>
        <v>15.777083333333335</v>
      </c>
      <c r="S97">
        <f t="shared" si="37"/>
        <v>0.41863964913583013</v>
      </c>
      <c r="T97">
        <f t="shared" si="38"/>
        <v>0.41863964913583013</v>
      </c>
      <c r="U97">
        <f t="shared" si="39"/>
        <v>1.0798450141160563</v>
      </c>
      <c r="W97">
        <f t="shared" si="40"/>
        <v>1.5777083333333335E-5</v>
      </c>
      <c r="X97">
        <f t="shared" si="41"/>
        <v>12.209319824567915</v>
      </c>
      <c r="Y97">
        <f t="shared" si="42"/>
        <v>12.209319824567915</v>
      </c>
      <c r="Z97">
        <f t="shared" si="43"/>
        <v>12.539922507058028</v>
      </c>
      <c r="AB97" s="669">
        <f t="shared" si="32"/>
        <v>15.777083333333335</v>
      </c>
      <c r="AC97" s="668">
        <f t="shared" si="33"/>
        <v>3.4886637427985846E-2</v>
      </c>
      <c r="AD97" s="668">
        <f t="shared" si="34"/>
        <v>3.4886637427985846E-2</v>
      </c>
      <c r="AE97" s="668">
        <f t="shared" si="35"/>
        <v>8.9987084509671356E-2</v>
      </c>
    </row>
    <row r="98" spans="8:31" x14ac:dyDescent="0.2">
      <c r="H98">
        <v>16</v>
      </c>
      <c r="I98" s="602">
        <f t="shared" si="36"/>
        <v>1.6788333333333333E-5</v>
      </c>
      <c r="J98">
        <f t="shared" si="23"/>
        <v>3.8421052631578942</v>
      </c>
      <c r="K98">
        <f t="shared" si="24"/>
        <v>0.30605038517593169</v>
      </c>
      <c r="L98">
        <f t="shared" si="25"/>
        <v>1.0148002447012923</v>
      </c>
      <c r="M98" s="602">
        <f t="shared" si="26"/>
        <v>1.0148002447012923</v>
      </c>
      <c r="N98">
        <f t="shared" si="27"/>
        <v>8.4566687058441017E-2</v>
      </c>
      <c r="O98">
        <f t="shared" si="28"/>
        <v>12.507400122350646</v>
      </c>
      <c r="Q98" t="str">
        <f t="shared" si="29"/>
        <v>BOOST</v>
      </c>
      <c r="R98" s="669">
        <f t="shared" si="44"/>
        <v>16.788333333333334</v>
      </c>
      <c r="S98">
        <f t="shared" si="37"/>
        <v>0.39342277163030398</v>
      </c>
      <c r="T98">
        <f t="shared" si="38"/>
        <v>0.39342277163030398</v>
      </c>
      <c r="U98">
        <f t="shared" si="39"/>
        <v>1.0148002447012923</v>
      </c>
      <c r="W98">
        <f t="shared" si="40"/>
        <v>1.6788333333333333E-5</v>
      </c>
      <c r="X98">
        <f t="shared" si="41"/>
        <v>12.196711385815153</v>
      </c>
      <c r="Y98">
        <f t="shared" si="42"/>
        <v>12.196711385815153</v>
      </c>
      <c r="Z98">
        <f t="shared" si="43"/>
        <v>12.507400122350646</v>
      </c>
      <c r="AB98" s="669">
        <f t="shared" si="32"/>
        <v>16.788333333333334</v>
      </c>
      <c r="AC98" s="668">
        <f t="shared" si="33"/>
        <v>3.2785230969191996E-2</v>
      </c>
      <c r="AD98" s="668">
        <f t="shared" si="34"/>
        <v>3.2785230969191996E-2</v>
      </c>
      <c r="AE98" s="668">
        <f t="shared" si="35"/>
        <v>8.4566687058441017E-2</v>
      </c>
    </row>
    <row r="99" spans="8:31" x14ac:dyDescent="0.2">
      <c r="H99">
        <v>17</v>
      </c>
      <c r="I99" s="602">
        <f t="shared" si="36"/>
        <v>1.7799583333333335E-5</v>
      </c>
      <c r="J99">
        <f t="shared" si="23"/>
        <v>3.8421052631578942</v>
      </c>
      <c r="K99">
        <f t="shared" si="24"/>
        <v>0.30605038517593169</v>
      </c>
      <c r="L99">
        <f t="shared" si="25"/>
        <v>0.95714626886173526</v>
      </c>
      <c r="M99" s="602">
        <f t="shared" si="26"/>
        <v>0.95714626886173526</v>
      </c>
      <c r="N99">
        <f t="shared" si="27"/>
        <v>7.9762189071811276E-2</v>
      </c>
      <c r="O99">
        <f t="shared" si="28"/>
        <v>12.478573134430867</v>
      </c>
      <c r="Q99" t="str">
        <f t="shared" si="29"/>
        <v>BOOST</v>
      </c>
      <c r="R99" s="669">
        <f t="shared" si="44"/>
        <v>17.799583333333334</v>
      </c>
      <c r="S99">
        <f t="shared" si="37"/>
        <v>0.37107119348599471</v>
      </c>
      <c r="T99">
        <f t="shared" si="38"/>
        <v>0.37107119348599471</v>
      </c>
      <c r="U99">
        <f t="shared" si="39"/>
        <v>0.95714626886173526</v>
      </c>
      <c r="W99">
        <f t="shared" si="40"/>
        <v>1.7799583333333335E-5</v>
      </c>
      <c r="X99">
        <f t="shared" si="41"/>
        <v>12.185535596742998</v>
      </c>
      <c r="Y99">
        <f t="shared" si="42"/>
        <v>12.185535596742998</v>
      </c>
      <c r="Z99">
        <f t="shared" si="43"/>
        <v>12.478573134430867</v>
      </c>
      <c r="AB99" s="669">
        <f t="shared" si="32"/>
        <v>17.799583333333334</v>
      </c>
      <c r="AC99" s="668">
        <f t="shared" si="33"/>
        <v>3.0922599457166227E-2</v>
      </c>
      <c r="AD99" s="668">
        <f t="shared" si="34"/>
        <v>3.0922599457166227E-2</v>
      </c>
      <c r="AE99" s="668">
        <f t="shared" si="35"/>
        <v>7.9762189071811276E-2</v>
      </c>
    </row>
    <row r="100" spans="8:31" x14ac:dyDescent="0.2">
      <c r="H100">
        <v>18</v>
      </c>
      <c r="I100" s="602">
        <f t="shared" si="36"/>
        <v>1.8810833333333333E-5</v>
      </c>
      <c r="J100">
        <f t="shared" si="23"/>
        <v>3.8421052631578942</v>
      </c>
      <c r="K100">
        <f t="shared" si="24"/>
        <v>0.30605038517593169</v>
      </c>
      <c r="L100">
        <f t="shared" si="25"/>
        <v>0.9056911234551116</v>
      </c>
      <c r="M100" s="602">
        <f t="shared" si="26"/>
        <v>0.9056911234551116</v>
      </c>
      <c r="N100">
        <f t="shared" si="27"/>
        <v>7.5474260287925962E-2</v>
      </c>
      <c r="O100">
        <f t="shared" si="28"/>
        <v>12.452845561727555</v>
      </c>
      <c r="Q100" t="str">
        <f t="shared" si="29"/>
        <v>BOOST</v>
      </c>
      <c r="R100" s="669">
        <f t="shared" si="44"/>
        <v>18.810833333333331</v>
      </c>
      <c r="S100">
        <f t="shared" si="37"/>
        <v>0.3511228085440174</v>
      </c>
      <c r="T100">
        <f t="shared" si="38"/>
        <v>0.3511228085440174</v>
      </c>
      <c r="U100">
        <f t="shared" si="39"/>
        <v>0.9056911234551116</v>
      </c>
      <c r="W100">
        <f t="shared" si="40"/>
        <v>1.8810833333333333E-5</v>
      </c>
      <c r="X100">
        <f t="shared" si="41"/>
        <v>12.175561404272008</v>
      </c>
      <c r="Y100">
        <f t="shared" si="42"/>
        <v>12.175561404272008</v>
      </c>
      <c r="Z100">
        <f t="shared" si="43"/>
        <v>12.452845561727555</v>
      </c>
      <c r="AB100" s="669">
        <f t="shared" si="32"/>
        <v>18.810833333333331</v>
      </c>
      <c r="AC100" s="668">
        <f t="shared" si="33"/>
        <v>2.9260234045334784E-2</v>
      </c>
      <c r="AD100" s="668">
        <f t="shared" si="34"/>
        <v>2.9260234045334784E-2</v>
      </c>
      <c r="AE100" s="668">
        <f t="shared" si="35"/>
        <v>7.5474260287925962E-2</v>
      </c>
    </row>
    <row r="101" spans="8:31" x14ac:dyDescent="0.2">
      <c r="H101">
        <v>19</v>
      </c>
      <c r="I101" s="602">
        <f t="shared" si="36"/>
        <v>1.9822083333333334E-5</v>
      </c>
      <c r="J101">
        <f t="shared" si="23"/>
        <v>3.8421052631578942</v>
      </c>
      <c r="K101">
        <f t="shared" si="24"/>
        <v>0.30605038517593169</v>
      </c>
      <c r="L101">
        <f t="shared" si="25"/>
        <v>0.85948608369252455</v>
      </c>
      <c r="M101" s="602">
        <f t="shared" si="26"/>
        <v>0.85948608369252455</v>
      </c>
      <c r="N101">
        <f t="shared" si="27"/>
        <v>7.1623840307710379E-2</v>
      </c>
      <c r="O101">
        <f t="shared" si="28"/>
        <v>12.429743041846262</v>
      </c>
      <c r="Q101" t="str">
        <f t="shared" si="29"/>
        <v>BOOST</v>
      </c>
      <c r="R101" s="669">
        <f t="shared" si="44"/>
        <v>19.822083333333335</v>
      </c>
      <c r="S101">
        <f t="shared" si="37"/>
        <v>0.33320981049183801</v>
      </c>
      <c r="T101">
        <f t="shared" si="38"/>
        <v>0.33320981049183801</v>
      </c>
      <c r="U101">
        <f t="shared" si="39"/>
        <v>0.85948608369252455</v>
      </c>
      <c r="W101">
        <f t="shared" si="40"/>
        <v>1.9822083333333334E-5</v>
      </c>
      <c r="X101">
        <f t="shared" si="41"/>
        <v>12.166604905245919</v>
      </c>
      <c r="Y101">
        <f t="shared" si="42"/>
        <v>12.166604905245919</v>
      </c>
      <c r="Z101">
        <f t="shared" si="43"/>
        <v>12.429743041846262</v>
      </c>
      <c r="AB101" s="669">
        <f t="shared" si="32"/>
        <v>19.822083333333335</v>
      </c>
      <c r="AC101" s="668">
        <f t="shared" si="33"/>
        <v>2.7767484207653167E-2</v>
      </c>
      <c r="AD101" s="668">
        <f t="shared" si="34"/>
        <v>2.7767484207653167E-2</v>
      </c>
      <c r="AE101" s="668">
        <f t="shared" si="35"/>
        <v>7.1623840307710379E-2</v>
      </c>
    </row>
    <row r="102" spans="8:31" x14ac:dyDescent="0.2">
      <c r="H102">
        <v>20</v>
      </c>
      <c r="I102" s="602">
        <f t="shared" si="36"/>
        <v>2.0833333333333333E-5</v>
      </c>
      <c r="J102">
        <f t="shared" si="23"/>
        <v>3.8421052631578942</v>
      </c>
      <c r="K102">
        <f t="shared" si="24"/>
        <v>0.30605038517593169</v>
      </c>
      <c r="L102">
        <f t="shared" si="25"/>
        <v>0.81776662919008947</v>
      </c>
      <c r="M102" s="602">
        <f t="shared" si="26"/>
        <v>0.81776662919008947</v>
      </c>
      <c r="N102">
        <f t="shared" si="27"/>
        <v>6.8147219099174122E-2</v>
      </c>
      <c r="O102">
        <f t="shared" si="28"/>
        <v>12.408883314595045</v>
      </c>
      <c r="Q102" t="str">
        <f t="shared" si="29"/>
        <v>BOOST</v>
      </c>
      <c r="R102" s="669">
        <f t="shared" si="44"/>
        <v>20.833333333333332</v>
      </c>
      <c r="S102">
        <f t="shared" si="37"/>
        <v>0.31703580629056416</v>
      </c>
      <c r="T102">
        <f t="shared" si="38"/>
        <v>0.31703580629056416</v>
      </c>
      <c r="U102">
        <f t="shared" si="39"/>
        <v>0.81776662919008947</v>
      </c>
      <c r="W102">
        <f t="shared" si="40"/>
        <v>2.0833333333333333E-5</v>
      </c>
      <c r="X102">
        <f t="shared" si="41"/>
        <v>12.158517903145283</v>
      </c>
      <c r="Y102">
        <f t="shared" si="42"/>
        <v>12.158517903145283</v>
      </c>
      <c r="Z102">
        <f t="shared" si="43"/>
        <v>12.408883314595045</v>
      </c>
      <c r="AB102" s="669">
        <f t="shared" si="32"/>
        <v>20.833333333333332</v>
      </c>
      <c r="AC102" s="668">
        <f t="shared" si="33"/>
        <v>2.6419650524213679E-2</v>
      </c>
      <c r="AD102" s="668">
        <f t="shared" si="34"/>
        <v>2.6419650524213679E-2</v>
      </c>
      <c r="AE102" s="668">
        <f t="shared" si="35"/>
        <v>6.8147219099174122E-2</v>
      </c>
    </row>
  </sheetData>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FCD9F-7AD9-4CE4-985E-7C14F9697154}">
  <sheetPr codeName="Sheet14"/>
  <dimension ref="A1:AG96"/>
  <sheetViews>
    <sheetView zoomScale="85" zoomScaleNormal="85" workbookViewId="0">
      <selection activeCell="E1" sqref="E1:F5"/>
    </sheetView>
  </sheetViews>
  <sheetFormatPr defaultColWidth="9.140625" defaultRowHeight="15" x14ac:dyDescent="0.25"/>
  <cols>
    <col min="1" max="3" width="9.28515625" style="704" bestFit="1" customWidth="1"/>
    <col min="4" max="4" width="9.140625" style="704"/>
    <col min="5" max="5" width="19.140625" style="704" bestFit="1" customWidth="1"/>
    <col min="6" max="8" width="11" style="704" bestFit="1" customWidth="1"/>
    <col min="9" max="9" width="9.140625" style="704"/>
    <col min="10" max="10" width="9.28515625" style="704" bestFit="1" customWidth="1"/>
    <col min="11" max="11" width="12" style="704" bestFit="1" customWidth="1"/>
    <col min="12" max="12" width="11" style="704" bestFit="1" customWidth="1"/>
    <col min="13" max="13" width="12" style="704" bestFit="1" customWidth="1"/>
    <col min="14" max="14" width="13.5703125" style="704" customWidth="1"/>
    <col min="15" max="15" width="9.140625" style="704"/>
    <col min="16" max="16" width="11" style="704" bestFit="1" customWidth="1"/>
    <col min="17" max="17" width="9.140625" style="704"/>
    <col min="18" max="18" width="11" style="704" bestFit="1" customWidth="1"/>
    <col min="19" max="19" width="9.140625" style="704"/>
    <col min="20" max="20" width="11" style="704" bestFit="1" customWidth="1"/>
    <col min="21" max="23" width="9.140625" style="704"/>
    <col min="24" max="24" width="16.42578125" style="704" bestFit="1" customWidth="1"/>
    <col min="25" max="25" width="16.7109375" style="704" bestFit="1" customWidth="1"/>
    <col min="26" max="16384" width="9.140625" style="704"/>
  </cols>
  <sheetData>
    <row r="1" spans="1:29" s="691" customFormat="1" x14ac:dyDescent="0.25">
      <c r="A1" s="691" t="s">
        <v>957</v>
      </c>
      <c r="B1" s="691">
        <v>2</v>
      </c>
      <c r="C1" s="691" t="s">
        <v>1114</v>
      </c>
      <c r="E1" s="691" t="s">
        <v>1115</v>
      </c>
      <c r="F1" s="691" t="s">
        <v>4</v>
      </c>
      <c r="G1" s="692">
        <v>1.15E-7</v>
      </c>
      <c r="H1" s="692">
        <v>8.0000000000000002E-8</v>
      </c>
      <c r="I1" s="692">
        <f>IF($B$1=2,H1,G1)</f>
        <v>8.0000000000000002E-8</v>
      </c>
      <c r="L1" s="693">
        <f>I1</f>
        <v>8.0000000000000002E-8</v>
      </c>
      <c r="N1" s="691">
        <f>0.75/$L$1*$J$3/2000000*0.2</f>
        <v>9.3749999999999992E-7</v>
      </c>
      <c r="V1" s="694" t="s">
        <v>1116</v>
      </c>
      <c r="W1" s="694"/>
      <c r="X1" s="695" t="s">
        <v>1117</v>
      </c>
      <c r="Y1" s="696">
        <f>1/2*Fsw/L*((W16)^2*(Vin-Vout)+(W15)^2*Vin+(W17)^2*Vout)</f>
        <v>2.920015646407248</v>
      </c>
      <c r="Z1" s="695"/>
      <c r="AA1" s="691" t="s">
        <v>1118</v>
      </c>
      <c r="AC1" s="691" t="s">
        <v>1119</v>
      </c>
    </row>
    <row r="2" spans="1:29" s="691" customFormat="1" x14ac:dyDescent="0.25">
      <c r="E2" s="691" t="s">
        <v>1121</v>
      </c>
      <c r="F2" s="691">
        <f>$P$9</f>
        <v>16.696809135219741</v>
      </c>
      <c r="G2" s="691">
        <v>2</v>
      </c>
      <c r="H2" s="691">
        <v>4</v>
      </c>
      <c r="I2" s="691">
        <f t="shared" ref="I2:I5" si="0">IF($B$1=2,H2,G2)</f>
        <v>4</v>
      </c>
      <c r="L2" s="697"/>
      <c r="N2" s="691">
        <f>MIN($J$3/2000000*$B$3*1000*$L$5+$J$4*(1-$L$5),$N$1)</f>
        <v>3.5833324000000001E-7</v>
      </c>
      <c r="P2" s="691">
        <f>$N$5-$J$7*$J$1</f>
        <v>2.0930238009736409E-7</v>
      </c>
      <c r="R2" s="691">
        <f>$N$5-$J$7*$J$1</f>
        <v>2.0930238009736409E-7</v>
      </c>
      <c r="T2" s="691">
        <f>MAX(MAX(0.5*$N$5/$L$4*$L$6,J6*$J$2)-$J$7*$J$1,0)</f>
        <v>1.0465119004868204E-7</v>
      </c>
      <c r="V2" s="694"/>
      <c r="W2" s="694"/>
      <c r="X2" s="695" t="s">
        <v>1180</v>
      </c>
      <c r="Y2" s="698">
        <f>1/2*Fsw/L*((W16)^2*(Vin-Vout)+(W17)^2*Vout)</f>
        <v>0.46311676958715742</v>
      </c>
      <c r="Z2" s="695"/>
    </row>
    <row r="3" spans="1:29" s="691" customFormat="1" x14ac:dyDescent="0.25">
      <c r="A3" s="691" t="s">
        <v>1120</v>
      </c>
      <c r="B3" s="691">
        <f>Fsw/1000</f>
        <v>600</v>
      </c>
      <c r="E3" s="691" t="s">
        <v>1123</v>
      </c>
      <c r="F3" s="691">
        <f>$T$9</f>
        <v>19.92819751994363</v>
      </c>
      <c r="G3" s="691">
        <v>1</v>
      </c>
      <c r="H3" s="691">
        <v>1</v>
      </c>
      <c r="I3" s="691">
        <f t="shared" si="0"/>
        <v>1</v>
      </c>
      <c r="J3" s="699">
        <v>9.9999999999999995E-7</v>
      </c>
      <c r="L3" s="699">
        <f>0.225-I2*0.025</f>
        <v>0.125</v>
      </c>
      <c r="P3" s="691">
        <f>$N$5+$J$7*$J$1</f>
        <v>2.0930238009736409E-7</v>
      </c>
      <c r="R3" s="691">
        <f>$N$5+J7*$J$1</f>
        <v>2.0930238009736409E-7</v>
      </c>
      <c r="T3" s="691">
        <f>MAX(0.5*$N$5/$L$4*$L$6,J5*$J$2)</f>
        <v>1.0465119004868204E-7</v>
      </c>
      <c r="V3" s="694"/>
      <c r="W3" s="694"/>
      <c r="X3" s="695" t="s">
        <v>1181</v>
      </c>
      <c r="Y3" s="698">
        <f>1/2*Fsw/L*((W16)^2*(Vin-Vout)+(W15)^2*Vin)</f>
        <v>2.4633177909882913</v>
      </c>
      <c r="Z3" s="695"/>
    </row>
    <row r="4" spans="1:29" s="691" customFormat="1" x14ac:dyDescent="0.25">
      <c r="A4" s="691" t="s">
        <v>1122</v>
      </c>
      <c r="B4" s="691">
        <v>0</v>
      </c>
      <c r="E4" s="691" t="s">
        <v>1124</v>
      </c>
      <c r="F4" s="691">
        <f>$R$8</f>
        <v>12.766511150347091</v>
      </c>
      <c r="G4" s="691">
        <v>2</v>
      </c>
      <c r="H4" s="691">
        <v>2</v>
      </c>
      <c r="I4" s="691">
        <f t="shared" si="0"/>
        <v>2</v>
      </c>
      <c r="J4" s="699">
        <v>9.9999999999999995E-7</v>
      </c>
      <c r="L4" s="699">
        <f>0.75+I3*0.25</f>
        <v>1</v>
      </c>
      <c r="N4" s="691">
        <f>$L$3/$B$3*0.001</f>
        <v>2.0833333333333336E-7</v>
      </c>
      <c r="P4" s="691">
        <f>0.001/$B$3-$P$3</f>
        <v>1.4573642865693025E-6</v>
      </c>
      <c r="R4" s="691">
        <f>0.001/$B$3-R3</f>
        <v>1.4573642865693025E-6</v>
      </c>
      <c r="T4" s="691">
        <f>MAX($T$5-$T$3-J7*$J$1,0)</f>
        <v>5.2228690347937945E-7</v>
      </c>
      <c r="V4" s="694"/>
      <c r="W4" s="694"/>
      <c r="X4" s="695"/>
      <c r="Y4" s="695"/>
      <c r="Z4" s="695"/>
    </row>
    <row r="5" spans="1:29" s="691" customFormat="1" x14ac:dyDescent="0.25">
      <c r="A5" s="691" t="s">
        <v>4</v>
      </c>
      <c r="B5" s="691">
        <f>VIN_nom</f>
        <v>20</v>
      </c>
      <c r="E5" s="691" t="s">
        <v>1126</v>
      </c>
      <c r="F5" s="691">
        <f>$T$8</f>
        <v>10.696401407436619</v>
      </c>
      <c r="G5" s="691">
        <v>1</v>
      </c>
      <c r="H5" s="691">
        <v>1</v>
      </c>
      <c r="I5" s="691">
        <f t="shared" si="0"/>
        <v>1</v>
      </c>
      <c r="J5" s="691">
        <f>IF(B4&gt;0,1,0)</f>
        <v>0</v>
      </c>
      <c r="L5" s="699">
        <f>1-I4*0.0416666</f>
        <v>0.9166668</v>
      </c>
      <c r="N5" s="691">
        <f>$L$4*0.000000075/$N$2*0.000001</f>
        <v>2.0930238009736409E-7</v>
      </c>
      <c r="T5" s="691">
        <f>$N$4+2*$N$5</f>
        <v>6.2693809352806151E-7</v>
      </c>
      <c r="V5" s="694"/>
      <c r="W5" s="694"/>
      <c r="X5" s="695" t="s">
        <v>1127</v>
      </c>
      <c r="Y5" s="695">
        <f>IF(B5&gt;B6,Iin+Y1,Iout+Y1)</f>
        <v>12.141068277986193</v>
      </c>
      <c r="Z5" s="695"/>
    </row>
    <row r="6" spans="1:29" s="691" customFormat="1" x14ac:dyDescent="0.25">
      <c r="A6" s="691" t="s">
        <v>1125</v>
      </c>
      <c r="B6" s="691">
        <f>Vout</f>
        <v>14.6</v>
      </c>
      <c r="G6" s="691" t="s">
        <v>864</v>
      </c>
      <c r="H6" s="691" t="s">
        <v>958</v>
      </c>
      <c r="J6" s="691">
        <f>IF(B4&lt;0,1,0)</f>
        <v>0</v>
      </c>
      <c r="L6" s="691">
        <f>0.75+I5*0.25</f>
        <v>1</v>
      </c>
      <c r="N6" s="691">
        <f>N4+2*N5</f>
        <v>6.2693809352806151E-7</v>
      </c>
      <c r="T6" s="691">
        <f>0.001/$B$3-$T$5</f>
        <v>1.0397285731386053E-6</v>
      </c>
      <c r="V6" s="694"/>
      <c r="W6" s="694"/>
      <c r="X6" s="695" t="s">
        <v>1128</v>
      </c>
      <c r="Y6" s="696">
        <f>Vin/L*W16</f>
        <v>0.77482086848862008</v>
      </c>
      <c r="Z6" s="695"/>
    </row>
    <row r="7" spans="1:29" s="691" customFormat="1" x14ac:dyDescent="0.25">
      <c r="A7" s="691" t="s">
        <v>6</v>
      </c>
      <c r="B7" s="691">
        <f>Iout</f>
        <v>12</v>
      </c>
      <c r="J7" s="691">
        <f>J5-J6</f>
        <v>0</v>
      </c>
      <c r="V7" s="694"/>
      <c r="W7" s="694"/>
      <c r="X7" s="695" t="s">
        <v>1129</v>
      </c>
      <c r="Y7" s="696">
        <f>(Vin-Vout)/L*W15</f>
        <v>2.1267175359653288</v>
      </c>
      <c r="Z7" s="695"/>
    </row>
    <row r="8" spans="1:29" s="691" customFormat="1" x14ac:dyDescent="0.25">
      <c r="A8" s="691" t="s">
        <v>402</v>
      </c>
      <c r="B8" s="691">
        <f>Iin_Vinnom</f>
        <v>9.2210526315789458</v>
      </c>
      <c r="E8" s="691" t="s">
        <v>1131</v>
      </c>
      <c r="F8" s="691" t="s">
        <v>1132</v>
      </c>
      <c r="G8" s="691" t="s">
        <v>1133</v>
      </c>
      <c r="H8" s="691" t="s">
        <v>1134</v>
      </c>
      <c r="P8" s="691">
        <f>B6*1/($P$2*1000*$B$3)</f>
        <v>116.25922897777778</v>
      </c>
      <c r="R8" s="691">
        <f>$B$6*(1-$R$2*1000*$B$3)</f>
        <v>12.766511150347091</v>
      </c>
      <c r="T8" s="691">
        <f>$B$6*((0.001/$B$3-$T$4)/($T$6+$T$4))</f>
        <v>10.696401407436619</v>
      </c>
      <c r="V8" s="694"/>
      <c r="W8" s="694"/>
      <c r="X8" s="695" t="s">
        <v>1135</v>
      </c>
      <c r="Y8" s="696">
        <f>Vout/L*W17</f>
        <v>2.9015384044539503</v>
      </c>
      <c r="Z8" s="695"/>
    </row>
    <row r="9" spans="1:29" s="691" customFormat="1" x14ac:dyDescent="0.25">
      <c r="A9" s="691" t="s">
        <v>1130</v>
      </c>
      <c r="B9" s="691">
        <f>Efficiency</f>
        <v>0.95</v>
      </c>
      <c r="E9" s="691" t="s">
        <v>1123</v>
      </c>
      <c r="F9" s="691">
        <f>Timings!$T$6*1000000000</f>
        <v>1039.7285731386053</v>
      </c>
      <c r="G9" s="691">
        <f>Timings!$T$2*1000000000</f>
        <v>104.65119004868204</v>
      </c>
      <c r="H9" s="691">
        <f>(Timings!$T$5-Timings!$T$2)*1000000000</f>
        <v>522.28690347937948</v>
      </c>
      <c r="P9" s="691">
        <f>$B$6/($P$4*1000*$B$3)</f>
        <v>16.696809135219741</v>
      </c>
      <c r="R9" s="691">
        <f>B6*(1-$R$4*1000*$B$3)</f>
        <v>1.8334888496529091</v>
      </c>
      <c r="T9" s="691">
        <f>$B$6*((0.001/$B$3-$T$2)/($T$6+$T$2))</f>
        <v>19.92819751994363</v>
      </c>
      <c r="V9" s="694"/>
      <c r="W9" s="694"/>
      <c r="X9" s="695"/>
      <c r="Y9" s="695"/>
      <c r="Z9" s="695"/>
    </row>
    <row r="10" spans="1:29" s="691" customFormat="1" x14ac:dyDescent="0.25">
      <c r="A10" s="691" t="s">
        <v>60</v>
      </c>
      <c r="B10" s="700">
        <f>Lf</f>
        <v>2.6400000000000001E-6</v>
      </c>
      <c r="E10" s="691" t="s">
        <v>1126</v>
      </c>
      <c r="F10" s="691">
        <f>Timings!$T$6*1000000000</f>
        <v>1039.7285731386053</v>
      </c>
      <c r="G10" s="691">
        <f>Timings!$T$4*1000000000</f>
        <v>522.28690347937948</v>
      </c>
      <c r="H10" s="691">
        <f>(Timings!$T$5-Timings!$T$4)*1000000000</f>
        <v>104.65119004868205</v>
      </c>
      <c r="V10" s="694"/>
      <c r="W10" s="694"/>
      <c r="X10" s="695" t="s">
        <v>1136</v>
      </c>
      <c r="Y10" s="695"/>
      <c r="Z10" s="695"/>
    </row>
    <row r="11" spans="1:29" s="691" customFormat="1" x14ac:dyDescent="0.25">
      <c r="E11" s="691" t="s">
        <v>1137</v>
      </c>
      <c r="F11" s="691">
        <f>Timings!$T$6*1000000000</f>
        <v>1039.7285731386053</v>
      </c>
      <c r="G11" s="691">
        <f>Timings!$N$6*1000000000*L11</f>
        <v>411.89832744793642</v>
      </c>
      <c r="H11" s="691">
        <f>Timings!$N$6*1000000000*(1-L11)</f>
        <v>215.03976608012508</v>
      </c>
      <c r="K11" s="691" t="s">
        <v>1138</v>
      </c>
      <c r="L11" s="691">
        <v>0.65700000000000003</v>
      </c>
      <c r="V11" s="694"/>
      <c r="W11" s="694"/>
      <c r="X11" s="695" t="s">
        <v>1139</v>
      </c>
      <c r="Y11" s="701">
        <f>IF(Vin&gt;B6,0,Y6)+Iout-Y2</f>
        <v>11.536883230412842</v>
      </c>
      <c r="Z11" s="695"/>
      <c r="AA11" s="692">
        <f>1/(W15+W16)*(Iin/Fsw-1/2*dI1_*W15-dI1_*W16-1/2*dI2_*W16)</f>
        <v>12.940064165013371</v>
      </c>
    </row>
    <row r="12" spans="1:29" s="691" customFormat="1" x14ac:dyDescent="0.25">
      <c r="K12" s="691" t="s">
        <v>1140</v>
      </c>
      <c r="V12" s="694"/>
      <c r="W12" s="694"/>
      <c r="X12" s="695" t="s">
        <v>1141</v>
      </c>
      <c r="Y12" s="695">
        <f>IF(Vin&gt;B6,Y7,0)+Iout-Y2</f>
        <v>13.66360076637817</v>
      </c>
      <c r="Z12" s="695"/>
    </row>
    <row r="13" spans="1:29" s="691" customFormat="1" x14ac:dyDescent="0.25">
      <c r="V13" s="695"/>
      <c r="W13" s="695"/>
      <c r="X13" s="695" t="s">
        <v>1142</v>
      </c>
      <c r="Y13" s="702">
        <f>Y11+Y8</f>
        <v>14.438421634866792</v>
      </c>
      <c r="Z13" s="695"/>
    </row>
    <row r="14" spans="1:29" s="691" customFormat="1" x14ac:dyDescent="0.25">
      <c r="E14" s="691" t="s">
        <v>1143</v>
      </c>
      <c r="F14" s="691" t="s">
        <v>1132</v>
      </c>
      <c r="G14" s="691" t="s">
        <v>1133</v>
      </c>
      <c r="H14" s="691" t="s">
        <v>1134</v>
      </c>
      <c r="V14" s="695" t="s">
        <v>1144</v>
      </c>
      <c r="W14" s="695"/>
      <c r="X14" s="695" t="s">
        <v>1145</v>
      </c>
      <c r="Y14" s="703">
        <f>ABS(MAX(Y11:Y13))-ABS(MIN(Y11:Y13))</f>
        <v>2.9015384044539498</v>
      </c>
      <c r="Z14" s="695"/>
    </row>
    <row r="15" spans="1:29" s="691" customFormat="1" x14ac:dyDescent="0.25">
      <c r="E15" s="691" t="s">
        <v>1123</v>
      </c>
      <c r="F15" s="691">
        <f t="shared" ref="F15:H17" si="1">F9*$B$3*0.000001*100</f>
        <v>62.383714388316314</v>
      </c>
      <c r="G15" s="691">
        <f t="shared" si="1"/>
        <v>6.2790714029209216</v>
      </c>
      <c r="H15" s="691">
        <f t="shared" si="1"/>
        <v>31.337214208762767</v>
      </c>
      <c r="V15" s="695" t="s">
        <v>1146</v>
      </c>
      <c r="W15" s="698">
        <f>$F$11*0.000000001</f>
        <v>1.0397285731386053E-6</v>
      </c>
      <c r="X15" s="695"/>
      <c r="Y15" s="695"/>
      <c r="Z15" s="695"/>
    </row>
    <row r="16" spans="1:29" s="691" customFormat="1" x14ac:dyDescent="0.25">
      <c r="E16" s="691" t="s">
        <v>1126</v>
      </c>
      <c r="F16" s="691">
        <f t="shared" si="1"/>
        <v>62.383714388316314</v>
      </c>
      <c r="G16" s="691">
        <f t="shared" si="1"/>
        <v>31.337214208762767</v>
      </c>
      <c r="H16" s="691">
        <f t="shared" si="1"/>
        <v>6.2790714029209234</v>
      </c>
      <c r="V16" s="695" t="s">
        <v>1147</v>
      </c>
      <c r="W16" s="698">
        <f>(Vout/Fsw-Vin*W15)/(Vin+Vout)</f>
        <v>1.0227635464049786E-7</v>
      </c>
      <c r="X16" s="695" t="s">
        <v>1148</v>
      </c>
      <c r="Y16" s="695">
        <f>SQRT(Fsw*(M75*(I_0*I_1+((I_1-I_0)^2)/3)+M76*(I_1*I_2+((I_2-I_1)^2)/3)+M77*(I_2*I_0+((I_0-I_2)^2)/3)))</f>
        <v>12.834268198964674</v>
      </c>
      <c r="Z16" s="695"/>
    </row>
    <row r="17" spans="1:33" s="691" customFormat="1" x14ac:dyDescent="0.25">
      <c r="E17" s="691" t="s">
        <v>1137</v>
      </c>
      <c r="F17" s="691">
        <f t="shared" si="1"/>
        <v>62.383714388316314</v>
      </c>
      <c r="G17" s="691">
        <f t="shared" si="1"/>
        <v>24.713899646876182</v>
      </c>
      <c r="H17" s="691">
        <f t="shared" si="1"/>
        <v>12.902385964807502</v>
      </c>
      <c r="J17" s="692"/>
      <c r="K17" s="692"/>
      <c r="L17" s="692"/>
      <c r="M17" s="692"/>
      <c r="V17" s="695" t="s">
        <v>1149</v>
      </c>
      <c r="W17" s="698">
        <f>1/Fsw-(W15+W16)</f>
        <v>5.2466173888756363E-7</v>
      </c>
      <c r="X17" s="695"/>
      <c r="Y17" s="695"/>
      <c r="Z17" s="695"/>
    </row>
    <row r="18" spans="1:33" s="691" customFormat="1" x14ac:dyDescent="0.25">
      <c r="V18" s="695" t="s">
        <v>1150</v>
      </c>
      <c r="W18" s="698">
        <f>1/Fsw</f>
        <v>1.6666666666666667E-6</v>
      </c>
      <c r="X18" s="695"/>
      <c r="Y18" s="695"/>
      <c r="Z18" s="695"/>
    </row>
    <row r="20" spans="1:33" x14ac:dyDescent="0.25">
      <c r="A20" s="697"/>
      <c r="B20" s="697"/>
      <c r="C20" s="697"/>
      <c r="D20" s="697"/>
      <c r="E20" s="697"/>
    </row>
    <row r="21" spans="1:33" x14ac:dyDescent="0.25">
      <c r="A21" s="697"/>
      <c r="B21" s="697"/>
      <c r="C21" s="697"/>
      <c r="D21" s="697"/>
      <c r="E21" s="697"/>
    </row>
    <row r="22" spans="1:33" x14ac:dyDescent="0.25">
      <c r="A22" s="697"/>
      <c r="B22" s="697"/>
      <c r="C22" s="697"/>
      <c r="D22" s="697"/>
      <c r="E22" s="697"/>
    </row>
    <row r="23" spans="1:33" x14ac:dyDescent="0.25">
      <c r="A23" s="697"/>
      <c r="B23" s="697"/>
      <c r="C23" s="697"/>
      <c r="D23" s="697"/>
      <c r="E23" s="697"/>
    </row>
    <row r="24" spans="1:33" x14ac:dyDescent="0.25">
      <c r="A24" s="697"/>
      <c r="B24" s="697"/>
      <c r="C24" s="697"/>
      <c r="D24" s="697"/>
      <c r="E24" s="697"/>
      <c r="AC24" s="704" t="s">
        <v>1152</v>
      </c>
      <c r="AE24" s="704" t="s">
        <v>1116</v>
      </c>
      <c r="AG24" s="704" t="s">
        <v>1152</v>
      </c>
    </row>
    <row r="25" spans="1:33" x14ac:dyDescent="0.25">
      <c r="A25" s="697"/>
      <c r="B25" s="697"/>
      <c r="C25" s="697"/>
      <c r="D25" s="697"/>
      <c r="E25" s="697"/>
      <c r="AA25" s="704">
        <f>VIN_min</f>
        <v>20</v>
      </c>
      <c r="AB25" s="704">
        <f>VIN_min</f>
        <v>20</v>
      </c>
      <c r="AC25" s="704">
        <f>$F$5</f>
        <v>10.696401407436619</v>
      </c>
      <c r="AD25" s="704">
        <f>$F$4</f>
        <v>12.766511150347091</v>
      </c>
      <c r="AE25" s="704">
        <f>$F$2</f>
        <v>16.696809135219741</v>
      </c>
      <c r="AF25" s="704">
        <f>$F$3</f>
        <v>19.92819751994363</v>
      </c>
      <c r="AG25" s="704">
        <f>VIN_max</f>
        <v>48</v>
      </c>
    </row>
    <row r="26" spans="1:33" x14ac:dyDescent="0.25">
      <c r="A26" s="697"/>
      <c r="B26" s="697"/>
      <c r="C26" s="697"/>
      <c r="D26" s="697"/>
      <c r="E26" s="697"/>
      <c r="AA26" s="704">
        <f>$F$5</f>
        <v>10.696401407436619</v>
      </c>
      <c r="AB26" s="704">
        <f>AB25</f>
        <v>20</v>
      </c>
      <c r="AC26" s="704">
        <f>AC25-AB25</f>
        <v>-9.3035985925633806</v>
      </c>
      <c r="AD26" s="704">
        <f t="shared" ref="AD26:AG26" si="2">AD25-AC25</f>
        <v>2.0701097429104713</v>
      </c>
      <c r="AE26" s="704">
        <f t="shared" si="2"/>
        <v>3.9302979848726505</v>
      </c>
      <c r="AF26" s="704">
        <f t="shared" si="2"/>
        <v>3.2313883847238891</v>
      </c>
      <c r="AG26" s="704">
        <f t="shared" si="2"/>
        <v>28.07180248005637</v>
      </c>
    </row>
    <row r="27" spans="1:33" x14ac:dyDescent="0.25">
      <c r="A27" s="697"/>
      <c r="B27" s="697"/>
      <c r="C27" s="697"/>
      <c r="D27" s="697"/>
      <c r="E27" s="697"/>
      <c r="P27" s="705" t="s">
        <v>1151</v>
      </c>
      <c r="AA27" s="704">
        <f>$F$4</f>
        <v>12.766511150347091</v>
      </c>
    </row>
    <row r="28" spans="1:33" x14ac:dyDescent="0.25">
      <c r="A28" s="697"/>
      <c r="B28" s="697"/>
      <c r="C28" s="697"/>
      <c r="D28" s="697"/>
      <c r="E28" s="697"/>
      <c r="P28" s="706" t="s">
        <v>1152</v>
      </c>
      <c r="AA28" s="704">
        <f>$F$2</f>
        <v>16.696809135219741</v>
      </c>
    </row>
    <row r="29" spans="1:33" x14ac:dyDescent="0.25">
      <c r="A29" s="697"/>
      <c r="B29" s="697"/>
      <c r="C29" s="697"/>
      <c r="D29" s="697"/>
      <c r="E29" s="697"/>
      <c r="J29" s="707"/>
      <c r="K29" s="705" t="s">
        <v>1151</v>
      </c>
      <c r="L29" s="707"/>
      <c r="M29" s="695" t="s">
        <v>1153</v>
      </c>
      <c r="P29" s="708" t="s">
        <v>1154</v>
      </c>
      <c r="Q29" s="708">
        <v>16</v>
      </c>
      <c r="R29" s="708">
        <v>18</v>
      </c>
      <c r="AA29" s="704">
        <f>$F$3</f>
        <v>19.92819751994363</v>
      </c>
    </row>
    <row r="30" spans="1:33" x14ac:dyDescent="0.25">
      <c r="A30" s="697"/>
      <c r="B30" s="697"/>
      <c r="C30" s="697"/>
      <c r="D30" s="697"/>
      <c r="E30" s="697"/>
      <c r="J30" s="707"/>
      <c r="K30" s="707" t="s">
        <v>1155</v>
      </c>
      <c r="L30" s="707" t="s">
        <v>1156</v>
      </c>
      <c r="M30" s="695"/>
      <c r="AA30" s="704">
        <f>VIN_max</f>
        <v>48</v>
      </c>
    </row>
    <row r="31" spans="1:33" x14ac:dyDescent="0.25">
      <c r="A31" s="697"/>
      <c r="B31" s="697"/>
      <c r="C31" s="697"/>
      <c r="D31" s="697"/>
      <c r="E31" s="697"/>
      <c r="J31" s="707" t="s">
        <v>1157</v>
      </c>
      <c r="K31" s="707">
        <v>806.55840000000001</v>
      </c>
      <c r="L31" s="707"/>
      <c r="M31" s="695"/>
      <c r="P31" s="704" t="s">
        <v>1158</v>
      </c>
      <c r="Q31" s="704" t="s">
        <v>1159</v>
      </c>
    </row>
    <row r="32" spans="1:33" x14ac:dyDescent="0.25">
      <c r="A32" s="697"/>
      <c r="B32" s="697"/>
      <c r="C32" s="697"/>
      <c r="D32" s="697"/>
      <c r="E32" s="697"/>
      <c r="J32" s="707" t="s">
        <v>1146</v>
      </c>
      <c r="K32" s="707">
        <v>807.84619999999995</v>
      </c>
      <c r="L32" s="709">
        <f>(K32-K31)*1000*0.000000001</f>
        <v>1.2877999999999475E-6</v>
      </c>
      <c r="M32" s="698">
        <f>$F$11*0.000000001</f>
        <v>1.0397285731386053E-6</v>
      </c>
      <c r="O32" s="704" t="s">
        <v>1160</v>
      </c>
      <c r="P32" s="707">
        <v>14.09</v>
      </c>
      <c r="Q32" s="707">
        <f>P33-P32</f>
        <v>-1.8100000000000005</v>
      </c>
    </row>
    <row r="33" spans="1:18" x14ac:dyDescent="0.25">
      <c r="A33" s="697"/>
      <c r="B33" s="697"/>
      <c r="C33" s="697"/>
      <c r="D33" s="697"/>
      <c r="E33" s="697"/>
      <c r="J33" s="707" t="s">
        <v>1147</v>
      </c>
      <c r="K33" s="707">
        <v>808.32010000000002</v>
      </c>
      <c r="L33" s="709">
        <f>(K33-K32)*1000*0.000000001</f>
        <v>4.739000000000715E-7</v>
      </c>
      <c r="M33" s="698">
        <f>(Vout/Fsw-Vin*M32)/(Vin+Vout)</f>
        <v>1.0227635464049786E-7</v>
      </c>
      <c r="O33" s="704" t="s">
        <v>1161</v>
      </c>
      <c r="P33" s="707">
        <v>12.28</v>
      </c>
      <c r="Q33" s="707">
        <f>P34-P33</f>
        <v>4.1100000000000012</v>
      </c>
    </row>
    <row r="34" spans="1:18" x14ac:dyDescent="0.25">
      <c r="A34" s="697"/>
      <c r="B34" s="697"/>
      <c r="C34" s="697"/>
      <c r="D34" s="697"/>
      <c r="E34" s="697"/>
      <c r="J34" s="707" t="s">
        <v>1149</v>
      </c>
      <c r="K34" s="707">
        <v>808.5702</v>
      </c>
      <c r="L34" s="709">
        <f>(K34-K33)*1000*0.000000001</f>
        <v>2.500999999999749E-7</v>
      </c>
      <c r="M34" s="698">
        <f>1/Fsw-(M32+M33)</f>
        <v>5.2466173888756363E-7</v>
      </c>
      <c r="O34" s="704" t="s">
        <v>1162</v>
      </c>
      <c r="P34" s="707">
        <v>16.39</v>
      </c>
      <c r="Q34" s="707">
        <f>P32-P34</f>
        <v>-2.3000000000000007</v>
      </c>
    </row>
    <row r="35" spans="1:18" x14ac:dyDescent="0.25">
      <c r="A35" s="697"/>
      <c r="B35" s="697"/>
      <c r="C35" s="697"/>
      <c r="D35" s="697"/>
      <c r="E35" s="697"/>
      <c r="J35" s="707" t="s">
        <v>1150</v>
      </c>
      <c r="K35" s="707"/>
      <c r="L35" s="709">
        <f>(K34-K31)*1000*0.000000001</f>
        <v>2.011799999999994E-6</v>
      </c>
      <c r="M35" s="698">
        <f>1/Fsw</f>
        <v>1.6666666666666667E-6</v>
      </c>
    </row>
    <row r="36" spans="1:18" x14ac:dyDescent="0.25">
      <c r="A36" s="697"/>
      <c r="B36" s="697"/>
      <c r="C36" s="697"/>
      <c r="D36" s="697"/>
      <c r="E36" s="697"/>
      <c r="J36" s="707"/>
      <c r="K36" s="707"/>
      <c r="L36" s="707"/>
      <c r="M36" s="695"/>
    </row>
    <row r="37" spans="1:18" x14ac:dyDescent="0.25">
      <c r="J37" s="707"/>
      <c r="K37" s="707"/>
      <c r="L37" s="707"/>
      <c r="M37" s="695"/>
      <c r="P37" s="706" t="s">
        <v>1163</v>
      </c>
    </row>
    <row r="38" spans="1:18" x14ac:dyDescent="0.25">
      <c r="J38" s="707"/>
      <c r="K38" s="707"/>
      <c r="L38" s="707"/>
      <c r="M38" s="695"/>
      <c r="P38" s="708" t="s">
        <v>1154</v>
      </c>
      <c r="Q38" s="708">
        <v>20</v>
      </c>
      <c r="R38" s="708">
        <v>18</v>
      </c>
    </row>
    <row r="39" spans="1:18" x14ac:dyDescent="0.25">
      <c r="J39" s="707" t="s">
        <v>1157</v>
      </c>
      <c r="K39" s="707">
        <v>1082.558</v>
      </c>
      <c r="L39" s="707"/>
      <c r="M39" s="695"/>
      <c r="P39" s="704" t="s">
        <v>1158</v>
      </c>
      <c r="Q39" s="704" t="s">
        <v>1159</v>
      </c>
    </row>
    <row r="40" spans="1:18" x14ac:dyDescent="0.25">
      <c r="J40" s="707" t="s">
        <v>1146</v>
      </c>
      <c r="K40" s="707">
        <v>1083.8409999999999</v>
      </c>
      <c r="L40" s="709">
        <f>(K40-K39)*1000*0.000000001</f>
        <v>1.2829999999999018E-6</v>
      </c>
      <c r="M40" s="698">
        <f>$F$11*0.000000001</f>
        <v>1.0397285731386053E-6</v>
      </c>
      <c r="O40" s="704" t="s">
        <v>1160</v>
      </c>
      <c r="P40" s="707">
        <v>10.997199999999999</v>
      </c>
      <c r="Q40" s="707">
        <f>P41-P40</f>
        <v>1.0903000000000009</v>
      </c>
    </row>
    <row r="41" spans="1:18" x14ac:dyDescent="0.25">
      <c r="J41" s="707" t="s">
        <v>1147</v>
      </c>
      <c r="K41" s="707">
        <v>1084.136</v>
      </c>
      <c r="L41" s="709">
        <f>(K41-K40)*1000*0.000000001</f>
        <v>2.9500000000007277E-7</v>
      </c>
      <c r="M41" s="698">
        <f>(Vout/Fsw-Vin*M40)/(Vin+Vout)</f>
        <v>1.0227635464049786E-7</v>
      </c>
      <c r="O41" s="704" t="s">
        <v>1161</v>
      </c>
      <c r="P41" s="707">
        <v>12.0875</v>
      </c>
      <c r="Q41" s="707">
        <f>P42-P41</f>
        <v>3.2568000000000001</v>
      </c>
    </row>
    <row r="42" spans="1:18" x14ac:dyDescent="0.25">
      <c r="J42" s="707" t="s">
        <v>1149</v>
      </c>
      <c r="K42" s="707">
        <v>1084.558</v>
      </c>
      <c r="L42" s="709">
        <f>(K42-K41)*1000*0.000000001</f>
        <v>4.2200000000002551E-7</v>
      </c>
      <c r="M42" s="698">
        <f>1/Fsw-(M40+M41)</f>
        <v>5.2466173888756363E-7</v>
      </c>
      <c r="O42" s="704" t="s">
        <v>1162</v>
      </c>
      <c r="P42" s="707">
        <v>15.3443</v>
      </c>
      <c r="Q42" s="707">
        <f>P40-P42</f>
        <v>-4.3471000000000011</v>
      </c>
    </row>
    <row r="43" spans="1:18" x14ac:dyDescent="0.25">
      <c r="J43" s="707" t="s">
        <v>1150</v>
      </c>
      <c r="K43" s="707"/>
      <c r="L43" s="709">
        <f>(K42-K39)*1000*0.000000001</f>
        <v>2.0000000000000003E-6</v>
      </c>
      <c r="M43" s="698">
        <f>1/Fsw</f>
        <v>1.6666666666666667E-6</v>
      </c>
    </row>
    <row r="45" spans="1:18" x14ac:dyDescent="0.25">
      <c r="D45" s="704" t="s">
        <v>1164</v>
      </c>
    </row>
    <row r="46" spans="1:18" x14ac:dyDescent="0.25">
      <c r="D46" s="704" t="s">
        <v>1165</v>
      </c>
    </row>
    <row r="54" spans="10:18" x14ac:dyDescent="0.25">
      <c r="P54" s="706" t="s">
        <v>1163</v>
      </c>
    </row>
    <row r="55" spans="10:18" x14ac:dyDescent="0.25">
      <c r="J55" s="707" t="s">
        <v>1157</v>
      </c>
      <c r="K55" s="707">
        <v>806.55840000000001</v>
      </c>
      <c r="L55" s="707"/>
      <c r="M55" s="695"/>
      <c r="P55" s="708" t="s">
        <v>1154</v>
      </c>
      <c r="Q55" s="708">
        <v>16</v>
      </c>
      <c r="R55" s="708">
        <v>14</v>
      </c>
    </row>
    <row r="56" spans="10:18" x14ac:dyDescent="0.25">
      <c r="J56" s="707" t="s">
        <v>1146</v>
      </c>
      <c r="K56" s="707">
        <v>807.84619999999995</v>
      </c>
      <c r="L56" s="709">
        <f>(K56-K55)*1000*0.000000001</f>
        <v>1.2877999999999475E-6</v>
      </c>
      <c r="M56" s="698">
        <f>$F$11*0.000000001</f>
        <v>1.0397285731386053E-6</v>
      </c>
      <c r="P56" s="704" t="s">
        <v>1158</v>
      </c>
      <c r="Q56" s="704" t="s">
        <v>1159</v>
      </c>
    </row>
    <row r="57" spans="10:18" x14ac:dyDescent="0.25">
      <c r="J57" s="707" t="s">
        <v>1147</v>
      </c>
      <c r="K57" s="707">
        <v>808.11800000000005</v>
      </c>
      <c r="L57" s="709">
        <f>(K57-K56)*1000*0.000000001</f>
        <v>2.718000000000984E-7</v>
      </c>
      <c r="M57" s="710">
        <f>(Vout/Fsw-Vin*M56)/(Vin+Vout)</f>
        <v>1.0227635464049786E-7</v>
      </c>
      <c r="O57" s="704" t="s">
        <v>1160</v>
      </c>
      <c r="P57" s="707">
        <v>10.92</v>
      </c>
      <c r="Q57" s="707">
        <f>P58-P57</f>
        <v>1.1500000000000004</v>
      </c>
    </row>
    <row r="58" spans="10:18" x14ac:dyDescent="0.25">
      <c r="J58" s="707" t="s">
        <v>1149</v>
      </c>
      <c r="K58" s="707">
        <v>808.5702</v>
      </c>
      <c r="L58" s="709">
        <f>(K58-K57)*1000*0.000000001</f>
        <v>4.52199999999948E-7</v>
      </c>
      <c r="M58" s="710">
        <f>1/Fsw-(M56+M57)</f>
        <v>5.2466173888756363E-7</v>
      </c>
      <c r="O58" s="704" t="s">
        <v>1161</v>
      </c>
      <c r="P58" s="707">
        <v>12.07</v>
      </c>
      <c r="Q58" s="707">
        <f>P59-P58</f>
        <v>2.33</v>
      </c>
    </row>
    <row r="59" spans="10:18" x14ac:dyDescent="0.25">
      <c r="J59" s="707" t="s">
        <v>1166</v>
      </c>
      <c r="K59" s="707"/>
      <c r="L59" s="709">
        <f>(K58-K55)*1000*0.000000001</f>
        <v>2.011799999999994E-6</v>
      </c>
      <c r="M59" s="710">
        <f>1/Fsw</f>
        <v>1.6666666666666667E-6</v>
      </c>
      <c r="O59" s="704" t="s">
        <v>1162</v>
      </c>
      <c r="P59" s="707">
        <v>14.4</v>
      </c>
      <c r="Q59" s="707">
        <f>P57-P59</f>
        <v>-3.4800000000000004</v>
      </c>
    </row>
    <row r="69" spans="6:13" x14ac:dyDescent="0.25">
      <c r="F69" s="704" t="s">
        <v>1167</v>
      </c>
    </row>
    <row r="71" spans="6:13" x14ac:dyDescent="0.25">
      <c r="F71" s="704" t="s">
        <v>1168</v>
      </c>
    </row>
    <row r="72" spans="6:13" x14ac:dyDescent="0.25">
      <c r="F72" s="704" t="s">
        <v>1169</v>
      </c>
    </row>
    <row r="74" spans="6:13" x14ac:dyDescent="0.25">
      <c r="F74" s="704" t="s">
        <v>1170</v>
      </c>
      <c r="L74" s="704" t="s">
        <v>1171</v>
      </c>
    </row>
    <row r="75" spans="6:13" x14ac:dyDescent="0.25">
      <c r="F75" s="704" t="s">
        <v>1172</v>
      </c>
      <c r="K75" s="710"/>
      <c r="L75" s="707" t="s">
        <v>1146</v>
      </c>
      <c r="M75" s="698">
        <f>$F$11*0.000000001</f>
        <v>1.0397285731386053E-6</v>
      </c>
    </row>
    <row r="76" spans="6:13" x14ac:dyDescent="0.25">
      <c r="F76" s="704" t="s">
        <v>1173</v>
      </c>
      <c r="L76" s="707" t="s">
        <v>1147</v>
      </c>
      <c r="M76" s="710">
        <f>(Vout/Fsw-Vin*M75)/(Vin+Vout)</f>
        <v>1.0227635464049786E-7</v>
      </c>
    </row>
    <row r="77" spans="6:13" x14ac:dyDescent="0.25">
      <c r="F77" s="704" t="s">
        <v>1174</v>
      </c>
      <c r="L77" s="707" t="s">
        <v>1149</v>
      </c>
      <c r="M77" s="710">
        <f>1/Fsw-(M75+M76)</f>
        <v>5.2466173888756363E-7</v>
      </c>
    </row>
    <row r="78" spans="6:13" x14ac:dyDescent="0.25">
      <c r="F78" s="704" t="s">
        <v>1175</v>
      </c>
      <c r="L78" s="707" t="s">
        <v>1166</v>
      </c>
      <c r="M78" s="710">
        <f>1/Fsw</f>
        <v>1.6666666666666667E-6</v>
      </c>
    </row>
    <row r="79" spans="6:13" x14ac:dyDescent="0.25">
      <c r="F79" s="704" t="s">
        <v>1176</v>
      </c>
    </row>
    <row r="80" spans="6:13" x14ac:dyDescent="0.25">
      <c r="F80" s="704" t="s">
        <v>1177</v>
      </c>
      <c r="K80" s="710"/>
    </row>
    <row r="94" spans="6:6" x14ac:dyDescent="0.25">
      <c r="F94" s="704" t="s">
        <v>1178</v>
      </c>
    </row>
    <row r="96" spans="6:6" x14ac:dyDescent="0.25">
      <c r="F96" s="704" t="s">
        <v>1179</v>
      </c>
    </row>
  </sheetData>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63E2C-CE5C-4C7D-BEFE-FC69EE5F7876}">
  <sheetPr codeName="Sheet15"/>
  <dimension ref="A1:R164"/>
  <sheetViews>
    <sheetView topLeftCell="A79" workbookViewId="0">
      <selection activeCell="D24" sqref="D24"/>
    </sheetView>
  </sheetViews>
  <sheetFormatPr defaultRowHeight="12.75" x14ac:dyDescent="0.2"/>
  <cols>
    <col min="14" max="14" width="10.5703125" bestFit="1" customWidth="1"/>
    <col min="15" max="15" width="13.42578125" bestFit="1" customWidth="1"/>
    <col min="16" max="16" width="8.28515625" bestFit="1" customWidth="1"/>
  </cols>
  <sheetData>
    <row r="1" spans="1:18" x14ac:dyDescent="0.2">
      <c r="A1" s="114" t="s">
        <v>864</v>
      </c>
    </row>
    <row r="2" spans="1:18" x14ac:dyDescent="0.2">
      <c r="A2" s="114" t="s">
        <v>881</v>
      </c>
    </row>
    <row r="3" spans="1:18" x14ac:dyDescent="0.2">
      <c r="A3" s="570" t="s">
        <v>875</v>
      </c>
      <c r="B3" s="570" t="s">
        <v>880</v>
      </c>
      <c r="C3" s="570" t="s">
        <v>876</v>
      </c>
      <c r="D3" s="570" t="s">
        <v>877</v>
      </c>
      <c r="E3" s="570" t="s">
        <v>878</v>
      </c>
      <c r="F3" s="570" t="s">
        <v>879</v>
      </c>
      <c r="G3" t="str">
        <f>C3</f>
        <v>DRSS</v>
      </c>
      <c r="H3" t="str">
        <f>D3</f>
        <v>HICCUP</v>
      </c>
      <c r="I3" t="str">
        <f>E3</f>
        <v>USLEEP</v>
      </c>
      <c r="J3" t="str">
        <f>F3</f>
        <v>IMON_LIMIT</v>
      </c>
    </row>
    <row r="4" spans="1:18" x14ac:dyDescent="0.2">
      <c r="A4" s="554">
        <v>1</v>
      </c>
      <c r="B4" s="554">
        <v>0</v>
      </c>
      <c r="C4" s="554">
        <v>0</v>
      </c>
      <c r="D4" s="554">
        <v>0</v>
      </c>
      <c r="E4" s="554">
        <v>0</v>
      </c>
      <c r="F4" s="554">
        <v>0</v>
      </c>
      <c r="G4" t="str">
        <f>IF(C4=1,"Enable","Disable")</f>
        <v>Disable</v>
      </c>
      <c r="H4" t="str">
        <f t="shared" ref="H4:H19" si="0">IF(D4=1,"Enable","Disable")</f>
        <v>Disable</v>
      </c>
      <c r="I4" t="str">
        <f t="shared" ref="I4:I19" si="1">IF(E4=1,"Enable","Disable")</f>
        <v>Disable</v>
      </c>
      <c r="J4" t="str">
        <f t="shared" ref="J4:J19" si="2">IF(F4=1,"Enable","Disable")</f>
        <v>Disable</v>
      </c>
      <c r="L4" t="str">
        <f>CONCATENATE(G$3,": ",C4)</f>
        <v>DRSS: 0</v>
      </c>
      <c r="M4" t="str">
        <f t="shared" ref="M4:M19" si="3">CONCATENATE(H$3,": ",D4)</f>
        <v>HICCUP: 0</v>
      </c>
      <c r="N4" t="str">
        <f t="shared" ref="N4:N19" si="4">CONCATENATE(I$3,": ",E4)</f>
        <v>USLEEP: 0</v>
      </c>
      <c r="O4" t="str">
        <f t="shared" ref="O4:O19" si="5">CONCATENATE(J$3,": ",F4)</f>
        <v>IMON_LIMIT: 0</v>
      </c>
      <c r="P4" t="str">
        <f t="shared" ref="P4:P19" si="6">CONCATENATE(K$3,": ",G4)</f>
        <v>: Disable</v>
      </c>
      <c r="R4" t="str">
        <f>CONCATENATE(L4," / ",M4," / ",N4," / ",O4)</f>
        <v>DRSS: 0 / HICCUP: 0 / USLEEP: 0 / IMON_LIMIT: 0</v>
      </c>
    </row>
    <row r="5" spans="1:18" x14ac:dyDescent="0.2">
      <c r="A5" s="554">
        <v>2</v>
      </c>
      <c r="B5" s="554">
        <v>0.51100000000000001</v>
      </c>
      <c r="C5" s="554">
        <v>1</v>
      </c>
      <c r="D5" s="554">
        <v>0</v>
      </c>
      <c r="E5" s="554">
        <v>0</v>
      </c>
      <c r="F5" s="554">
        <v>0</v>
      </c>
      <c r="G5" t="str">
        <f t="shared" ref="G5:G19" si="7">IF(C5=1,"Enable","Disable")</f>
        <v>Enable</v>
      </c>
      <c r="H5" t="str">
        <f t="shared" si="0"/>
        <v>Disable</v>
      </c>
      <c r="I5" t="str">
        <f t="shared" si="1"/>
        <v>Disable</v>
      </c>
      <c r="J5" t="str">
        <f t="shared" si="2"/>
        <v>Disable</v>
      </c>
      <c r="L5" t="str">
        <f t="shared" ref="L5:L19" si="8">CONCATENATE(G$3,": ",C5)</f>
        <v>DRSS: 1</v>
      </c>
      <c r="M5" t="str">
        <f t="shared" si="3"/>
        <v>HICCUP: 0</v>
      </c>
      <c r="N5" t="str">
        <f t="shared" si="4"/>
        <v>USLEEP: 0</v>
      </c>
      <c r="O5" t="str">
        <f t="shared" si="5"/>
        <v>IMON_LIMIT: 0</v>
      </c>
      <c r="P5" t="str">
        <f t="shared" si="6"/>
        <v>: Enable</v>
      </c>
      <c r="R5" t="str">
        <f t="shared" ref="R5:R19" si="9">CONCATENATE(L5," / ",M5," / ",N5," / ",O5)</f>
        <v>DRSS: 1 / HICCUP: 0 / USLEEP: 0 / IMON_LIMIT: 0</v>
      </c>
    </row>
    <row r="6" spans="1:18" x14ac:dyDescent="0.2">
      <c r="A6" s="554">
        <v>3</v>
      </c>
      <c r="B6" s="554">
        <v>1.1499999999999999</v>
      </c>
      <c r="C6" s="554">
        <v>0</v>
      </c>
      <c r="D6" s="554">
        <v>1</v>
      </c>
      <c r="E6" s="554">
        <v>0</v>
      </c>
      <c r="F6" s="554">
        <v>0</v>
      </c>
      <c r="G6" t="str">
        <f t="shared" si="7"/>
        <v>Disable</v>
      </c>
      <c r="H6" t="str">
        <f t="shared" si="0"/>
        <v>Enable</v>
      </c>
      <c r="I6" t="str">
        <f t="shared" si="1"/>
        <v>Disable</v>
      </c>
      <c r="J6" t="str">
        <f t="shared" si="2"/>
        <v>Disable</v>
      </c>
      <c r="L6" t="str">
        <f t="shared" si="8"/>
        <v>DRSS: 0</v>
      </c>
      <c r="M6" t="str">
        <f t="shared" si="3"/>
        <v>HICCUP: 1</v>
      </c>
      <c r="N6" t="str">
        <f t="shared" si="4"/>
        <v>USLEEP: 0</v>
      </c>
      <c r="O6" t="str">
        <f t="shared" si="5"/>
        <v>IMON_LIMIT: 0</v>
      </c>
      <c r="P6" t="str">
        <f t="shared" si="6"/>
        <v>: Disable</v>
      </c>
      <c r="R6" t="str">
        <f t="shared" si="9"/>
        <v>DRSS: 0 / HICCUP: 1 / USLEEP: 0 / IMON_LIMIT: 0</v>
      </c>
    </row>
    <row r="7" spans="1:18" x14ac:dyDescent="0.2">
      <c r="A7" s="554">
        <v>4</v>
      </c>
      <c r="B7" s="554">
        <v>1.9</v>
      </c>
      <c r="C7" s="554">
        <v>1</v>
      </c>
      <c r="D7" s="554">
        <v>1</v>
      </c>
      <c r="E7" s="554">
        <v>0</v>
      </c>
      <c r="F7" s="554">
        <v>0</v>
      </c>
      <c r="G7" t="str">
        <f t="shared" si="7"/>
        <v>Enable</v>
      </c>
      <c r="H7" t="str">
        <f t="shared" si="0"/>
        <v>Enable</v>
      </c>
      <c r="I7" t="str">
        <f t="shared" si="1"/>
        <v>Disable</v>
      </c>
      <c r="J7" t="str">
        <f t="shared" si="2"/>
        <v>Disable</v>
      </c>
      <c r="L7" t="str">
        <f t="shared" si="8"/>
        <v>DRSS: 1</v>
      </c>
      <c r="M7" t="str">
        <f t="shared" si="3"/>
        <v>HICCUP: 1</v>
      </c>
      <c r="N7" t="str">
        <f t="shared" si="4"/>
        <v>USLEEP: 0</v>
      </c>
      <c r="O7" t="str">
        <f t="shared" si="5"/>
        <v>IMON_LIMIT: 0</v>
      </c>
      <c r="P7" t="str">
        <f t="shared" si="6"/>
        <v>: Enable</v>
      </c>
      <c r="R7" t="str">
        <f t="shared" si="9"/>
        <v>DRSS: 1 / HICCUP: 1 / USLEEP: 0 / IMON_LIMIT: 0</v>
      </c>
    </row>
    <row r="8" spans="1:18" x14ac:dyDescent="0.2">
      <c r="A8" s="554">
        <v>5</v>
      </c>
      <c r="B8" s="554">
        <v>2.7</v>
      </c>
      <c r="C8" s="554">
        <v>0</v>
      </c>
      <c r="D8" s="554">
        <v>0</v>
      </c>
      <c r="E8" s="554">
        <v>0</v>
      </c>
      <c r="F8" s="554">
        <v>1</v>
      </c>
      <c r="G8" t="str">
        <f t="shared" si="7"/>
        <v>Disable</v>
      </c>
      <c r="H8" t="str">
        <f t="shared" si="0"/>
        <v>Disable</v>
      </c>
      <c r="I8" t="str">
        <f t="shared" si="1"/>
        <v>Disable</v>
      </c>
      <c r="J8" t="str">
        <f t="shared" si="2"/>
        <v>Enable</v>
      </c>
      <c r="L8" t="str">
        <f t="shared" si="8"/>
        <v>DRSS: 0</v>
      </c>
      <c r="M8" t="str">
        <f t="shared" si="3"/>
        <v>HICCUP: 0</v>
      </c>
      <c r="N8" t="str">
        <f t="shared" si="4"/>
        <v>USLEEP: 0</v>
      </c>
      <c r="O8" t="str">
        <f t="shared" si="5"/>
        <v>IMON_LIMIT: 1</v>
      </c>
      <c r="P8" t="str">
        <f t="shared" si="6"/>
        <v>: Disable</v>
      </c>
      <c r="R8" t="str">
        <f t="shared" si="9"/>
        <v>DRSS: 0 / HICCUP: 0 / USLEEP: 0 / IMON_LIMIT: 1</v>
      </c>
    </row>
    <row r="9" spans="1:18" x14ac:dyDescent="0.2">
      <c r="A9" s="554">
        <v>6</v>
      </c>
      <c r="B9" s="554">
        <v>3.8</v>
      </c>
      <c r="C9" s="554">
        <v>1</v>
      </c>
      <c r="D9" s="554">
        <v>0</v>
      </c>
      <c r="E9" s="554">
        <v>0</v>
      </c>
      <c r="F9" s="554">
        <v>1</v>
      </c>
      <c r="G9" t="str">
        <f t="shared" si="7"/>
        <v>Enable</v>
      </c>
      <c r="H9" t="str">
        <f t="shared" si="0"/>
        <v>Disable</v>
      </c>
      <c r="I9" t="str">
        <f t="shared" si="1"/>
        <v>Disable</v>
      </c>
      <c r="J9" t="str">
        <f t="shared" si="2"/>
        <v>Enable</v>
      </c>
      <c r="L9" t="str">
        <f t="shared" si="8"/>
        <v>DRSS: 1</v>
      </c>
      <c r="M9" t="str">
        <f t="shared" si="3"/>
        <v>HICCUP: 0</v>
      </c>
      <c r="N9" t="str">
        <f t="shared" si="4"/>
        <v>USLEEP: 0</v>
      </c>
      <c r="O9" t="str">
        <f t="shared" si="5"/>
        <v>IMON_LIMIT: 1</v>
      </c>
      <c r="P9" t="str">
        <f t="shared" si="6"/>
        <v>: Enable</v>
      </c>
      <c r="R9" t="str">
        <f t="shared" si="9"/>
        <v>DRSS: 1 / HICCUP: 0 / USLEEP: 0 / IMON_LIMIT: 1</v>
      </c>
    </row>
    <row r="10" spans="1:18" x14ac:dyDescent="0.2">
      <c r="A10" s="554">
        <v>7</v>
      </c>
      <c r="B10" s="554">
        <v>5.0999999999999996</v>
      </c>
      <c r="C10" s="554">
        <v>0</v>
      </c>
      <c r="D10" s="554">
        <v>1</v>
      </c>
      <c r="E10" s="554">
        <v>0</v>
      </c>
      <c r="F10" s="554">
        <v>1</v>
      </c>
      <c r="G10" t="str">
        <f t="shared" si="7"/>
        <v>Disable</v>
      </c>
      <c r="H10" t="str">
        <f t="shared" si="0"/>
        <v>Enable</v>
      </c>
      <c r="I10" t="str">
        <f t="shared" si="1"/>
        <v>Disable</v>
      </c>
      <c r="J10" t="str">
        <f t="shared" si="2"/>
        <v>Enable</v>
      </c>
      <c r="L10" t="str">
        <f t="shared" si="8"/>
        <v>DRSS: 0</v>
      </c>
      <c r="M10" t="str">
        <f t="shared" si="3"/>
        <v>HICCUP: 1</v>
      </c>
      <c r="N10" t="str">
        <f t="shared" si="4"/>
        <v>USLEEP: 0</v>
      </c>
      <c r="O10" t="str">
        <f t="shared" si="5"/>
        <v>IMON_LIMIT: 1</v>
      </c>
      <c r="P10" t="str">
        <f t="shared" si="6"/>
        <v>: Disable</v>
      </c>
      <c r="R10" t="str">
        <f t="shared" si="9"/>
        <v>DRSS: 0 / HICCUP: 1 / USLEEP: 0 / IMON_LIMIT: 1</v>
      </c>
    </row>
    <row r="11" spans="1:18" x14ac:dyDescent="0.2">
      <c r="A11" s="554">
        <v>8</v>
      </c>
      <c r="B11" s="554">
        <v>6.5</v>
      </c>
      <c r="C11" s="554">
        <v>1</v>
      </c>
      <c r="D11" s="554">
        <v>1</v>
      </c>
      <c r="E11" s="554">
        <v>0</v>
      </c>
      <c r="F11" s="554">
        <v>1</v>
      </c>
      <c r="G11" t="str">
        <f t="shared" si="7"/>
        <v>Enable</v>
      </c>
      <c r="H11" t="str">
        <f t="shared" si="0"/>
        <v>Enable</v>
      </c>
      <c r="I11" t="str">
        <f t="shared" si="1"/>
        <v>Disable</v>
      </c>
      <c r="J11" t="str">
        <f t="shared" si="2"/>
        <v>Enable</v>
      </c>
      <c r="L11" t="str">
        <f t="shared" si="8"/>
        <v>DRSS: 1</v>
      </c>
      <c r="M11" t="str">
        <f t="shared" si="3"/>
        <v>HICCUP: 1</v>
      </c>
      <c r="N11" t="str">
        <f t="shared" si="4"/>
        <v>USLEEP: 0</v>
      </c>
      <c r="O11" t="str">
        <f t="shared" si="5"/>
        <v>IMON_LIMIT: 1</v>
      </c>
      <c r="P11" t="str">
        <f t="shared" si="6"/>
        <v>: Enable</v>
      </c>
      <c r="R11" t="str">
        <f t="shared" si="9"/>
        <v>DRSS: 1 / HICCUP: 1 / USLEEP: 0 / IMON_LIMIT: 1</v>
      </c>
    </row>
    <row r="12" spans="1:18" x14ac:dyDescent="0.2">
      <c r="A12" s="554">
        <v>9</v>
      </c>
      <c r="B12" s="554">
        <v>8.3000000000000007</v>
      </c>
      <c r="C12" s="554">
        <v>0</v>
      </c>
      <c r="D12" s="554">
        <v>0</v>
      </c>
      <c r="E12" s="554">
        <v>1</v>
      </c>
      <c r="F12" s="554">
        <v>0</v>
      </c>
      <c r="G12" t="str">
        <f t="shared" si="7"/>
        <v>Disable</v>
      </c>
      <c r="H12" t="str">
        <f t="shared" si="0"/>
        <v>Disable</v>
      </c>
      <c r="I12" t="str">
        <f t="shared" si="1"/>
        <v>Enable</v>
      </c>
      <c r="J12" t="str">
        <f t="shared" si="2"/>
        <v>Disable</v>
      </c>
      <c r="L12" t="str">
        <f t="shared" si="8"/>
        <v>DRSS: 0</v>
      </c>
      <c r="M12" t="str">
        <f t="shared" si="3"/>
        <v>HICCUP: 0</v>
      </c>
      <c r="N12" t="str">
        <f t="shared" si="4"/>
        <v>USLEEP: 1</v>
      </c>
      <c r="O12" t="str">
        <f t="shared" si="5"/>
        <v>IMON_LIMIT: 0</v>
      </c>
      <c r="P12" t="str">
        <f t="shared" si="6"/>
        <v>: Disable</v>
      </c>
      <c r="R12" t="str">
        <f t="shared" si="9"/>
        <v>DRSS: 0 / HICCUP: 0 / USLEEP: 1 / IMON_LIMIT: 0</v>
      </c>
    </row>
    <row r="13" spans="1:18" x14ac:dyDescent="0.2">
      <c r="A13" s="554">
        <v>10</v>
      </c>
      <c r="B13" s="554">
        <v>10.5</v>
      </c>
      <c r="C13" s="554">
        <v>1</v>
      </c>
      <c r="D13" s="554">
        <v>0</v>
      </c>
      <c r="E13" s="554">
        <v>1</v>
      </c>
      <c r="F13" s="554">
        <v>0</v>
      </c>
      <c r="G13" t="str">
        <f t="shared" si="7"/>
        <v>Enable</v>
      </c>
      <c r="H13" t="str">
        <f t="shared" si="0"/>
        <v>Disable</v>
      </c>
      <c r="I13" t="str">
        <f t="shared" si="1"/>
        <v>Enable</v>
      </c>
      <c r="J13" t="str">
        <f t="shared" si="2"/>
        <v>Disable</v>
      </c>
      <c r="L13" t="str">
        <f t="shared" si="8"/>
        <v>DRSS: 1</v>
      </c>
      <c r="M13" t="str">
        <f t="shared" si="3"/>
        <v>HICCUP: 0</v>
      </c>
      <c r="N13" t="str">
        <f t="shared" si="4"/>
        <v>USLEEP: 1</v>
      </c>
      <c r="O13" t="str">
        <f t="shared" si="5"/>
        <v>IMON_LIMIT: 0</v>
      </c>
      <c r="P13" t="str">
        <f t="shared" si="6"/>
        <v>: Enable</v>
      </c>
      <c r="R13" t="str">
        <f t="shared" si="9"/>
        <v>DRSS: 1 / HICCUP: 0 / USLEEP: 1 / IMON_LIMIT: 0</v>
      </c>
    </row>
    <row r="14" spans="1:18" x14ac:dyDescent="0.2">
      <c r="A14" s="554">
        <v>11</v>
      </c>
      <c r="B14" s="554">
        <v>13.3</v>
      </c>
      <c r="C14" s="554">
        <v>0</v>
      </c>
      <c r="D14" s="554">
        <v>1</v>
      </c>
      <c r="E14" s="554">
        <v>1</v>
      </c>
      <c r="F14" s="554">
        <v>0</v>
      </c>
      <c r="G14" t="str">
        <f t="shared" si="7"/>
        <v>Disable</v>
      </c>
      <c r="H14" t="str">
        <f t="shared" si="0"/>
        <v>Enable</v>
      </c>
      <c r="I14" t="str">
        <f t="shared" si="1"/>
        <v>Enable</v>
      </c>
      <c r="J14" t="str">
        <f t="shared" si="2"/>
        <v>Disable</v>
      </c>
      <c r="L14" t="str">
        <f t="shared" si="8"/>
        <v>DRSS: 0</v>
      </c>
      <c r="M14" t="str">
        <f t="shared" si="3"/>
        <v>HICCUP: 1</v>
      </c>
      <c r="N14" t="str">
        <f t="shared" si="4"/>
        <v>USLEEP: 1</v>
      </c>
      <c r="O14" t="str">
        <f t="shared" si="5"/>
        <v>IMON_LIMIT: 0</v>
      </c>
      <c r="P14" t="str">
        <f t="shared" si="6"/>
        <v>: Disable</v>
      </c>
      <c r="R14" t="str">
        <f t="shared" si="9"/>
        <v>DRSS: 0 / HICCUP: 1 / USLEEP: 1 / IMON_LIMIT: 0</v>
      </c>
    </row>
    <row r="15" spans="1:18" x14ac:dyDescent="0.2">
      <c r="A15" s="554">
        <v>12</v>
      </c>
      <c r="B15" s="554">
        <v>16.2</v>
      </c>
      <c r="C15" s="554">
        <v>1</v>
      </c>
      <c r="D15" s="554">
        <v>1</v>
      </c>
      <c r="E15" s="554">
        <v>1</v>
      </c>
      <c r="F15" s="554">
        <v>0</v>
      </c>
      <c r="G15" t="str">
        <f t="shared" si="7"/>
        <v>Enable</v>
      </c>
      <c r="H15" t="str">
        <f t="shared" si="0"/>
        <v>Enable</v>
      </c>
      <c r="I15" t="str">
        <f t="shared" si="1"/>
        <v>Enable</v>
      </c>
      <c r="J15" t="str">
        <f t="shared" si="2"/>
        <v>Disable</v>
      </c>
      <c r="L15" t="str">
        <f t="shared" si="8"/>
        <v>DRSS: 1</v>
      </c>
      <c r="M15" t="str">
        <f t="shared" si="3"/>
        <v>HICCUP: 1</v>
      </c>
      <c r="N15" t="str">
        <f t="shared" si="4"/>
        <v>USLEEP: 1</v>
      </c>
      <c r="O15" t="str">
        <f t="shared" si="5"/>
        <v>IMON_LIMIT: 0</v>
      </c>
      <c r="P15" t="str">
        <f t="shared" si="6"/>
        <v>: Enable</v>
      </c>
      <c r="R15" t="str">
        <f t="shared" si="9"/>
        <v>DRSS: 1 / HICCUP: 1 / USLEEP: 1 / IMON_LIMIT: 0</v>
      </c>
    </row>
    <row r="16" spans="1:18" x14ac:dyDescent="0.2">
      <c r="A16" s="554">
        <v>13</v>
      </c>
      <c r="B16" s="554">
        <v>20.5</v>
      </c>
      <c r="C16" s="554">
        <v>0</v>
      </c>
      <c r="D16" s="554">
        <v>0</v>
      </c>
      <c r="E16" s="554">
        <v>1</v>
      </c>
      <c r="F16" s="554">
        <v>1</v>
      </c>
      <c r="G16" t="str">
        <f t="shared" si="7"/>
        <v>Disable</v>
      </c>
      <c r="H16" t="str">
        <f t="shared" si="0"/>
        <v>Disable</v>
      </c>
      <c r="I16" t="str">
        <f t="shared" si="1"/>
        <v>Enable</v>
      </c>
      <c r="J16" t="str">
        <f t="shared" si="2"/>
        <v>Enable</v>
      </c>
      <c r="L16" t="str">
        <f t="shared" si="8"/>
        <v>DRSS: 0</v>
      </c>
      <c r="M16" t="str">
        <f t="shared" si="3"/>
        <v>HICCUP: 0</v>
      </c>
      <c r="N16" t="str">
        <f t="shared" si="4"/>
        <v>USLEEP: 1</v>
      </c>
      <c r="O16" t="str">
        <f t="shared" si="5"/>
        <v>IMON_LIMIT: 1</v>
      </c>
      <c r="P16" t="str">
        <f t="shared" si="6"/>
        <v>: Disable</v>
      </c>
      <c r="R16" t="str">
        <f t="shared" si="9"/>
        <v>DRSS: 0 / HICCUP: 0 / USLEEP: 1 / IMON_LIMIT: 1</v>
      </c>
    </row>
    <row r="17" spans="1:18" x14ac:dyDescent="0.2">
      <c r="A17" s="554">
        <v>14</v>
      </c>
      <c r="B17" s="554">
        <v>24.9</v>
      </c>
      <c r="C17" s="554">
        <v>1</v>
      </c>
      <c r="D17" s="554">
        <v>0</v>
      </c>
      <c r="E17" s="554">
        <v>1</v>
      </c>
      <c r="F17" s="554">
        <v>1</v>
      </c>
      <c r="G17" t="str">
        <f t="shared" si="7"/>
        <v>Enable</v>
      </c>
      <c r="H17" t="str">
        <f t="shared" si="0"/>
        <v>Disable</v>
      </c>
      <c r="I17" t="str">
        <f t="shared" si="1"/>
        <v>Enable</v>
      </c>
      <c r="J17" t="str">
        <f t="shared" si="2"/>
        <v>Enable</v>
      </c>
      <c r="L17" t="str">
        <f t="shared" si="8"/>
        <v>DRSS: 1</v>
      </c>
      <c r="M17" t="str">
        <f t="shared" si="3"/>
        <v>HICCUP: 0</v>
      </c>
      <c r="N17" t="str">
        <f t="shared" si="4"/>
        <v>USLEEP: 1</v>
      </c>
      <c r="O17" t="str">
        <f t="shared" si="5"/>
        <v>IMON_LIMIT: 1</v>
      </c>
      <c r="P17" t="str">
        <f t="shared" si="6"/>
        <v>: Enable</v>
      </c>
      <c r="R17" t="str">
        <f t="shared" si="9"/>
        <v>DRSS: 1 / HICCUP: 0 / USLEEP: 1 / IMON_LIMIT: 1</v>
      </c>
    </row>
    <row r="18" spans="1:18" x14ac:dyDescent="0.2">
      <c r="A18" s="554">
        <v>15</v>
      </c>
      <c r="B18" s="554">
        <v>30.1</v>
      </c>
      <c r="C18" s="554">
        <v>0</v>
      </c>
      <c r="D18" s="554">
        <v>1</v>
      </c>
      <c r="E18" s="554">
        <v>1</v>
      </c>
      <c r="F18" s="554">
        <v>1</v>
      </c>
      <c r="G18" t="str">
        <f t="shared" si="7"/>
        <v>Disable</v>
      </c>
      <c r="H18" t="str">
        <f t="shared" si="0"/>
        <v>Enable</v>
      </c>
      <c r="I18" t="str">
        <f t="shared" si="1"/>
        <v>Enable</v>
      </c>
      <c r="J18" t="str">
        <f t="shared" si="2"/>
        <v>Enable</v>
      </c>
      <c r="L18" t="str">
        <f t="shared" si="8"/>
        <v>DRSS: 0</v>
      </c>
      <c r="M18" t="str">
        <f t="shared" si="3"/>
        <v>HICCUP: 1</v>
      </c>
      <c r="N18" t="str">
        <f t="shared" si="4"/>
        <v>USLEEP: 1</v>
      </c>
      <c r="O18" t="str">
        <f t="shared" si="5"/>
        <v>IMON_LIMIT: 1</v>
      </c>
      <c r="P18" t="str">
        <f t="shared" si="6"/>
        <v>: Disable</v>
      </c>
      <c r="R18" t="str">
        <f t="shared" si="9"/>
        <v>DRSS: 0 / HICCUP: 1 / USLEEP: 1 / IMON_LIMIT: 1</v>
      </c>
    </row>
    <row r="19" spans="1:18" x14ac:dyDescent="0.2">
      <c r="A19" s="554">
        <v>16</v>
      </c>
      <c r="B19" s="554">
        <v>36.5</v>
      </c>
      <c r="C19" s="554">
        <v>1</v>
      </c>
      <c r="D19" s="554">
        <v>1</v>
      </c>
      <c r="E19" s="554">
        <v>1</v>
      </c>
      <c r="F19" s="554">
        <v>1</v>
      </c>
      <c r="G19" t="str">
        <f t="shared" si="7"/>
        <v>Enable</v>
      </c>
      <c r="H19" t="str">
        <f t="shared" si="0"/>
        <v>Enable</v>
      </c>
      <c r="I19" t="str">
        <f t="shared" si="1"/>
        <v>Enable</v>
      </c>
      <c r="J19" t="str">
        <f t="shared" si="2"/>
        <v>Enable</v>
      </c>
      <c r="L19" t="str">
        <f t="shared" si="8"/>
        <v>DRSS: 1</v>
      </c>
      <c r="M19" t="str">
        <f t="shared" si="3"/>
        <v>HICCUP: 1</v>
      </c>
      <c r="N19" t="str">
        <f t="shared" si="4"/>
        <v>USLEEP: 1</v>
      </c>
      <c r="O19" t="str">
        <f t="shared" si="5"/>
        <v>IMON_LIMIT: 1</v>
      </c>
      <c r="P19" t="str">
        <f t="shared" si="6"/>
        <v>: Enable</v>
      </c>
      <c r="R19" t="str">
        <f t="shared" si="9"/>
        <v>DRSS: 1 / HICCUP: 1 / USLEEP: 1 / IMON_LIMIT: 1</v>
      </c>
    </row>
    <row r="21" spans="1:18" x14ac:dyDescent="0.2">
      <c r="C21" s="554">
        <v>0</v>
      </c>
      <c r="D21" s="554">
        <v>1</v>
      </c>
      <c r="E21" s="554">
        <v>3</v>
      </c>
      <c r="F21" s="554">
        <v>2</v>
      </c>
    </row>
    <row r="22" spans="1:18" x14ac:dyDescent="0.2">
      <c r="C22" s="114" t="s">
        <v>933</v>
      </c>
      <c r="D22" s="114" t="s">
        <v>936</v>
      </c>
      <c r="E22" s="114" t="s">
        <v>937</v>
      </c>
      <c r="F22" s="570" t="s">
        <v>931</v>
      </c>
    </row>
    <row r="23" spans="1:18" x14ac:dyDescent="0.2">
      <c r="C23" s="114" t="s">
        <v>934</v>
      </c>
      <c r="D23" s="114" t="s">
        <v>935</v>
      </c>
      <c r="E23" s="114" t="s">
        <v>938</v>
      </c>
      <c r="F23" s="570" t="s">
        <v>932</v>
      </c>
    </row>
    <row r="24" spans="1:18" x14ac:dyDescent="0.2">
      <c r="F24" s="114" t="s">
        <v>950</v>
      </c>
    </row>
    <row r="25" spans="1:18" x14ac:dyDescent="0.2">
      <c r="F25" s="114" t="s">
        <v>949</v>
      </c>
    </row>
    <row r="27" spans="1:18" ht="15" x14ac:dyDescent="0.25">
      <c r="B27" s="114" t="s">
        <v>930</v>
      </c>
      <c r="C27" s="634">
        <v>1</v>
      </c>
      <c r="D27" s="634">
        <v>1</v>
      </c>
      <c r="E27" s="634">
        <v>2</v>
      </c>
      <c r="F27" s="634">
        <v>3</v>
      </c>
      <c r="G27" s="633" t="s">
        <v>974</v>
      </c>
      <c r="H27" s="114" t="str">
        <f>CONCATENATE("R_",A2)</f>
        <v>R_CFG</v>
      </c>
      <c r="J27" s="114" t="s">
        <v>964</v>
      </c>
    </row>
    <row r="28" spans="1:18" ht="15" x14ac:dyDescent="0.25">
      <c r="C28">
        <f>(C27-1)*2^C21</f>
        <v>0</v>
      </c>
      <c r="D28">
        <f>(D27-1)*2^D21</f>
        <v>0</v>
      </c>
      <c r="E28">
        <f>(E27-1)*2^E21</f>
        <v>8</v>
      </c>
      <c r="F28">
        <f>(IF(F27&gt;2,1,0)*2^F21)</f>
        <v>4</v>
      </c>
      <c r="G28" s="633">
        <f>SUM(C28:F28)+1</f>
        <v>13</v>
      </c>
      <c r="H28">
        <f>INDEX(B4:B19,G28)</f>
        <v>20.5</v>
      </c>
    </row>
    <row r="30" spans="1:18" x14ac:dyDescent="0.2">
      <c r="A30" s="114" t="s">
        <v>958</v>
      </c>
    </row>
    <row r="31" spans="1:18" x14ac:dyDescent="0.2">
      <c r="A31" s="114" t="s">
        <v>959</v>
      </c>
    </row>
    <row r="32" spans="1:18" x14ac:dyDescent="0.2">
      <c r="A32" s="570" t="s">
        <v>875</v>
      </c>
      <c r="B32" s="570" t="s">
        <v>962</v>
      </c>
      <c r="C32" s="570" t="s">
        <v>975</v>
      </c>
      <c r="D32" s="348" t="s">
        <v>1004</v>
      </c>
      <c r="E32" s="570"/>
      <c r="F32" s="570"/>
    </row>
    <row r="33" spans="1:18" x14ac:dyDescent="0.2">
      <c r="A33" s="554">
        <v>1</v>
      </c>
      <c r="B33" s="554">
        <v>0</v>
      </c>
      <c r="C33" s="570" t="s">
        <v>966</v>
      </c>
      <c r="D33" s="403" t="s">
        <v>1005</v>
      </c>
      <c r="E33" s="554"/>
      <c r="F33" s="554"/>
      <c r="L33" t="str">
        <f>CONCATENATE($C$32,": ",C33)</f>
        <v>Slope Comp.: n/a</v>
      </c>
      <c r="M33" t="str">
        <f>CONCATENATE(D$32," ",D33)</f>
        <v>I2C ADDR LSB: 0</v>
      </c>
      <c r="R33" t="str">
        <f>CONCATENATE(L33," / ",M33)</f>
        <v>Slope Comp.: n/a / I2C ADDR LSB: 0</v>
      </c>
    </row>
    <row r="34" spans="1:18" x14ac:dyDescent="0.2">
      <c r="A34" s="554">
        <v>2</v>
      </c>
      <c r="B34" s="554">
        <v>0.51100000000000001</v>
      </c>
      <c r="C34" s="554">
        <v>0.25</v>
      </c>
      <c r="D34" s="348" t="s">
        <v>965</v>
      </c>
      <c r="E34" s="554"/>
      <c r="F34" s="554"/>
      <c r="L34" t="str">
        <f t="shared" ref="L34:L48" si="10">CONCATENATE($C$32,": ",C34)</f>
        <v>Slope Comp.: 0.25</v>
      </c>
      <c r="M34" t="str">
        <f t="shared" ref="M34:M48" si="11">CONCATENATE(D$32," ",D34)</f>
        <v>I2C Disabled</v>
      </c>
      <c r="R34" t="str">
        <f t="shared" ref="R34:R48" si="12">CONCATENATE(L34," / ",M34," / ",N34," / ",O34)</f>
        <v xml:space="preserve">Slope Comp.: 0.25 / I2C Disabled /  / </v>
      </c>
    </row>
    <row r="35" spans="1:18" x14ac:dyDescent="0.2">
      <c r="A35" s="554">
        <v>3</v>
      </c>
      <c r="B35" s="554">
        <v>1.1499999999999999</v>
      </c>
      <c r="C35" s="554">
        <v>0.375</v>
      </c>
      <c r="D35" s="348" t="s">
        <v>965</v>
      </c>
      <c r="E35" s="554"/>
      <c r="F35" s="554"/>
      <c r="L35" t="str">
        <f t="shared" si="10"/>
        <v>Slope Comp.: 0.375</v>
      </c>
      <c r="M35" t="str">
        <f t="shared" si="11"/>
        <v>I2C Disabled</v>
      </c>
      <c r="R35" t="str">
        <f t="shared" si="12"/>
        <v xml:space="preserve">Slope Comp.: 0.375 / I2C Disabled /  / </v>
      </c>
    </row>
    <row r="36" spans="1:18" x14ac:dyDescent="0.2">
      <c r="A36" s="554">
        <v>4</v>
      </c>
      <c r="B36" s="554">
        <v>1.9</v>
      </c>
      <c r="C36" s="554">
        <v>0.5</v>
      </c>
      <c r="D36" s="348" t="s">
        <v>965</v>
      </c>
      <c r="E36" s="554"/>
      <c r="F36" s="554"/>
      <c r="L36" t="str">
        <f t="shared" si="10"/>
        <v>Slope Comp.: 0.5</v>
      </c>
      <c r="M36" t="str">
        <f t="shared" si="11"/>
        <v>I2C Disabled</v>
      </c>
      <c r="R36" t="str">
        <f t="shared" si="12"/>
        <v xml:space="preserve">Slope Comp.: 0.5 / I2C Disabled /  / </v>
      </c>
    </row>
    <row r="37" spans="1:18" x14ac:dyDescent="0.2">
      <c r="A37" s="554">
        <v>5</v>
      </c>
      <c r="B37" s="554">
        <v>2.7</v>
      </c>
      <c r="C37" s="554">
        <v>0.625</v>
      </c>
      <c r="D37" s="348" t="s">
        <v>965</v>
      </c>
      <c r="E37" s="554"/>
      <c r="F37" s="554"/>
      <c r="L37" t="str">
        <f t="shared" si="10"/>
        <v>Slope Comp.: 0.625</v>
      </c>
      <c r="M37" t="str">
        <f t="shared" si="11"/>
        <v>I2C Disabled</v>
      </c>
      <c r="R37" t="str">
        <f t="shared" si="12"/>
        <v xml:space="preserve">Slope Comp.: 0.625 / I2C Disabled /  / </v>
      </c>
    </row>
    <row r="38" spans="1:18" x14ac:dyDescent="0.2">
      <c r="A38" s="554">
        <v>6</v>
      </c>
      <c r="B38" s="554">
        <v>3.8</v>
      </c>
      <c r="C38" s="554">
        <v>0.75</v>
      </c>
      <c r="D38" s="348" t="s">
        <v>965</v>
      </c>
      <c r="E38" s="554"/>
      <c r="F38" s="554"/>
      <c r="L38" t="str">
        <f t="shared" si="10"/>
        <v>Slope Comp.: 0.75</v>
      </c>
      <c r="M38" t="str">
        <f t="shared" si="11"/>
        <v>I2C Disabled</v>
      </c>
      <c r="R38" t="str">
        <f t="shared" si="12"/>
        <v xml:space="preserve">Slope Comp.: 0.75 / I2C Disabled /  / </v>
      </c>
    </row>
    <row r="39" spans="1:18" x14ac:dyDescent="0.2">
      <c r="A39" s="554">
        <v>7</v>
      </c>
      <c r="B39" s="554">
        <v>5.0999999999999996</v>
      </c>
      <c r="C39" s="554">
        <v>0.875</v>
      </c>
      <c r="D39" s="348" t="s">
        <v>965</v>
      </c>
      <c r="E39" s="554"/>
      <c r="F39" s="554"/>
      <c r="L39" t="str">
        <f t="shared" si="10"/>
        <v>Slope Comp.: 0.875</v>
      </c>
      <c r="M39" t="str">
        <f t="shared" si="11"/>
        <v>I2C Disabled</v>
      </c>
      <c r="R39" t="str">
        <f t="shared" si="12"/>
        <v xml:space="preserve">Slope Comp.: 0.875 / I2C Disabled /  / </v>
      </c>
    </row>
    <row r="40" spans="1:18" x14ac:dyDescent="0.2">
      <c r="A40" s="554">
        <v>8</v>
      </c>
      <c r="B40" s="554">
        <v>6.5</v>
      </c>
      <c r="C40" s="554">
        <v>1</v>
      </c>
      <c r="D40" s="348" t="s">
        <v>965</v>
      </c>
      <c r="E40" s="554"/>
      <c r="F40" s="554"/>
      <c r="L40" t="str">
        <f t="shared" si="10"/>
        <v>Slope Comp.: 1</v>
      </c>
      <c r="M40" t="str">
        <f t="shared" si="11"/>
        <v>I2C Disabled</v>
      </c>
      <c r="R40" t="str">
        <f t="shared" si="12"/>
        <v xml:space="preserve">Slope Comp.: 1 / I2C Disabled /  / </v>
      </c>
    </row>
    <row r="41" spans="1:18" x14ac:dyDescent="0.2">
      <c r="A41" s="554">
        <v>9</v>
      </c>
      <c r="B41" s="554">
        <v>8.3000000000000007</v>
      </c>
      <c r="C41" s="554">
        <v>1.5</v>
      </c>
      <c r="D41" s="348" t="s">
        <v>965</v>
      </c>
      <c r="E41" s="554"/>
      <c r="F41" s="554"/>
      <c r="L41" t="str">
        <f t="shared" si="10"/>
        <v>Slope Comp.: 1.5</v>
      </c>
      <c r="M41" t="str">
        <f t="shared" si="11"/>
        <v>I2C Disabled</v>
      </c>
      <c r="R41" t="str">
        <f t="shared" si="12"/>
        <v xml:space="preserve">Slope Comp.: 1.5 / I2C Disabled /  / </v>
      </c>
    </row>
    <row r="42" spans="1:18" x14ac:dyDescent="0.2">
      <c r="A42" s="554">
        <v>10</v>
      </c>
      <c r="B42" s="554">
        <v>10.5</v>
      </c>
      <c r="C42" s="554">
        <v>2</v>
      </c>
      <c r="D42" s="348" t="s">
        <v>965</v>
      </c>
      <c r="E42" s="554"/>
      <c r="F42" s="554"/>
      <c r="L42" t="str">
        <f t="shared" si="10"/>
        <v>Slope Comp.: 2</v>
      </c>
      <c r="M42" t="str">
        <f t="shared" si="11"/>
        <v>I2C Disabled</v>
      </c>
      <c r="R42" t="str">
        <f t="shared" si="12"/>
        <v xml:space="preserve">Slope Comp.: 2 / I2C Disabled /  / </v>
      </c>
    </row>
    <row r="43" spans="1:18" x14ac:dyDescent="0.2">
      <c r="A43" s="554">
        <v>11</v>
      </c>
      <c r="B43" s="554">
        <v>13.3</v>
      </c>
      <c r="C43" s="554">
        <v>2.5</v>
      </c>
      <c r="D43" s="348" t="s">
        <v>965</v>
      </c>
      <c r="E43" s="554"/>
      <c r="F43" s="554"/>
      <c r="L43" t="str">
        <f t="shared" si="10"/>
        <v>Slope Comp.: 2.5</v>
      </c>
      <c r="M43" t="str">
        <f t="shared" si="11"/>
        <v>I2C Disabled</v>
      </c>
      <c r="R43" t="str">
        <f t="shared" si="12"/>
        <v xml:space="preserve">Slope Comp.: 2.5 / I2C Disabled /  / </v>
      </c>
    </row>
    <row r="44" spans="1:18" x14ac:dyDescent="0.2">
      <c r="A44" s="554">
        <v>12</v>
      </c>
      <c r="B44" s="554">
        <v>16.2</v>
      </c>
      <c r="C44" s="554">
        <v>3</v>
      </c>
      <c r="D44" s="348" t="s">
        <v>965</v>
      </c>
      <c r="E44" s="554"/>
      <c r="F44" s="554"/>
      <c r="L44" t="str">
        <f t="shared" si="10"/>
        <v>Slope Comp.: 3</v>
      </c>
      <c r="M44" t="str">
        <f t="shared" si="11"/>
        <v>I2C Disabled</v>
      </c>
      <c r="R44" t="str">
        <f t="shared" si="12"/>
        <v xml:space="preserve">Slope Comp.: 3 / I2C Disabled /  / </v>
      </c>
    </row>
    <row r="45" spans="1:18" x14ac:dyDescent="0.2">
      <c r="A45" s="554">
        <v>13</v>
      </c>
      <c r="B45" s="554">
        <v>20.5</v>
      </c>
      <c r="C45" s="554">
        <v>3.5</v>
      </c>
      <c r="D45" s="348" t="s">
        <v>965</v>
      </c>
      <c r="E45" s="554"/>
      <c r="F45" s="554"/>
      <c r="L45" t="str">
        <f t="shared" si="10"/>
        <v>Slope Comp.: 3.5</v>
      </c>
      <c r="M45" t="str">
        <f t="shared" si="11"/>
        <v>I2C Disabled</v>
      </c>
      <c r="R45" t="str">
        <f t="shared" si="12"/>
        <v xml:space="preserve">Slope Comp.: 3.5 / I2C Disabled /  / </v>
      </c>
    </row>
    <row r="46" spans="1:18" x14ac:dyDescent="0.2">
      <c r="A46" s="554">
        <v>14</v>
      </c>
      <c r="B46" s="554">
        <v>24.9</v>
      </c>
      <c r="C46" s="554">
        <v>4</v>
      </c>
      <c r="D46" s="348" t="s">
        <v>965</v>
      </c>
      <c r="E46" s="554"/>
      <c r="F46" s="554"/>
      <c r="L46" t="str">
        <f t="shared" si="10"/>
        <v>Slope Comp.: 4</v>
      </c>
      <c r="M46" t="str">
        <f t="shared" si="11"/>
        <v>I2C Disabled</v>
      </c>
      <c r="R46" t="str">
        <f t="shared" si="12"/>
        <v xml:space="preserve">Slope Comp.: 4 / I2C Disabled /  / </v>
      </c>
    </row>
    <row r="47" spans="1:18" x14ac:dyDescent="0.2">
      <c r="A47" s="554">
        <v>15</v>
      </c>
      <c r="B47" s="554">
        <v>30.1</v>
      </c>
      <c r="C47" s="554">
        <v>4.5</v>
      </c>
      <c r="D47" s="348" t="s">
        <v>965</v>
      </c>
      <c r="E47" s="554"/>
      <c r="F47" s="554"/>
      <c r="L47" t="str">
        <f t="shared" si="10"/>
        <v>Slope Comp.: 4.5</v>
      </c>
      <c r="M47" t="str">
        <f t="shared" si="11"/>
        <v>I2C Disabled</v>
      </c>
      <c r="R47" t="str">
        <f t="shared" si="12"/>
        <v xml:space="preserve">Slope Comp.: 4.5 / I2C Disabled /  / </v>
      </c>
    </row>
    <row r="48" spans="1:18" x14ac:dyDescent="0.2">
      <c r="A48" s="554">
        <v>16</v>
      </c>
      <c r="B48" s="554">
        <v>36.5</v>
      </c>
      <c r="C48" s="570" t="s">
        <v>966</v>
      </c>
      <c r="D48" s="403" t="s">
        <v>1006</v>
      </c>
      <c r="E48" s="554"/>
      <c r="F48" s="554"/>
      <c r="L48" t="str">
        <f t="shared" si="10"/>
        <v>Slope Comp.: n/a</v>
      </c>
      <c r="M48" t="str">
        <f t="shared" si="11"/>
        <v>I2C ADDR LSB: 1</v>
      </c>
      <c r="R48" t="str">
        <f t="shared" si="12"/>
        <v xml:space="preserve">Slope Comp.: n/a / I2C ADDR LSB: 1 /  / </v>
      </c>
    </row>
    <row r="50" spans="1:18" x14ac:dyDescent="0.2">
      <c r="C50" s="554"/>
      <c r="D50" s="554"/>
      <c r="E50" s="554"/>
      <c r="F50" s="554"/>
    </row>
    <row r="51" spans="1:18" x14ac:dyDescent="0.2">
      <c r="C51" s="114" t="str">
        <f>CONCATENATE(C32,": off")</f>
        <v>Slope Comp.: off</v>
      </c>
      <c r="D51" s="114" t="str">
        <f>CONCATENATE(D32,": 0")</f>
        <v>I2C: 0</v>
      </c>
      <c r="E51" s="114"/>
      <c r="F51" s="114"/>
    </row>
    <row r="52" spans="1:18" x14ac:dyDescent="0.2">
      <c r="C52" s="114" t="str">
        <f>CONCATENATE(C32,": on")</f>
        <v>Slope Comp.: on</v>
      </c>
      <c r="D52" s="114" t="str">
        <f>CONCATENATE(D32,": 1")</f>
        <v>I2C: 1</v>
      </c>
      <c r="E52" s="114"/>
      <c r="F52" s="114"/>
    </row>
    <row r="53" spans="1:18" x14ac:dyDescent="0.2">
      <c r="F53" s="114"/>
    </row>
    <row r="54" spans="1:18" x14ac:dyDescent="0.2">
      <c r="F54" s="114"/>
    </row>
    <row r="56" spans="1:18" ht="15" x14ac:dyDescent="0.25">
      <c r="B56" s="114" t="s">
        <v>930</v>
      </c>
      <c r="C56" s="634">
        <v>1</v>
      </c>
      <c r="D56" s="634">
        <f>IF(OR(C56=1,B56=16),1,2)</f>
        <v>1</v>
      </c>
      <c r="E56" s="634">
        <v>1</v>
      </c>
      <c r="F56" s="634">
        <v>1</v>
      </c>
      <c r="G56" s="633" t="s">
        <v>974</v>
      </c>
      <c r="H56" s="114" t="str">
        <f>CONCATENATE("R_",A31)</f>
        <v>R_CFG1</v>
      </c>
      <c r="J56" s="114" t="s">
        <v>964</v>
      </c>
    </row>
    <row r="57" spans="1:18" ht="15" x14ac:dyDescent="0.25">
      <c r="C57">
        <f>C56</f>
        <v>1</v>
      </c>
      <c r="D57">
        <f>(D56-1)*2^D50</f>
        <v>0</v>
      </c>
      <c r="E57">
        <f>(E56-1)*2^E50</f>
        <v>0</v>
      </c>
      <c r="F57">
        <f>(IF(F56&gt;1,1,0)*2^F50)</f>
        <v>0</v>
      </c>
      <c r="G57" s="633">
        <f>C57</f>
        <v>1</v>
      </c>
      <c r="H57">
        <f>INDEX(B33:B48,G57)</f>
        <v>0</v>
      </c>
    </row>
    <row r="60" spans="1:18" x14ac:dyDescent="0.2">
      <c r="A60" s="114" t="s">
        <v>960</v>
      </c>
    </row>
    <row r="61" spans="1:18" x14ac:dyDescent="0.2">
      <c r="A61" s="570" t="s">
        <v>875</v>
      </c>
      <c r="B61" s="570" t="s">
        <v>962</v>
      </c>
      <c r="C61" s="570" t="s">
        <v>1289</v>
      </c>
      <c r="D61" s="570" t="s">
        <v>963</v>
      </c>
      <c r="E61" s="570" t="s">
        <v>1288</v>
      </c>
      <c r="F61" s="570" t="s">
        <v>1287</v>
      </c>
      <c r="G61" t="str">
        <f>C61</f>
        <v>SYNC_OUT</v>
      </c>
      <c r="H61" t="str">
        <f>D61</f>
        <v>SYNC_IN_FALLING</v>
      </c>
      <c r="I61" t="str">
        <f>E61</f>
        <v>VDET</v>
      </c>
      <c r="J61" t="str">
        <f>F61</f>
        <v>PCM_HYST</v>
      </c>
    </row>
    <row r="62" spans="1:18" x14ac:dyDescent="0.2">
      <c r="A62" s="554">
        <v>1</v>
      </c>
      <c r="B62" s="554">
        <v>0</v>
      </c>
      <c r="C62" s="554">
        <v>0</v>
      </c>
      <c r="D62" s="554">
        <v>0</v>
      </c>
      <c r="E62" s="554">
        <v>0</v>
      </c>
      <c r="F62" s="554">
        <v>0</v>
      </c>
      <c r="G62" t="str">
        <f t="shared" ref="G62:G77" si="13">IF(C62=1,"Enable","Disable")</f>
        <v>Disable</v>
      </c>
      <c r="H62" t="str">
        <f t="shared" ref="H62:H77" si="14">IF(D62=1,"Enable","Disable")</f>
        <v>Disable</v>
      </c>
      <c r="I62" t="str">
        <f t="shared" ref="I62:I77" si="15">IF(E62=1,"Enable","Disable")</f>
        <v>Disable</v>
      </c>
      <c r="J62" t="str">
        <f t="shared" ref="J62:J77" si="16">IF(F62=1,"Enable","Disable")</f>
        <v>Disable</v>
      </c>
      <c r="L62" t="str">
        <f>CONCATENATE($C$61,": ",C62)</f>
        <v>SYNC_OUT: 0</v>
      </c>
      <c r="M62" t="str">
        <f>CONCATENATE(D$61,": ",D62)</f>
        <v>SYNC_IN_FALLING: 0</v>
      </c>
      <c r="N62" t="str">
        <f>CONCATENATE(E$61,": ",E62)</f>
        <v>VDET: 0</v>
      </c>
      <c r="O62" t="str">
        <f>CONCATENATE(F$61,": ",F62)</f>
        <v>PCM_HYST: 0</v>
      </c>
      <c r="P62" t="str">
        <f t="shared" ref="P62:P77" si="17">CONCATENATE(K$3,": ",G62)</f>
        <v>: Disable</v>
      </c>
      <c r="R62" t="str">
        <f>CONCATENATE(L62," / ",M62," / ",N62," / ",O62)</f>
        <v>SYNC_OUT: 0 / SYNC_IN_FALLING: 0 / VDET: 0 / PCM_HYST: 0</v>
      </c>
    </row>
    <row r="63" spans="1:18" x14ac:dyDescent="0.2">
      <c r="A63" s="554">
        <v>2</v>
      </c>
      <c r="B63" s="554">
        <v>0.51100000000000001</v>
      </c>
      <c r="C63" s="554">
        <v>1</v>
      </c>
      <c r="D63" s="554">
        <v>0</v>
      </c>
      <c r="E63" s="554">
        <v>0</v>
      </c>
      <c r="F63" s="554">
        <v>0</v>
      </c>
      <c r="G63" t="str">
        <f t="shared" si="13"/>
        <v>Enable</v>
      </c>
      <c r="H63" t="str">
        <f t="shared" si="14"/>
        <v>Disable</v>
      </c>
      <c r="I63" t="str">
        <f t="shared" si="15"/>
        <v>Disable</v>
      </c>
      <c r="J63" t="str">
        <f t="shared" si="16"/>
        <v>Disable</v>
      </c>
      <c r="L63" t="str">
        <f t="shared" ref="L63:L77" si="18">CONCATENATE($C$61,": ",C63)</f>
        <v>SYNC_OUT: 1</v>
      </c>
      <c r="M63" t="str">
        <f t="shared" ref="M63:M77" si="19">CONCATENATE(D$61,": ",D63)</f>
        <v>SYNC_IN_FALLING: 0</v>
      </c>
      <c r="N63" t="str">
        <f t="shared" ref="N63:N77" si="20">CONCATENATE(E$61,": ",E63)</f>
        <v>VDET: 0</v>
      </c>
      <c r="O63" t="str">
        <f t="shared" ref="O63:O77" si="21">CONCATENATE(F$61,": ",F63)</f>
        <v>PCM_HYST: 0</v>
      </c>
      <c r="P63" t="str">
        <f t="shared" si="17"/>
        <v>: Enable</v>
      </c>
      <c r="R63" t="str">
        <f t="shared" ref="R63:R77" si="22">CONCATENATE(L63," / ",M63," / ",N63," / ",O63)</f>
        <v>SYNC_OUT: 1 / SYNC_IN_FALLING: 0 / VDET: 0 / PCM_HYST: 0</v>
      </c>
    </row>
    <row r="64" spans="1:18" x14ac:dyDescent="0.2">
      <c r="A64" s="554">
        <v>3</v>
      </c>
      <c r="B64" s="554">
        <v>1.1499999999999999</v>
      </c>
      <c r="C64" s="554">
        <v>0</v>
      </c>
      <c r="D64" s="554">
        <v>1</v>
      </c>
      <c r="E64" s="554">
        <v>0</v>
      </c>
      <c r="F64" s="554">
        <v>0</v>
      </c>
      <c r="G64" t="str">
        <f t="shared" si="13"/>
        <v>Disable</v>
      </c>
      <c r="H64" t="str">
        <f t="shared" si="14"/>
        <v>Enable</v>
      </c>
      <c r="I64" t="str">
        <f t="shared" si="15"/>
        <v>Disable</v>
      </c>
      <c r="J64" t="str">
        <f t="shared" si="16"/>
        <v>Disable</v>
      </c>
      <c r="L64" t="str">
        <f t="shared" si="18"/>
        <v>SYNC_OUT: 0</v>
      </c>
      <c r="M64" t="str">
        <f t="shared" si="19"/>
        <v>SYNC_IN_FALLING: 1</v>
      </c>
      <c r="N64" t="str">
        <f t="shared" si="20"/>
        <v>VDET: 0</v>
      </c>
      <c r="O64" t="str">
        <f t="shared" si="21"/>
        <v>PCM_HYST: 0</v>
      </c>
      <c r="P64" t="str">
        <f t="shared" si="17"/>
        <v>: Disable</v>
      </c>
      <c r="R64" t="str">
        <f t="shared" si="22"/>
        <v>SYNC_OUT: 0 / SYNC_IN_FALLING: 1 / VDET: 0 / PCM_HYST: 0</v>
      </c>
    </row>
    <row r="65" spans="1:18" x14ac:dyDescent="0.2">
      <c r="A65" s="554">
        <v>4</v>
      </c>
      <c r="B65" s="554">
        <v>1.9</v>
      </c>
      <c r="C65" s="554">
        <v>1</v>
      </c>
      <c r="D65" s="554">
        <v>1</v>
      </c>
      <c r="E65" s="554">
        <v>0</v>
      </c>
      <c r="F65" s="554">
        <v>0</v>
      </c>
      <c r="G65" t="str">
        <f t="shared" si="13"/>
        <v>Enable</v>
      </c>
      <c r="H65" t="str">
        <f t="shared" si="14"/>
        <v>Enable</v>
      </c>
      <c r="I65" t="str">
        <f t="shared" si="15"/>
        <v>Disable</v>
      </c>
      <c r="J65" t="str">
        <f t="shared" si="16"/>
        <v>Disable</v>
      </c>
      <c r="L65" t="str">
        <f t="shared" si="18"/>
        <v>SYNC_OUT: 1</v>
      </c>
      <c r="M65" t="str">
        <f t="shared" si="19"/>
        <v>SYNC_IN_FALLING: 1</v>
      </c>
      <c r="N65" t="str">
        <f t="shared" si="20"/>
        <v>VDET: 0</v>
      </c>
      <c r="O65" t="str">
        <f t="shared" si="21"/>
        <v>PCM_HYST: 0</v>
      </c>
      <c r="P65" t="str">
        <f t="shared" si="17"/>
        <v>: Enable</v>
      </c>
      <c r="R65" t="str">
        <f t="shared" si="22"/>
        <v>SYNC_OUT: 1 / SYNC_IN_FALLING: 1 / VDET: 0 / PCM_HYST: 0</v>
      </c>
    </row>
    <row r="66" spans="1:18" x14ac:dyDescent="0.2">
      <c r="A66" s="554">
        <v>5</v>
      </c>
      <c r="B66" s="554">
        <v>2.7</v>
      </c>
      <c r="C66" s="554">
        <v>0</v>
      </c>
      <c r="D66" s="554">
        <v>0</v>
      </c>
      <c r="E66" s="554">
        <v>1</v>
      </c>
      <c r="F66" s="554">
        <v>0</v>
      </c>
      <c r="G66" t="str">
        <f t="shared" si="13"/>
        <v>Disable</v>
      </c>
      <c r="H66" t="str">
        <f t="shared" si="14"/>
        <v>Disable</v>
      </c>
      <c r="I66" t="str">
        <f t="shared" si="15"/>
        <v>Enable</v>
      </c>
      <c r="J66" t="str">
        <f t="shared" si="16"/>
        <v>Disable</v>
      </c>
      <c r="L66" t="str">
        <f t="shared" si="18"/>
        <v>SYNC_OUT: 0</v>
      </c>
      <c r="M66" t="str">
        <f t="shared" si="19"/>
        <v>SYNC_IN_FALLING: 0</v>
      </c>
      <c r="N66" t="str">
        <f t="shared" si="20"/>
        <v>VDET: 1</v>
      </c>
      <c r="O66" t="str">
        <f t="shared" si="21"/>
        <v>PCM_HYST: 0</v>
      </c>
      <c r="P66" t="str">
        <f t="shared" si="17"/>
        <v>: Disable</v>
      </c>
      <c r="R66" t="str">
        <f t="shared" si="22"/>
        <v>SYNC_OUT: 0 / SYNC_IN_FALLING: 0 / VDET: 1 / PCM_HYST: 0</v>
      </c>
    </row>
    <row r="67" spans="1:18" x14ac:dyDescent="0.2">
      <c r="A67" s="554">
        <v>6</v>
      </c>
      <c r="B67" s="554">
        <v>3.8</v>
      </c>
      <c r="C67" s="554">
        <v>1</v>
      </c>
      <c r="D67" s="554">
        <v>1</v>
      </c>
      <c r="E67" s="554">
        <v>1</v>
      </c>
      <c r="F67" s="554">
        <v>0</v>
      </c>
      <c r="G67" t="str">
        <f t="shared" si="13"/>
        <v>Enable</v>
      </c>
      <c r="H67" t="str">
        <f t="shared" si="14"/>
        <v>Enable</v>
      </c>
      <c r="I67" t="str">
        <f t="shared" si="15"/>
        <v>Enable</v>
      </c>
      <c r="J67" t="str">
        <f t="shared" si="16"/>
        <v>Disable</v>
      </c>
      <c r="L67" t="str">
        <f t="shared" si="18"/>
        <v>SYNC_OUT: 1</v>
      </c>
      <c r="M67" t="str">
        <f t="shared" si="19"/>
        <v>SYNC_IN_FALLING: 1</v>
      </c>
      <c r="N67" t="str">
        <f t="shared" si="20"/>
        <v>VDET: 1</v>
      </c>
      <c r="O67" t="str">
        <f t="shared" si="21"/>
        <v>PCM_HYST: 0</v>
      </c>
      <c r="P67" t="str">
        <f t="shared" si="17"/>
        <v>: Enable</v>
      </c>
      <c r="R67" t="str">
        <f t="shared" si="22"/>
        <v>SYNC_OUT: 1 / SYNC_IN_FALLING: 1 / VDET: 1 / PCM_HYST: 0</v>
      </c>
    </row>
    <row r="68" spans="1:18" x14ac:dyDescent="0.2">
      <c r="A68" s="554">
        <v>7</v>
      </c>
      <c r="B68" s="554">
        <v>5.0999999999999996</v>
      </c>
      <c r="C68" s="554">
        <v>0</v>
      </c>
      <c r="D68" s="554">
        <v>1</v>
      </c>
      <c r="E68" s="554">
        <v>1</v>
      </c>
      <c r="F68" s="554">
        <v>0</v>
      </c>
      <c r="G68" t="str">
        <f t="shared" si="13"/>
        <v>Disable</v>
      </c>
      <c r="H68" t="str">
        <f t="shared" si="14"/>
        <v>Enable</v>
      </c>
      <c r="I68" t="str">
        <f t="shared" si="15"/>
        <v>Enable</v>
      </c>
      <c r="J68" t="str">
        <f t="shared" si="16"/>
        <v>Disable</v>
      </c>
      <c r="L68" t="str">
        <f t="shared" si="18"/>
        <v>SYNC_OUT: 0</v>
      </c>
      <c r="M68" t="str">
        <f t="shared" si="19"/>
        <v>SYNC_IN_FALLING: 1</v>
      </c>
      <c r="N68" t="str">
        <f t="shared" si="20"/>
        <v>VDET: 1</v>
      </c>
      <c r="O68" t="str">
        <f t="shared" si="21"/>
        <v>PCM_HYST: 0</v>
      </c>
      <c r="P68" t="str">
        <f t="shared" si="17"/>
        <v>: Disable</v>
      </c>
      <c r="R68" t="str">
        <f t="shared" si="22"/>
        <v>SYNC_OUT: 0 / SYNC_IN_FALLING: 1 / VDET: 1 / PCM_HYST: 0</v>
      </c>
    </row>
    <row r="69" spans="1:18" x14ac:dyDescent="0.2">
      <c r="A69" s="554">
        <v>8</v>
      </c>
      <c r="B69" s="554">
        <v>6.5</v>
      </c>
      <c r="C69" s="554">
        <v>1</v>
      </c>
      <c r="D69" s="554">
        <v>1</v>
      </c>
      <c r="E69" s="554">
        <v>1</v>
      </c>
      <c r="F69" s="554">
        <v>0</v>
      </c>
      <c r="G69" t="str">
        <f t="shared" si="13"/>
        <v>Enable</v>
      </c>
      <c r="H69" t="str">
        <f t="shared" si="14"/>
        <v>Enable</v>
      </c>
      <c r="I69" t="str">
        <f t="shared" si="15"/>
        <v>Enable</v>
      </c>
      <c r="J69" t="str">
        <f t="shared" si="16"/>
        <v>Disable</v>
      </c>
      <c r="L69" t="str">
        <f t="shared" si="18"/>
        <v>SYNC_OUT: 1</v>
      </c>
      <c r="M69" t="str">
        <f t="shared" si="19"/>
        <v>SYNC_IN_FALLING: 1</v>
      </c>
      <c r="N69" t="str">
        <f t="shared" si="20"/>
        <v>VDET: 1</v>
      </c>
      <c r="O69" t="str">
        <f t="shared" si="21"/>
        <v>PCM_HYST: 0</v>
      </c>
      <c r="P69" t="str">
        <f t="shared" si="17"/>
        <v>: Enable</v>
      </c>
      <c r="R69" t="str">
        <f t="shared" si="22"/>
        <v>SYNC_OUT: 1 / SYNC_IN_FALLING: 1 / VDET: 1 / PCM_HYST: 0</v>
      </c>
    </row>
    <row r="70" spans="1:18" x14ac:dyDescent="0.2">
      <c r="A70" s="554">
        <v>9</v>
      </c>
      <c r="B70" s="554">
        <v>8.3000000000000007</v>
      </c>
      <c r="C70" s="554">
        <v>0</v>
      </c>
      <c r="D70" s="554">
        <v>0</v>
      </c>
      <c r="E70" s="554">
        <v>0</v>
      </c>
      <c r="F70" s="554">
        <v>1</v>
      </c>
      <c r="G70" t="str">
        <f t="shared" si="13"/>
        <v>Disable</v>
      </c>
      <c r="H70" t="str">
        <f t="shared" si="14"/>
        <v>Disable</v>
      </c>
      <c r="I70" t="str">
        <f t="shared" si="15"/>
        <v>Disable</v>
      </c>
      <c r="J70" t="str">
        <f t="shared" si="16"/>
        <v>Enable</v>
      </c>
      <c r="L70" t="str">
        <f t="shared" si="18"/>
        <v>SYNC_OUT: 0</v>
      </c>
      <c r="M70" t="str">
        <f t="shared" si="19"/>
        <v>SYNC_IN_FALLING: 0</v>
      </c>
      <c r="N70" t="str">
        <f t="shared" si="20"/>
        <v>VDET: 0</v>
      </c>
      <c r="O70" t="str">
        <f t="shared" si="21"/>
        <v>PCM_HYST: 1</v>
      </c>
      <c r="P70" t="str">
        <f t="shared" si="17"/>
        <v>: Disable</v>
      </c>
      <c r="R70" t="str">
        <f t="shared" si="22"/>
        <v>SYNC_OUT: 0 / SYNC_IN_FALLING: 0 / VDET: 0 / PCM_HYST: 1</v>
      </c>
    </row>
    <row r="71" spans="1:18" x14ac:dyDescent="0.2">
      <c r="A71" s="554">
        <v>10</v>
      </c>
      <c r="B71" s="554">
        <v>10.5</v>
      </c>
      <c r="C71" s="554">
        <v>1</v>
      </c>
      <c r="D71" s="554">
        <v>0</v>
      </c>
      <c r="E71" s="554">
        <v>0</v>
      </c>
      <c r="F71" s="554">
        <v>1</v>
      </c>
      <c r="G71" t="str">
        <f t="shared" si="13"/>
        <v>Enable</v>
      </c>
      <c r="H71" t="str">
        <f t="shared" si="14"/>
        <v>Disable</v>
      </c>
      <c r="I71" t="str">
        <f t="shared" si="15"/>
        <v>Disable</v>
      </c>
      <c r="J71" t="str">
        <f t="shared" si="16"/>
        <v>Enable</v>
      </c>
      <c r="L71" t="str">
        <f t="shared" si="18"/>
        <v>SYNC_OUT: 1</v>
      </c>
      <c r="M71" t="str">
        <f t="shared" si="19"/>
        <v>SYNC_IN_FALLING: 0</v>
      </c>
      <c r="N71" t="str">
        <f t="shared" si="20"/>
        <v>VDET: 0</v>
      </c>
      <c r="O71" t="str">
        <f t="shared" si="21"/>
        <v>PCM_HYST: 1</v>
      </c>
      <c r="P71" t="str">
        <f t="shared" si="17"/>
        <v>: Enable</v>
      </c>
      <c r="R71" t="str">
        <f t="shared" si="22"/>
        <v>SYNC_OUT: 1 / SYNC_IN_FALLING: 0 / VDET: 0 / PCM_HYST: 1</v>
      </c>
    </row>
    <row r="72" spans="1:18" x14ac:dyDescent="0.2">
      <c r="A72" s="554">
        <v>11</v>
      </c>
      <c r="B72" s="554">
        <v>13.3</v>
      </c>
      <c r="C72" s="554">
        <v>0</v>
      </c>
      <c r="D72" s="554">
        <v>1</v>
      </c>
      <c r="E72" s="554">
        <v>0</v>
      </c>
      <c r="F72" s="554">
        <v>1</v>
      </c>
      <c r="G72" t="str">
        <f t="shared" si="13"/>
        <v>Disable</v>
      </c>
      <c r="H72" t="str">
        <f t="shared" si="14"/>
        <v>Enable</v>
      </c>
      <c r="I72" t="str">
        <f t="shared" si="15"/>
        <v>Disable</v>
      </c>
      <c r="J72" t="str">
        <f t="shared" si="16"/>
        <v>Enable</v>
      </c>
      <c r="L72" t="str">
        <f t="shared" si="18"/>
        <v>SYNC_OUT: 0</v>
      </c>
      <c r="M72" t="str">
        <f t="shared" si="19"/>
        <v>SYNC_IN_FALLING: 1</v>
      </c>
      <c r="N72" t="str">
        <f t="shared" si="20"/>
        <v>VDET: 0</v>
      </c>
      <c r="O72" t="str">
        <f t="shared" si="21"/>
        <v>PCM_HYST: 1</v>
      </c>
      <c r="P72" t="str">
        <f t="shared" si="17"/>
        <v>: Disable</v>
      </c>
      <c r="R72" t="str">
        <f t="shared" si="22"/>
        <v>SYNC_OUT: 0 / SYNC_IN_FALLING: 1 / VDET: 0 / PCM_HYST: 1</v>
      </c>
    </row>
    <row r="73" spans="1:18" x14ac:dyDescent="0.2">
      <c r="A73" s="554">
        <v>12</v>
      </c>
      <c r="B73" s="554">
        <v>16.2</v>
      </c>
      <c r="C73" s="554">
        <v>1</v>
      </c>
      <c r="D73" s="554">
        <v>1</v>
      </c>
      <c r="E73" s="554">
        <v>0</v>
      </c>
      <c r="F73" s="554">
        <v>1</v>
      </c>
      <c r="G73" t="str">
        <f t="shared" si="13"/>
        <v>Enable</v>
      </c>
      <c r="H73" t="str">
        <f t="shared" si="14"/>
        <v>Enable</v>
      </c>
      <c r="I73" t="str">
        <f t="shared" si="15"/>
        <v>Disable</v>
      </c>
      <c r="J73" t="str">
        <f t="shared" si="16"/>
        <v>Enable</v>
      </c>
      <c r="L73" t="str">
        <f t="shared" si="18"/>
        <v>SYNC_OUT: 1</v>
      </c>
      <c r="M73" t="str">
        <f t="shared" si="19"/>
        <v>SYNC_IN_FALLING: 1</v>
      </c>
      <c r="N73" t="str">
        <f t="shared" si="20"/>
        <v>VDET: 0</v>
      </c>
      <c r="O73" t="str">
        <f t="shared" si="21"/>
        <v>PCM_HYST: 1</v>
      </c>
      <c r="P73" t="str">
        <f t="shared" si="17"/>
        <v>: Enable</v>
      </c>
      <c r="R73" t="str">
        <f t="shared" si="22"/>
        <v>SYNC_OUT: 1 / SYNC_IN_FALLING: 1 / VDET: 0 / PCM_HYST: 1</v>
      </c>
    </row>
    <row r="74" spans="1:18" x14ac:dyDescent="0.2">
      <c r="A74" s="554">
        <v>13</v>
      </c>
      <c r="B74" s="554">
        <v>20.5</v>
      </c>
      <c r="C74" s="554">
        <v>0</v>
      </c>
      <c r="D74" s="554">
        <v>0</v>
      </c>
      <c r="E74" s="554">
        <v>1</v>
      </c>
      <c r="F74" s="554">
        <v>1</v>
      </c>
      <c r="G74" t="str">
        <f t="shared" si="13"/>
        <v>Disable</v>
      </c>
      <c r="H74" t="str">
        <f t="shared" si="14"/>
        <v>Disable</v>
      </c>
      <c r="I74" t="str">
        <f t="shared" si="15"/>
        <v>Enable</v>
      </c>
      <c r="J74" t="str">
        <f t="shared" si="16"/>
        <v>Enable</v>
      </c>
      <c r="L74" t="str">
        <f t="shared" si="18"/>
        <v>SYNC_OUT: 0</v>
      </c>
      <c r="M74" t="str">
        <f t="shared" si="19"/>
        <v>SYNC_IN_FALLING: 0</v>
      </c>
      <c r="N74" t="str">
        <f t="shared" si="20"/>
        <v>VDET: 1</v>
      </c>
      <c r="O74" t="str">
        <f t="shared" si="21"/>
        <v>PCM_HYST: 1</v>
      </c>
      <c r="P74" t="str">
        <f t="shared" si="17"/>
        <v>: Disable</v>
      </c>
      <c r="R74" t="str">
        <f t="shared" si="22"/>
        <v>SYNC_OUT: 0 / SYNC_IN_FALLING: 0 / VDET: 1 / PCM_HYST: 1</v>
      </c>
    </row>
    <row r="75" spans="1:18" x14ac:dyDescent="0.2">
      <c r="A75" s="554">
        <v>14</v>
      </c>
      <c r="B75" s="554">
        <v>24.9</v>
      </c>
      <c r="C75" s="554">
        <v>1</v>
      </c>
      <c r="D75" s="554">
        <v>0</v>
      </c>
      <c r="E75" s="554">
        <v>1</v>
      </c>
      <c r="F75" s="554">
        <v>1</v>
      </c>
      <c r="G75" t="str">
        <f t="shared" si="13"/>
        <v>Enable</v>
      </c>
      <c r="H75" t="str">
        <f t="shared" si="14"/>
        <v>Disable</v>
      </c>
      <c r="I75" t="str">
        <f t="shared" si="15"/>
        <v>Enable</v>
      </c>
      <c r="J75" t="str">
        <f t="shared" si="16"/>
        <v>Enable</v>
      </c>
      <c r="L75" t="str">
        <f t="shared" si="18"/>
        <v>SYNC_OUT: 1</v>
      </c>
      <c r="M75" t="str">
        <f t="shared" si="19"/>
        <v>SYNC_IN_FALLING: 0</v>
      </c>
      <c r="N75" t="str">
        <f t="shared" si="20"/>
        <v>VDET: 1</v>
      </c>
      <c r="O75" t="str">
        <f t="shared" si="21"/>
        <v>PCM_HYST: 1</v>
      </c>
      <c r="P75" t="str">
        <f t="shared" si="17"/>
        <v>: Enable</v>
      </c>
      <c r="R75" t="str">
        <f t="shared" si="22"/>
        <v>SYNC_OUT: 1 / SYNC_IN_FALLING: 0 / VDET: 1 / PCM_HYST: 1</v>
      </c>
    </row>
    <row r="76" spans="1:18" x14ac:dyDescent="0.2">
      <c r="A76" s="554">
        <v>15</v>
      </c>
      <c r="B76" s="554">
        <v>30.1</v>
      </c>
      <c r="C76" s="554">
        <v>0</v>
      </c>
      <c r="D76" s="554">
        <v>1</v>
      </c>
      <c r="E76" s="554">
        <v>1</v>
      </c>
      <c r="F76" s="554">
        <v>1</v>
      </c>
      <c r="G76" t="str">
        <f t="shared" si="13"/>
        <v>Disable</v>
      </c>
      <c r="H76" t="str">
        <f t="shared" si="14"/>
        <v>Enable</v>
      </c>
      <c r="I76" t="str">
        <f t="shared" si="15"/>
        <v>Enable</v>
      </c>
      <c r="J76" t="str">
        <f t="shared" si="16"/>
        <v>Enable</v>
      </c>
      <c r="L76" t="str">
        <f t="shared" si="18"/>
        <v>SYNC_OUT: 0</v>
      </c>
      <c r="M76" t="str">
        <f t="shared" si="19"/>
        <v>SYNC_IN_FALLING: 1</v>
      </c>
      <c r="N76" t="str">
        <f t="shared" si="20"/>
        <v>VDET: 1</v>
      </c>
      <c r="O76" t="str">
        <f t="shared" si="21"/>
        <v>PCM_HYST: 1</v>
      </c>
      <c r="P76" t="str">
        <f t="shared" si="17"/>
        <v>: Disable</v>
      </c>
      <c r="R76" t="str">
        <f t="shared" si="22"/>
        <v>SYNC_OUT: 0 / SYNC_IN_FALLING: 1 / VDET: 1 / PCM_HYST: 1</v>
      </c>
    </row>
    <row r="77" spans="1:18" x14ac:dyDescent="0.2">
      <c r="A77" s="554">
        <v>16</v>
      </c>
      <c r="B77" s="554">
        <v>36.5</v>
      </c>
      <c r="C77" s="554">
        <v>1</v>
      </c>
      <c r="D77" s="554">
        <v>1</v>
      </c>
      <c r="E77" s="554">
        <v>1</v>
      </c>
      <c r="F77" s="554">
        <v>1</v>
      </c>
      <c r="G77" t="str">
        <f t="shared" si="13"/>
        <v>Enable</v>
      </c>
      <c r="H77" t="str">
        <f t="shared" si="14"/>
        <v>Enable</v>
      </c>
      <c r="I77" t="str">
        <f t="shared" si="15"/>
        <v>Enable</v>
      </c>
      <c r="J77" t="str">
        <f t="shared" si="16"/>
        <v>Enable</v>
      </c>
      <c r="L77" t="str">
        <f t="shared" si="18"/>
        <v>SYNC_OUT: 1</v>
      </c>
      <c r="M77" t="str">
        <f t="shared" si="19"/>
        <v>SYNC_IN_FALLING: 1</v>
      </c>
      <c r="N77" t="str">
        <f t="shared" si="20"/>
        <v>VDET: 1</v>
      </c>
      <c r="O77" t="str">
        <f t="shared" si="21"/>
        <v>PCM_HYST: 1</v>
      </c>
      <c r="P77" t="str">
        <f t="shared" si="17"/>
        <v>: Enable</v>
      </c>
      <c r="R77" t="str">
        <f t="shared" si="22"/>
        <v>SYNC_OUT: 1 / SYNC_IN_FALLING: 1 / VDET: 1 / PCM_HYST: 1</v>
      </c>
    </row>
    <row r="79" spans="1:18" x14ac:dyDescent="0.2">
      <c r="C79" s="554">
        <v>0</v>
      </c>
      <c r="D79" s="554">
        <v>1</v>
      </c>
      <c r="E79" s="554">
        <v>2</v>
      </c>
      <c r="F79" s="554">
        <v>3</v>
      </c>
    </row>
    <row r="80" spans="1:18" x14ac:dyDescent="0.2">
      <c r="C80" s="114" t="str">
        <f>CONCATENATE(C61,": off")</f>
        <v>SYNC_OUT: off</v>
      </c>
      <c r="D80" s="114" t="str">
        <f>CONCATENATE(D61,": off")</f>
        <v>SYNC_IN_FALLING: off</v>
      </c>
      <c r="E80" s="114" t="str">
        <f>CONCATENATE(E61,": off")</f>
        <v>VDET: off</v>
      </c>
      <c r="F80" s="114" t="str">
        <f>CONCATENATE(F61,": off")</f>
        <v>PCM_HYST: off</v>
      </c>
    </row>
    <row r="81" spans="1:18" x14ac:dyDescent="0.2">
      <c r="C81" s="114" t="str">
        <f>CONCATENATE(C61,": on")</f>
        <v>SYNC_OUT: on</v>
      </c>
      <c r="D81" s="114" t="str">
        <f>CONCATENATE(D61,": on")</f>
        <v>SYNC_IN_FALLING: on</v>
      </c>
      <c r="E81" s="114" t="str">
        <f>CONCATENATE(E61,": on")</f>
        <v>VDET: on</v>
      </c>
      <c r="F81" s="114" t="str">
        <f>CONCATENATE(F61,": on")</f>
        <v>PCM_HYST: on</v>
      </c>
    </row>
    <row r="82" spans="1:18" x14ac:dyDescent="0.2">
      <c r="F82" s="114"/>
    </row>
    <row r="83" spans="1:18" x14ac:dyDescent="0.2">
      <c r="F83" s="114"/>
    </row>
    <row r="85" spans="1:18" ht="15" x14ac:dyDescent="0.25">
      <c r="B85" s="114" t="s">
        <v>930</v>
      </c>
      <c r="C85" s="634">
        <v>1</v>
      </c>
      <c r="D85" s="634">
        <v>1</v>
      </c>
      <c r="E85" s="634">
        <v>1</v>
      </c>
      <c r="F85" s="634">
        <v>2</v>
      </c>
      <c r="G85" s="633" t="s">
        <v>974</v>
      </c>
      <c r="H85" s="114" t="str">
        <f>CONCATENATE("R_",A60)</f>
        <v>R_CFG2</v>
      </c>
      <c r="J85" s="114" t="s">
        <v>964</v>
      </c>
    </row>
    <row r="86" spans="1:18" ht="15" x14ac:dyDescent="0.25">
      <c r="C86">
        <f>(C85-1)*2^C79</f>
        <v>0</v>
      </c>
      <c r="D86">
        <f>(D85-1)*2^D79</f>
        <v>0</v>
      </c>
      <c r="E86">
        <f>(E85-1)*2^E79</f>
        <v>0</v>
      </c>
      <c r="F86">
        <f>(F85-1)*2^F79</f>
        <v>8</v>
      </c>
      <c r="G86" s="633">
        <f>SUM(C86:F86)+1</f>
        <v>9</v>
      </c>
      <c r="H86">
        <f>INDEX(B62:B77,G86)</f>
        <v>8.3000000000000007</v>
      </c>
    </row>
    <row r="90" spans="1:18" x14ac:dyDescent="0.2">
      <c r="A90" s="114" t="s">
        <v>961</v>
      </c>
    </row>
    <row r="91" spans="1:18" x14ac:dyDescent="0.2">
      <c r="A91" s="570" t="s">
        <v>875</v>
      </c>
      <c r="B91" s="570" t="s">
        <v>968</v>
      </c>
      <c r="C91" s="570" t="s">
        <v>970</v>
      </c>
      <c r="D91" s="570" t="s">
        <v>971</v>
      </c>
      <c r="E91" s="570" t="s">
        <v>1286</v>
      </c>
      <c r="F91" s="570" t="str">
        <f>IF(Device="LM51772","SCALE_DT","uSLEEP")</f>
        <v>SCALE_DT</v>
      </c>
      <c r="G91" t="str">
        <f>C91</f>
        <v>EN_VCC1</v>
      </c>
      <c r="H91" t="str">
        <f>D91</f>
        <v>INC_INDUCT_De-Rate</v>
      </c>
      <c r="I91" t="str">
        <f>E91</f>
        <v>CONST_TDEAD</v>
      </c>
      <c r="J91" t="str">
        <f>F91</f>
        <v>SCALE_DT</v>
      </c>
    </row>
    <row r="92" spans="1:18" x14ac:dyDescent="0.2">
      <c r="A92" s="554">
        <v>1</v>
      </c>
      <c r="B92" s="554">
        <v>0</v>
      </c>
      <c r="C92" s="554">
        <v>0</v>
      </c>
      <c r="D92" s="554">
        <v>0</v>
      </c>
      <c r="E92" s="554">
        <v>0</v>
      </c>
      <c r="F92" s="554">
        <v>0</v>
      </c>
      <c r="G92" t="str">
        <f t="shared" ref="G92:G107" si="23">IF(C92=1,"Enable","Disable")</f>
        <v>Disable</v>
      </c>
      <c r="H92" t="str">
        <f t="shared" ref="H92:H107" si="24">IF(Device="LM51772",IF(D92=1,"40%","30%"),IF(D92=1,"30%","20%"))</f>
        <v>30%</v>
      </c>
      <c r="I92" t="str">
        <f t="shared" ref="I92:I107" si="25">IF(E92=1,"Enable","Disable")</f>
        <v>Disable</v>
      </c>
      <c r="J92" t="str">
        <f t="shared" ref="J92:J107" si="26">IF(F92=1,"Enable","Disable")</f>
        <v>Disable</v>
      </c>
      <c r="L92" t="str">
        <f>CONCATENATE($C$91,": ",C92)</f>
        <v>EN_VCC1: 0</v>
      </c>
      <c r="M92" t="str">
        <f>CONCATENATE(D$91,": ",D92)</f>
        <v>INC_INDUCT_De-Rate: 0</v>
      </c>
      <c r="N92" t="str">
        <f>CONCATENATE(E$91,": ",E92)</f>
        <v>CONST_TDEAD: 0</v>
      </c>
      <c r="O92" t="str">
        <f>CONCATENATE(F$91,": ",F92)</f>
        <v>SCALE_DT: 0</v>
      </c>
      <c r="P92" t="str">
        <f t="shared" ref="P92:P107" si="27">CONCATENATE(K$3,": ",G92)</f>
        <v>: Disable</v>
      </c>
      <c r="R92" t="str">
        <f>CONCATENATE(L92," / ",M92," / ",N92," / ",O92)</f>
        <v>EN_VCC1: 0 / INC_INDUCT_De-Rate: 0 / CONST_TDEAD: 0 / SCALE_DT: 0</v>
      </c>
    </row>
    <row r="93" spans="1:18" x14ac:dyDescent="0.2">
      <c r="A93" s="554">
        <v>2</v>
      </c>
      <c r="B93" s="554">
        <v>0.51100000000000001</v>
      </c>
      <c r="C93" s="554">
        <v>1</v>
      </c>
      <c r="D93" s="554">
        <v>0</v>
      </c>
      <c r="E93" s="554">
        <v>0</v>
      </c>
      <c r="F93" s="554">
        <v>0</v>
      </c>
      <c r="G93" t="str">
        <f t="shared" si="23"/>
        <v>Enable</v>
      </c>
      <c r="H93" t="str">
        <f t="shared" si="24"/>
        <v>30%</v>
      </c>
      <c r="I93" t="str">
        <f t="shared" si="25"/>
        <v>Disable</v>
      </c>
      <c r="J93" t="str">
        <f t="shared" si="26"/>
        <v>Disable</v>
      </c>
      <c r="L93" t="str">
        <f t="shared" ref="L93:L107" si="28">CONCATENATE($C$91,": ",C93)</f>
        <v>EN_VCC1: 1</v>
      </c>
      <c r="M93" t="str">
        <f t="shared" ref="M93:M107" si="29">CONCATENATE(D$91,": ",D93)</f>
        <v>INC_INDUCT_De-Rate: 0</v>
      </c>
      <c r="N93" t="str">
        <f t="shared" ref="N93:N107" si="30">CONCATENATE(E$91,": ",E93)</f>
        <v>CONST_TDEAD: 0</v>
      </c>
      <c r="O93" t="str">
        <f t="shared" ref="O93:O107" si="31">CONCATENATE(F$91,": ",F93)</f>
        <v>SCALE_DT: 0</v>
      </c>
      <c r="P93" t="str">
        <f t="shared" si="27"/>
        <v>: Enable</v>
      </c>
      <c r="R93" t="str">
        <f t="shared" ref="R93:R107" si="32">CONCATENATE(L93," / ",M93," / ",N93," / ",O93)</f>
        <v>EN_VCC1: 1 / INC_INDUCT_De-Rate: 0 / CONST_TDEAD: 0 / SCALE_DT: 0</v>
      </c>
    </row>
    <row r="94" spans="1:18" x14ac:dyDescent="0.2">
      <c r="A94" s="554">
        <v>3</v>
      </c>
      <c r="B94" s="554">
        <v>1.1499999999999999</v>
      </c>
      <c r="C94" s="554">
        <v>0</v>
      </c>
      <c r="D94" s="554">
        <v>1</v>
      </c>
      <c r="E94" s="554">
        <v>0</v>
      </c>
      <c r="F94" s="554">
        <v>0</v>
      </c>
      <c r="G94" t="str">
        <f t="shared" si="23"/>
        <v>Disable</v>
      </c>
      <c r="H94" t="str">
        <f t="shared" si="24"/>
        <v>40%</v>
      </c>
      <c r="I94" t="str">
        <f t="shared" si="25"/>
        <v>Disable</v>
      </c>
      <c r="J94" t="str">
        <f t="shared" si="26"/>
        <v>Disable</v>
      </c>
      <c r="L94" t="str">
        <f t="shared" si="28"/>
        <v>EN_VCC1: 0</v>
      </c>
      <c r="M94" t="str">
        <f t="shared" si="29"/>
        <v>INC_INDUCT_De-Rate: 1</v>
      </c>
      <c r="N94" t="str">
        <f t="shared" si="30"/>
        <v>CONST_TDEAD: 0</v>
      </c>
      <c r="O94" t="str">
        <f t="shared" si="31"/>
        <v>SCALE_DT: 0</v>
      </c>
      <c r="P94" t="str">
        <f t="shared" si="27"/>
        <v>: Disable</v>
      </c>
      <c r="R94" t="str">
        <f t="shared" si="32"/>
        <v>EN_VCC1: 0 / INC_INDUCT_De-Rate: 1 / CONST_TDEAD: 0 / SCALE_DT: 0</v>
      </c>
    </row>
    <row r="95" spans="1:18" x14ac:dyDescent="0.2">
      <c r="A95" s="554">
        <v>4</v>
      </c>
      <c r="B95" s="554">
        <v>1.9</v>
      </c>
      <c r="C95" s="554">
        <v>1</v>
      </c>
      <c r="D95" s="554">
        <v>1</v>
      </c>
      <c r="E95" s="554">
        <v>0</v>
      </c>
      <c r="F95" s="554">
        <v>0</v>
      </c>
      <c r="G95" t="str">
        <f t="shared" si="23"/>
        <v>Enable</v>
      </c>
      <c r="H95" t="str">
        <f t="shared" si="24"/>
        <v>40%</v>
      </c>
      <c r="I95" t="str">
        <f t="shared" si="25"/>
        <v>Disable</v>
      </c>
      <c r="J95" t="str">
        <f t="shared" si="26"/>
        <v>Disable</v>
      </c>
      <c r="L95" t="str">
        <f t="shared" si="28"/>
        <v>EN_VCC1: 1</v>
      </c>
      <c r="M95" t="str">
        <f t="shared" si="29"/>
        <v>INC_INDUCT_De-Rate: 1</v>
      </c>
      <c r="N95" t="str">
        <f t="shared" si="30"/>
        <v>CONST_TDEAD: 0</v>
      </c>
      <c r="O95" t="str">
        <f t="shared" si="31"/>
        <v>SCALE_DT: 0</v>
      </c>
      <c r="P95" t="str">
        <f t="shared" si="27"/>
        <v>: Enable</v>
      </c>
      <c r="R95" t="str">
        <f t="shared" si="32"/>
        <v>EN_VCC1: 1 / INC_INDUCT_De-Rate: 1 / CONST_TDEAD: 0 / SCALE_DT: 0</v>
      </c>
    </row>
    <row r="96" spans="1:18" x14ac:dyDescent="0.2">
      <c r="A96" s="554">
        <v>5</v>
      </c>
      <c r="B96" s="554">
        <v>2.7</v>
      </c>
      <c r="C96" s="554">
        <v>0</v>
      </c>
      <c r="D96" s="554">
        <v>0</v>
      </c>
      <c r="E96" s="554">
        <v>1</v>
      </c>
      <c r="F96" s="554">
        <v>0</v>
      </c>
      <c r="G96" t="str">
        <f t="shared" si="23"/>
        <v>Disable</v>
      </c>
      <c r="H96" t="str">
        <f t="shared" si="24"/>
        <v>30%</v>
      </c>
      <c r="I96" t="str">
        <f t="shared" si="25"/>
        <v>Enable</v>
      </c>
      <c r="J96" t="str">
        <f t="shared" si="26"/>
        <v>Disable</v>
      </c>
      <c r="L96" t="str">
        <f t="shared" si="28"/>
        <v>EN_VCC1: 0</v>
      </c>
      <c r="M96" t="str">
        <f t="shared" si="29"/>
        <v>INC_INDUCT_De-Rate: 0</v>
      </c>
      <c r="N96" t="str">
        <f t="shared" si="30"/>
        <v>CONST_TDEAD: 1</v>
      </c>
      <c r="O96" t="str">
        <f t="shared" si="31"/>
        <v>SCALE_DT: 0</v>
      </c>
      <c r="P96" t="str">
        <f t="shared" si="27"/>
        <v>: Disable</v>
      </c>
      <c r="R96" t="str">
        <f t="shared" si="32"/>
        <v>EN_VCC1: 0 / INC_INDUCT_De-Rate: 0 / CONST_TDEAD: 1 / SCALE_DT: 0</v>
      </c>
    </row>
    <row r="97" spans="1:18" x14ac:dyDescent="0.2">
      <c r="A97" s="554">
        <v>6</v>
      </c>
      <c r="B97" s="554">
        <v>3.8</v>
      </c>
      <c r="C97" s="554">
        <v>1</v>
      </c>
      <c r="D97" s="554">
        <v>0</v>
      </c>
      <c r="E97" s="554">
        <v>1</v>
      </c>
      <c r="F97" s="554">
        <v>0</v>
      </c>
      <c r="G97" t="str">
        <f t="shared" si="23"/>
        <v>Enable</v>
      </c>
      <c r="H97" t="str">
        <f t="shared" si="24"/>
        <v>30%</v>
      </c>
      <c r="I97" t="str">
        <f t="shared" si="25"/>
        <v>Enable</v>
      </c>
      <c r="J97" t="str">
        <f t="shared" si="26"/>
        <v>Disable</v>
      </c>
      <c r="L97" t="str">
        <f t="shared" si="28"/>
        <v>EN_VCC1: 1</v>
      </c>
      <c r="M97" t="str">
        <f t="shared" si="29"/>
        <v>INC_INDUCT_De-Rate: 0</v>
      </c>
      <c r="N97" t="str">
        <f t="shared" si="30"/>
        <v>CONST_TDEAD: 1</v>
      </c>
      <c r="O97" t="str">
        <f t="shared" si="31"/>
        <v>SCALE_DT: 0</v>
      </c>
      <c r="P97" t="str">
        <f t="shared" si="27"/>
        <v>: Enable</v>
      </c>
      <c r="R97" t="str">
        <f t="shared" si="32"/>
        <v>EN_VCC1: 1 / INC_INDUCT_De-Rate: 0 / CONST_TDEAD: 1 / SCALE_DT: 0</v>
      </c>
    </row>
    <row r="98" spans="1:18" x14ac:dyDescent="0.2">
      <c r="A98" s="554">
        <v>7</v>
      </c>
      <c r="B98" s="554">
        <v>5.0999999999999996</v>
      </c>
      <c r="C98" s="554">
        <v>0</v>
      </c>
      <c r="D98" s="554">
        <v>1</v>
      </c>
      <c r="E98" s="554">
        <v>1</v>
      </c>
      <c r="F98" s="554">
        <v>0</v>
      </c>
      <c r="G98" t="str">
        <f t="shared" si="23"/>
        <v>Disable</v>
      </c>
      <c r="H98" t="str">
        <f t="shared" si="24"/>
        <v>40%</v>
      </c>
      <c r="I98" t="str">
        <f t="shared" si="25"/>
        <v>Enable</v>
      </c>
      <c r="J98" t="str">
        <f t="shared" si="26"/>
        <v>Disable</v>
      </c>
      <c r="L98" t="str">
        <f t="shared" si="28"/>
        <v>EN_VCC1: 0</v>
      </c>
      <c r="M98" t="str">
        <f t="shared" si="29"/>
        <v>INC_INDUCT_De-Rate: 1</v>
      </c>
      <c r="N98" t="str">
        <f t="shared" si="30"/>
        <v>CONST_TDEAD: 1</v>
      </c>
      <c r="O98" t="str">
        <f t="shared" si="31"/>
        <v>SCALE_DT: 0</v>
      </c>
      <c r="P98" t="str">
        <f t="shared" si="27"/>
        <v>: Disable</v>
      </c>
      <c r="R98" t="str">
        <f t="shared" si="32"/>
        <v>EN_VCC1: 0 / INC_INDUCT_De-Rate: 1 / CONST_TDEAD: 1 / SCALE_DT: 0</v>
      </c>
    </row>
    <row r="99" spans="1:18" x14ac:dyDescent="0.2">
      <c r="A99" s="554">
        <v>8</v>
      </c>
      <c r="B99" s="554">
        <v>6.5</v>
      </c>
      <c r="C99" s="554">
        <v>1</v>
      </c>
      <c r="D99" s="554">
        <v>1</v>
      </c>
      <c r="E99" s="554">
        <v>1</v>
      </c>
      <c r="F99" s="554">
        <v>0</v>
      </c>
      <c r="G99" t="str">
        <f t="shared" si="23"/>
        <v>Enable</v>
      </c>
      <c r="H99" t="str">
        <f t="shared" si="24"/>
        <v>40%</v>
      </c>
      <c r="I99" t="str">
        <f t="shared" si="25"/>
        <v>Enable</v>
      </c>
      <c r="J99" t="str">
        <f t="shared" si="26"/>
        <v>Disable</v>
      </c>
      <c r="L99" t="str">
        <f t="shared" si="28"/>
        <v>EN_VCC1: 1</v>
      </c>
      <c r="M99" t="str">
        <f t="shared" si="29"/>
        <v>INC_INDUCT_De-Rate: 1</v>
      </c>
      <c r="N99" t="str">
        <f t="shared" si="30"/>
        <v>CONST_TDEAD: 1</v>
      </c>
      <c r="O99" t="str">
        <f t="shared" si="31"/>
        <v>SCALE_DT: 0</v>
      </c>
      <c r="P99" t="str">
        <f t="shared" si="27"/>
        <v>: Enable</v>
      </c>
      <c r="R99" t="str">
        <f t="shared" si="32"/>
        <v>EN_VCC1: 1 / INC_INDUCT_De-Rate: 1 / CONST_TDEAD: 1 / SCALE_DT: 0</v>
      </c>
    </row>
    <row r="100" spans="1:18" x14ac:dyDescent="0.2">
      <c r="A100" s="554">
        <v>9</v>
      </c>
      <c r="B100" s="554">
        <v>8.3000000000000007</v>
      </c>
      <c r="C100" s="554">
        <v>0</v>
      </c>
      <c r="D100" s="554">
        <v>0</v>
      </c>
      <c r="E100" s="554">
        <v>0</v>
      </c>
      <c r="F100" s="554">
        <v>1</v>
      </c>
      <c r="G100" t="str">
        <f t="shared" si="23"/>
        <v>Disable</v>
      </c>
      <c r="H100" t="str">
        <f t="shared" si="24"/>
        <v>30%</v>
      </c>
      <c r="I100" t="str">
        <f t="shared" si="25"/>
        <v>Disable</v>
      </c>
      <c r="J100" t="str">
        <f t="shared" si="26"/>
        <v>Enable</v>
      </c>
      <c r="L100" t="str">
        <f t="shared" si="28"/>
        <v>EN_VCC1: 0</v>
      </c>
      <c r="M100" t="str">
        <f t="shared" si="29"/>
        <v>INC_INDUCT_De-Rate: 0</v>
      </c>
      <c r="N100" t="str">
        <f t="shared" si="30"/>
        <v>CONST_TDEAD: 0</v>
      </c>
      <c r="O100" t="str">
        <f t="shared" si="31"/>
        <v>SCALE_DT: 1</v>
      </c>
      <c r="P100" t="str">
        <f t="shared" si="27"/>
        <v>: Disable</v>
      </c>
      <c r="R100" t="str">
        <f t="shared" si="32"/>
        <v>EN_VCC1: 0 / INC_INDUCT_De-Rate: 0 / CONST_TDEAD: 0 / SCALE_DT: 1</v>
      </c>
    </row>
    <row r="101" spans="1:18" x14ac:dyDescent="0.2">
      <c r="A101" s="554">
        <v>10</v>
      </c>
      <c r="B101" s="554">
        <v>10.5</v>
      </c>
      <c r="C101" s="554">
        <v>1</v>
      </c>
      <c r="D101" s="554">
        <v>0</v>
      </c>
      <c r="E101" s="554">
        <v>0</v>
      </c>
      <c r="F101" s="554">
        <v>1</v>
      </c>
      <c r="G101" t="str">
        <f t="shared" si="23"/>
        <v>Enable</v>
      </c>
      <c r="H101" t="str">
        <f t="shared" si="24"/>
        <v>30%</v>
      </c>
      <c r="I101" t="str">
        <f t="shared" si="25"/>
        <v>Disable</v>
      </c>
      <c r="J101" t="str">
        <f t="shared" si="26"/>
        <v>Enable</v>
      </c>
      <c r="L101" t="str">
        <f t="shared" si="28"/>
        <v>EN_VCC1: 1</v>
      </c>
      <c r="M101" t="str">
        <f t="shared" si="29"/>
        <v>INC_INDUCT_De-Rate: 0</v>
      </c>
      <c r="N101" t="str">
        <f t="shared" si="30"/>
        <v>CONST_TDEAD: 0</v>
      </c>
      <c r="O101" t="str">
        <f t="shared" si="31"/>
        <v>SCALE_DT: 1</v>
      </c>
      <c r="P101" t="str">
        <f t="shared" si="27"/>
        <v>: Enable</v>
      </c>
      <c r="R101" t="str">
        <f t="shared" si="32"/>
        <v>EN_VCC1: 1 / INC_INDUCT_De-Rate: 0 / CONST_TDEAD: 0 / SCALE_DT: 1</v>
      </c>
    </row>
    <row r="102" spans="1:18" x14ac:dyDescent="0.2">
      <c r="A102" s="554">
        <v>11</v>
      </c>
      <c r="B102" s="554">
        <v>13.3</v>
      </c>
      <c r="C102" s="554">
        <v>0</v>
      </c>
      <c r="D102" s="554">
        <v>1</v>
      </c>
      <c r="E102" s="554">
        <v>0</v>
      </c>
      <c r="F102" s="554">
        <v>1</v>
      </c>
      <c r="G102" t="str">
        <f t="shared" si="23"/>
        <v>Disable</v>
      </c>
      <c r="H102" t="str">
        <f t="shared" si="24"/>
        <v>40%</v>
      </c>
      <c r="I102" t="str">
        <f t="shared" si="25"/>
        <v>Disable</v>
      </c>
      <c r="J102" t="str">
        <f t="shared" si="26"/>
        <v>Enable</v>
      </c>
      <c r="L102" t="str">
        <f t="shared" si="28"/>
        <v>EN_VCC1: 0</v>
      </c>
      <c r="M102" t="str">
        <f t="shared" si="29"/>
        <v>INC_INDUCT_De-Rate: 1</v>
      </c>
      <c r="N102" t="str">
        <f t="shared" si="30"/>
        <v>CONST_TDEAD: 0</v>
      </c>
      <c r="O102" t="str">
        <f t="shared" si="31"/>
        <v>SCALE_DT: 1</v>
      </c>
      <c r="P102" t="str">
        <f t="shared" si="27"/>
        <v>: Disable</v>
      </c>
      <c r="R102" t="str">
        <f t="shared" si="32"/>
        <v>EN_VCC1: 0 / INC_INDUCT_De-Rate: 1 / CONST_TDEAD: 0 / SCALE_DT: 1</v>
      </c>
    </row>
    <row r="103" spans="1:18" x14ac:dyDescent="0.2">
      <c r="A103" s="554">
        <v>12</v>
      </c>
      <c r="B103" s="554">
        <v>16.2</v>
      </c>
      <c r="C103" s="554">
        <v>1</v>
      </c>
      <c r="D103" s="554">
        <v>1</v>
      </c>
      <c r="E103" s="554">
        <v>0</v>
      </c>
      <c r="F103" s="554">
        <v>1</v>
      </c>
      <c r="G103" t="str">
        <f t="shared" si="23"/>
        <v>Enable</v>
      </c>
      <c r="H103" t="str">
        <f t="shared" si="24"/>
        <v>40%</v>
      </c>
      <c r="I103" t="str">
        <f t="shared" si="25"/>
        <v>Disable</v>
      </c>
      <c r="J103" t="str">
        <f t="shared" si="26"/>
        <v>Enable</v>
      </c>
      <c r="L103" t="str">
        <f t="shared" si="28"/>
        <v>EN_VCC1: 1</v>
      </c>
      <c r="M103" t="str">
        <f t="shared" si="29"/>
        <v>INC_INDUCT_De-Rate: 1</v>
      </c>
      <c r="N103" t="str">
        <f t="shared" si="30"/>
        <v>CONST_TDEAD: 0</v>
      </c>
      <c r="O103" t="str">
        <f t="shared" si="31"/>
        <v>SCALE_DT: 1</v>
      </c>
      <c r="P103" t="str">
        <f t="shared" si="27"/>
        <v>: Enable</v>
      </c>
      <c r="R103" t="str">
        <f t="shared" si="32"/>
        <v>EN_VCC1: 1 / INC_INDUCT_De-Rate: 1 / CONST_TDEAD: 0 / SCALE_DT: 1</v>
      </c>
    </row>
    <row r="104" spans="1:18" x14ac:dyDescent="0.2">
      <c r="A104" s="554">
        <v>13</v>
      </c>
      <c r="B104" s="554">
        <v>20.5</v>
      </c>
      <c r="C104" s="554">
        <v>0</v>
      </c>
      <c r="D104" s="554">
        <v>0</v>
      </c>
      <c r="E104" s="554">
        <v>1</v>
      </c>
      <c r="F104" s="554">
        <v>1</v>
      </c>
      <c r="G104" t="str">
        <f t="shared" si="23"/>
        <v>Disable</v>
      </c>
      <c r="H104" t="str">
        <f t="shared" si="24"/>
        <v>30%</v>
      </c>
      <c r="I104" t="str">
        <f t="shared" si="25"/>
        <v>Enable</v>
      </c>
      <c r="J104" t="str">
        <f t="shared" si="26"/>
        <v>Enable</v>
      </c>
      <c r="L104" t="str">
        <f t="shared" si="28"/>
        <v>EN_VCC1: 0</v>
      </c>
      <c r="M104" t="str">
        <f t="shared" si="29"/>
        <v>INC_INDUCT_De-Rate: 0</v>
      </c>
      <c r="N104" t="str">
        <f t="shared" si="30"/>
        <v>CONST_TDEAD: 1</v>
      </c>
      <c r="O104" t="str">
        <f t="shared" si="31"/>
        <v>SCALE_DT: 1</v>
      </c>
      <c r="P104" t="str">
        <f t="shared" si="27"/>
        <v>: Disable</v>
      </c>
      <c r="R104" t="str">
        <f t="shared" si="32"/>
        <v>EN_VCC1: 0 / INC_INDUCT_De-Rate: 0 / CONST_TDEAD: 1 / SCALE_DT: 1</v>
      </c>
    </row>
    <row r="105" spans="1:18" x14ac:dyDescent="0.2">
      <c r="A105" s="554">
        <v>14</v>
      </c>
      <c r="B105" s="554">
        <v>24.9</v>
      </c>
      <c r="C105" s="554">
        <v>1</v>
      </c>
      <c r="D105" s="554">
        <v>0</v>
      </c>
      <c r="E105" s="554">
        <v>1</v>
      </c>
      <c r="F105" s="554">
        <v>1</v>
      </c>
      <c r="G105" t="str">
        <f t="shared" si="23"/>
        <v>Enable</v>
      </c>
      <c r="H105" t="str">
        <f t="shared" si="24"/>
        <v>30%</v>
      </c>
      <c r="I105" t="str">
        <f t="shared" si="25"/>
        <v>Enable</v>
      </c>
      <c r="J105" t="str">
        <f t="shared" si="26"/>
        <v>Enable</v>
      </c>
      <c r="L105" t="str">
        <f t="shared" si="28"/>
        <v>EN_VCC1: 1</v>
      </c>
      <c r="M105" t="str">
        <f t="shared" si="29"/>
        <v>INC_INDUCT_De-Rate: 0</v>
      </c>
      <c r="N105" t="str">
        <f t="shared" si="30"/>
        <v>CONST_TDEAD: 1</v>
      </c>
      <c r="O105" t="str">
        <f t="shared" si="31"/>
        <v>SCALE_DT: 1</v>
      </c>
      <c r="P105" t="str">
        <f t="shared" si="27"/>
        <v>: Enable</v>
      </c>
      <c r="R105" t="str">
        <f t="shared" si="32"/>
        <v>EN_VCC1: 1 / INC_INDUCT_De-Rate: 0 / CONST_TDEAD: 1 / SCALE_DT: 1</v>
      </c>
    </row>
    <row r="106" spans="1:18" x14ac:dyDescent="0.2">
      <c r="A106" s="554">
        <v>15</v>
      </c>
      <c r="B106" s="554">
        <v>30.1</v>
      </c>
      <c r="C106" s="554">
        <v>0</v>
      </c>
      <c r="D106" s="554">
        <v>1</v>
      </c>
      <c r="E106" s="554">
        <v>1</v>
      </c>
      <c r="F106" s="554">
        <v>1</v>
      </c>
      <c r="G106" t="str">
        <f t="shared" si="23"/>
        <v>Disable</v>
      </c>
      <c r="H106" t="str">
        <f t="shared" si="24"/>
        <v>40%</v>
      </c>
      <c r="I106" t="str">
        <f t="shared" si="25"/>
        <v>Enable</v>
      </c>
      <c r="J106" t="str">
        <f t="shared" si="26"/>
        <v>Enable</v>
      </c>
      <c r="L106" t="str">
        <f t="shared" si="28"/>
        <v>EN_VCC1: 0</v>
      </c>
      <c r="M106" t="str">
        <f t="shared" si="29"/>
        <v>INC_INDUCT_De-Rate: 1</v>
      </c>
      <c r="N106" t="str">
        <f t="shared" si="30"/>
        <v>CONST_TDEAD: 1</v>
      </c>
      <c r="O106" t="str">
        <f t="shared" si="31"/>
        <v>SCALE_DT: 1</v>
      </c>
      <c r="P106" t="str">
        <f t="shared" si="27"/>
        <v>: Disable</v>
      </c>
      <c r="R106" t="str">
        <f t="shared" si="32"/>
        <v>EN_VCC1: 0 / INC_INDUCT_De-Rate: 1 / CONST_TDEAD: 1 / SCALE_DT: 1</v>
      </c>
    </row>
    <row r="107" spans="1:18" x14ac:dyDescent="0.2">
      <c r="A107" s="554">
        <v>16</v>
      </c>
      <c r="B107" s="554">
        <v>36.5</v>
      </c>
      <c r="C107" s="554">
        <v>1</v>
      </c>
      <c r="D107" s="554">
        <v>1</v>
      </c>
      <c r="E107" s="554">
        <v>1</v>
      </c>
      <c r="F107" s="554">
        <v>1</v>
      </c>
      <c r="G107" t="str">
        <f t="shared" si="23"/>
        <v>Enable</v>
      </c>
      <c r="H107" t="str">
        <f t="shared" si="24"/>
        <v>40%</v>
      </c>
      <c r="I107" t="str">
        <f t="shared" si="25"/>
        <v>Enable</v>
      </c>
      <c r="J107" t="str">
        <f t="shared" si="26"/>
        <v>Enable</v>
      </c>
      <c r="L107" t="str">
        <f t="shared" si="28"/>
        <v>EN_VCC1: 1</v>
      </c>
      <c r="M107" t="str">
        <f t="shared" si="29"/>
        <v>INC_INDUCT_De-Rate: 1</v>
      </c>
      <c r="N107" t="str">
        <f t="shared" si="30"/>
        <v>CONST_TDEAD: 1</v>
      </c>
      <c r="O107" t="str">
        <f t="shared" si="31"/>
        <v>SCALE_DT: 1</v>
      </c>
      <c r="P107" t="str">
        <f t="shared" si="27"/>
        <v>: Enable</v>
      </c>
      <c r="R107" t="str">
        <f t="shared" si="32"/>
        <v>EN_VCC1: 1 / INC_INDUCT_De-Rate: 1 / CONST_TDEAD: 1 / SCALE_DT: 1</v>
      </c>
    </row>
    <row r="109" spans="1:18" x14ac:dyDescent="0.2">
      <c r="C109" s="554">
        <v>0</v>
      </c>
      <c r="D109" s="554">
        <v>1</v>
      </c>
      <c r="E109" s="554">
        <v>2</v>
      </c>
      <c r="F109" s="554">
        <v>3</v>
      </c>
    </row>
    <row r="110" spans="1:18" x14ac:dyDescent="0.2">
      <c r="C110" s="114" t="str">
        <f>CONCATENATE(C91,": off")</f>
        <v>EN_VCC1: off</v>
      </c>
      <c r="D110" s="114" t="str">
        <f>CONCATENATE(D91,": 20%")</f>
        <v>INC_INDUCT_De-Rate: 20%</v>
      </c>
      <c r="E110" s="114" t="str">
        <f>CONCATENATE(E91,": off")</f>
        <v>CONST_TDEAD: off</v>
      </c>
      <c r="F110" s="114" t="str">
        <f>CONCATENATE(F91,": off")</f>
        <v>SCALE_DT: off</v>
      </c>
    </row>
    <row r="111" spans="1:18" x14ac:dyDescent="0.2">
      <c r="C111" s="114" t="str">
        <f>CONCATENATE(C91,": on")</f>
        <v>EN_VCC1: on</v>
      </c>
      <c r="D111" s="114" t="str">
        <f>CONCATENATE(D91,": 30%")</f>
        <v>INC_INDUCT_De-Rate: 30%</v>
      </c>
      <c r="E111" s="114" t="str">
        <f>CONCATENATE(E91,": on")</f>
        <v>CONST_TDEAD: on</v>
      </c>
      <c r="F111" s="114" t="str">
        <f>CONCATENATE(F91,": on")</f>
        <v>SCALE_DT: on</v>
      </c>
    </row>
    <row r="112" spans="1:18" x14ac:dyDescent="0.2">
      <c r="F112" s="114"/>
    </row>
    <row r="113" spans="1:18" x14ac:dyDescent="0.2">
      <c r="F113" s="114"/>
    </row>
    <row r="115" spans="1:18" ht="15" x14ac:dyDescent="0.25">
      <c r="B115" s="114" t="s">
        <v>930</v>
      </c>
      <c r="C115" s="634">
        <v>2</v>
      </c>
      <c r="D115" s="634">
        <v>2</v>
      </c>
      <c r="E115" s="634">
        <v>1</v>
      </c>
      <c r="F115" s="634">
        <v>1</v>
      </c>
      <c r="G115" s="633" t="s">
        <v>974</v>
      </c>
      <c r="H115" s="114" t="str">
        <f>CONCATENATE("R_",A90)</f>
        <v>R_CFG3</v>
      </c>
      <c r="J115" s="114" t="s">
        <v>964</v>
      </c>
    </row>
    <row r="116" spans="1:18" ht="15" x14ac:dyDescent="0.25">
      <c r="C116">
        <f>(C115-1)*2^C109</f>
        <v>1</v>
      </c>
      <c r="D116">
        <f>(D115-1)*2^D109</f>
        <v>2</v>
      </c>
      <c r="E116">
        <f>(E115-1)*2^E109</f>
        <v>0</v>
      </c>
      <c r="F116">
        <f>(F115-1)*2^F109</f>
        <v>0</v>
      </c>
      <c r="G116" s="633">
        <f>SUM(C116:F116)+1</f>
        <v>4</v>
      </c>
      <c r="H116">
        <f>INDEX(B92:B107,G116)</f>
        <v>1.9</v>
      </c>
    </row>
    <row r="120" spans="1:18" x14ac:dyDescent="0.2">
      <c r="A120" s="114" t="s">
        <v>967</v>
      </c>
    </row>
    <row r="121" spans="1:18" x14ac:dyDescent="0.2">
      <c r="A121" s="570" t="s">
        <v>875</v>
      </c>
      <c r="B121" s="570" t="s">
        <v>969</v>
      </c>
      <c r="C121" s="570" t="s">
        <v>876</v>
      </c>
      <c r="D121" s="570" t="s">
        <v>972</v>
      </c>
      <c r="E121" s="570" t="s">
        <v>1249</v>
      </c>
      <c r="F121" s="570" t="s">
        <v>973</v>
      </c>
      <c r="G121" t="s">
        <v>973</v>
      </c>
      <c r="H121" t="str">
        <f>D121</f>
        <v>SCP – Hiccup Mode</v>
      </c>
      <c r="I121" t="str">
        <f>E121</f>
        <v>Neg. Current Limit</v>
      </c>
      <c r="J121" t="str">
        <f>F121</f>
        <v>Current Limit</v>
      </c>
    </row>
    <row r="122" spans="1:18" x14ac:dyDescent="0.2">
      <c r="A122" s="554">
        <v>1</v>
      </c>
      <c r="B122" s="554">
        <v>0</v>
      </c>
      <c r="C122" s="554">
        <v>0</v>
      </c>
      <c r="D122" s="554">
        <v>0</v>
      </c>
      <c r="E122" s="554">
        <v>0</v>
      </c>
      <c r="F122" s="554">
        <v>0</v>
      </c>
      <c r="G122" t="str">
        <f t="shared" ref="G122:G137" si="33">IF(C122=1,"Enable","Disable")</f>
        <v>Disable</v>
      </c>
      <c r="H122" t="str">
        <f t="shared" ref="H122:H137" si="34">IF(D122=1,"Enable","Disable")</f>
        <v>Disable</v>
      </c>
      <c r="I122" t="str">
        <f t="shared" ref="I122:I137" si="35">IF(E122=1,"Enable","Disable")</f>
        <v>Disable</v>
      </c>
      <c r="J122" t="str">
        <f t="shared" ref="J122:J137" si="36">IF(F122=1,"Enable","Disable")</f>
        <v>Disable</v>
      </c>
      <c r="L122" t="str">
        <f>CONCATENATE($C$121,": ",C122)</f>
        <v>DRSS: 0</v>
      </c>
      <c r="M122" t="str">
        <f>CONCATENATE(D$121,": ",D122)</f>
        <v>SCP – Hiccup Mode: 0</v>
      </c>
      <c r="N122" t="str">
        <f>CONCATENATE(E$121,": ",E122)</f>
        <v>Neg. Current Limit: 0</v>
      </c>
      <c r="O122" t="str">
        <f>CONCATENATE(F$121,": ",F122)</f>
        <v>Current Limit: 0</v>
      </c>
      <c r="P122" t="str">
        <f t="shared" ref="P122:P137" si="37">CONCATENATE(K$3,": ",G122)</f>
        <v>: Disable</v>
      </c>
      <c r="R122" t="str">
        <f>CONCATENATE(L122," / ",M122," / ",N122," / ",O122)</f>
        <v>DRSS: 0 / SCP – Hiccup Mode: 0 / Neg. Current Limit: 0 / Current Limit: 0</v>
      </c>
    </row>
    <row r="123" spans="1:18" x14ac:dyDescent="0.2">
      <c r="A123" s="554">
        <v>2</v>
      </c>
      <c r="B123" s="554">
        <v>0.51100000000000001</v>
      </c>
      <c r="C123" s="554">
        <v>1</v>
      </c>
      <c r="D123" s="554">
        <v>0</v>
      </c>
      <c r="E123" s="554">
        <v>0</v>
      </c>
      <c r="F123" s="554">
        <v>0</v>
      </c>
      <c r="G123" t="str">
        <f t="shared" si="33"/>
        <v>Enable</v>
      </c>
      <c r="H123" t="str">
        <f t="shared" si="34"/>
        <v>Disable</v>
      </c>
      <c r="I123" t="str">
        <f t="shared" si="35"/>
        <v>Disable</v>
      </c>
      <c r="J123" t="str">
        <f t="shared" si="36"/>
        <v>Disable</v>
      </c>
      <c r="L123" t="str">
        <f t="shared" ref="L123:L137" si="38">CONCATENATE($C$121,": ",C123)</f>
        <v>DRSS: 1</v>
      </c>
      <c r="M123" t="str">
        <f t="shared" ref="M123:M137" si="39">CONCATENATE(D$121,": ",D123)</f>
        <v>SCP – Hiccup Mode: 0</v>
      </c>
      <c r="N123" t="str">
        <f t="shared" ref="N123:N137" si="40">CONCATENATE(E$121,": ",E123)</f>
        <v>Neg. Current Limit: 0</v>
      </c>
      <c r="O123" t="str">
        <f t="shared" ref="O123:O137" si="41">CONCATENATE(F$121,": ",F123)</f>
        <v>Current Limit: 0</v>
      </c>
      <c r="P123" t="str">
        <f t="shared" si="37"/>
        <v>: Enable</v>
      </c>
      <c r="R123" t="str">
        <f t="shared" ref="R123:R137" si="42">CONCATENATE(L123," / ",M123," / ",N123," / ",O123)</f>
        <v>DRSS: 1 / SCP – Hiccup Mode: 0 / Neg. Current Limit: 0 / Current Limit: 0</v>
      </c>
    </row>
    <row r="124" spans="1:18" x14ac:dyDescent="0.2">
      <c r="A124" s="554">
        <v>3</v>
      </c>
      <c r="B124" s="554">
        <v>1.1499999999999999</v>
      </c>
      <c r="C124" s="554">
        <v>0</v>
      </c>
      <c r="D124" s="554">
        <v>1</v>
      </c>
      <c r="E124" s="554">
        <v>0</v>
      </c>
      <c r="F124" s="554">
        <v>0</v>
      </c>
      <c r="G124" t="str">
        <f t="shared" si="33"/>
        <v>Disable</v>
      </c>
      <c r="H124" t="str">
        <f t="shared" si="34"/>
        <v>Enable</v>
      </c>
      <c r="I124" t="str">
        <f t="shared" si="35"/>
        <v>Disable</v>
      </c>
      <c r="J124" t="str">
        <f t="shared" si="36"/>
        <v>Disable</v>
      </c>
      <c r="L124" t="str">
        <f t="shared" si="38"/>
        <v>DRSS: 0</v>
      </c>
      <c r="M124" t="str">
        <f t="shared" si="39"/>
        <v>SCP – Hiccup Mode: 1</v>
      </c>
      <c r="N124" t="str">
        <f t="shared" si="40"/>
        <v>Neg. Current Limit: 0</v>
      </c>
      <c r="O124" t="str">
        <f t="shared" si="41"/>
        <v>Current Limit: 0</v>
      </c>
      <c r="P124" t="str">
        <f t="shared" si="37"/>
        <v>: Disable</v>
      </c>
      <c r="R124" t="str">
        <f t="shared" si="42"/>
        <v>DRSS: 0 / SCP – Hiccup Mode: 1 / Neg. Current Limit: 0 / Current Limit: 0</v>
      </c>
    </row>
    <row r="125" spans="1:18" x14ac:dyDescent="0.2">
      <c r="A125" s="554">
        <v>4</v>
      </c>
      <c r="B125" s="554">
        <v>1.9</v>
      </c>
      <c r="C125" s="554">
        <v>1</v>
      </c>
      <c r="D125" s="554">
        <v>1</v>
      </c>
      <c r="E125" s="554">
        <v>0</v>
      </c>
      <c r="F125" s="554">
        <v>0</v>
      </c>
      <c r="G125" t="str">
        <f t="shared" si="33"/>
        <v>Enable</v>
      </c>
      <c r="H125" t="str">
        <f t="shared" si="34"/>
        <v>Enable</v>
      </c>
      <c r="I125" t="str">
        <f t="shared" si="35"/>
        <v>Disable</v>
      </c>
      <c r="J125" t="str">
        <f t="shared" si="36"/>
        <v>Disable</v>
      </c>
      <c r="L125" t="str">
        <f t="shared" si="38"/>
        <v>DRSS: 1</v>
      </c>
      <c r="M125" t="str">
        <f t="shared" si="39"/>
        <v>SCP – Hiccup Mode: 1</v>
      </c>
      <c r="N125" t="str">
        <f t="shared" si="40"/>
        <v>Neg. Current Limit: 0</v>
      </c>
      <c r="O125" t="str">
        <f t="shared" si="41"/>
        <v>Current Limit: 0</v>
      </c>
      <c r="P125" t="str">
        <f t="shared" si="37"/>
        <v>: Enable</v>
      </c>
      <c r="R125" t="str">
        <f t="shared" si="42"/>
        <v>DRSS: 1 / SCP – Hiccup Mode: 1 / Neg. Current Limit: 0 / Current Limit: 0</v>
      </c>
    </row>
    <row r="126" spans="1:18" x14ac:dyDescent="0.2">
      <c r="A126" s="554">
        <v>5</v>
      </c>
      <c r="B126" s="554">
        <v>2.7</v>
      </c>
      <c r="C126" s="554">
        <v>0</v>
      </c>
      <c r="D126" s="554">
        <v>0</v>
      </c>
      <c r="E126" s="554">
        <v>1</v>
      </c>
      <c r="F126" s="554">
        <v>0</v>
      </c>
      <c r="G126" t="str">
        <f t="shared" si="33"/>
        <v>Disable</v>
      </c>
      <c r="H126" t="str">
        <f t="shared" si="34"/>
        <v>Disable</v>
      </c>
      <c r="I126" t="str">
        <f t="shared" si="35"/>
        <v>Enable</v>
      </c>
      <c r="J126" t="str">
        <f t="shared" si="36"/>
        <v>Disable</v>
      </c>
      <c r="L126" t="str">
        <f t="shared" si="38"/>
        <v>DRSS: 0</v>
      </c>
      <c r="M126" t="str">
        <f t="shared" si="39"/>
        <v>SCP – Hiccup Mode: 0</v>
      </c>
      <c r="N126" t="str">
        <f t="shared" si="40"/>
        <v>Neg. Current Limit: 1</v>
      </c>
      <c r="O126" t="str">
        <f t="shared" si="41"/>
        <v>Current Limit: 0</v>
      </c>
      <c r="P126" t="str">
        <f t="shared" si="37"/>
        <v>: Disable</v>
      </c>
      <c r="R126" t="str">
        <f t="shared" si="42"/>
        <v>DRSS: 0 / SCP – Hiccup Mode: 0 / Neg. Current Limit: 1 / Current Limit: 0</v>
      </c>
    </row>
    <row r="127" spans="1:18" x14ac:dyDescent="0.2">
      <c r="A127" s="554">
        <v>6</v>
      </c>
      <c r="B127" s="554">
        <v>3.8</v>
      </c>
      <c r="C127" s="554">
        <v>1</v>
      </c>
      <c r="D127" s="554">
        <v>0</v>
      </c>
      <c r="E127" s="554">
        <v>1</v>
      </c>
      <c r="F127" s="554">
        <v>0</v>
      </c>
      <c r="G127" t="str">
        <f t="shared" si="33"/>
        <v>Enable</v>
      </c>
      <c r="H127" t="str">
        <f t="shared" si="34"/>
        <v>Disable</v>
      </c>
      <c r="I127" t="str">
        <f t="shared" si="35"/>
        <v>Enable</v>
      </c>
      <c r="J127" t="str">
        <f t="shared" si="36"/>
        <v>Disable</v>
      </c>
      <c r="L127" t="str">
        <f t="shared" si="38"/>
        <v>DRSS: 1</v>
      </c>
      <c r="M127" t="str">
        <f t="shared" si="39"/>
        <v>SCP – Hiccup Mode: 0</v>
      </c>
      <c r="N127" t="str">
        <f t="shared" si="40"/>
        <v>Neg. Current Limit: 1</v>
      </c>
      <c r="O127" t="str">
        <f t="shared" si="41"/>
        <v>Current Limit: 0</v>
      </c>
      <c r="P127" t="str">
        <f t="shared" si="37"/>
        <v>: Enable</v>
      </c>
      <c r="R127" t="str">
        <f t="shared" si="42"/>
        <v>DRSS: 1 / SCP – Hiccup Mode: 0 / Neg. Current Limit: 1 / Current Limit: 0</v>
      </c>
    </row>
    <row r="128" spans="1:18" x14ac:dyDescent="0.2">
      <c r="A128" s="554">
        <v>7</v>
      </c>
      <c r="B128" s="554">
        <v>5.0999999999999996</v>
      </c>
      <c r="C128" s="554">
        <v>0</v>
      </c>
      <c r="D128" s="554">
        <v>1</v>
      </c>
      <c r="E128" s="554">
        <v>1</v>
      </c>
      <c r="F128" s="554">
        <v>0</v>
      </c>
      <c r="G128" t="str">
        <f t="shared" si="33"/>
        <v>Disable</v>
      </c>
      <c r="H128" t="str">
        <f t="shared" si="34"/>
        <v>Enable</v>
      </c>
      <c r="I128" t="str">
        <f t="shared" si="35"/>
        <v>Enable</v>
      </c>
      <c r="J128" t="str">
        <f t="shared" si="36"/>
        <v>Disable</v>
      </c>
      <c r="L128" t="str">
        <f t="shared" si="38"/>
        <v>DRSS: 0</v>
      </c>
      <c r="M128" t="str">
        <f t="shared" si="39"/>
        <v>SCP – Hiccup Mode: 1</v>
      </c>
      <c r="N128" t="str">
        <f t="shared" si="40"/>
        <v>Neg. Current Limit: 1</v>
      </c>
      <c r="O128" t="str">
        <f t="shared" si="41"/>
        <v>Current Limit: 0</v>
      </c>
      <c r="P128" t="str">
        <f t="shared" si="37"/>
        <v>: Disable</v>
      </c>
      <c r="R128" t="str">
        <f t="shared" si="42"/>
        <v>DRSS: 0 / SCP – Hiccup Mode: 1 / Neg. Current Limit: 1 / Current Limit: 0</v>
      </c>
    </row>
    <row r="129" spans="1:18" x14ac:dyDescent="0.2">
      <c r="A129" s="554">
        <v>8</v>
      </c>
      <c r="B129" s="554">
        <v>6.5</v>
      </c>
      <c r="C129" s="554">
        <v>1</v>
      </c>
      <c r="D129" s="554">
        <v>1</v>
      </c>
      <c r="E129" s="554">
        <v>1</v>
      </c>
      <c r="F129" s="554">
        <v>0</v>
      </c>
      <c r="G129" t="str">
        <f t="shared" si="33"/>
        <v>Enable</v>
      </c>
      <c r="H129" t="str">
        <f t="shared" si="34"/>
        <v>Enable</v>
      </c>
      <c r="I129" t="str">
        <f t="shared" si="35"/>
        <v>Enable</v>
      </c>
      <c r="J129" t="str">
        <f t="shared" si="36"/>
        <v>Disable</v>
      </c>
      <c r="L129" t="str">
        <f t="shared" si="38"/>
        <v>DRSS: 1</v>
      </c>
      <c r="M129" t="str">
        <f t="shared" si="39"/>
        <v>SCP – Hiccup Mode: 1</v>
      </c>
      <c r="N129" t="str">
        <f t="shared" si="40"/>
        <v>Neg. Current Limit: 1</v>
      </c>
      <c r="O129" t="str">
        <f t="shared" si="41"/>
        <v>Current Limit: 0</v>
      </c>
      <c r="P129" t="str">
        <f t="shared" si="37"/>
        <v>: Enable</v>
      </c>
      <c r="R129" t="str">
        <f t="shared" si="42"/>
        <v>DRSS: 1 / SCP – Hiccup Mode: 1 / Neg. Current Limit: 1 / Current Limit: 0</v>
      </c>
    </row>
    <row r="130" spans="1:18" x14ac:dyDescent="0.2">
      <c r="A130" s="554">
        <v>9</v>
      </c>
      <c r="B130" s="554">
        <v>8.3000000000000007</v>
      </c>
      <c r="C130" s="554">
        <v>0</v>
      </c>
      <c r="D130" s="554">
        <v>0</v>
      </c>
      <c r="E130" s="554">
        <v>0</v>
      </c>
      <c r="F130" s="554">
        <v>1</v>
      </c>
      <c r="G130" t="str">
        <f t="shared" si="33"/>
        <v>Disable</v>
      </c>
      <c r="H130" t="str">
        <f t="shared" si="34"/>
        <v>Disable</v>
      </c>
      <c r="I130" t="str">
        <f t="shared" si="35"/>
        <v>Disable</v>
      </c>
      <c r="J130" t="str">
        <f t="shared" si="36"/>
        <v>Enable</v>
      </c>
      <c r="L130" t="str">
        <f t="shared" si="38"/>
        <v>DRSS: 0</v>
      </c>
      <c r="M130" t="str">
        <f t="shared" si="39"/>
        <v>SCP – Hiccup Mode: 0</v>
      </c>
      <c r="N130" t="str">
        <f t="shared" si="40"/>
        <v>Neg. Current Limit: 0</v>
      </c>
      <c r="O130" t="str">
        <f t="shared" si="41"/>
        <v>Current Limit: 1</v>
      </c>
      <c r="P130" t="str">
        <f t="shared" si="37"/>
        <v>: Disable</v>
      </c>
      <c r="R130" t="str">
        <f t="shared" si="42"/>
        <v>DRSS: 0 / SCP – Hiccup Mode: 0 / Neg. Current Limit: 0 / Current Limit: 1</v>
      </c>
    </row>
    <row r="131" spans="1:18" x14ac:dyDescent="0.2">
      <c r="A131" s="554">
        <v>10</v>
      </c>
      <c r="B131" s="554">
        <v>10.5</v>
      </c>
      <c r="C131" s="554">
        <v>1</v>
      </c>
      <c r="D131" s="554">
        <v>0</v>
      </c>
      <c r="E131" s="554">
        <v>0</v>
      </c>
      <c r="F131" s="554">
        <v>1</v>
      </c>
      <c r="G131" t="str">
        <f t="shared" si="33"/>
        <v>Enable</v>
      </c>
      <c r="H131" t="str">
        <f t="shared" si="34"/>
        <v>Disable</v>
      </c>
      <c r="I131" t="str">
        <f t="shared" si="35"/>
        <v>Disable</v>
      </c>
      <c r="J131" t="str">
        <f t="shared" si="36"/>
        <v>Enable</v>
      </c>
      <c r="L131" t="str">
        <f t="shared" si="38"/>
        <v>DRSS: 1</v>
      </c>
      <c r="M131" t="str">
        <f t="shared" si="39"/>
        <v>SCP – Hiccup Mode: 0</v>
      </c>
      <c r="N131" t="str">
        <f t="shared" si="40"/>
        <v>Neg. Current Limit: 0</v>
      </c>
      <c r="O131" t="str">
        <f t="shared" si="41"/>
        <v>Current Limit: 1</v>
      </c>
      <c r="P131" t="str">
        <f t="shared" si="37"/>
        <v>: Enable</v>
      </c>
      <c r="R131" t="str">
        <f t="shared" si="42"/>
        <v>DRSS: 1 / SCP – Hiccup Mode: 0 / Neg. Current Limit: 0 / Current Limit: 1</v>
      </c>
    </row>
    <row r="132" spans="1:18" x14ac:dyDescent="0.2">
      <c r="A132" s="554">
        <v>11</v>
      </c>
      <c r="B132" s="554">
        <v>13.3</v>
      </c>
      <c r="C132" s="554">
        <v>0</v>
      </c>
      <c r="D132" s="554">
        <v>1</v>
      </c>
      <c r="E132" s="554">
        <v>0</v>
      </c>
      <c r="F132" s="554">
        <v>1</v>
      </c>
      <c r="G132" t="str">
        <f t="shared" si="33"/>
        <v>Disable</v>
      </c>
      <c r="H132" t="str">
        <f t="shared" si="34"/>
        <v>Enable</v>
      </c>
      <c r="I132" t="str">
        <f t="shared" si="35"/>
        <v>Disable</v>
      </c>
      <c r="J132" t="str">
        <f t="shared" si="36"/>
        <v>Enable</v>
      </c>
      <c r="L132" t="str">
        <f t="shared" si="38"/>
        <v>DRSS: 0</v>
      </c>
      <c r="M132" t="str">
        <f t="shared" si="39"/>
        <v>SCP – Hiccup Mode: 1</v>
      </c>
      <c r="N132" t="str">
        <f t="shared" si="40"/>
        <v>Neg. Current Limit: 0</v>
      </c>
      <c r="O132" t="str">
        <f t="shared" si="41"/>
        <v>Current Limit: 1</v>
      </c>
      <c r="P132" t="str">
        <f t="shared" si="37"/>
        <v>: Disable</v>
      </c>
      <c r="R132" t="str">
        <f t="shared" si="42"/>
        <v>DRSS: 0 / SCP – Hiccup Mode: 1 / Neg. Current Limit: 0 / Current Limit: 1</v>
      </c>
    </row>
    <row r="133" spans="1:18" x14ac:dyDescent="0.2">
      <c r="A133" s="554">
        <v>12</v>
      </c>
      <c r="B133" s="554">
        <v>16.2</v>
      </c>
      <c r="C133" s="554">
        <v>1</v>
      </c>
      <c r="D133" s="554">
        <v>1</v>
      </c>
      <c r="E133" s="554">
        <v>0</v>
      </c>
      <c r="F133" s="554">
        <v>1</v>
      </c>
      <c r="G133" t="str">
        <f t="shared" si="33"/>
        <v>Enable</v>
      </c>
      <c r="H133" t="str">
        <f t="shared" si="34"/>
        <v>Enable</v>
      </c>
      <c r="I133" t="str">
        <f t="shared" si="35"/>
        <v>Disable</v>
      </c>
      <c r="J133" t="str">
        <f t="shared" si="36"/>
        <v>Enable</v>
      </c>
      <c r="L133" t="str">
        <f t="shared" si="38"/>
        <v>DRSS: 1</v>
      </c>
      <c r="M133" t="str">
        <f t="shared" si="39"/>
        <v>SCP – Hiccup Mode: 1</v>
      </c>
      <c r="N133" t="str">
        <f t="shared" si="40"/>
        <v>Neg. Current Limit: 0</v>
      </c>
      <c r="O133" t="str">
        <f t="shared" si="41"/>
        <v>Current Limit: 1</v>
      </c>
      <c r="P133" t="str">
        <f t="shared" si="37"/>
        <v>: Enable</v>
      </c>
      <c r="R133" t="str">
        <f t="shared" si="42"/>
        <v>DRSS: 1 / SCP – Hiccup Mode: 1 / Neg. Current Limit: 0 / Current Limit: 1</v>
      </c>
    </row>
    <row r="134" spans="1:18" x14ac:dyDescent="0.2">
      <c r="A134" s="554">
        <v>13</v>
      </c>
      <c r="B134" s="554">
        <v>20.5</v>
      </c>
      <c r="C134" s="554">
        <v>0</v>
      </c>
      <c r="D134" s="554">
        <v>0</v>
      </c>
      <c r="E134" s="554">
        <v>1</v>
      </c>
      <c r="F134" s="554">
        <v>1</v>
      </c>
      <c r="G134" t="str">
        <f t="shared" si="33"/>
        <v>Disable</v>
      </c>
      <c r="H134" t="str">
        <f t="shared" si="34"/>
        <v>Disable</v>
      </c>
      <c r="I134" t="str">
        <f t="shared" si="35"/>
        <v>Enable</v>
      </c>
      <c r="J134" t="str">
        <f t="shared" si="36"/>
        <v>Enable</v>
      </c>
      <c r="L134" t="str">
        <f t="shared" si="38"/>
        <v>DRSS: 0</v>
      </c>
      <c r="M134" t="str">
        <f t="shared" si="39"/>
        <v>SCP – Hiccup Mode: 0</v>
      </c>
      <c r="N134" t="str">
        <f t="shared" si="40"/>
        <v>Neg. Current Limit: 1</v>
      </c>
      <c r="O134" t="str">
        <f t="shared" si="41"/>
        <v>Current Limit: 1</v>
      </c>
      <c r="P134" t="str">
        <f t="shared" si="37"/>
        <v>: Disable</v>
      </c>
      <c r="R134" t="str">
        <f t="shared" si="42"/>
        <v>DRSS: 0 / SCP – Hiccup Mode: 0 / Neg. Current Limit: 1 / Current Limit: 1</v>
      </c>
    </row>
    <row r="135" spans="1:18" x14ac:dyDescent="0.2">
      <c r="A135" s="554">
        <v>14</v>
      </c>
      <c r="B135" s="554">
        <v>24.9</v>
      </c>
      <c r="C135" s="554">
        <v>1</v>
      </c>
      <c r="D135" s="554">
        <v>0</v>
      </c>
      <c r="E135" s="554">
        <v>1</v>
      </c>
      <c r="F135" s="554">
        <v>1</v>
      </c>
      <c r="G135" t="str">
        <f t="shared" si="33"/>
        <v>Enable</v>
      </c>
      <c r="H135" t="str">
        <f t="shared" si="34"/>
        <v>Disable</v>
      </c>
      <c r="I135" t="str">
        <f t="shared" si="35"/>
        <v>Enable</v>
      </c>
      <c r="J135" t="str">
        <f t="shared" si="36"/>
        <v>Enable</v>
      </c>
      <c r="L135" t="str">
        <f t="shared" si="38"/>
        <v>DRSS: 1</v>
      </c>
      <c r="M135" t="str">
        <f t="shared" si="39"/>
        <v>SCP – Hiccup Mode: 0</v>
      </c>
      <c r="N135" t="str">
        <f t="shared" si="40"/>
        <v>Neg. Current Limit: 1</v>
      </c>
      <c r="O135" t="str">
        <f t="shared" si="41"/>
        <v>Current Limit: 1</v>
      </c>
      <c r="P135" t="str">
        <f t="shared" si="37"/>
        <v>: Enable</v>
      </c>
      <c r="R135" t="str">
        <f t="shared" si="42"/>
        <v>DRSS: 1 / SCP – Hiccup Mode: 0 / Neg. Current Limit: 1 / Current Limit: 1</v>
      </c>
    </row>
    <row r="136" spans="1:18" x14ac:dyDescent="0.2">
      <c r="A136" s="554">
        <v>15</v>
      </c>
      <c r="B136" s="554">
        <v>30.1</v>
      </c>
      <c r="C136" s="554">
        <v>0</v>
      </c>
      <c r="D136" s="554">
        <v>1</v>
      </c>
      <c r="E136" s="554">
        <v>1</v>
      </c>
      <c r="F136" s="554">
        <v>1</v>
      </c>
      <c r="G136" t="str">
        <f t="shared" si="33"/>
        <v>Disable</v>
      </c>
      <c r="H136" t="str">
        <f t="shared" si="34"/>
        <v>Enable</v>
      </c>
      <c r="I136" t="str">
        <f t="shared" si="35"/>
        <v>Enable</v>
      </c>
      <c r="J136" t="str">
        <f t="shared" si="36"/>
        <v>Enable</v>
      </c>
      <c r="L136" t="str">
        <f t="shared" si="38"/>
        <v>DRSS: 0</v>
      </c>
      <c r="M136" t="str">
        <f t="shared" si="39"/>
        <v>SCP – Hiccup Mode: 1</v>
      </c>
      <c r="N136" t="str">
        <f t="shared" si="40"/>
        <v>Neg. Current Limit: 1</v>
      </c>
      <c r="O136" t="str">
        <f t="shared" si="41"/>
        <v>Current Limit: 1</v>
      </c>
      <c r="P136" t="str">
        <f t="shared" si="37"/>
        <v>: Disable</v>
      </c>
      <c r="R136" t="str">
        <f t="shared" si="42"/>
        <v>DRSS: 0 / SCP – Hiccup Mode: 1 / Neg. Current Limit: 1 / Current Limit: 1</v>
      </c>
    </row>
    <row r="137" spans="1:18" x14ac:dyDescent="0.2">
      <c r="A137" s="554">
        <v>16</v>
      </c>
      <c r="B137" s="554">
        <v>36.5</v>
      </c>
      <c r="C137" s="554">
        <v>1</v>
      </c>
      <c r="D137" s="554">
        <v>1</v>
      </c>
      <c r="E137" s="554">
        <v>1</v>
      </c>
      <c r="F137" s="554">
        <v>1</v>
      </c>
      <c r="G137" t="str">
        <f t="shared" si="33"/>
        <v>Enable</v>
      </c>
      <c r="H137" t="str">
        <f t="shared" si="34"/>
        <v>Enable</v>
      </c>
      <c r="I137" t="str">
        <f t="shared" si="35"/>
        <v>Enable</v>
      </c>
      <c r="J137" t="str">
        <f t="shared" si="36"/>
        <v>Enable</v>
      </c>
      <c r="L137" t="str">
        <f t="shared" si="38"/>
        <v>DRSS: 1</v>
      </c>
      <c r="M137" t="str">
        <f t="shared" si="39"/>
        <v>SCP – Hiccup Mode: 1</v>
      </c>
      <c r="N137" t="str">
        <f t="shared" si="40"/>
        <v>Neg. Current Limit: 1</v>
      </c>
      <c r="O137" t="str">
        <f t="shared" si="41"/>
        <v>Current Limit: 1</v>
      </c>
      <c r="P137" t="str">
        <f t="shared" si="37"/>
        <v>: Enable</v>
      </c>
      <c r="R137" t="str">
        <f t="shared" si="42"/>
        <v>DRSS: 1 / SCP – Hiccup Mode: 1 / Neg. Current Limit: 1 / Current Limit: 1</v>
      </c>
    </row>
    <row r="139" spans="1:18" x14ac:dyDescent="0.2">
      <c r="C139" s="554">
        <v>0</v>
      </c>
      <c r="D139" s="554">
        <v>1</v>
      </c>
      <c r="E139" s="554">
        <v>2</v>
      </c>
      <c r="F139" s="554">
        <v>3</v>
      </c>
    </row>
    <row r="140" spans="1:18" x14ac:dyDescent="0.2">
      <c r="C140" s="114" t="str">
        <f>CONCATENATE(C121,": off")</f>
        <v>DRSS: off</v>
      </c>
      <c r="D140" s="114" t="str">
        <f>CONCATENATE(D121,": off")</f>
        <v>SCP – Hiccup Mode: off</v>
      </c>
      <c r="E140" s="114" t="str">
        <f>CONCATENATE(E121,": off")</f>
        <v>Neg. Current Limit: off</v>
      </c>
      <c r="F140" s="570" t="s">
        <v>931</v>
      </c>
    </row>
    <row r="141" spans="1:18" x14ac:dyDescent="0.2">
      <c r="C141" s="114" t="str">
        <f>CONCATENATE(C121,": on")</f>
        <v>DRSS: on</v>
      </c>
      <c r="D141" s="114" t="str">
        <f>CONCATENATE(D121,": on")</f>
        <v>SCP – Hiccup Mode: on</v>
      </c>
      <c r="E141" s="114" t="str">
        <f>CONCATENATE(E121,": on")</f>
        <v>Neg. Current Limit: on</v>
      </c>
      <c r="F141" s="114" t="s">
        <v>1246</v>
      </c>
    </row>
    <row r="142" spans="1:18" x14ac:dyDescent="0.2">
      <c r="F142" s="114" t="s">
        <v>1247</v>
      </c>
    </row>
    <row r="143" spans="1:18" x14ac:dyDescent="0.2">
      <c r="F143" s="114" t="s">
        <v>1260</v>
      </c>
    </row>
    <row r="145" spans="1:11" ht="15" x14ac:dyDescent="0.25">
      <c r="B145" s="114" t="s">
        <v>930</v>
      </c>
      <c r="C145" s="634">
        <v>1</v>
      </c>
      <c r="D145" s="634">
        <v>1</v>
      </c>
      <c r="E145" s="634">
        <v>1</v>
      </c>
      <c r="F145" s="634">
        <v>3</v>
      </c>
      <c r="G145" s="633" t="s">
        <v>974</v>
      </c>
      <c r="H145" s="114" t="str">
        <f>CONCATENATE("R_",A120)</f>
        <v>R_CFG4</v>
      </c>
      <c r="J145" s="114" t="s">
        <v>964</v>
      </c>
    </row>
    <row r="146" spans="1:11" ht="15" x14ac:dyDescent="0.25">
      <c r="C146">
        <f>(C145-1)*2^C139</f>
        <v>0</v>
      </c>
      <c r="D146">
        <f>(D145-1)*2^D139</f>
        <v>0</v>
      </c>
      <c r="E146">
        <f>(E145-1)*2^E139</f>
        <v>0</v>
      </c>
      <c r="F146">
        <f>(IF(F145&gt;1,1,0)*2^F139)</f>
        <v>8</v>
      </c>
      <c r="G146" s="633">
        <f>SUM(C146:F146)+1</f>
        <v>9</v>
      </c>
      <c r="H146">
        <f>INDEX(B122:B137,G146)</f>
        <v>8.3000000000000007</v>
      </c>
      <c r="J146">
        <f>F145</f>
        <v>3</v>
      </c>
      <c r="K146" s="114" t="s">
        <v>992</v>
      </c>
    </row>
    <row r="151" spans="1:11" x14ac:dyDescent="0.2">
      <c r="A151" s="114" t="s">
        <v>994</v>
      </c>
    </row>
    <row r="152" spans="1:11" x14ac:dyDescent="0.2">
      <c r="A152">
        <v>0.25</v>
      </c>
    </row>
    <row r="153" spans="1:11" x14ac:dyDescent="0.2">
      <c r="A153">
        <v>0.5</v>
      </c>
    </row>
    <row r="154" spans="1:11" x14ac:dyDescent="0.2">
      <c r="A154">
        <v>1</v>
      </c>
    </row>
    <row r="155" spans="1:11" x14ac:dyDescent="0.2">
      <c r="A155">
        <v>2</v>
      </c>
    </row>
    <row r="159" spans="1:11" x14ac:dyDescent="0.2">
      <c r="A159" s="114" t="s">
        <v>1083</v>
      </c>
      <c r="B159">
        <v>1</v>
      </c>
    </row>
    <row r="160" spans="1:11" x14ac:dyDescent="0.2">
      <c r="A160" s="114" t="s">
        <v>1084</v>
      </c>
    </row>
    <row r="162" spans="1:2" x14ac:dyDescent="0.2">
      <c r="A162" s="114" t="s">
        <v>1082</v>
      </c>
      <c r="B162">
        <v>1</v>
      </c>
    </row>
    <row r="163" spans="1:2" x14ac:dyDescent="0.2">
      <c r="A163" s="114" t="s">
        <v>1085</v>
      </c>
    </row>
    <row r="164" spans="1:2" x14ac:dyDescent="0.2">
      <c r="A164" s="114" t="s">
        <v>1086</v>
      </c>
    </row>
  </sheetData>
  <conditionalFormatting sqref="D81:F82">
    <cfRule type="expression" priority="1">
      <formula>$B$162=2</formula>
    </cfRule>
    <cfRule type="expression" priority="2">
      <formula>$B$162=2</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2:H22"/>
  <sheetViews>
    <sheetView showGridLines="0" zoomScale="55" zoomScaleNormal="55" workbookViewId="0">
      <selection activeCell="A3" sqref="A3"/>
    </sheetView>
  </sheetViews>
  <sheetFormatPr defaultRowHeight="12.75" x14ac:dyDescent="0.2"/>
  <cols>
    <col min="1" max="1" width="10.5703125" customWidth="1"/>
    <col min="2" max="2" width="131.7109375" customWidth="1"/>
    <col min="4" max="4" width="131.7109375" customWidth="1"/>
    <col min="6" max="6" width="131.7109375" customWidth="1"/>
    <col min="8" max="8" width="131.7109375" customWidth="1"/>
  </cols>
  <sheetData>
    <row r="2" spans="1:8" x14ac:dyDescent="0.2">
      <c r="A2" t="str">
        <f>CHOOSE(With_CDC,CHOOSE(With_RCS,  "SCH772_NO_RCS_NO_CDC", "SCH772_RCS_LIM_NO_CDC","SCH772_RCS_LIM_DAC_NO_CDC","SCH772_RCS_LIM_DACplus_NO_CDC"),CHOOSE(With_RCS, "SCH772_NO_RCS","SCH772_RCS_LIM","SCH772_RCS_LIM_DAC","SCH772_RCS_LIM_DACplus"))</f>
        <v>SCH772_RCS_LIM_DAC_NO_CDC</v>
      </c>
    </row>
    <row r="5" spans="1:8" ht="30.6" customHeight="1" x14ac:dyDescent="0.2">
      <c r="B5" s="545"/>
    </row>
    <row r="6" spans="1:8" s="672" customFormat="1" ht="18.600000000000001" customHeight="1" x14ac:dyDescent="0.25">
      <c r="B6" s="673" t="s">
        <v>1078</v>
      </c>
      <c r="D6" s="672" t="s">
        <v>1079</v>
      </c>
      <c r="F6" s="672" t="s">
        <v>1080</v>
      </c>
      <c r="H6" s="672" t="s">
        <v>1254</v>
      </c>
    </row>
    <row r="7" spans="1:8" ht="18.600000000000001" customHeight="1" x14ac:dyDescent="0.2"/>
    <row r="8" spans="1:8" ht="21" customHeight="1" x14ac:dyDescent="0.2">
      <c r="B8" s="545"/>
    </row>
    <row r="9" spans="1:8" x14ac:dyDescent="0.2">
      <c r="B9" s="545"/>
    </row>
    <row r="11" spans="1:8" ht="408.95" customHeight="1" x14ac:dyDescent="0.2">
      <c r="F11" s="2"/>
    </row>
    <row r="17" spans="2:8" s="672" customFormat="1" ht="18.600000000000001" customHeight="1" x14ac:dyDescent="0.25">
      <c r="B17" s="673" t="s">
        <v>1062</v>
      </c>
      <c r="D17" s="672" t="s">
        <v>1063</v>
      </c>
      <c r="F17" s="672" t="s">
        <v>1064</v>
      </c>
      <c r="H17" s="672" t="s">
        <v>1255</v>
      </c>
    </row>
    <row r="18" spans="2:8" ht="18.600000000000001" customHeight="1" x14ac:dyDescent="0.2"/>
    <row r="19" spans="2:8" ht="21" customHeight="1" x14ac:dyDescent="0.2">
      <c r="B19" s="545"/>
    </row>
    <row r="20" spans="2:8" x14ac:dyDescent="0.2">
      <c r="B20" s="545"/>
    </row>
    <row r="22" spans="2:8" ht="408.95" customHeight="1" x14ac:dyDescent="0.2"/>
  </sheetData>
  <pageMargins left="0.7" right="0.7" top="0.75" bottom="0.75" header="0.3" footer="0.3"/>
  <pageSetup orientation="portrait" r:id="rId1"/>
  <drawing r:id="rId2"/>
  <legacyDrawing r:id="rId3"/>
  <oleObjects>
    <mc:AlternateContent xmlns:mc="http://schemas.openxmlformats.org/markup-compatibility/2006">
      <mc:Choice Requires="x14">
        <oleObject progId="Visio.Drawing.15" shapeId="676970" r:id="rId4">
          <objectPr defaultSize="0" r:id="rId5">
            <anchor moveWithCells="1">
              <from>
                <xdr:col>1</xdr:col>
                <xdr:colOff>0</xdr:colOff>
                <xdr:row>10</xdr:row>
                <xdr:rowOff>0</xdr:rowOff>
              </from>
              <to>
                <xdr:col>1</xdr:col>
                <xdr:colOff>8743950</xdr:colOff>
                <xdr:row>10</xdr:row>
                <xdr:rowOff>5143500</xdr:rowOff>
              </to>
            </anchor>
          </objectPr>
        </oleObject>
      </mc:Choice>
      <mc:Fallback>
        <oleObject progId="Visio.Drawing.15" shapeId="676970" r:id="rId4"/>
      </mc:Fallback>
    </mc:AlternateContent>
    <mc:AlternateContent xmlns:mc="http://schemas.openxmlformats.org/markup-compatibility/2006">
      <mc:Choice Requires="x14">
        <oleObject progId="Visio.Drawing.15" shapeId="676971" r:id="rId6">
          <objectPr defaultSize="0" r:id="rId7">
            <anchor moveWithCells="1">
              <from>
                <xdr:col>3</xdr:col>
                <xdr:colOff>0</xdr:colOff>
                <xdr:row>10</xdr:row>
                <xdr:rowOff>0</xdr:rowOff>
              </from>
              <to>
                <xdr:col>3</xdr:col>
                <xdr:colOff>8743950</xdr:colOff>
                <xdr:row>10</xdr:row>
                <xdr:rowOff>5143500</xdr:rowOff>
              </to>
            </anchor>
          </objectPr>
        </oleObject>
      </mc:Choice>
      <mc:Fallback>
        <oleObject progId="Visio.Drawing.15" shapeId="676971" r:id="rId6"/>
      </mc:Fallback>
    </mc:AlternateContent>
    <mc:AlternateContent xmlns:mc="http://schemas.openxmlformats.org/markup-compatibility/2006">
      <mc:Choice Requires="x14">
        <oleObject progId="Visio.Drawing.15" shapeId="676972" r:id="rId8">
          <objectPr defaultSize="0" r:id="rId9">
            <anchor moveWithCells="1">
              <from>
                <xdr:col>5</xdr:col>
                <xdr:colOff>0</xdr:colOff>
                <xdr:row>10</xdr:row>
                <xdr:rowOff>0</xdr:rowOff>
              </from>
              <to>
                <xdr:col>5</xdr:col>
                <xdr:colOff>8743950</xdr:colOff>
                <xdr:row>10</xdr:row>
                <xdr:rowOff>5143500</xdr:rowOff>
              </to>
            </anchor>
          </objectPr>
        </oleObject>
      </mc:Choice>
      <mc:Fallback>
        <oleObject progId="Visio.Drawing.15" shapeId="676972" r:id="rId8"/>
      </mc:Fallback>
    </mc:AlternateContent>
    <mc:AlternateContent xmlns:mc="http://schemas.openxmlformats.org/markup-compatibility/2006">
      <mc:Choice Requires="x14">
        <oleObject progId="Visio.Drawing.15" shapeId="676973" r:id="rId10">
          <objectPr defaultSize="0" r:id="rId11">
            <anchor moveWithCells="1">
              <from>
                <xdr:col>1</xdr:col>
                <xdr:colOff>0</xdr:colOff>
                <xdr:row>21</xdr:row>
                <xdr:rowOff>0</xdr:rowOff>
              </from>
              <to>
                <xdr:col>1</xdr:col>
                <xdr:colOff>8743950</xdr:colOff>
                <xdr:row>21</xdr:row>
                <xdr:rowOff>5143500</xdr:rowOff>
              </to>
            </anchor>
          </objectPr>
        </oleObject>
      </mc:Choice>
      <mc:Fallback>
        <oleObject progId="Visio.Drawing.15" shapeId="676973" r:id="rId10"/>
      </mc:Fallback>
    </mc:AlternateContent>
    <mc:AlternateContent xmlns:mc="http://schemas.openxmlformats.org/markup-compatibility/2006">
      <mc:Choice Requires="x14">
        <oleObject progId="Visio.Drawing.15" shapeId="676974" r:id="rId12">
          <objectPr defaultSize="0" r:id="rId13">
            <anchor moveWithCells="1">
              <from>
                <xdr:col>3</xdr:col>
                <xdr:colOff>0</xdr:colOff>
                <xdr:row>21</xdr:row>
                <xdr:rowOff>0</xdr:rowOff>
              </from>
              <to>
                <xdr:col>3</xdr:col>
                <xdr:colOff>8743950</xdr:colOff>
                <xdr:row>21</xdr:row>
                <xdr:rowOff>5143500</xdr:rowOff>
              </to>
            </anchor>
          </objectPr>
        </oleObject>
      </mc:Choice>
      <mc:Fallback>
        <oleObject progId="Visio.Drawing.15" shapeId="676974" r:id="rId12"/>
      </mc:Fallback>
    </mc:AlternateContent>
    <mc:AlternateContent xmlns:mc="http://schemas.openxmlformats.org/markup-compatibility/2006">
      <mc:Choice Requires="x14">
        <oleObject progId="Visio.Drawing.15" shapeId="676975" r:id="rId14">
          <objectPr defaultSize="0" r:id="rId15">
            <anchor moveWithCells="1">
              <from>
                <xdr:col>5</xdr:col>
                <xdr:colOff>38100</xdr:colOff>
                <xdr:row>21</xdr:row>
                <xdr:rowOff>0</xdr:rowOff>
              </from>
              <to>
                <xdr:col>5</xdr:col>
                <xdr:colOff>8782050</xdr:colOff>
                <xdr:row>21</xdr:row>
                <xdr:rowOff>5143500</xdr:rowOff>
              </to>
            </anchor>
          </objectPr>
        </oleObject>
      </mc:Choice>
      <mc:Fallback>
        <oleObject progId="Visio.Drawing.15" shapeId="676975" r:id="rId14"/>
      </mc:Fallback>
    </mc:AlternateContent>
    <mc:AlternateContent xmlns:mc="http://schemas.openxmlformats.org/markup-compatibility/2006">
      <mc:Choice Requires="x14">
        <oleObject progId="Visio.Drawing.15" shapeId="676976" r:id="rId16">
          <objectPr defaultSize="0" r:id="rId17">
            <anchor moveWithCells="1">
              <from>
                <xdr:col>7</xdr:col>
                <xdr:colOff>0</xdr:colOff>
                <xdr:row>21</xdr:row>
                <xdr:rowOff>0</xdr:rowOff>
              </from>
              <to>
                <xdr:col>7</xdr:col>
                <xdr:colOff>8743950</xdr:colOff>
                <xdr:row>21</xdr:row>
                <xdr:rowOff>5143500</xdr:rowOff>
              </to>
            </anchor>
          </objectPr>
        </oleObject>
      </mc:Choice>
      <mc:Fallback>
        <oleObject progId="Visio.Drawing.15" shapeId="676976" r:id="rId16"/>
      </mc:Fallback>
    </mc:AlternateContent>
    <mc:AlternateContent xmlns:mc="http://schemas.openxmlformats.org/markup-compatibility/2006">
      <mc:Choice Requires="x14">
        <oleObject progId="Visio.Drawing.15" shapeId="676977" r:id="rId18">
          <objectPr defaultSize="0" r:id="rId19">
            <anchor moveWithCells="1">
              <from>
                <xdr:col>7</xdr:col>
                <xdr:colOff>0</xdr:colOff>
                <xdr:row>10</xdr:row>
                <xdr:rowOff>0</xdr:rowOff>
              </from>
              <to>
                <xdr:col>7</xdr:col>
                <xdr:colOff>8743950</xdr:colOff>
                <xdr:row>10</xdr:row>
                <xdr:rowOff>5143500</xdr:rowOff>
              </to>
            </anchor>
          </objectPr>
        </oleObject>
      </mc:Choice>
      <mc:Fallback>
        <oleObject progId="Visio.Drawing.15" shapeId="676977" r:id="rId18"/>
      </mc:Fallback>
    </mc:AlternateContent>
  </oleObjec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DE556-8731-4DF1-BF1F-8114B328B59E}">
  <sheetPr codeName="Sheet4"/>
  <dimension ref="A1:BA687"/>
  <sheetViews>
    <sheetView topLeftCell="X1" zoomScaleNormal="100" workbookViewId="0">
      <pane ySplit="11" topLeftCell="A127" activePane="bottomLeft" state="frozen"/>
      <selection activeCell="A93" sqref="A93"/>
      <selection pane="bottomLeft" activeCell="AI146" sqref="AI146"/>
    </sheetView>
  </sheetViews>
  <sheetFormatPr defaultColWidth="9.140625" defaultRowHeight="12.75" x14ac:dyDescent="0.2"/>
  <cols>
    <col min="1" max="1" width="16.140625" style="405" customWidth="1"/>
    <col min="2" max="4" width="15.7109375" style="405" customWidth="1"/>
    <col min="5" max="5" width="10" style="405" customWidth="1"/>
    <col min="6" max="7" width="10.85546875" style="405" customWidth="1"/>
    <col min="8" max="8" width="10.140625" style="405" customWidth="1"/>
    <col min="9" max="20" width="11.85546875" style="405" customWidth="1"/>
    <col min="21" max="21" width="14.28515625" style="405" customWidth="1"/>
    <col min="22" max="23" width="11" style="405" customWidth="1"/>
    <col min="24" max="24" width="12" style="405" customWidth="1"/>
    <col min="25" max="26" width="11.42578125" style="405" customWidth="1"/>
    <col min="27" max="27" width="10.85546875" style="405" customWidth="1"/>
    <col min="28" max="31" width="11.42578125" style="405" customWidth="1"/>
    <col min="32" max="32" width="12.140625" style="405" customWidth="1"/>
    <col min="33" max="33" width="9.42578125" style="405" customWidth="1"/>
    <col min="34" max="34" width="16.140625" style="405" bestFit="1" customWidth="1"/>
    <col min="35" max="35" width="13.140625" style="353" customWidth="1"/>
    <col min="36" max="37" width="9.140625" style="405"/>
    <col min="38" max="38" width="13.5703125" style="405" customWidth="1"/>
    <col min="39" max="40" width="10.5703125" style="405" customWidth="1"/>
    <col min="41" max="41" width="9.28515625" style="405" bestFit="1" customWidth="1"/>
    <col min="42" max="42" width="11.28515625" style="405" bestFit="1" customWidth="1"/>
    <col min="43" max="44" width="9.140625" style="405"/>
    <col min="45" max="46" width="11.28515625" style="405" customWidth="1"/>
    <col min="47" max="47" width="9.140625" style="405"/>
    <col min="48" max="48" width="12.28515625" style="405" customWidth="1"/>
    <col min="49" max="49" width="8.85546875" style="405" customWidth="1"/>
    <col min="50" max="16384" width="9.140625" style="405"/>
  </cols>
  <sheetData>
    <row r="1" spans="2:53" ht="13.5" thickBot="1" x14ac:dyDescent="0.25"/>
    <row r="2" spans="2:53" x14ac:dyDescent="0.2">
      <c r="B2" s="903" t="s">
        <v>553</v>
      </c>
      <c r="C2" s="904"/>
      <c r="D2" s="904"/>
      <c r="E2" s="903" t="s">
        <v>445</v>
      </c>
      <c r="F2" s="904"/>
      <c r="G2" s="905"/>
      <c r="H2" s="714"/>
      <c r="I2" s="716"/>
      <c r="J2" s="714" t="s">
        <v>551</v>
      </c>
      <c r="K2" s="715"/>
      <c r="L2" s="718"/>
      <c r="M2" s="719"/>
      <c r="N2" s="718"/>
      <c r="O2" s="714" t="s">
        <v>552</v>
      </c>
      <c r="P2" s="715"/>
      <c r="Q2" s="903" t="s">
        <v>446</v>
      </c>
      <c r="R2" s="904"/>
      <c r="S2" s="905"/>
      <c r="T2"/>
      <c r="U2"/>
      <c r="V2"/>
      <c r="AI2" s="405"/>
    </row>
    <row r="3" spans="2:53" x14ac:dyDescent="0.2">
      <c r="B3" s="321" t="s">
        <v>447</v>
      </c>
      <c r="C3" s="402">
        <f>Afb</f>
        <v>6.8493150684931503E-2</v>
      </c>
      <c r="D3" s="323" t="s">
        <v>30</v>
      </c>
      <c r="E3" s="324" t="s">
        <v>448</v>
      </c>
      <c r="F3" s="322">
        <f>Acs</f>
        <v>40</v>
      </c>
      <c r="G3" s="323" t="s">
        <v>550</v>
      </c>
      <c r="H3" s="414" t="s">
        <v>464</v>
      </c>
      <c r="I3" s="423">
        <f>gm</f>
        <v>5.9999999999999995E-4</v>
      </c>
      <c r="J3" s="324" t="s">
        <v>577</v>
      </c>
      <c r="K3" s="326"/>
      <c r="L3" s="325">
        <f>Fesr</f>
        <v>318309.88618379069</v>
      </c>
      <c r="M3" s="323" t="s">
        <v>10</v>
      </c>
      <c r="N3" s="324" t="s">
        <v>450</v>
      </c>
      <c r="O3" s="325">
        <f>Fsw/2</f>
        <v>300000</v>
      </c>
      <c r="P3" s="323" t="s">
        <v>10</v>
      </c>
      <c r="Q3" s="326" t="s">
        <v>451</v>
      </c>
      <c r="R3" s="325">
        <f>Am*Afb*AEA</f>
        <v>13362.929066124625</v>
      </c>
      <c r="S3" s="323" t="s">
        <v>30</v>
      </c>
      <c r="T3"/>
      <c r="U3"/>
      <c r="V3"/>
    </row>
    <row r="4" spans="2:53" x14ac:dyDescent="0.2">
      <c r="B4" s="321" t="s">
        <v>583</v>
      </c>
      <c r="C4" s="325">
        <f>Fz1_u</f>
        <v>15.915494309189533</v>
      </c>
      <c r="D4" s="323" t="s">
        <v>10</v>
      </c>
      <c r="E4" s="324" t="s">
        <v>453</v>
      </c>
      <c r="F4" s="330">
        <f>Am</f>
        <v>32.516460727569928</v>
      </c>
      <c r="G4" s="323" t="s">
        <v>30</v>
      </c>
      <c r="H4" s="415"/>
      <c r="I4" s="415"/>
      <c r="J4" s="324" t="s">
        <v>576</v>
      </c>
      <c r="K4" s="326"/>
      <c r="L4" s="325">
        <f>Fp_dominant</f>
        <v>1308.1228199333864</v>
      </c>
      <c r="M4" s="323" t="s">
        <v>10</v>
      </c>
      <c r="N4" s="324" t="s">
        <v>455</v>
      </c>
      <c r="O4" s="400">
        <f>Q*PS_Pole2</f>
        <v>147677.05342844216</v>
      </c>
      <c r="P4" s="323"/>
      <c r="Q4" s="326" t="s">
        <v>456</v>
      </c>
      <c r="R4" s="357">
        <f>AW8/1000</f>
        <v>16.3125</v>
      </c>
      <c r="S4" s="323" t="s">
        <v>3</v>
      </c>
      <c r="T4"/>
      <c r="U4"/>
      <c r="V4"/>
      <c r="AF4" s="630"/>
    </row>
    <row r="5" spans="2:53" x14ac:dyDescent="0.2">
      <c r="B5" s="321" t="s">
        <v>582</v>
      </c>
      <c r="C5" s="330">
        <f>Fp1_u</f>
        <v>0.157579151576134</v>
      </c>
      <c r="D5" s="323" t="s">
        <v>10</v>
      </c>
      <c r="E5" s="324" t="s">
        <v>29</v>
      </c>
      <c r="F5" s="402">
        <f>Q</f>
        <v>0.49225684476147386</v>
      </c>
      <c r="G5" s="323"/>
      <c r="H5" s="415"/>
      <c r="I5" s="415"/>
      <c r="J5" s="324" t="s">
        <v>578</v>
      </c>
      <c r="K5" s="326"/>
      <c r="L5" s="325">
        <f>IF(VIN_nom&gt;Vout, 10000000,Frhp)</f>
        <v>10000000</v>
      </c>
      <c r="M5" s="323" t="s">
        <v>10</v>
      </c>
      <c r="N5" s="324" t="s">
        <v>458</v>
      </c>
      <c r="O5" s="322">
        <f>PS_Pole2^2+0.01</f>
        <v>90000000000.009995</v>
      </c>
      <c r="P5" s="323"/>
      <c r="Q5" s="326" t="s">
        <v>459</v>
      </c>
      <c r="R5" s="330">
        <f>AW9</f>
        <v>0.39315454548278694</v>
      </c>
      <c r="S5" s="382" t="s">
        <v>519</v>
      </c>
      <c r="T5"/>
      <c r="U5"/>
      <c r="V5"/>
      <c r="AF5" s="630"/>
    </row>
    <row r="6" spans="2:53" x14ac:dyDescent="0.2">
      <c r="B6" s="321" t="s">
        <v>460</v>
      </c>
      <c r="C6" s="322">
        <f>AEA</f>
        <v>5999.9999999999991</v>
      </c>
      <c r="D6" s="323" t="s">
        <v>30</v>
      </c>
      <c r="E6" s="324" t="s">
        <v>486</v>
      </c>
      <c r="F6" s="402">
        <f>mc</f>
        <v>1.5624284931506849</v>
      </c>
      <c r="G6" s="414"/>
      <c r="H6" s="416"/>
      <c r="I6" s="329"/>
      <c r="J6" s="327"/>
      <c r="K6" s="399"/>
      <c r="L6" s="328"/>
      <c r="M6" s="329"/>
      <c r="N6" s="327"/>
      <c r="O6" s="426"/>
      <c r="P6" s="329"/>
      <c r="Q6" s="399" t="s">
        <v>461</v>
      </c>
      <c r="R6" s="328">
        <f>180/Pi</f>
        <v>57.295779513082323</v>
      </c>
      <c r="S6" s="329"/>
      <c r="T6"/>
      <c r="U6"/>
      <c r="V6"/>
      <c r="AF6" s="630"/>
      <c r="AH6" s="628"/>
      <c r="AV6" s="723" t="s">
        <v>50</v>
      </c>
      <c r="AW6" s="723"/>
    </row>
    <row r="7" spans="2:53" ht="13.5" thickBot="1" x14ac:dyDescent="0.25">
      <c r="B7" s="395" t="s">
        <v>581</v>
      </c>
      <c r="C7" s="401">
        <f>Fp2_u</f>
        <v>1579.9437757626504</v>
      </c>
      <c r="D7" s="397" t="s">
        <v>10</v>
      </c>
      <c r="E7" s="396" t="s">
        <v>463</v>
      </c>
      <c r="F7" s="398">
        <f>k</f>
        <v>1.146633743280969</v>
      </c>
      <c r="G7" s="398"/>
      <c r="H7" s="417"/>
      <c r="I7" s="397"/>
      <c r="J7" s="396"/>
      <c r="K7" s="396"/>
      <c r="L7" s="396"/>
      <c r="M7" s="397"/>
      <c r="N7" s="396"/>
      <c r="O7" s="396"/>
      <c r="P7" s="397"/>
      <c r="Q7" s="396" t="s">
        <v>1197</v>
      </c>
      <c r="R7" s="396">
        <f>20*LOG(Adc)</f>
        <v>82.518033261337521</v>
      </c>
      <c r="S7" s="397" t="s">
        <v>856</v>
      </c>
      <c r="T7"/>
      <c r="U7"/>
      <c r="V7"/>
      <c r="AF7" s="630"/>
      <c r="AV7" s="405" t="s">
        <v>478</v>
      </c>
      <c r="AX7" s="405" t="s">
        <v>920</v>
      </c>
    </row>
    <row r="8" spans="2:53" x14ac:dyDescent="0.2">
      <c r="B8" s="403"/>
      <c r="C8" s="403"/>
      <c r="D8" s="403"/>
      <c r="E8" s="404"/>
      <c r="I8" s="406"/>
      <c r="J8" s="406"/>
      <c r="K8" s="406"/>
      <c r="L8" s="406"/>
      <c r="M8" s="406"/>
      <c r="N8" s="406"/>
      <c r="O8" s="406"/>
      <c r="P8" s="406"/>
      <c r="Q8" s="406"/>
      <c r="R8" s="406"/>
      <c r="S8" s="406"/>
      <c r="T8" s="406"/>
      <c r="AV8" s="405" t="s">
        <v>47</v>
      </c>
      <c r="AW8" s="405">
        <f>SUM(AV12:AV613)</f>
        <v>16312.5</v>
      </c>
      <c r="AX8" s="405" t="s">
        <v>47</v>
      </c>
      <c r="AY8" s="405">
        <f>SUM(AX12:AX613)</f>
        <v>93325</v>
      </c>
    </row>
    <row r="9" spans="2:53" ht="13.5" thickBot="1" x14ac:dyDescent="0.25">
      <c r="AV9" s="405" t="s">
        <v>48</v>
      </c>
      <c r="AW9" s="353">
        <f>SUM(AW13:AW613)</f>
        <v>0.39315454548278694</v>
      </c>
      <c r="AX9" s="405" t="s">
        <v>48</v>
      </c>
      <c r="AY9" s="353">
        <f>SUM(AY13:AY613)</f>
        <v>-89.039779251092654</v>
      </c>
      <c r="BA9" s="353"/>
    </row>
    <row r="10" spans="2:53" ht="15" x14ac:dyDescent="0.25">
      <c r="B10" s="906" t="s">
        <v>591</v>
      </c>
      <c r="C10" s="909" t="s">
        <v>465</v>
      </c>
      <c r="D10" s="910"/>
      <c r="E10" s="910"/>
      <c r="F10" s="910"/>
      <c r="G10" s="910"/>
      <c r="H10" s="910"/>
      <c r="I10" s="910"/>
      <c r="J10" s="910"/>
      <c r="K10" s="910"/>
      <c r="L10" s="910"/>
      <c r="M10" s="910"/>
      <c r="N10" s="910"/>
      <c r="O10" s="910"/>
      <c r="P10" s="910"/>
      <c r="Q10" s="910"/>
      <c r="R10" s="911"/>
      <c r="S10" s="909" t="s">
        <v>466</v>
      </c>
      <c r="T10" s="910"/>
      <c r="U10" s="910"/>
      <c r="V10" s="910"/>
      <c r="W10" s="910"/>
      <c r="X10" s="910"/>
      <c r="Y10" s="910"/>
      <c r="Z10" s="910"/>
      <c r="AA10" s="910"/>
      <c r="AB10" s="910"/>
      <c r="AC10" s="910"/>
      <c r="AD10" s="910"/>
      <c r="AE10" s="911"/>
      <c r="AF10" s="720"/>
      <c r="AG10" s="915" t="s">
        <v>468</v>
      </c>
      <c r="AH10" s="916"/>
      <c r="AI10" s="917"/>
      <c r="AL10" s="918" t="s">
        <v>469</v>
      </c>
      <c r="AM10" s="919"/>
      <c r="AO10" s="918" t="s">
        <v>470</v>
      </c>
      <c r="AP10" s="919"/>
    </row>
    <row r="11" spans="2:53" ht="13.15" customHeight="1" x14ac:dyDescent="0.2">
      <c r="B11" s="907"/>
      <c r="D11" s="912" t="s">
        <v>576</v>
      </c>
      <c r="E11" s="913"/>
      <c r="F11" s="914"/>
      <c r="G11" s="912" t="s">
        <v>577</v>
      </c>
      <c r="H11" s="913"/>
      <c r="I11" s="914"/>
      <c r="J11" s="912" t="s">
        <v>578</v>
      </c>
      <c r="K11" s="913"/>
      <c r="L11" s="914"/>
      <c r="M11" s="912" t="s">
        <v>467</v>
      </c>
      <c r="N11" s="913"/>
      <c r="O11" s="914"/>
      <c r="P11" s="912" t="s">
        <v>49</v>
      </c>
      <c r="Q11" s="913"/>
      <c r="R11" s="914"/>
      <c r="S11" s="724"/>
      <c r="T11" s="913" t="s">
        <v>454</v>
      </c>
      <c r="U11" s="913"/>
      <c r="V11" s="920"/>
      <c r="W11" s="921" t="s">
        <v>449</v>
      </c>
      <c r="X11" s="913"/>
      <c r="Y11" s="914"/>
      <c r="Z11" s="912" t="s">
        <v>457</v>
      </c>
      <c r="AA11" s="913"/>
      <c r="AB11" s="914"/>
      <c r="AC11" s="912" t="s">
        <v>49</v>
      </c>
      <c r="AD11" s="913"/>
      <c r="AE11" s="914"/>
      <c r="AF11" s="717"/>
      <c r="AG11" s="326"/>
      <c r="AH11" s="322"/>
      <c r="AI11" s="358"/>
      <c r="AL11" s="324"/>
      <c r="AM11" s="323"/>
      <c r="AO11" s="324"/>
      <c r="AP11" s="323"/>
    </row>
    <row r="12" spans="2:53" ht="13.5" thickBot="1" x14ac:dyDescent="0.25">
      <c r="B12" s="908"/>
      <c r="C12" s="725" t="s">
        <v>1198</v>
      </c>
      <c r="D12" s="331" t="s">
        <v>1199</v>
      </c>
      <c r="E12" s="332" t="s">
        <v>471</v>
      </c>
      <c r="F12" s="332" t="s">
        <v>472</v>
      </c>
      <c r="G12" s="331" t="s">
        <v>1199</v>
      </c>
      <c r="H12" s="332" t="s">
        <v>471</v>
      </c>
      <c r="I12" s="332" t="s">
        <v>472</v>
      </c>
      <c r="J12" s="331" t="s">
        <v>1199</v>
      </c>
      <c r="K12" s="332" t="s">
        <v>471</v>
      </c>
      <c r="L12" s="332" t="s">
        <v>472</v>
      </c>
      <c r="M12" s="331" t="s">
        <v>1199</v>
      </c>
      <c r="N12" s="332" t="s">
        <v>471</v>
      </c>
      <c r="O12" s="332" t="s">
        <v>472</v>
      </c>
      <c r="P12" s="331" t="s">
        <v>1199</v>
      </c>
      <c r="Q12" s="332" t="s">
        <v>471</v>
      </c>
      <c r="R12" s="333" t="s">
        <v>472</v>
      </c>
      <c r="S12" s="725" t="s">
        <v>1200</v>
      </c>
      <c r="T12" s="331" t="s">
        <v>1199</v>
      </c>
      <c r="U12" s="332" t="s">
        <v>471</v>
      </c>
      <c r="V12" s="332" t="s">
        <v>472</v>
      </c>
      <c r="W12" s="331" t="s">
        <v>1199</v>
      </c>
      <c r="X12" s="332" t="s">
        <v>471</v>
      </c>
      <c r="Y12" s="332" t="s">
        <v>472</v>
      </c>
      <c r="Z12" s="331" t="s">
        <v>1199</v>
      </c>
      <c r="AA12" s="332" t="s">
        <v>471</v>
      </c>
      <c r="AB12" s="332" t="s">
        <v>472</v>
      </c>
      <c r="AC12" s="331" t="s">
        <v>1199</v>
      </c>
      <c r="AD12" s="332" t="s">
        <v>471</v>
      </c>
      <c r="AE12" s="332" t="s">
        <v>472</v>
      </c>
      <c r="AF12" s="331" t="s">
        <v>1199</v>
      </c>
      <c r="AG12" s="726" t="s">
        <v>474</v>
      </c>
      <c r="AH12" s="332" t="s">
        <v>984</v>
      </c>
      <c r="AI12" s="359" t="s">
        <v>473</v>
      </c>
      <c r="AL12" s="334" t="s">
        <v>474</v>
      </c>
      <c r="AM12" s="335" t="s">
        <v>475</v>
      </c>
      <c r="AN12" s="727"/>
      <c r="AO12" s="334" t="s">
        <v>474</v>
      </c>
      <c r="AP12" s="335" t="s">
        <v>475</v>
      </c>
      <c r="AS12" s="727"/>
      <c r="AT12" s="727"/>
    </row>
    <row r="13" spans="2:53" ht="13.5" thickBot="1" x14ac:dyDescent="0.25">
      <c r="B13" s="336">
        <v>1</v>
      </c>
      <c r="C13" s="728" t="str">
        <f t="shared" ref="C13:C76" si="0">COMPLEX(Am*Afb,0)</f>
        <v>2.2271548443541</v>
      </c>
      <c r="D13" s="728" t="str">
        <f t="shared" ref="D13:D76" si="1">IMSUM(COMPLEX(1,0),IMDIV(COMPLEX(0,2*PI()*B13),COMPLEX(2*PI()*PS_Pole1,0)))</f>
        <v>1+0.000764454212373517i</v>
      </c>
      <c r="E13" s="337">
        <f>IMABS(D13)</f>
        <v>1.0000002921950788</v>
      </c>
      <c r="F13" s="338">
        <f>IMARGUMENT(D13)</f>
        <v>7.64454063460375E-4</v>
      </c>
      <c r="G13" s="338" t="str">
        <f t="shared" ref="G13:G76" si="2">IMSUM(COMPLEX(1,0),IMDIV(COMPLEX(0,2*PI()*B13),COMPLEX(2*PI()*PS_Zero1,0)))</f>
        <v>1+0.0000031415926535898i</v>
      </c>
      <c r="H13" s="337">
        <f>IMABS(G13)</f>
        <v>1.0000000000049347</v>
      </c>
      <c r="I13" s="338">
        <f>IMARGUMENT(G13)</f>
        <v>3.1415926535794646E-6</v>
      </c>
      <c r="J13" s="340">
        <f t="shared" ref="J13:J76" si="3">IF(VIN_nom&gt;Vout, 1,IMSUB(COMPLEX(1,0),IMDIV(COMPLEX(0,2*PI()*B13),COMPLEX(2*PI()*PS_RHPZ,0))))</f>
        <v>1</v>
      </c>
      <c r="K13" s="729">
        <f>IMABS(J13)</f>
        <v>1</v>
      </c>
      <c r="L13" s="730">
        <f>IMARGUMENT(J13)</f>
        <v>0</v>
      </c>
      <c r="M13" s="731" t="str">
        <f t="shared" ref="M13:M76" si="4">IMSUM(COMPLEX(1,0),IMDIV(COMPLEX(0,2*PI()*B13),COMPLEX(Q*(2*PI()*PS_Pole2/2),0)),IMDIV(IMPOWER(COMPLEX(0,2*PI()*B13),2),IMPOWER(COMPLEX(2*PI()*PS_Pole2/2,0),2)))</f>
        <v>0.999999999955556+0.0000135430654496984i</v>
      </c>
      <c r="N13" s="729">
        <f>IMABS(M13)</f>
        <v>1.0000000000472633</v>
      </c>
      <c r="O13" s="730">
        <f>IMARGUMENT(M13)</f>
        <v>1.3543065449472309E-5</v>
      </c>
      <c r="P13" s="732" t="str">
        <f>(IMDIV(IMPRODUCT(C13,G13,J13),IMPRODUCT(D13,M13)))</f>
        <v>2.22715352490345-0.00172572258423936i</v>
      </c>
      <c r="Q13" s="337">
        <f>IMABS(P13)</f>
        <v>2.2271541934963328</v>
      </c>
      <c r="R13" s="730">
        <f>IMARGUMENT(P13)</f>
        <v>-7.7485553625626755E-4</v>
      </c>
      <c r="S13" s="731" t="str">
        <f t="shared" ref="S13:S76" si="5">COMPLEX(AEA,0)</f>
        <v>6000</v>
      </c>
      <c r="T13" s="733" t="str">
        <f t="shared" ref="T13:T76" si="6">IMSUM(COMPLEX(1,0),IMDIV(COMPLEX(0,2*PI()*B13),COMPLEX(2*PI()*EA_Pole1,0)))</f>
        <v>1+6.34601716025139i</v>
      </c>
      <c r="U13" s="734">
        <f>IMABS(T13)</f>
        <v>6.424323606279895</v>
      </c>
      <c r="V13" s="735">
        <f>IMARGUMENT(T13)</f>
        <v>1.4145023736411506</v>
      </c>
      <c r="W13" s="340" t="str">
        <f t="shared" ref="W13:W76" si="7">IMSUM(COMPLEX(1,0),IMDIV(COMPLEX(0,2*PI()*B13),COMPLEX(2*PI()*EA_Zero1,0)))</f>
        <v>1+0.0628318530717959i</v>
      </c>
      <c r="X13" s="734">
        <f>IMABS(W13)</f>
        <v>1.0019719765344917</v>
      </c>
      <c r="Y13" s="735">
        <f>IMARGUMENT(W13)</f>
        <v>6.2749364969321514E-2</v>
      </c>
      <c r="Z13" s="733" t="str">
        <f t="shared" ref="Z13:Z76" si="8">IMSUM(COMPLEX(1,0),IMDIV(COMPLEX(0,2*PI()*B13),COMPLEX(2*PI()*EA_Pole2,0)))</f>
        <v>1+0.000632933915333344i</v>
      </c>
      <c r="AA13" s="734">
        <f>IMABS(Z13)</f>
        <v>1.0000002003026505</v>
      </c>
      <c r="AB13" s="735">
        <f>IMARGUMENT(Z13)</f>
        <v>6.3293383081446195E-4</v>
      </c>
      <c r="AC13" s="732" t="str">
        <f>IMPRODUCT(S13,IMDIV(W13,IMPRODUCT(T13,Z13)))</f>
        <v>202.765582751726-913.560502215312i</v>
      </c>
      <c r="AD13" s="337">
        <f>IMABS(AC13)</f>
        <v>935.79200293470149</v>
      </c>
      <c r="AE13" s="730">
        <f>IMARGUMENT(AC13)</f>
        <v>-1.3523859425026448</v>
      </c>
      <c r="AF13" s="736" t="str">
        <f t="shared" ref="AF13:AF76" si="9">IMPRODUCT(P13,AC13)</f>
        <v>450.013530363867-2034.98940986686i</v>
      </c>
      <c r="AG13" s="337">
        <f>20*LOG10(IMABS(AF13))</f>
        <v>66.378592305129189</v>
      </c>
      <c r="AH13" s="730">
        <f>(180/PI())*IMARGUMENT(AF13)</f>
        <v>-77.530402730183383</v>
      </c>
      <c r="AI13" s="360">
        <f t="shared" ref="AI13:AI76" si="10">IF(AH13&gt;0,AH13-180,AH13+180)</f>
        <v>102.46959726981662</v>
      </c>
      <c r="AL13" s="337">
        <f t="shared" ref="AL13:AL76" si="11">20*LOG10(IMABS(AC13))</f>
        <v>59.423586589806057</v>
      </c>
      <c r="AM13" s="730">
        <f t="shared" ref="AM13:AM76" si="12">(180/PI())*IMARGUMENT(AC13)</f>
        <v>-77.486006778223569</v>
      </c>
      <c r="AN13" s="351"/>
      <c r="AO13" s="337">
        <f t="shared" ref="AO13:AO76" si="13">20*LOG10(IMABS(IMPRODUCT(COMPLEX(Am/Afb,0),P13)))</f>
        <v>60.484128200365248</v>
      </c>
      <c r="AP13" s="730">
        <f t="shared" ref="AP13:AP76" si="14">180/PI()*IMARGUMENT(IMPRODUCT(COMPLEX(Am/Afb,0),P13))</f>
        <v>-4.4395951959830392E-2</v>
      </c>
      <c r="AS13" s="351"/>
      <c r="AT13" s="351"/>
      <c r="AV13" s="405">
        <f t="shared" ref="AV13:AV76" si="15">SUM((AG14&lt;0)*(AG13&gt;0))*B13</f>
        <v>0</v>
      </c>
      <c r="AW13" s="405">
        <f t="shared" ref="AW13:AW76" si="16">IF(AV13&gt;0,AI11,0)</f>
        <v>0</v>
      </c>
      <c r="AX13" s="405">
        <f t="shared" ref="AX13:AX76" si="17">SUM((AL14&lt;0)*(AL13&gt;0))*B13</f>
        <v>0</v>
      </c>
      <c r="AY13" s="405">
        <f t="shared" ref="AY13:AY76" si="18">IF(AX13&gt;0,AM13,0)</f>
        <v>0</v>
      </c>
    </row>
    <row r="14" spans="2:53" ht="13.5" thickBot="1" x14ac:dyDescent="0.25">
      <c r="B14" s="345">
        <v>1.0965</v>
      </c>
      <c r="C14" s="728" t="str">
        <f t="shared" si="0"/>
        <v>2.2271548443541</v>
      </c>
      <c r="D14" s="728" t="str">
        <f t="shared" si="1"/>
        <v>1+0.000838224043867561i</v>
      </c>
      <c r="E14" s="337">
        <f>IMABS(D14)</f>
        <v>1.0000003513097122</v>
      </c>
      <c r="F14" s="338">
        <f>IMARGUMENT(D14)</f>
        <v>8.3822384755011085E-4</v>
      </c>
      <c r="G14" s="338" t="str">
        <f t="shared" si="2"/>
        <v>1+3.44475634466121E-06i</v>
      </c>
      <c r="H14" s="337">
        <f>IMABS(G14)</f>
        <v>1.000000000005933</v>
      </c>
      <c r="I14" s="338">
        <f>IMARGUMENT(G14)</f>
        <v>3.4447563446475847E-6</v>
      </c>
      <c r="J14" s="340">
        <f t="shared" si="3"/>
        <v>1</v>
      </c>
      <c r="K14" s="338">
        <f>IMABS(J14)</f>
        <v>1</v>
      </c>
      <c r="L14" s="339">
        <f>IMARGUMENT(J14)</f>
        <v>0</v>
      </c>
      <c r="M14" s="731" t="str">
        <f t="shared" si="4"/>
        <v>0.999999999946564+0.0000148499712655943i</v>
      </c>
      <c r="N14" s="338">
        <f>IMABS(M14)</f>
        <v>1.0000000000568248</v>
      </c>
      <c r="O14" s="339">
        <f>IMARGUMENT(M14)</f>
        <v>1.4849971265296244E-5</v>
      </c>
      <c r="P14" s="732" t="str">
        <f t="shared" ref="P14:P77" si="19">(IMDIV(IMPRODUCT(C14,G14,J14),IMPRODUCT(D14,M14)))</f>
        <v>2.22715325796261-0.00189225458986181i</v>
      </c>
      <c r="Q14" s="337">
        <f>IMABS(P14)</f>
        <v>2.2271540618199048</v>
      </c>
      <c r="R14" s="339">
        <f>IMARGUMENT(P14)</f>
        <v>-8.49629062470759E-4</v>
      </c>
      <c r="S14" s="731" t="str">
        <f t="shared" si="5"/>
        <v>6000</v>
      </c>
      <c r="T14" s="337" t="str">
        <f t="shared" si="6"/>
        <v>1+6.95840781621565i</v>
      </c>
      <c r="U14" s="346">
        <f>IMABS(T14)</f>
        <v>7.0298961113782505</v>
      </c>
      <c r="V14" s="347">
        <f>IMARGUMENT(T14)</f>
        <v>1.4280625565931209</v>
      </c>
      <c r="W14" s="340" t="str">
        <f t="shared" si="7"/>
        <v>1+0.0688951268932242i</v>
      </c>
      <c r="X14" s="337">
        <f>IMABS(W14)</f>
        <v>1.0023704597151861</v>
      </c>
      <c r="Y14" s="339">
        <f>IMARGUMENT(W14)</f>
        <v>6.8786431823268185E-2</v>
      </c>
      <c r="Z14" s="337" t="str">
        <f t="shared" si="8"/>
        <v>1+0.000694012038163012i</v>
      </c>
      <c r="AA14" s="346">
        <f>IMABS(Z14)</f>
        <v>1.0000002408263255</v>
      </c>
      <c r="AB14" s="347">
        <f>IMARGUMENT(Z14)</f>
        <v>6.9401192673878469E-4</v>
      </c>
      <c r="AC14" s="732" t="str">
        <f>IMPRODUCT(S14,IMDIV(W14,IMPRODUCT(T14,Z14)))</f>
        <v>179.03298308507-836.578016824602i</v>
      </c>
      <c r="AD14" s="337">
        <f>IMABS(AC14)</f>
        <v>855.52065274107963</v>
      </c>
      <c r="AE14" s="339">
        <f>IMARGUMENT(AC14)</f>
        <v>-1.3599701366965911</v>
      </c>
      <c r="AF14" s="736" t="str">
        <f t="shared" si="9"/>
        <v>397.150872968565-1863.52623169479i</v>
      </c>
      <c r="AG14" s="337">
        <f>20*LOG10(IMABS(AF14))</f>
        <v>65.599615164032357</v>
      </c>
      <c r="AH14" s="730">
        <f>(180/PI())*IMARGUMENT(AF14)</f>
        <v>-77.969229255975534</v>
      </c>
      <c r="AI14" s="360">
        <f t="shared" si="10"/>
        <v>102.03077074402447</v>
      </c>
      <c r="AL14" s="337">
        <f t="shared" si="11"/>
        <v>58.644609962246612</v>
      </c>
      <c r="AM14" s="730">
        <f t="shared" si="12"/>
        <v>-77.920549096544306</v>
      </c>
      <c r="AN14" s="351"/>
      <c r="AO14" s="337">
        <f t="shared" si="13"/>
        <v>60.484127686827868</v>
      </c>
      <c r="AP14" s="730">
        <f t="shared" si="14"/>
        <v>-4.8680159431231503E-2</v>
      </c>
      <c r="AS14" s="351"/>
      <c r="AT14" s="351"/>
      <c r="AV14" s="405">
        <f t="shared" si="15"/>
        <v>0</v>
      </c>
      <c r="AW14" s="405">
        <f t="shared" si="16"/>
        <v>0</v>
      </c>
      <c r="AX14" s="405">
        <f t="shared" si="17"/>
        <v>0</v>
      </c>
      <c r="AY14" s="405">
        <f t="shared" si="18"/>
        <v>0</v>
      </c>
    </row>
    <row r="15" spans="2:53" ht="13.5" thickBot="1" x14ac:dyDescent="0.25">
      <c r="B15" s="345">
        <v>1.2022999999999999</v>
      </c>
      <c r="C15" s="728" t="str">
        <f t="shared" si="0"/>
        <v>2.2271548443541</v>
      </c>
      <c r="D15" s="728" t="str">
        <f t="shared" si="1"/>
        <v>1+0.000919103299536679i</v>
      </c>
      <c r="E15" s="337">
        <f>IMABS(D15)</f>
        <v>1.0000004223753485</v>
      </c>
      <c r="F15" s="338">
        <f>IMARGUMENT(D15)</f>
        <v>9.1910304073237125E-4</v>
      </c>
      <c r="G15" s="338" t="str">
        <f t="shared" si="2"/>
        <v>1+3.77713684741101E-06i</v>
      </c>
      <c r="H15" s="337">
        <f>IMABS(G15)</f>
        <v>1.0000000000071334</v>
      </c>
      <c r="I15" s="338">
        <f>IMARGUMENT(G15)</f>
        <v>3.7771368473930476E-6</v>
      </c>
      <c r="J15" s="340">
        <f t="shared" si="3"/>
        <v>1</v>
      </c>
      <c r="K15" s="338">
        <f>IMABS(J15)</f>
        <v>1</v>
      </c>
      <c r="L15" s="339">
        <f>IMARGUMENT(J15)</f>
        <v>0</v>
      </c>
      <c r="M15" s="731" t="str">
        <f t="shared" si="4"/>
        <v>0.999999999935754+0.0000162828275901724i</v>
      </c>
      <c r="N15" s="338">
        <f>IMABS(M15)</f>
        <v>1.0000000000683191</v>
      </c>
      <c r="O15" s="339">
        <f>IMARGUMENT(M15)</f>
        <v>1.6282827589779483E-5</v>
      </c>
      <c r="P15" s="732" t="str">
        <f t="shared" si="19"/>
        <v>2.22715293705532-0.00207483572273682i</v>
      </c>
      <c r="Q15" s="337">
        <f>IMABS(P15)</f>
        <v>2.2271539035229275</v>
      </c>
      <c r="R15" s="339">
        <f>IMARGUMENT(P15)</f>
        <v>-9.3160873147475772E-4</v>
      </c>
      <c r="S15" s="731" t="str">
        <f t="shared" si="5"/>
        <v>6000</v>
      </c>
      <c r="T15" s="337" t="str">
        <f t="shared" si="6"/>
        <v>1+7.62981643177024i</v>
      </c>
      <c r="U15" s="346">
        <f>IMABS(T15)</f>
        <v>7.6950697711269092</v>
      </c>
      <c r="V15" s="347">
        <f>IMARGUMENT(T15)</f>
        <v>1.4404744086897907</v>
      </c>
      <c r="W15" s="340" t="str">
        <f t="shared" si="7"/>
        <v>1+0.0755427369482202i</v>
      </c>
      <c r="X15" s="337">
        <f>IMABS(W15)</f>
        <v>1.002849293316612</v>
      </c>
      <c r="Y15" s="339">
        <f>IMARGUMENT(W15)</f>
        <v>7.5399526942825895E-2</v>
      </c>
      <c r="Z15" s="337" t="str">
        <f t="shared" si="8"/>
        <v>1+0.000760976446405279i</v>
      </c>
      <c r="AA15" s="346">
        <f>IMABS(Z15)</f>
        <v>1.0000002895425342</v>
      </c>
      <c r="AB15" s="347">
        <f>IMARGUMENT(Z15)</f>
        <v>7.6097629951527631E-4</v>
      </c>
      <c r="AC15" s="732" t="str">
        <f>IMPRODUCT(S15,IMDIV(W15,IMPRODUCT(T15,Z15)))</f>
        <v>159.147336267863-765.574658148012i</v>
      </c>
      <c r="AD15" s="337">
        <f>IMABS(AC15)</f>
        <v>781.9414503910134</v>
      </c>
      <c r="AE15" s="339">
        <f>IMARGUMENT(AC15)</f>
        <v>-1.3658358580464807</v>
      </c>
      <c r="AF15" s="736" t="str">
        <f t="shared" si="9"/>
        <v>352.857015744354-1705.38205300793i</v>
      </c>
      <c r="AG15" s="337">
        <f>20*LOG10(IMABS(AF15))</f>
        <v>64.818489294626332</v>
      </c>
      <c r="AH15" s="730">
        <f>(180/PI())*IMARGUMENT(AF15)</f>
        <v>-78.310007422163778</v>
      </c>
      <c r="AI15" s="360">
        <f t="shared" si="10"/>
        <v>101.68999257783622</v>
      </c>
      <c r="AL15" s="337">
        <f t="shared" si="11"/>
        <v>57.863484710198058</v>
      </c>
      <c r="AM15" s="730">
        <f t="shared" si="12"/>
        <v>-78.256630173692756</v>
      </c>
      <c r="AN15" s="351"/>
      <c r="AO15" s="337">
        <f t="shared" si="13"/>
        <v>60.484127069470446</v>
      </c>
      <c r="AP15" s="730">
        <f t="shared" si="14"/>
        <v>-5.3377248471039987E-2</v>
      </c>
      <c r="AS15" s="351"/>
      <c r="AT15" s="351"/>
      <c r="AV15" s="405">
        <f t="shared" si="15"/>
        <v>0</v>
      </c>
      <c r="AW15" s="405">
        <f t="shared" si="16"/>
        <v>0</v>
      </c>
      <c r="AX15" s="405">
        <f t="shared" si="17"/>
        <v>0</v>
      </c>
      <c r="AY15" s="405">
        <f t="shared" si="18"/>
        <v>0</v>
      </c>
    </row>
    <row r="16" spans="2:53" ht="12" customHeight="1" thickBot="1" x14ac:dyDescent="0.25">
      <c r="B16" s="345">
        <v>1.3183</v>
      </c>
      <c r="C16" s="728" t="str">
        <f t="shared" si="0"/>
        <v>2.2271548443541</v>
      </c>
      <c r="D16" s="728" t="str">
        <f t="shared" si="1"/>
        <v>1+0.00100777998817201i</v>
      </c>
      <c r="E16" s="337">
        <f>IMABS(D16)</f>
        <v>1.0000005078101233</v>
      </c>
      <c r="F16" s="338">
        <f>IMARGUMENT(D16)</f>
        <v>1.0077796469982112E-3</v>
      </c>
      <c r="G16" s="338" t="str">
        <f t="shared" si="2"/>
        <v>1+4.14156159522742E-06i</v>
      </c>
      <c r="H16" s="337">
        <f>IMABS(G16)</f>
        <v>1.0000000000085763</v>
      </c>
      <c r="I16" s="338">
        <f>IMARGUMENT(G16)</f>
        <v>4.1415615952037402E-6</v>
      </c>
      <c r="J16" s="340">
        <f t="shared" si="3"/>
        <v>1</v>
      </c>
      <c r="K16" s="338">
        <f>IMABS(J16)</f>
        <v>1</v>
      </c>
      <c r="L16" s="339">
        <f>IMARGUMENT(J16)</f>
        <v>0</v>
      </c>
      <c r="M16" s="731" t="str">
        <f t="shared" si="4"/>
        <v>0.999999999922759+0.0000178538231823374i</v>
      </c>
      <c r="N16" s="338">
        <f>IMABS(M16)</f>
        <v>1.0000000000821387</v>
      </c>
      <c r="O16" s="339">
        <f>IMARGUMENT(M16)</f>
        <v>1.7853823181819425E-5</v>
      </c>
      <c r="P16" s="732" t="str">
        <f t="shared" si="19"/>
        <v>2.22715255126216-0.00227501910158473i</v>
      </c>
      <c r="Q16" s="337">
        <f>IMABS(P16)</f>
        <v>2.2271537132190633</v>
      </c>
      <c r="R16" s="339">
        <f>IMARGUMENT(P16)</f>
        <v>-1.0214919085848313E-3</v>
      </c>
      <c r="S16" s="731" t="str">
        <f t="shared" si="5"/>
        <v>6000</v>
      </c>
      <c r="T16" s="337" t="str">
        <f t="shared" si="6"/>
        <v>1+8.3659544223594i</v>
      </c>
      <c r="U16" s="346">
        <f>IMABS(T16)</f>
        <v>8.4255084948621821</v>
      </c>
      <c r="V16" s="347">
        <f>IMARGUMENT(T16)</f>
        <v>1.4518286960193363</v>
      </c>
      <c r="W16" s="340" t="str">
        <f t="shared" si="7"/>
        <v>1+0.0828312319045485i</v>
      </c>
      <c r="X16" s="337">
        <f>IMABS(W16)</f>
        <v>1.0034246424016231</v>
      </c>
      <c r="Y16" s="339">
        <f>IMARGUMENT(W16)</f>
        <v>8.2642572548559362E-2</v>
      </c>
      <c r="Z16" s="337" t="str">
        <f t="shared" si="8"/>
        <v>1+0.000834396780583947i</v>
      </c>
      <c r="AA16" s="346">
        <f>IMABS(Z16)</f>
        <v>1.0000003481089332</v>
      </c>
      <c r="AB16" s="347">
        <f>IMARGUMENT(Z16)</f>
        <v>8.3439658694334543E-4</v>
      </c>
      <c r="AC16" s="732" t="str">
        <f>IMPRODUCT(S16,IMDIV(W16,IMPRODUCT(T16,Z16)))</f>
        <v>142.504765443745-700.207704453384i</v>
      </c>
      <c r="AD16" s="337">
        <f>IMABS(AC16)</f>
        <v>714.5617101063101</v>
      </c>
      <c r="AE16" s="339">
        <f>IMARGUMENT(AC16)</f>
        <v>-1.3700205200577189</v>
      </c>
      <c r="AF16" s="736" t="str">
        <f t="shared" si="9"/>
        <v>315.786866022344-1559.79357645023i</v>
      </c>
      <c r="AG16" s="337">
        <f>20*LOG10(IMABS(AF16))</f>
        <v>64.035798657376347</v>
      </c>
      <c r="AH16" s="730">
        <f>(180/PI())*IMARGUMENT(AF16)</f>
        <v>-78.554920820794152</v>
      </c>
      <c r="AI16" s="360">
        <f t="shared" si="10"/>
        <v>101.44507917920585</v>
      </c>
      <c r="AL16" s="337">
        <f t="shared" si="11"/>
        <v>57.080794815132222</v>
      </c>
      <c r="AM16" s="730">
        <f t="shared" si="12"/>
        <v>-78.496393645625446</v>
      </c>
      <c r="AN16" s="351"/>
      <c r="AO16" s="337">
        <f t="shared" si="13"/>
        <v>60.484126327286248</v>
      </c>
      <c r="AP16" s="730">
        <f t="shared" si="14"/>
        <v>-5.8527175168674138E-2</v>
      </c>
      <c r="AS16" s="351"/>
      <c r="AT16" s="351"/>
      <c r="AV16" s="405">
        <f t="shared" si="15"/>
        <v>0</v>
      </c>
      <c r="AW16" s="405">
        <f t="shared" si="16"/>
        <v>0</v>
      </c>
      <c r="AX16" s="405">
        <f t="shared" si="17"/>
        <v>0</v>
      </c>
      <c r="AY16" s="405">
        <f t="shared" si="18"/>
        <v>0</v>
      </c>
    </row>
    <row r="17" spans="2:51" ht="13.5" thickBot="1" x14ac:dyDescent="0.25">
      <c r="B17" s="345">
        <v>1.4454</v>
      </c>
      <c r="C17" s="728" t="str">
        <f t="shared" si="0"/>
        <v>2.2271548443541</v>
      </c>
      <c r="D17" s="728" t="str">
        <f t="shared" si="1"/>
        <v>1+0.00110494211856468i</v>
      </c>
      <c r="E17" s="337">
        <f t="shared" ref="E17:E80" si="20">IMABS(D17)</f>
        <v>1.0000006104483563</v>
      </c>
      <c r="F17" s="338">
        <f t="shared" ref="F17:F80" si="21">IMARGUMENT(D17)</f>
        <v>1.1049416688914721E-3</v>
      </c>
      <c r="G17" s="338" t="str">
        <f t="shared" si="2"/>
        <v>1+4.54085802149868E-06i</v>
      </c>
      <c r="H17" s="337">
        <f t="shared" ref="H17:H80" si="22">IMABS(G17)</f>
        <v>1.0000000000103095</v>
      </c>
      <c r="I17" s="338">
        <f t="shared" ref="I17:I80" si="23">IMARGUMENT(G17)</f>
        <v>4.54085802146747E-6</v>
      </c>
      <c r="J17" s="340">
        <f t="shared" si="3"/>
        <v>1</v>
      </c>
      <c r="K17" s="338">
        <f t="shared" ref="K17:K80" si="24">IMABS(J17)</f>
        <v>1</v>
      </c>
      <c r="L17" s="339">
        <f t="shared" ref="L17:L80" si="25">IMARGUMENT(J17)</f>
        <v>0</v>
      </c>
      <c r="M17" s="731" t="str">
        <f t="shared" si="4"/>
        <v>0.999999999907147+0.0000195751468009941i</v>
      </c>
      <c r="N17" s="338">
        <f t="shared" ref="N17:N80" si="26">IMABS(M17)</f>
        <v>1.0000000000987401</v>
      </c>
      <c r="O17" s="339">
        <f t="shared" ref="O17:O80" si="27">IMARGUMENT(M17)</f>
        <v>1.95751468003114E-5</v>
      </c>
      <c r="P17" s="732" t="str">
        <f t="shared" si="19"/>
        <v>2.22715208778442-0.00249435783532327i</v>
      </c>
      <c r="Q17" s="337">
        <f t="shared" ref="Q17:Q80" si="28">IMABS(P17)</f>
        <v>2.227153484594969</v>
      </c>
      <c r="R17" s="339">
        <f t="shared" ref="R17:R80" si="29">IMARGUMENT(P17)</f>
        <v>-1.1199759576703181E-3</v>
      </c>
      <c r="S17" s="731" t="str">
        <f t="shared" si="5"/>
        <v>6000</v>
      </c>
      <c r="T17" s="337" t="str">
        <f t="shared" si="6"/>
        <v>1+9.17253320342734i</v>
      </c>
      <c r="U17" s="346">
        <f t="shared" ref="U17:U80" si="30">IMABS(T17)</f>
        <v>9.2268827546456347</v>
      </c>
      <c r="V17" s="347">
        <f t="shared" ref="V17:V80" si="31">IMARGUMENT(T17)</f>
        <v>1.4622040628769104</v>
      </c>
      <c r="W17" s="340" t="str">
        <f t="shared" si="7"/>
        <v>1+0.0908171604299737i</v>
      </c>
      <c r="X17" s="337">
        <f t="shared" ref="X17:X80" si="32">IMABS(W17)</f>
        <v>1.004115410014488</v>
      </c>
      <c r="Y17" s="339">
        <f t="shared" ref="Y17:Y80" si="33">IMARGUMENT(W17)</f>
        <v>9.0568709494642907E-2</v>
      </c>
      <c r="Z17" s="337" t="str">
        <f t="shared" si="8"/>
        <v>1+0.000914842681222814i</v>
      </c>
      <c r="AA17" s="346">
        <f t="shared" ref="AA17:AA80" si="34">IMABS(Z17)</f>
        <v>1.0000004184684781</v>
      </c>
      <c r="AB17" s="347">
        <f t="shared" ref="AB17:AB80" si="35">IMARGUMENT(Z17)</f>
        <v>9.1484242600100565E-4</v>
      </c>
      <c r="AC17" s="732" t="str">
        <f t="shared" ref="AC17:AC80" si="36">IMPRODUCT(S17,IMDIV(W17,IMPRODUCT(T17,Z17)))</f>
        <v>128.598512003041-640.16066622189i</v>
      </c>
      <c r="AD17" s="337">
        <f t="shared" ref="AD17:AD80" si="37">IMABS(AC17)</f>
        <v>652.94965798830947</v>
      </c>
      <c r="AE17" s="339">
        <f t="shared" ref="AE17:AE80" si="38">IMARGUMENT(AC17)</f>
        <v>-1.3725501958082689</v>
      </c>
      <c r="AF17" s="736" t="str">
        <f t="shared" si="9"/>
        <v>284.811654719886-1426.05593499957i</v>
      </c>
      <c r="AG17" s="337">
        <f t="shared" ref="AG17:AG80" si="39">20*LOG10(IMABS(AF17))</f>
        <v>63.252596925249307</v>
      </c>
      <c r="AH17" s="730">
        <f t="shared" ref="AH17:AH80" si="40">(180/PI())*IMARGUMENT(AF17)</f>
        <v>-78.705503285199157</v>
      </c>
      <c r="AI17" s="360">
        <f t="shared" si="10"/>
        <v>101.29449671480084</v>
      </c>
      <c r="AL17" s="337">
        <f t="shared" si="11"/>
        <v>56.297593974638225</v>
      </c>
      <c r="AM17" s="730">
        <f t="shared" si="12"/>
        <v>-78.641333389668546</v>
      </c>
      <c r="AN17" s="351"/>
      <c r="AO17" s="337">
        <f t="shared" si="13"/>
        <v>60.484125435653276</v>
      </c>
      <c r="AP17" s="730">
        <f t="shared" si="14"/>
        <v>-6.4169895530631252E-2</v>
      </c>
      <c r="AS17" s="351"/>
      <c r="AT17" s="351"/>
      <c r="AV17" s="405">
        <f t="shared" si="15"/>
        <v>0</v>
      </c>
      <c r="AW17" s="405">
        <f t="shared" si="16"/>
        <v>0</v>
      </c>
      <c r="AX17" s="405">
        <f t="shared" si="17"/>
        <v>0</v>
      </c>
      <c r="AY17" s="405">
        <f t="shared" si="18"/>
        <v>0</v>
      </c>
    </row>
    <row r="18" spans="2:51" ht="13.5" thickBot="1" x14ac:dyDescent="0.25">
      <c r="B18" s="345">
        <v>1.5849</v>
      </c>
      <c r="C18" s="728" t="str">
        <f t="shared" si="0"/>
        <v>2.2271548443541</v>
      </c>
      <c r="D18" s="728" t="str">
        <f t="shared" si="1"/>
        <v>1+0.00121158348119079i</v>
      </c>
      <c r="E18" s="337">
        <f t="shared" si="20"/>
        <v>1.0000007339669965</v>
      </c>
      <c r="F18" s="338">
        <f t="shared" si="21"/>
        <v>1.2115828883495687E-3</v>
      </c>
      <c r="G18" s="338" t="str">
        <f t="shared" si="2"/>
        <v>1+4.97911019667446E-06i</v>
      </c>
      <c r="H18" s="337">
        <f t="shared" si="22"/>
        <v>1.0000000000123959</v>
      </c>
      <c r="I18" s="338">
        <f t="shared" si="23"/>
        <v>4.9791101966333134E-6</v>
      </c>
      <c r="J18" s="340">
        <f t="shared" si="3"/>
        <v>1</v>
      </c>
      <c r="K18" s="338">
        <f t="shared" si="24"/>
        <v>1</v>
      </c>
      <c r="L18" s="339">
        <f t="shared" si="25"/>
        <v>0</v>
      </c>
      <c r="M18" s="731" t="str">
        <f t="shared" si="4"/>
        <v>0.99999999988836+0.000021464404431227i</v>
      </c>
      <c r="N18" s="338">
        <f t="shared" si="26"/>
        <v>1.0000000001187201</v>
      </c>
      <c r="O18" s="339">
        <f t="shared" si="27"/>
        <v>2.1464404430326922E-5</v>
      </c>
      <c r="P18" s="732" t="str">
        <f t="shared" si="19"/>
        <v>2.22715153001837-0.00273509530678667i</v>
      </c>
      <c r="Q18" s="337">
        <f t="shared" si="28"/>
        <v>2.2271532094603423</v>
      </c>
      <c r="R18" s="339">
        <f t="shared" si="29"/>
        <v>-1.2280681825832679E-3</v>
      </c>
      <c r="S18" s="731" t="str">
        <f t="shared" si="5"/>
        <v>6000</v>
      </c>
      <c r="T18" s="337" t="str">
        <f t="shared" si="6"/>
        <v>1+10.0578025972824i</v>
      </c>
      <c r="U18" s="346">
        <f t="shared" si="30"/>
        <v>10.107392991563184</v>
      </c>
      <c r="V18" s="347">
        <f t="shared" si="31"/>
        <v>1.471696720517123</v>
      </c>
      <c r="W18" s="340" t="str">
        <f t="shared" si="7"/>
        <v>1+0.0995822039334893i</v>
      </c>
      <c r="X18" s="337">
        <f t="shared" si="32"/>
        <v>1.0049460758370328</v>
      </c>
      <c r="Y18" s="339">
        <f t="shared" si="33"/>
        <v>9.9254975930842787E-2</v>
      </c>
      <c r="Z18" s="337" t="str">
        <f t="shared" si="8"/>
        <v>1+0.00100313696241182i</v>
      </c>
      <c r="AA18" s="346">
        <f t="shared" si="34"/>
        <v>1.000000503141756</v>
      </c>
      <c r="AB18" s="347">
        <f t="shared" si="35"/>
        <v>1.0031366259318764E-3</v>
      </c>
      <c r="AC18" s="732" t="str">
        <f t="shared" si="36"/>
        <v>116.969372633193-584.981053236647i</v>
      </c>
      <c r="AD18" s="337">
        <f t="shared" si="37"/>
        <v>596.56069832001128</v>
      </c>
      <c r="AE18" s="339">
        <f t="shared" si="38"/>
        <v>-1.3734448812122124</v>
      </c>
      <c r="AF18" s="736" t="str">
        <f t="shared" si="9"/>
        <v>258.908538292038-1303.16137012988i</v>
      </c>
      <c r="AG18" s="337">
        <f t="shared" si="39"/>
        <v>62.468094646744355</v>
      </c>
      <c r="AH18" s="730">
        <f t="shared" si="40"/>
        <v>-78.762958211122751</v>
      </c>
      <c r="AI18" s="360">
        <f t="shared" si="10"/>
        <v>101.23704178887725</v>
      </c>
      <c r="AL18" s="337">
        <f t="shared" si="11"/>
        <v>55.513092769157268</v>
      </c>
      <c r="AM18" s="730">
        <f t="shared" si="12"/>
        <v>-78.692595087306458</v>
      </c>
      <c r="AN18" s="351"/>
      <c r="AO18" s="337">
        <f t="shared" si="13"/>
        <v>60.484124362629252</v>
      </c>
      <c r="AP18" s="730">
        <f t="shared" si="14"/>
        <v>-7.0363123816322634E-2</v>
      </c>
      <c r="AS18" s="351"/>
      <c r="AT18" s="351"/>
      <c r="AV18" s="405">
        <f t="shared" si="15"/>
        <v>0</v>
      </c>
      <c r="AW18" s="405">
        <f t="shared" si="16"/>
        <v>0</v>
      </c>
      <c r="AX18" s="405">
        <f t="shared" si="17"/>
        <v>0</v>
      </c>
      <c r="AY18" s="405">
        <f t="shared" si="18"/>
        <v>0</v>
      </c>
    </row>
    <row r="19" spans="2:51" ht="13.5" thickBot="1" x14ac:dyDescent="0.25">
      <c r="B19" s="345">
        <v>1.7378</v>
      </c>
      <c r="C19" s="728" t="str">
        <f t="shared" si="0"/>
        <v>2.2271548443541</v>
      </c>
      <c r="D19" s="728" t="str">
        <f t="shared" si="1"/>
        <v>1+0.0013284685302627i</v>
      </c>
      <c r="E19" s="337">
        <f t="shared" si="20"/>
        <v>1.0000008824139286</v>
      </c>
      <c r="F19" s="338">
        <f t="shared" si="21"/>
        <v>1.3284677487570928E-3</v>
      </c>
      <c r="G19" s="338" t="str">
        <f t="shared" si="2"/>
        <v>1+5.45945971340835E-06i</v>
      </c>
      <c r="H19" s="337">
        <f t="shared" si="22"/>
        <v>1.0000000000149027</v>
      </c>
      <c r="I19" s="338">
        <f t="shared" si="23"/>
        <v>5.4594597133541096E-6</v>
      </c>
      <c r="J19" s="340">
        <f t="shared" si="3"/>
        <v>1</v>
      </c>
      <c r="K19" s="338">
        <f t="shared" si="24"/>
        <v>1</v>
      </c>
      <c r="L19" s="339">
        <f t="shared" si="25"/>
        <v>0</v>
      </c>
      <c r="M19" s="731" t="str">
        <f t="shared" si="4"/>
        <v>0.99999999986578+0.0000235351391384859i</v>
      </c>
      <c r="N19" s="338">
        <f t="shared" si="26"/>
        <v>1.0000000001427314</v>
      </c>
      <c r="O19" s="339">
        <f t="shared" si="27"/>
        <v>2.353513913729939E-5</v>
      </c>
      <c r="P19" s="732" t="str">
        <f t="shared" si="19"/>
        <v>2.22715085968535-0.0029989571662262i</v>
      </c>
      <c r="Q19" s="337">
        <f t="shared" si="28"/>
        <v>2.2271528787986865</v>
      </c>
      <c r="R19" s="339">
        <f t="shared" si="29"/>
        <v>-1.3465434281810385E-3</v>
      </c>
      <c r="S19" s="731" t="str">
        <f t="shared" si="5"/>
        <v>6000</v>
      </c>
      <c r="T19" s="337" t="str">
        <f t="shared" si="6"/>
        <v>1+11.0281086210849i</v>
      </c>
      <c r="U19" s="346">
        <f t="shared" si="30"/>
        <v>11.073354494390898</v>
      </c>
      <c r="V19" s="347">
        <f t="shared" si="31"/>
        <v>1.4803662556813939</v>
      </c>
      <c r="W19" s="340" t="str">
        <f t="shared" si="7"/>
        <v>1+0.109189194268167i</v>
      </c>
      <c r="X19" s="337">
        <f t="shared" si="32"/>
        <v>1.0059434776094189</v>
      </c>
      <c r="Y19" s="339">
        <f t="shared" si="33"/>
        <v>0.10875834406992553</v>
      </c>
      <c r="Z19" s="337" t="str">
        <f t="shared" si="8"/>
        <v>1+0.00109991255806629i</v>
      </c>
      <c r="AA19" s="346">
        <f t="shared" si="34"/>
        <v>1.0000006049036347</v>
      </c>
      <c r="AB19" s="347">
        <f t="shared" si="35"/>
        <v>1.0999121145057417E-3</v>
      </c>
      <c r="AC19" s="732" t="str">
        <f t="shared" si="36"/>
        <v>107.265655680948-534.402396503267i</v>
      </c>
      <c r="AD19" s="337">
        <f t="shared" si="37"/>
        <v>545.06131974035611</v>
      </c>
      <c r="AE19" s="339">
        <f t="shared" si="38"/>
        <v>-1.3727078237259744</v>
      </c>
      <c r="AF19" s="736" t="str">
        <f t="shared" si="9"/>
        <v>237.294147367894-1190.51644189696i</v>
      </c>
      <c r="AG19" s="337">
        <f t="shared" si="39"/>
        <v>61.683907856543158</v>
      </c>
      <c r="AH19" s="730">
        <f t="shared" si="40"/>
        <v>-78.727516059452398</v>
      </c>
      <c r="AI19" s="360">
        <f t="shared" si="10"/>
        <v>101.2724839405476</v>
      </c>
      <c r="AL19" s="337">
        <f t="shared" si="11"/>
        <v>54.728907268535416</v>
      </c>
      <c r="AM19" s="730">
        <f t="shared" si="12"/>
        <v>-78.650364804086507</v>
      </c>
      <c r="AN19" s="351"/>
      <c r="AO19" s="337">
        <f t="shared" si="13"/>
        <v>60.484123073049844</v>
      </c>
      <c r="AP19" s="730">
        <f t="shared" si="14"/>
        <v>-7.7151255365851115E-2</v>
      </c>
      <c r="AS19" s="351"/>
      <c r="AT19" s="351"/>
      <c r="AV19" s="405">
        <f t="shared" si="15"/>
        <v>0</v>
      </c>
      <c r="AW19" s="405">
        <f t="shared" si="16"/>
        <v>0</v>
      </c>
      <c r="AX19" s="405">
        <f t="shared" si="17"/>
        <v>0</v>
      </c>
      <c r="AY19" s="405">
        <f t="shared" si="18"/>
        <v>0</v>
      </c>
    </row>
    <row r="20" spans="2:51" ht="13.5" thickBot="1" x14ac:dyDescent="0.25">
      <c r="B20" s="345">
        <v>1.9055</v>
      </c>
      <c r="C20" s="728" t="str">
        <f t="shared" si="0"/>
        <v>2.2271548443541</v>
      </c>
      <c r="D20" s="728" t="str">
        <f t="shared" si="1"/>
        <v>1+0.00145666750167774i</v>
      </c>
      <c r="E20" s="337">
        <f t="shared" si="20"/>
        <v>1.0000010609395424</v>
      </c>
      <c r="F20" s="338">
        <f t="shared" si="21"/>
        <v>1.4566664713877367E-3</v>
      </c>
      <c r="G20" s="338" t="str">
        <f t="shared" si="2"/>
        <v>1+5.98630480141535E-06i</v>
      </c>
      <c r="H20" s="337">
        <f t="shared" si="22"/>
        <v>1.0000000000179179</v>
      </c>
      <c r="I20" s="338">
        <f t="shared" si="23"/>
        <v>5.9863048013438417E-6</v>
      </c>
      <c r="J20" s="340">
        <f t="shared" si="3"/>
        <v>1</v>
      </c>
      <c r="K20" s="338">
        <f t="shared" si="24"/>
        <v>1</v>
      </c>
      <c r="L20" s="339">
        <f t="shared" si="25"/>
        <v>0</v>
      </c>
      <c r="M20" s="731" t="str">
        <f t="shared" si="4"/>
        <v>0.999999999838625+0.0000258063112144003i</v>
      </c>
      <c r="N20" s="338">
        <f t="shared" si="26"/>
        <v>1.0000000001716076</v>
      </c>
      <c r="O20" s="339">
        <f t="shared" si="27"/>
        <v>2.5806311212836087E-5</v>
      </c>
      <c r="P20" s="732" t="str">
        <f t="shared" si="19"/>
        <v>2.22715005352819-0.00328835932761917i</v>
      </c>
      <c r="Q20" s="337">
        <f t="shared" si="28"/>
        <v>2.2271524811376717</v>
      </c>
      <c r="R20" s="339">
        <f t="shared" si="29"/>
        <v>-1.476486477799232E-3</v>
      </c>
      <c r="S20" s="731" t="str">
        <f t="shared" si="5"/>
        <v>6000</v>
      </c>
      <c r="T20" s="337" t="str">
        <f t="shared" si="6"/>
        <v>1+12.092335698859i</v>
      </c>
      <c r="U20" s="346">
        <f t="shared" si="30"/>
        <v>12.133613750812236</v>
      </c>
      <c r="V20" s="347">
        <f t="shared" si="31"/>
        <v>1.4882870635093195</v>
      </c>
      <c r="W20" s="340" t="str">
        <f t="shared" si="7"/>
        <v>1+0.119726096028307i</v>
      </c>
      <c r="X20" s="337">
        <f t="shared" si="32"/>
        <v>1.0071416673289708</v>
      </c>
      <c r="Y20" s="339">
        <f t="shared" si="33"/>
        <v>0.11915890153063194</v>
      </c>
      <c r="Z20" s="337" t="str">
        <f t="shared" si="8"/>
        <v>1+0.00120605557566769i</v>
      </c>
      <c r="AA20" s="346">
        <f t="shared" si="34"/>
        <v>1.0000007272847613</v>
      </c>
      <c r="AB20" s="347">
        <f t="shared" si="35"/>
        <v>1.2060549909040934E-3</v>
      </c>
      <c r="AC20" s="732" t="str">
        <f t="shared" si="36"/>
        <v>99.1678806303714-488.052094783696i</v>
      </c>
      <c r="AD20" s="337">
        <f t="shared" si="37"/>
        <v>498.02521599962523</v>
      </c>
      <c r="AE20" s="339">
        <f t="shared" si="38"/>
        <v>-1.3703342169695913</v>
      </c>
      <c r="AF20" s="736" t="str">
        <f t="shared" si="9"/>
        <v>219.256859995963-1087.29134864732i</v>
      </c>
      <c r="AG20" s="337">
        <f t="shared" si="39"/>
        <v>60.900025687194528</v>
      </c>
      <c r="AH20" s="730">
        <f t="shared" si="40"/>
        <v>-78.598963598407991</v>
      </c>
      <c r="AI20" s="360">
        <f t="shared" si="10"/>
        <v>101.40103640159201</v>
      </c>
      <c r="AL20" s="337">
        <f t="shared" si="11"/>
        <v>53.945026650063774</v>
      </c>
      <c r="AM20" s="730">
        <f t="shared" si="12"/>
        <v>-78.514367154722024</v>
      </c>
      <c r="AN20" s="351"/>
      <c r="AO20" s="337">
        <f t="shared" si="13"/>
        <v>60.484121522172948</v>
      </c>
      <c r="AP20" s="730">
        <f t="shared" si="14"/>
        <v>-8.4596443686032238E-2</v>
      </c>
      <c r="AS20" s="351"/>
      <c r="AT20" s="351"/>
      <c r="AV20" s="405">
        <f t="shared" si="15"/>
        <v>0</v>
      </c>
      <c r="AW20" s="405">
        <f t="shared" si="16"/>
        <v>0</v>
      </c>
      <c r="AX20" s="405">
        <f t="shared" si="17"/>
        <v>0</v>
      </c>
      <c r="AY20" s="405">
        <f t="shared" si="18"/>
        <v>0</v>
      </c>
    </row>
    <row r="21" spans="2:51" ht="13.5" thickBot="1" x14ac:dyDescent="0.25">
      <c r="B21" s="345">
        <v>2.0893000000000002</v>
      </c>
      <c r="C21" s="728" t="str">
        <f t="shared" si="0"/>
        <v>2.2271548443541</v>
      </c>
      <c r="D21" s="728" t="str">
        <f t="shared" si="1"/>
        <v>1+0.00159717418591199i</v>
      </c>
      <c r="E21" s="337">
        <f t="shared" si="20"/>
        <v>1.0000012754818766</v>
      </c>
      <c r="F21" s="338">
        <f t="shared" si="21"/>
        <v>1.5971728278020506E-3</v>
      </c>
      <c r="G21" s="338" t="str">
        <f t="shared" si="2"/>
        <v>1+6.56372953114515E-06i</v>
      </c>
      <c r="H21" s="337">
        <f t="shared" si="22"/>
        <v>1.0000000000215414</v>
      </c>
      <c r="I21" s="338">
        <f t="shared" si="23"/>
        <v>6.5637295310508898E-6</v>
      </c>
      <c r="J21" s="340">
        <f t="shared" si="3"/>
        <v>1</v>
      </c>
      <c r="K21" s="338">
        <f t="shared" si="24"/>
        <v>1</v>
      </c>
      <c r="L21" s="339">
        <f t="shared" si="25"/>
        <v>0</v>
      </c>
      <c r="M21" s="731" t="str">
        <f t="shared" si="4"/>
        <v>0.999999999805992+0.0000282955266440549i</v>
      </c>
      <c r="N21" s="338">
        <f t="shared" si="26"/>
        <v>1.0000000002063103</v>
      </c>
      <c r="O21" s="339">
        <f t="shared" si="27"/>
        <v>2.8295526641992978E-5</v>
      </c>
      <c r="P21" s="732" t="str">
        <f t="shared" si="19"/>
        <v>2.22714908473312-0.00360554510351265i</v>
      </c>
      <c r="Q21" s="337">
        <f t="shared" si="28"/>
        <v>2.2271520032505792</v>
      </c>
      <c r="R21" s="339">
        <f t="shared" si="29"/>
        <v>-1.6189046249129894E-3</v>
      </c>
      <c r="S21" s="731" t="str">
        <f t="shared" si="5"/>
        <v>6000</v>
      </c>
      <c r="T21" s="337" t="str">
        <f t="shared" si="6"/>
        <v>1+13.2587336529132i</v>
      </c>
      <c r="U21" s="346">
        <f t="shared" si="30"/>
        <v>13.29639116748951</v>
      </c>
      <c r="V21" s="347">
        <f t="shared" si="31"/>
        <v>1.4955168685047695</v>
      </c>
      <c r="W21" s="340" t="str">
        <f t="shared" si="7"/>
        <v>1+0.131274590622903i</v>
      </c>
      <c r="X21" s="337">
        <f t="shared" si="32"/>
        <v>1.00857970341625</v>
      </c>
      <c r="Y21" s="339">
        <f t="shared" si="33"/>
        <v>0.13052820721848013</v>
      </c>
      <c r="Z21" s="337" t="str">
        <f t="shared" si="8"/>
        <v>1+0.00132238882930595i</v>
      </c>
      <c r="AA21" s="346">
        <f t="shared" si="34"/>
        <v>1.0000008743557258</v>
      </c>
      <c r="AB21" s="347">
        <f t="shared" si="35"/>
        <v>1.3223880584809255E-3</v>
      </c>
      <c r="AC21" s="732" t="str">
        <f t="shared" si="36"/>
        <v>92.4184142017686-445.639291255912i</v>
      </c>
      <c r="AD21" s="337">
        <f t="shared" si="37"/>
        <v>455.12145762932471</v>
      </c>
      <c r="AE21" s="339">
        <f t="shared" si="38"/>
        <v>-1.3663110493447708</v>
      </c>
      <c r="AF21" s="736" t="str">
        <f t="shared" si="9"/>
        <v>204.222814037435-992.83835840252i</v>
      </c>
      <c r="AG21" s="337">
        <f t="shared" si="39"/>
        <v>60.117543407135429</v>
      </c>
      <c r="AH21" s="730">
        <f t="shared" si="40"/>
        <v>-78.37661303198783</v>
      </c>
      <c r="AI21" s="360">
        <f t="shared" si="10"/>
        <v>101.62338696801217</v>
      </c>
      <c r="AL21" s="337">
        <f t="shared" si="11"/>
        <v>53.162546233763415</v>
      </c>
      <c r="AM21" s="730">
        <f t="shared" si="12"/>
        <v>-78.283856629546122</v>
      </c>
      <c r="AN21" s="351"/>
      <c r="AO21" s="337">
        <f t="shared" si="13"/>
        <v>60.484119658414158</v>
      </c>
      <c r="AP21" s="730">
        <f t="shared" si="14"/>
        <v>-9.2756402441724062E-2</v>
      </c>
      <c r="AS21" s="351"/>
      <c r="AT21" s="351"/>
      <c r="AV21" s="405">
        <f t="shared" si="15"/>
        <v>0</v>
      </c>
      <c r="AW21" s="405">
        <f t="shared" si="16"/>
        <v>0</v>
      </c>
      <c r="AX21" s="405">
        <f t="shared" si="17"/>
        <v>0</v>
      </c>
      <c r="AY21" s="405">
        <f t="shared" si="18"/>
        <v>0</v>
      </c>
    </row>
    <row r="22" spans="2:51" ht="13.5" thickBot="1" x14ac:dyDescent="0.25">
      <c r="B22" s="345">
        <v>2.2909000000000002</v>
      </c>
      <c r="C22" s="728" t="str">
        <f t="shared" si="0"/>
        <v>2.2271548443541</v>
      </c>
      <c r="D22" s="728" t="str">
        <f t="shared" si="1"/>
        <v>1+0.00175128815512649i</v>
      </c>
      <c r="E22" s="337">
        <f t="shared" si="20"/>
        <v>1.0000015335039254</v>
      </c>
      <c r="F22" s="338">
        <f t="shared" si="21"/>
        <v>1.7512863647235716E-3</v>
      </c>
      <c r="G22" s="338" t="str">
        <f t="shared" si="2"/>
        <v>1+7.19707461010885E-06i</v>
      </c>
      <c r="H22" s="337">
        <f t="shared" si="22"/>
        <v>1.0000000000258988</v>
      </c>
      <c r="I22" s="338">
        <f t="shared" si="23"/>
        <v>7.197074609984585E-6</v>
      </c>
      <c r="J22" s="340">
        <f t="shared" si="3"/>
        <v>1</v>
      </c>
      <c r="K22" s="338">
        <f t="shared" si="24"/>
        <v>1</v>
      </c>
      <c r="L22" s="339">
        <f t="shared" si="25"/>
        <v>0</v>
      </c>
      <c r="M22" s="731" t="str">
        <f t="shared" si="4"/>
        <v>0.999999999766746+0.0000310258086387141i</v>
      </c>
      <c r="N22" s="338">
        <f t="shared" si="26"/>
        <v>1.0000000002480463</v>
      </c>
      <c r="O22" s="339">
        <f t="shared" si="27"/>
        <v>3.1025808635995832E-5</v>
      </c>
      <c r="P22" s="732" t="str">
        <f t="shared" si="19"/>
        <v>2.2271479196003-0.00395344805171465i</v>
      </c>
      <c r="Q22" s="337">
        <f t="shared" si="28"/>
        <v>2.2271514285138854</v>
      </c>
      <c r="R22" s="339">
        <f t="shared" si="29"/>
        <v>-1.7751150987495813E-3</v>
      </c>
      <c r="S22" s="731" t="str">
        <f t="shared" si="5"/>
        <v>6000</v>
      </c>
      <c r="T22" s="337" t="str">
        <f t="shared" si="6"/>
        <v>1+14.5380907124199i</v>
      </c>
      <c r="U22" s="346">
        <f t="shared" si="30"/>
        <v>14.572442539346302</v>
      </c>
      <c r="V22" s="347">
        <f t="shared" si="31"/>
        <v>1.5021196783607937</v>
      </c>
      <c r="W22" s="340" t="str">
        <f t="shared" si="7"/>
        <v>1+0.143941492202177i</v>
      </c>
      <c r="X22" s="337">
        <f t="shared" si="32"/>
        <v>1.0103064649785181</v>
      </c>
      <c r="Y22" s="339">
        <f t="shared" si="33"/>
        <v>0.14295955526534934</v>
      </c>
      <c r="Z22" s="337" t="str">
        <f t="shared" si="8"/>
        <v>1+0.00144998830663716i</v>
      </c>
      <c r="AA22" s="346">
        <f t="shared" si="34"/>
        <v>1.0000010512324922</v>
      </c>
      <c r="AB22" s="347">
        <f t="shared" si="35"/>
        <v>1.4499872904546937E-3</v>
      </c>
      <c r="AC22" s="732" t="str">
        <f t="shared" si="36"/>
        <v>86.7907330554324-406.824324281605i</v>
      </c>
      <c r="AD22" s="337">
        <f t="shared" si="37"/>
        <v>415.97916074183786</v>
      </c>
      <c r="AE22" s="339">
        <f t="shared" si="38"/>
        <v>-1.3606101103858992</v>
      </c>
      <c r="AF22" s="736" t="str">
        <f t="shared" si="9"/>
        <v>191.68744173277-906.401070121079i</v>
      </c>
      <c r="AG22" s="337">
        <f t="shared" si="39"/>
        <v>59.336426419361182</v>
      </c>
      <c r="AH22" s="730">
        <f t="shared" si="40"/>
        <v>-78.058923491249374</v>
      </c>
      <c r="AI22" s="360">
        <f t="shared" si="10"/>
        <v>101.94107650875063</v>
      </c>
      <c r="AL22" s="337">
        <f t="shared" si="11"/>
        <v>52.381431487461747</v>
      </c>
      <c r="AM22" s="730">
        <f t="shared" si="12"/>
        <v>-77.957216887941087</v>
      </c>
      <c r="AN22" s="351"/>
      <c r="AO22" s="337">
        <f t="shared" si="13"/>
        <v>60.484117416941537</v>
      </c>
      <c r="AP22" s="730">
        <f t="shared" si="14"/>
        <v>-0.10170660330829968</v>
      </c>
      <c r="AS22" s="351"/>
      <c r="AT22" s="351"/>
      <c r="AV22" s="405">
        <f t="shared" si="15"/>
        <v>0</v>
      </c>
      <c r="AW22" s="405">
        <f t="shared" si="16"/>
        <v>0</v>
      </c>
      <c r="AX22" s="405">
        <f t="shared" si="17"/>
        <v>0</v>
      </c>
      <c r="AY22" s="405">
        <f t="shared" si="18"/>
        <v>0</v>
      </c>
    </row>
    <row r="23" spans="2:51" ht="13.5" thickBot="1" x14ac:dyDescent="0.25">
      <c r="B23" s="345">
        <v>2.5118999999999998</v>
      </c>
      <c r="C23" s="728" t="str">
        <f t="shared" si="0"/>
        <v>2.2271548443541</v>
      </c>
      <c r="D23" s="728" t="str">
        <f t="shared" si="1"/>
        <v>1+0.00192023253606104i</v>
      </c>
      <c r="E23" s="337">
        <f t="shared" si="20"/>
        <v>1.0000018436447968</v>
      </c>
      <c r="F23" s="338">
        <f t="shared" si="21"/>
        <v>1.9202301759129368E-3</v>
      </c>
      <c r="G23" s="338" t="str">
        <f t="shared" si="2"/>
        <v>1+0.0000078913665865522i</v>
      </c>
      <c r="H23" s="337">
        <f t="shared" si="22"/>
        <v>1.0000000000311369</v>
      </c>
      <c r="I23" s="338">
        <f t="shared" si="23"/>
        <v>7.8913665863883926E-6</v>
      </c>
      <c r="J23" s="340">
        <f t="shared" si="3"/>
        <v>1</v>
      </c>
      <c r="K23" s="338">
        <f t="shared" si="24"/>
        <v>1</v>
      </c>
      <c r="L23" s="339">
        <f t="shared" si="25"/>
        <v>0</v>
      </c>
      <c r="M23" s="731" t="str">
        <f t="shared" si="4"/>
        <v>0.999999999719571+0.0000340188261030974i</v>
      </c>
      <c r="N23" s="338">
        <f t="shared" si="26"/>
        <v>1.0000000002982112</v>
      </c>
      <c r="O23" s="339">
        <f t="shared" si="27"/>
        <v>3.4018826099514159E-5</v>
      </c>
      <c r="P23" s="732" t="str">
        <f t="shared" si="19"/>
        <v>2.22714651911922-0.00433482910659098i</v>
      </c>
      <c r="Q23" s="337">
        <f t="shared" si="28"/>
        <v>2.2271507376844166</v>
      </c>
      <c r="R23" s="339">
        <f t="shared" si="29"/>
        <v>-1.9463576354260628E-3</v>
      </c>
      <c r="S23" s="731" t="str">
        <f t="shared" si="5"/>
        <v>6000</v>
      </c>
      <c r="T23" s="337" t="str">
        <f t="shared" si="6"/>
        <v>1+15.9405605048354i</v>
      </c>
      <c r="U23" s="346">
        <f t="shared" si="30"/>
        <v>15.97189623082739</v>
      </c>
      <c r="V23" s="347">
        <f t="shared" si="31"/>
        <v>1.508145375679437</v>
      </c>
      <c r="W23" s="340" t="str">
        <f t="shared" si="7"/>
        <v>1+0.157827331731044i</v>
      </c>
      <c r="X23" s="337">
        <f t="shared" si="32"/>
        <v>1.0123781243395873</v>
      </c>
      <c r="Y23" s="339">
        <f t="shared" si="33"/>
        <v>0.15653611077191312</v>
      </c>
      <c r="Z23" s="337" t="str">
        <f t="shared" si="8"/>
        <v>1+0.00158986670192583i</v>
      </c>
      <c r="AA23" s="346">
        <f t="shared" si="34"/>
        <v>1.0000012638372664</v>
      </c>
      <c r="AB23" s="347">
        <f t="shared" si="35"/>
        <v>1.5898653623718242E-3</v>
      </c>
      <c r="AC23" s="732" t="str">
        <f t="shared" si="36"/>
        <v>82.1027384006904-371.341248414446i</v>
      </c>
      <c r="AD23" s="337">
        <f t="shared" si="37"/>
        <v>380.30932466466226</v>
      </c>
      <c r="AE23" s="339">
        <f t="shared" si="38"/>
        <v>-1.353199130269896</v>
      </c>
      <c r="AF23" s="736" t="str">
        <f t="shared" si="9"/>
        <v>181.245127187149-827.387270151769i</v>
      </c>
      <c r="AG23" s="337">
        <f t="shared" si="39"/>
        <v>58.557731714645023</v>
      </c>
      <c r="AH23" s="730">
        <f t="shared" si="40"/>
        <v>-77.644117083171679</v>
      </c>
      <c r="AI23" s="360">
        <f t="shared" si="10"/>
        <v>102.35588291682832</v>
      </c>
      <c r="AL23" s="337">
        <f t="shared" si="11"/>
        <v>51.602739476980645</v>
      </c>
      <c r="AM23" s="730">
        <f t="shared" si="12"/>
        <v>-77.532599005238723</v>
      </c>
      <c r="AN23" s="351"/>
      <c r="AO23" s="337">
        <f t="shared" si="13"/>
        <v>60.484114722706522</v>
      </c>
      <c r="AP23" s="730">
        <f t="shared" si="14"/>
        <v>-0.11151807793297575</v>
      </c>
      <c r="AS23" s="351"/>
      <c r="AT23" s="351"/>
      <c r="AV23" s="405">
        <f t="shared" si="15"/>
        <v>0</v>
      </c>
      <c r="AW23" s="405">
        <f t="shared" si="16"/>
        <v>0</v>
      </c>
      <c r="AX23" s="405">
        <f t="shared" si="17"/>
        <v>0</v>
      </c>
      <c r="AY23" s="405">
        <f t="shared" si="18"/>
        <v>0</v>
      </c>
    </row>
    <row r="24" spans="2:51" ht="13.5" thickBot="1" x14ac:dyDescent="0.25">
      <c r="B24" s="345">
        <v>2.7542</v>
      </c>
      <c r="C24" s="728" t="str">
        <f t="shared" si="0"/>
        <v>2.2271548443541</v>
      </c>
      <c r="D24" s="728" t="str">
        <f t="shared" si="1"/>
        <v>1+0.00210545979171914i</v>
      </c>
      <c r="E24" s="337">
        <f t="shared" si="20"/>
        <v>1.0000022164780109</v>
      </c>
      <c r="F24" s="338">
        <f t="shared" si="21"/>
        <v>2.1054566805870797E-3</v>
      </c>
      <c r="G24" s="338" t="str">
        <f t="shared" si="2"/>
        <v>1+0.000008652574486517i</v>
      </c>
      <c r="H24" s="337">
        <f t="shared" si="22"/>
        <v>1.0000000000374336</v>
      </c>
      <c r="I24" s="338">
        <f t="shared" si="23"/>
        <v>8.6525744863010693E-6</v>
      </c>
      <c r="J24" s="340">
        <f t="shared" si="3"/>
        <v>1</v>
      </c>
      <c r="K24" s="338">
        <f t="shared" si="24"/>
        <v>1</v>
      </c>
      <c r="L24" s="339">
        <f t="shared" si="25"/>
        <v>0</v>
      </c>
      <c r="M24" s="731" t="str">
        <f t="shared" si="4"/>
        <v>0.999999999662861+0.0000373003108615593i</v>
      </c>
      <c r="N24" s="338">
        <f t="shared" si="26"/>
        <v>1.0000000003585177</v>
      </c>
      <c r="O24" s="339">
        <f t="shared" si="27"/>
        <v>3.7300310856835883E-5</v>
      </c>
      <c r="P24" s="732" t="str">
        <f t="shared" si="19"/>
        <v>2.22714483554451-0.0047529668463821i</v>
      </c>
      <c r="Q24" s="337">
        <f t="shared" si="28"/>
        <v>2.2271499072102054</v>
      </c>
      <c r="R24" s="339">
        <f t="shared" si="29"/>
        <v>-2.134104416957612E-3</v>
      </c>
      <c r="S24" s="731" t="str">
        <f t="shared" si="5"/>
        <v>6000</v>
      </c>
      <c r="T24" s="337" t="str">
        <f t="shared" si="6"/>
        <v>1+17.4782004627643i</v>
      </c>
      <c r="U24" s="346">
        <f t="shared" si="30"/>
        <v>17.50678415405223</v>
      </c>
      <c r="V24" s="347">
        <f t="shared" si="31"/>
        <v>1.5136445056973888</v>
      </c>
      <c r="W24" s="340" t="str">
        <f t="shared" si="7"/>
        <v>1+0.17305148973034i</v>
      </c>
      <c r="X24" s="337">
        <f t="shared" si="32"/>
        <v>1.0148629553283979</v>
      </c>
      <c r="Y24" s="339">
        <f t="shared" si="33"/>
        <v>0.1713544326505233</v>
      </c>
      <c r="Z24" s="337" t="str">
        <f t="shared" si="8"/>
        <v>1+0.00174322658961109i</v>
      </c>
      <c r="AA24" s="346">
        <f t="shared" si="34"/>
        <v>1.0000015194183169</v>
      </c>
      <c r="AB24" s="347">
        <f t="shared" si="35"/>
        <v>1.7432248238193609E-3</v>
      </c>
      <c r="AC24" s="732" t="str">
        <f t="shared" si="36"/>
        <v>78.1979651131944-338.913254644123i</v>
      </c>
      <c r="AD24" s="337">
        <f t="shared" si="37"/>
        <v>347.81764751276859</v>
      </c>
      <c r="AE24" s="339">
        <f t="shared" si="38"/>
        <v>-1.3440332978706848</v>
      </c>
      <c r="AF24" s="736" t="str">
        <f t="shared" si="9"/>
        <v>172.547350688818-755.180577113878i</v>
      </c>
      <c r="AG24" s="337">
        <f t="shared" si="39"/>
        <v>57.782021266522428</v>
      </c>
      <c r="AH24" s="730">
        <f t="shared" si="40"/>
        <v>-77.129710669171544</v>
      </c>
      <c r="AI24" s="360">
        <f t="shared" si="10"/>
        <v>102.87028933082846</v>
      </c>
      <c r="AL24" s="337">
        <f t="shared" si="11"/>
        <v>50.827032267708717</v>
      </c>
      <c r="AM24" s="730">
        <f t="shared" si="12"/>
        <v>-77.007435493039651</v>
      </c>
      <c r="AN24" s="351"/>
      <c r="AO24" s="337">
        <f t="shared" si="13"/>
        <v>60.484111483855827</v>
      </c>
      <c r="AP24" s="730">
        <f t="shared" si="14"/>
        <v>-0.12227517613189849</v>
      </c>
      <c r="AS24" s="351"/>
      <c r="AT24" s="351"/>
      <c r="AV24" s="405">
        <f t="shared" si="15"/>
        <v>0</v>
      </c>
      <c r="AW24" s="405">
        <f t="shared" si="16"/>
        <v>0</v>
      </c>
      <c r="AX24" s="405">
        <f t="shared" si="17"/>
        <v>0</v>
      </c>
      <c r="AY24" s="405">
        <f t="shared" si="18"/>
        <v>0</v>
      </c>
    </row>
    <row r="25" spans="2:51" ht="13.5" thickBot="1" x14ac:dyDescent="0.25">
      <c r="B25" s="345">
        <v>3.02</v>
      </c>
      <c r="C25" s="728" t="str">
        <f t="shared" si="0"/>
        <v>2.2271548443541</v>
      </c>
      <c r="D25" s="728" t="str">
        <f t="shared" si="1"/>
        <v>1+0.00230865172136801i</v>
      </c>
      <c r="E25" s="337">
        <f t="shared" si="20"/>
        <v>1.0000026649328344</v>
      </c>
      <c r="F25" s="338">
        <f t="shared" si="21"/>
        <v>2.3086476197744779E-3</v>
      </c>
      <c r="G25" s="338" t="str">
        <f t="shared" si="2"/>
        <v>1+9.48760981384115E-06i</v>
      </c>
      <c r="H25" s="337">
        <f t="shared" si="22"/>
        <v>1.0000000000450073</v>
      </c>
      <c r="I25" s="338">
        <f t="shared" si="23"/>
        <v>9.4876098135564756E-6</v>
      </c>
      <c r="J25" s="340">
        <f t="shared" si="3"/>
        <v>1</v>
      </c>
      <c r="K25" s="338">
        <f t="shared" si="24"/>
        <v>1</v>
      </c>
      <c r="L25" s="339">
        <f t="shared" si="25"/>
        <v>0</v>
      </c>
      <c r="M25" s="731" t="str">
        <f t="shared" si="4"/>
        <v>0.999999999594649+0.0000409000576580891i</v>
      </c>
      <c r="N25" s="338">
        <f t="shared" si="26"/>
        <v>1.0000000004310563</v>
      </c>
      <c r="O25" s="339">
        <f t="shared" si="27"/>
        <v>4.0900057651861913E-5</v>
      </c>
      <c r="P25" s="732" t="str">
        <f t="shared" si="19"/>
        <v>2.22714281049351-0.0052116574685158i</v>
      </c>
      <c r="Q25" s="337">
        <f t="shared" si="28"/>
        <v>2.2271489082920568</v>
      </c>
      <c r="R25" s="339">
        <f t="shared" si="29"/>
        <v>-2.3400600676127749E-3</v>
      </c>
      <c r="S25" s="731" t="str">
        <f t="shared" si="5"/>
        <v>6000</v>
      </c>
      <c r="T25" s="337" t="str">
        <f t="shared" si="6"/>
        <v>1+19.1649718239591i</v>
      </c>
      <c r="U25" s="346">
        <f t="shared" si="30"/>
        <v>19.191043353948899</v>
      </c>
      <c r="V25" s="347">
        <f t="shared" si="31"/>
        <v>1.5186650763075349</v>
      </c>
      <c r="W25" s="340" t="str">
        <f t="shared" si="7"/>
        <v>1+0.189752196276823i</v>
      </c>
      <c r="X25" s="337">
        <f t="shared" si="32"/>
        <v>1.0178437483189047</v>
      </c>
      <c r="Y25" s="339">
        <f t="shared" si="33"/>
        <v>0.18752276595214182</v>
      </c>
      <c r="Z25" s="337" t="str">
        <f t="shared" si="8"/>
        <v>1+0.00191146042430669i</v>
      </c>
      <c r="AA25" s="346">
        <f t="shared" si="34"/>
        <v>1.0000018268388082</v>
      </c>
      <c r="AB25" s="347">
        <f t="shared" si="35"/>
        <v>1.911458096356278E-3</v>
      </c>
      <c r="AC25" s="732" t="str">
        <f t="shared" si="36"/>
        <v>74.9447155727754-309.273065037443i</v>
      </c>
      <c r="AD25" s="337">
        <f t="shared" si="37"/>
        <v>318.2240392395563</v>
      </c>
      <c r="AE25" s="339">
        <f t="shared" si="38"/>
        <v>-1.3330537684517503</v>
      </c>
      <c r="AF25" s="736" t="str">
        <f t="shared" si="9"/>
        <v>165.300759193175-689.185869464074i</v>
      </c>
      <c r="AG25" s="337">
        <f t="shared" si="39"/>
        <v>57.009644782386616</v>
      </c>
      <c r="AH25" s="730">
        <f t="shared" si="40"/>
        <v>-76.512430361976271</v>
      </c>
      <c r="AI25" s="360">
        <f t="shared" si="10"/>
        <v>103.48756963802373</v>
      </c>
      <c r="AL25" s="337">
        <f t="shared" si="11"/>
        <v>50.05465967935681</v>
      </c>
      <c r="AM25" s="730">
        <f t="shared" si="12"/>
        <v>-76.378354796294985</v>
      </c>
      <c r="AN25" s="351"/>
      <c r="AO25" s="337">
        <f t="shared" si="13"/>
        <v>60.48410758807195</v>
      </c>
      <c r="AP25" s="730">
        <f t="shared" si="14"/>
        <v>-0.13407556568130974</v>
      </c>
      <c r="AS25" s="351"/>
      <c r="AT25" s="351"/>
      <c r="AV25" s="405">
        <f t="shared" si="15"/>
        <v>0</v>
      </c>
      <c r="AW25" s="405">
        <f t="shared" si="16"/>
        <v>0</v>
      </c>
      <c r="AX25" s="405">
        <f t="shared" si="17"/>
        <v>0</v>
      </c>
      <c r="AY25" s="405">
        <f t="shared" si="18"/>
        <v>0</v>
      </c>
    </row>
    <row r="26" spans="2:51" ht="13.5" thickBot="1" x14ac:dyDescent="0.25">
      <c r="B26" s="345">
        <v>3.3113000000000001</v>
      </c>
      <c r="C26" s="728" t="str">
        <f t="shared" si="0"/>
        <v>2.2271548443541</v>
      </c>
      <c r="D26" s="728" t="str">
        <f t="shared" si="1"/>
        <v>1+0.00253133723343243i</v>
      </c>
      <c r="E26" s="337">
        <f t="shared" si="20"/>
        <v>1.0000032038289624</v>
      </c>
      <c r="F26" s="338">
        <f t="shared" si="21"/>
        <v>2.5313318267968605E-3</v>
      </c>
      <c r="G26" s="338" t="str">
        <f t="shared" si="2"/>
        <v>1+0.0000104027557538319i</v>
      </c>
      <c r="H26" s="337">
        <f t="shared" si="22"/>
        <v>1.0000000000541087</v>
      </c>
      <c r="I26" s="338">
        <f t="shared" si="23"/>
        <v>1.0402755753456647E-5</v>
      </c>
      <c r="J26" s="340">
        <f t="shared" si="3"/>
        <v>1</v>
      </c>
      <c r="K26" s="338">
        <f t="shared" si="24"/>
        <v>1</v>
      </c>
      <c r="L26" s="339">
        <f t="shared" si="25"/>
        <v>0</v>
      </c>
      <c r="M26" s="731" t="str">
        <f t="shared" si="4"/>
        <v>0.99999999951268+0.0000448451526235864i</v>
      </c>
      <c r="N26" s="338">
        <f t="shared" si="26"/>
        <v>1.0000000005182239</v>
      </c>
      <c r="O26" s="339">
        <f t="shared" si="27"/>
        <v>4.4845152615377823E-5</v>
      </c>
      <c r="P26" s="732" t="str">
        <f t="shared" si="19"/>
        <v>2.22714037704767-0.00571435191147296i</v>
      </c>
      <c r="Q26" s="337">
        <f t="shared" si="28"/>
        <v>2.227147707920111</v>
      </c>
      <c r="R26" s="339">
        <f t="shared" si="29"/>
        <v>-2.5657742236587936E-3</v>
      </c>
      <c r="S26" s="731" t="str">
        <f t="shared" si="5"/>
        <v>6000</v>
      </c>
      <c r="T26" s="337" t="str">
        <f t="shared" si="6"/>
        <v>1+21.0135666227404i</v>
      </c>
      <c r="U26" s="346">
        <f t="shared" si="30"/>
        <v>21.037347318717472</v>
      </c>
      <c r="V26" s="347">
        <f t="shared" si="31"/>
        <v>1.5232438974630658</v>
      </c>
      <c r="W26" s="340" t="str">
        <f t="shared" si="7"/>
        <v>1+0.208055115076638i</v>
      </c>
      <c r="X26" s="337">
        <f t="shared" si="32"/>
        <v>1.0214141818623594</v>
      </c>
      <c r="Y26" s="339">
        <f t="shared" si="33"/>
        <v>0.20512872926494671</v>
      </c>
      <c r="Z26" s="337" t="str">
        <f t="shared" si="8"/>
        <v>1+0.0020958340738433i</v>
      </c>
      <c r="AA26" s="346">
        <f t="shared" si="34"/>
        <v>1.0000021962578207</v>
      </c>
      <c r="AB26" s="347">
        <f t="shared" si="35"/>
        <v>2.0958310051867003E-3</v>
      </c>
      <c r="AC26" s="732" t="str">
        <f t="shared" si="36"/>
        <v>72.2374123582692-282.215419286388i</v>
      </c>
      <c r="AD26" s="337">
        <f t="shared" si="37"/>
        <v>291.31389707188777</v>
      </c>
      <c r="AE26" s="339">
        <f t="shared" si="38"/>
        <v>-1.3202109992033058</v>
      </c>
      <c r="AF26" s="736" t="str">
        <f t="shared" si="9"/>
        <v>159.270179575897-628.946145313542i</v>
      </c>
      <c r="AG26" s="337">
        <f t="shared" si="39"/>
        <v>56.242204482658877</v>
      </c>
      <c r="AH26" s="730">
        <f t="shared" si="40"/>
        <v>-75.789526355297852</v>
      </c>
      <c r="AI26" s="360">
        <f t="shared" si="10"/>
        <v>104.21047364470215</v>
      </c>
      <c r="AL26" s="337">
        <f t="shared" si="11"/>
        <v>49.287224061085709</v>
      </c>
      <c r="AM26" s="730">
        <f t="shared" si="12"/>
        <v>-75.642518321098706</v>
      </c>
      <c r="AN26" s="351"/>
      <c r="AO26" s="337">
        <f t="shared" si="13"/>
        <v>60.484102906615334</v>
      </c>
      <c r="AP26" s="730">
        <f t="shared" si="14"/>
        <v>-0.14700803419910355</v>
      </c>
      <c r="AS26" s="351"/>
      <c r="AT26" s="351"/>
      <c r="AV26" s="405">
        <f t="shared" si="15"/>
        <v>0</v>
      </c>
      <c r="AW26" s="405">
        <f t="shared" si="16"/>
        <v>0</v>
      </c>
      <c r="AX26" s="405">
        <f t="shared" si="17"/>
        <v>0</v>
      </c>
      <c r="AY26" s="405">
        <f t="shared" si="18"/>
        <v>0</v>
      </c>
    </row>
    <row r="27" spans="2:51" ht="13.5" thickBot="1" x14ac:dyDescent="0.25">
      <c r="B27" s="345">
        <v>3.6307999999999998</v>
      </c>
      <c r="C27" s="728" t="str">
        <f t="shared" si="0"/>
        <v>2.2271548443541</v>
      </c>
      <c r="D27" s="728" t="str">
        <f t="shared" si="1"/>
        <v>1+0.00277558035428576i</v>
      </c>
      <c r="E27" s="337">
        <f t="shared" si="20"/>
        <v>1.0000038519157328</v>
      </c>
      <c r="F27" s="338">
        <f t="shared" si="21"/>
        <v>2.7755732267705554E-3</v>
      </c>
      <c r="G27" s="338" t="str">
        <f t="shared" si="2"/>
        <v>1+0.0000114064946066538i</v>
      </c>
      <c r="H27" s="337">
        <f t="shared" si="22"/>
        <v>1.0000000000650542</v>
      </c>
      <c r="I27" s="338">
        <f t="shared" si="23"/>
        <v>1.1406494606159107E-5</v>
      </c>
      <c r="J27" s="340">
        <f t="shared" si="3"/>
        <v>1</v>
      </c>
      <c r="K27" s="338">
        <f t="shared" si="24"/>
        <v>1</v>
      </c>
      <c r="L27" s="339">
        <f t="shared" si="25"/>
        <v>0</v>
      </c>
      <c r="M27" s="731" t="str">
        <f t="shared" si="4"/>
        <v>0.999999999414102+0.0000491721620347649i</v>
      </c>
      <c r="N27" s="338">
        <f t="shared" si="26"/>
        <v>1.0000000006230527</v>
      </c>
      <c r="O27" s="339">
        <f t="shared" si="27"/>
        <v>4.9172162023943628E-5</v>
      </c>
      <c r="P27" s="732" t="str">
        <f t="shared" si="19"/>
        <v>2.22713745054447-0.00626570894309816i</v>
      </c>
      <c r="Q27" s="337">
        <f t="shared" si="28"/>
        <v>2.2271462643316178</v>
      </c>
      <c r="R27" s="339">
        <f t="shared" si="29"/>
        <v>-2.8133388941883387E-3</v>
      </c>
      <c r="S27" s="731" t="str">
        <f t="shared" si="5"/>
        <v>6000</v>
      </c>
      <c r="T27" s="337" t="str">
        <f t="shared" si="6"/>
        <v>1+23.0411191054407i</v>
      </c>
      <c r="U27" s="346">
        <f t="shared" si="30"/>
        <v>23.062809231121534</v>
      </c>
      <c r="V27" s="347">
        <f t="shared" si="31"/>
        <v>1.5274228764270381</v>
      </c>
      <c r="W27" s="340" t="str">
        <f t="shared" si="7"/>
        <v>1+0.228129892133076i</v>
      </c>
      <c r="X27" s="337">
        <f t="shared" si="32"/>
        <v>1.0256915948201237</v>
      </c>
      <c r="Y27" s="339">
        <f t="shared" si="33"/>
        <v>0.22429151442927597</v>
      </c>
      <c r="Z27" s="337" t="str">
        <f t="shared" si="8"/>
        <v>1+0.0022980564597923i</v>
      </c>
      <c r="AA27" s="346">
        <f t="shared" si="34"/>
        <v>1.00000264052826</v>
      </c>
      <c r="AB27" s="347">
        <f t="shared" si="35"/>
        <v>2.2980524144110936E-3</v>
      </c>
      <c r="AC27" s="732" t="str">
        <f t="shared" si="36"/>
        <v>69.9829597734714-257.501853207902i</v>
      </c>
      <c r="AD27" s="337">
        <f t="shared" si="37"/>
        <v>266.84231123298127</v>
      </c>
      <c r="AE27" s="339">
        <f t="shared" si="38"/>
        <v>-1.305429414412173</v>
      </c>
      <c r="AF27" s="736" t="str">
        <f t="shared" si="9"/>
        <v>154.248238946936-573.93051372084i</v>
      </c>
      <c r="AG27" s="337">
        <f t="shared" si="39"/>
        <v>55.480068663630959</v>
      </c>
      <c r="AH27" s="730">
        <f t="shared" si="40"/>
        <v>-74.956788343029046</v>
      </c>
      <c r="AI27" s="360">
        <f t="shared" si="10"/>
        <v>105.04321165697095</v>
      </c>
      <c r="AL27" s="337">
        <f t="shared" si="11"/>
        <v>48.52509387206355</v>
      </c>
      <c r="AM27" s="730">
        <f t="shared" si="12"/>
        <v>-74.795595898052028</v>
      </c>
      <c r="AN27" s="351"/>
      <c r="AO27" s="337">
        <f t="shared" si="13"/>
        <v>60.484097276609539</v>
      </c>
      <c r="AP27" s="730">
        <f t="shared" si="14"/>
        <v>-0.16119244497699389</v>
      </c>
      <c r="AS27" s="351"/>
      <c r="AT27" s="351"/>
      <c r="AV27" s="405">
        <f t="shared" si="15"/>
        <v>0</v>
      </c>
      <c r="AW27" s="405">
        <f t="shared" si="16"/>
        <v>0</v>
      </c>
      <c r="AX27" s="405">
        <f t="shared" si="17"/>
        <v>0</v>
      </c>
      <c r="AY27" s="405">
        <f t="shared" si="18"/>
        <v>0</v>
      </c>
    </row>
    <row r="28" spans="2:51" ht="13.5" thickBot="1" x14ac:dyDescent="0.25">
      <c r="B28" s="345">
        <v>3.9811000000000001</v>
      </c>
      <c r="C28" s="728" t="str">
        <f t="shared" si="0"/>
        <v>2.2271548443541</v>
      </c>
      <c r="D28" s="728" t="str">
        <f t="shared" si="1"/>
        <v>1+0.00304336866488021i</v>
      </c>
      <c r="E28" s="337">
        <f t="shared" si="20"/>
        <v>1.000004631035692</v>
      </c>
      <c r="F28" s="338">
        <f t="shared" si="21"/>
        <v>3.0433592689447287E-3</v>
      </c>
      <c r="G28" s="338" t="str">
        <f t="shared" si="2"/>
        <v>1+0.0000125069945132063i</v>
      </c>
      <c r="H28" s="337">
        <f t="shared" si="22"/>
        <v>1.0000000000782125</v>
      </c>
      <c r="I28" s="338">
        <f t="shared" si="23"/>
        <v>1.2506994512554164E-5</v>
      </c>
      <c r="J28" s="340">
        <f t="shared" si="3"/>
        <v>1</v>
      </c>
      <c r="K28" s="338">
        <f t="shared" si="24"/>
        <v>1</v>
      </c>
      <c r="L28" s="339">
        <f t="shared" si="25"/>
        <v>0</v>
      </c>
      <c r="M28" s="731" t="str">
        <f t="shared" si="4"/>
        <v>0.999999999295593+0.0000539162978617944i</v>
      </c>
      <c r="N28" s="338">
        <f t="shared" si="26"/>
        <v>1.0000000007490766</v>
      </c>
      <c r="O28" s="339">
        <f t="shared" si="27"/>
        <v>5.3916297847529121E-5</v>
      </c>
      <c r="P28" s="732" t="str">
        <f t="shared" si="19"/>
        <v>2.22713393235481-0.00687021455265563i</v>
      </c>
      <c r="Q28" s="337">
        <f t="shared" si="28"/>
        <v>2.2271445288741814</v>
      </c>
      <c r="R28" s="339">
        <f t="shared" si="29"/>
        <v>-3.0847685722796897E-3</v>
      </c>
      <c r="S28" s="731" t="str">
        <f t="shared" si="5"/>
        <v>6000</v>
      </c>
      <c r="T28" s="337" t="str">
        <f t="shared" si="6"/>
        <v>1+25.2641289166768i</v>
      </c>
      <c r="U28" s="346">
        <f t="shared" si="30"/>
        <v>25.283912077019743</v>
      </c>
      <c r="V28" s="347">
        <f t="shared" si="31"/>
        <v>1.5312351666328359</v>
      </c>
      <c r="W28" s="340" t="str">
        <f t="shared" si="7"/>
        <v>1+0.250139890264127i</v>
      </c>
      <c r="X28" s="337">
        <f t="shared" si="32"/>
        <v>1.0308103437108833</v>
      </c>
      <c r="Y28" s="339">
        <f t="shared" si="33"/>
        <v>0.24511032021762408</v>
      </c>
      <c r="Z28" s="337" t="str">
        <f t="shared" si="8"/>
        <v>1+0.00251977321033358i</v>
      </c>
      <c r="AA28" s="346">
        <f t="shared" si="34"/>
        <v>1.0000031746234765</v>
      </c>
      <c r="AB28" s="347">
        <f t="shared" si="35"/>
        <v>2.5197678774579713E-3</v>
      </c>
      <c r="AC28" s="732" t="str">
        <f t="shared" si="36"/>
        <v>68.106624361989-234.943268800937i</v>
      </c>
      <c r="AD28" s="337">
        <f t="shared" si="37"/>
        <v>244.61572279159489</v>
      </c>
      <c r="AE28" s="339">
        <f t="shared" si="38"/>
        <v>-1.28864461429267</v>
      </c>
      <c r="AF28" s="736" t="str">
        <f t="shared" si="9"/>
        <v>150.068463470364-523.718033246748i</v>
      </c>
      <c r="AG28" s="337">
        <f t="shared" si="39"/>
        <v>54.724655384889971</v>
      </c>
      <c r="AH28" s="730">
        <f t="shared" si="40"/>
        <v>-74.01064191120004</v>
      </c>
      <c r="AI28" s="360">
        <f t="shared" si="10"/>
        <v>105.98935808879996</v>
      </c>
      <c r="AL28" s="337">
        <f t="shared" si="11"/>
        <v>47.769687361624165</v>
      </c>
      <c r="AM28" s="730">
        <f t="shared" si="12"/>
        <v>-73.83389769123383</v>
      </c>
      <c r="AN28" s="351"/>
      <c r="AO28" s="337">
        <f t="shared" si="13"/>
        <v>60.484090508307922</v>
      </c>
      <c r="AP28" s="730">
        <f t="shared" si="14"/>
        <v>-0.17674421996622314</v>
      </c>
      <c r="AS28" s="351"/>
      <c r="AT28" s="351"/>
      <c r="AV28" s="405">
        <f t="shared" si="15"/>
        <v>0</v>
      </c>
      <c r="AW28" s="405">
        <f t="shared" si="16"/>
        <v>0</v>
      </c>
      <c r="AX28" s="405">
        <f t="shared" si="17"/>
        <v>0</v>
      </c>
      <c r="AY28" s="405">
        <f t="shared" si="18"/>
        <v>0</v>
      </c>
    </row>
    <row r="29" spans="2:51" ht="13.5" thickBot="1" x14ac:dyDescent="0.25">
      <c r="B29" s="345">
        <v>4.3651999999999997</v>
      </c>
      <c r="C29" s="728" t="str">
        <f t="shared" si="0"/>
        <v>2.2271548443541</v>
      </c>
      <c r="D29" s="728" t="str">
        <f t="shared" si="1"/>
        <v>1+0.00333699552785287i</v>
      </c>
      <c r="E29" s="337">
        <f t="shared" si="20"/>
        <v>1.0000055677540765</v>
      </c>
      <c r="F29" s="338">
        <f t="shared" si="21"/>
        <v>3.3369831415208428E-3</v>
      </c>
      <c r="G29" s="338" t="str">
        <f t="shared" si="2"/>
        <v>1+0.0000137136802514501i</v>
      </c>
      <c r="H29" s="337">
        <f t="shared" si="22"/>
        <v>1.0000000000940326</v>
      </c>
      <c r="I29" s="338">
        <f t="shared" si="23"/>
        <v>1.3713680250590412E-5</v>
      </c>
      <c r="J29" s="340">
        <f t="shared" si="3"/>
        <v>1</v>
      </c>
      <c r="K29" s="338">
        <f t="shared" si="24"/>
        <v>1</v>
      </c>
      <c r="L29" s="339">
        <f t="shared" si="25"/>
        <v>0</v>
      </c>
      <c r="M29" s="731" t="str">
        <f t="shared" si="4"/>
        <v>0.999999999153112+0.0000591181893010234i</v>
      </c>
      <c r="N29" s="338">
        <f t="shared" si="26"/>
        <v>1.000000000900592</v>
      </c>
      <c r="O29" s="339">
        <f t="shared" si="27"/>
        <v>5.9118189282217977E-5</v>
      </c>
      <c r="P29" s="732" t="str">
        <f t="shared" si="19"/>
        <v>2.22712970252548-0.0075330447294048i</v>
      </c>
      <c r="Q29" s="337">
        <f t="shared" si="28"/>
        <v>2.2271424423763579</v>
      </c>
      <c r="R29" s="339">
        <f t="shared" si="29"/>
        <v>-3.3823876505524597E-3</v>
      </c>
      <c r="S29" s="731" t="str">
        <f t="shared" si="5"/>
        <v>6000</v>
      </c>
      <c r="T29" s="337" t="str">
        <f t="shared" si="6"/>
        <v>1+27.7016341079293i</v>
      </c>
      <c r="U29" s="346">
        <f t="shared" si="30"/>
        <v>27.719677708256135</v>
      </c>
      <c r="V29" s="347">
        <f t="shared" si="31"/>
        <v>1.5347130416978869</v>
      </c>
      <c r="W29" s="340" t="str">
        <f t="shared" si="7"/>
        <v>1+0.274273605029003i</v>
      </c>
      <c r="X29" s="337">
        <f t="shared" si="32"/>
        <v>1.0369310538389742</v>
      </c>
      <c r="Y29" s="339">
        <f t="shared" si="33"/>
        <v>0.26769076194620528</v>
      </c>
      <c r="Z29" s="337" t="str">
        <f t="shared" si="8"/>
        <v>1+0.00276288312721311i</v>
      </c>
      <c r="AA29" s="346">
        <f t="shared" si="34"/>
        <v>1.0000038167543035</v>
      </c>
      <c r="AB29" s="347">
        <f t="shared" si="35"/>
        <v>2.7628760970678486E-3</v>
      </c>
      <c r="AC29" s="732" t="str">
        <f t="shared" si="36"/>
        <v>66.5450233314294-214.353992025536i</v>
      </c>
      <c r="AD29" s="337">
        <f t="shared" si="37"/>
        <v>224.44570396303877</v>
      </c>
      <c r="AE29" s="339">
        <f t="shared" si="38"/>
        <v>-1.269785155848749</v>
      </c>
      <c r="AF29" s="736" t="str">
        <f t="shared" si="9"/>
        <v>146.589659806823-477.895429132256i</v>
      </c>
      <c r="AG29" s="337">
        <f t="shared" si="39"/>
        <v>53.977185828655642</v>
      </c>
      <c r="AH29" s="730">
        <f t="shared" si="40"/>
        <v>-72.947126855548589</v>
      </c>
      <c r="AI29" s="360">
        <f t="shared" si="10"/>
        <v>107.05287314445141</v>
      </c>
      <c r="AL29" s="337">
        <f t="shared" si="11"/>
        <v>47.022225942759491</v>
      </c>
      <c r="AM29" s="730">
        <f t="shared" si="12"/>
        <v>-72.75333031849479</v>
      </c>
      <c r="AN29" s="351"/>
      <c r="AO29" s="337">
        <f t="shared" si="13"/>
        <v>60.484082370938246</v>
      </c>
      <c r="AP29" s="730">
        <f t="shared" si="14"/>
        <v>-0.19379653705382685</v>
      </c>
      <c r="AS29" s="351"/>
      <c r="AT29" s="351"/>
      <c r="AV29" s="405">
        <f t="shared" si="15"/>
        <v>0</v>
      </c>
      <c r="AW29" s="405">
        <f t="shared" si="16"/>
        <v>0</v>
      </c>
      <c r="AX29" s="405">
        <f t="shared" si="17"/>
        <v>0</v>
      </c>
      <c r="AY29" s="405">
        <f t="shared" si="18"/>
        <v>0</v>
      </c>
    </row>
    <row r="30" spans="2:51" ht="13.5" thickBot="1" x14ac:dyDescent="0.25">
      <c r="B30" s="345">
        <v>4.7862999999999998</v>
      </c>
      <c r="C30" s="728" t="str">
        <f t="shared" si="0"/>
        <v>2.2271548443541</v>
      </c>
      <c r="D30" s="728" t="str">
        <f t="shared" si="1"/>
        <v>1+0.00365890719668337i</v>
      </c>
      <c r="E30" s="337">
        <f t="shared" si="20"/>
        <v>1.0000066937785337</v>
      </c>
      <c r="F30" s="338">
        <f t="shared" si="21"/>
        <v>3.6588908688169101E-3</v>
      </c>
      <c r="G30" s="338" t="str">
        <f t="shared" si="2"/>
        <v>1+0.0000150366049178769i</v>
      </c>
      <c r="H30" s="337">
        <f t="shared" si="22"/>
        <v>1.0000000001130498</v>
      </c>
      <c r="I30" s="338">
        <f t="shared" si="23"/>
        <v>1.5036604916743644E-5</v>
      </c>
      <c r="J30" s="340">
        <f t="shared" si="3"/>
        <v>1</v>
      </c>
      <c r="K30" s="338">
        <f t="shared" si="24"/>
        <v>1</v>
      </c>
      <c r="L30" s="339">
        <f t="shared" si="25"/>
        <v>0</v>
      </c>
      <c r="M30" s="731" t="str">
        <f t="shared" si="4"/>
        <v>0.999999998981837+0.0000648211741618916i</v>
      </c>
      <c r="N30" s="338">
        <f t="shared" si="26"/>
        <v>1.0000000010827292</v>
      </c>
      <c r="O30" s="339">
        <f t="shared" si="27"/>
        <v>6.4821174137101909E-5</v>
      </c>
      <c r="P30" s="732" t="str">
        <f t="shared" si="19"/>
        <v>2.22712461788465-0.00825972023664875i</v>
      </c>
      <c r="Q30" s="337">
        <f t="shared" si="28"/>
        <v>2.2271399342129885</v>
      </c>
      <c r="R30" s="339">
        <f t="shared" si="29"/>
        <v>-3.7086754380372773E-3</v>
      </c>
      <c r="S30" s="731" t="str">
        <f t="shared" si="5"/>
        <v>6000</v>
      </c>
      <c r="T30" s="337" t="str">
        <f t="shared" si="6"/>
        <v>1+30.3739419341112i</v>
      </c>
      <c r="U30" s="346">
        <f t="shared" si="30"/>
        <v>30.390398954550744</v>
      </c>
      <c r="V30" s="347">
        <f t="shared" si="31"/>
        <v>1.5378852568415875</v>
      </c>
      <c r="W30" s="340" t="str">
        <f t="shared" si="7"/>
        <v>1+0.300732098357537i</v>
      </c>
      <c r="X30" s="337">
        <f t="shared" si="32"/>
        <v>1.0442412532468381</v>
      </c>
      <c r="Y30" s="339">
        <f t="shared" si="33"/>
        <v>0.29212830893943093</v>
      </c>
      <c r="Z30" s="337" t="str">
        <f t="shared" si="8"/>
        <v>1+0.00302941159895999i</v>
      </c>
      <c r="AA30" s="346">
        <f t="shared" si="34"/>
        <v>1.0000045886567901</v>
      </c>
      <c r="AB30" s="347">
        <f t="shared" si="35"/>
        <v>3.0294023317030214E-3</v>
      </c>
      <c r="AC30" s="732" t="str">
        <f t="shared" si="36"/>
        <v>65.245648662816-195.56781593897i</v>
      </c>
      <c r="AD30" s="337">
        <f t="shared" si="37"/>
        <v>206.16441327389768</v>
      </c>
      <c r="AE30" s="339">
        <f t="shared" si="38"/>
        <v>-1.2487863502338599</v>
      </c>
      <c r="AF30" s="736" t="str">
        <f t="shared" si="9"/>
        <v>143.694854899862-436.092808148228i</v>
      </c>
      <c r="AG30" s="337">
        <f t="shared" si="39"/>
        <v>53.239224152006919</v>
      </c>
      <c r="AH30" s="730">
        <f t="shared" si="40"/>
        <v>-71.76267883212941</v>
      </c>
      <c r="AI30" s="360">
        <f t="shared" si="10"/>
        <v>108.23732116787059</v>
      </c>
      <c r="AL30" s="337">
        <f t="shared" si="11"/>
        <v>46.284274047991829</v>
      </c>
      <c r="AM30" s="730">
        <f t="shared" si="12"/>
        <v>-71.550187381946031</v>
      </c>
      <c r="AN30" s="351"/>
      <c r="AO30" s="337">
        <f t="shared" si="13"/>
        <v>60.484072589057249</v>
      </c>
      <c r="AP30" s="730">
        <f t="shared" si="14"/>
        <v>-0.21249145018336679</v>
      </c>
      <c r="AS30" s="351"/>
      <c r="AT30" s="351"/>
      <c r="AV30" s="405">
        <f t="shared" si="15"/>
        <v>0</v>
      </c>
      <c r="AW30" s="405">
        <f t="shared" si="16"/>
        <v>0</v>
      </c>
      <c r="AX30" s="405">
        <f t="shared" si="17"/>
        <v>0</v>
      </c>
      <c r="AY30" s="405">
        <f t="shared" si="18"/>
        <v>0</v>
      </c>
    </row>
    <row r="31" spans="2:51" ht="13.5" thickBot="1" x14ac:dyDescent="0.25">
      <c r="B31" s="345">
        <v>5.2481</v>
      </c>
      <c r="C31" s="728" t="str">
        <f t="shared" si="0"/>
        <v>2.2271548443541</v>
      </c>
      <c r="D31" s="728" t="str">
        <f t="shared" si="1"/>
        <v>1+0.00401193215195745i</v>
      </c>
      <c r="E31" s="337">
        <f t="shared" si="20"/>
        <v>1.0000080477674127</v>
      </c>
      <c r="F31" s="338">
        <f t="shared" si="21"/>
        <v>4.0119106273474852E-3</v>
      </c>
      <c r="G31" s="338" t="str">
        <f t="shared" si="2"/>
        <v>1+0.0000164873924053046i</v>
      </c>
      <c r="H31" s="337">
        <f t="shared" si="22"/>
        <v>1.0000000001359171</v>
      </c>
      <c r="I31" s="338">
        <f t="shared" si="23"/>
        <v>1.6487392403810654E-5</v>
      </c>
      <c r="J31" s="340">
        <f t="shared" si="3"/>
        <v>1</v>
      </c>
      <c r="K31" s="338">
        <f t="shared" si="24"/>
        <v>1</v>
      </c>
      <c r="L31" s="339">
        <f t="shared" si="25"/>
        <v>0</v>
      </c>
      <c r="M31" s="731" t="str">
        <f t="shared" si="4"/>
        <v>0.999999998775887+0.0000710753617865623i</v>
      </c>
      <c r="N31" s="338">
        <f t="shared" si="26"/>
        <v>1.0000000013017405</v>
      </c>
      <c r="O31" s="339">
        <f t="shared" si="27"/>
        <v>7.107536175388262E-5</v>
      </c>
      <c r="P31" s="732" t="str">
        <f t="shared" si="19"/>
        <v>2.22711850387756-0.00905662419210508i</v>
      </c>
      <c r="Q31" s="337">
        <f t="shared" si="28"/>
        <v>2.2271369182777199</v>
      </c>
      <c r="R31" s="339">
        <f t="shared" si="29"/>
        <v>-4.0664985966975447E-3</v>
      </c>
      <c r="S31" s="731" t="str">
        <f t="shared" si="5"/>
        <v>6000</v>
      </c>
      <c r="T31" s="337" t="str">
        <f t="shared" si="6"/>
        <v>1+33.3045326587153i</v>
      </c>
      <c r="U31" s="346">
        <f t="shared" si="30"/>
        <v>33.319542247987656</v>
      </c>
      <c r="V31" s="347">
        <f t="shared" si="31"/>
        <v>1.540779402263452</v>
      </c>
      <c r="W31" s="340" t="str">
        <f t="shared" si="7"/>
        <v>1+0.329747848106092i</v>
      </c>
      <c r="X31" s="337">
        <f t="shared" si="32"/>
        <v>1.0529642174977258</v>
      </c>
      <c r="Y31" s="339">
        <f t="shared" si="33"/>
        <v>0.31852015415130946</v>
      </c>
      <c r="Z31" s="337" t="str">
        <f t="shared" si="8"/>
        <v>1+0.00332170048106092i</v>
      </c>
      <c r="AA31" s="346">
        <f t="shared" si="34"/>
        <v>1.0000055168318251</v>
      </c>
      <c r="AB31" s="347">
        <f t="shared" si="35"/>
        <v>3.3216882642661469E-3</v>
      </c>
      <c r="AC31" s="732" t="str">
        <f t="shared" si="36"/>
        <v>64.1642296321878-178.424405435421i</v>
      </c>
      <c r="AD31" s="337">
        <f t="shared" si="37"/>
        <v>189.61096175927068</v>
      </c>
      <c r="AE31" s="339">
        <f t="shared" si="38"/>
        <v>-1.2255809363764099</v>
      </c>
      <c r="AF31" s="736" t="str">
        <f t="shared" si="9"/>
        <v>141.285420314166-397.953406202933i</v>
      </c>
      <c r="AG31" s="337">
        <f t="shared" si="39"/>
        <v>52.512207163650174</v>
      </c>
      <c r="AH31" s="730">
        <f t="shared" si="40"/>
        <v>-70.453608313046388</v>
      </c>
      <c r="AI31" s="360">
        <f t="shared" si="10"/>
        <v>109.54639168695361</v>
      </c>
      <c r="AL31" s="337">
        <f t="shared" si="11"/>
        <v>45.55726882185003</v>
      </c>
      <c r="AM31" s="730">
        <f t="shared" si="12"/>
        <v>-70.220615106059753</v>
      </c>
      <c r="AN31" s="351"/>
      <c r="AO31" s="337">
        <f t="shared" si="13"/>
        <v>60.484060826842239</v>
      </c>
      <c r="AP31" s="730">
        <f t="shared" si="14"/>
        <v>-0.23299320698664189</v>
      </c>
      <c r="AS31" s="351"/>
      <c r="AT31" s="351"/>
      <c r="AV31" s="405">
        <f t="shared" si="15"/>
        <v>0</v>
      </c>
      <c r="AW31" s="405">
        <f t="shared" si="16"/>
        <v>0</v>
      </c>
      <c r="AX31" s="405">
        <f t="shared" si="17"/>
        <v>0</v>
      </c>
      <c r="AY31" s="405">
        <f t="shared" si="18"/>
        <v>0</v>
      </c>
    </row>
    <row r="32" spans="2:51" ht="13.5" thickBot="1" x14ac:dyDescent="0.25">
      <c r="B32" s="345">
        <v>5.7544000000000004</v>
      </c>
      <c r="C32" s="728" t="str">
        <f t="shared" si="0"/>
        <v>2.2271548443541</v>
      </c>
      <c r="D32" s="728" t="str">
        <f t="shared" si="1"/>
        <v>1+0.00439897531968216i</v>
      </c>
      <c r="E32" s="337">
        <f t="shared" si="20"/>
        <v>1.0000096754451244</v>
      </c>
      <c r="F32" s="338">
        <f t="shared" si="21"/>
        <v>4.3989469451781293E-3</v>
      </c>
      <c r="G32" s="338" t="str">
        <f t="shared" si="2"/>
        <v>1+0.0000180779807658171i</v>
      </c>
      <c r="H32" s="337">
        <f t="shared" si="22"/>
        <v>1.0000000001634066</v>
      </c>
      <c r="I32" s="338">
        <f t="shared" si="23"/>
        <v>1.8077980763847726E-5</v>
      </c>
      <c r="J32" s="340">
        <f t="shared" si="3"/>
        <v>1</v>
      </c>
      <c r="K32" s="338">
        <f t="shared" si="24"/>
        <v>1</v>
      </c>
      <c r="L32" s="339">
        <f t="shared" si="25"/>
        <v>0</v>
      </c>
      <c r="M32" s="731" t="str">
        <f t="shared" si="4"/>
        <v>0.999999998528306+0.0000779322158237445i</v>
      </c>
      <c r="N32" s="338">
        <f t="shared" si="26"/>
        <v>1.000000001565021</v>
      </c>
      <c r="O32" s="339">
        <f t="shared" si="27"/>
        <v>7.79322157806649E-5</v>
      </c>
      <c r="P32" s="732" t="str">
        <f t="shared" si="19"/>
        <v>2.2271111540472-0.00993031165004886i</v>
      </c>
      <c r="Q32" s="337">
        <f t="shared" si="28"/>
        <v>2.2271332927265308</v>
      </c>
      <c r="R32" s="339">
        <f t="shared" si="29"/>
        <v>-4.4588011801949441E-3</v>
      </c>
      <c r="S32" s="731" t="str">
        <f t="shared" si="5"/>
        <v>6000</v>
      </c>
      <c r="T32" s="337" t="str">
        <f t="shared" si="6"/>
        <v>1+36.5175211469505i</v>
      </c>
      <c r="U32" s="346">
        <f t="shared" si="30"/>
        <v>36.531210638548195</v>
      </c>
      <c r="V32" s="347">
        <f t="shared" si="31"/>
        <v>1.5434190537009351</v>
      </c>
      <c r="W32" s="340" t="str">
        <f t="shared" si="7"/>
        <v>1+0.361559615316342i</v>
      </c>
      <c r="X32" s="337">
        <f t="shared" si="32"/>
        <v>1.0633557050336926</v>
      </c>
      <c r="Y32" s="339">
        <f t="shared" si="33"/>
        <v>0.34693557306899775</v>
      </c>
      <c r="Z32" s="337" t="str">
        <f t="shared" si="8"/>
        <v>1+0.00364215492239419i</v>
      </c>
      <c r="AA32" s="346">
        <f t="shared" si="34"/>
        <v>1.0000066326242434</v>
      </c>
      <c r="AB32" s="347">
        <f t="shared" si="35"/>
        <v>3.6421388177722697E-3</v>
      </c>
      <c r="AC32" s="732" t="str">
        <f t="shared" si="36"/>
        <v>63.2644997261784-162.786431139169i</v>
      </c>
      <c r="AD32" s="337">
        <f t="shared" si="37"/>
        <v>174.64769992367789</v>
      </c>
      <c r="AE32" s="339">
        <f t="shared" si="38"/>
        <v>-1.2001256194497096</v>
      </c>
      <c r="AF32" s="736" t="str">
        <f t="shared" si="9"/>
        <v>139.280553001777-363.171712716245i</v>
      </c>
      <c r="AG32" s="337">
        <f t="shared" si="39"/>
        <v>51.798181610793677</v>
      </c>
      <c r="AH32" s="730">
        <f t="shared" si="40"/>
        <v>-69.017603369304993</v>
      </c>
      <c r="AI32" s="360">
        <f t="shared" si="10"/>
        <v>110.98239663069501</v>
      </c>
      <c r="AL32" s="337">
        <f t="shared" si="11"/>
        <v>44.843257408745302</v>
      </c>
      <c r="AM32" s="730">
        <f t="shared" si="12"/>
        <v>-68.76213287999191</v>
      </c>
      <c r="AN32" s="351"/>
      <c r="AO32" s="337">
        <f t="shared" si="13"/>
        <v>60.484046687090533</v>
      </c>
      <c r="AP32" s="730">
        <f t="shared" si="14"/>
        <v>-0.25547048931312005</v>
      </c>
      <c r="AS32" s="351"/>
      <c r="AT32" s="351"/>
      <c r="AV32" s="405">
        <f t="shared" si="15"/>
        <v>0</v>
      </c>
      <c r="AW32" s="405">
        <f t="shared" si="16"/>
        <v>0</v>
      </c>
      <c r="AX32" s="405">
        <f t="shared" si="17"/>
        <v>0</v>
      </c>
      <c r="AY32" s="405">
        <f t="shared" si="18"/>
        <v>0</v>
      </c>
    </row>
    <row r="33" spans="2:51" ht="13.5" thickBot="1" x14ac:dyDescent="0.25">
      <c r="B33" s="345">
        <v>6.3095999999999997</v>
      </c>
      <c r="C33" s="728" t="str">
        <f t="shared" si="0"/>
        <v>2.2271548443541</v>
      </c>
      <c r="D33" s="728" t="str">
        <f t="shared" si="1"/>
        <v>1+0.00482340029839194i</v>
      </c>
      <c r="E33" s="337">
        <f t="shared" si="20"/>
        <v>1.0000116325275614</v>
      </c>
      <c r="F33" s="338">
        <f t="shared" si="21"/>
        <v>4.8233628931385816E-3</v>
      </c>
      <c r="G33" s="338" t="str">
        <f t="shared" si="2"/>
        <v>1+0.0000198221930070901i</v>
      </c>
      <c r="H33" s="337">
        <f t="shared" si="22"/>
        <v>1.0000000001964597</v>
      </c>
      <c r="I33" s="338">
        <f t="shared" si="23"/>
        <v>1.9822193004493925E-5</v>
      </c>
      <c r="J33" s="340">
        <f t="shared" si="3"/>
        <v>1</v>
      </c>
      <c r="K33" s="338">
        <f t="shared" si="24"/>
        <v>1</v>
      </c>
      <c r="L33" s="339">
        <f t="shared" si="25"/>
        <v>0</v>
      </c>
      <c r="M33" s="731" t="str">
        <f t="shared" si="4"/>
        <v>0.99999999823062+0.000085451325761417i</v>
      </c>
      <c r="N33" s="338">
        <f t="shared" si="26"/>
        <v>1.0000000018815844</v>
      </c>
      <c r="O33" s="339">
        <f t="shared" si="27"/>
        <v>8.5451325704626375E-5</v>
      </c>
      <c r="P33" s="732" t="str">
        <f t="shared" si="19"/>
        <v>2.22710231682687-0.0108883722200047i</v>
      </c>
      <c r="Q33" s="337">
        <f t="shared" si="28"/>
        <v>2.2271289334623652</v>
      </c>
      <c r="R33" s="339">
        <f t="shared" si="29"/>
        <v>-4.8889920258387018E-3</v>
      </c>
      <c r="S33" s="731" t="str">
        <f t="shared" si="5"/>
        <v>6000</v>
      </c>
      <c r="T33" s="337" t="str">
        <f t="shared" si="6"/>
        <v>1+40.0408298743221i</v>
      </c>
      <c r="U33" s="346">
        <f t="shared" si="30"/>
        <v>40.0533151814479</v>
      </c>
      <c r="V33" s="347">
        <f t="shared" si="31"/>
        <v>1.5458270099191522</v>
      </c>
      <c r="W33" s="340" t="str">
        <f t="shared" si="7"/>
        <v>1+0.396443860141803i</v>
      </c>
      <c r="X33" s="337">
        <f t="shared" si="32"/>
        <v>1.0757173114922589</v>
      </c>
      <c r="Y33" s="339">
        <f t="shared" si="33"/>
        <v>0.37743698507316203</v>
      </c>
      <c r="Z33" s="337" t="str">
        <f t="shared" si="8"/>
        <v>1+0.00399355983218726i</v>
      </c>
      <c r="AA33" s="346">
        <f t="shared" si="34"/>
        <v>1.0000079742282724</v>
      </c>
      <c r="AB33" s="347">
        <f t="shared" si="35"/>
        <v>3.9935386019339519E-3</v>
      </c>
      <c r="AC33" s="732" t="str">
        <f t="shared" si="36"/>
        <v>62.5158081510504-148.520590184459i</v>
      </c>
      <c r="AD33" s="337">
        <f t="shared" si="37"/>
        <v>161.14152778697039</v>
      </c>
      <c r="AE33" s="339">
        <f t="shared" si="38"/>
        <v>-1.1723835634479258</v>
      </c>
      <c r="AF33" s="736" t="str">
        <f t="shared" si="9"/>
        <v>137.611953703245-331.451245885086i</v>
      </c>
      <c r="AG33" s="337">
        <f t="shared" si="39"/>
        <v>51.099056738458977</v>
      </c>
      <c r="AH33" s="730">
        <f t="shared" si="40"/>
        <v>-67.452748765227852</v>
      </c>
      <c r="AI33" s="360">
        <f t="shared" si="10"/>
        <v>112.54725123477215</v>
      </c>
      <c r="AL33" s="337">
        <f t="shared" si="11"/>
        <v>44.144149537694091</v>
      </c>
      <c r="AM33" s="730">
        <f t="shared" si="12"/>
        <v>-67.172630156074121</v>
      </c>
      <c r="AN33" s="351"/>
      <c r="AO33" s="337">
        <f t="shared" si="13"/>
        <v>60.484029685807002</v>
      </c>
      <c r="AP33" s="730">
        <f t="shared" si="14"/>
        <v>-0.28011860915367259</v>
      </c>
      <c r="AS33" s="351"/>
      <c r="AT33" s="351"/>
      <c r="AV33" s="405">
        <f t="shared" si="15"/>
        <v>0</v>
      </c>
      <c r="AW33" s="405">
        <f t="shared" si="16"/>
        <v>0</v>
      </c>
      <c r="AX33" s="405">
        <f t="shared" si="17"/>
        <v>0</v>
      </c>
      <c r="AY33" s="405">
        <f t="shared" si="18"/>
        <v>0</v>
      </c>
    </row>
    <row r="34" spans="2:51" ht="13.5" thickBot="1" x14ac:dyDescent="0.25">
      <c r="B34" s="345">
        <v>6.9183000000000003</v>
      </c>
      <c r="C34" s="728" t="str">
        <f t="shared" si="0"/>
        <v>2.2271548443541</v>
      </c>
      <c r="D34" s="728" t="str">
        <f t="shared" si="1"/>
        <v>1+0.00528872357746369i</v>
      </c>
      <c r="E34" s="337">
        <f t="shared" si="20"/>
        <v>1.0000139852007466</v>
      </c>
      <c r="F34" s="338">
        <f t="shared" si="21"/>
        <v>5.2886742687057895E-3</v>
      </c>
      <c r="G34" s="338" t="str">
        <f t="shared" si="2"/>
        <v>1+0.0000217344804553303i</v>
      </c>
      <c r="H34" s="337">
        <f t="shared" si="22"/>
        <v>1.0000000002361937</v>
      </c>
      <c r="I34" s="338">
        <f t="shared" si="23"/>
        <v>2.1734480451907936E-5</v>
      </c>
      <c r="J34" s="340">
        <f t="shared" si="3"/>
        <v>1</v>
      </c>
      <c r="K34" s="338">
        <f t="shared" si="24"/>
        <v>1</v>
      </c>
      <c r="L34" s="339">
        <f t="shared" si="25"/>
        <v>0</v>
      </c>
      <c r="M34" s="731" t="str">
        <f t="shared" si="4"/>
        <v>0.999999997872761+0.0000936949897006484i</v>
      </c>
      <c r="N34" s="338">
        <f t="shared" si="26"/>
        <v>1.0000000022621365</v>
      </c>
      <c r="O34" s="339">
        <f t="shared" si="27"/>
        <v>9.3694989625785034E-5</v>
      </c>
      <c r="P34" s="732" t="str">
        <f t="shared" si="19"/>
        <v>2.22709169338225-0.01193873954411i</v>
      </c>
      <c r="Q34" s="337">
        <f t="shared" si="28"/>
        <v>2.227123693070082</v>
      </c>
      <c r="R34" s="339">
        <f t="shared" si="29"/>
        <v>-5.3606347778796578E-3</v>
      </c>
      <c r="S34" s="731" t="str">
        <f t="shared" si="5"/>
        <v>6000</v>
      </c>
      <c r="T34" s="337" t="str">
        <f t="shared" si="6"/>
        <v>1+43.9036505197671i</v>
      </c>
      <c r="U34" s="346">
        <f t="shared" si="30"/>
        <v>43.915037617675402</v>
      </c>
      <c r="V34" s="347">
        <f t="shared" si="31"/>
        <v>1.5480231152479933</v>
      </c>
      <c r="W34" s="340" t="str">
        <f t="shared" si="7"/>
        <v>1+0.434689609106605i</v>
      </c>
      <c r="X34" s="337">
        <f t="shared" si="32"/>
        <v>1.0903921571000283</v>
      </c>
      <c r="Y34" s="339">
        <f t="shared" si="33"/>
        <v>0.41004912360101625</v>
      </c>
      <c r="Z34" s="337" t="str">
        <f t="shared" si="8"/>
        <v>1+0.00437882670645067i</v>
      </c>
      <c r="AA34" s="346">
        <f t="shared" si="34"/>
        <v>1.0000095870157071</v>
      </c>
      <c r="AB34" s="347">
        <f t="shared" si="35"/>
        <v>4.3787987200515424E-3</v>
      </c>
      <c r="AC34" s="732" t="str">
        <f t="shared" si="36"/>
        <v>61.892936281215-135.510653774606i</v>
      </c>
      <c r="AD34" s="337">
        <f t="shared" si="37"/>
        <v>148.97608146253441</v>
      </c>
      <c r="AE34" s="339">
        <f t="shared" si="38"/>
        <v>-1.1423527903670285</v>
      </c>
      <c r="AF34" s="736" t="str">
        <f t="shared" si="9"/>
        <v>136.223417870064-302.533575032105i</v>
      </c>
      <c r="AG34" s="337">
        <f t="shared" si="39"/>
        <v>50.417217698677888</v>
      </c>
      <c r="AH34" s="730">
        <f t="shared" si="40"/>
        <v>-65.759135351307151</v>
      </c>
      <c r="AI34" s="360">
        <f t="shared" si="10"/>
        <v>114.24086464869285</v>
      </c>
      <c r="AL34" s="337">
        <f t="shared" si="11"/>
        <v>43.462330935671183</v>
      </c>
      <c r="AM34" s="730">
        <f t="shared" si="12"/>
        <v>-65.451993603023624</v>
      </c>
      <c r="AN34" s="351"/>
      <c r="AO34" s="337">
        <f t="shared" si="13"/>
        <v>60.484009248048807</v>
      </c>
      <c r="AP34" s="730">
        <f t="shared" si="14"/>
        <v>-0.30714174828355473</v>
      </c>
      <c r="AS34" s="351"/>
      <c r="AT34" s="351"/>
      <c r="AV34" s="405">
        <f t="shared" si="15"/>
        <v>0</v>
      </c>
      <c r="AW34" s="405">
        <f t="shared" si="16"/>
        <v>0</v>
      </c>
      <c r="AX34" s="405">
        <f t="shared" si="17"/>
        <v>0</v>
      </c>
      <c r="AY34" s="405">
        <f t="shared" si="18"/>
        <v>0</v>
      </c>
    </row>
    <row r="35" spans="2:51" ht="13.5" thickBot="1" x14ac:dyDescent="0.25">
      <c r="B35" s="345">
        <v>7.5857999999999999</v>
      </c>
      <c r="C35" s="728" t="str">
        <f t="shared" si="0"/>
        <v>2.2271548443541</v>
      </c>
      <c r="D35" s="728" t="str">
        <f t="shared" si="1"/>
        <v>1+0.00579899676422302i</v>
      </c>
      <c r="E35" s="337">
        <f t="shared" si="20"/>
        <v>1.0000168140403798</v>
      </c>
      <c r="F35" s="338">
        <f t="shared" si="21"/>
        <v>5.7989317619442475E-3</v>
      </c>
      <c r="G35" s="338" t="str">
        <f t="shared" si="2"/>
        <v>1+0.0000238314935516014i</v>
      </c>
      <c r="H35" s="337">
        <f t="shared" si="22"/>
        <v>1.0000000002839702</v>
      </c>
      <c r="I35" s="338">
        <f t="shared" si="23"/>
        <v>2.383149354708978E-5</v>
      </c>
      <c r="J35" s="340">
        <f t="shared" si="3"/>
        <v>1</v>
      </c>
      <c r="K35" s="338">
        <f t="shared" si="24"/>
        <v>1</v>
      </c>
      <c r="L35" s="339">
        <f t="shared" si="25"/>
        <v>0</v>
      </c>
      <c r="M35" s="731" t="str">
        <f t="shared" si="4"/>
        <v>0.999999997442473+0.000102734985888322i</v>
      </c>
      <c r="N35" s="338">
        <f t="shared" si="26"/>
        <v>1.0000000027197116</v>
      </c>
      <c r="O35" s="339">
        <f t="shared" si="27"/>
        <v>1.0273498578963147E-4</v>
      </c>
      <c r="P35" s="732" t="str">
        <f t="shared" si="19"/>
        <v>2.22707891991765-0.0130905537446458i</v>
      </c>
      <c r="Q35" s="337">
        <f t="shared" si="28"/>
        <v>2.2271173920875631</v>
      </c>
      <c r="R35" s="339">
        <f t="shared" si="29"/>
        <v>-5.8778352541867859E-3</v>
      </c>
      <c r="S35" s="731" t="str">
        <f t="shared" si="5"/>
        <v>6000</v>
      </c>
      <c r="T35" s="337" t="str">
        <f t="shared" si="6"/>
        <v>1+48.1396169742349i</v>
      </c>
      <c r="U35" s="346">
        <f t="shared" si="30"/>
        <v>48.150002309720037</v>
      </c>
      <c r="V35" s="347">
        <f t="shared" si="31"/>
        <v>1.5500264025178785</v>
      </c>
      <c r="W35" s="340" t="str">
        <f t="shared" si="7"/>
        <v>1+0.476629871032029i</v>
      </c>
      <c r="X35" s="337">
        <f t="shared" si="32"/>
        <v>1.1077797768329265</v>
      </c>
      <c r="Y35" s="339">
        <f t="shared" si="33"/>
        <v>0.44477732463779013</v>
      </c>
      <c r="Z35" s="337" t="str">
        <f t="shared" si="8"/>
        <v>1+0.00480131009493568i</v>
      </c>
      <c r="AA35" s="346">
        <f t="shared" si="34"/>
        <v>1.000011526222887</v>
      </c>
      <c r="AB35" s="347">
        <f t="shared" si="35"/>
        <v>4.8012732012531487E-3</v>
      </c>
      <c r="AC35" s="732" t="str">
        <f t="shared" si="36"/>
        <v>61.3746260815608-123.644885566256i</v>
      </c>
      <c r="AD35" s="337">
        <f t="shared" si="37"/>
        <v>138.03949599061835</v>
      </c>
      <c r="AE35" s="339">
        <f t="shared" si="38"/>
        <v>-1.1100503510813398</v>
      </c>
      <c r="AF35" s="736" t="str">
        <f t="shared" si="9"/>
        <v>135.067555944316-276.170346041517i</v>
      </c>
      <c r="AG35" s="337">
        <f t="shared" si="39"/>
        <v>49.754929487390164</v>
      </c>
      <c r="AH35" s="730">
        <f t="shared" si="40"/>
        <v>-63.937975316714244</v>
      </c>
      <c r="AI35" s="360">
        <f t="shared" si="10"/>
        <v>116.06202468328576</v>
      </c>
      <c r="AL35" s="337">
        <f t="shared" si="11"/>
        <v>42.800067298553444</v>
      </c>
      <c r="AM35" s="730">
        <f t="shared" si="12"/>
        <v>-63.601200163976067</v>
      </c>
      <c r="AN35" s="351"/>
      <c r="AO35" s="337">
        <f t="shared" si="13"/>
        <v>60.483984673878879</v>
      </c>
      <c r="AP35" s="730">
        <f t="shared" si="14"/>
        <v>-0.3367751527381071</v>
      </c>
      <c r="AS35" s="351"/>
      <c r="AT35" s="351"/>
      <c r="AV35" s="405">
        <f t="shared" si="15"/>
        <v>0</v>
      </c>
      <c r="AW35" s="405">
        <f t="shared" si="16"/>
        <v>0</v>
      </c>
      <c r="AX35" s="405">
        <f t="shared" si="17"/>
        <v>0</v>
      </c>
      <c r="AY35" s="405">
        <f t="shared" si="18"/>
        <v>0</v>
      </c>
    </row>
    <row r="36" spans="2:51" ht="13.5" thickBot="1" x14ac:dyDescent="0.25">
      <c r="B36" s="345">
        <v>8.3176000000000005</v>
      </c>
      <c r="C36" s="728" t="str">
        <f t="shared" si="0"/>
        <v>2.2271548443541</v>
      </c>
      <c r="D36" s="728" t="str">
        <f t="shared" si="1"/>
        <v>1+0.00635842435683796i</v>
      </c>
      <c r="E36" s="337">
        <f t="shared" si="20"/>
        <v>1.0000202145758363</v>
      </c>
      <c r="F36" s="338">
        <f t="shared" si="21"/>
        <v>6.3583386694828787E-3</v>
      </c>
      <c r="G36" s="338" t="str">
        <f t="shared" si="2"/>
        <v>1+0.0000261305110554984i</v>
      </c>
      <c r="H36" s="337">
        <f t="shared" si="22"/>
        <v>1.0000000003414018</v>
      </c>
      <c r="I36" s="338">
        <f t="shared" si="23"/>
        <v>2.6130511049551062E-5</v>
      </c>
      <c r="J36" s="340">
        <f t="shared" si="3"/>
        <v>1</v>
      </c>
      <c r="K36" s="338">
        <f t="shared" si="24"/>
        <v>1</v>
      </c>
      <c r="L36" s="339">
        <f t="shared" si="25"/>
        <v>0</v>
      </c>
      <c r="M36" s="731" t="str">
        <f t="shared" si="4"/>
        <v>0.999999996925224+0.000112645801184411i</v>
      </c>
      <c r="N36" s="338">
        <f t="shared" si="26"/>
        <v>1.0000000032697622</v>
      </c>
      <c r="O36" s="339">
        <f t="shared" si="27"/>
        <v>1.1264580105431455E-4</v>
      </c>
      <c r="P36" s="732" t="str">
        <f t="shared" si="19"/>
        <v>2.22706356513654-0.0143532981632307i</v>
      </c>
      <c r="Q36" s="337">
        <f t="shared" si="28"/>
        <v>2.2271098177518858</v>
      </c>
      <c r="R36" s="339">
        <f t="shared" si="29"/>
        <v>-6.4448539594876173E-3</v>
      </c>
      <c r="S36" s="731" t="str">
        <f t="shared" si="5"/>
        <v>6000</v>
      </c>
      <c r="T36" s="337" t="str">
        <f t="shared" si="6"/>
        <v>1+52.7836323321069i</v>
      </c>
      <c r="U36" s="346">
        <f t="shared" si="30"/>
        <v>52.793104115699052</v>
      </c>
      <c r="V36" s="347">
        <f t="shared" si="31"/>
        <v>1.5518533260854706</v>
      </c>
      <c r="W36" s="340" t="str">
        <f t="shared" si="7"/>
        <v>1+0.522610221109969i</v>
      </c>
      <c r="X36" s="337">
        <f t="shared" si="32"/>
        <v>1.1283268335055276</v>
      </c>
      <c r="Y36" s="339">
        <f t="shared" si="33"/>
        <v>0.48157174131920955</v>
      </c>
      <c r="Z36" s="337" t="str">
        <f t="shared" si="8"/>
        <v>1+0.00526449113417661i</v>
      </c>
      <c r="AA36" s="346">
        <f t="shared" si="34"/>
        <v>1.000013857337438</v>
      </c>
      <c r="AB36" s="347">
        <f t="shared" si="35"/>
        <v>5.264442500094977E-3</v>
      </c>
      <c r="AC36" s="732" t="str">
        <f t="shared" si="36"/>
        <v>60.9434176085754-112.826594882427i</v>
      </c>
      <c r="AD36" s="337">
        <f t="shared" si="37"/>
        <v>128.23392945151653</v>
      </c>
      <c r="AE36" s="339">
        <f t="shared" si="38"/>
        <v>-1.0755460272663582</v>
      </c>
      <c r="AF36" s="736" t="str">
        <f t="shared" si="9"/>
        <v>134.105431133869-252.146737685096i</v>
      </c>
      <c r="AG36" s="337">
        <f t="shared" si="39"/>
        <v>49.114891658165746</v>
      </c>
      <c r="AH36" s="730">
        <f t="shared" si="40"/>
        <v>-61.993510965881775</v>
      </c>
      <c r="AI36" s="360">
        <f t="shared" si="10"/>
        <v>118.00648903411823</v>
      </c>
      <c r="AL36" s="337">
        <f t="shared" si="11"/>
        <v>42.160059009736685</v>
      </c>
      <c r="AM36" s="730">
        <f t="shared" si="12"/>
        <v>-61.624248034424888</v>
      </c>
      <c r="AN36" s="351"/>
      <c r="AO36" s="337">
        <f t="shared" si="13"/>
        <v>60.483955133471234</v>
      </c>
      <c r="AP36" s="730">
        <f t="shared" si="14"/>
        <v>-0.36926293145681699</v>
      </c>
      <c r="AS36" s="351"/>
      <c r="AT36" s="351"/>
      <c r="AV36" s="405">
        <f t="shared" si="15"/>
        <v>0</v>
      </c>
      <c r="AW36" s="405">
        <f t="shared" si="16"/>
        <v>0</v>
      </c>
      <c r="AX36" s="405">
        <f t="shared" si="17"/>
        <v>0</v>
      </c>
      <c r="AY36" s="405">
        <f t="shared" si="18"/>
        <v>0</v>
      </c>
    </row>
    <row r="37" spans="2:51" ht="13.5" thickBot="1" x14ac:dyDescent="0.25">
      <c r="B37" s="345">
        <v>9.1201000000000008</v>
      </c>
      <c r="C37" s="728" t="str">
        <f t="shared" si="0"/>
        <v>2.2271548443541</v>
      </c>
      <c r="D37" s="728" t="str">
        <f t="shared" si="1"/>
        <v>1+0.00697189886226771i</v>
      </c>
      <c r="E37" s="337">
        <f t="shared" si="20"/>
        <v>1.0000243033915455</v>
      </c>
      <c r="F37" s="338">
        <f t="shared" si="21"/>
        <v>6.9717859036641594E-3</v>
      </c>
      <c r="G37" s="338" t="str">
        <f t="shared" si="2"/>
        <v>1+0.0000286516391600043i</v>
      </c>
      <c r="H37" s="337">
        <f t="shared" si="22"/>
        <v>1.0000000004104581</v>
      </c>
      <c r="I37" s="338">
        <f t="shared" si="23"/>
        <v>2.8651639152164097E-5</v>
      </c>
      <c r="J37" s="340">
        <f t="shared" si="3"/>
        <v>1</v>
      </c>
      <c r="K37" s="338">
        <f t="shared" si="24"/>
        <v>1</v>
      </c>
      <c r="L37" s="339">
        <f t="shared" si="25"/>
        <v>0</v>
      </c>
      <c r="M37" s="731" t="str">
        <f t="shared" si="4"/>
        <v>0.999999996303279+0.000123514111207795i</v>
      </c>
      <c r="N37" s="338">
        <f t="shared" si="26"/>
        <v>1.0000000039311467</v>
      </c>
      <c r="O37" s="339">
        <f t="shared" si="27"/>
        <v>1.2351411103629268E-4</v>
      </c>
      <c r="P37" s="732" t="str">
        <f t="shared" si="19"/>
        <v>2.2270451027015-0.0157380066304869i</v>
      </c>
      <c r="Q37" s="337">
        <f t="shared" si="28"/>
        <v>2.2271007104124041</v>
      </c>
      <c r="R37" s="339">
        <f t="shared" si="29"/>
        <v>-7.0666483755482852E-3</v>
      </c>
      <c r="S37" s="731" t="str">
        <f t="shared" si="5"/>
        <v>6000</v>
      </c>
      <c r="T37" s="337" t="str">
        <f t="shared" si="6"/>
        <v>1+57.8763111032087i</v>
      </c>
      <c r="U37" s="346">
        <f t="shared" si="30"/>
        <v>57.884949571675349</v>
      </c>
      <c r="V37" s="347">
        <f t="shared" si="31"/>
        <v>1.5535198195954294</v>
      </c>
      <c r="W37" s="340" t="str">
        <f t="shared" si="7"/>
        <v>1+0.573032783200086i</v>
      </c>
      <c r="X37" s="337">
        <f t="shared" si="32"/>
        <v>1.1525478604474682</v>
      </c>
      <c r="Y37" s="339">
        <f t="shared" si="33"/>
        <v>0.52035460740846751</v>
      </c>
      <c r="Z37" s="337" t="str">
        <f t="shared" si="8"/>
        <v>1+0.00577242060123163i</v>
      </c>
      <c r="AA37" s="346">
        <f t="shared" si="34"/>
        <v>1.0000166602810163</v>
      </c>
      <c r="AB37" s="347">
        <f t="shared" si="35"/>
        <v>5.7723564885464171E-3</v>
      </c>
      <c r="AC37" s="732" t="str">
        <f t="shared" si="36"/>
        <v>60.5845589916216-102.962014427215i</v>
      </c>
      <c r="AD37" s="337">
        <f t="shared" si="37"/>
        <v>119.46407494774027</v>
      </c>
      <c r="AE37" s="339">
        <f t="shared" si="38"/>
        <v>-1.0389375686755113</v>
      </c>
      <c r="AF37" s="736" t="str">
        <f t="shared" si="9"/>
        <v>133.304128535877-230.254530185526i</v>
      </c>
      <c r="AG37" s="337">
        <f t="shared" si="39"/>
        <v>48.499543620088716</v>
      </c>
      <c r="AH37" s="730">
        <f t="shared" si="40"/>
        <v>-59.931626989911898</v>
      </c>
      <c r="AI37" s="360">
        <f t="shared" si="10"/>
        <v>120.0683730100881</v>
      </c>
      <c r="AL37" s="337">
        <f t="shared" si="11"/>
        <v>41.544746491016042</v>
      </c>
      <c r="AM37" s="730">
        <f t="shared" si="12"/>
        <v>-59.52673786268992</v>
      </c>
      <c r="AN37" s="351"/>
      <c r="AO37" s="337">
        <f t="shared" si="13"/>
        <v>60.483919614114832</v>
      </c>
      <c r="AP37" s="730">
        <f t="shared" si="14"/>
        <v>-0.40488912722189424</v>
      </c>
      <c r="AS37" s="351"/>
      <c r="AT37" s="351"/>
      <c r="AV37" s="405">
        <f t="shared" si="15"/>
        <v>0</v>
      </c>
      <c r="AW37" s="405">
        <f t="shared" si="16"/>
        <v>0</v>
      </c>
      <c r="AX37" s="405">
        <f t="shared" si="17"/>
        <v>0</v>
      </c>
      <c r="AY37" s="405">
        <f t="shared" si="18"/>
        <v>0</v>
      </c>
    </row>
    <row r="38" spans="2:51" ht="13.5" thickBot="1" x14ac:dyDescent="0.25">
      <c r="B38" s="345">
        <v>10</v>
      </c>
      <c r="C38" s="728" t="str">
        <f t="shared" si="0"/>
        <v>2.2271548443541</v>
      </c>
      <c r="D38" s="728" t="str">
        <f t="shared" si="1"/>
        <v>1+0.00764454212373517i</v>
      </c>
      <c r="E38" s="337">
        <f t="shared" si="20"/>
        <v>1.0000292190852633</v>
      </c>
      <c r="F38" s="338">
        <f t="shared" si="21"/>
        <v>7.6443932157620942E-3</v>
      </c>
      <c r="G38" s="338" t="str">
        <f t="shared" si="2"/>
        <v>1+0.0000314159265358979i</v>
      </c>
      <c r="H38" s="337">
        <f t="shared" si="22"/>
        <v>1.0000000004934801</v>
      </c>
      <c r="I38" s="338">
        <f t="shared" si="23"/>
        <v>3.1415926525562473E-5</v>
      </c>
      <c r="J38" s="340">
        <f t="shared" si="3"/>
        <v>1</v>
      </c>
      <c r="K38" s="338">
        <f t="shared" si="24"/>
        <v>1</v>
      </c>
      <c r="L38" s="339">
        <f t="shared" si="25"/>
        <v>0</v>
      </c>
      <c r="M38" s="731" t="str">
        <f t="shared" si="4"/>
        <v>0.999999995555556+0.000135430654496984i</v>
      </c>
      <c r="N38" s="338">
        <f t="shared" si="26"/>
        <v>1.0000000047262869</v>
      </c>
      <c r="O38" s="339">
        <f t="shared" si="27"/>
        <v>1.3543065427089923E-4</v>
      </c>
      <c r="P38" s="732" t="str">
        <f t="shared" si="19"/>
        <v>2.22702290692243-0.0172562273258756i</v>
      </c>
      <c r="Q38" s="337">
        <f t="shared" si="28"/>
        <v>2.2270897614013569</v>
      </c>
      <c r="R38" s="339">
        <f t="shared" si="29"/>
        <v>-7.7484079435074368E-3</v>
      </c>
      <c r="S38" s="731" t="str">
        <f t="shared" si="5"/>
        <v>6000</v>
      </c>
      <c r="T38" s="337" t="str">
        <f t="shared" si="6"/>
        <v>1+63.4601716025139i</v>
      </c>
      <c r="U38" s="346">
        <f t="shared" si="30"/>
        <v>63.468050071043713</v>
      </c>
      <c r="V38" s="347">
        <f t="shared" si="31"/>
        <v>1.5550397157355607</v>
      </c>
      <c r="W38" s="340" t="str">
        <f t="shared" si="7"/>
        <v>1+0.628318530717959i</v>
      </c>
      <c r="X38" s="337">
        <f t="shared" si="32"/>
        <v>1.181009812001397</v>
      </c>
      <c r="Y38" s="339">
        <f t="shared" si="33"/>
        <v>0.56098211610862403</v>
      </c>
      <c r="Z38" s="337" t="str">
        <f t="shared" si="8"/>
        <v>1+0.00632933915333344i</v>
      </c>
      <c r="AA38" s="346">
        <f t="shared" si="34"/>
        <v>1.0000200300664572</v>
      </c>
      <c r="AB38" s="347">
        <f t="shared" si="35"/>
        <v>6.3292546364625401E-3</v>
      </c>
      <c r="AC38" s="732" t="str">
        <f t="shared" si="36"/>
        <v>60.285928380993-93.9697082133672i</v>
      </c>
      <c r="AD38" s="337">
        <f t="shared" si="37"/>
        <v>111.64541738228034</v>
      </c>
      <c r="AE38" s="339">
        <f t="shared" si="38"/>
        <v>-1.0003868542633996</v>
      </c>
      <c r="AF38" s="736" t="str">
        <f t="shared" si="9"/>
        <v>132.63658082288-210.313000432679i</v>
      </c>
      <c r="AG38" s="337">
        <f t="shared" si="39"/>
        <v>47.911572459746949</v>
      </c>
      <c r="AH38" s="730">
        <f t="shared" si="40"/>
        <v>-57.761895702770396</v>
      </c>
      <c r="AI38" s="360">
        <f t="shared" si="10"/>
        <v>122.2381042972296</v>
      </c>
      <c r="AL38" s="337">
        <f t="shared" si="11"/>
        <v>40.956818032890212</v>
      </c>
      <c r="AM38" s="730">
        <f t="shared" si="12"/>
        <v>-57.31794462966176</v>
      </c>
      <c r="AN38" s="351"/>
      <c r="AO38" s="337">
        <f t="shared" si="13"/>
        <v>60.483876911898882</v>
      </c>
      <c r="AP38" s="730">
        <f t="shared" si="14"/>
        <v>-0.44395107310861776</v>
      </c>
      <c r="AS38" s="351"/>
      <c r="AT38" s="351"/>
      <c r="AV38" s="405">
        <f t="shared" si="15"/>
        <v>0</v>
      </c>
      <c r="AW38" s="405">
        <f t="shared" si="16"/>
        <v>0</v>
      </c>
      <c r="AX38" s="405">
        <f t="shared" si="17"/>
        <v>0</v>
      </c>
      <c r="AY38" s="405">
        <f t="shared" si="18"/>
        <v>0</v>
      </c>
    </row>
    <row r="39" spans="2:51" ht="13.5" thickBot="1" x14ac:dyDescent="0.25">
      <c r="B39" s="345">
        <v>10.965</v>
      </c>
      <c r="C39" s="728" t="str">
        <f t="shared" si="0"/>
        <v>2.2271548443541</v>
      </c>
      <c r="D39" s="728" t="str">
        <f t="shared" si="1"/>
        <v>1+0.00838224043867561i</v>
      </c>
      <c r="E39" s="337">
        <f t="shared" si="20"/>
        <v>1.0000351303603148</v>
      </c>
      <c r="F39" s="338">
        <f t="shared" si="21"/>
        <v>8.3820441294185245E-3</v>
      </c>
      <c r="G39" s="338" t="str">
        <f t="shared" si="2"/>
        <v>1+0.0000344475634466121i</v>
      </c>
      <c r="H39" s="337">
        <f t="shared" si="22"/>
        <v>1.0000000005933172</v>
      </c>
      <c r="I39" s="338">
        <f t="shared" si="23"/>
        <v>3.4447563432986543E-5</v>
      </c>
      <c r="J39" s="340">
        <f t="shared" si="3"/>
        <v>1</v>
      </c>
      <c r="K39" s="338">
        <f t="shared" si="24"/>
        <v>1</v>
      </c>
      <c r="L39" s="339">
        <f t="shared" si="25"/>
        <v>0</v>
      </c>
      <c r="M39" s="731" t="str">
        <f t="shared" si="4"/>
        <v>0.99999999465639+0.000148499712655943i</v>
      </c>
      <c r="N39" s="338">
        <f t="shared" si="26"/>
        <v>1.0000000056824725</v>
      </c>
      <c r="O39" s="339">
        <f t="shared" si="27"/>
        <v>1.4849971235788754E-4</v>
      </c>
      <c r="P39" s="732" t="str">
        <f t="shared" si="19"/>
        <v>2.22699621623911-0.0189212295346808i</v>
      </c>
      <c r="Q39" s="337">
        <f t="shared" si="28"/>
        <v>2.2270765950165292</v>
      </c>
      <c r="R39" s="339">
        <f t="shared" si="29"/>
        <v>-8.4960962783434558E-3</v>
      </c>
      <c r="S39" s="731" t="str">
        <f t="shared" si="5"/>
        <v>6000</v>
      </c>
      <c r="T39" s="337" t="str">
        <f t="shared" si="6"/>
        <v>1+69.5840781621565i</v>
      </c>
      <c r="U39" s="346">
        <f t="shared" si="30"/>
        <v>69.591263343016749</v>
      </c>
      <c r="V39" s="347">
        <f t="shared" si="31"/>
        <v>1.5564262123654731</v>
      </c>
      <c r="W39" s="340" t="str">
        <f t="shared" si="7"/>
        <v>1+0.688951268932242i</v>
      </c>
      <c r="X39" s="337">
        <f t="shared" si="32"/>
        <v>1.2143532644841641</v>
      </c>
      <c r="Y39" s="339">
        <f t="shared" si="33"/>
        <v>0.60327215563952941</v>
      </c>
      <c r="Z39" s="337" t="str">
        <f t="shared" si="8"/>
        <v>1+0.00694012038163011i</v>
      </c>
      <c r="AA39" s="346">
        <f t="shared" si="34"/>
        <v>1.000024082345476</v>
      </c>
      <c r="AB39" s="347">
        <f t="shared" si="35"/>
        <v>6.9400089605906202E-3</v>
      </c>
      <c r="AC39" s="732" t="str">
        <f t="shared" si="36"/>
        <v>60.0373224243912-85.7719309394568i</v>
      </c>
      <c r="AD39" s="337">
        <f t="shared" si="37"/>
        <v>104.69624740635764</v>
      </c>
      <c r="AE39" s="339">
        <f t="shared" si="38"/>
        <v>-0.96009406568653366</v>
      </c>
      <c r="AF39" s="736" t="str">
        <f t="shared" si="9"/>
        <v>132.079979479308-192.149745619932i</v>
      </c>
      <c r="AG39" s="337">
        <f t="shared" si="39"/>
        <v>47.353325390018469</v>
      </c>
      <c r="AH39" s="730">
        <f t="shared" si="40"/>
        <v>-55.49612835848037</v>
      </c>
      <c r="AI39" s="360">
        <f t="shared" si="10"/>
        <v>124.50387164151962</v>
      </c>
      <c r="AL39" s="337">
        <f t="shared" si="11"/>
        <v>40.398622313630661</v>
      </c>
      <c r="AM39" s="730">
        <f t="shared" si="12"/>
        <v>-55.00933789939441</v>
      </c>
      <c r="AN39" s="351"/>
      <c r="AO39" s="337">
        <f t="shared" si="13"/>
        <v>60.483825561429931</v>
      </c>
      <c r="AP39" s="730">
        <f t="shared" si="14"/>
        <v>-0.48679045908588792</v>
      </c>
      <c r="AS39" s="351"/>
      <c r="AT39" s="351"/>
      <c r="AV39" s="405">
        <f t="shared" si="15"/>
        <v>0</v>
      </c>
      <c r="AW39" s="405">
        <f t="shared" si="16"/>
        <v>0</v>
      </c>
      <c r="AX39" s="405">
        <f t="shared" si="17"/>
        <v>0</v>
      </c>
      <c r="AY39" s="405">
        <f t="shared" si="18"/>
        <v>0</v>
      </c>
    </row>
    <row r="40" spans="2:51" ht="13.5" thickBot="1" x14ac:dyDescent="0.25">
      <c r="B40" s="345">
        <v>12.023</v>
      </c>
      <c r="C40" s="728" t="str">
        <f t="shared" si="0"/>
        <v>2.2271548443541</v>
      </c>
      <c r="D40" s="728" t="str">
        <f t="shared" si="1"/>
        <v>1+0.00919103299536679i</v>
      </c>
      <c r="E40" s="337">
        <f t="shared" si="20"/>
        <v>1.0000422366517936</v>
      </c>
      <c r="F40" s="338">
        <f t="shared" si="21"/>
        <v>9.1907742040446151E-3</v>
      </c>
      <c r="G40" s="338" t="str">
        <f t="shared" si="2"/>
        <v>1+0.0000377713684741101i</v>
      </c>
      <c r="H40" s="337">
        <f t="shared" si="22"/>
        <v>1.0000000007133381</v>
      </c>
      <c r="I40" s="338">
        <f t="shared" si="23"/>
        <v>3.7771368456147593E-5</v>
      </c>
      <c r="J40" s="340">
        <f t="shared" si="3"/>
        <v>1</v>
      </c>
      <c r="K40" s="338">
        <f t="shared" si="24"/>
        <v>1</v>
      </c>
      <c r="L40" s="339">
        <f t="shared" si="25"/>
        <v>0</v>
      </c>
      <c r="M40" s="731" t="str">
        <f t="shared" si="4"/>
        <v>0.999999993575443+0.000162828275901724i</v>
      </c>
      <c r="N40" s="338">
        <f t="shared" si="26"/>
        <v>1.0000000068319668</v>
      </c>
      <c r="O40" s="339">
        <f t="shared" si="27"/>
        <v>1.6282827550879894E-4</v>
      </c>
      <c r="P40" s="732" t="str">
        <f t="shared" si="19"/>
        <v>2.22696413042508-0.0207466218961673i</v>
      </c>
      <c r="Q40" s="337">
        <f t="shared" si="28"/>
        <v>2.2270607671368183</v>
      </c>
      <c r="R40" s="339">
        <f t="shared" si="29"/>
        <v>-9.315831111097253E-3</v>
      </c>
      <c r="S40" s="731" t="str">
        <f t="shared" si="5"/>
        <v>6000</v>
      </c>
      <c r="T40" s="337" t="str">
        <f t="shared" si="6"/>
        <v>1+76.2981643177024i</v>
      </c>
      <c r="U40" s="346">
        <f t="shared" si="30"/>
        <v>76.304717273908537</v>
      </c>
      <c r="V40" s="347">
        <f t="shared" si="31"/>
        <v>1.5576906019724797</v>
      </c>
      <c r="W40" s="340" t="str">
        <f t="shared" si="7"/>
        <v>1+0.755427369482202i</v>
      </c>
      <c r="X40" s="337">
        <f t="shared" si="32"/>
        <v>1.2532639428958288</v>
      </c>
      <c r="Y40" s="339">
        <f t="shared" si="33"/>
        <v>0.64696558592602249</v>
      </c>
      <c r="Z40" s="337" t="str">
        <f t="shared" si="8"/>
        <v>1+0.00760976446405279i</v>
      </c>
      <c r="AA40" s="346">
        <f t="shared" si="34"/>
        <v>1.0000289538384368</v>
      </c>
      <c r="AB40" s="347">
        <f t="shared" si="35"/>
        <v>7.6096175791025818E-3</v>
      </c>
      <c r="AC40" s="732" t="str">
        <f t="shared" si="36"/>
        <v>59.8303776681613-78.3021714040416i</v>
      </c>
      <c r="AD40" s="337">
        <f t="shared" si="37"/>
        <v>98.543919845430977</v>
      </c>
      <c r="AE40" s="339">
        <f t="shared" si="38"/>
        <v>-0.91833463362555967</v>
      </c>
      <c r="AF40" s="736" t="str">
        <f t="shared" si="9"/>
        <v>131.615599433012-175.617405274583i</v>
      </c>
      <c r="AG40" s="337">
        <f t="shared" si="39"/>
        <v>46.827238015286866</v>
      </c>
      <c r="AH40" s="730">
        <f t="shared" si="40"/>
        <v>-53.150456492759886</v>
      </c>
      <c r="AI40" s="360">
        <f t="shared" si="10"/>
        <v>126.84954350724011</v>
      </c>
      <c r="AL40" s="337">
        <f t="shared" si="11"/>
        <v>39.872596669916845</v>
      </c>
      <c r="AM40" s="730">
        <f t="shared" si="12"/>
        <v>-52.616698687437299</v>
      </c>
      <c r="AN40" s="351"/>
      <c r="AO40" s="337">
        <f t="shared" si="13"/>
        <v>60.483763830412165</v>
      </c>
      <c r="AP40" s="730">
        <f t="shared" si="14"/>
        <v>-0.53375780532254136</v>
      </c>
      <c r="AS40" s="351"/>
      <c r="AT40" s="351"/>
      <c r="AV40" s="405">
        <f t="shared" si="15"/>
        <v>0</v>
      </c>
      <c r="AW40" s="405">
        <f t="shared" si="16"/>
        <v>0</v>
      </c>
      <c r="AX40" s="405">
        <f t="shared" si="17"/>
        <v>0</v>
      </c>
      <c r="AY40" s="405">
        <f t="shared" si="18"/>
        <v>0</v>
      </c>
    </row>
    <row r="41" spans="2:51" ht="13.5" thickBot="1" x14ac:dyDescent="0.25">
      <c r="B41" s="345">
        <v>13.183</v>
      </c>
      <c r="C41" s="728" t="str">
        <f t="shared" si="0"/>
        <v>2.2271548443541</v>
      </c>
      <c r="D41" s="728" t="str">
        <f t="shared" si="1"/>
        <v>1+0.0100777998817201i</v>
      </c>
      <c r="E41" s="337">
        <f t="shared" si="20"/>
        <v>1.0000507797359373</v>
      </c>
      <c r="F41" s="338">
        <f t="shared" si="21"/>
        <v>1.00774587285021E-2</v>
      </c>
      <c r="G41" s="338" t="str">
        <f t="shared" si="2"/>
        <v>1+0.0000414156159522743i</v>
      </c>
      <c r="H41" s="337">
        <f t="shared" si="22"/>
        <v>1.0000000008576266</v>
      </c>
      <c r="I41" s="338">
        <f t="shared" si="23"/>
        <v>4.1415615928594879E-5</v>
      </c>
      <c r="J41" s="340">
        <f t="shared" si="3"/>
        <v>1</v>
      </c>
      <c r="K41" s="338">
        <f t="shared" si="24"/>
        <v>1</v>
      </c>
      <c r="L41" s="339">
        <f t="shared" si="25"/>
        <v>0</v>
      </c>
      <c r="M41" s="731" t="str">
        <f t="shared" si="4"/>
        <v>0.999999992275934+0.000178538231823374i</v>
      </c>
      <c r="N41" s="338">
        <f t="shared" si="26"/>
        <v>1.000000008213884</v>
      </c>
      <c r="O41" s="339">
        <f t="shared" si="27"/>
        <v>1.7853823130539281E-4</v>
      </c>
      <c r="P41" s="732" t="str">
        <f t="shared" si="19"/>
        <v>2.22692555821401-0.022747903421072i</v>
      </c>
      <c r="Q41" s="337">
        <f t="shared" si="28"/>
        <v>2.2270417393791329</v>
      </c>
      <c r="R41" s="339">
        <f t="shared" si="29"/>
        <v>-1.0214581343878908E-2</v>
      </c>
      <c r="S41" s="731" t="str">
        <f t="shared" si="5"/>
        <v>6000</v>
      </c>
      <c r="T41" s="337" t="str">
        <f t="shared" si="6"/>
        <v>1+83.659544223594i</v>
      </c>
      <c r="U41" s="346">
        <f t="shared" si="30"/>
        <v>83.665520614524837</v>
      </c>
      <c r="V41" s="347">
        <f t="shared" si="31"/>
        <v>1.5588436872370028</v>
      </c>
      <c r="W41" s="340" t="str">
        <f t="shared" si="7"/>
        <v>1+0.828312319045485i</v>
      </c>
      <c r="X41" s="337">
        <f t="shared" si="32"/>
        <v>1.2984996333778878</v>
      </c>
      <c r="Y41" s="339">
        <f t="shared" si="33"/>
        <v>0.69176772803883524</v>
      </c>
      <c r="Z41" s="337" t="str">
        <f t="shared" si="8"/>
        <v>1+0.00834396780583947i</v>
      </c>
      <c r="AA41" s="346">
        <f t="shared" si="34"/>
        <v>1.0000348102934942</v>
      </c>
      <c r="AB41" s="347">
        <f t="shared" si="35"/>
        <v>8.3437741732455984E-3</v>
      </c>
      <c r="AC41" s="732" t="str">
        <f t="shared" si="36"/>
        <v>59.6580396561485-71.496801652155i</v>
      </c>
      <c r="AD41" s="337">
        <f t="shared" si="37"/>
        <v>93.117529725085504</v>
      </c>
      <c r="AE41" s="339">
        <f t="shared" si="38"/>
        <v>-0.87541973337141565</v>
      </c>
      <c r="AF41" s="736" t="str">
        <f t="shared" si="9"/>
        <v>131.227610924323-160.57515025413i</v>
      </c>
      <c r="AG41" s="337">
        <f t="shared" si="39"/>
        <v>46.335196058725565</v>
      </c>
      <c r="AH41" s="730">
        <f t="shared" si="40"/>
        <v>-50.743108425147312</v>
      </c>
      <c r="AI41" s="360">
        <f t="shared" si="10"/>
        <v>129.25689157485269</v>
      </c>
      <c r="AL41" s="337">
        <f t="shared" si="11"/>
        <v>39.38062892494051</v>
      </c>
      <c r="AM41" s="730">
        <f t="shared" si="12"/>
        <v>-50.157856024649945</v>
      </c>
      <c r="AN41" s="351"/>
      <c r="AO41" s="337">
        <f t="shared" si="13"/>
        <v>60.483689618827214</v>
      </c>
      <c r="AP41" s="730">
        <f t="shared" si="14"/>
        <v>-0.58525240049733052</v>
      </c>
      <c r="AS41" s="351"/>
      <c r="AT41" s="351"/>
      <c r="AV41" s="405">
        <f t="shared" si="15"/>
        <v>0</v>
      </c>
      <c r="AW41" s="405">
        <f t="shared" si="16"/>
        <v>0</v>
      </c>
      <c r="AX41" s="405">
        <f t="shared" si="17"/>
        <v>0</v>
      </c>
      <c r="AY41" s="405">
        <f t="shared" si="18"/>
        <v>0</v>
      </c>
    </row>
    <row r="42" spans="2:51" ht="13.5" thickBot="1" x14ac:dyDescent="0.25">
      <c r="B42" s="345">
        <v>14.454000000000001</v>
      </c>
      <c r="C42" s="728" t="str">
        <f t="shared" si="0"/>
        <v>2.2271548443541</v>
      </c>
      <c r="D42" s="728" t="str">
        <f t="shared" si="1"/>
        <v>1+0.0110494211856468i</v>
      </c>
      <c r="E42" s="337">
        <f t="shared" si="20"/>
        <v>1.0000610429911456</v>
      </c>
      <c r="F42" s="338">
        <f t="shared" si="21"/>
        <v>1.1048971545046879E-2</v>
      </c>
      <c r="G42" s="338" t="str">
        <f t="shared" si="2"/>
        <v>1+0.0000454085802149869i</v>
      </c>
      <c r="H42" s="337">
        <f t="shared" si="22"/>
        <v>1.0000000010309695</v>
      </c>
      <c r="I42" s="338">
        <f t="shared" si="23"/>
        <v>4.5408580183776987E-5</v>
      </c>
      <c r="J42" s="340">
        <f t="shared" si="3"/>
        <v>1</v>
      </c>
      <c r="K42" s="338">
        <f t="shared" si="24"/>
        <v>1</v>
      </c>
      <c r="L42" s="339">
        <f t="shared" si="25"/>
        <v>0</v>
      </c>
      <c r="M42" s="731" t="str">
        <f t="shared" si="4"/>
        <v>0.99999999071475+0.000195751468009941i</v>
      </c>
      <c r="N42" s="338">
        <f t="shared" si="26"/>
        <v>1.0000000098740687</v>
      </c>
      <c r="O42" s="339">
        <f t="shared" si="27"/>
        <v>1.9575146732723247E-4</v>
      </c>
      <c r="P42" s="732" t="str">
        <f t="shared" si="19"/>
        <v>2.2268792207002-0.0249405633242748i</v>
      </c>
      <c r="Q42" s="337">
        <f t="shared" si="28"/>
        <v>2.2270188807653302</v>
      </c>
      <c r="R42" s="339">
        <f t="shared" si="29"/>
        <v>-1.1199314432190346E-2</v>
      </c>
      <c r="S42" s="731" t="str">
        <f t="shared" si="5"/>
        <v>6000</v>
      </c>
      <c r="T42" s="337" t="str">
        <f t="shared" si="6"/>
        <v>1+91.7253320342734i</v>
      </c>
      <c r="U42" s="346">
        <f t="shared" si="30"/>
        <v>91.730782929165613</v>
      </c>
      <c r="V42" s="347">
        <f t="shared" si="31"/>
        <v>1.5598946449807929</v>
      </c>
      <c r="W42" s="340" t="str">
        <f t="shared" si="7"/>
        <v>1+0.908171604299737i</v>
      </c>
      <c r="X42" s="337">
        <f t="shared" si="32"/>
        <v>1.3508425751568383</v>
      </c>
      <c r="Y42" s="339">
        <f t="shared" si="33"/>
        <v>0.73731149997518142</v>
      </c>
      <c r="Z42" s="337" t="str">
        <f t="shared" si="8"/>
        <v>1+0.00914842681222814i</v>
      </c>
      <c r="AA42" s="346">
        <f t="shared" si="34"/>
        <v>1.0000418459810263</v>
      </c>
      <c r="AB42" s="347">
        <f t="shared" si="35"/>
        <v>9.1481716031072257E-3</v>
      </c>
      <c r="AC42" s="732" t="str">
        <f t="shared" si="36"/>
        <v>59.5145236928123-65.3017994064858i</v>
      </c>
      <c r="AD42" s="337">
        <f t="shared" si="37"/>
        <v>88.353288202008798</v>
      </c>
      <c r="AE42" s="339">
        <f t="shared" si="38"/>
        <v>-0.83173131660871935</v>
      </c>
      <c r="AF42" s="736" t="str">
        <f t="shared" si="9"/>
        <v>130.902992478107-146.903545919511i</v>
      </c>
      <c r="AG42" s="337">
        <f t="shared" si="39"/>
        <v>45.878932321817928</v>
      </c>
      <c r="AH42" s="730">
        <f t="shared" si="40"/>
        <v>-48.296367580943375</v>
      </c>
      <c r="AI42" s="360">
        <f t="shared" si="10"/>
        <v>131.70363241905662</v>
      </c>
      <c r="AL42" s="337">
        <f t="shared" si="11"/>
        <v>38.924454341465506</v>
      </c>
      <c r="AM42" s="730">
        <f t="shared" si="12"/>
        <v>-47.65469413053885</v>
      </c>
      <c r="AN42" s="351"/>
      <c r="AO42" s="337">
        <f t="shared" si="13"/>
        <v>60.483600465394566</v>
      </c>
      <c r="AP42" s="730">
        <f t="shared" si="14"/>
        <v>-0.64167345040445833</v>
      </c>
      <c r="AS42" s="351"/>
      <c r="AT42" s="351"/>
      <c r="AV42" s="405">
        <f t="shared" si="15"/>
        <v>0</v>
      </c>
      <c r="AW42" s="405">
        <f t="shared" si="16"/>
        <v>0</v>
      </c>
      <c r="AX42" s="405">
        <f t="shared" si="17"/>
        <v>0</v>
      </c>
      <c r="AY42" s="405">
        <f t="shared" si="18"/>
        <v>0</v>
      </c>
    </row>
    <row r="43" spans="2:51" ht="13.5" thickBot="1" x14ac:dyDescent="0.25">
      <c r="B43" s="345">
        <v>15.849</v>
      </c>
      <c r="C43" s="728" t="str">
        <f t="shared" si="0"/>
        <v>2.2271548443541</v>
      </c>
      <c r="D43" s="728" t="str">
        <f t="shared" si="1"/>
        <v>1+0.0121158348119079i</v>
      </c>
      <c r="E43" s="337">
        <f t="shared" si="20"/>
        <v>1.0000733940332527</v>
      </c>
      <c r="F43" s="338">
        <f t="shared" si="21"/>
        <v>1.211524202237416E-2</v>
      </c>
      <c r="G43" s="338" t="str">
        <f t="shared" si="2"/>
        <v>1+0.0000497911019667447i</v>
      </c>
      <c r="H43" s="337">
        <f t="shared" si="22"/>
        <v>1.0000000012395769</v>
      </c>
      <c r="I43" s="338">
        <f t="shared" si="23"/>
        <v>4.97911019255981E-5</v>
      </c>
      <c r="J43" s="340">
        <f t="shared" si="3"/>
        <v>1</v>
      </c>
      <c r="K43" s="338">
        <f t="shared" si="24"/>
        <v>1</v>
      </c>
      <c r="L43" s="339">
        <f t="shared" si="25"/>
        <v>0</v>
      </c>
      <c r="M43" s="731" t="str">
        <f t="shared" si="4"/>
        <v>0.999999988835964+0.00021464404431227i</v>
      </c>
      <c r="N43" s="338">
        <f t="shared" si="26"/>
        <v>1.0000000118719967</v>
      </c>
      <c r="O43" s="339">
        <f t="shared" si="27"/>
        <v>2.1464404341219902E-4</v>
      </c>
      <c r="P43" s="732" t="str">
        <f t="shared" si="19"/>
        <v>2.22682345894038-0.0273469782054744i</v>
      </c>
      <c r="Q43" s="337">
        <f t="shared" si="28"/>
        <v>2.2269913727951818</v>
      </c>
      <c r="R43" s="339">
        <f t="shared" si="29"/>
        <v>-1.2280094963860847E-2</v>
      </c>
      <c r="S43" s="731" t="str">
        <f t="shared" si="5"/>
        <v>6000</v>
      </c>
      <c r="T43" s="337" t="str">
        <f t="shared" si="6"/>
        <v>1+100.578025972824i</v>
      </c>
      <c r="U43" s="346">
        <f t="shared" si="30"/>
        <v>100.58299711477113</v>
      </c>
      <c r="V43" s="347">
        <f t="shared" si="31"/>
        <v>1.5608541247981482</v>
      </c>
      <c r="W43" s="340" t="str">
        <f t="shared" si="7"/>
        <v>1+0.995822039334893i</v>
      </c>
      <c r="X43" s="337">
        <f t="shared" si="32"/>
        <v>1.4112623902113686</v>
      </c>
      <c r="Y43" s="339">
        <f t="shared" si="33"/>
        <v>0.78330481314878131</v>
      </c>
      <c r="Z43" s="337" t="str">
        <f t="shared" si="8"/>
        <v>1+0.0100313696241182i</v>
      </c>
      <c r="AA43" s="346">
        <f t="shared" si="34"/>
        <v>1.0000503129225728</v>
      </c>
      <c r="AB43" s="347">
        <f t="shared" si="35"/>
        <v>1.0031033164285842E-2</v>
      </c>
      <c r="AC43" s="732" t="str">
        <f t="shared" si="36"/>
        <v>59.3947170241024-59.6545044351465i</v>
      </c>
      <c r="AD43" s="337">
        <f t="shared" si="37"/>
        <v>84.180712219463388</v>
      </c>
      <c r="AE43" s="339">
        <f t="shared" si="38"/>
        <v>-0.78758034481365335</v>
      </c>
      <c r="AF43" s="736" t="str">
        <f t="shared" si="9"/>
        <v>130.63017877375-134.464315939626i</v>
      </c>
      <c r="AG43" s="337">
        <f t="shared" si="39"/>
        <v>45.458622608634784</v>
      </c>
      <c r="AH43" s="730">
        <f t="shared" si="40"/>
        <v>-45.828627398729694</v>
      </c>
      <c r="AI43" s="360">
        <f t="shared" si="10"/>
        <v>134.17137260127032</v>
      </c>
      <c r="AL43" s="337">
        <f t="shared" si="11"/>
        <v>38.50425191640219</v>
      </c>
      <c r="AM43" s="730">
        <f t="shared" si="12"/>
        <v>-45.125029785280432</v>
      </c>
      <c r="AN43" s="351"/>
      <c r="AO43" s="337">
        <f t="shared" si="13"/>
        <v>60.483493177274745</v>
      </c>
      <c r="AP43" s="730">
        <f t="shared" si="14"/>
        <v>-0.70359761344908356</v>
      </c>
      <c r="AS43" s="351"/>
      <c r="AT43" s="351"/>
      <c r="AV43" s="405">
        <f t="shared" si="15"/>
        <v>0</v>
      </c>
      <c r="AW43" s="405">
        <f t="shared" si="16"/>
        <v>0</v>
      </c>
      <c r="AX43" s="405">
        <f t="shared" si="17"/>
        <v>0</v>
      </c>
      <c r="AY43" s="405">
        <f t="shared" si="18"/>
        <v>0</v>
      </c>
    </row>
    <row r="44" spans="2:51" ht="13.5" thickBot="1" x14ac:dyDescent="0.25">
      <c r="B44" s="345">
        <v>17.378</v>
      </c>
      <c r="C44" s="728" t="str">
        <f t="shared" si="0"/>
        <v>2.2271548443541</v>
      </c>
      <c r="D44" s="728" t="str">
        <f t="shared" si="1"/>
        <v>1+0.013284685302627i</v>
      </c>
      <c r="E44" s="337">
        <f t="shared" si="20"/>
        <v>1.0000882375388633</v>
      </c>
      <c r="F44" s="338">
        <f t="shared" si="21"/>
        <v>1.3283903878935367E-2</v>
      </c>
      <c r="G44" s="338" t="str">
        <f t="shared" si="2"/>
        <v>1+0.0000545945971340835i</v>
      </c>
      <c r="H44" s="337">
        <f t="shared" si="22"/>
        <v>1.000000001490285</v>
      </c>
      <c r="I44" s="338">
        <f t="shared" si="23"/>
        <v>5.459459707984249E-5</v>
      </c>
      <c r="J44" s="340">
        <f t="shared" si="3"/>
        <v>1</v>
      </c>
      <c r="K44" s="338">
        <f t="shared" si="24"/>
        <v>1</v>
      </c>
      <c r="L44" s="339">
        <f t="shared" si="25"/>
        <v>0</v>
      </c>
      <c r="M44" s="731" t="str">
        <f t="shared" si="4"/>
        <v>0.999999986578005+0.000235351391384859i</v>
      </c>
      <c r="N44" s="338">
        <f t="shared" si="26"/>
        <v>1.0000000142731438</v>
      </c>
      <c r="O44" s="339">
        <f t="shared" si="27"/>
        <v>2.3535139019835124E-4</v>
      </c>
      <c r="P44" s="732" t="str">
        <f t="shared" si="19"/>
        <v>2.22675644708606-0.0299843320052397i</v>
      </c>
      <c r="Q44" s="337">
        <f t="shared" si="28"/>
        <v>2.2269583145638658</v>
      </c>
      <c r="R44" s="339">
        <f t="shared" si="29"/>
        <v>-1.34646606720539E-2</v>
      </c>
      <c r="S44" s="731" t="str">
        <f t="shared" si="5"/>
        <v>6000</v>
      </c>
      <c r="T44" s="337" t="str">
        <f t="shared" si="6"/>
        <v>1+110.281086210849i</v>
      </c>
      <c r="U44" s="346">
        <f t="shared" si="30"/>
        <v>110.28561998667237</v>
      </c>
      <c r="V44" s="347">
        <f t="shared" si="31"/>
        <v>1.5617288372755922</v>
      </c>
      <c r="W44" s="340" t="str">
        <f t="shared" si="7"/>
        <v>1+1.09189194268167i</v>
      </c>
      <c r="X44" s="337">
        <f t="shared" si="32"/>
        <v>1.480617443667726</v>
      </c>
      <c r="Y44" s="339">
        <f t="shared" si="33"/>
        <v>0.82929761298778648</v>
      </c>
      <c r="Z44" s="337" t="str">
        <f t="shared" si="8"/>
        <v>1+0.0109991255806629i</v>
      </c>
      <c r="AA44" s="346">
        <f t="shared" si="34"/>
        <v>1.0000604885523372</v>
      </c>
      <c r="AB44" s="347">
        <f t="shared" si="35"/>
        <v>1.0998682051987179E-2</v>
      </c>
      <c r="AC44" s="732" t="str">
        <f t="shared" si="36"/>
        <v>59.2947361226255-54.51551210225i</v>
      </c>
      <c r="AD44" s="337">
        <f t="shared" si="37"/>
        <v>80.546922918398039</v>
      </c>
      <c r="AE44" s="339">
        <f t="shared" si="38"/>
        <v>-0.74342990633979344</v>
      </c>
      <c r="AF44" s="736" t="str">
        <f t="shared" si="9"/>
        <v>130.400324725013-123.170681093947i</v>
      </c>
      <c r="AG44" s="337">
        <f t="shared" si="39"/>
        <v>45.0752208349829</v>
      </c>
      <c r="AH44" s="730">
        <f t="shared" si="40"/>
        <v>-43.366864226160772</v>
      </c>
      <c r="AI44" s="360">
        <f t="shared" si="10"/>
        <v>136.63313577383923</v>
      </c>
      <c r="AL44" s="337">
        <f t="shared" si="11"/>
        <v>38.120979080061709</v>
      </c>
      <c r="AM44" s="730">
        <f t="shared" si="12"/>
        <v>-42.595395997076245</v>
      </c>
      <c r="AN44" s="351"/>
      <c r="AO44" s="337">
        <f t="shared" si="13"/>
        <v>60.48336423996335</v>
      </c>
      <c r="AP44" s="730">
        <f t="shared" si="14"/>
        <v>-0.77146822908447132</v>
      </c>
      <c r="AS44" s="351"/>
      <c r="AT44" s="351"/>
      <c r="AV44" s="405">
        <f t="shared" si="15"/>
        <v>0</v>
      </c>
      <c r="AW44" s="405">
        <f t="shared" si="16"/>
        <v>0</v>
      </c>
      <c r="AX44" s="405">
        <f t="shared" si="17"/>
        <v>0</v>
      </c>
      <c r="AY44" s="405">
        <f t="shared" si="18"/>
        <v>0</v>
      </c>
    </row>
    <row r="45" spans="2:51" ht="13.5" thickBot="1" x14ac:dyDescent="0.25">
      <c r="B45" s="345">
        <v>19.055</v>
      </c>
      <c r="C45" s="728" t="str">
        <f t="shared" si="0"/>
        <v>2.2271548443541</v>
      </c>
      <c r="D45" s="728" t="str">
        <f t="shared" si="1"/>
        <v>1+0.0145666750167774i</v>
      </c>
      <c r="E45" s="337">
        <f t="shared" si="20"/>
        <v>1.0001060883831496</v>
      </c>
      <c r="F45" s="338">
        <f t="shared" si="21"/>
        <v>1.4565644856611805E-2</v>
      </c>
      <c r="G45" s="338" t="str">
        <f t="shared" si="2"/>
        <v>1+0.0000598630480141535i</v>
      </c>
      <c r="H45" s="337">
        <f t="shared" si="22"/>
        <v>1.0000000017917923</v>
      </c>
      <c r="I45" s="338">
        <f t="shared" si="23"/>
        <v>5.9863047942645397E-5</v>
      </c>
      <c r="J45" s="340">
        <f t="shared" si="3"/>
        <v>1</v>
      </c>
      <c r="K45" s="338">
        <f t="shared" si="24"/>
        <v>1</v>
      </c>
      <c r="L45" s="339">
        <f t="shared" si="25"/>
        <v>0</v>
      </c>
      <c r="M45" s="731" t="str">
        <f t="shared" si="4"/>
        <v>0.999999983862532+0.000258063112144003i</v>
      </c>
      <c r="N45" s="338">
        <f t="shared" si="26"/>
        <v>1.000000017160817</v>
      </c>
      <c r="O45" s="339">
        <f t="shared" si="27"/>
        <v>2.580631105797822E-4</v>
      </c>
      <c r="P45" s="732" t="str">
        <f t="shared" si="19"/>
        <v>2.22667586238118-0.0328766858749885i</v>
      </c>
      <c r="Q45" s="337">
        <f t="shared" si="28"/>
        <v>2.2269185599354762</v>
      </c>
      <c r="R45" s="339">
        <f t="shared" si="29"/>
        <v>-1.4763844919248951E-2</v>
      </c>
      <c r="S45" s="731" t="str">
        <f t="shared" si="5"/>
        <v>6000</v>
      </c>
      <c r="T45" s="337" t="str">
        <f t="shared" si="6"/>
        <v>1+120.92335698859i</v>
      </c>
      <c r="U45" s="346">
        <f t="shared" si="30"/>
        <v>120.92749176837324</v>
      </c>
      <c r="V45" s="347">
        <f t="shared" si="31"/>
        <v>1.5625268143545077</v>
      </c>
      <c r="W45" s="340" t="str">
        <f t="shared" si="7"/>
        <v>1+1.19726096028307i</v>
      </c>
      <c r="X45" s="337">
        <f t="shared" si="32"/>
        <v>1.5599467321091252</v>
      </c>
      <c r="Y45" s="339">
        <f t="shared" si="33"/>
        <v>0.87493397960909269</v>
      </c>
      <c r="Z45" s="337" t="str">
        <f t="shared" si="8"/>
        <v>1+0.0120605557566769i</v>
      </c>
      <c r="AA45" s="346">
        <f t="shared" si="34"/>
        <v>1.0000727258580548</v>
      </c>
      <c r="AB45" s="347">
        <f t="shared" si="35"/>
        <v>1.2059971043599443E-2</v>
      </c>
      <c r="AC45" s="732" t="str">
        <f t="shared" si="36"/>
        <v>59.2111075761221-49.8376957319237i</v>
      </c>
      <c r="AD45" s="337">
        <f t="shared" si="37"/>
        <v>77.393482776386989</v>
      </c>
      <c r="AE45" s="339">
        <f t="shared" si="38"/>
        <v>-0.6996528057890139</v>
      </c>
      <c r="AF45" s="736" t="str">
        <f t="shared" si="9"/>
        <v>130.205445757295-112.919059107062i</v>
      </c>
      <c r="AG45" s="337">
        <f t="shared" si="39"/>
        <v>44.728174511899311</v>
      </c>
      <c r="AH45" s="730">
        <f t="shared" si="40"/>
        <v>-40.933058899455233</v>
      </c>
      <c r="AI45" s="360">
        <f t="shared" si="10"/>
        <v>139.06694110054477</v>
      </c>
      <c r="AL45" s="337">
        <f t="shared" si="11"/>
        <v>37.774087814840961</v>
      </c>
      <c r="AM45" s="730">
        <f t="shared" si="12"/>
        <v>-40.087152896196748</v>
      </c>
      <c r="AN45" s="351"/>
      <c r="AO45" s="337">
        <f t="shared" si="13"/>
        <v>60.483209182100531</v>
      </c>
      <c r="AP45" s="730">
        <f t="shared" si="14"/>
        <v>-0.84590600325862653</v>
      </c>
      <c r="AS45" s="351"/>
      <c r="AT45" s="351"/>
      <c r="AV45" s="405">
        <f t="shared" si="15"/>
        <v>0</v>
      </c>
      <c r="AW45" s="405">
        <f t="shared" si="16"/>
        <v>0</v>
      </c>
      <c r="AX45" s="405">
        <f t="shared" si="17"/>
        <v>0</v>
      </c>
      <c r="AY45" s="405">
        <f t="shared" si="18"/>
        <v>0</v>
      </c>
    </row>
    <row r="46" spans="2:51" ht="13.5" thickBot="1" x14ac:dyDescent="0.25">
      <c r="B46" s="345">
        <v>20.893000000000001</v>
      </c>
      <c r="C46" s="728" t="str">
        <f t="shared" si="0"/>
        <v>2.2271548443541</v>
      </c>
      <c r="D46" s="728" t="str">
        <f t="shared" si="1"/>
        <v>1+0.0159717418591199i</v>
      </c>
      <c r="E46" s="337">
        <f t="shared" si="20"/>
        <v>1.0001275401357641</v>
      </c>
      <c r="F46" s="338">
        <f t="shared" si="21"/>
        <v>1.5970383954933731E-2</v>
      </c>
      <c r="G46" s="338" t="str">
        <f t="shared" si="2"/>
        <v>1+0.0000656372953114515i</v>
      </c>
      <c r="H46" s="337">
        <f t="shared" si="22"/>
        <v>1.0000000021541273</v>
      </c>
      <c r="I46" s="338">
        <f t="shared" si="23"/>
        <v>6.5637295217190776E-5</v>
      </c>
      <c r="J46" s="340">
        <f t="shared" si="3"/>
        <v>1</v>
      </c>
      <c r="K46" s="338">
        <f t="shared" si="24"/>
        <v>1</v>
      </c>
      <c r="L46" s="339">
        <f t="shared" si="25"/>
        <v>0</v>
      </c>
      <c r="M46" s="731" t="str">
        <f t="shared" si="4"/>
        <v>0.999999980599224+0.000282955266440549i</v>
      </c>
      <c r="N46" s="338">
        <f t="shared" si="26"/>
        <v>1.0000000206310653</v>
      </c>
      <c r="O46" s="339">
        <f t="shared" si="27"/>
        <v>2.8295526437862049E-4</v>
      </c>
      <c r="P46" s="732" t="str">
        <f t="shared" si="19"/>
        <v>2.22657902767537-0.0360463462139919i</v>
      </c>
      <c r="Q46" s="337">
        <f t="shared" si="28"/>
        <v>2.2268707878004896</v>
      </c>
      <c r="R46" s="339">
        <f t="shared" si="29"/>
        <v>-1.6187701924095223E-2</v>
      </c>
      <c r="S46" s="731" t="str">
        <f t="shared" si="5"/>
        <v>6000</v>
      </c>
      <c r="T46" s="337" t="str">
        <f t="shared" si="6"/>
        <v>1+132.587336529132i</v>
      </c>
      <c r="U46" s="346">
        <f t="shared" si="30"/>
        <v>132.5911075747137</v>
      </c>
      <c r="V46" s="347">
        <f t="shared" si="31"/>
        <v>1.5632542713826758</v>
      </c>
      <c r="W46" s="340" t="str">
        <f t="shared" si="7"/>
        <v>1+1.31274590622903i</v>
      </c>
      <c r="X46" s="337">
        <f t="shared" si="32"/>
        <v>1.6502429561495111</v>
      </c>
      <c r="Y46" s="339">
        <f t="shared" si="33"/>
        <v>0.91980991314500049</v>
      </c>
      <c r="Z46" s="337" t="str">
        <f t="shared" si="8"/>
        <v>1+0.0132238882930595i</v>
      </c>
      <c r="AA46" s="346">
        <f t="shared" si="34"/>
        <v>1.0000874317886348</v>
      </c>
      <c r="AB46" s="347">
        <f t="shared" si="35"/>
        <v>1.3223117548093239E-2</v>
      </c>
      <c r="AC46" s="732" t="str">
        <f t="shared" si="36"/>
        <v>59.1410441024425-45.5846651013075i</v>
      </c>
      <c r="AD46" s="337">
        <f t="shared" si="37"/>
        <v>74.670106400924666</v>
      </c>
      <c r="AE46" s="339">
        <f t="shared" si="38"/>
        <v>-0.65666747578576823</v>
      </c>
      <c r="AF46" s="736" t="str">
        <f t="shared" si="9"/>
        <v>130.039047853032-103.62967784935i</v>
      </c>
      <c r="AG46" s="337">
        <f t="shared" si="39"/>
        <v>44.416835767774792</v>
      </c>
      <c r="AH46" s="730">
        <f t="shared" si="40"/>
        <v>-38.551761906300101</v>
      </c>
      <c r="AI46" s="360">
        <f t="shared" si="10"/>
        <v>141.4482380936999</v>
      </c>
      <c r="AL46" s="337">
        <f t="shared" si="11"/>
        <v>37.462935403504055</v>
      </c>
      <c r="AM46" s="730">
        <f t="shared" si="12"/>
        <v>-37.624274906033705</v>
      </c>
      <c r="AN46" s="351"/>
      <c r="AO46" s="337">
        <f t="shared" si="13"/>
        <v>60.483022849312881</v>
      </c>
      <c r="AP46" s="730">
        <f t="shared" si="14"/>
        <v>-0.92748700026645936</v>
      </c>
      <c r="AS46" s="351"/>
      <c r="AT46" s="351"/>
      <c r="AV46" s="405">
        <f t="shared" si="15"/>
        <v>0</v>
      </c>
      <c r="AW46" s="405">
        <f t="shared" si="16"/>
        <v>0</v>
      </c>
      <c r="AX46" s="405">
        <f t="shared" si="17"/>
        <v>0</v>
      </c>
      <c r="AY46" s="405">
        <f t="shared" si="18"/>
        <v>0</v>
      </c>
    </row>
    <row r="47" spans="2:51" ht="13.5" thickBot="1" x14ac:dyDescent="0.25">
      <c r="B47" s="345">
        <v>22.909000000000002</v>
      </c>
      <c r="C47" s="728" t="str">
        <f t="shared" si="0"/>
        <v>2.2271548443541</v>
      </c>
      <c r="D47" s="728" t="str">
        <f t="shared" si="1"/>
        <v>1+0.0175128815512649i</v>
      </c>
      <c r="E47" s="337">
        <f t="shared" si="20"/>
        <v>1.0001533387537276</v>
      </c>
      <c r="F47" s="338">
        <f t="shared" si="21"/>
        <v>1.7511091474451415E-2</v>
      </c>
      <c r="G47" s="338" t="str">
        <f t="shared" si="2"/>
        <v>1+0.0000719707461010885i</v>
      </c>
      <c r="H47" s="337">
        <f t="shared" si="22"/>
        <v>1.0000000025898941</v>
      </c>
      <c r="I47" s="338">
        <f t="shared" si="23"/>
        <v>7.1970745976824085E-5</v>
      </c>
      <c r="J47" s="340">
        <f t="shared" si="3"/>
        <v>1</v>
      </c>
      <c r="K47" s="338">
        <f t="shared" si="24"/>
        <v>1</v>
      </c>
      <c r="L47" s="339">
        <f t="shared" si="25"/>
        <v>0</v>
      </c>
      <c r="M47" s="731" t="str">
        <f t="shared" si="4"/>
        <v>0.999999976674565+0.000310258086387141i</v>
      </c>
      <c r="N47" s="338">
        <f t="shared" si="26"/>
        <v>1.0000000248046048</v>
      </c>
      <c r="O47" s="339">
        <f t="shared" si="27"/>
        <v>3.1025808366888979E-4</v>
      </c>
      <c r="P47" s="732" t="str">
        <f t="shared" si="19"/>
        <v>2.22646257916914-0.0395224782089903i</v>
      </c>
      <c r="Q47" s="337">
        <f t="shared" si="28"/>
        <v>2.2268133380964552</v>
      </c>
      <c r="R47" s="339">
        <f t="shared" si="29"/>
        <v>-1.774937881214347E-2</v>
      </c>
      <c r="S47" s="731" t="str">
        <f t="shared" si="5"/>
        <v>6000</v>
      </c>
      <c r="T47" s="337" t="str">
        <f t="shared" si="6"/>
        <v>1+145.380907124199i</v>
      </c>
      <c r="U47" s="346">
        <f t="shared" si="30"/>
        <v>145.38434632468164</v>
      </c>
      <c r="V47" s="347">
        <f t="shared" si="31"/>
        <v>1.5639179529488703</v>
      </c>
      <c r="W47" s="340" t="str">
        <f t="shared" si="7"/>
        <v>1+1.43941492202177i</v>
      </c>
      <c r="X47" s="337">
        <f t="shared" si="32"/>
        <v>1.7526880263580678</v>
      </c>
      <c r="Y47" s="339">
        <f t="shared" si="33"/>
        <v>0.96361825463021078</v>
      </c>
      <c r="Z47" s="337" t="str">
        <f t="shared" si="8"/>
        <v>1+0.0144998830663715i</v>
      </c>
      <c r="AA47" s="346">
        <f t="shared" si="34"/>
        <v>1.0001051177795954</v>
      </c>
      <c r="AB47" s="347">
        <f t="shared" si="35"/>
        <v>1.4498867010793528E-2</v>
      </c>
      <c r="AC47" s="732" t="str">
        <f t="shared" si="36"/>
        <v>59.0821057714144-41.7170216143522i</v>
      </c>
      <c r="AD47" s="337">
        <f t="shared" si="37"/>
        <v>72.325687793182638</v>
      </c>
      <c r="AE47" s="339">
        <f t="shared" si="38"/>
        <v>-0.61479856532945287</v>
      </c>
      <c r="AF47" s="736" t="str">
        <f t="shared" si="9"/>
        <v>129.89533752087-95.2164587766373i</v>
      </c>
      <c r="AG47" s="337">
        <f t="shared" si="39"/>
        <v>44.1395277260306</v>
      </c>
      <c r="AH47" s="730">
        <f t="shared" si="40"/>
        <v>-36.242327538990416</v>
      </c>
      <c r="AI47" s="360">
        <f t="shared" si="10"/>
        <v>143.75767246100958</v>
      </c>
      <c r="AL47" s="337">
        <f t="shared" si="11"/>
        <v>37.185851446708355</v>
      </c>
      <c r="AM47" s="730">
        <f t="shared" si="12"/>
        <v>-35.225363044075671</v>
      </c>
      <c r="AN47" s="351"/>
      <c r="AO47" s="337">
        <f t="shared" si="13"/>
        <v>60.482798764364389</v>
      </c>
      <c r="AP47" s="730">
        <f t="shared" si="14"/>
        <v>-1.0169644949147441</v>
      </c>
      <c r="AS47" s="351"/>
      <c r="AT47" s="351"/>
      <c r="AV47" s="405">
        <f t="shared" si="15"/>
        <v>0</v>
      </c>
      <c r="AW47" s="405">
        <f t="shared" si="16"/>
        <v>0</v>
      </c>
      <c r="AX47" s="405">
        <f t="shared" si="17"/>
        <v>0</v>
      </c>
      <c r="AY47" s="405">
        <f t="shared" si="18"/>
        <v>0</v>
      </c>
    </row>
    <row r="48" spans="2:51" ht="13.5" thickBot="1" x14ac:dyDescent="0.25">
      <c r="B48" s="345">
        <v>25.119</v>
      </c>
      <c r="C48" s="728" t="str">
        <f t="shared" si="0"/>
        <v>2.2271548443541</v>
      </c>
      <c r="D48" s="728" t="str">
        <f t="shared" si="1"/>
        <v>1+0.0192023253606104i</v>
      </c>
      <c r="E48" s="337">
        <f t="shared" si="20"/>
        <v>1.000184347657598</v>
      </c>
      <c r="F48" s="338">
        <f t="shared" si="21"/>
        <v>1.9199965729302763E-2</v>
      </c>
      <c r="G48" s="338" t="str">
        <f t="shared" si="2"/>
        <v>1+0.000078913665865522i</v>
      </c>
      <c r="H48" s="337">
        <f t="shared" si="22"/>
        <v>1.0000000031136833</v>
      </c>
      <c r="I48" s="338">
        <f t="shared" si="23"/>
        <v>7.8913665701713895E-5</v>
      </c>
      <c r="J48" s="340">
        <f t="shared" si="3"/>
        <v>1</v>
      </c>
      <c r="K48" s="338">
        <f t="shared" si="24"/>
        <v>1</v>
      </c>
      <c r="L48" s="339">
        <f t="shared" si="25"/>
        <v>0</v>
      </c>
      <c r="M48" s="731" t="str">
        <f t="shared" si="4"/>
        <v>0.999999971957148+0.000340188261030974i</v>
      </c>
      <c r="N48" s="338">
        <f t="shared" si="26"/>
        <v>1.0000000298211744</v>
      </c>
      <c r="O48" s="339">
        <f t="shared" si="27"/>
        <v>3.4018825744771479E-4</v>
      </c>
      <c r="P48" s="732" t="str">
        <f t="shared" si="19"/>
        <v>2.2263226246604-0.0433324703469692i</v>
      </c>
      <c r="Q48" s="337">
        <f t="shared" si="28"/>
        <v>2.2267442897784968</v>
      </c>
      <c r="R48" s="339">
        <f t="shared" si="29"/>
        <v>-1.9461240321048724E-2</v>
      </c>
      <c r="S48" s="731" t="str">
        <f t="shared" si="5"/>
        <v>6000</v>
      </c>
      <c r="T48" s="337" t="str">
        <f t="shared" si="6"/>
        <v>1+159.405605048354i</v>
      </c>
      <c r="U48" s="346">
        <f t="shared" si="30"/>
        <v>159.4087416700597</v>
      </c>
      <c r="V48" s="347">
        <f t="shared" si="31"/>
        <v>1.5645231039562937</v>
      </c>
      <c r="W48" s="340" t="str">
        <f t="shared" si="7"/>
        <v>1+1.57827331731044i</v>
      </c>
      <c r="X48" s="337">
        <f t="shared" si="32"/>
        <v>1.8684075208942243</v>
      </c>
      <c r="Y48" s="339">
        <f t="shared" si="33"/>
        <v>1.0060339064729407</v>
      </c>
      <c r="Z48" s="337" t="str">
        <f t="shared" si="8"/>
        <v>1+0.0158986670192583i</v>
      </c>
      <c r="AA48" s="346">
        <f t="shared" si="34"/>
        <v>1.0001263758210706</v>
      </c>
      <c r="AB48" s="347">
        <f t="shared" si="35"/>
        <v>1.5897327666342068E-2</v>
      </c>
      <c r="AC48" s="732" t="str">
        <f t="shared" si="36"/>
        <v>59.0323233570546-38.2042278768693i</v>
      </c>
      <c r="AD48" s="337">
        <f t="shared" si="37"/>
        <v>70.316272857707787</v>
      </c>
      <c r="AE48" s="339">
        <f t="shared" si="38"/>
        <v>-0.57438652514969479</v>
      </c>
      <c r="AF48" s="736" t="str">
        <f t="shared" si="9"/>
        <v>129.769513504476-87.6129532813379i</v>
      </c>
      <c r="AG48" s="337">
        <f t="shared" si="39"/>
        <v>43.894523800296056</v>
      </c>
      <c r="AH48" s="730">
        <f t="shared" si="40"/>
        <v>-34.024970634748314</v>
      </c>
      <c r="AI48" s="360">
        <f t="shared" si="10"/>
        <v>145.97502936525169</v>
      </c>
      <c r="AL48" s="337">
        <f t="shared" si="11"/>
        <v>36.941116854445902</v>
      </c>
      <c r="AM48" s="730">
        <f t="shared" si="12"/>
        <v>-32.909923700262425</v>
      </c>
      <c r="AN48" s="351"/>
      <c r="AO48" s="337">
        <f t="shared" si="13"/>
        <v>60.48252943089232</v>
      </c>
      <c r="AP48" s="730">
        <f t="shared" si="14"/>
        <v>-1.1150469344859133</v>
      </c>
      <c r="AS48" s="351"/>
      <c r="AT48" s="351"/>
      <c r="AV48" s="405">
        <f t="shared" si="15"/>
        <v>0</v>
      </c>
      <c r="AW48" s="405">
        <f t="shared" si="16"/>
        <v>0</v>
      </c>
      <c r="AX48" s="405">
        <f t="shared" si="17"/>
        <v>0</v>
      </c>
      <c r="AY48" s="405">
        <f t="shared" si="18"/>
        <v>0</v>
      </c>
    </row>
    <row r="49" spans="2:51" ht="13.5" thickBot="1" x14ac:dyDescent="0.25">
      <c r="B49" s="345">
        <v>27.542000000000002</v>
      </c>
      <c r="C49" s="728" t="str">
        <f t="shared" si="0"/>
        <v>2.2271548443541</v>
      </c>
      <c r="D49" s="728" t="str">
        <f t="shared" si="1"/>
        <v>1+0.0210545979171914i</v>
      </c>
      <c r="E49" s="337">
        <f t="shared" si="20"/>
        <v>1.000221623488242</v>
      </c>
      <c r="F49" s="338">
        <f t="shared" si="21"/>
        <v>2.1051487604087971E-2</v>
      </c>
      <c r="G49" s="338" t="str">
        <f t="shared" si="2"/>
        <v>1+0.00008652574486517i</v>
      </c>
      <c r="H49" s="337">
        <f t="shared" si="22"/>
        <v>1.0000000037433523</v>
      </c>
      <c r="I49" s="338">
        <f t="shared" si="23"/>
        <v>8.6525744649239097E-5</v>
      </c>
      <c r="J49" s="340">
        <f t="shared" si="3"/>
        <v>1</v>
      </c>
      <c r="K49" s="338">
        <f t="shared" si="24"/>
        <v>1</v>
      </c>
      <c r="L49" s="339">
        <f t="shared" si="25"/>
        <v>0</v>
      </c>
      <c r="M49" s="731" t="str">
        <f t="shared" si="4"/>
        <v>0.999999966286144+0.000373003108615593i</v>
      </c>
      <c r="N49" s="338">
        <f t="shared" si="26"/>
        <v>1.0000000358518035</v>
      </c>
      <c r="O49" s="339">
        <f t="shared" si="27"/>
        <v>3.7300310389216137E-4</v>
      </c>
      <c r="P49" s="732" t="str">
        <f t="shared" si="19"/>
        <v>2.22615440245042-0.0475088152544014i</v>
      </c>
      <c r="Q49" s="337">
        <f t="shared" si="28"/>
        <v>2.2266612924008586</v>
      </c>
      <c r="R49" s="339">
        <f t="shared" si="29"/>
        <v>-2.1337964963330854E-2</v>
      </c>
      <c r="S49" s="731" t="str">
        <f t="shared" si="5"/>
        <v>6000</v>
      </c>
      <c r="T49" s="337" t="str">
        <f t="shared" si="6"/>
        <v>1+174.782004627643i</v>
      </c>
      <c r="U49" s="346">
        <f t="shared" si="30"/>
        <v>174.78486531063672</v>
      </c>
      <c r="V49" s="347">
        <f t="shared" si="31"/>
        <v>1.5650749764143286</v>
      </c>
      <c r="W49" s="340" t="str">
        <f t="shared" si="7"/>
        <v>1+1.7305148973034i</v>
      </c>
      <c r="X49" s="337">
        <f t="shared" si="32"/>
        <v>1.9986700102290513</v>
      </c>
      <c r="Y49" s="339">
        <f t="shared" si="33"/>
        <v>1.0468133181077415</v>
      </c>
      <c r="Z49" s="337" t="str">
        <f t="shared" si="8"/>
        <v>1+0.0174322658961109i</v>
      </c>
      <c r="AA49" s="346">
        <f t="shared" si="34"/>
        <v>1.0001519304057123</v>
      </c>
      <c r="AB49" s="347">
        <f t="shared" si="35"/>
        <v>1.7430500423050183E-2</v>
      </c>
      <c r="AC49" s="732" t="str">
        <f t="shared" si="36"/>
        <v>58.9899921194425-35.0158076050707i</v>
      </c>
      <c r="AD49" s="337">
        <f t="shared" si="37"/>
        <v>68.599751839836969</v>
      </c>
      <c r="AE49" s="339">
        <f t="shared" si="38"/>
        <v>-0.53569215872963738</v>
      </c>
      <c r="AF49" s="736" t="str">
        <f t="shared" si="9"/>
        <v>129.65727112272-80.7531388928462i</v>
      </c>
      <c r="AG49" s="337">
        <f t="shared" si="39"/>
        <v>43.679534083810019</v>
      </c>
      <c r="AH49" s="730">
        <f t="shared" si="40"/>
        <v>-31.91547514925718</v>
      </c>
      <c r="AI49" s="360">
        <f t="shared" si="10"/>
        <v>148.08452485074281</v>
      </c>
      <c r="AL49" s="337">
        <f t="shared" si="11"/>
        <v>36.726450892915096</v>
      </c>
      <c r="AM49" s="730">
        <f t="shared" si="12"/>
        <v>-30.6928998134604</v>
      </c>
      <c r="AN49" s="351"/>
      <c r="AO49" s="337">
        <f t="shared" si="13"/>
        <v>60.482205675937067</v>
      </c>
      <c r="AP49" s="730">
        <f t="shared" si="14"/>
        <v>-1.2225753357968734</v>
      </c>
      <c r="AS49" s="351"/>
      <c r="AT49" s="351"/>
      <c r="AV49" s="405">
        <f t="shared" si="15"/>
        <v>0</v>
      </c>
      <c r="AW49" s="405">
        <f t="shared" si="16"/>
        <v>0</v>
      </c>
      <c r="AX49" s="405">
        <f t="shared" si="17"/>
        <v>0</v>
      </c>
      <c r="AY49" s="405">
        <f t="shared" si="18"/>
        <v>0</v>
      </c>
    </row>
    <row r="50" spans="2:51" ht="13.5" thickBot="1" x14ac:dyDescent="0.25">
      <c r="B50" s="345">
        <v>30.2</v>
      </c>
      <c r="C50" s="728" t="str">
        <f t="shared" si="0"/>
        <v>2.2271548443541</v>
      </c>
      <c r="D50" s="728" t="str">
        <f t="shared" si="1"/>
        <v>1+0.0230865172136801i</v>
      </c>
      <c r="E50" s="337">
        <f t="shared" si="20"/>
        <v>1.000266458138559</v>
      </c>
      <c r="F50" s="338">
        <f t="shared" si="21"/>
        <v>2.3082416918194622E-2</v>
      </c>
      <c r="G50" s="338" t="str">
        <f t="shared" si="2"/>
        <v>1+0.0000948760981384115i</v>
      </c>
      <c r="H50" s="337">
        <f t="shared" si="22"/>
        <v>1.0000000045007369</v>
      </c>
      <c r="I50" s="338">
        <f t="shared" si="23"/>
        <v>9.4876097853736593E-5</v>
      </c>
      <c r="J50" s="340">
        <f t="shared" si="3"/>
        <v>1</v>
      </c>
      <c r="K50" s="338">
        <f t="shared" si="24"/>
        <v>1</v>
      </c>
      <c r="L50" s="339">
        <f t="shared" si="25"/>
        <v>0</v>
      </c>
      <c r="M50" s="731" t="str">
        <f t="shared" si="4"/>
        <v>0.999999959464889+0.000409000576580891i</v>
      </c>
      <c r="N50" s="338">
        <f t="shared" si="26"/>
        <v>1.0000000431056246</v>
      </c>
      <c r="O50" s="339">
        <f t="shared" si="27"/>
        <v>4.0900057035370222E-4</v>
      </c>
      <c r="P50" s="732" t="str">
        <f t="shared" si="19"/>
        <v>2.22595209293361-0.0520890851124838i</v>
      </c>
      <c r="Q50" s="337">
        <f t="shared" si="28"/>
        <v>2.2265614729495735</v>
      </c>
      <c r="R50" s="339">
        <f t="shared" si="29"/>
        <v>-2.3396541390694543E-2</v>
      </c>
      <c r="S50" s="731" t="str">
        <f t="shared" si="5"/>
        <v>6000</v>
      </c>
      <c r="T50" s="337" t="str">
        <f t="shared" si="6"/>
        <v>1+191.649718239591i</v>
      </c>
      <c r="U50" s="346">
        <f t="shared" si="30"/>
        <v>191.65232714818421</v>
      </c>
      <c r="V50" s="347">
        <f t="shared" si="31"/>
        <v>1.5655785214466562</v>
      </c>
      <c r="W50" s="340" t="str">
        <f t="shared" si="7"/>
        <v>1+1.89752196276823i</v>
      </c>
      <c r="X50" s="337">
        <f t="shared" si="32"/>
        <v>2.1448985055679901</v>
      </c>
      <c r="Y50" s="339">
        <f t="shared" si="33"/>
        <v>1.0857803130635062</v>
      </c>
      <c r="Z50" s="337" t="str">
        <f t="shared" si="8"/>
        <v>1+0.0191146042430669i</v>
      </c>
      <c r="AA50" s="346">
        <f t="shared" si="34"/>
        <v>1.0001826673640015</v>
      </c>
      <c r="AB50" s="347">
        <f t="shared" si="35"/>
        <v>1.9112276797754815E-2</v>
      </c>
      <c r="AC50" s="732" t="str">
        <f t="shared" si="36"/>
        <v>58.9536529184827-32.1231765989249i</v>
      </c>
      <c r="AD50" s="337">
        <f t="shared" si="37"/>
        <v>67.137408851091664</v>
      </c>
      <c r="AE50" s="339">
        <f t="shared" si="38"/>
        <v>-0.49891048518090503</v>
      </c>
      <c r="AF50" s="736" t="str">
        <f t="shared" si="9"/>
        <v>129.554740220033-74.5754940266155i</v>
      </c>
      <c r="AG50" s="337">
        <f t="shared" si="39"/>
        <v>43.491985315962467</v>
      </c>
      <c r="AH50" s="730">
        <f t="shared" si="40"/>
        <v>-29.925988232580082</v>
      </c>
      <c r="AI50" s="360">
        <f t="shared" si="10"/>
        <v>150.0740117674199</v>
      </c>
      <c r="AL50" s="337">
        <f t="shared" si="11"/>
        <v>36.53929151530626</v>
      </c>
      <c r="AM50" s="730">
        <f t="shared" si="12"/>
        <v>-28.585465155690059</v>
      </c>
      <c r="AN50" s="351"/>
      <c r="AO50" s="337">
        <f t="shared" si="13"/>
        <v>60.481816285698386</v>
      </c>
      <c r="AP50" s="730">
        <f t="shared" si="14"/>
        <v>-1.3405230768899368</v>
      </c>
      <c r="AS50" s="351"/>
      <c r="AT50" s="351"/>
      <c r="AV50" s="405">
        <f t="shared" si="15"/>
        <v>0</v>
      </c>
      <c r="AW50" s="405">
        <f t="shared" si="16"/>
        <v>0</v>
      </c>
      <c r="AX50" s="405">
        <f t="shared" si="17"/>
        <v>0</v>
      </c>
      <c r="AY50" s="405">
        <f t="shared" si="18"/>
        <v>0</v>
      </c>
    </row>
    <row r="51" spans="2:51" ht="13.5" thickBot="1" x14ac:dyDescent="0.25">
      <c r="B51" s="345">
        <v>33.113</v>
      </c>
      <c r="C51" s="728" t="str">
        <f t="shared" si="0"/>
        <v>2.2271548443541</v>
      </c>
      <c r="D51" s="728" t="str">
        <f t="shared" si="1"/>
        <v>1+0.0253133723343243i</v>
      </c>
      <c r="E51" s="337">
        <f t="shared" si="20"/>
        <v>1.00032033210314</v>
      </c>
      <c r="F51" s="338">
        <f t="shared" si="21"/>
        <v>2.530796775566126E-2</v>
      </c>
      <c r="G51" s="338" t="str">
        <f t="shared" si="2"/>
        <v>1+0.000104027557538319i</v>
      </c>
      <c r="H51" s="337">
        <f t="shared" si="22"/>
        <v>1.0000000054108662</v>
      </c>
      <c r="I51" s="338">
        <f t="shared" si="23"/>
        <v>1.040275571630662E-4</v>
      </c>
      <c r="J51" s="340">
        <f t="shared" si="3"/>
        <v>1</v>
      </c>
      <c r="K51" s="338">
        <f t="shared" si="24"/>
        <v>1</v>
      </c>
      <c r="L51" s="339">
        <f t="shared" si="25"/>
        <v>0</v>
      </c>
      <c r="M51" s="731" t="str">
        <f t="shared" si="4"/>
        <v>0.999999951267966+0.000448451526235864i</v>
      </c>
      <c r="N51" s="338">
        <f t="shared" si="26"/>
        <v>1.0000000518223515</v>
      </c>
      <c r="O51" s="339">
        <f t="shared" si="27"/>
        <v>4.4845151802730751E-4</v>
      </c>
      <c r="P51" s="732" t="str">
        <f t="shared" si="19"/>
        <v>2.22570903087224-0.0571072868485195i</v>
      </c>
      <c r="Q51" s="337">
        <f t="shared" si="28"/>
        <v>2.2264415402874258</v>
      </c>
      <c r="R51" s="339">
        <f t="shared" si="29"/>
        <v>-2.5652391716525419E-2</v>
      </c>
      <c r="S51" s="731" t="str">
        <f t="shared" si="5"/>
        <v>6000</v>
      </c>
      <c r="T51" s="337" t="str">
        <f t="shared" si="6"/>
        <v>1+210.135666227404i</v>
      </c>
      <c r="U51" s="346">
        <f t="shared" si="30"/>
        <v>210.13804562914095</v>
      </c>
      <c r="V51" s="347">
        <f t="shared" si="31"/>
        <v>1.5660375323016378</v>
      </c>
      <c r="W51" s="340" t="str">
        <f t="shared" si="7"/>
        <v>1+2.08055115076638i</v>
      </c>
      <c r="X51" s="337">
        <f t="shared" si="32"/>
        <v>2.3083962161975808</v>
      </c>
      <c r="Y51" s="339">
        <f t="shared" si="33"/>
        <v>1.1227548047392584</v>
      </c>
      <c r="Z51" s="337" t="str">
        <f t="shared" si="8"/>
        <v>1+0.020958340738433i</v>
      </c>
      <c r="AA51" s="346">
        <f t="shared" si="34"/>
        <v>1.0002196019107545</v>
      </c>
      <c r="AB51" s="347">
        <f t="shared" si="35"/>
        <v>2.0955272882242762E-2</v>
      </c>
      <c r="AC51" s="732" t="str">
        <f t="shared" si="36"/>
        <v>58.922104622242-29.5045490392486i</v>
      </c>
      <c r="AD51" s="337">
        <f t="shared" si="37"/>
        <v>65.896379469010725</v>
      </c>
      <c r="AE51" s="339">
        <f t="shared" si="38"/>
        <v>-0.46423800044462238</v>
      </c>
      <c r="AF51" s="736" t="str">
        <f t="shared" si="9"/>
        <v>129.458535630402-69.0334227788493i</v>
      </c>
      <c r="AG51" s="337">
        <f t="shared" si="39"/>
        <v>43.329457004762972</v>
      </c>
      <c r="AH51" s="730">
        <f t="shared" si="40"/>
        <v>-28.06865189484262</v>
      </c>
      <c r="AI51" s="360">
        <f t="shared" si="10"/>
        <v>151.93134810515738</v>
      </c>
      <c r="AL51" s="337">
        <f t="shared" si="11"/>
        <v>36.377231077972823</v>
      </c>
      <c r="AM51" s="730">
        <f t="shared" si="12"/>
        <v>-26.598878115069297</v>
      </c>
      <c r="AN51" s="351"/>
      <c r="AO51" s="337">
        <f t="shared" si="13"/>
        <v>60.481348411832286</v>
      </c>
      <c r="AP51" s="730">
        <f t="shared" si="14"/>
        <v>-1.4697737797732602</v>
      </c>
      <c r="AS51" s="351"/>
      <c r="AT51" s="351"/>
      <c r="AV51" s="405">
        <f t="shared" si="15"/>
        <v>0</v>
      </c>
      <c r="AW51" s="405">
        <f t="shared" si="16"/>
        <v>0</v>
      </c>
      <c r="AX51" s="405">
        <f t="shared" si="17"/>
        <v>0</v>
      </c>
      <c r="AY51" s="405">
        <f t="shared" si="18"/>
        <v>0</v>
      </c>
    </row>
    <row r="52" spans="2:51" ht="13.5" thickBot="1" x14ac:dyDescent="0.25">
      <c r="B52" s="345">
        <v>36.308</v>
      </c>
      <c r="C52" s="728" t="str">
        <f t="shared" si="0"/>
        <v>2.2271548443541</v>
      </c>
      <c r="D52" s="728" t="str">
        <f t="shared" si="1"/>
        <v>1+0.0277558035428576i</v>
      </c>
      <c r="E52" s="337">
        <f t="shared" si="20"/>
        <v>1.0003851181571575</v>
      </c>
      <c r="F52" s="338">
        <f t="shared" si="21"/>
        <v>2.7748679287467458E-2</v>
      </c>
      <c r="G52" s="338" t="str">
        <f t="shared" si="2"/>
        <v>1+0.000114064946066538i</v>
      </c>
      <c r="H52" s="337">
        <f t="shared" si="22"/>
        <v>1.000000006505406</v>
      </c>
      <c r="I52" s="338">
        <f t="shared" si="23"/>
        <v>1.1406494557184548E-4</v>
      </c>
      <c r="J52" s="340">
        <f t="shared" si="3"/>
        <v>1</v>
      </c>
      <c r="K52" s="338">
        <f t="shared" si="24"/>
        <v>1</v>
      </c>
      <c r="L52" s="339">
        <f t="shared" si="25"/>
        <v>0</v>
      </c>
      <c r="M52" s="731" t="str">
        <f t="shared" si="4"/>
        <v>0.999999941410184+0.000491721620347649i</v>
      </c>
      <c r="N52" s="338">
        <f t="shared" si="26"/>
        <v>1.0000000623052598</v>
      </c>
      <c r="O52" s="339">
        <f t="shared" si="27"/>
        <v>4.917216095263803E-4</v>
      </c>
      <c r="P52" s="732" t="str">
        <f t="shared" si="19"/>
        <v>2.22541678896461-0.0626093309971808i</v>
      </c>
      <c r="Q52" s="337">
        <f t="shared" si="28"/>
        <v>2.226297332553195</v>
      </c>
      <c r="R52" s="339">
        <f t="shared" si="29"/>
        <v>-2.8126335951421975E-2</v>
      </c>
      <c r="S52" s="731" t="str">
        <f t="shared" si="5"/>
        <v>6000</v>
      </c>
      <c r="T52" s="337" t="str">
        <f t="shared" si="6"/>
        <v>1+230.411191054407i</v>
      </c>
      <c r="U52" s="346">
        <f t="shared" si="30"/>
        <v>230.4133610776737</v>
      </c>
      <c r="V52" s="347">
        <f t="shared" si="31"/>
        <v>1.5664562870738759</v>
      </c>
      <c r="W52" s="340" t="str">
        <f t="shared" si="7"/>
        <v>1+2.28129892133076i</v>
      </c>
      <c r="X52" s="337">
        <f t="shared" si="32"/>
        <v>2.4908482026138987</v>
      </c>
      <c r="Y52" s="339">
        <f t="shared" si="33"/>
        <v>1.1576753796953994</v>
      </c>
      <c r="Z52" s="337" t="str">
        <f t="shared" si="8"/>
        <v>1+0.022980564597923i</v>
      </c>
      <c r="AA52" s="346">
        <f t="shared" si="34"/>
        <v>1.0002640183217826</v>
      </c>
      <c r="AB52" s="347">
        <f t="shared" si="35"/>
        <v>2.2976520485254205E-2</v>
      </c>
      <c r="AC52" s="732" t="str">
        <f t="shared" si="36"/>
        <v>58.894247172747-27.1355134796815i</v>
      </c>
      <c r="AD52" s="337">
        <f t="shared" si="37"/>
        <v>64.844956950024994</v>
      </c>
      <c r="AE52" s="339">
        <f t="shared" si="38"/>
        <v>-0.43175742786373084</v>
      </c>
      <c r="AF52" s="736" t="str">
        <f t="shared" si="9"/>
        <v>129.365310086435-64.075156689927i</v>
      </c>
      <c r="AG52" s="337">
        <f t="shared" si="39"/>
        <v>43.189187444451179</v>
      </c>
      <c r="AH52" s="730">
        <f t="shared" si="40"/>
        <v>-26.349398733199401</v>
      </c>
      <c r="AI52" s="360">
        <f t="shared" si="10"/>
        <v>153.65060126680061</v>
      </c>
      <c r="AL52" s="337">
        <f t="shared" si="11"/>
        <v>36.237524125305725</v>
      </c>
      <c r="AM52" s="730">
        <f t="shared" si="12"/>
        <v>-24.737878390015869</v>
      </c>
      <c r="AN52" s="351"/>
      <c r="AO52" s="337">
        <f t="shared" si="13"/>
        <v>60.480785804187569</v>
      </c>
      <c r="AP52" s="730">
        <f t="shared" si="14"/>
        <v>-1.611520343183553</v>
      </c>
      <c r="AS52" s="351"/>
      <c r="AT52" s="351"/>
      <c r="AV52" s="405">
        <f t="shared" si="15"/>
        <v>0</v>
      </c>
      <c r="AW52" s="405">
        <f t="shared" si="16"/>
        <v>0</v>
      </c>
      <c r="AX52" s="405">
        <f t="shared" si="17"/>
        <v>0</v>
      </c>
      <c r="AY52" s="405">
        <f t="shared" si="18"/>
        <v>0</v>
      </c>
    </row>
    <row r="53" spans="2:51" ht="13.5" thickBot="1" x14ac:dyDescent="0.25">
      <c r="B53" s="345">
        <v>39.811</v>
      </c>
      <c r="C53" s="728" t="str">
        <f t="shared" si="0"/>
        <v>2.2271548443541</v>
      </c>
      <c r="D53" s="728" t="str">
        <f t="shared" si="1"/>
        <v>1+0.0304336866488021i</v>
      </c>
      <c r="E53" s="337">
        <f t="shared" si="20"/>
        <v>1.0004629974581956</v>
      </c>
      <c r="F53" s="338">
        <f t="shared" si="21"/>
        <v>3.0424295879243658E-2</v>
      </c>
      <c r="G53" s="338" t="str">
        <f t="shared" si="2"/>
        <v>1+0.000125069945132063i</v>
      </c>
      <c r="H53" s="337">
        <f t="shared" si="22"/>
        <v>1.0000000078212454</v>
      </c>
      <c r="I53" s="338">
        <f t="shared" si="23"/>
        <v>1.2506994447992784E-4</v>
      </c>
      <c r="J53" s="340">
        <f t="shared" si="3"/>
        <v>1</v>
      </c>
      <c r="K53" s="338">
        <f t="shared" si="24"/>
        <v>1</v>
      </c>
      <c r="L53" s="339">
        <f t="shared" si="25"/>
        <v>0</v>
      </c>
      <c r="M53" s="731" t="str">
        <f t="shared" si="4"/>
        <v>0.999999929559301+0.000539162978617944i</v>
      </c>
      <c r="N53" s="338">
        <f t="shared" si="26"/>
        <v>1.0000000749076594</v>
      </c>
      <c r="O53" s="339">
        <f t="shared" si="27"/>
        <v>5.3916296435265918E-4</v>
      </c>
      <c r="P53" s="732" t="str">
        <f t="shared" si="19"/>
        <v>2.22506556017383-0.0686391972183673i</v>
      </c>
      <c r="Q53" s="337">
        <f t="shared" si="28"/>
        <v>2.2261240051862479</v>
      </c>
      <c r="R53" s="339">
        <f t="shared" si="29"/>
        <v>-3.0838388899116422E-2</v>
      </c>
      <c r="S53" s="731" t="str">
        <f t="shared" si="5"/>
        <v>6000</v>
      </c>
      <c r="T53" s="337" t="str">
        <f t="shared" si="6"/>
        <v>1+252.641289166768i</v>
      </c>
      <c r="U53" s="346">
        <f t="shared" si="30"/>
        <v>252.64326824961415</v>
      </c>
      <c r="V53" s="347">
        <f t="shared" si="31"/>
        <v>1.5668381662703532</v>
      </c>
      <c r="W53" s="340" t="str">
        <f t="shared" si="7"/>
        <v>1+2.50139890264127i</v>
      </c>
      <c r="X53" s="337">
        <f t="shared" si="32"/>
        <v>2.6938813021614281</v>
      </c>
      <c r="Y53" s="339">
        <f t="shared" si="33"/>
        <v>1.190482808737197</v>
      </c>
      <c r="Z53" s="337" t="str">
        <f t="shared" si="8"/>
        <v>1+0.0251977321033358i</v>
      </c>
      <c r="AA53" s="346">
        <f t="shared" si="34"/>
        <v>1.0003174124762357</v>
      </c>
      <c r="AB53" s="347">
        <f t="shared" si="35"/>
        <v>2.5192401238085995E-2</v>
      </c>
      <c r="AC53" s="732" t="str">
        <f t="shared" si="36"/>
        <v>58.8691451959912-24.99694825424i</v>
      </c>
      <c r="AD53" s="337">
        <f t="shared" si="37"/>
        <v>63.956420147877616</v>
      </c>
      <c r="AE53" s="339">
        <f t="shared" si="38"/>
        <v>-0.40154775877124282</v>
      </c>
      <c r="AF53" s="736" t="str">
        <f t="shared" si="9"/>
        <v>129.271937071393-59.6605795371411i</v>
      </c>
      <c r="AG53" s="337">
        <f t="shared" si="39"/>
        <v>43.068669993982283</v>
      </c>
      <c r="AH53" s="730">
        <f t="shared" si="40"/>
        <v>-24.773901381431887</v>
      </c>
      <c r="AI53" s="360">
        <f t="shared" si="10"/>
        <v>155.2260986185681</v>
      </c>
      <c r="AL53" s="337">
        <f t="shared" si="11"/>
        <v>36.117682937152139</v>
      </c>
      <c r="AM53" s="730">
        <f t="shared" si="12"/>
        <v>-23.006991850529499</v>
      </c>
      <c r="AN53" s="351"/>
      <c r="AO53" s="337">
        <f t="shared" si="13"/>
        <v>60.480109541872281</v>
      </c>
      <c r="AP53" s="730">
        <f t="shared" si="14"/>
        <v>-1.766909530902453</v>
      </c>
      <c r="AS53" s="351"/>
      <c r="AT53" s="351"/>
      <c r="AV53" s="405">
        <f t="shared" si="15"/>
        <v>0</v>
      </c>
      <c r="AW53" s="405">
        <f t="shared" si="16"/>
        <v>0</v>
      </c>
      <c r="AX53" s="405">
        <f t="shared" si="17"/>
        <v>0</v>
      </c>
      <c r="AY53" s="405">
        <f t="shared" si="18"/>
        <v>0</v>
      </c>
    </row>
    <row r="54" spans="2:51" ht="13.5" thickBot="1" x14ac:dyDescent="0.25">
      <c r="B54" s="345">
        <v>43.652000000000001</v>
      </c>
      <c r="C54" s="728" t="str">
        <f t="shared" si="0"/>
        <v>2.2271548443541</v>
      </c>
      <c r="D54" s="728" t="str">
        <f t="shared" si="1"/>
        <v>1+0.0333699552785287i</v>
      </c>
      <c r="E54" s="337">
        <f t="shared" si="20"/>
        <v>1.0005566220435957</v>
      </c>
      <c r="F54" s="338">
        <f t="shared" si="21"/>
        <v>3.3357577132931797E-2</v>
      </c>
      <c r="G54" s="338" t="str">
        <f t="shared" si="2"/>
        <v>1+0.000137136802514502i</v>
      </c>
      <c r="H54" s="337">
        <f t="shared" si="22"/>
        <v>1.0000000094032513</v>
      </c>
      <c r="I54" s="338">
        <f t="shared" si="23"/>
        <v>1.3713680165481414E-4</v>
      </c>
      <c r="J54" s="340">
        <f t="shared" si="3"/>
        <v>1</v>
      </c>
      <c r="K54" s="338">
        <f t="shared" si="24"/>
        <v>1</v>
      </c>
      <c r="L54" s="339">
        <f t="shared" si="25"/>
        <v>0</v>
      </c>
      <c r="M54" s="731" t="str">
        <f t="shared" si="4"/>
        <v>0.99999991531124+0.000591181893010234i</v>
      </c>
      <c r="N54" s="338">
        <f t="shared" si="26"/>
        <v>1.0000000900592547</v>
      </c>
      <c r="O54" s="339">
        <f t="shared" si="27"/>
        <v>5.9118187420478829E-4</v>
      </c>
      <c r="P54" s="732" t="str">
        <f t="shared" si="19"/>
        <v>2.22464343009528-0.0752474803395299i</v>
      </c>
      <c r="Q54" s="337">
        <f t="shared" si="28"/>
        <v>2.2259156709910513</v>
      </c>
      <c r="R54" s="339">
        <f t="shared" si="29"/>
        <v>-3.3811622205481714E-2</v>
      </c>
      <c r="S54" s="731" t="str">
        <f t="shared" si="5"/>
        <v>6000</v>
      </c>
      <c r="T54" s="337" t="str">
        <f t="shared" si="6"/>
        <v>1+277.016341079293i</v>
      </c>
      <c r="U54" s="346">
        <f t="shared" si="30"/>
        <v>277.01814602108504</v>
      </c>
      <c r="V54" s="347">
        <f t="shared" si="31"/>
        <v>1.5671864471309158</v>
      </c>
      <c r="W54" s="340" t="str">
        <f t="shared" si="7"/>
        <v>1+2.74273605029003i</v>
      </c>
      <c r="X54" s="337">
        <f t="shared" si="32"/>
        <v>2.9193494209430559</v>
      </c>
      <c r="Y54" s="339">
        <f t="shared" si="33"/>
        <v>1.2211749951531909</v>
      </c>
      <c r="Z54" s="337" t="str">
        <f t="shared" si="8"/>
        <v>1+0.0276288312721311i</v>
      </c>
      <c r="AA54" s="346">
        <f t="shared" si="34"/>
        <v>1.0003816033481743</v>
      </c>
      <c r="AB54" s="347">
        <f t="shared" si="35"/>
        <v>2.7621804312817706E-2</v>
      </c>
      <c r="AC54" s="732" t="str">
        <f t="shared" si="36"/>
        <v>58.845942891704-23.0704880130154i</v>
      </c>
      <c r="AD54" s="337">
        <f t="shared" si="37"/>
        <v>63.206743405845359</v>
      </c>
      <c r="AE54" s="339">
        <f t="shared" si="38"/>
        <v>-0.37363325629054384</v>
      </c>
      <c r="AF54" s="736" t="str">
        <f t="shared" si="9"/>
        <v>129.175244148609-55.7516185180512i</v>
      </c>
      <c r="AG54" s="337">
        <f t="shared" si="39"/>
        <v>42.965442436460108</v>
      </c>
      <c r="AH54" s="730">
        <f t="shared" si="40"/>
        <v>-23.344871922042827</v>
      </c>
      <c r="AI54" s="360">
        <f t="shared" si="10"/>
        <v>156.65512807795716</v>
      </c>
      <c r="AL54" s="337">
        <f t="shared" si="11"/>
        <v>36.015268295938107</v>
      </c>
      <c r="AM54" s="730">
        <f t="shared" si="12"/>
        <v>-21.407608671177979</v>
      </c>
      <c r="AN54" s="351"/>
      <c r="AO54" s="337">
        <f t="shared" si="13"/>
        <v>60.479296625564125</v>
      </c>
      <c r="AP54" s="730">
        <f t="shared" si="14"/>
        <v>-1.937263250864919</v>
      </c>
      <c r="AS54" s="351"/>
      <c r="AT54" s="351"/>
      <c r="AV54" s="405">
        <f t="shared" si="15"/>
        <v>0</v>
      </c>
      <c r="AW54" s="405">
        <f t="shared" si="16"/>
        <v>0</v>
      </c>
      <c r="AX54" s="405">
        <f t="shared" si="17"/>
        <v>0</v>
      </c>
      <c r="AY54" s="405">
        <f t="shared" si="18"/>
        <v>0</v>
      </c>
    </row>
    <row r="55" spans="2:51" ht="13.5" thickBot="1" x14ac:dyDescent="0.25">
      <c r="B55" s="345">
        <v>47.863</v>
      </c>
      <c r="C55" s="728" t="str">
        <f t="shared" si="0"/>
        <v>2.2271548443541</v>
      </c>
      <c r="D55" s="728" t="str">
        <f t="shared" si="1"/>
        <v>1+0.0365890719668337i</v>
      </c>
      <c r="E55" s="337">
        <f t="shared" si="20"/>
        <v>1.0006691562086814</v>
      </c>
      <c r="F55" s="338">
        <f t="shared" si="21"/>
        <v>3.6572757072254478E-2</v>
      </c>
      <c r="G55" s="338" t="str">
        <f t="shared" si="2"/>
        <v>1+0.000150366049178768i</v>
      </c>
      <c r="H55" s="337">
        <f t="shared" si="22"/>
        <v>1.0000000113049743</v>
      </c>
      <c r="I55" s="338">
        <f t="shared" si="23"/>
        <v>1.503660480455118E-4</v>
      </c>
      <c r="J55" s="340">
        <f t="shared" si="3"/>
        <v>1</v>
      </c>
      <c r="K55" s="338">
        <f t="shared" si="24"/>
        <v>1</v>
      </c>
      <c r="L55" s="339">
        <f t="shared" si="25"/>
        <v>0</v>
      </c>
      <c r="M55" s="731" t="str">
        <f t="shared" si="4"/>
        <v>0.999999898183699+0.000648211741618916i</v>
      </c>
      <c r="N55" s="338">
        <f t="shared" si="26"/>
        <v>1.0000001082729295</v>
      </c>
      <c r="O55" s="339">
        <f t="shared" si="27"/>
        <v>6.4821171682923539E-4</v>
      </c>
      <c r="P55" s="732" t="str">
        <f t="shared" si="19"/>
        <v>2.22413619819412-0.082487858659419i</v>
      </c>
      <c r="Q55" s="337">
        <f t="shared" si="28"/>
        <v>2.2256653106304216</v>
      </c>
      <c r="R55" s="339">
        <f t="shared" si="29"/>
        <v>-3.7070602741038211E-2</v>
      </c>
      <c r="S55" s="731" t="str">
        <f t="shared" si="5"/>
        <v>6000</v>
      </c>
      <c r="T55" s="337" t="str">
        <f t="shared" si="6"/>
        <v>1+303.739419341112i</v>
      </c>
      <c r="U55" s="346">
        <f t="shared" si="30"/>
        <v>303.74106548452727</v>
      </c>
      <c r="V55" s="347">
        <f t="shared" si="31"/>
        <v>1.5675040429381542</v>
      </c>
      <c r="W55" s="340" t="str">
        <f t="shared" si="7"/>
        <v>1+3.00732098357537i</v>
      </c>
      <c r="X55" s="337">
        <f t="shared" si="32"/>
        <v>3.1692238005941977</v>
      </c>
      <c r="Y55" s="339">
        <f t="shared" si="33"/>
        <v>1.249776266245533</v>
      </c>
      <c r="Z55" s="337" t="str">
        <f t="shared" si="8"/>
        <v>1+0.0302941159895999i</v>
      </c>
      <c r="AA55" s="346">
        <f t="shared" si="34"/>
        <v>1.0004587615007383</v>
      </c>
      <c r="AB55" s="347">
        <f t="shared" si="35"/>
        <v>3.028485378121052E-2</v>
      </c>
      <c r="AC55" s="732" t="str">
        <f t="shared" si="36"/>
        <v>58.8238548977836-21.3399972760542i</v>
      </c>
      <c r="AD55" s="337">
        <f t="shared" si="37"/>
        <v>62.575086006952482</v>
      </c>
      <c r="AE55" s="339">
        <f t="shared" si="38"/>
        <v>-0.34801263047383157</v>
      </c>
      <c r="AF55" s="736" t="str">
        <f t="shared" si="9"/>
        <v>129.071974316379-52.3153142396466i</v>
      </c>
      <c r="AG55" s="337">
        <f t="shared" si="39"/>
        <v>42.877226242227209</v>
      </c>
      <c r="AH55" s="730">
        <f t="shared" si="40"/>
        <v>-22.0636440244641</v>
      </c>
      <c r="AI55" s="360">
        <f t="shared" si="10"/>
        <v>157.93635597553589</v>
      </c>
      <c r="AL55" s="337">
        <f t="shared" si="11"/>
        <v>35.928029104021263</v>
      </c>
      <c r="AM55" s="730">
        <f t="shared" si="12"/>
        <v>-19.939654943396448</v>
      </c>
      <c r="AN55" s="351"/>
      <c r="AO55" s="337">
        <f t="shared" si="13"/>
        <v>60.478319623248112</v>
      </c>
      <c r="AP55" s="730">
        <f t="shared" si="14"/>
        <v>-2.1239890810675863</v>
      </c>
      <c r="AS55" s="351"/>
      <c r="AT55" s="351"/>
      <c r="AV55" s="405">
        <f t="shared" si="15"/>
        <v>0</v>
      </c>
      <c r="AW55" s="405">
        <f t="shared" si="16"/>
        <v>0</v>
      </c>
      <c r="AX55" s="405">
        <f t="shared" si="17"/>
        <v>0</v>
      </c>
      <c r="AY55" s="405">
        <f t="shared" si="18"/>
        <v>0</v>
      </c>
    </row>
    <row r="56" spans="2:51" ht="13.5" thickBot="1" x14ac:dyDescent="0.25">
      <c r="B56" s="345">
        <v>52.481000000000002</v>
      </c>
      <c r="C56" s="728" t="str">
        <f t="shared" si="0"/>
        <v>2.2271548443541</v>
      </c>
      <c r="D56" s="728" t="str">
        <f t="shared" si="1"/>
        <v>1+0.0401193215195745i</v>
      </c>
      <c r="E56" s="337">
        <f t="shared" si="20"/>
        <v>1.0008044564045422</v>
      </c>
      <c r="F56" s="338">
        <f t="shared" si="21"/>
        <v>4.0097817465160543E-2</v>
      </c>
      <c r="G56" s="338" t="str">
        <f t="shared" si="2"/>
        <v>1+0.000164873924053046i</v>
      </c>
      <c r="H56" s="337">
        <f t="shared" si="22"/>
        <v>1.0000000135917053</v>
      </c>
      <c r="I56" s="338">
        <f t="shared" si="23"/>
        <v>1.6487392255910081E-4</v>
      </c>
      <c r="J56" s="340">
        <f t="shared" si="3"/>
        <v>1</v>
      </c>
      <c r="K56" s="338">
        <f t="shared" si="24"/>
        <v>1</v>
      </c>
      <c r="L56" s="339">
        <f t="shared" si="25"/>
        <v>0</v>
      </c>
      <c r="M56" s="731" t="str">
        <f t="shared" si="4"/>
        <v>0.999999877588651+0.000710753617865623i</v>
      </c>
      <c r="N56" s="338">
        <f t="shared" si="26"/>
        <v>1.0000001301740027</v>
      </c>
      <c r="O56" s="339">
        <f t="shared" si="27"/>
        <v>7.1075358518596626E-4</v>
      </c>
      <c r="P56" s="732" t="str">
        <f t="shared" si="19"/>
        <v>2.22352657813062-0.0904221360282799i</v>
      </c>
      <c r="Q56" s="337">
        <f t="shared" si="28"/>
        <v>2.2253643760825281</v>
      </c>
      <c r="R56" s="339">
        <f t="shared" si="29"/>
        <v>-4.064369712778737E-2</v>
      </c>
      <c r="S56" s="731" t="str">
        <f t="shared" si="5"/>
        <v>6000</v>
      </c>
      <c r="T56" s="337" t="str">
        <f t="shared" si="6"/>
        <v>1+333.045326587153i</v>
      </c>
      <c r="U56" s="346">
        <f t="shared" si="30"/>
        <v>333.04682788092038</v>
      </c>
      <c r="V56" s="347">
        <f t="shared" si="31"/>
        <v>1.5677937415159715</v>
      </c>
      <c r="W56" s="340" t="str">
        <f t="shared" si="7"/>
        <v>1+3.29747848106092i</v>
      </c>
      <c r="X56" s="337">
        <f t="shared" si="32"/>
        <v>3.4457748523459615</v>
      </c>
      <c r="Y56" s="339">
        <f t="shared" si="33"/>
        <v>1.2763495426106402</v>
      </c>
      <c r="Z56" s="337" t="str">
        <f t="shared" si="8"/>
        <v>1+0.0332170048106092i</v>
      </c>
      <c r="AA56" s="346">
        <f t="shared" si="34"/>
        <v>1.0005515326101839</v>
      </c>
      <c r="AB56" s="347">
        <f t="shared" si="35"/>
        <v>3.3204796016425606E-2</v>
      </c>
      <c r="AC56" s="732" t="str">
        <f t="shared" si="36"/>
        <v>58.8021246892805-19.7902635223367i</v>
      </c>
      <c r="AD56" s="337">
        <f t="shared" si="37"/>
        <v>62.043085015634276</v>
      </c>
      <c r="AE56" s="339">
        <f t="shared" si="38"/>
        <v>-0.32464899492175764</v>
      </c>
      <c r="AF56" s="736" t="str">
        <f t="shared" si="9"/>
        <v>128.958609196914-49.3211906475306i</v>
      </c>
      <c r="AG56" s="337">
        <f t="shared" si="39"/>
        <v>42.801890319210408</v>
      </c>
      <c r="AH56" s="730">
        <f t="shared" si="40"/>
        <v>-20.929729541410978</v>
      </c>
      <c r="AI56" s="360">
        <f t="shared" si="10"/>
        <v>159.07027045858902</v>
      </c>
      <c r="AL56" s="337">
        <f t="shared" si="11"/>
        <v>35.853867688684318</v>
      </c>
      <c r="AM56" s="730">
        <f t="shared" si="12"/>
        <v>-18.601017232180808</v>
      </c>
      <c r="AN56" s="351"/>
      <c r="AO56" s="337">
        <f t="shared" si="13"/>
        <v>60.477145115568227</v>
      </c>
      <c r="AP56" s="730">
        <f t="shared" si="14"/>
        <v>-2.3287123092301947</v>
      </c>
      <c r="AS56" s="351"/>
      <c r="AT56" s="351"/>
      <c r="AV56" s="405">
        <f t="shared" si="15"/>
        <v>0</v>
      </c>
      <c r="AW56" s="405">
        <f t="shared" si="16"/>
        <v>0</v>
      </c>
      <c r="AX56" s="405">
        <f t="shared" si="17"/>
        <v>0</v>
      </c>
      <c r="AY56" s="405">
        <f t="shared" si="18"/>
        <v>0</v>
      </c>
    </row>
    <row r="57" spans="2:51" ht="13.5" thickBot="1" x14ac:dyDescent="0.25">
      <c r="B57" s="345">
        <v>57.544000000000004</v>
      </c>
      <c r="C57" s="728" t="str">
        <f t="shared" si="0"/>
        <v>2.2271548443541</v>
      </c>
      <c r="D57" s="728" t="str">
        <f t="shared" si="1"/>
        <v>1+0.0439897531968216i</v>
      </c>
      <c r="E57" s="337">
        <f t="shared" si="20"/>
        <v>1.0009670815697773</v>
      </c>
      <c r="F57" s="338">
        <f t="shared" si="21"/>
        <v>4.3961411262734673E-2</v>
      </c>
      <c r="G57" s="338" t="str">
        <f t="shared" si="2"/>
        <v>1+0.000180779807658171i</v>
      </c>
      <c r="H57" s="337">
        <f t="shared" si="22"/>
        <v>1.0000000163406693</v>
      </c>
      <c r="I57" s="338">
        <f t="shared" si="23"/>
        <v>1.8077980568879565E-4</v>
      </c>
      <c r="J57" s="340">
        <f t="shared" si="3"/>
        <v>1</v>
      </c>
      <c r="K57" s="338">
        <f t="shared" si="24"/>
        <v>1</v>
      </c>
      <c r="L57" s="339">
        <f t="shared" si="25"/>
        <v>0</v>
      </c>
      <c r="M57" s="731" t="str">
        <f t="shared" si="4"/>
        <v>0.999999852830581+0.000779322158237445i</v>
      </c>
      <c r="N57" s="338">
        <f t="shared" si="26"/>
        <v>1.0000001565020926</v>
      </c>
      <c r="O57" s="339">
        <f t="shared" si="27"/>
        <v>7.7932211515787959E-4</v>
      </c>
      <c r="P57" s="732" t="str">
        <f t="shared" si="19"/>
        <v>2.2227941674735-0.0991132129721424i</v>
      </c>
      <c r="Q57" s="337">
        <f t="shared" si="28"/>
        <v>2.2250027730184678</v>
      </c>
      <c r="R57" s="339">
        <f t="shared" si="29"/>
        <v>-4.4559953572203714E-2</v>
      </c>
      <c r="S57" s="731" t="str">
        <f t="shared" si="5"/>
        <v>6000</v>
      </c>
      <c r="T57" s="337" t="str">
        <f t="shared" si="6"/>
        <v>1+365.175211469505i</v>
      </c>
      <c r="U57" s="346">
        <f t="shared" si="30"/>
        <v>365.17658067268997</v>
      </c>
      <c r="V57" s="347">
        <f t="shared" si="31"/>
        <v>1.5680579221360629</v>
      </c>
      <c r="W57" s="340" t="str">
        <f t="shared" si="7"/>
        <v>1+3.61559615316342i</v>
      </c>
      <c r="X57" s="337">
        <f t="shared" si="32"/>
        <v>3.7513378337294712</v>
      </c>
      <c r="Y57" s="339">
        <f t="shared" si="33"/>
        <v>1.3009622036325565</v>
      </c>
      <c r="Z57" s="337" t="str">
        <f t="shared" si="8"/>
        <v>1+0.0364215492239419i</v>
      </c>
      <c r="AA57" s="346">
        <f t="shared" si="34"/>
        <v>1.0006630448097262</v>
      </c>
      <c r="AB57" s="347">
        <f t="shared" si="35"/>
        <v>3.6405457279762805E-2</v>
      </c>
      <c r="AC57" s="732" t="str">
        <f t="shared" si="36"/>
        <v>58.7800210375326-18.4085285518531i</v>
      </c>
      <c r="AD57" s="337">
        <f t="shared" si="37"/>
        <v>61.595168614244137</v>
      </c>
      <c r="AE57" s="339">
        <f t="shared" si="38"/>
        <v>-0.30350117578326913</v>
      </c>
      <c r="AF57" s="736" t="str">
        <f t="shared" si="9"/>
        <v>128.831359515334-46.7442466404284i</v>
      </c>
      <c r="AG57" s="337">
        <f t="shared" si="39"/>
        <v>42.737544100023399</v>
      </c>
      <c r="AH57" s="730">
        <f t="shared" si="40"/>
        <v>-19.942433724625513</v>
      </c>
      <c r="AI57" s="360">
        <f t="shared" si="10"/>
        <v>160.05756627537448</v>
      </c>
      <c r="AL57" s="337">
        <f t="shared" si="11"/>
        <v>35.790932968463082</v>
      </c>
      <c r="AM57" s="730">
        <f t="shared" si="12"/>
        <v>-17.38933644963943</v>
      </c>
      <c r="AN57" s="351"/>
      <c r="AO57" s="337">
        <f t="shared" si="13"/>
        <v>60.475733616602398</v>
      </c>
      <c r="AP57" s="730">
        <f t="shared" si="14"/>
        <v>-2.5530972749861798</v>
      </c>
      <c r="AS57" s="351"/>
      <c r="AT57" s="351"/>
      <c r="AV57" s="405">
        <f t="shared" si="15"/>
        <v>0</v>
      </c>
      <c r="AW57" s="405">
        <f t="shared" si="16"/>
        <v>0</v>
      </c>
      <c r="AX57" s="405">
        <f t="shared" si="17"/>
        <v>0</v>
      </c>
      <c r="AY57" s="405">
        <f t="shared" si="18"/>
        <v>0</v>
      </c>
    </row>
    <row r="58" spans="2:51" ht="13.5" thickBot="1" x14ac:dyDescent="0.25">
      <c r="B58" s="345">
        <v>63.095999999999997</v>
      </c>
      <c r="C58" s="728" t="str">
        <f t="shared" si="0"/>
        <v>2.2271548443541</v>
      </c>
      <c r="D58" s="728" t="str">
        <f t="shared" si="1"/>
        <v>1+0.0482340029839194i</v>
      </c>
      <c r="E58" s="337">
        <f t="shared" si="20"/>
        <v>1.0011625837214717</v>
      </c>
      <c r="F58" s="338">
        <f t="shared" si="21"/>
        <v>4.8196649336953334E-2</v>
      </c>
      <c r="G58" s="338" t="str">
        <f t="shared" si="2"/>
        <v>1+0.000198221930070902i</v>
      </c>
      <c r="H58" s="337">
        <f t="shared" si="22"/>
        <v>1.0000000196459666</v>
      </c>
      <c r="I58" s="338">
        <f t="shared" si="23"/>
        <v>1.9822192747472774E-4</v>
      </c>
      <c r="J58" s="340">
        <f t="shared" si="3"/>
        <v>1</v>
      </c>
      <c r="K58" s="338">
        <f t="shared" si="24"/>
        <v>1</v>
      </c>
      <c r="L58" s="339">
        <f t="shared" si="25"/>
        <v>0</v>
      </c>
      <c r="M58" s="731" t="str">
        <f t="shared" si="4"/>
        <v>0.99999982306199+0.00085451325761417i</v>
      </c>
      <c r="N58" s="338">
        <f t="shared" si="26"/>
        <v>1.0000001881584417</v>
      </c>
      <c r="O58" s="339">
        <f t="shared" si="27"/>
        <v>8.5451320082354605E-4</v>
      </c>
      <c r="P58" s="732" t="str">
        <f t="shared" si="19"/>
        <v>2.22191416199485-0.108633476257183i</v>
      </c>
      <c r="Q58" s="337">
        <f t="shared" si="28"/>
        <v>2.2245682222483079</v>
      </c>
      <c r="R58" s="339">
        <f t="shared" si="29"/>
        <v>-4.8852940610302244E-2</v>
      </c>
      <c r="S58" s="731" t="str">
        <f t="shared" si="5"/>
        <v>6000</v>
      </c>
      <c r="T58" s="337" t="str">
        <f t="shared" si="6"/>
        <v>1+400.408298743221i</v>
      </c>
      <c r="U58" s="346">
        <f t="shared" si="30"/>
        <v>400.40954746664136</v>
      </c>
      <c r="V58" s="347">
        <f t="shared" si="31"/>
        <v>1.5682988812522847</v>
      </c>
      <c r="W58" s="340" t="str">
        <f t="shared" si="7"/>
        <v>1+3.96443860141803i</v>
      </c>
      <c r="X58" s="337">
        <f t="shared" si="32"/>
        <v>4.0886150985894174</v>
      </c>
      <c r="Y58" s="339">
        <f t="shared" si="33"/>
        <v>1.3237081688339545</v>
      </c>
      <c r="Z58" s="337" t="str">
        <f t="shared" si="8"/>
        <v>1+0.0399355983218726i</v>
      </c>
      <c r="AA58" s="346">
        <f t="shared" si="34"/>
        <v>1.0007971083158294</v>
      </c>
      <c r="AB58" s="347">
        <f t="shared" si="35"/>
        <v>3.9914388157957476E-2</v>
      </c>
      <c r="AC58" s="732" t="str">
        <f t="shared" si="36"/>
        <v>58.7567905487812-17.1827360485509i</v>
      </c>
      <c r="AD58" s="337">
        <f t="shared" si="37"/>
        <v>61.21770049346442</v>
      </c>
      <c r="AE58" s="339">
        <f t="shared" si="38"/>
        <v>-0.28450510057628753</v>
      </c>
      <c r="AF58" s="736" t="str">
        <f t="shared" si="9"/>
        <v>128.685924685138-44.561518979124i</v>
      </c>
      <c r="AG58" s="337">
        <f t="shared" si="39"/>
        <v>42.682454826727337</v>
      </c>
      <c r="AH58" s="730">
        <f t="shared" si="40"/>
        <v>-19.100008826739931</v>
      </c>
      <c r="AI58" s="360">
        <f t="shared" si="10"/>
        <v>160.89999117326008</v>
      </c>
      <c r="AL58" s="337">
        <f t="shared" si="11"/>
        <v>35.73754024526044</v>
      </c>
      <c r="AM58" s="730">
        <f t="shared" si="12"/>
        <v>-16.300941512966279</v>
      </c>
      <c r="AN58" s="351"/>
      <c r="AO58" s="337">
        <f t="shared" si="13"/>
        <v>60.474037066509055</v>
      </c>
      <c r="AP58" s="730">
        <f t="shared" si="14"/>
        <v>-2.7990673137735809</v>
      </c>
      <c r="AS58" s="351"/>
      <c r="AT58" s="351"/>
      <c r="AV58" s="405">
        <f t="shared" si="15"/>
        <v>0</v>
      </c>
      <c r="AW58" s="405">
        <f t="shared" si="16"/>
        <v>0</v>
      </c>
      <c r="AX58" s="405">
        <f t="shared" si="17"/>
        <v>0</v>
      </c>
      <c r="AY58" s="405">
        <f t="shared" si="18"/>
        <v>0</v>
      </c>
    </row>
    <row r="59" spans="2:51" ht="13.5" thickBot="1" x14ac:dyDescent="0.25">
      <c r="B59" s="345">
        <v>69.183000000000007</v>
      </c>
      <c r="C59" s="728" t="str">
        <f t="shared" si="0"/>
        <v>2.2271548443541</v>
      </c>
      <c r="D59" s="728" t="str">
        <f t="shared" si="1"/>
        <v>1+0.0528872357746369i</v>
      </c>
      <c r="E59" s="337">
        <f t="shared" si="20"/>
        <v>1.001397553276361</v>
      </c>
      <c r="F59" s="338">
        <f t="shared" si="21"/>
        <v>5.2838008777360584E-2</v>
      </c>
      <c r="G59" s="338" t="str">
        <f t="shared" si="2"/>
        <v>1+0.000217344804553303i</v>
      </c>
      <c r="H59" s="337">
        <f t="shared" si="22"/>
        <v>1.0000000236193818</v>
      </c>
      <c r="I59" s="338">
        <f t="shared" si="23"/>
        <v>2.1734480113093645E-4</v>
      </c>
      <c r="J59" s="340">
        <f t="shared" si="3"/>
        <v>1</v>
      </c>
      <c r="K59" s="338">
        <f t="shared" si="24"/>
        <v>1</v>
      </c>
      <c r="L59" s="339">
        <f t="shared" si="25"/>
        <v>0</v>
      </c>
      <c r="M59" s="731" t="str">
        <f t="shared" si="4"/>
        <v>0.999999787276112+0.000936949897006484i</v>
      </c>
      <c r="N59" s="338">
        <f t="shared" si="26"/>
        <v>1.0000002262136638</v>
      </c>
      <c r="O59" s="339">
        <f t="shared" si="27"/>
        <v>9.3694982214312297E-4</v>
      </c>
      <c r="P59" s="732" t="str">
        <f t="shared" si="19"/>
        <v>2.22085718549234-0.119057668936488i</v>
      </c>
      <c r="Q59" s="337">
        <f t="shared" si="28"/>
        <v>2.224046170133513</v>
      </c>
      <c r="R59" s="339">
        <f t="shared" si="29"/>
        <v>-5.3557613798372899E-2</v>
      </c>
      <c r="S59" s="731" t="str">
        <f t="shared" si="5"/>
        <v>6000</v>
      </c>
      <c r="T59" s="337" t="str">
        <f t="shared" si="6"/>
        <v>1+439.036505197671i</v>
      </c>
      <c r="U59" s="346">
        <f t="shared" si="30"/>
        <v>439.03764405365581</v>
      </c>
      <c r="V59" s="347">
        <f t="shared" si="31"/>
        <v>1.56851861580996</v>
      </c>
      <c r="W59" s="340" t="str">
        <f t="shared" si="7"/>
        <v>1+4.34689609106605i</v>
      </c>
      <c r="X59" s="337">
        <f t="shared" si="32"/>
        <v>4.4604378290169349</v>
      </c>
      <c r="Y59" s="339">
        <f t="shared" si="33"/>
        <v>1.3446812042782277</v>
      </c>
      <c r="Z59" s="337" t="str">
        <f t="shared" si="8"/>
        <v>1+0.0437882670645067i</v>
      </c>
      <c r="AA59" s="346">
        <f t="shared" si="34"/>
        <v>1.0009582470475542</v>
      </c>
      <c r="AB59" s="347">
        <f t="shared" si="35"/>
        <v>4.3760312496629865E-2</v>
      </c>
      <c r="AC59" s="732" t="str">
        <f t="shared" si="36"/>
        <v>58.7316522734022-16.1026668223217i</v>
      </c>
      <c r="AD59" s="337">
        <f t="shared" si="37"/>
        <v>60.89912033481707</v>
      </c>
      <c r="AE59" s="339">
        <f t="shared" si="38"/>
        <v>-0.26759772402836163</v>
      </c>
      <c r="AF59" s="736" t="str">
        <f t="shared" si="9"/>
        <v>128.517465991696-42.7541769304019i</v>
      </c>
      <c r="AG59" s="337">
        <f t="shared" si="39"/>
        <v>42.63509636409438</v>
      </c>
      <c r="AH59" s="730">
        <f t="shared" si="40"/>
        <v>-18.400845425570076</v>
      </c>
      <c r="AI59" s="360">
        <f t="shared" si="10"/>
        <v>161.59915457442992</v>
      </c>
      <c r="AL59" s="337">
        <f t="shared" si="11"/>
        <v>35.69222038911267</v>
      </c>
      <c r="AM59" s="730">
        <f t="shared" si="12"/>
        <v>-15.33222019413166</v>
      </c>
      <c r="AN59" s="351"/>
      <c r="AO59" s="337">
        <f t="shared" si="13"/>
        <v>60.471998460023883</v>
      </c>
      <c r="AP59" s="730">
        <f t="shared" si="14"/>
        <v>-3.0686252314383782</v>
      </c>
      <c r="AS59" s="351"/>
      <c r="AT59" s="351"/>
      <c r="AV59" s="405">
        <f t="shared" si="15"/>
        <v>0</v>
      </c>
      <c r="AW59" s="405">
        <f t="shared" si="16"/>
        <v>0</v>
      </c>
      <c r="AX59" s="405">
        <f t="shared" si="17"/>
        <v>0</v>
      </c>
      <c r="AY59" s="405">
        <f t="shared" si="18"/>
        <v>0</v>
      </c>
    </row>
    <row r="60" spans="2:51" ht="13.5" thickBot="1" x14ac:dyDescent="0.25">
      <c r="B60" s="345">
        <v>75.858000000000004</v>
      </c>
      <c r="C60" s="728" t="str">
        <f t="shared" si="0"/>
        <v>2.2271548443541</v>
      </c>
      <c r="D60" s="728" t="str">
        <f t="shared" si="1"/>
        <v>1+0.0579899676422302i</v>
      </c>
      <c r="E60" s="337">
        <f t="shared" si="20"/>
        <v>1.0016800069618774</v>
      </c>
      <c r="F60" s="338">
        <f t="shared" si="21"/>
        <v>5.792509489555004E-2</v>
      </c>
      <c r="G60" s="338" t="str">
        <f t="shared" si="2"/>
        <v>1+0.000238314935516014i</v>
      </c>
      <c r="H60" s="337">
        <f t="shared" si="22"/>
        <v>1.0000000283970039</v>
      </c>
      <c r="I60" s="338">
        <f t="shared" si="23"/>
        <v>2.3831493100439399E-4</v>
      </c>
      <c r="J60" s="340">
        <f t="shared" si="3"/>
        <v>1</v>
      </c>
      <c r="K60" s="338">
        <f t="shared" si="24"/>
        <v>1</v>
      </c>
      <c r="L60" s="339">
        <f t="shared" si="25"/>
        <v>0</v>
      </c>
      <c r="M60" s="731" t="str">
        <f t="shared" si="4"/>
        <v>0.999999744247282+0.00102734985888322i</v>
      </c>
      <c r="N60" s="338">
        <f t="shared" si="26"/>
        <v>1.0000002719711441</v>
      </c>
      <c r="O60" s="339">
        <f t="shared" si="27"/>
        <v>1.0273497601927311E-3</v>
      </c>
      <c r="P60" s="732" t="str">
        <f t="shared" si="19"/>
        <v>2.21958759286387-0.130471114821087i</v>
      </c>
      <c r="Q60" s="337">
        <f t="shared" si="28"/>
        <v>2.2234189425742255</v>
      </c>
      <c r="R60" s="339">
        <f t="shared" si="29"/>
        <v>-5.8714129724738551E-2</v>
      </c>
      <c r="S60" s="731" t="str">
        <f t="shared" si="5"/>
        <v>6000</v>
      </c>
      <c r="T60" s="337" t="str">
        <f t="shared" si="6"/>
        <v>1+481.396169742349i</v>
      </c>
      <c r="U60" s="346">
        <f t="shared" si="30"/>
        <v>481.39720838680034</v>
      </c>
      <c r="V60" s="347">
        <f t="shared" si="31"/>
        <v>1.568719038639157</v>
      </c>
      <c r="W60" s="340" t="str">
        <f t="shared" si="7"/>
        <v>1+4.76629871032029i</v>
      </c>
      <c r="X60" s="337">
        <f t="shared" si="32"/>
        <v>4.8700722167131012</v>
      </c>
      <c r="Y60" s="339">
        <f t="shared" si="33"/>
        <v>1.3639895573677578</v>
      </c>
      <c r="Z60" s="337" t="str">
        <f t="shared" si="8"/>
        <v>1+0.0480131009493568i</v>
      </c>
      <c r="AA60" s="346">
        <f t="shared" si="34"/>
        <v>1.0011519654192231</v>
      </c>
      <c r="AB60" s="347">
        <f t="shared" si="35"/>
        <v>4.7976257703030226E-2</v>
      </c>
      <c r="AC60" s="732" t="str">
        <f t="shared" si="36"/>
        <v>58.7037520854426-15.1588393526356i</v>
      </c>
      <c r="AD60" s="337">
        <f t="shared" si="37"/>
        <v>60.629373404548069</v>
      </c>
      <c r="AE60" s="339">
        <f t="shared" si="38"/>
        <v>-0.25270573897442888</v>
      </c>
      <c r="AF60" s="736" t="str">
        <f t="shared" si="9"/>
        <v>128.320329113673-41.305515728095i</v>
      </c>
      <c r="AG60" s="337">
        <f t="shared" si="39"/>
        <v>42.594087624663182</v>
      </c>
      <c r="AH60" s="730">
        <f t="shared" si="40"/>
        <v>-17.843044132980534</v>
      </c>
      <c r="AI60" s="360">
        <f t="shared" si="10"/>
        <v>162.15695586701946</v>
      </c>
      <c r="AL60" s="337">
        <f t="shared" si="11"/>
        <v>35.653661597800649</v>
      </c>
      <c r="AM60" s="730">
        <f t="shared" si="12"/>
        <v>-14.478972301969412</v>
      </c>
      <c r="AN60" s="351"/>
      <c r="AO60" s="337">
        <f t="shared" si="13"/>
        <v>60.469548511904662</v>
      </c>
      <c r="AP60" s="730">
        <f t="shared" si="14"/>
        <v>-3.3640718310111302</v>
      </c>
      <c r="AS60" s="351"/>
      <c r="AT60" s="351"/>
      <c r="AV60" s="405">
        <f t="shared" si="15"/>
        <v>0</v>
      </c>
      <c r="AW60" s="405">
        <f t="shared" si="16"/>
        <v>0</v>
      </c>
      <c r="AX60" s="405">
        <f t="shared" si="17"/>
        <v>0</v>
      </c>
      <c r="AY60" s="405">
        <f t="shared" si="18"/>
        <v>0</v>
      </c>
    </row>
    <row r="61" spans="2:51" ht="13.5" thickBot="1" x14ac:dyDescent="0.25">
      <c r="B61" s="345">
        <v>83.176000000000002</v>
      </c>
      <c r="C61" s="728" t="str">
        <f t="shared" si="0"/>
        <v>2.2271548443541</v>
      </c>
      <c r="D61" s="728" t="str">
        <f t="shared" si="1"/>
        <v>1+0.0635842435683796i</v>
      </c>
      <c r="E61" s="337">
        <f t="shared" si="20"/>
        <v>1.0020194389482486</v>
      </c>
      <c r="F61" s="338">
        <f t="shared" si="21"/>
        <v>6.349876139950314E-2</v>
      </c>
      <c r="G61" s="338" t="str">
        <f t="shared" si="2"/>
        <v>1+0.000261305110554984i</v>
      </c>
      <c r="H61" s="337">
        <f t="shared" si="22"/>
        <v>1.0000000341401798</v>
      </c>
      <c r="I61" s="338">
        <f t="shared" si="23"/>
        <v>2.6130510460764848E-4</v>
      </c>
      <c r="J61" s="340">
        <f t="shared" si="3"/>
        <v>1</v>
      </c>
      <c r="K61" s="338">
        <f t="shared" si="24"/>
        <v>1</v>
      </c>
      <c r="L61" s="339">
        <f t="shared" si="25"/>
        <v>0</v>
      </c>
      <c r="M61" s="731" t="str">
        <f t="shared" si="4"/>
        <v>0.999999692522357+0.00112645801184411i</v>
      </c>
      <c r="N61" s="338">
        <f t="shared" si="26"/>
        <v>1.000000326976177</v>
      </c>
      <c r="O61" s="339">
        <f t="shared" si="27"/>
        <v>1.1264578817477306E-3</v>
      </c>
      <c r="P61" s="732" t="str">
        <f t="shared" si="19"/>
        <v>2.21806331030109-0.142960706166372i</v>
      </c>
      <c r="Q61" s="337">
        <f t="shared" si="28"/>
        <v>2.2226656545714238</v>
      </c>
      <c r="R61" s="339">
        <f t="shared" si="29"/>
        <v>-6.4363914176643403E-2</v>
      </c>
      <c r="S61" s="731" t="str">
        <f t="shared" si="5"/>
        <v>6000</v>
      </c>
      <c r="T61" s="337" t="str">
        <f t="shared" si="6"/>
        <v>1+527.836323321069i</v>
      </c>
      <c r="U61" s="346">
        <f t="shared" si="30"/>
        <v>527.83727058356158</v>
      </c>
      <c r="V61" s="347">
        <f t="shared" si="31"/>
        <v>1.5689018023762278</v>
      </c>
      <c r="W61" s="340" t="str">
        <f t="shared" si="7"/>
        <v>1+5.22610221109969i</v>
      </c>
      <c r="X61" s="337">
        <f t="shared" si="32"/>
        <v>5.3209157408157726</v>
      </c>
      <c r="Y61" s="339">
        <f t="shared" si="33"/>
        <v>1.3817344461864778</v>
      </c>
      <c r="Z61" s="337" t="str">
        <f t="shared" si="8"/>
        <v>1+0.0526449113417661i</v>
      </c>
      <c r="AA61" s="346">
        <f t="shared" si="34"/>
        <v>1.0013847845309927</v>
      </c>
      <c r="AB61" s="347">
        <f t="shared" si="35"/>
        <v>5.2596357166216044E-2</v>
      </c>
      <c r="AC61" s="732" t="str">
        <f t="shared" si="36"/>
        <v>58.6721575521529-14.343364109347i</v>
      </c>
      <c r="AD61" s="337">
        <f t="shared" si="37"/>
        <v>60.399951703606156</v>
      </c>
      <c r="AE61" s="339">
        <f t="shared" si="38"/>
        <v>-0.23976371335596722</v>
      </c>
      <c r="AF61" s="736" t="str">
        <f t="shared" si="9"/>
        <v>128.088022540762-40.2023027531925i</v>
      </c>
      <c r="AG61" s="337">
        <f t="shared" si="39"/>
        <v>42.5582146006927</v>
      </c>
      <c r="AH61" s="730">
        <f t="shared" si="40"/>
        <v>-17.425229490945259</v>
      </c>
      <c r="AI61" s="360">
        <f t="shared" si="10"/>
        <v>162.57477050905473</v>
      </c>
      <c r="AL61" s="337">
        <f t="shared" si="11"/>
        <v>35.620731827102858</v>
      </c>
      <c r="AM61" s="730">
        <f t="shared" si="12"/>
        <v>-13.73744885568137</v>
      </c>
      <c r="AN61" s="351"/>
      <c r="AO61" s="337">
        <f t="shared" si="13"/>
        <v>60.466605258631958</v>
      </c>
      <c r="AP61" s="730">
        <f t="shared" si="14"/>
        <v>-3.6877806352639131</v>
      </c>
      <c r="AS61" s="351"/>
      <c r="AT61" s="351"/>
      <c r="AV61" s="405">
        <f t="shared" si="15"/>
        <v>0</v>
      </c>
      <c r="AW61" s="405">
        <f t="shared" si="16"/>
        <v>0</v>
      </c>
      <c r="AX61" s="405">
        <f t="shared" si="17"/>
        <v>0</v>
      </c>
      <c r="AY61" s="405">
        <f t="shared" si="18"/>
        <v>0</v>
      </c>
    </row>
    <row r="62" spans="2:51" ht="13.5" thickBot="1" x14ac:dyDescent="0.25">
      <c r="B62" s="345">
        <v>91.201000000000008</v>
      </c>
      <c r="C62" s="728" t="str">
        <f t="shared" si="0"/>
        <v>2.2271548443541</v>
      </c>
      <c r="D62" s="728" t="str">
        <f t="shared" si="1"/>
        <v>1+0.0697189886226771i</v>
      </c>
      <c r="E62" s="337">
        <f t="shared" si="20"/>
        <v>1.0024274224972944</v>
      </c>
      <c r="F62" s="338">
        <f t="shared" si="21"/>
        <v>6.9606355032125783E-2</v>
      </c>
      <c r="G62" s="338" t="str">
        <f t="shared" si="2"/>
        <v>1+0.000286516391600043i</v>
      </c>
      <c r="H62" s="337">
        <f t="shared" si="22"/>
        <v>1.0000000410458205</v>
      </c>
      <c r="I62" s="338">
        <f t="shared" si="23"/>
        <v>2.8651638375984297E-4</v>
      </c>
      <c r="J62" s="340">
        <f t="shared" si="3"/>
        <v>1</v>
      </c>
      <c r="K62" s="338">
        <f t="shared" si="24"/>
        <v>1</v>
      </c>
      <c r="L62" s="339">
        <f t="shared" si="25"/>
        <v>0</v>
      </c>
      <c r="M62" s="731" t="str">
        <f t="shared" si="4"/>
        <v>0.999999630327893+0.00123514111207795i</v>
      </c>
      <c r="N62" s="338">
        <f t="shared" si="26"/>
        <v>1.0000003931146675</v>
      </c>
      <c r="O62" s="339">
        <f t="shared" si="27"/>
        <v>1.2351409405756705E-3</v>
      </c>
      <c r="P62" s="732" t="str">
        <f t="shared" si="19"/>
        <v>2.21623323285351-0.156626272263i</v>
      </c>
      <c r="Q62" s="337">
        <f t="shared" si="28"/>
        <v>2.2217609078312912</v>
      </c>
      <c r="R62" s="339">
        <f t="shared" si="29"/>
        <v>-7.0554979588941497E-2</v>
      </c>
      <c r="S62" s="731" t="str">
        <f t="shared" si="5"/>
        <v>6000</v>
      </c>
      <c r="T62" s="337" t="str">
        <f t="shared" si="6"/>
        <v>1+578.763111032087i</v>
      </c>
      <c r="U62" s="346">
        <f t="shared" si="30"/>
        <v>578.76397494275659</v>
      </c>
      <c r="V62" s="347">
        <f t="shared" si="31"/>
        <v>1.5690685058854146</v>
      </c>
      <c r="W62" s="340" t="str">
        <f t="shared" si="7"/>
        <v>1+5.73032783200086i</v>
      </c>
      <c r="X62" s="337">
        <f t="shared" si="32"/>
        <v>5.8169284903807847</v>
      </c>
      <c r="Y62" s="339">
        <f t="shared" si="33"/>
        <v>1.3980260565387339</v>
      </c>
      <c r="Z62" s="337" t="str">
        <f t="shared" si="8"/>
        <v>1+0.0577242060123163i</v>
      </c>
      <c r="AA62" s="346">
        <f t="shared" si="34"/>
        <v>1.0016646564393457</v>
      </c>
      <c r="AB62" s="347">
        <f t="shared" si="35"/>
        <v>5.7660219920920568E-2</v>
      </c>
      <c r="AC62" s="732" t="str">
        <f t="shared" si="36"/>
        <v>58.6357996252396-13.648967179442i</v>
      </c>
      <c r="AD62" s="337">
        <f t="shared" si="37"/>
        <v>60.203416038931991</v>
      </c>
      <c r="AE62" s="339">
        <f t="shared" si="38"/>
        <v>-0.22870266926760197</v>
      </c>
      <c r="AF62" s="736" t="str">
        <f t="shared" si="9"/>
        <v>127.812820914839-39.4332013736677i</v>
      </c>
      <c r="AG62" s="337">
        <f t="shared" si="39"/>
        <v>42.526369111189446</v>
      </c>
      <c r="AH62" s="730">
        <f t="shared" si="40"/>
        <v>-17.146200266487977</v>
      </c>
      <c r="AI62" s="360">
        <f t="shared" si="10"/>
        <v>162.85379973351203</v>
      </c>
      <c r="AL62" s="337">
        <f t="shared" si="11"/>
        <v>35.592422690527698</v>
      </c>
      <c r="AM62" s="730">
        <f t="shared" si="12"/>
        <v>-13.103697712409911</v>
      </c>
      <c r="AN62" s="351"/>
      <c r="AO62" s="337">
        <f t="shared" si="13"/>
        <v>60.463068905703892</v>
      </c>
      <c r="AP62" s="730">
        <f t="shared" si="14"/>
        <v>-4.0425025540780188</v>
      </c>
      <c r="AS62" s="351"/>
      <c r="AT62" s="351"/>
      <c r="AV62" s="405">
        <f t="shared" si="15"/>
        <v>0</v>
      </c>
      <c r="AW62" s="405">
        <f t="shared" si="16"/>
        <v>0</v>
      </c>
      <c r="AX62" s="405">
        <f t="shared" si="17"/>
        <v>0</v>
      </c>
      <c r="AY62" s="405">
        <f t="shared" si="18"/>
        <v>0</v>
      </c>
    </row>
    <row r="63" spans="2:51" ht="13.5" thickBot="1" x14ac:dyDescent="0.25">
      <c r="B63" s="345">
        <v>100</v>
      </c>
      <c r="C63" s="728" t="str">
        <f t="shared" si="0"/>
        <v>2.2271548443541</v>
      </c>
      <c r="D63" s="728" t="str">
        <f t="shared" si="1"/>
        <v>1+0.0764454212373517i</v>
      </c>
      <c r="E63" s="337">
        <f t="shared" si="20"/>
        <v>1.002917694742772</v>
      </c>
      <c r="F63" s="338">
        <f t="shared" si="21"/>
        <v>7.6297028013926876E-2</v>
      </c>
      <c r="G63" s="338" t="str">
        <f t="shared" si="2"/>
        <v>1+0.000314159265358979i</v>
      </c>
      <c r="H63" s="337">
        <f t="shared" si="22"/>
        <v>1.0000000493480208</v>
      </c>
      <c r="I63" s="338">
        <f t="shared" si="23"/>
        <v>3.1415925502355403E-4</v>
      </c>
      <c r="J63" s="340">
        <f t="shared" si="3"/>
        <v>1</v>
      </c>
      <c r="K63" s="338">
        <f t="shared" si="24"/>
        <v>1</v>
      </c>
      <c r="L63" s="339">
        <f t="shared" si="25"/>
        <v>0</v>
      </c>
      <c r="M63" s="731" t="str">
        <f t="shared" si="4"/>
        <v>0.999999555555556+0.00135430654496984i</v>
      </c>
      <c r="N63" s="338">
        <f t="shared" si="26"/>
        <v>1.000000472628652</v>
      </c>
      <c r="O63" s="339">
        <f t="shared" si="27"/>
        <v>1.3543063188851917E-3</v>
      </c>
      <c r="P63" s="732" t="str">
        <f t="shared" si="19"/>
        <v>2.21403698976372-0.17156955749141i</v>
      </c>
      <c r="Q63" s="337">
        <f t="shared" si="28"/>
        <v>2.2206746508887321</v>
      </c>
      <c r="R63" s="339">
        <f t="shared" si="29"/>
        <v>-7.7337175077788659E-2</v>
      </c>
      <c r="S63" s="731" t="str">
        <f t="shared" si="5"/>
        <v>6000</v>
      </c>
      <c r="T63" s="337" t="str">
        <f t="shared" si="6"/>
        <v>1+634.601716025139i</v>
      </c>
      <c r="U63" s="346">
        <f t="shared" si="30"/>
        <v>634.6025039204078</v>
      </c>
      <c r="V63" s="347">
        <f t="shared" si="31"/>
        <v>1.569220536583426</v>
      </c>
      <c r="W63" s="340" t="str">
        <f t="shared" si="7"/>
        <v>1+6.28318530717959i</v>
      </c>
      <c r="X63" s="337">
        <f t="shared" si="32"/>
        <v>6.362265131567332</v>
      </c>
      <c r="Y63" s="339">
        <f t="shared" si="33"/>
        <v>1.4129651365067379</v>
      </c>
      <c r="Z63" s="337" t="str">
        <f t="shared" si="8"/>
        <v>1+0.0632933915333344i</v>
      </c>
      <c r="AA63" s="346">
        <f t="shared" si="34"/>
        <v>1.0020010246560589</v>
      </c>
      <c r="AB63" s="347">
        <f t="shared" si="35"/>
        <v>6.3209075203803061E-2</v>
      </c>
      <c r="AC63" s="732" t="str">
        <f t="shared" si="36"/>
        <v>58.5934665188621-13.0696936903075i</v>
      </c>
      <c r="AD63" s="337">
        <f t="shared" si="37"/>
        <v>60.033417459407367</v>
      </c>
      <c r="AE63" s="339">
        <f t="shared" si="38"/>
        <v>-0.21946447528049154</v>
      </c>
      <c r="AF63" s="736" t="str">
        <f t="shared" si="9"/>
        <v>127.485740668248-38.9896403977512i</v>
      </c>
      <c r="AG63" s="337">
        <f t="shared" si="39"/>
        <v>42.497560035769979</v>
      </c>
      <c r="AH63" s="730">
        <f t="shared" si="40"/>
        <v>-17.005481918047018</v>
      </c>
      <c r="AI63" s="360">
        <f t="shared" si="10"/>
        <v>162.99451808195298</v>
      </c>
      <c r="AL63" s="337">
        <f t="shared" si="11"/>
        <v>35.567861333723393</v>
      </c>
      <c r="AM63" s="730">
        <f t="shared" si="12"/>
        <v>-12.574388186625349</v>
      </c>
      <c r="AN63" s="351"/>
      <c r="AO63" s="337">
        <f t="shared" si="13"/>
        <v>60.458821187088738</v>
      </c>
      <c r="AP63" s="730">
        <f t="shared" si="14"/>
        <v>-4.4310937314216323</v>
      </c>
      <c r="AS63" s="351"/>
      <c r="AT63" s="351"/>
      <c r="AV63" s="405">
        <f t="shared" si="15"/>
        <v>0</v>
      </c>
      <c r="AW63" s="405">
        <f t="shared" si="16"/>
        <v>0</v>
      </c>
      <c r="AX63" s="405">
        <f t="shared" si="17"/>
        <v>0</v>
      </c>
      <c r="AY63" s="405">
        <f t="shared" si="18"/>
        <v>0</v>
      </c>
    </row>
    <row r="64" spans="2:51" ht="13.5" thickBot="1" x14ac:dyDescent="0.25">
      <c r="B64" s="345">
        <v>109.65</v>
      </c>
      <c r="C64" s="728" t="str">
        <f t="shared" si="0"/>
        <v>2.2271548443541</v>
      </c>
      <c r="D64" s="728" t="str">
        <f t="shared" si="1"/>
        <v>1+0.0838224043867561i</v>
      </c>
      <c r="E64" s="337">
        <f t="shared" si="20"/>
        <v>1.0035069483950656</v>
      </c>
      <c r="F64" s="338">
        <f t="shared" si="21"/>
        <v>8.3626910342097363E-2</v>
      </c>
      <c r="G64" s="338" t="str">
        <f t="shared" si="2"/>
        <v>1+0.000344475634466121i</v>
      </c>
      <c r="H64" s="337">
        <f t="shared" si="22"/>
        <v>1.0000000593317298</v>
      </c>
      <c r="I64" s="338">
        <f t="shared" si="23"/>
        <v>3.4447562084056473E-4</v>
      </c>
      <c r="J64" s="340">
        <f t="shared" si="3"/>
        <v>1</v>
      </c>
      <c r="K64" s="338">
        <f t="shared" si="24"/>
        <v>1</v>
      </c>
      <c r="L64" s="339">
        <f t="shared" si="25"/>
        <v>0</v>
      </c>
      <c r="M64" s="731" t="str">
        <f t="shared" si="4"/>
        <v>0.999999465639+0.00148499712655943i</v>
      </c>
      <c r="N64" s="338">
        <f t="shared" si="26"/>
        <v>1.0000005682472142</v>
      </c>
      <c r="O64" s="339">
        <f t="shared" si="27"/>
        <v>1.4849968285040596E-3</v>
      </c>
      <c r="P64" s="732" t="str">
        <f t="shared" si="19"/>
        <v>2.21140160385822-0.187905114989465i</v>
      </c>
      <c r="Q64" s="337">
        <f t="shared" si="28"/>
        <v>2.2193704931322102</v>
      </c>
      <c r="R64" s="339">
        <f t="shared" si="29"/>
        <v>-8.4767431549761102E-2</v>
      </c>
      <c r="S64" s="731" t="str">
        <f t="shared" si="5"/>
        <v>6000</v>
      </c>
      <c r="T64" s="337" t="str">
        <f t="shared" si="6"/>
        <v>1+695.840781621564i</v>
      </c>
      <c r="U64" s="346">
        <f t="shared" si="30"/>
        <v>695.8415001763758</v>
      </c>
      <c r="V64" s="347">
        <f t="shared" si="31"/>
        <v>1.5693592174187521</v>
      </c>
      <c r="W64" s="340" t="str">
        <f t="shared" si="7"/>
        <v>1+6.88951268932242i</v>
      </c>
      <c r="X64" s="337">
        <f t="shared" si="32"/>
        <v>6.9617084897555603</v>
      </c>
      <c r="Y64" s="339">
        <f t="shared" si="33"/>
        <v>1.426654811873985</v>
      </c>
      <c r="Z64" s="337" t="str">
        <f t="shared" si="8"/>
        <v>1+0.0694012038163011i</v>
      </c>
      <c r="AA64" s="346">
        <f t="shared" si="34"/>
        <v>1.0024053706416141</v>
      </c>
      <c r="AB64" s="347">
        <f t="shared" si="35"/>
        <v>6.9290100459942341E-2</v>
      </c>
      <c r="AC64" s="732" t="str">
        <f t="shared" si="36"/>
        <v>58.5437351780954-12.6002773653022i</v>
      </c>
      <c r="AD64" s="337">
        <f t="shared" si="37"/>
        <v>59.88435453676955</v>
      </c>
      <c r="AE64" s="339">
        <f t="shared" si="38"/>
        <v>-0.21199450600470943</v>
      </c>
      <c r="AF64" s="736" t="str">
        <f t="shared" si="9"/>
        <v>127.096053301465-38.8649408652405i</v>
      </c>
      <c r="AG64" s="337">
        <f t="shared" si="39"/>
        <v>42.470863612038379</v>
      </c>
      <c r="AH64" s="730">
        <f t="shared" si="40"/>
        <v>-17.003206541996015</v>
      </c>
      <c r="AI64" s="360">
        <f t="shared" si="10"/>
        <v>162.99679345800399</v>
      </c>
      <c r="AL64" s="337">
        <f t="shared" si="11"/>
        <v>35.546267457511924</v>
      </c>
      <c r="AM64" s="730">
        <f t="shared" si="12"/>
        <v>-12.146390474030637</v>
      </c>
      <c r="AN64" s="351"/>
      <c r="AO64" s="337">
        <f t="shared" si="13"/>
        <v>60.453718639568592</v>
      </c>
      <c r="AP64" s="730">
        <f t="shared" si="14"/>
        <v>-4.8568160679654033</v>
      </c>
      <c r="AS64" s="351"/>
      <c r="AT64" s="351"/>
      <c r="AV64" s="405">
        <f t="shared" si="15"/>
        <v>0</v>
      </c>
      <c r="AW64" s="405">
        <f t="shared" si="16"/>
        <v>0</v>
      </c>
      <c r="AX64" s="405">
        <f t="shared" si="17"/>
        <v>0</v>
      </c>
      <c r="AY64" s="405">
        <f t="shared" si="18"/>
        <v>0</v>
      </c>
    </row>
    <row r="65" spans="2:51" ht="13.5" thickBot="1" x14ac:dyDescent="0.25">
      <c r="B65" s="345">
        <v>120.23</v>
      </c>
      <c r="C65" s="728" t="str">
        <f t="shared" si="0"/>
        <v>2.2271548443541</v>
      </c>
      <c r="D65" s="728" t="str">
        <f t="shared" si="1"/>
        <v>1+0.0919103299536679i</v>
      </c>
      <c r="E65" s="337">
        <f t="shared" si="20"/>
        <v>1.0042148718039343</v>
      </c>
      <c r="F65" s="338">
        <f t="shared" si="21"/>
        <v>9.1652829403048433E-2</v>
      </c>
      <c r="G65" s="338" t="str">
        <f t="shared" si="2"/>
        <v>1+0.000377713684741101i</v>
      </c>
      <c r="H65" s="337">
        <f t="shared" si="22"/>
        <v>1.0000000713338113</v>
      </c>
      <c r="I65" s="338">
        <f t="shared" si="23"/>
        <v>3.7771366677859746E-4</v>
      </c>
      <c r="J65" s="340">
        <f t="shared" si="3"/>
        <v>1</v>
      </c>
      <c r="K65" s="338">
        <f t="shared" si="24"/>
        <v>1</v>
      </c>
      <c r="L65" s="339">
        <f t="shared" si="25"/>
        <v>0</v>
      </c>
      <c r="M65" s="731" t="str">
        <f t="shared" si="4"/>
        <v>0.999999357544316+0.00162828275901724i</v>
      </c>
      <c r="N65" s="338">
        <f t="shared" si="26"/>
        <v>1.0000006831966606</v>
      </c>
      <c r="O65" s="339">
        <f t="shared" si="27"/>
        <v>1.6282823660923405E-3</v>
      </c>
      <c r="P65" s="732" t="str">
        <f t="shared" si="19"/>
        <v>2.20824161040454-0.205745422736434i</v>
      </c>
      <c r="Q65" s="337">
        <f t="shared" si="28"/>
        <v>2.2178057148675197</v>
      </c>
      <c r="R65" s="339">
        <f t="shared" si="29"/>
        <v>-9.2903398102362089E-2</v>
      </c>
      <c r="S65" s="731" t="str">
        <f t="shared" si="5"/>
        <v>6000</v>
      </c>
      <c r="T65" s="337" t="str">
        <f t="shared" si="6"/>
        <v>1+762.981643177024i</v>
      </c>
      <c r="U65" s="346">
        <f t="shared" si="30"/>
        <v>762.98229850050359</v>
      </c>
      <c r="V65" s="347">
        <f t="shared" si="31"/>
        <v>1.5694856800233208</v>
      </c>
      <c r="W65" s="340" t="str">
        <f t="shared" si="7"/>
        <v>1+7.55427369482202i</v>
      </c>
      <c r="X65" s="337">
        <f t="shared" si="32"/>
        <v>7.6201739518386287</v>
      </c>
      <c r="Y65" s="339">
        <f t="shared" si="33"/>
        <v>1.4391861134911237</v>
      </c>
      <c r="Z65" s="337" t="str">
        <f t="shared" si="8"/>
        <v>1+0.0760976446405279i</v>
      </c>
      <c r="AA65" s="346">
        <f t="shared" si="34"/>
        <v>1.0028912461078898</v>
      </c>
      <c r="AB65" s="347">
        <f t="shared" si="35"/>
        <v>7.5951262856318771E-2</v>
      </c>
      <c r="AC65" s="732" t="str">
        <f t="shared" si="36"/>
        <v>58.4849703941009-12.2365800025439i</v>
      </c>
      <c r="AD65" s="337">
        <f t="shared" si="37"/>
        <v>59.751365274422938</v>
      </c>
      <c r="AE65" s="339">
        <f t="shared" si="38"/>
        <v>-0.20625082938851644</v>
      </c>
      <c r="AF65" s="736" t="str">
        <f t="shared" si="9"/>
        <v>126.63132488206-39.0543400881236i</v>
      </c>
      <c r="AG65" s="337">
        <f t="shared" si="39"/>
        <v>42.445426625510201</v>
      </c>
      <c r="AH65" s="730">
        <f t="shared" si="40"/>
        <v>-17.140274658723783</v>
      </c>
      <c r="AI65" s="360">
        <f t="shared" si="10"/>
        <v>162.8597253412762</v>
      </c>
      <c r="AL65" s="337">
        <f t="shared" si="11"/>
        <v>35.526956660813248</v>
      </c>
      <c r="AM65" s="730">
        <f t="shared" si="12"/>
        <v>-11.817302045034797</v>
      </c>
      <c r="AN65" s="351"/>
      <c r="AO65" s="337">
        <f t="shared" si="13"/>
        <v>60.447592449739048</v>
      </c>
      <c r="AP65" s="730">
        <f t="shared" si="14"/>
        <v>-5.3229726136890623</v>
      </c>
      <c r="AS65" s="351"/>
      <c r="AT65" s="351"/>
      <c r="AV65" s="405">
        <f t="shared" si="15"/>
        <v>0</v>
      </c>
      <c r="AW65" s="405">
        <f t="shared" si="16"/>
        <v>0</v>
      </c>
      <c r="AX65" s="405">
        <f t="shared" si="17"/>
        <v>0</v>
      </c>
      <c r="AY65" s="405">
        <f t="shared" si="18"/>
        <v>0</v>
      </c>
    </row>
    <row r="66" spans="2:51" ht="13.5" thickBot="1" x14ac:dyDescent="0.25">
      <c r="B66" s="345">
        <v>131.83000000000001</v>
      </c>
      <c r="C66" s="728" t="str">
        <f t="shared" si="0"/>
        <v>2.2271548443541</v>
      </c>
      <c r="D66" s="728" t="str">
        <f t="shared" si="1"/>
        <v>1+0.100777998817201i</v>
      </c>
      <c r="E66" s="337">
        <f t="shared" si="20"/>
        <v>1.0050652740223391</v>
      </c>
      <c r="F66" s="338">
        <f t="shared" si="21"/>
        <v>0.10043888886645824</v>
      </c>
      <c r="G66" s="338" t="str">
        <f t="shared" si="2"/>
        <v>1+0.000414156159522743i</v>
      </c>
      <c r="H66" s="337">
        <f t="shared" si="22"/>
        <v>1.0000000857626585</v>
      </c>
      <c r="I66" s="338">
        <f t="shared" si="23"/>
        <v>4.1415613584332221E-4</v>
      </c>
      <c r="J66" s="340">
        <f t="shared" si="3"/>
        <v>1</v>
      </c>
      <c r="K66" s="338">
        <f t="shared" si="24"/>
        <v>1</v>
      </c>
      <c r="L66" s="339">
        <f t="shared" si="25"/>
        <v>0</v>
      </c>
      <c r="M66" s="731" t="str">
        <f t="shared" si="4"/>
        <v>0.999999227593382+0.00178538231823374i</v>
      </c>
      <c r="N66" s="338">
        <f t="shared" si="26"/>
        <v>1.0000008213883542</v>
      </c>
      <c r="O66" s="339">
        <f t="shared" si="27"/>
        <v>1.7853818002528678E-3</v>
      </c>
      <c r="P66" s="732" t="str">
        <f t="shared" si="19"/>
        <v>2.20445445194183-0.225214436827981i</v>
      </c>
      <c r="Q66" s="337">
        <f t="shared" si="28"/>
        <v>2.2159289188152895</v>
      </c>
      <c r="R66" s="339">
        <f t="shared" si="29"/>
        <v>-0.10181011453086798</v>
      </c>
      <c r="S66" s="731" t="str">
        <f t="shared" si="5"/>
        <v>6000</v>
      </c>
      <c r="T66" s="337" t="str">
        <f t="shared" si="6"/>
        <v>1+836.59544223594i</v>
      </c>
      <c r="U66" s="346">
        <f t="shared" si="30"/>
        <v>836.59603989616653</v>
      </c>
      <c r="V66" s="347">
        <f t="shared" si="31"/>
        <v>1.5696010064844443</v>
      </c>
      <c r="W66" s="340" t="str">
        <f t="shared" si="7"/>
        <v>1+8.28312319045485i</v>
      </c>
      <c r="X66" s="337">
        <f t="shared" si="32"/>
        <v>8.343268531471999</v>
      </c>
      <c r="Y66" s="339">
        <f t="shared" si="33"/>
        <v>1.4506503797385111</v>
      </c>
      <c r="Z66" s="337" t="str">
        <f t="shared" si="8"/>
        <v>1+0.0834396780583947i</v>
      </c>
      <c r="AA66" s="346">
        <f t="shared" si="34"/>
        <v>1.0034750519442368</v>
      </c>
      <c r="AB66" s="347">
        <f t="shared" si="35"/>
        <v>8.3246842271742033E-2</v>
      </c>
      <c r="AC66" s="732" t="str">
        <f t="shared" si="36"/>
        <v>58.4152337820424-11.9750542720295i</v>
      </c>
      <c r="AD66" s="337">
        <f t="shared" si="37"/>
        <v>59.630038257817013</v>
      </c>
      <c r="AE66" s="339">
        <f t="shared" si="38"/>
        <v>-0.20219746901767419</v>
      </c>
      <c r="AF66" s="736" t="str">
        <f t="shared" si="9"/>
        <v>126.076767068187-39.554415680618i</v>
      </c>
      <c r="AG66" s="337">
        <f t="shared" si="39"/>
        <v>42.42041826471484</v>
      </c>
      <c r="AH66" s="730">
        <f t="shared" si="40"/>
        <v>-17.418351477302167</v>
      </c>
      <c r="AI66" s="360">
        <f t="shared" si="10"/>
        <v>162.58164852269783</v>
      </c>
      <c r="AL66" s="337">
        <f t="shared" si="11"/>
        <v>35.509301759664574</v>
      </c>
      <c r="AM66" s="730">
        <f t="shared" si="12"/>
        <v>-11.585061602939954</v>
      </c>
      <c r="AN66" s="351"/>
      <c r="AO66" s="337">
        <f t="shared" si="13"/>
        <v>60.440238990092332</v>
      </c>
      <c r="AP66" s="730">
        <f t="shared" si="14"/>
        <v>-5.8332898743623067</v>
      </c>
      <c r="AS66" s="351"/>
      <c r="AT66" s="351"/>
      <c r="AV66" s="405">
        <f t="shared" si="15"/>
        <v>0</v>
      </c>
      <c r="AW66" s="405">
        <f t="shared" si="16"/>
        <v>0</v>
      </c>
      <c r="AX66" s="405">
        <f t="shared" si="17"/>
        <v>0</v>
      </c>
      <c r="AY66" s="405">
        <f t="shared" si="18"/>
        <v>0</v>
      </c>
    </row>
    <row r="67" spans="2:51" ht="13.5" thickBot="1" x14ac:dyDescent="0.25">
      <c r="B67" s="345">
        <v>144.54</v>
      </c>
      <c r="C67" s="728" t="str">
        <f t="shared" si="0"/>
        <v>2.2271548443541</v>
      </c>
      <c r="D67" s="728" t="str">
        <f t="shared" si="1"/>
        <v>1+0.110494211856468i</v>
      </c>
      <c r="E67" s="337">
        <f t="shared" si="20"/>
        <v>1.0060859659362027</v>
      </c>
      <c r="F67" s="338">
        <f t="shared" si="21"/>
        <v>0.11004780389363078</v>
      </c>
      <c r="G67" s="338" t="str">
        <f t="shared" si="2"/>
        <v>1+0.000454085802149869i</v>
      </c>
      <c r="H67" s="337">
        <f t="shared" si="22"/>
        <v>1.0000001030969525</v>
      </c>
      <c r="I67" s="338">
        <f t="shared" si="23"/>
        <v>4.5408577093996298E-4</v>
      </c>
      <c r="J67" s="340">
        <f t="shared" si="3"/>
        <v>1</v>
      </c>
      <c r="K67" s="338">
        <f t="shared" si="24"/>
        <v>1</v>
      </c>
      <c r="L67" s="339">
        <f t="shared" si="25"/>
        <v>0</v>
      </c>
      <c r="M67" s="731" t="str">
        <f t="shared" si="4"/>
        <v>0.99999907147504+0.00195751468009941i</v>
      </c>
      <c r="N67" s="338">
        <f t="shared" si="26"/>
        <v>1.000000987406845</v>
      </c>
      <c r="O67" s="339">
        <f t="shared" si="27"/>
        <v>1.9575139973912917E-3</v>
      </c>
      <c r="P67" s="732" t="str">
        <f t="shared" si="19"/>
        <v>2.19992160434388-0.246426967053299i</v>
      </c>
      <c r="Q67" s="337">
        <f t="shared" si="28"/>
        <v>2.2136804908003409</v>
      </c>
      <c r="R67" s="339">
        <f t="shared" si="29"/>
        <v>-0.11155123212008196</v>
      </c>
      <c r="S67" s="731" t="str">
        <f t="shared" si="5"/>
        <v>6000</v>
      </c>
      <c r="T67" s="337" t="str">
        <f t="shared" si="6"/>
        <v>1+917.253320342735i</v>
      </c>
      <c r="U67" s="346">
        <f t="shared" si="30"/>
        <v>917.25386544825847</v>
      </c>
      <c r="V67" s="347">
        <f t="shared" si="31"/>
        <v>1.5697061158557422</v>
      </c>
      <c r="W67" s="340" t="str">
        <f t="shared" si="7"/>
        <v>1+9.08171604299737i</v>
      </c>
      <c r="X67" s="337">
        <f t="shared" si="32"/>
        <v>9.1366058405534698</v>
      </c>
      <c r="Y67" s="339">
        <f t="shared" si="33"/>
        <v>1.4611267840825271</v>
      </c>
      <c r="Z67" s="337" t="str">
        <f t="shared" si="8"/>
        <v>1+0.0914842681222814i</v>
      </c>
      <c r="AA67" s="346">
        <f t="shared" si="34"/>
        <v>1.0041759663096252</v>
      </c>
      <c r="AB67" s="347">
        <f t="shared" si="35"/>
        <v>9.1230320201946713E-2</v>
      </c>
      <c r="AC67" s="732" t="str">
        <f t="shared" si="36"/>
        <v>58.332299220799-11.81298319894i</v>
      </c>
      <c r="AD67" s="337">
        <f t="shared" si="37"/>
        <v>59.516415419976923</v>
      </c>
      <c r="AE67" s="339">
        <f t="shared" si="38"/>
        <v>-0.19980965197516234</v>
      </c>
      <c r="AF67" s="736" t="str">
        <f t="shared" si="9"/>
        <v>125.415447665321-40.3622885293264i</v>
      </c>
      <c r="AG67" s="337">
        <f t="shared" si="39"/>
        <v>42.395034081800986</v>
      </c>
      <c r="AH67" s="730">
        <f t="shared" si="40"/>
        <v>-17.839664564119502</v>
      </c>
      <c r="AI67" s="360">
        <f t="shared" si="10"/>
        <v>162.16033543588048</v>
      </c>
      <c r="AL67" s="337">
        <f t="shared" si="11"/>
        <v>35.492735329048209</v>
      </c>
      <c r="AM67" s="730">
        <f t="shared" si="12"/>
        <v>-11.448249764154616</v>
      </c>
      <c r="AN67" s="351"/>
      <c r="AO67" s="337">
        <f t="shared" si="13"/>
        <v>60.431421237794886</v>
      </c>
      <c r="AP67" s="730">
        <f t="shared" si="14"/>
        <v>-6.3914147999648865</v>
      </c>
      <c r="AS67" s="351"/>
      <c r="AT67" s="351"/>
      <c r="AV67" s="405">
        <f t="shared" si="15"/>
        <v>0</v>
      </c>
      <c r="AW67" s="405">
        <f t="shared" si="16"/>
        <v>0</v>
      </c>
      <c r="AX67" s="405">
        <f t="shared" si="17"/>
        <v>0</v>
      </c>
      <c r="AY67" s="405">
        <f t="shared" si="18"/>
        <v>0</v>
      </c>
    </row>
    <row r="68" spans="2:51" ht="13.5" thickBot="1" x14ac:dyDescent="0.25">
      <c r="B68" s="345">
        <v>158.49</v>
      </c>
      <c r="C68" s="728" t="str">
        <f t="shared" si="0"/>
        <v>2.2271548443541</v>
      </c>
      <c r="D68" s="728" t="str">
        <f t="shared" si="1"/>
        <v>1+0.121158348119079i</v>
      </c>
      <c r="E68" s="337">
        <f t="shared" si="20"/>
        <v>1.0073129331637434</v>
      </c>
      <c r="F68" s="338">
        <f t="shared" si="21"/>
        <v>0.1205706737616159</v>
      </c>
      <c r="G68" s="338" t="str">
        <f t="shared" si="2"/>
        <v>1+0.000497911019667446i</v>
      </c>
      <c r="H68" s="337">
        <f t="shared" si="22"/>
        <v>1.0000001239576841</v>
      </c>
      <c r="I68" s="338">
        <f t="shared" si="23"/>
        <v>4.9791097852085165E-4</v>
      </c>
      <c r="J68" s="340">
        <f t="shared" si="3"/>
        <v>1</v>
      </c>
      <c r="K68" s="338">
        <f t="shared" si="24"/>
        <v>1</v>
      </c>
      <c r="L68" s="339">
        <f t="shared" si="25"/>
        <v>0</v>
      </c>
      <c r="M68" s="731" t="str">
        <f t="shared" si="4"/>
        <v>0.99999888359644+0.0021464404431227i</v>
      </c>
      <c r="N68" s="338">
        <f t="shared" si="26"/>
        <v>1.0000011871996464</v>
      </c>
      <c r="O68" s="339">
        <f t="shared" si="27"/>
        <v>2.1464395430523578E-3</v>
      </c>
      <c r="P68" s="732" t="str">
        <f t="shared" si="19"/>
        <v>2.19449092433013-0.269552418166i</v>
      </c>
      <c r="Q68" s="337">
        <f t="shared" si="28"/>
        <v>2.2109837003258179</v>
      </c>
      <c r="R68" s="339">
        <f t="shared" si="29"/>
        <v>-0.12221920232614769</v>
      </c>
      <c r="S68" s="731" t="str">
        <f t="shared" si="5"/>
        <v>6000</v>
      </c>
      <c r="T68" s="337" t="str">
        <f t="shared" si="6"/>
        <v>1+1005.78025972824i</v>
      </c>
      <c r="U68" s="346">
        <f t="shared" si="30"/>
        <v>1005.7807568545969</v>
      </c>
      <c r="V68" s="347">
        <f t="shared" si="31"/>
        <v>1.569802074162858</v>
      </c>
      <c r="W68" s="340" t="str">
        <f t="shared" si="7"/>
        <v>1+9.95822039334893i</v>
      </c>
      <c r="X68" s="337">
        <f t="shared" si="32"/>
        <v>10.008304222120273</v>
      </c>
      <c r="Y68" s="339">
        <f t="shared" si="33"/>
        <v>1.4707122966065445</v>
      </c>
      <c r="Z68" s="337" t="str">
        <f t="shared" si="8"/>
        <v>1+0.100313696241182i</v>
      </c>
      <c r="AA68" s="346">
        <f t="shared" si="34"/>
        <v>1.0050188245269678</v>
      </c>
      <c r="AB68" s="347">
        <f t="shared" si="35"/>
        <v>9.9979233172643553E-2</v>
      </c>
      <c r="AC68" s="732" t="str">
        <f t="shared" si="36"/>
        <v>58.2333230519183-11.7480472666802i</v>
      </c>
      <c r="AD68" s="337">
        <f t="shared" si="37"/>
        <v>59.406536073476225</v>
      </c>
      <c r="AE68" s="339">
        <f t="shared" si="38"/>
        <v>-0.19906901072895664</v>
      </c>
      <c r="AF68" s="736" t="str">
        <f t="shared" si="9"/>
        <v>124.625784381557-41.4779161518175i</v>
      </c>
      <c r="AG68" s="337">
        <f t="shared" si="39"/>
        <v>42.368395416347468</v>
      </c>
      <c r="AH68" s="730">
        <f t="shared" si="40"/>
        <v>-18.408458615357478</v>
      </c>
      <c r="AI68" s="360">
        <f t="shared" si="10"/>
        <v>161.59154138464251</v>
      </c>
      <c r="AL68" s="337">
        <f t="shared" si="11"/>
        <v>35.476684598103333</v>
      </c>
      <c r="AM68" s="730">
        <f t="shared" si="12"/>
        <v>-11.405814146613718</v>
      </c>
      <c r="AN68" s="351"/>
      <c r="AO68" s="337">
        <f t="shared" si="13"/>
        <v>60.420833303286237</v>
      </c>
      <c r="AP68" s="730">
        <f t="shared" si="14"/>
        <v>-7.002644468743771</v>
      </c>
      <c r="AS68" s="351"/>
      <c r="AT68" s="351"/>
      <c r="AV68" s="405">
        <f t="shared" si="15"/>
        <v>0</v>
      </c>
      <c r="AW68" s="405">
        <f t="shared" si="16"/>
        <v>0</v>
      </c>
      <c r="AX68" s="405">
        <f t="shared" si="17"/>
        <v>0</v>
      </c>
      <c r="AY68" s="405">
        <f t="shared" si="18"/>
        <v>0</v>
      </c>
    </row>
    <row r="69" spans="2:51" ht="13.5" thickBot="1" x14ac:dyDescent="0.25">
      <c r="B69" s="345">
        <v>173.78</v>
      </c>
      <c r="C69" s="728" t="str">
        <f t="shared" si="0"/>
        <v>2.2271548443541</v>
      </c>
      <c r="D69" s="728" t="str">
        <f t="shared" si="1"/>
        <v>1+0.13284685302627i</v>
      </c>
      <c r="E69" s="337">
        <f t="shared" si="20"/>
        <v>1.0087855502330429</v>
      </c>
      <c r="F69" s="338">
        <f t="shared" si="21"/>
        <v>0.13207351903434444</v>
      </c>
      <c r="G69" s="338" t="str">
        <f t="shared" si="2"/>
        <v>1+0.000545945971340835i</v>
      </c>
      <c r="H69" s="337">
        <f t="shared" si="22"/>
        <v>1.0000001490284907</v>
      </c>
      <c r="I69" s="338">
        <f t="shared" si="23"/>
        <v>5.4594591709983785E-4</v>
      </c>
      <c r="J69" s="340">
        <f t="shared" si="3"/>
        <v>1</v>
      </c>
      <c r="K69" s="338">
        <f t="shared" si="24"/>
        <v>1</v>
      </c>
      <c r="L69" s="339">
        <f t="shared" si="25"/>
        <v>0</v>
      </c>
      <c r="M69" s="731" t="str">
        <f t="shared" si="4"/>
        <v>0.999998657800516+0.00235351391384859i</v>
      </c>
      <c r="N69" s="338">
        <f t="shared" si="26"/>
        <v>1.0000014273142694</v>
      </c>
      <c r="O69" s="339">
        <f t="shared" si="27"/>
        <v>2.3535127273419808E-3</v>
      </c>
      <c r="P69" s="732" t="str">
        <f t="shared" si="19"/>
        <v>2.18799911928088-0.294694521260405i</v>
      </c>
      <c r="Q69" s="337">
        <f t="shared" si="28"/>
        <v>2.2077556492589494</v>
      </c>
      <c r="R69" s="339">
        <f t="shared" si="29"/>
        <v>-0.13388108584458663</v>
      </c>
      <c r="S69" s="731" t="str">
        <f t="shared" si="5"/>
        <v>6000</v>
      </c>
      <c r="T69" s="337" t="str">
        <f t="shared" si="6"/>
        <v>1+1102.81086210849i</v>
      </c>
      <c r="U69" s="346">
        <f t="shared" si="30"/>
        <v>1102.8113154952985</v>
      </c>
      <c r="V69" s="347">
        <f t="shared" si="31"/>
        <v>1.5698895532399022</v>
      </c>
      <c r="W69" s="340" t="str">
        <f t="shared" si="7"/>
        <v>1+10.9189194268167i</v>
      </c>
      <c r="X69" s="337">
        <f t="shared" si="32"/>
        <v>10.9646158824336</v>
      </c>
      <c r="Y69" s="339">
        <f t="shared" si="33"/>
        <v>1.4794669505021685</v>
      </c>
      <c r="Z69" s="337" t="str">
        <f t="shared" si="8"/>
        <v>1+0.109991255806629i</v>
      </c>
      <c r="AA69" s="346">
        <f t="shared" si="34"/>
        <v>1.0060308525855057</v>
      </c>
      <c r="AB69" s="347">
        <f t="shared" si="35"/>
        <v>0.10955088711217086</v>
      </c>
      <c r="AC69" s="732" t="str">
        <f t="shared" si="36"/>
        <v>58.115244839596-11.7789394026359i</v>
      </c>
      <c r="AD69" s="337">
        <f t="shared" si="37"/>
        <v>59.296923159782565</v>
      </c>
      <c r="AE69" s="339">
        <f t="shared" si="38"/>
        <v>-0.1999734898499051</v>
      </c>
      <c r="AF69" s="736" t="str">
        <f t="shared" si="9"/>
        <v>123.684915617614-42.8985532949662i</v>
      </c>
      <c r="AG69" s="337">
        <f t="shared" si="39"/>
        <v>42.339663273912606</v>
      </c>
      <c r="AH69" s="730">
        <f t="shared" si="40"/>
        <v>-19.128458158425214</v>
      </c>
      <c r="AI69" s="360">
        <f t="shared" si="10"/>
        <v>160.87154184157478</v>
      </c>
      <c r="AL69" s="337">
        <f t="shared" si="11"/>
        <v>35.460643179462053</v>
      </c>
      <c r="AM69" s="730">
        <f t="shared" si="12"/>
        <v>-11.457636982901768</v>
      </c>
      <c r="AN69" s="351"/>
      <c r="AO69" s="337">
        <f t="shared" si="13"/>
        <v>60.40814257949264</v>
      </c>
      <c r="AP69" s="730">
        <f t="shared" si="14"/>
        <v>-7.670821175523499</v>
      </c>
      <c r="AS69" s="351"/>
      <c r="AT69" s="351"/>
      <c r="AV69" s="405">
        <f t="shared" si="15"/>
        <v>0</v>
      </c>
      <c r="AW69" s="405">
        <f t="shared" si="16"/>
        <v>0</v>
      </c>
      <c r="AX69" s="405">
        <f t="shared" si="17"/>
        <v>0</v>
      </c>
      <c r="AY69" s="405">
        <f t="shared" si="18"/>
        <v>0</v>
      </c>
    </row>
    <row r="70" spans="2:51" ht="13.5" thickBot="1" x14ac:dyDescent="0.25">
      <c r="B70" s="345">
        <v>190.55</v>
      </c>
      <c r="C70" s="728" t="str">
        <f t="shared" si="0"/>
        <v>2.2271548443541</v>
      </c>
      <c r="D70" s="728" t="str">
        <f t="shared" si="1"/>
        <v>1+0.145666750167774i</v>
      </c>
      <c r="E70" s="337">
        <f t="shared" si="20"/>
        <v>1.0105537106479994</v>
      </c>
      <c r="F70" s="338">
        <f t="shared" si="21"/>
        <v>0.14464938020235671</v>
      </c>
      <c r="G70" s="338" t="str">
        <f t="shared" si="2"/>
        <v>1+0.000598630480141535i</v>
      </c>
      <c r="H70" s="337">
        <f t="shared" si="22"/>
        <v>1.0000001791792099</v>
      </c>
      <c r="I70" s="338">
        <f t="shared" si="23"/>
        <v>5.9863040863345298E-4</v>
      </c>
      <c r="J70" s="340">
        <f t="shared" si="3"/>
        <v>1</v>
      </c>
      <c r="K70" s="338">
        <f t="shared" si="24"/>
        <v>1</v>
      </c>
      <c r="L70" s="339">
        <f t="shared" si="25"/>
        <v>0</v>
      </c>
      <c r="M70" s="731" t="str">
        <f t="shared" si="4"/>
        <v>0.999998386253222+0.00258063112144003i</v>
      </c>
      <c r="N70" s="338">
        <f t="shared" si="26"/>
        <v>1.0000017160815442</v>
      </c>
      <c r="O70" s="339">
        <f t="shared" si="27"/>
        <v>2.5806295572210398E-3</v>
      </c>
      <c r="P70" s="732" t="str">
        <f t="shared" si="19"/>
        <v>2.18024192155834-0.322002964623943i</v>
      </c>
      <c r="Q70" s="337">
        <f t="shared" si="28"/>
        <v>2.2038921810621797</v>
      </c>
      <c r="R70" s="339">
        <f t="shared" si="29"/>
        <v>-0.14663137935094384</v>
      </c>
      <c r="S70" s="731" t="str">
        <f t="shared" si="5"/>
        <v>6000</v>
      </c>
      <c r="T70" s="337" t="str">
        <f t="shared" si="6"/>
        <v>1+1209.2335698859i</v>
      </c>
      <c r="U70" s="346">
        <f t="shared" si="30"/>
        <v>1209.2339833708768</v>
      </c>
      <c r="V70" s="347">
        <f t="shared" si="31"/>
        <v>1.5699693568885495</v>
      </c>
      <c r="W70" s="340" t="str">
        <f t="shared" si="7"/>
        <v>1+11.9726096028307i</v>
      </c>
      <c r="X70" s="337">
        <f t="shared" si="32"/>
        <v>12.014299010004448</v>
      </c>
      <c r="Y70" s="339">
        <f t="shared" si="33"/>
        <v>1.4874657664497553</v>
      </c>
      <c r="Z70" s="337" t="str">
        <f t="shared" si="8"/>
        <v>1+0.120605557566769i</v>
      </c>
      <c r="AA70" s="346">
        <f t="shared" si="34"/>
        <v>1.0072465936978845</v>
      </c>
      <c r="AB70" s="347">
        <f t="shared" si="35"/>
        <v>0.12002584451067422</v>
      </c>
      <c r="AC70" s="732" t="str">
        <f t="shared" si="36"/>
        <v>57.9742297094541-11.9047045717734i</v>
      </c>
      <c r="AD70" s="337">
        <f t="shared" si="37"/>
        <v>59.183893935307708</v>
      </c>
      <c r="AE70" s="339">
        <f t="shared" si="38"/>
        <v>-0.20252943494946749</v>
      </c>
      <c r="AF70" s="736" t="str">
        <f t="shared" si="9"/>
        <v>122.564495817522-44.6230098093813i</v>
      </c>
      <c r="AG70" s="337">
        <f t="shared" si="39"/>
        <v>42.307877595681312</v>
      </c>
      <c r="AH70" s="730">
        <f t="shared" si="40"/>
        <v>-20.00544103076459</v>
      </c>
      <c r="AI70" s="360">
        <f t="shared" si="10"/>
        <v>159.99455896923541</v>
      </c>
      <c r="AL70" s="337">
        <f t="shared" si="11"/>
        <v>35.444070713276112</v>
      </c>
      <c r="AM70" s="730">
        <f t="shared" si="12"/>
        <v>-11.604081849773838</v>
      </c>
      <c r="AN70" s="351"/>
      <c r="AO70" s="337">
        <f t="shared" si="13"/>
        <v>60.392929367447309</v>
      </c>
      <c r="AP70" s="730">
        <f t="shared" si="14"/>
        <v>-8.4013591809908164</v>
      </c>
      <c r="AS70" s="351"/>
      <c r="AT70" s="351"/>
      <c r="AV70" s="405">
        <f t="shared" si="15"/>
        <v>0</v>
      </c>
      <c r="AW70" s="405">
        <f t="shared" si="16"/>
        <v>0</v>
      </c>
      <c r="AX70" s="405">
        <f t="shared" si="17"/>
        <v>0</v>
      </c>
      <c r="AY70" s="405">
        <f t="shared" si="18"/>
        <v>0</v>
      </c>
    </row>
    <row r="71" spans="2:51" ht="13.5" thickBot="1" x14ac:dyDescent="0.25">
      <c r="B71" s="345">
        <v>208.93</v>
      </c>
      <c r="C71" s="728" t="str">
        <f t="shared" si="0"/>
        <v>2.2271548443541</v>
      </c>
      <c r="D71" s="728" t="str">
        <f t="shared" si="1"/>
        <v>1+0.159717418591199i</v>
      </c>
      <c r="E71" s="337">
        <f t="shared" si="20"/>
        <v>1.0126745053576871</v>
      </c>
      <c r="F71" s="338">
        <f t="shared" si="21"/>
        <v>0.15837972215164303</v>
      </c>
      <c r="G71" s="338" t="str">
        <f t="shared" si="2"/>
        <v>1+0.000656372953114515i</v>
      </c>
      <c r="H71" s="337">
        <f t="shared" si="22"/>
        <v>1.0000002154127037</v>
      </c>
      <c r="I71" s="338">
        <f t="shared" si="23"/>
        <v>6.5637285885381425E-4</v>
      </c>
      <c r="J71" s="340">
        <f t="shared" si="3"/>
        <v>1</v>
      </c>
      <c r="K71" s="338">
        <f t="shared" si="24"/>
        <v>1</v>
      </c>
      <c r="L71" s="339">
        <f t="shared" si="25"/>
        <v>0</v>
      </c>
      <c r="M71" s="731" t="str">
        <f t="shared" si="4"/>
        <v>0.999998059922449+0.00282955266440549i</v>
      </c>
      <c r="N71" s="338">
        <f t="shared" si="26"/>
        <v>1.0000020631063431</v>
      </c>
      <c r="O71" s="339">
        <f t="shared" si="27"/>
        <v>2.8295506024798352E-3</v>
      </c>
      <c r="P71" s="732" t="str">
        <f t="shared" si="19"/>
        <v>2.17099120532444-0.351585101685508i</v>
      </c>
      <c r="Q71" s="337">
        <f t="shared" si="28"/>
        <v>2.1992759938950983</v>
      </c>
      <c r="R71" s="339">
        <f t="shared" si="29"/>
        <v>-0.16055289989526861</v>
      </c>
      <c r="S71" s="731" t="str">
        <f t="shared" si="5"/>
        <v>6000</v>
      </c>
      <c r="T71" s="337" t="str">
        <f t="shared" si="6"/>
        <v>1+1325.87336529132i</v>
      </c>
      <c r="U71" s="346">
        <f t="shared" si="30"/>
        <v>1325.8737424011872</v>
      </c>
      <c r="V71" s="347">
        <f t="shared" si="31"/>
        <v>1.5700421070959705</v>
      </c>
      <c r="W71" s="340" t="str">
        <f t="shared" si="7"/>
        <v>1+13.1274590622903i</v>
      </c>
      <c r="X71" s="337">
        <f t="shared" si="32"/>
        <v>13.165492069501532</v>
      </c>
      <c r="Y71" s="339">
        <f t="shared" si="33"/>
        <v>1.4947669573143139</v>
      </c>
      <c r="Z71" s="337" t="str">
        <f t="shared" si="8"/>
        <v>1+0.132238882930595i</v>
      </c>
      <c r="AA71" s="346">
        <f t="shared" si="34"/>
        <v>1.0087056667624761</v>
      </c>
      <c r="AB71" s="347">
        <f t="shared" si="35"/>
        <v>0.13147604514517863</v>
      </c>
      <c r="AC71" s="732" t="str">
        <f t="shared" si="36"/>
        <v>57.8059621453891-12.1247072246103i</v>
      </c>
      <c r="AD71" s="337">
        <f t="shared" si="37"/>
        <v>59.063844988594127</v>
      </c>
      <c r="AE71" s="339">
        <f t="shared" si="38"/>
        <v>-0.20675119492683566</v>
      </c>
      <c r="AF71" s="736" t="str">
        <f t="shared" si="9"/>
        <v>121.233369010486-46.6463478306779i</v>
      </c>
      <c r="AG71" s="337">
        <f t="shared" si="39"/>
        <v>42.272028987012433</v>
      </c>
      <c r="AH71" s="730">
        <f t="shared" si="40"/>
        <v>-21.044974431179504</v>
      </c>
      <c r="AI71" s="360">
        <f t="shared" si="10"/>
        <v>158.9550255688205</v>
      </c>
      <c r="AL71" s="337">
        <f t="shared" si="11"/>
        <v>35.426434312444158</v>
      </c>
      <c r="AM71" s="730">
        <f t="shared" si="12"/>
        <v>-11.845970878594281</v>
      </c>
      <c r="AN71" s="351"/>
      <c r="AO71" s="337">
        <f t="shared" si="13"/>
        <v>60.374717159610427</v>
      </c>
      <c r="AP71" s="730">
        <f t="shared" si="14"/>
        <v>-9.1990035525852303</v>
      </c>
      <c r="AS71" s="351"/>
      <c r="AT71" s="351"/>
      <c r="AV71" s="405">
        <f t="shared" si="15"/>
        <v>0</v>
      </c>
      <c r="AW71" s="405">
        <f t="shared" si="16"/>
        <v>0</v>
      </c>
      <c r="AX71" s="405">
        <f t="shared" si="17"/>
        <v>0</v>
      </c>
      <c r="AY71" s="405">
        <f t="shared" si="18"/>
        <v>0</v>
      </c>
    </row>
    <row r="72" spans="2:51" ht="13.5" thickBot="1" x14ac:dyDescent="0.25">
      <c r="B72" s="345">
        <v>229.09</v>
      </c>
      <c r="C72" s="728" t="str">
        <f t="shared" si="0"/>
        <v>2.2271548443541</v>
      </c>
      <c r="D72" s="728" t="str">
        <f t="shared" si="1"/>
        <v>1+0.175128815512649i</v>
      </c>
      <c r="E72" s="337">
        <f t="shared" si="20"/>
        <v>1.0152192384026533</v>
      </c>
      <c r="F72" s="338">
        <f t="shared" si="21"/>
        <v>0.17337065148035904</v>
      </c>
      <c r="G72" s="338" t="str">
        <f t="shared" si="2"/>
        <v>1+0.000719707461010885i</v>
      </c>
      <c r="H72" s="337">
        <f t="shared" si="22"/>
        <v>1.0000002589893811</v>
      </c>
      <c r="I72" s="338">
        <f t="shared" si="23"/>
        <v>7.1970733674651423E-4</v>
      </c>
      <c r="J72" s="340">
        <f t="shared" si="3"/>
        <v>1</v>
      </c>
      <c r="K72" s="338">
        <f t="shared" si="24"/>
        <v>1</v>
      </c>
      <c r="L72" s="339">
        <f t="shared" si="25"/>
        <v>0</v>
      </c>
      <c r="M72" s="731" t="str">
        <f t="shared" si="4"/>
        <v>0.999997667456529+0.00310258086387141i</v>
      </c>
      <c r="N72" s="338">
        <f t="shared" si="26"/>
        <v>1.0000024804601815</v>
      </c>
      <c r="O72" s="339">
        <f t="shared" si="27"/>
        <v>3.102578145624773E-3</v>
      </c>
      <c r="P72" s="732" t="str">
        <f t="shared" si="19"/>
        <v>2.15996773351761-0.383579596170313i</v>
      </c>
      <c r="Q72" s="337">
        <f t="shared" si="28"/>
        <v>2.1937625022858294</v>
      </c>
      <c r="R72" s="339">
        <f t="shared" si="29"/>
        <v>-0.17575352228923719</v>
      </c>
      <c r="S72" s="731" t="str">
        <f t="shared" si="5"/>
        <v>6000</v>
      </c>
      <c r="T72" s="337" t="str">
        <f t="shared" si="6"/>
        <v>1+1453.80907124199i</v>
      </c>
      <c r="U72" s="346">
        <f t="shared" si="30"/>
        <v>1453.8094151660655</v>
      </c>
      <c r="V72" s="347">
        <f t="shared" si="31"/>
        <v>1.5701084786709101</v>
      </c>
      <c r="W72" s="340" t="str">
        <f t="shared" si="7"/>
        <v>1+14.3941492202177i</v>
      </c>
      <c r="X72" s="337">
        <f t="shared" si="32"/>
        <v>14.42884374348457</v>
      </c>
      <c r="Y72" s="339">
        <f t="shared" si="33"/>
        <v>1.5014351015990819</v>
      </c>
      <c r="Z72" s="337" t="str">
        <f t="shared" si="8"/>
        <v>1+0.144998830663716i</v>
      </c>
      <c r="AA72" s="346">
        <f t="shared" si="34"/>
        <v>1.0104576492331803</v>
      </c>
      <c r="AB72" s="347">
        <f t="shared" si="35"/>
        <v>0.14399527645145152</v>
      </c>
      <c r="AC72" s="732" t="str">
        <f t="shared" si="36"/>
        <v>57.6051251993572-12.4389009843802i</v>
      </c>
      <c r="AD72" s="337">
        <f t="shared" si="37"/>
        <v>58.932815196058911</v>
      </c>
      <c r="AE72" s="339">
        <f t="shared" si="38"/>
        <v>-0.21266865352328074</v>
      </c>
      <c r="AF72" s="736" t="str">
        <f t="shared" si="9"/>
        <v>119.653903099463-48.9637754279914i</v>
      </c>
      <c r="AG72" s="337">
        <f t="shared" si="39"/>
        <v>42.230935930503328</v>
      </c>
      <c r="AH72" s="730">
        <f t="shared" si="40"/>
        <v>-22.254951343345656</v>
      </c>
      <c r="AI72" s="360">
        <f t="shared" si="10"/>
        <v>157.74504865665435</v>
      </c>
      <c r="AL72" s="337">
        <f t="shared" si="11"/>
        <v>35.407143753147267</v>
      </c>
      <c r="AM72" s="730">
        <f t="shared" si="12"/>
        <v>-12.185016281613992</v>
      </c>
      <c r="AN72" s="351"/>
      <c r="AO72" s="337">
        <f t="shared" si="13"/>
        <v>60.352914662398206</v>
      </c>
      <c r="AP72" s="730">
        <f t="shared" si="14"/>
        <v>-10.069935061731693</v>
      </c>
      <c r="AS72" s="351"/>
      <c r="AT72" s="351"/>
      <c r="AV72" s="405">
        <f t="shared" si="15"/>
        <v>0</v>
      </c>
      <c r="AW72" s="405">
        <f t="shared" si="16"/>
        <v>0</v>
      </c>
      <c r="AX72" s="405">
        <f t="shared" si="17"/>
        <v>0</v>
      </c>
      <c r="AY72" s="405">
        <f t="shared" si="18"/>
        <v>0</v>
      </c>
    </row>
    <row r="73" spans="2:51" ht="13.5" thickBot="1" x14ac:dyDescent="0.25">
      <c r="B73" s="345">
        <v>251.19</v>
      </c>
      <c r="C73" s="728" t="str">
        <f t="shared" si="0"/>
        <v>2.2271548443541</v>
      </c>
      <c r="D73" s="728" t="str">
        <f t="shared" si="1"/>
        <v>1+0.192023253606104i</v>
      </c>
      <c r="E73" s="337">
        <f t="shared" si="20"/>
        <v>1.018269576254478</v>
      </c>
      <c r="F73" s="338">
        <f t="shared" si="21"/>
        <v>0.18971397878806204</v>
      </c>
      <c r="G73" s="338" t="str">
        <f t="shared" si="2"/>
        <v>1+0.00078913665865522i</v>
      </c>
      <c r="H73" s="337">
        <f t="shared" si="22"/>
        <v>1.0000003113682845</v>
      </c>
      <c r="I73" s="338">
        <f t="shared" si="23"/>
        <v>7.8913649484717058E-4</v>
      </c>
      <c r="J73" s="340">
        <f t="shared" si="3"/>
        <v>1</v>
      </c>
      <c r="K73" s="338">
        <f t="shared" si="24"/>
        <v>1</v>
      </c>
      <c r="L73" s="339">
        <f t="shared" si="25"/>
        <v>0</v>
      </c>
      <c r="M73" s="731" t="str">
        <f t="shared" si="4"/>
        <v>0.99999719571484+0.00340188261030974i</v>
      </c>
      <c r="N73" s="338">
        <f t="shared" si="26"/>
        <v>1.0000029821169727</v>
      </c>
      <c r="O73" s="339">
        <f t="shared" si="27"/>
        <v>3.401879027057771E-3</v>
      </c>
      <c r="P73" s="732" t="str">
        <f t="shared" si="19"/>
        <v>2.14686279735128-0.418066539419511i</v>
      </c>
      <c r="Q73" s="337">
        <f t="shared" si="28"/>
        <v>2.1871898641940462</v>
      </c>
      <c r="R73" s="339">
        <f t="shared" si="29"/>
        <v>-0.1923267213202722</v>
      </c>
      <c r="S73" s="731" t="str">
        <f t="shared" si="5"/>
        <v>6000</v>
      </c>
      <c r="T73" s="337" t="str">
        <f t="shared" si="6"/>
        <v>1+1594.05605048354i</v>
      </c>
      <c r="U73" s="346">
        <f t="shared" si="30"/>
        <v>1594.0563641487656</v>
      </c>
      <c r="V73" s="347">
        <f t="shared" si="31"/>
        <v>1.5701689963641281</v>
      </c>
      <c r="W73" s="340" t="str">
        <f t="shared" si="7"/>
        <v>1+15.7827331731044i</v>
      </c>
      <c r="X73" s="337">
        <f t="shared" si="32"/>
        <v>15.814381632343711</v>
      </c>
      <c r="Y73" s="339">
        <f t="shared" si="33"/>
        <v>1.507520528882869</v>
      </c>
      <c r="Z73" s="337" t="str">
        <f t="shared" si="8"/>
        <v>1+0.158986670192583i</v>
      </c>
      <c r="AA73" s="346">
        <f t="shared" si="34"/>
        <v>1.0125595100036962</v>
      </c>
      <c r="AB73" s="347">
        <f t="shared" si="35"/>
        <v>0.15766707020524637</v>
      </c>
      <c r="AC73" s="732" t="str">
        <f t="shared" si="36"/>
        <v>57.3657599336053-12.8471056074688i</v>
      </c>
      <c r="AD73" s="337">
        <f t="shared" si="37"/>
        <v>58.786720739036731</v>
      </c>
      <c r="AE73" s="339">
        <f t="shared" si="38"/>
        <v>-0.220315537686505</v>
      </c>
      <c r="AF73" s="736" t="str">
        <f t="shared" si="9"/>
        <v>117.78547086037-51.5636778189306i</v>
      </c>
      <c r="AG73" s="337">
        <f t="shared" si="39"/>
        <v>42.183314390721982</v>
      </c>
      <c r="AH73" s="730">
        <f t="shared" si="40"/>
        <v>-23.642659889832586</v>
      </c>
      <c r="AI73" s="360">
        <f t="shared" si="10"/>
        <v>156.3573401101674</v>
      </c>
      <c r="AL73" s="337">
        <f t="shared" si="11"/>
        <v>35.385584698028289</v>
      </c>
      <c r="AM73" s="730">
        <f t="shared" si="12"/>
        <v>-12.623150470592169</v>
      </c>
      <c r="AN73" s="351"/>
      <c r="AO73" s="337">
        <f t="shared" si="13"/>
        <v>60.326852177735887</v>
      </c>
      <c r="AP73" s="730">
        <f t="shared" si="14"/>
        <v>-11.019509419240318</v>
      </c>
      <c r="AS73" s="351"/>
      <c r="AT73" s="351"/>
      <c r="AV73" s="405">
        <f t="shared" si="15"/>
        <v>0</v>
      </c>
      <c r="AW73" s="405">
        <f t="shared" si="16"/>
        <v>0</v>
      </c>
      <c r="AX73" s="405">
        <f t="shared" si="17"/>
        <v>0</v>
      </c>
      <c r="AY73" s="405">
        <f t="shared" si="18"/>
        <v>0</v>
      </c>
    </row>
    <row r="74" spans="2:51" ht="13.5" thickBot="1" x14ac:dyDescent="0.25">
      <c r="B74" s="345">
        <v>275.42</v>
      </c>
      <c r="C74" s="728" t="str">
        <f t="shared" si="0"/>
        <v>2.2271548443541</v>
      </c>
      <c r="D74" s="728" t="str">
        <f t="shared" si="1"/>
        <v>1+0.210545979171914i</v>
      </c>
      <c r="E74" s="337">
        <f t="shared" si="20"/>
        <v>1.0219244636202132</v>
      </c>
      <c r="F74" s="338">
        <f t="shared" si="21"/>
        <v>0.20751505522279431</v>
      </c>
      <c r="G74" s="338" t="str">
        <f t="shared" si="2"/>
        <v>1+0.0008652574486517i</v>
      </c>
      <c r="H74" s="337">
        <f t="shared" si="22"/>
        <v>1.0000003743351562</v>
      </c>
      <c r="I74" s="338">
        <f t="shared" si="23"/>
        <v>8.6525723272090182E-4</v>
      </c>
      <c r="J74" s="340">
        <f t="shared" si="3"/>
        <v>1</v>
      </c>
      <c r="K74" s="338">
        <f t="shared" si="24"/>
        <v>1</v>
      </c>
      <c r="L74" s="339">
        <f t="shared" si="25"/>
        <v>0</v>
      </c>
      <c r="M74" s="731" t="str">
        <f t="shared" si="4"/>
        <v>0.999996628614382+0.00373003108615593i</v>
      </c>
      <c r="N74" s="338">
        <f t="shared" si="26"/>
        <v>1.0000035851795903</v>
      </c>
      <c r="O74" s="339">
        <f t="shared" si="27"/>
        <v>3.7300263627360951E-3</v>
      </c>
      <c r="P74" s="732" t="str">
        <f t="shared" si="19"/>
        <v>2.13131486203509-0.455120029783642i</v>
      </c>
      <c r="Q74" s="337">
        <f t="shared" si="28"/>
        <v>2.1793662571128145</v>
      </c>
      <c r="R74" s="339">
        <f t="shared" si="29"/>
        <v>-0.21037982435280916</v>
      </c>
      <c r="S74" s="731" t="str">
        <f t="shared" si="5"/>
        <v>6000</v>
      </c>
      <c r="T74" s="337" t="str">
        <f t="shared" si="6"/>
        <v>1+1747.82004627643i</v>
      </c>
      <c r="U74" s="346">
        <f t="shared" si="30"/>
        <v>1747.8203323470473</v>
      </c>
      <c r="V74" s="347">
        <f t="shared" si="31"/>
        <v>1.5702241855764598</v>
      </c>
      <c r="W74" s="340" t="str">
        <f t="shared" si="7"/>
        <v>1+17.305148973034i</v>
      </c>
      <c r="X74" s="337">
        <f t="shared" si="32"/>
        <v>17.33401802753475</v>
      </c>
      <c r="Y74" s="339">
        <f t="shared" si="33"/>
        <v>1.5130742498532908</v>
      </c>
      <c r="Z74" s="337" t="str">
        <f t="shared" si="8"/>
        <v>1+0.174322658961109i</v>
      </c>
      <c r="AA74" s="346">
        <f t="shared" si="34"/>
        <v>1.0150804842116072</v>
      </c>
      <c r="AB74" s="347">
        <f t="shared" si="35"/>
        <v>0.17258837708626851</v>
      </c>
      <c r="AC74" s="732" t="str">
        <f t="shared" si="36"/>
        <v>57.0807938673665-13.3493337442229i</v>
      </c>
      <c r="AD74" s="337">
        <f t="shared" si="37"/>
        <v>58.621000843924804</v>
      </c>
      <c r="AE74" s="339">
        <f t="shared" si="38"/>
        <v>-0.22973831280943841</v>
      </c>
      <c r="AF74" s="736" t="str">
        <f t="shared" si="9"/>
        <v>115.581595135017-54.4302460123186i</v>
      </c>
      <c r="AG74" s="337">
        <f t="shared" si="39"/>
        <v>42.127669028222883</v>
      </c>
      <c r="AH74" s="730">
        <f t="shared" si="40"/>
        <v>-25.216911746556697</v>
      </c>
      <c r="AI74" s="360">
        <f t="shared" si="10"/>
        <v>154.78308825344331</v>
      </c>
      <c r="AL74" s="337">
        <f t="shared" si="11"/>
        <v>35.361064578630817</v>
      </c>
      <c r="AM74" s="730">
        <f t="shared" si="12"/>
        <v>-13.163035716437118</v>
      </c>
      <c r="AN74" s="351"/>
      <c r="AO74" s="337">
        <f t="shared" si="13"/>
        <v>60.295726934634189</v>
      </c>
      <c r="AP74" s="730">
        <f t="shared" si="14"/>
        <v>-12.05387603011958</v>
      </c>
      <c r="AS74" s="351"/>
      <c r="AT74" s="351"/>
      <c r="AV74" s="405">
        <f t="shared" si="15"/>
        <v>0</v>
      </c>
      <c r="AW74" s="405">
        <f t="shared" si="16"/>
        <v>0</v>
      </c>
      <c r="AX74" s="405">
        <f t="shared" si="17"/>
        <v>0</v>
      </c>
      <c r="AY74" s="405">
        <f t="shared" si="18"/>
        <v>0</v>
      </c>
    </row>
    <row r="75" spans="2:51" ht="13.5" thickBot="1" x14ac:dyDescent="0.25">
      <c r="B75" s="345">
        <v>302</v>
      </c>
      <c r="C75" s="728" t="str">
        <f t="shared" si="0"/>
        <v>2.2271548443541</v>
      </c>
      <c r="D75" s="728" t="str">
        <f t="shared" si="1"/>
        <v>1+0.230865172136801i</v>
      </c>
      <c r="E75" s="337">
        <f t="shared" si="20"/>
        <v>1.0263034286729023</v>
      </c>
      <c r="F75" s="338">
        <f t="shared" si="21"/>
        <v>0.22688993653842254</v>
      </c>
      <c r="G75" s="338" t="str">
        <f t="shared" si="2"/>
        <v>1+0.000948760981384115i</v>
      </c>
      <c r="H75" s="337">
        <f t="shared" si="22"/>
        <v>1.0000004500735986</v>
      </c>
      <c r="I75" s="338">
        <f t="shared" si="23"/>
        <v>9.487606967093586E-4</v>
      </c>
      <c r="J75" s="340">
        <f t="shared" si="3"/>
        <v>1</v>
      </c>
      <c r="K75" s="338">
        <f t="shared" si="24"/>
        <v>1</v>
      </c>
      <c r="L75" s="339">
        <f t="shared" si="25"/>
        <v>0</v>
      </c>
      <c r="M75" s="731" t="str">
        <f t="shared" si="4"/>
        <v>0.999995946488889+0.00409000576580891i</v>
      </c>
      <c r="N75" s="338">
        <f t="shared" si="26"/>
        <v>1.000004310561396</v>
      </c>
      <c r="O75" s="339">
        <f t="shared" si="27"/>
        <v>4.0899995386387113E-3</v>
      </c>
      <c r="P75" s="732" t="str">
        <f t="shared" si="19"/>
        <v>2.11290498147483-0.494792159047655i</v>
      </c>
      <c r="Q75" s="337">
        <f t="shared" si="28"/>
        <v>2.1700660684403581</v>
      </c>
      <c r="R75" s="339">
        <f t="shared" si="29"/>
        <v>-0.23003117538035189</v>
      </c>
      <c r="S75" s="731" t="str">
        <f t="shared" si="5"/>
        <v>6000</v>
      </c>
      <c r="T75" s="337" t="str">
        <f t="shared" si="6"/>
        <v>1+1916.49718239591i</v>
      </c>
      <c r="U75" s="346">
        <f t="shared" si="30"/>
        <v>1916.4974432885274</v>
      </c>
      <c r="V75" s="347">
        <f t="shared" si="31"/>
        <v>1.5702745415721306</v>
      </c>
      <c r="W75" s="340" t="str">
        <f t="shared" si="7"/>
        <v>1+18.9752196276823i</v>
      </c>
      <c r="X75" s="337">
        <f t="shared" si="32"/>
        <v>19.001551513462779</v>
      </c>
      <c r="Y75" s="339">
        <f t="shared" si="33"/>
        <v>1.5181447219677096</v>
      </c>
      <c r="Z75" s="337" t="str">
        <f t="shared" si="8"/>
        <v>1+0.191146042430669i</v>
      </c>
      <c r="AA75" s="346">
        <f t="shared" si="34"/>
        <v>1.0181045179827595</v>
      </c>
      <c r="AB75" s="347">
        <f t="shared" si="35"/>
        <v>0.18886782544466565</v>
      </c>
      <c r="AC75" s="732" t="str">
        <f t="shared" si="36"/>
        <v>56.7418922747374-13.9457017803741i</v>
      </c>
      <c r="AD75" s="337">
        <f t="shared" si="37"/>
        <v>58.430513749795431</v>
      </c>
      <c r="AE75" s="339">
        <f t="shared" si="38"/>
        <v>-0.2409976450490868</v>
      </c>
      <c r="AF75" s="736" t="str">
        <f t="shared" si="9"/>
        <v>112.990002952255-57.5413861489816i</v>
      </c>
      <c r="AG75" s="337">
        <f t="shared" si="39"/>
        <v>42.062253223175816</v>
      </c>
      <c r="AH75" s="730">
        <f t="shared" si="40"/>
        <v>-26.987963439632324</v>
      </c>
      <c r="AI75" s="360">
        <f t="shared" si="10"/>
        <v>153.01203656036768</v>
      </c>
      <c r="AL75" s="337">
        <f t="shared" si="11"/>
        <v>35.332794097151904</v>
      </c>
      <c r="AM75" s="730">
        <f t="shared" si="12"/>
        <v>-13.808147933904554</v>
      </c>
      <c r="AN75" s="351"/>
      <c r="AO75" s="337">
        <f t="shared" si="13"/>
        <v>60.258581611066013</v>
      </c>
      <c r="AP75" s="730">
        <f t="shared" si="14"/>
        <v>-13.17981550572784</v>
      </c>
      <c r="AS75" s="351"/>
      <c r="AT75" s="351"/>
      <c r="AV75" s="405">
        <f t="shared" si="15"/>
        <v>0</v>
      </c>
      <c r="AW75" s="405">
        <f t="shared" si="16"/>
        <v>0</v>
      </c>
      <c r="AX75" s="405">
        <f t="shared" si="17"/>
        <v>0</v>
      </c>
      <c r="AY75" s="405">
        <f t="shared" si="18"/>
        <v>0</v>
      </c>
    </row>
    <row r="76" spans="2:51" ht="13.5" thickBot="1" x14ac:dyDescent="0.25">
      <c r="B76" s="345">
        <v>331.13</v>
      </c>
      <c r="C76" s="728" t="str">
        <f t="shared" si="0"/>
        <v>2.2271548443541</v>
      </c>
      <c r="D76" s="728" t="str">
        <f t="shared" si="1"/>
        <v>1+0.253133723343243i</v>
      </c>
      <c r="E76" s="337">
        <f t="shared" si="20"/>
        <v>1.0315409259421624</v>
      </c>
      <c r="F76" s="338">
        <f t="shared" si="21"/>
        <v>0.24792586815157011</v>
      </c>
      <c r="G76" s="338" t="str">
        <f t="shared" si="2"/>
        <v>1+0.00104027557538319i</v>
      </c>
      <c r="H76" s="337">
        <f t="shared" si="22"/>
        <v>1.0000005410864901</v>
      </c>
      <c r="I76" s="338">
        <f t="shared" si="23"/>
        <v>1.0402752001306258E-3</v>
      </c>
      <c r="J76" s="340">
        <f t="shared" si="3"/>
        <v>1</v>
      </c>
      <c r="K76" s="338">
        <f t="shared" si="24"/>
        <v>1</v>
      </c>
      <c r="L76" s="339">
        <f t="shared" si="25"/>
        <v>0</v>
      </c>
      <c r="M76" s="731" t="str">
        <f t="shared" si="4"/>
        <v>0.999995126796582+0.00448451526235864i</v>
      </c>
      <c r="N76" s="338">
        <f t="shared" si="26"/>
        <v>1.0000051822335974</v>
      </c>
      <c r="O76" s="339">
        <f t="shared" si="27"/>
        <v>4.4845070538316687E-3</v>
      </c>
      <c r="P76" s="732" t="str">
        <f t="shared" si="19"/>
        <v>2.0911928631408-0.537022222566291i</v>
      </c>
      <c r="Q76" s="337">
        <f t="shared" si="28"/>
        <v>2.1590461918127311</v>
      </c>
      <c r="R76" s="339">
        <f t="shared" si="29"/>
        <v>-0.25137010000527105</v>
      </c>
      <c r="S76" s="731" t="str">
        <f t="shared" si="5"/>
        <v>6000</v>
      </c>
      <c r="T76" s="337" t="str">
        <f t="shared" si="6"/>
        <v>1+2101.35666227404i</v>
      </c>
      <c r="U76" s="346">
        <f t="shared" si="30"/>
        <v>2101.3569002155473</v>
      </c>
      <c r="V76" s="347">
        <f t="shared" si="31"/>
        <v>1.5703204437891867</v>
      </c>
      <c r="W76" s="340" t="str">
        <f t="shared" si="7"/>
        <v>1+20.8055115076638i</v>
      </c>
      <c r="X76" s="337">
        <f t="shared" si="32"/>
        <v>20.829529737743261</v>
      </c>
      <c r="Y76" s="339">
        <f t="shared" si="33"/>
        <v>1.5227691004571362</v>
      </c>
      <c r="Z76" s="337" t="str">
        <f t="shared" si="8"/>
        <v>1+0.20958340738433i</v>
      </c>
      <c r="AA76" s="346">
        <f t="shared" si="34"/>
        <v>1.0217265801822062</v>
      </c>
      <c r="AB76" s="347">
        <f t="shared" si="35"/>
        <v>0.20659316395212393</v>
      </c>
      <c r="AC76" s="732" t="str">
        <f t="shared" si="36"/>
        <v>56.3400401157399-14.6349649095055i</v>
      </c>
      <c r="AD76" s="337">
        <f t="shared" si="37"/>
        <v>58.209812902513598</v>
      </c>
      <c r="AE76" s="339">
        <f t="shared" si="38"/>
        <v>-0.25414450728417592</v>
      </c>
      <c r="AF76" s="736" t="str">
        <f t="shared" si="9"/>
        <v>109.958588416219-60.8603877335026i</v>
      </c>
      <c r="AG76" s="337">
        <f t="shared" si="39"/>
        <v>41.985162746966324</v>
      </c>
      <c r="AH76" s="730">
        <f t="shared" si="40"/>
        <v>-28.963853479898635</v>
      </c>
      <c r="AI76" s="360">
        <f t="shared" si="10"/>
        <v>151.03614652010137</v>
      </c>
      <c r="AL76" s="337">
        <f t="shared" si="11"/>
        <v>35.299924067629753</v>
      </c>
      <c r="AM76" s="730">
        <f t="shared" si="12"/>
        <v>-14.561407653815088</v>
      </c>
      <c r="AN76" s="351"/>
      <c r="AO76" s="337">
        <f t="shared" si="13"/>
        <v>60.214361164378722</v>
      </c>
      <c r="AP76" s="730">
        <f t="shared" si="14"/>
        <v>-14.40244582608346</v>
      </c>
      <c r="AS76" s="351"/>
      <c r="AT76" s="351"/>
      <c r="AV76" s="405">
        <f t="shared" si="15"/>
        <v>0</v>
      </c>
      <c r="AW76" s="405">
        <f t="shared" si="16"/>
        <v>0</v>
      </c>
      <c r="AX76" s="405">
        <f t="shared" si="17"/>
        <v>0</v>
      </c>
      <c r="AY76" s="405">
        <f t="shared" si="18"/>
        <v>0</v>
      </c>
    </row>
    <row r="77" spans="2:51" ht="13.5" thickBot="1" x14ac:dyDescent="0.25">
      <c r="B77" s="345">
        <v>363.08</v>
      </c>
      <c r="C77" s="728" t="str">
        <f t="shared" ref="C77:C140" si="41">COMPLEX(Am*Afb,0)</f>
        <v>2.2271548443541</v>
      </c>
      <c r="D77" s="728" t="str">
        <f t="shared" ref="D77:D140" si="42">IMSUM(COMPLEX(1,0),IMDIV(COMPLEX(0,2*PI()*B77),COMPLEX(2*PI()*PS_Pole1,0)))</f>
        <v>1+0.277558035428576i</v>
      </c>
      <c r="E77" s="337">
        <f t="shared" si="20"/>
        <v>1.0378046362543245</v>
      </c>
      <c r="F77" s="338">
        <f t="shared" si="21"/>
        <v>0.27074283728718485</v>
      </c>
      <c r="G77" s="338" t="str">
        <f t="shared" ref="G77:G140" si="43">IMSUM(COMPLEX(1,0),IMDIV(COMPLEX(0,2*PI()*B77),COMPLEX(2*PI()*PS_Zero1,0)))</f>
        <v>1+0.00114064946066538i</v>
      </c>
      <c r="H77" s="337">
        <f t="shared" si="22"/>
        <v>1.0000006505403845</v>
      </c>
      <c r="I77" s="338">
        <f t="shared" si="23"/>
        <v>1.1406489659732462E-3</v>
      </c>
      <c r="J77" s="340">
        <f t="shared" ref="J77:J140" si="44">IF(VIN_nom&gt;Vout, 1,IMSUB(COMPLEX(1,0),IMDIV(COMPLEX(0,2*PI()*B77),COMPLEX(2*PI()*PS_RHPZ,0))))</f>
        <v>1</v>
      </c>
      <c r="K77" s="338">
        <f t="shared" si="24"/>
        <v>1</v>
      </c>
      <c r="L77" s="339">
        <f t="shared" si="25"/>
        <v>0</v>
      </c>
      <c r="M77" s="731" t="str">
        <f t="shared" ref="M77:M140" si="45">IMSUM(COMPLEX(1,0),IMDIV(COMPLEX(0,2*PI()*B77),COMPLEX(Q*(2*PI()*PS_Pole2/2),0)),IMDIV(IMPOWER(COMPLEX(0,2*PI()*B77),2),IMPOWER(COMPLEX(2*PI()*PS_Pole2/2,0),2)))</f>
        <v>0.999994141018382+0.00491721620347649i</v>
      </c>
      <c r="N77" s="338">
        <f t="shared" si="26"/>
        <v>1.0000062305237321</v>
      </c>
      <c r="O77" s="339">
        <f t="shared" si="27"/>
        <v>4.917205382254557E-3</v>
      </c>
      <c r="P77" s="732" t="str">
        <f t="shared" si="19"/>
        <v>2.06565698048776-0.581750602364897i</v>
      </c>
      <c r="Q77" s="337">
        <f t="shared" si="28"/>
        <v>2.1460131696682878</v>
      </c>
      <c r="R77" s="339">
        <f t="shared" si="29"/>
        <v>-0.27451939370346612</v>
      </c>
      <c r="S77" s="731" t="str">
        <f t="shared" ref="S77:S140" si="46">COMPLEX(AEA,0)</f>
        <v>6000</v>
      </c>
      <c r="T77" s="337" t="str">
        <f t="shared" ref="T77:T140" si="47">IMSUM(COMPLEX(1,0),IMDIV(COMPLEX(0,2*PI()*B77),COMPLEX(2*PI()*EA_Pole1,0)))</f>
        <v>1+2304.11191054407i</v>
      </c>
      <c r="U77" s="346">
        <f t="shared" si="30"/>
        <v>2304.1121275474084</v>
      </c>
      <c r="V77" s="347">
        <f t="shared" si="31"/>
        <v>1.5703623201250658</v>
      </c>
      <c r="W77" s="340" t="str">
        <f t="shared" ref="W77:W140" si="48">IMSUM(COMPLEX(1,0),IMDIV(COMPLEX(0,2*PI()*B77),COMPLEX(2*PI()*EA_Zero1,0)))</f>
        <v>1+22.8129892133076i</v>
      </c>
      <c r="X77" s="337">
        <f t="shared" si="32"/>
        <v>22.834896033187647</v>
      </c>
      <c r="Y77" s="339">
        <f t="shared" si="33"/>
        <v>1.526989693867133</v>
      </c>
      <c r="Z77" s="337" t="str">
        <f t="shared" ref="Z77:Z140" si="49">IMSUM(COMPLEX(1,0),IMDIV(COMPLEX(0,2*PI()*B77),COMPLEX(2*PI()*EA_Pole2,0)))</f>
        <v>1+0.22980564597923i</v>
      </c>
      <c r="AA77" s="346">
        <f t="shared" si="34"/>
        <v>1.0260656094636109</v>
      </c>
      <c r="AB77" s="347">
        <f t="shared" si="35"/>
        <v>0.22588379090934113</v>
      </c>
      <c r="AC77" s="732" t="str">
        <f t="shared" si="36"/>
        <v>55.8643307550038-15.416195737127i</v>
      </c>
      <c r="AD77" s="337">
        <f t="shared" si="37"/>
        <v>57.952416185262507</v>
      </c>
      <c r="AE77" s="339">
        <f t="shared" si="38"/>
        <v>-0.26925641716727344</v>
      </c>
      <c r="AF77" s="736" t="str">
        <f t="shared" ref="AF77:AF140" si="50">IMPRODUCT(P77,AC77)</f>
        <v>106.428163628102-64.3436804043973i</v>
      </c>
      <c r="AG77" s="337">
        <f t="shared" si="39"/>
        <v>41.894078607006676</v>
      </c>
      <c r="AH77" s="730">
        <f t="shared" si="40"/>
        <v>-31.156058964197403</v>
      </c>
      <c r="AI77" s="360">
        <f t="shared" ref="AI77:AI140" si="51">IF(AH77&gt;0,AH77-180,AH77+180)</f>
        <v>148.8439410358026</v>
      </c>
      <c r="AL77" s="337">
        <f t="shared" ref="AL77:AL140" si="52">20*LOG10(IMABS(AC77))</f>
        <v>35.261430950617559</v>
      </c>
      <c r="AM77" s="730">
        <f t="shared" ref="AM77:AM140" si="53">(180/PI())*IMARGUMENT(AC77)</f>
        <v>-15.427256310498613</v>
      </c>
      <c r="AN77" s="351"/>
      <c r="AO77" s="337">
        <f t="shared" ref="AO77:AO140" si="54">20*LOG10(IMABS(IMPRODUCT(COMPLEX(Am/Afb,0),P77)))</f>
        <v>60.161770141431241</v>
      </c>
      <c r="AP77" s="730">
        <f t="shared" ref="AP77:AP140" si="55">180/PI()*IMARGUMENT(IMPRODUCT(COMPLEX(Am/Afb,0),P77))</f>
        <v>-15.72880265369886</v>
      </c>
      <c r="AS77" s="351"/>
      <c r="AT77" s="351"/>
      <c r="AV77" s="405">
        <f t="shared" ref="AV77:AV140" si="56">SUM((AG78&lt;0)*(AG77&gt;0))*B77</f>
        <v>0</v>
      </c>
      <c r="AW77" s="405">
        <f t="shared" ref="AW77:AW89" si="57">IF(AV77&gt;0,AI75,0)</f>
        <v>0</v>
      </c>
      <c r="AX77" s="405">
        <f t="shared" ref="AX77:AX140" si="58">SUM((AL78&lt;0)*(AL77&gt;0))*B77</f>
        <v>0</v>
      </c>
      <c r="AY77" s="405">
        <f t="shared" ref="AY77:AY140" si="59">IF(AX77&gt;0,AM77,0)</f>
        <v>0</v>
      </c>
    </row>
    <row r="78" spans="2:51" ht="13.5" thickBot="1" x14ac:dyDescent="0.25">
      <c r="B78" s="345">
        <v>398.11</v>
      </c>
      <c r="C78" s="728" t="str">
        <f t="shared" si="41"/>
        <v>2.2271548443541</v>
      </c>
      <c r="D78" s="728" t="str">
        <f t="shared" si="42"/>
        <v>1+0.304336866488021i</v>
      </c>
      <c r="E78" s="337">
        <f t="shared" si="20"/>
        <v>1.0452850942703371</v>
      </c>
      <c r="F78" s="338">
        <f t="shared" si="21"/>
        <v>0.29543080661511184</v>
      </c>
      <c r="G78" s="338" t="str">
        <f t="shared" si="43"/>
        <v>1+0.00125069945132064i</v>
      </c>
      <c r="H78" s="337">
        <f t="shared" si="22"/>
        <v>1.0000007821242529</v>
      </c>
      <c r="I78" s="338">
        <f t="shared" si="23"/>
        <v>1.250698799186081E-3</v>
      </c>
      <c r="J78" s="340">
        <f t="shared" si="44"/>
        <v>1</v>
      </c>
      <c r="K78" s="338">
        <f t="shared" si="24"/>
        <v>1</v>
      </c>
      <c r="L78" s="339">
        <f t="shared" si="25"/>
        <v>0</v>
      </c>
      <c r="M78" s="731" t="str">
        <f t="shared" si="45"/>
        <v>0.999992955930129+0.00539162978617944i</v>
      </c>
      <c r="N78" s="338">
        <f t="shared" si="26"/>
        <v>1.0000074907627585</v>
      </c>
      <c r="O78" s="339">
        <f t="shared" si="27"/>
        <v>5.3916155209684001E-3</v>
      </c>
      <c r="P78" s="732" t="str">
        <f t="shared" ref="P78:P141" si="60">(IMDIV(IMPRODUCT(C78,G78,J78),IMPRODUCT(D78,M78)))</f>
        <v>2.03576010905493-0.628779227022014i</v>
      </c>
      <c r="Q78" s="337">
        <f t="shared" si="28"/>
        <v>2.1306530778035504</v>
      </c>
      <c r="R78" s="339">
        <f t="shared" si="29"/>
        <v>-0.29957172333689486</v>
      </c>
      <c r="S78" s="731" t="str">
        <f t="shared" si="46"/>
        <v>6000</v>
      </c>
      <c r="T78" s="337" t="str">
        <f t="shared" si="47"/>
        <v>1+2526.41289166768i</v>
      </c>
      <c r="U78" s="346">
        <f t="shared" si="30"/>
        <v>2526.4130895767321</v>
      </c>
      <c r="V78" s="347">
        <f t="shared" si="31"/>
        <v>1.5704005086960127</v>
      </c>
      <c r="W78" s="340" t="str">
        <f t="shared" si="48"/>
        <v>1+25.0139890264127i</v>
      </c>
      <c r="X78" s="337">
        <f t="shared" si="32"/>
        <v>25.033969861240447</v>
      </c>
      <c r="Y78" s="339">
        <f t="shared" si="33"/>
        <v>1.5308399738817726</v>
      </c>
      <c r="Z78" s="337" t="str">
        <f t="shared" si="49"/>
        <v>1+0.251977321033358i</v>
      </c>
      <c r="AA78" s="346">
        <f t="shared" si="34"/>
        <v>1.0312577613357137</v>
      </c>
      <c r="AB78" s="347">
        <f t="shared" si="35"/>
        <v>0.24683880357774121</v>
      </c>
      <c r="AC78" s="732" t="str">
        <f t="shared" si="36"/>
        <v>55.3030410350911-16.2865065262576i</v>
      </c>
      <c r="AD78" s="337">
        <f t="shared" si="37"/>
        <v>57.651336867056258</v>
      </c>
      <c r="AE78" s="339">
        <f t="shared" si="38"/>
        <v>-0.28639933839198201</v>
      </c>
      <c r="AF78" s="736" t="str">
        <f t="shared" si="50"/>
        <v>102.343107864197-67.9288236960293i</v>
      </c>
      <c r="AG78" s="337">
        <f t="shared" si="39"/>
        <v>41.786442485669603</v>
      </c>
      <c r="AH78" s="730">
        <f t="shared" si="40"/>
        <v>-33.573668753864503</v>
      </c>
      <c r="AI78" s="360">
        <f t="shared" si="51"/>
        <v>146.4263312461355</v>
      </c>
      <c r="AL78" s="337">
        <f t="shared" si="52"/>
        <v>35.216187650568862</v>
      </c>
      <c r="AM78" s="730">
        <f t="shared" si="53"/>
        <v>-16.409473345199654</v>
      </c>
      <c r="AN78" s="351"/>
      <c r="AO78" s="337">
        <f t="shared" si="54"/>
        <v>60.099377320142871</v>
      </c>
      <c r="AP78" s="730">
        <f t="shared" si="55"/>
        <v>-17.164195408664803</v>
      </c>
      <c r="AS78" s="351"/>
      <c r="AT78" s="351"/>
      <c r="AV78" s="405">
        <f t="shared" si="56"/>
        <v>0</v>
      </c>
      <c r="AW78" s="405">
        <f t="shared" si="57"/>
        <v>0</v>
      </c>
      <c r="AX78" s="405">
        <f t="shared" si="58"/>
        <v>0</v>
      </c>
      <c r="AY78" s="405">
        <f t="shared" si="59"/>
        <v>0</v>
      </c>
    </row>
    <row r="79" spans="2:51" ht="13.5" thickBot="1" x14ac:dyDescent="0.25">
      <c r="B79" s="345">
        <v>436.52</v>
      </c>
      <c r="C79" s="728" t="str">
        <f t="shared" si="41"/>
        <v>2.2271548443541</v>
      </c>
      <c r="D79" s="728" t="str">
        <f t="shared" si="42"/>
        <v>1+0.333699552785287i</v>
      </c>
      <c r="E79" s="337">
        <f t="shared" si="20"/>
        <v>1.0542084193977492</v>
      </c>
      <c r="F79" s="338">
        <f t="shared" si="21"/>
        <v>0.32208011568394168</v>
      </c>
      <c r="G79" s="338" t="str">
        <f t="shared" si="43"/>
        <v>1+0.00137136802514501i</v>
      </c>
      <c r="H79" s="337">
        <f t="shared" si="22"/>
        <v>1.0000009403246881</v>
      </c>
      <c r="I79" s="338">
        <f t="shared" si="23"/>
        <v>1.3713671654581022E-3</v>
      </c>
      <c r="J79" s="340">
        <f t="shared" si="44"/>
        <v>1</v>
      </c>
      <c r="K79" s="338">
        <f t="shared" si="24"/>
        <v>1</v>
      </c>
      <c r="L79" s="339">
        <f t="shared" si="25"/>
        <v>0</v>
      </c>
      <c r="M79" s="731" t="str">
        <f t="shared" si="45"/>
        <v>0.999991531123982+0.00591181893010234i</v>
      </c>
      <c r="N79" s="338">
        <f t="shared" si="26"/>
        <v>1.0000090059208209</v>
      </c>
      <c r="O79" s="339">
        <f t="shared" si="27"/>
        <v>5.9118001247740028E-3</v>
      </c>
      <c r="P79" s="732" t="str">
        <f t="shared" si="60"/>
        <v>2.00092565149783-0.677820126017096i</v>
      </c>
      <c r="Q79" s="337">
        <f t="shared" si="28"/>
        <v>2.1126153426631755</v>
      </c>
      <c r="R79" s="339">
        <f t="shared" si="29"/>
        <v>-0.32662054864325729</v>
      </c>
      <c r="S79" s="731" t="str">
        <f t="shared" si="46"/>
        <v>6000</v>
      </c>
      <c r="T79" s="337" t="str">
        <f t="shared" si="47"/>
        <v>1+2770.16341079293i</v>
      </c>
      <c r="U79" s="346">
        <f t="shared" si="30"/>
        <v>2770.1635912876909</v>
      </c>
      <c r="V79" s="347">
        <f t="shared" si="31"/>
        <v>1.5704353372761317</v>
      </c>
      <c r="W79" s="340" t="str">
        <f t="shared" si="48"/>
        <v>1+27.4273605029003i</v>
      </c>
      <c r="X79" s="337">
        <f t="shared" si="32"/>
        <v>27.44558442001291</v>
      </c>
      <c r="Y79" s="339">
        <f t="shared" si="33"/>
        <v>1.5343525266766165</v>
      </c>
      <c r="Z79" s="337" t="str">
        <f t="shared" si="49"/>
        <v>1+0.276288312721311i</v>
      </c>
      <c r="AA79" s="346">
        <f t="shared" si="34"/>
        <v>1.0374657737710622</v>
      </c>
      <c r="AB79" s="347">
        <f t="shared" si="35"/>
        <v>0.26956355003912708</v>
      </c>
      <c r="AC79" s="732" t="str">
        <f t="shared" si="36"/>
        <v>54.6430284180772-17.2417221279915i</v>
      </c>
      <c r="AD79" s="337">
        <f t="shared" si="37"/>
        <v>57.298669588723122</v>
      </c>
      <c r="AE79" s="339">
        <f t="shared" si="38"/>
        <v>-0.30564636063864242</v>
      </c>
      <c r="AF79" s="736" t="str">
        <f t="shared" si="50"/>
        <v>97.6498509717086-71.5375484901928i</v>
      </c>
      <c r="AG79" s="337">
        <f t="shared" si="39"/>
        <v>41.65929935474103</v>
      </c>
      <c r="AH79" s="730">
        <f t="shared" si="40"/>
        <v>-36.226225427633757</v>
      </c>
      <c r="AI79" s="360">
        <f t="shared" si="51"/>
        <v>143.77377457236625</v>
      </c>
      <c r="AL79" s="337">
        <f t="shared" si="52"/>
        <v>35.162890765007838</v>
      </c>
      <c r="AM79" s="730">
        <f t="shared" si="53"/>
        <v>-17.512246488127701</v>
      </c>
      <c r="AN79" s="351"/>
      <c r="AO79" s="337">
        <f t="shared" si="54"/>
        <v>60.025531074775316</v>
      </c>
      <c r="AP79" s="730">
        <f t="shared" si="55"/>
        <v>-18.713978939506035</v>
      </c>
      <c r="AS79" s="351"/>
      <c r="AT79" s="351"/>
      <c r="AV79" s="405">
        <f t="shared" si="56"/>
        <v>0</v>
      </c>
      <c r="AW79" s="405">
        <f t="shared" si="57"/>
        <v>0</v>
      </c>
      <c r="AX79" s="405">
        <f t="shared" si="58"/>
        <v>0</v>
      </c>
      <c r="AY79" s="405">
        <f t="shared" si="59"/>
        <v>0</v>
      </c>
    </row>
    <row r="80" spans="2:51" ht="13.5" thickBot="1" x14ac:dyDescent="0.25">
      <c r="B80" s="345">
        <v>478.63</v>
      </c>
      <c r="C80" s="728" t="str">
        <f t="shared" si="41"/>
        <v>2.2271548443541</v>
      </c>
      <c r="D80" s="728" t="str">
        <f t="shared" si="42"/>
        <v>1+0.365890719668337i</v>
      </c>
      <c r="E80" s="337">
        <f t="shared" si="20"/>
        <v>1.0648361464278968</v>
      </c>
      <c r="F80" s="338">
        <f t="shared" si="21"/>
        <v>0.35076063398663976</v>
      </c>
      <c r="G80" s="338" t="str">
        <f t="shared" si="43"/>
        <v>1+0.00150366049178768i</v>
      </c>
      <c r="H80" s="337">
        <f t="shared" si="22"/>
        <v>1.0000011304967984</v>
      </c>
      <c r="I80" s="338">
        <f t="shared" si="23"/>
        <v>1.5036593585329957E-3</v>
      </c>
      <c r="J80" s="340">
        <f t="shared" si="44"/>
        <v>1</v>
      </c>
      <c r="K80" s="338">
        <f t="shared" si="24"/>
        <v>1</v>
      </c>
      <c r="L80" s="339">
        <f t="shared" si="25"/>
        <v>0</v>
      </c>
      <c r="M80" s="731" t="str">
        <f t="shared" si="45"/>
        <v>0.999989818369916+0.00648211741618916i</v>
      </c>
      <c r="N80" s="338">
        <f t="shared" si="26"/>
        <v>1.0000108272862323</v>
      </c>
      <c r="O80" s="339">
        <f t="shared" si="27"/>
        <v>6.4820926266943345E-3</v>
      </c>
      <c r="P80" s="732" t="str">
        <f t="shared" si="60"/>
        <v>1.96057484805251-0.72844373057298i</v>
      </c>
      <c r="Q80" s="337">
        <f t="shared" si="28"/>
        <v>2.0915267159248057</v>
      </c>
      <c r="R80" s="339">
        <f t="shared" si="29"/>
        <v>-0.35573906725480081</v>
      </c>
      <c r="S80" s="731" t="str">
        <f t="shared" si="46"/>
        <v>6000</v>
      </c>
      <c r="T80" s="337" t="str">
        <f t="shared" si="47"/>
        <v>1+3037.39419341112i</v>
      </c>
      <c r="U80" s="346">
        <f t="shared" si="30"/>
        <v>3037.3943580259033</v>
      </c>
      <c r="V80" s="347">
        <f t="shared" si="31"/>
        <v>1.5704670972315957</v>
      </c>
      <c r="W80" s="340" t="str">
        <f t="shared" si="48"/>
        <v>1+30.0732098357537i</v>
      </c>
      <c r="X80" s="337">
        <f t="shared" si="32"/>
        <v>30.089831335939277</v>
      </c>
      <c r="Y80" s="339">
        <f t="shared" si="33"/>
        <v>1.5375563873115801</v>
      </c>
      <c r="Z80" s="337" t="str">
        <f t="shared" si="49"/>
        <v>1+0.302941159895999i</v>
      </c>
      <c r="AA80" s="346">
        <f t="shared" si="34"/>
        <v>1.0448795846216603</v>
      </c>
      <c r="AB80" s="347">
        <f t="shared" si="35"/>
        <v>0.29415291727696169</v>
      </c>
      <c r="AC80" s="732" t="str">
        <f t="shared" si="36"/>
        <v>53.8702347086465-18.2753304331027i</v>
      </c>
      <c r="AD80" s="337">
        <f t="shared" si="37"/>
        <v>56.885761751107374</v>
      </c>
      <c r="AE80" s="339">
        <f t="shared" si="38"/>
        <v>-0.32706362719697707</v>
      </c>
      <c r="AF80" s="736" t="str">
        <f t="shared" si="50"/>
        <v>92.3040773503144-75.0715879249982i</v>
      </c>
      <c r="AG80" s="337">
        <f t="shared" si="39"/>
        <v>41.509339888495575</v>
      </c>
      <c r="AH80" s="730">
        <f t="shared" si="40"/>
        <v>-39.121712632247586</v>
      </c>
      <c r="AI80" s="360">
        <f t="shared" si="51"/>
        <v>140.87828736775242</v>
      </c>
      <c r="AL80" s="337">
        <f t="shared" si="52"/>
        <v>35.100071561038803</v>
      </c>
      <c r="AM80" s="730">
        <f t="shared" si="53"/>
        <v>-18.739365470626954</v>
      </c>
      <c r="AN80" s="351"/>
      <c r="AO80" s="337">
        <f t="shared" si="54"/>
        <v>59.938390812498895</v>
      </c>
      <c r="AP80" s="730">
        <f t="shared" si="55"/>
        <v>-20.382347161620622</v>
      </c>
      <c r="AS80" s="351"/>
      <c r="AT80" s="351"/>
      <c r="AV80" s="405">
        <f t="shared" si="56"/>
        <v>0</v>
      </c>
      <c r="AW80" s="405">
        <f t="shared" si="57"/>
        <v>0</v>
      </c>
      <c r="AX80" s="405">
        <f t="shared" si="58"/>
        <v>0</v>
      </c>
      <c r="AY80" s="405">
        <f t="shared" si="59"/>
        <v>0</v>
      </c>
    </row>
    <row r="81" spans="2:51" ht="13.5" thickBot="1" x14ac:dyDescent="0.25">
      <c r="B81" s="345">
        <v>524.80999999999995</v>
      </c>
      <c r="C81" s="728" t="str">
        <f t="shared" si="41"/>
        <v>2.2271548443541</v>
      </c>
      <c r="D81" s="728" t="str">
        <f t="shared" si="42"/>
        <v>1+0.401193215195745i</v>
      </c>
      <c r="E81" s="337">
        <f t="shared" ref="E81:E144" si="61">IMABS(D81)</f>
        <v>1.0774766799885274</v>
      </c>
      <c r="F81" s="338">
        <f t="shared" ref="F81:F144" si="62">IMARGUMENT(D81)</f>
        <v>0.38153458747853386</v>
      </c>
      <c r="G81" s="338" t="str">
        <f t="shared" si="43"/>
        <v>1+0.00164873924053046i</v>
      </c>
      <c r="H81" s="337">
        <f t="shared" ref="H81:H144" si="63">IMABS(G81)</f>
        <v>1.000001359169618</v>
      </c>
      <c r="I81" s="338">
        <f t="shared" ref="I81:I144" si="64">IMARGUMENT(G81)</f>
        <v>1.6487377465876922E-3</v>
      </c>
      <c r="J81" s="340">
        <f t="shared" si="44"/>
        <v>1</v>
      </c>
      <c r="K81" s="338">
        <f t="shared" ref="K81:K144" si="65">IMABS(J81)</f>
        <v>1</v>
      </c>
      <c r="L81" s="339">
        <f t="shared" ref="L81:L144" si="66">IMARGUMENT(J81)</f>
        <v>0</v>
      </c>
      <c r="M81" s="731" t="str">
        <f t="shared" si="45"/>
        <v>0.999987758865062+0.00710753617865623i</v>
      </c>
      <c r="N81" s="338">
        <f t="shared" ref="N81:N144" si="67">IMABS(M81)</f>
        <v>1.000013017390524</v>
      </c>
      <c r="O81" s="339">
        <f t="shared" ref="O81:O144" si="68">IMARGUMENT(M81)</f>
        <v>7.1075034992943318E-3</v>
      </c>
      <c r="P81" s="732" t="str">
        <f t="shared" si="60"/>
        <v>1.91412790295909-0.780092442163478i</v>
      </c>
      <c r="Q81" s="337">
        <f t="shared" ref="Q81:Q144" si="69">IMABS(P81)</f>
        <v>2.06698569109879</v>
      </c>
      <c r="R81" s="339">
        <f t="shared" ref="R81:R144" si="70">IMARGUMENT(P81)</f>
        <v>-0.38699335323124151</v>
      </c>
      <c r="S81" s="731" t="str">
        <f t="shared" si="46"/>
        <v>6000</v>
      </c>
      <c r="T81" s="337" t="str">
        <f t="shared" si="47"/>
        <v>1+3330.45326587153i</v>
      </c>
      <c r="U81" s="346">
        <f t="shared" ref="U81:U144" si="71">IMABS(T81)</f>
        <v>3330.4534160012417</v>
      </c>
      <c r="V81" s="347">
        <f t="shared" ref="V81:V144" si="72">IMARGUMENT(T81)</f>
        <v>1.5704960673736954</v>
      </c>
      <c r="W81" s="340" t="str">
        <f t="shared" si="48"/>
        <v>1+32.9747848106092i</v>
      </c>
      <c r="X81" s="337">
        <f t="shared" ref="X81:X144" si="73">IMABS(W81)</f>
        <v>32.989944427142994</v>
      </c>
      <c r="Y81" s="339">
        <f t="shared" ref="Y81:Y144" si="74">IMARGUMENT(W81)</f>
        <v>1.5404794160015729</v>
      </c>
      <c r="Z81" s="337" t="str">
        <f t="shared" si="49"/>
        <v>1+0.332170048106092i</v>
      </c>
      <c r="AA81" s="346">
        <f t="shared" ref="AA81:AA144" si="75">IMABS(Z81)</f>
        <v>1.0537252682074221</v>
      </c>
      <c r="AB81" s="347">
        <f t="shared" ref="AB81:AB144" si="76">IMARGUMENT(Z81)</f>
        <v>0.32070323257472028</v>
      </c>
      <c r="AC81" s="732" t="str">
        <f t="shared" ref="AC81:AC144" si="77">IMPRODUCT(S81,IMDIV(W81,IMPRODUCT(T81,Z81)))</f>
        <v>52.9694869250772-19.3785962467178i</v>
      </c>
      <c r="AD81" s="337">
        <f t="shared" ref="AD81:AD144" si="78">IMABS(AC81)</f>
        <v>56.402983410447625</v>
      </c>
      <c r="AE81" s="339">
        <f t="shared" ref="AE81:AE144" si="79">IMARGUMENT(AC81)</f>
        <v>-0.35071988394684217</v>
      </c>
      <c r="AF81" s="736" t="str">
        <f t="shared" si="50"/>
        <v>86.2732764569149-78.4142082115507i</v>
      </c>
      <c r="AG81" s="337">
        <f t="shared" ref="AG81:AG144" si="80">20*LOG10(IMABS(AF81))</f>
        <v>41.332790931918012</v>
      </c>
      <c r="AH81" s="730">
        <f t="shared" ref="AH81:AH144" si="81">(180/PI())*IMARGUMENT(AF81)</f>
        <v>-42.267854981237669</v>
      </c>
      <c r="AI81" s="360">
        <f t="shared" si="51"/>
        <v>137.73214501876234</v>
      </c>
      <c r="AL81" s="337">
        <f t="shared" si="52"/>
        <v>35.02604152804517</v>
      </c>
      <c r="AM81" s="730">
        <f t="shared" si="53"/>
        <v>-20.094769141472089</v>
      </c>
      <c r="AN81" s="351"/>
      <c r="AO81" s="337">
        <f t="shared" si="54"/>
        <v>59.83587188891498</v>
      </c>
      <c r="AP81" s="730">
        <f t="shared" si="55"/>
        <v>-22.173085839765612</v>
      </c>
      <c r="AS81" s="351"/>
      <c r="AT81" s="351"/>
      <c r="AV81" s="405">
        <f t="shared" si="56"/>
        <v>0</v>
      </c>
      <c r="AW81" s="405">
        <f t="shared" si="57"/>
        <v>0</v>
      </c>
      <c r="AX81" s="405">
        <f t="shared" si="58"/>
        <v>0</v>
      </c>
      <c r="AY81" s="405">
        <f t="shared" si="59"/>
        <v>0</v>
      </c>
    </row>
    <row r="82" spans="2:51" ht="13.5" thickBot="1" x14ac:dyDescent="0.25">
      <c r="B82" s="345">
        <v>575.44000000000005</v>
      </c>
      <c r="C82" s="728" t="str">
        <f t="shared" si="41"/>
        <v>2.2271548443541</v>
      </c>
      <c r="D82" s="728" t="str">
        <f t="shared" si="42"/>
        <v>1+0.439897531968216i</v>
      </c>
      <c r="E82" s="337">
        <f t="shared" si="61"/>
        <v>1.092478758892697</v>
      </c>
      <c r="F82" s="338">
        <f t="shared" si="62"/>
        <v>0.41442102346027992</v>
      </c>
      <c r="G82" s="338" t="str">
        <f t="shared" si="43"/>
        <v>1+0.00180779807658171i</v>
      </c>
      <c r="H82" s="337">
        <f t="shared" si="63"/>
        <v>1.0000016340656077</v>
      </c>
      <c r="I82" s="338">
        <f t="shared" si="64"/>
        <v>1.8077961072101875E-3</v>
      </c>
      <c r="J82" s="340">
        <f t="shared" si="44"/>
        <v>1</v>
      </c>
      <c r="K82" s="338">
        <f t="shared" si="65"/>
        <v>1</v>
      </c>
      <c r="L82" s="339">
        <f t="shared" si="66"/>
        <v>0</v>
      </c>
      <c r="M82" s="731" t="str">
        <f t="shared" si="45"/>
        <v>0.999985283058062+0.00779322158237445i</v>
      </c>
      <c r="N82" s="338">
        <f t="shared" si="67"/>
        <v>1.0000156501952078</v>
      </c>
      <c r="O82" s="339">
        <f t="shared" si="68"/>
        <v>7.7931785032760879E-3</v>
      </c>
      <c r="P82" s="732" t="str">
        <f t="shared" si="60"/>
        <v>1.86108214837043-0.832015550827908i</v>
      </c>
      <c r="Q82" s="337">
        <f t="shared" si="69"/>
        <v>2.0385967330010524</v>
      </c>
      <c r="R82" s="339">
        <f t="shared" si="70"/>
        <v>-0.42040640585634514</v>
      </c>
      <c r="S82" s="731" t="str">
        <f t="shared" si="46"/>
        <v>6000</v>
      </c>
      <c r="T82" s="337" t="str">
        <f t="shared" si="47"/>
        <v>1+3651.75211469505i</v>
      </c>
      <c r="U82" s="346">
        <f t="shared" si="71"/>
        <v>3651.7522516156223</v>
      </c>
      <c r="V82" s="347">
        <f t="shared" si="72"/>
        <v>1.5705224856513591</v>
      </c>
      <c r="W82" s="340" t="str">
        <f t="shared" si="48"/>
        <v>1+36.1559615316342i</v>
      </c>
      <c r="X82" s="337">
        <f t="shared" si="73"/>
        <v>36.169787866077009</v>
      </c>
      <c r="Y82" s="339">
        <f t="shared" si="74"/>
        <v>1.5431454198045957</v>
      </c>
      <c r="Z82" s="337" t="str">
        <f t="shared" si="49"/>
        <v>1+0.364215492239419i</v>
      </c>
      <c r="AA82" s="346">
        <f t="shared" si="75"/>
        <v>1.0642616805970242</v>
      </c>
      <c r="AB82" s="347">
        <f t="shared" si="76"/>
        <v>0.34928240156633122</v>
      </c>
      <c r="AC82" s="732" t="str">
        <f t="shared" si="77"/>
        <v>51.9257812130095-20.5389529536056i</v>
      </c>
      <c r="AD82" s="337">
        <f t="shared" si="78"/>
        <v>55.840266322894216</v>
      </c>
      <c r="AE82" s="339">
        <f t="shared" si="79"/>
        <v>-0.37665946741309464</v>
      </c>
      <c r="AF82" s="736" t="str">
        <f t="shared" si="50"/>
        <v>79.549416200598-81.427736146287i</v>
      </c>
      <c r="AG82" s="337">
        <f t="shared" si="80"/>
        <v>41.125576096386276</v>
      </c>
      <c r="AH82" s="730">
        <f t="shared" si="81"/>
        <v>-45.668510532248227</v>
      </c>
      <c r="AI82" s="360">
        <f t="shared" si="51"/>
        <v>134.33148946775177</v>
      </c>
      <c r="AL82" s="337">
        <f t="shared" si="52"/>
        <v>34.938949618622843</v>
      </c>
      <c r="AM82" s="730">
        <f t="shared" si="53"/>
        <v>-21.580997796415687</v>
      </c>
      <c r="AN82" s="351"/>
      <c r="AO82" s="337">
        <f t="shared" si="54"/>
        <v>59.715748962805563</v>
      </c>
      <c r="AP82" s="730">
        <f t="shared" si="55"/>
        <v>-24.087512735832565</v>
      </c>
      <c r="AS82" s="351"/>
      <c r="AT82" s="351"/>
      <c r="AV82" s="405">
        <f t="shared" si="56"/>
        <v>0</v>
      </c>
      <c r="AW82" s="405">
        <f t="shared" si="57"/>
        <v>0</v>
      </c>
      <c r="AX82" s="405">
        <f t="shared" si="58"/>
        <v>0</v>
      </c>
      <c r="AY82" s="405">
        <f t="shared" si="59"/>
        <v>0</v>
      </c>
    </row>
    <row r="83" spans="2:51" ht="13.5" thickBot="1" x14ac:dyDescent="0.25">
      <c r="B83" s="345">
        <v>630.96</v>
      </c>
      <c r="C83" s="728" t="str">
        <f t="shared" si="41"/>
        <v>2.2271548443541</v>
      </c>
      <c r="D83" s="728" t="str">
        <f t="shared" si="42"/>
        <v>1+0.482340029839194i</v>
      </c>
      <c r="E83" s="337">
        <f t="shared" si="61"/>
        <v>1.1102485777452158</v>
      </c>
      <c r="F83" s="338">
        <f t="shared" si="62"/>
        <v>0.44942008308515907</v>
      </c>
      <c r="G83" s="338" t="str">
        <f t="shared" si="43"/>
        <v>1+0.00198221930070901i</v>
      </c>
      <c r="H83" s="337">
        <f t="shared" si="63"/>
        <v>1.0000019645947482</v>
      </c>
      <c r="I83" s="338">
        <f t="shared" si="64"/>
        <v>1.9822167045408282E-3</v>
      </c>
      <c r="J83" s="340">
        <f t="shared" si="44"/>
        <v>1</v>
      </c>
      <c r="K83" s="338">
        <f t="shared" si="65"/>
        <v>1</v>
      </c>
      <c r="L83" s="339">
        <f t="shared" si="66"/>
        <v>0</v>
      </c>
      <c r="M83" s="731" t="str">
        <f t="shared" si="45"/>
        <v>0.99998230619904+0.00854513257614171i</v>
      </c>
      <c r="N83" s="338">
        <f t="shared" si="67"/>
        <v>1.0000188158239296</v>
      </c>
      <c r="O83" s="339">
        <f t="shared" si="68"/>
        <v>8.5450757862572321E-3</v>
      </c>
      <c r="P83" s="732" t="str">
        <f t="shared" si="60"/>
        <v>1.80101080405993-0.883315757143355i</v>
      </c>
      <c r="Q83" s="337">
        <f t="shared" si="69"/>
        <v>2.0059627721267246</v>
      </c>
      <c r="R83" s="339">
        <f t="shared" si="70"/>
        <v>-0.45598294216687552</v>
      </c>
      <c r="S83" s="731" t="str">
        <f t="shared" si="46"/>
        <v>6000</v>
      </c>
      <c r="T83" s="337" t="str">
        <f t="shared" si="47"/>
        <v>1+4004.08298743221i</v>
      </c>
      <c r="U83" s="346">
        <f t="shared" si="71"/>
        <v>4004.0831123047446</v>
      </c>
      <c r="V83" s="347">
        <f t="shared" si="72"/>
        <v>1.5705465817265882</v>
      </c>
      <c r="W83" s="340" t="str">
        <f t="shared" si="48"/>
        <v>1+39.6443860141803i</v>
      </c>
      <c r="X83" s="337">
        <f t="shared" si="73"/>
        <v>39.656996134873033</v>
      </c>
      <c r="Y83" s="339">
        <f t="shared" si="74"/>
        <v>1.5455774220820091</v>
      </c>
      <c r="Z83" s="337" t="str">
        <f t="shared" si="49"/>
        <v>1+0.399355983218726i</v>
      </c>
      <c r="AA83" s="346">
        <f t="shared" si="75"/>
        <v>1.0767939456240434</v>
      </c>
      <c r="AB83" s="347">
        <f t="shared" si="76"/>
        <v>0.37995106696866127</v>
      </c>
      <c r="AC83" s="732" t="str">
        <f t="shared" si="77"/>
        <v>50.7240738725774-21.7405964017097i</v>
      </c>
      <c r="AD83" s="337">
        <f t="shared" si="78"/>
        <v>55.186820909821591</v>
      </c>
      <c r="AE83" s="339">
        <f t="shared" si="79"/>
        <v>-0.40492022661323973</v>
      </c>
      <c r="AF83" s="736" t="str">
        <f t="shared" si="50"/>
        <v>72.1507936991216-83.9604227243368i</v>
      </c>
      <c r="AG83" s="337">
        <f t="shared" si="80"/>
        <v>40.883164913823499</v>
      </c>
      <c r="AH83" s="730">
        <f t="shared" si="81"/>
        <v>-49.326118140539386</v>
      </c>
      <c r="AI83" s="360">
        <f t="shared" si="51"/>
        <v>130.67388185946061</v>
      </c>
      <c r="AL83" s="337">
        <f t="shared" si="52"/>
        <v>34.836707536645605</v>
      </c>
      <c r="AM83" s="730">
        <f t="shared" si="53"/>
        <v>-23.200220024419512</v>
      </c>
      <c r="AN83" s="351"/>
      <c r="AO83" s="337">
        <f t="shared" si="54"/>
        <v>59.575579862220032</v>
      </c>
      <c r="AP83" s="730">
        <f t="shared" si="55"/>
        <v>-26.125898116119888</v>
      </c>
      <c r="AS83" s="351"/>
      <c r="AT83" s="351"/>
      <c r="AV83" s="405">
        <f t="shared" si="56"/>
        <v>0</v>
      </c>
      <c r="AW83" s="405">
        <f t="shared" si="57"/>
        <v>0</v>
      </c>
      <c r="AX83" s="405">
        <f t="shared" si="58"/>
        <v>0</v>
      </c>
      <c r="AY83" s="405">
        <f t="shared" si="59"/>
        <v>0</v>
      </c>
    </row>
    <row r="84" spans="2:51" ht="13.5" thickBot="1" x14ac:dyDescent="0.25">
      <c r="B84" s="345">
        <v>691.83</v>
      </c>
      <c r="C84" s="728" t="str">
        <f t="shared" si="41"/>
        <v>2.2271548443541</v>
      </c>
      <c r="D84" s="728" t="str">
        <f t="shared" si="42"/>
        <v>1+0.528872357746369i</v>
      </c>
      <c r="E84" s="337">
        <f t="shared" si="61"/>
        <v>1.1312408986543065</v>
      </c>
      <c r="F84" s="338">
        <f t="shared" si="62"/>
        <v>0.48647781726774547</v>
      </c>
      <c r="G84" s="338" t="str">
        <f t="shared" si="43"/>
        <v>1+0.00217344804553302i</v>
      </c>
      <c r="H84" s="337">
        <f t="shared" si="63"/>
        <v>1.0000023619354139</v>
      </c>
      <c r="I84" s="338">
        <f t="shared" si="64"/>
        <v>2.1734446231760724E-3</v>
      </c>
      <c r="J84" s="340">
        <f t="shared" si="44"/>
        <v>1</v>
      </c>
      <c r="K84" s="338">
        <f t="shared" si="65"/>
        <v>1</v>
      </c>
      <c r="L84" s="339">
        <f t="shared" si="66"/>
        <v>0</v>
      </c>
      <c r="M84" s="731" t="str">
        <f t="shared" si="45"/>
        <v>0.99997872761116+0.00936949897006484i</v>
      </c>
      <c r="N84" s="338">
        <f t="shared" si="67"/>
        <v>1.00002262133703</v>
      </c>
      <c r="O84" s="339">
        <f t="shared" si="68"/>
        <v>9.3694241078765804E-3</v>
      </c>
      <c r="P84" s="732" t="str">
        <f t="shared" si="60"/>
        <v>1.73366097619258-0.932911465588158i</v>
      </c>
      <c r="Q84" s="337">
        <f t="shared" si="69"/>
        <v>1.968731617818654</v>
      </c>
      <c r="R84" s="339">
        <f t="shared" si="70"/>
        <v>-0.49367379675244488</v>
      </c>
      <c r="S84" s="731" t="str">
        <f t="shared" si="46"/>
        <v>6000</v>
      </c>
      <c r="T84" s="337" t="str">
        <f t="shared" si="47"/>
        <v>1+4390.36505197671i</v>
      </c>
      <c r="U84" s="346">
        <f t="shared" si="71"/>
        <v>4390.365165862454</v>
      </c>
      <c r="V84" s="347">
        <f t="shared" si="72"/>
        <v>1.5705685553064515</v>
      </c>
      <c r="W84" s="340" t="str">
        <f t="shared" si="48"/>
        <v>1+43.4689609106605i</v>
      </c>
      <c r="X84" s="337">
        <f t="shared" si="73"/>
        <v>43.480461849577104</v>
      </c>
      <c r="Y84" s="339">
        <f t="shared" si="74"/>
        <v>1.5477954630462274</v>
      </c>
      <c r="Z84" s="337" t="str">
        <f t="shared" si="49"/>
        <v>1+0.437882670645067i</v>
      </c>
      <c r="AA84" s="346">
        <f t="shared" si="75"/>
        <v>1.091669012682533</v>
      </c>
      <c r="AB84" s="347">
        <f t="shared" si="76"/>
        <v>0.412731588868477</v>
      </c>
      <c r="AC84" s="732" t="str">
        <f t="shared" si="77"/>
        <v>49.351108299517-22.9630930058473i</v>
      </c>
      <c r="AD84" s="337">
        <f t="shared" si="78"/>
        <v>54.431934843305442</v>
      </c>
      <c r="AE84" s="339">
        <f t="shared" si="79"/>
        <v>-0.43550468112870128</v>
      </c>
      <c r="AF84" s="736" t="str">
        <f t="shared" si="50"/>
        <v>64.1355578402042-85.8504330090205i</v>
      </c>
      <c r="AG84" s="337">
        <f t="shared" si="80"/>
        <v>40.600805763687937</v>
      </c>
      <c r="AH84" s="730">
        <f t="shared" si="81"/>
        <v>-53.238005196979579</v>
      </c>
      <c r="AI84" s="360">
        <f t="shared" si="51"/>
        <v>126.76199480302043</v>
      </c>
      <c r="AL84" s="337">
        <f t="shared" si="52"/>
        <v>34.717075441379571</v>
      </c>
      <c r="AM84" s="730">
        <f t="shared" si="53"/>
        <v>-24.952580186865291</v>
      </c>
      <c r="AN84" s="351"/>
      <c r="AO84" s="337">
        <f t="shared" si="54"/>
        <v>59.412852807350504</v>
      </c>
      <c r="AP84" s="730">
        <f t="shared" si="55"/>
        <v>-28.285425010114306</v>
      </c>
      <c r="AS84" s="351"/>
      <c r="AT84" s="351"/>
      <c r="AV84" s="405">
        <f t="shared" si="56"/>
        <v>0</v>
      </c>
      <c r="AW84" s="405">
        <f t="shared" si="57"/>
        <v>0</v>
      </c>
      <c r="AX84" s="405">
        <f t="shared" si="58"/>
        <v>0</v>
      </c>
      <c r="AY84" s="405">
        <f t="shared" si="59"/>
        <v>0</v>
      </c>
    </row>
    <row r="85" spans="2:51" ht="13.5" thickBot="1" x14ac:dyDescent="0.25">
      <c r="B85" s="345">
        <v>758.58</v>
      </c>
      <c r="C85" s="728" t="str">
        <f t="shared" si="41"/>
        <v>2.2271548443541</v>
      </c>
      <c r="D85" s="728" t="str">
        <f t="shared" si="42"/>
        <v>1+0.579899676422302i</v>
      </c>
      <c r="E85" s="337">
        <f t="shared" si="61"/>
        <v>1.1559773504332558</v>
      </c>
      <c r="F85" s="338">
        <f t="shared" si="62"/>
        <v>0.52550872026079176</v>
      </c>
      <c r="G85" s="338" t="str">
        <f t="shared" si="43"/>
        <v>1+0.00238314935516015i</v>
      </c>
      <c r="H85" s="337">
        <f t="shared" si="63"/>
        <v>1.0000028396963925</v>
      </c>
      <c r="I85" s="338">
        <f t="shared" si="64"/>
        <v>2.3831448435553673E-3</v>
      </c>
      <c r="J85" s="340">
        <f t="shared" si="44"/>
        <v>1</v>
      </c>
      <c r="K85" s="338">
        <f t="shared" si="65"/>
        <v>1</v>
      </c>
      <c r="L85" s="339">
        <f t="shared" si="66"/>
        <v>0</v>
      </c>
      <c r="M85" s="731" t="str">
        <f t="shared" si="45"/>
        <v>0.99997442472816+0.0102734985888322i</v>
      </c>
      <c r="N85" s="338">
        <f t="shared" si="67"/>
        <v>1.0000271970719943</v>
      </c>
      <c r="O85" s="339">
        <f t="shared" si="68"/>
        <v>1.0273399900201898E-2</v>
      </c>
      <c r="P85" s="732" t="str">
        <f t="shared" si="60"/>
        <v>1.6589600419143-0.979602600929168i</v>
      </c>
      <c r="Q85" s="337">
        <f t="shared" si="69"/>
        <v>1.9265953587651681</v>
      </c>
      <c r="R85" s="339">
        <f t="shared" si="70"/>
        <v>-0.53339897531743963</v>
      </c>
      <c r="S85" s="731" t="str">
        <f t="shared" si="46"/>
        <v>6000</v>
      </c>
      <c r="T85" s="337" t="str">
        <f t="shared" si="47"/>
        <v>1+4813.96169742349i</v>
      </c>
      <c r="U85" s="346">
        <f t="shared" si="71"/>
        <v>4813.9618012880446</v>
      </c>
      <c r="V85" s="347">
        <f t="shared" si="72"/>
        <v>1.5705885976835181</v>
      </c>
      <c r="W85" s="340" t="str">
        <f t="shared" si="48"/>
        <v>1+47.6629871032029i</v>
      </c>
      <c r="X85" s="337">
        <f t="shared" si="73"/>
        <v>47.673476269306036</v>
      </c>
      <c r="Y85" s="339">
        <f t="shared" si="74"/>
        <v>1.5498187639014254</v>
      </c>
      <c r="Z85" s="337" t="str">
        <f t="shared" si="49"/>
        <v>1+0.480131009493568i</v>
      </c>
      <c r="AA85" s="346">
        <f t="shared" si="75"/>
        <v>1.109290668074564</v>
      </c>
      <c r="AB85" s="347">
        <f t="shared" si="76"/>
        <v>0.44762644687177194</v>
      </c>
      <c r="AC85" s="732" t="str">
        <f t="shared" si="77"/>
        <v>47.79558418492-24.1821763735614i</v>
      </c>
      <c r="AD85" s="337">
        <f t="shared" si="78"/>
        <v>53.564872087402641</v>
      </c>
      <c r="AE85" s="339">
        <f t="shared" si="79"/>
        <v>-0.46839628065386429</v>
      </c>
      <c r="AF85" s="736" t="str">
        <f t="shared" si="50"/>
        <v>55.6020414710647-86.9379429107391i</v>
      </c>
      <c r="AG85" s="337">
        <f t="shared" si="80"/>
        <v>40.273411637560685</v>
      </c>
      <c r="AH85" s="730">
        <f t="shared" si="81"/>
        <v>-57.398640103383713</v>
      </c>
      <c r="AI85" s="360">
        <f t="shared" si="51"/>
        <v>122.60135989661629</v>
      </c>
      <c r="AL85" s="337">
        <f t="shared" si="52"/>
        <v>34.577601443141006</v>
      </c>
      <c r="AM85" s="730">
        <f t="shared" si="53"/>
        <v>-26.837130021091635</v>
      </c>
      <c r="AN85" s="351"/>
      <c r="AO85" s="337">
        <f t="shared" si="54"/>
        <v>59.224932679461801</v>
      </c>
      <c r="AP85" s="730">
        <f t="shared" si="55"/>
        <v>-30.561510082292042</v>
      </c>
      <c r="AS85" s="351"/>
      <c r="AT85" s="351"/>
      <c r="AV85" s="405">
        <f t="shared" si="56"/>
        <v>0</v>
      </c>
      <c r="AW85" s="405">
        <f t="shared" si="57"/>
        <v>0</v>
      </c>
      <c r="AX85" s="405">
        <f t="shared" si="58"/>
        <v>0</v>
      </c>
      <c r="AY85" s="405">
        <f t="shared" si="59"/>
        <v>0</v>
      </c>
    </row>
    <row r="86" spans="2:51" ht="13.5" thickBot="1" x14ac:dyDescent="0.25">
      <c r="B86" s="345">
        <v>831.76</v>
      </c>
      <c r="C86" s="728" t="str">
        <f t="shared" si="41"/>
        <v>2.2271548443541</v>
      </c>
      <c r="D86" s="728" t="str">
        <f t="shared" si="42"/>
        <v>1+0.635842435683796i</v>
      </c>
      <c r="E86" s="337">
        <f t="shared" si="61"/>
        <v>1.18502978992779</v>
      </c>
      <c r="F86" s="338">
        <f t="shared" si="62"/>
        <v>0.56635815769464048</v>
      </c>
      <c r="G86" s="338" t="str">
        <f t="shared" si="43"/>
        <v>1+0.00261305110554984i</v>
      </c>
      <c r="H86" s="337">
        <f t="shared" si="63"/>
        <v>1.0000034140122125</v>
      </c>
      <c r="I86" s="338">
        <f t="shared" si="64"/>
        <v>2.6130451582384623E-3</v>
      </c>
      <c r="J86" s="340">
        <f t="shared" si="44"/>
        <v>1</v>
      </c>
      <c r="K86" s="338">
        <f t="shared" si="65"/>
        <v>1</v>
      </c>
      <c r="L86" s="339">
        <f t="shared" si="66"/>
        <v>0</v>
      </c>
      <c r="M86" s="731" t="str">
        <f t="shared" si="45"/>
        <v>0.999969252235662+0.0112645801184411i</v>
      </c>
      <c r="N86" s="338">
        <f t="shared" si="67"/>
        <v>1.000032697556432</v>
      </c>
      <c r="O86" s="339">
        <f t="shared" si="68"/>
        <v>1.1264450025006714E-2</v>
      </c>
      <c r="P86" s="732" t="str">
        <f t="shared" si="60"/>
        <v>1.57712903601384-1.02207278133842i</v>
      </c>
      <c r="Q86" s="337">
        <f t="shared" si="69"/>
        <v>1.8793532841354756</v>
      </c>
      <c r="R86" s="339">
        <f t="shared" si="70"/>
        <v>-0.57500956256140923</v>
      </c>
      <c r="S86" s="731" t="str">
        <f t="shared" si="46"/>
        <v>6000</v>
      </c>
      <c r="T86" s="337" t="str">
        <f t="shared" si="47"/>
        <v>1+5278.36323321069i</v>
      </c>
      <c r="U86" s="346">
        <f t="shared" si="71"/>
        <v>5278.3633279370233</v>
      </c>
      <c r="V86" s="347">
        <f t="shared" si="72"/>
        <v>1.5706068741286336</v>
      </c>
      <c r="W86" s="340" t="str">
        <f t="shared" si="48"/>
        <v>1+52.2610221109969i</v>
      </c>
      <c r="X86" s="337">
        <f t="shared" si="73"/>
        <v>52.270588595175646</v>
      </c>
      <c r="Y86" s="339">
        <f t="shared" si="74"/>
        <v>1.5516639420732528</v>
      </c>
      <c r="Z86" s="337" t="str">
        <f t="shared" si="49"/>
        <v>1+0.526449113417661i</v>
      </c>
      <c r="AA86" s="346">
        <f t="shared" si="75"/>
        <v>1.1301100251826108</v>
      </c>
      <c r="AB86" s="347">
        <f t="shared" si="76"/>
        <v>0.48458232664883993</v>
      </c>
      <c r="AC86" s="732" t="str">
        <f t="shared" si="77"/>
        <v>46.0507512625363-25.3688385311893i</v>
      </c>
      <c r="AD86" s="337">
        <f t="shared" si="78"/>
        <v>52.576132039791055</v>
      </c>
      <c r="AE86" s="339">
        <f t="shared" si="79"/>
        <v>-0.50352525870422138</v>
      </c>
      <c r="AF86" s="736" t="str">
        <f t="shared" si="50"/>
        <v>46.6991775894991-87.0771512831096i</v>
      </c>
      <c r="AG86" s="337">
        <f t="shared" si="80"/>
        <v>39.895941193191959</v>
      </c>
      <c r="AH86" s="730">
        <f t="shared" si="81"/>
        <v>-61.795493316417215</v>
      </c>
      <c r="AI86" s="360">
        <f t="shared" si="51"/>
        <v>118.20450668358279</v>
      </c>
      <c r="AL86" s="337">
        <f t="shared" si="52"/>
        <v>34.415772648885358</v>
      </c>
      <c r="AM86" s="730">
        <f t="shared" si="53"/>
        <v>-28.849872201984805</v>
      </c>
      <c r="AN86" s="351"/>
      <c r="AO86" s="337">
        <f t="shared" si="54"/>
        <v>59.009291029348738</v>
      </c>
      <c r="AP86" s="730">
        <f t="shared" si="55"/>
        <v>-32.94562111443242</v>
      </c>
      <c r="AS86" s="351"/>
      <c r="AT86" s="351"/>
      <c r="AV86" s="405">
        <f t="shared" si="56"/>
        <v>0</v>
      </c>
      <c r="AW86" s="405">
        <f t="shared" si="57"/>
        <v>0</v>
      </c>
      <c r="AX86" s="405">
        <f t="shared" si="58"/>
        <v>0</v>
      </c>
      <c r="AY86" s="405">
        <f t="shared" si="59"/>
        <v>0</v>
      </c>
    </row>
    <row r="87" spans="2:51" ht="13.5" thickBot="1" x14ac:dyDescent="0.25">
      <c r="B87" s="345">
        <v>912.01</v>
      </c>
      <c r="C87" s="728" t="str">
        <f t="shared" si="41"/>
        <v>2.2271548443541</v>
      </c>
      <c r="D87" s="728" t="str">
        <f t="shared" si="42"/>
        <v>1+0.69718988622677i</v>
      </c>
      <c r="E87" s="337">
        <f t="shared" si="61"/>
        <v>1.2190462409018359</v>
      </c>
      <c r="F87" s="338">
        <f t="shared" si="62"/>
        <v>0.60883749109390495</v>
      </c>
      <c r="G87" s="338" t="str">
        <f t="shared" si="43"/>
        <v>1+0.00286516391600043i</v>
      </c>
      <c r="H87" s="337">
        <f t="shared" si="63"/>
        <v>1.0000041045737089</v>
      </c>
      <c r="I87" s="338">
        <f t="shared" si="64"/>
        <v>2.8651560758386355E-3</v>
      </c>
      <c r="J87" s="340">
        <f t="shared" si="44"/>
        <v>1</v>
      </c>
      <c r="K87" s="338">
        <f t="shared" si="65"/>
        <v>1</v>
      </c>
      <c r="L87" s="339">
        <f t="shared" si="66"/>
        <v>0</v>
      </c>
      <c r="M87" s="731" t="str">
        <f t="shared" si="45"/>
        <v>0.999963032789329+0.0123514111207794i</v>
      </c>
      <c r="N87" s="338">
        <f t="shared" si="67"/>
        <v>1.0000393113782613</v>
      </c>
      <c r="O87" s="339">
        <f t="shared" si="68"/>
        <v>1.2351239623166879E-2</v>
      </c>
      <c r="P87" s="732" t="str">
        <f t="shared" si="60"/>
        <v>1.48865255043143-1.05899941856675i</v>
      </c>
      <c r="Q87" s="337">
        <f t="shared" si="69"/>
        <v>1.8269007045898022</v>
      </c>
      <c r="R87" s="339">
        <f t="shared" si="70"/>
        <v>-0.61832357464123533</v>
      </c>
      <c r="S87" s="731" t="str">
        <f t="shared" si="46"/>
        <v>6000</v>
      </c>
      <c r="T87" s="337" t="str">
        <f t="shared" si="47"/>
        <v>1+5787.63111032086i</v>
      </c>
      <c r="U87" s="346">
        <f t="shared" si="71"/>
        <v>5787.6311967119909</v>
      </c>
      <c r="V87" s="347">
        <f t="shared" si="72"/>
        <v>1.5706235445337284</v>
      </c>
      <c r="W87" s="340" t="str">
        <f t="shared" si="48"/>
        <v>1+57.3032783200085i</v>
      </c>
      <c r="X87" s="337">
        <f t="shared" si="73"/>
        <v>57.312003160074205</v>
      </c>
      <c r="Y87" s="339">
        <f t="shared" si="74"/>
        <v>1.5533470894162913</v>
      </c>
      <c r="Z87" s="337" t="str">
        <f t="shared" si="49"/>
        <v>1+0.577242060123162i</v>
      </c>
      <c r="AA87" s="346">
        <f t="shared" si="75"/>
        <v>1.1546464376488728</v>
      </c>
      <c r="AB87" s="347">
        <f t="shared" si="76"/>
        <v>0.5235176149957762</v>
      </c>
      <c r="AC87" s="732" t="str">
        <f t="shared" si="77"/>
        <v>44.1143485019464-26.4910866640928i</v>
      </c>
      <c r="AD87" s="337">
        <f t="shared" si="78"/>
        <v>51.457297017970696</v>
      </c>
      <c r="AE87" s="339">
        <f t="shared" si="79"/>
        <v>-0.5407940701132129</v>
      </c>
      <c r="AF87" s="736" t="str">
        <f t="shared" si="50"/>
        <v>37.6168920335678-86.153093140214i</v>
      </c>
      <c r="AG87" s="337">
        <f t="shared" si="80"/>
        <v>39.463238257283855</v>
      </c>
      <c r="AH87" s="730">
        <f t="shared" si="81"/>
        <v>-66.412549003574142</v>
      </c>
      <c r="AI87" s="360">
        <f t="shared" si="51"/>
        <v>113.58745099642586</v>
      </c>
      <c r="AL87" s="337">
        <f t="shared" si="52"/>
        <v>34.228939391466</v>
      </c>
      <c r="AM87" s="730">
        <f t="shared" si="53"/>
        <v>-30.98521780318903</v>
      </c>
      <c r="AN87" s="351"/>
      <c r="AO87" s="337">
        <f t="shared" si="54"/>
        <v>58.763421350859993</v>
      </c>
      <c r="AP87" s="730">
        <f t="shared" si="55"/>
        <v>-35.427331200385133</v>
      </c>
      <c r="AS87" s="351"/>
      <c r="AT87" s="351"/>
      <c r="AV87" s="405">
        <f t="shared" si="56"/>
        <v>0</v>
      </c>
      <c r="AW87" s="405">
        <f t="shared" si="57"/>
        <v>0</v>
      </c>
      <c r="AX87" s="405">
        <f t="shared" si="58"/>
        <v>0</v>
      </c>
      <c r="AY87" s="405">
        <f t="shared" si="59"/>
        <v>0</v>
      </c>
    </row>
    <row r="88" spans="2:51" ht="13.5" thickBot="1" x14ac:dyDescent="0.25">
      <c r="B88" s="345">
        <v>1000</v>
      </c>
      <c r="C88" s="728" t="str">
        <f t="shared" si="41"/>
        <v>2.2271548443541</v>
      </c>
      <c r="D88" s="728" t="str">
        <f t="shared" si="42"/>
        <v>1+0.764454212373517i</v>
      </c>
      <c r="E88" s="337">
        <f t="shared" si="61"/>
        <v>1.2587256423921831</v>
      </c>
      <c r="F88" s="338">
        <f t="shared" si="62"/>
        <v>0.65268780695865114</v>
      </c>
      <c r="G88" s="338" t="str">
        <f t="shared" si="43"/>
        <v>1+0.0031415926535898i</v>
      </c>
      <c r="H88" s="337">
        <f t="shared" si="63"/>
        <v>1.0000049347900244</v>
      </c>
      <c r="I88" s="338">
        <f t="shared" si="64"/>
        <v>3.1415823182254434E-3</v>
      </c>
      <c r="J88" s="340">
        <f t="shared" si="44"/>
        <v>1</v>
      </c>
      <c r="K88" s="338">
        <f t="shared" si="65"/>
        <v>1</v>
      </c>
      <c r="L88" s="339">
        <f t="shared" si="66"/>
        <v>0</v>
      </c>
      <c r="M88" s="731" t="str">
        <f t="shared" si="45"/>
        <v>0.999955555555556+0.0135430654496984i</v>
      </c>
      <c r="N88" s="338">
        <f t="shared" si="67"/>
        <v>1.0000472627372148</v>
      </c>
      <c r="O88" s="339">
        <f t="shared" si="68"/>
        <v>1.3542839372447839E-2</v>
      </c>
      <c r="P88" s="732" t="str">
        <f t="shared" si="60"/>
        <v>1.39437392202211-1.08909883018728i</v>
      </c>
      <c r="Q88" s="337">
        <f t="shared" si="69"/>
        <v>1.769297854045673</v>
      </c>
      <c r="R88" s="339">
        <f t="shared" si="70"/>
        <v>-0.66308906401287138</v>
      </c>
      <c r="S88" s="731" t="str">
        <f t="shared" si="46"/>
        <v>6000</v>
      </c>
      <c r="T88" s="337" t="str">
        <f t="shared" si="47"/>
        <v>1+6346.01716025139i</v>
      </c>
      <c r="U88" s="346">
        <f t="shared" si="71"/>
        <v>6346.0172390409662</v>
      </c>
      <c r="V88" s="347">
        <f t="shared" si="72"/>
        <v>1.5706387476446249</v>
      </c>
      <c r="W88" s="340" t="str">
        <f t="shared" si="48"/>
        <v>1+62.8318530717959i</v>
      </c>
      <c r="X88" s="337">
        <f t="shared" si="73"/>
        <v>62.839810315084087</v>
      </c>
      <c r="Y88" s="339">
        <f t="shared" si="74"/>
        <v>1.5548821760954434</v>
      </c>
      <c r="Z88" s="337" t="str">
        <f t="shared" si="49"/>
        <v>1+0.632933915333344i</v>
      </c>
      <c r="AA88" s="346">
        <f t="shared" si="75"/>
        <v>1.1834717323109989</v>
      </c>
      <c r="AB88" s="347">
        <f t="shared" si="76"/>
        <v>0.56428426987437508</v>
      </c>
      <c r="AC88" s="732" t="str">
        <f t="shared" si="77"/>
        <v>41.9915505366568-27.5139902405788i</v>
      </c>
      <c r="AD88" s="337">
        <f t="shared" si="78"/>
        <v>50.202688926304212</v>
      </c>
      <c r="AE88" s="339">
        <f t="shared" si="79"/>
        <v>-0.58004084142355683</v>
      </c>
      <c r="AF88" s="736" t="str">
        <f t="shared" si="50"/>
        <v>28.5864684287892-84.0977390494569i</v>
      </c>
      <c r="AG88" s="337">
        <f t="shared" si="80"/>
        <v>38.970558598996526</v>
      </c>
      <c r="AH88" s="730">
        <f t="shared" si="81"/>
        <v>-71.226096968004455</v>
      </c>
      <c r="AI88" s="360">
        <f t="shared" si="51"/>
        <v>108.77390303199554</v>
      </c>
      <c r="AL88" s="337">
        <f t="shared" si="52"/>
        <v>34.014539583769505</v>
      </c>
      <c r="AM88" s="730">
        <f t="shared" si="53"/>
        <v>-33.233892158786858</v>
      </c>
      <c r="AN88" s="351"/>
      <c r="AO88" s="337">
        <f t="shared" si="54"/>
        <v>58.485141500269158</v>
      </c>
      <c r="AP88" s="730">
        <f t="shared" si="55"/>
        <v>-37.992204809217618</v>
      </c>
      <c r="AS88" s="351"/>
      <c r="AT88" s="351"/>
      <c r="AV88" s="405">
        <f t="shared" si="56"/>
        <v>0</v>
      </c>
      <c r="AW88" s="405">
        <f t="shared" si="57"/>
        <v>0</v>
      </c>
      <c r="AX88" s="405">
        <f t="shared" si="58"/>
        <v>0</v>
      </c>
      <c r="AY88" s="405">
        <f t="shared" si="59"/>
        <v>0</v>
      </c>
    </row>
    <row r="89" spans="2:51" ht="13.5" thickBot="1" x14ac:dyDescent="0.25">
      <c r="B89" s="345">
        <v>1096.5</v>
      </c>
      <c r="C89" s="728" t="str">
        <f t="shared" si="41"/>
        <v>2.2271548443541</v>
      </c>
      <c r="D89" s="728" t="str">
        <f t="shared" si="42"/>
        <v>1+0.838224043867561i</v>
      </c>
      <c r="E89" s="337">
        <f t="shared" si="61"/>
        <v>1.3048446450507765</v>
      </c>
      <c r="F89" s="338">
        <f t="shared" si="62"/>
        <v>0.69761766349439569</v>
      </c>
      <c r="G89" s="338" t="str">
        <f t="shared" si="43"/>
        <v>1+0.00344475634466121i</v>
      </c>
      <c r="H89" s="337">
        <f t="shared" si="63"/>
        <v>1.0000059331555358</v>
      </c>
      <c r="I89" s="338">
        <f t="shared" si="64"/>
        <v>3.4447427192010154E-3</v>
      </c>
      <c r="J89" s="340">
        <f t="shared" si="44"/>
        <v>1</v>
      </c>
      <c r="K89" s="338">
        <f t="shared" si="65"/>
        <v>1</v>
      </c>
      <c r="L89" s="339">
        <f t="shared" si="66"/>
        <v>0</v>
      </c>
      <c r="M89" s="731" t="str">
        <f t="shared" si="45"/>
        <v>0.9999465639+0.0148499712655943i</v>
      </c>
      <c r="N89" s="338">
        <f t="shared" si="67"/>
        <v>1.0000568245364891</v>
      </c>
      <c r="O89" s="339">
        <f t="shared" si="68"/>
        <v>1.4849673221948552E-2</v>
      </c>
      <c r="P89" s="732" t="str">
        <f t="shared" si="60"/>
        <v>1.2954196787144-1.11125062460066i</v>
      </c>
      <c r="Q89" s="337">
        <f t="shared" si="69"/>
        <v>1.7067483981758633</v>
      </c>
      <c r="R89" s="339">
        <f t="shared" si="70"/>
        <v>-0.70902259399714296</v>
      </c>
      <c r="S89" s="731" t="str">
        <f t="shared" si="46"/>
        <v>6000</v>
      </c>
      <c r="T89" s="337" t="str">
        <f t="shared" si="47"/>
        <v>1+6958.40781621564i</v>
      </c>
      <c r="U89" s="346">
        <f t="shared" si="71"/>
        <v>6958.4078880711586</v>
      </c>
      <c r="V89" s="347">
        <f t="shared" si="72"/>
        <v>1.5706526157593368</v>
      </c>
      <c r="W89" s="340" t="str">
        <f t="shared" si="48"/>
        <v>1+68.8951268932242i</v>
      </c>
      <c r="X89" s="337">
        <f t="shared" si="73"/>
        <v>68.90238391836283</v>
      </c>
      <c r="Y89" s="339">
        <f t="shared" si="74"/>
        <v>1.5562825313009074</v>
      </c>
      <c r="Z89" s="337" t="str">
        <f t="shared" si="49"/>
        <v>1+0.694012038163011i</v>
      </c>
      <c r="AA89" s="346">
        <f t="shared" si="75"/>
        <v>1.2172315757961494</v>
      </c>
      <c r="AB89" s="347">
        <f t="shared" si="76"/>
        <v>0.60669588264290208</v>
      </c>
      <c r="AC89" s="732" t="str">
        <f t="shared" si="77"/>
        <v>39.6945686259646-28.4022373884701i</v>
      </c>
      <c r="AD89" s="337">
        <f t="shared" si="78"/>
        <v>48.809280542458538</v>
      </c>
      <c r="AE89" s="339">
        <f t="shared" si="79"/>
        <v>-0.62106596710133044</v>
      </c>
      <c r="AF89" s="736" t="str">
        <f t="shared" si="50"/>
        <v>19.8591212981601-80.903431411399i</v>
      </c>
      <c r="AG89" s="337">
        <f t="shared" si="80"/>
        <v>38.413438201067549</v>
      </c>
      <c r="AH89" s="730">
        <f t="shared" si="81"/>
        <v>-76.208460929571089</v>
      </c>
      <c r="AI89" s="360">
        <f t="shared" si="51"/>
        <v>103.79153907042891</v>
      </c>
      <c r="AL89" s="337">
        <f t="shared" si="52"/>
        <v>33.770048122504306</v>
      </c>
      <c r="AM89" s="730">
        <f t="shared" si="53"/>
        <v>-35.584458714117069</v>
      </c>
      <c r="AN89" s="351"/>
      <c r="AO89" s="337">
        <f t="shared" si="54"/>
        <v>58.172512563605366</v>
      </c>
      <c r="AP89" s="730">
        <f t="shared" si="55"/>
        <v>-40.624002215454027</v>
      </c>
      <c r="AS89" s="351"/>
      <c r="AT89" s="351"/>
      <c r="AV89" s="405">
        <f t="shared" si="56"/>
        <v>0</v>
      </c>
      <c r="AW89" s="405">
        <f t="shared" si="57"/>
        <v>0</v>
      </c>
      <c r="AX89" s="405">
        <f t="shared" si="58"/>
        <v>0</v>
      </c>
      <c r="AY89" s="405">
        <f t="shared" si="59"/>
        <v>0</v>
      </c>
    </row>
    <row r="90" spans="2:51" ht="13.5" thickBot="1" x14ac:dyDescent="0.25">
      <c r="B90" s="345">
        <v>1202.3</v>
      </c>
      <c r="C90" s="728" t="str">
        <f t="shared" si="41"/>
        <v>2.2271548443541</v>
      </c>
      <c r="D90" s="728" t="str">
        <f t="shared" si="42"/>
        <v>1+0.919103299536679i</v>
      </c>
      <c r="E90" s="337">
        <f t="shared" si="61"/>
        <v>1.3582160635256859</v>
      </c>
      <c r="F90" s="338">
        <f t="shared" si="62"/>
        <v>0.74326971925654128</v>
      </c>
      <c r="G90" s="338" t="str">
        <f t="shared" si="43"/>
        <v>1+0.00377713684741101i</v>
      </c>
      <c r="H90" s="337">
        <f t="shared" si="63"/>
        <v>1.0000071333559397</v>
      </c>
      <c r="I90" s="338">
        <f t="shared" si="64"/>
        <v>3.7771188850596587E-3</v>
      </c>
      <c r="J90" s="340">
        <f t="shared" si="44"/>
        <v>1</v>
      </c>
      <c r="K90" s="338">
        <f t="shared" si="65"/>
        <v>1</v>
      </c>
      <c r="L90" s="339">
        <f t="shared" si="66"/>
        <v>0</v>
      </c>
      <c r="M90" s="731" t="str">
        <f t="shared" si="45"/>
        <v>0.999935754431556+0.0162828275901724i</v>
      </c>
      <c r="N90" s="338">
        <f t="shared" si="67"/>
        <v>1.0000683193986981</v>
      </c>
      <c r="O90" s="339">
        <f t="shared" si="68"/>
        <v>1.628243468385682E-2</v>
      </c>
      <c r="P90" s="732" t="str">
        <f t="shared" si="60"/>
        <v>1.19324973128969-1.12456861000767i</v>
      </c>
      <c r="Q90" s="337">
        <f t="shared" si="69"/>
        <v>1.6396644412310404</v>
      </c>
      <c r="R90" s="339">
        <f t="shared" si="70"/>
        <v>-0.75577503505533583</v>
      </c>
      <c r="S90" s="731" t="str">
        <f t="shared" si="46"/>
        <v>6000</v>
      </c>
      <c r="T90" s="337" t="str">
        <f t="shared" si="47"/>
        <v>1+7629.81643177024i</v>
      </c>
      <c r="U90" s="346">
        <f t="shared" si="71"/>
        <v>7629.8164973026169</v>
      </c>
      <c r="V90" s="347">
        <f t="shared" si="72"/>
        <v>1.570665262043442</v>
      </c>
      <c r="W90" s="340" t="str">
        <f t="shared" si="48"/>
        <v>1+75.5427369482202i</v>
      </c>
      <c r="X90" s="337">
        <f t="shared" si="73"/>
        <v>75.549355428276115</v>
      </c>
      <c r="Y90" s="339">
        <f t="shared" si="74"/>
        <v>1.5575595599564855</v>
      </c>
      <c r="Z90" s="337" t="str">
        <f t="shared" si="49"/>
        <v>1+0.760976446405279i</v>
      </c>
      <c r="AA90" s="346">
        <f t="shared" si="75"/>
        <v>1.2566165493035679</v>
      </c>
      <c r="AB90" s="347">
        <f t="shared" si="76"/>
        <v>0.65048910254244408</v>
      </c>
      <c r="AC90" s="732" t="str">
        <f t="shared" si="77"/>
        <v>37.2453280451363-29.1214198559587i</v>
      </c>
      <c r="AD90" s="337">
        <f t="shared" si="78"/>
        <v>47.278658564058709</v>
      </c>
      <c r="AE90" s="339">
        <f t="shared" si="79"/>
        <v>-0.66359480462940001</v>
      </c>
      <c r="AF90" s="736" t="str">
        <f t="shared" si="50"/>
        <v>11.69394303279-76.6340532068956i</v>
      </c>
      <c r="AG90" s="337">
        <f t="shared" si="80"/>
        <v>37.788402484349646</v>
      </c>
      <c r="AH90" s="730">
        <f t="shared" si="81"/>
        <v>-81.323901382095642</v>
      </c>
      <c r="AI90" s="360">
        <f t="shared" si="51"/>
        <v>98.676098617904358</v>
      </c>
      <c r="AL90" s="337">
        <f t="shared" si="52"/>
        <v>33.493302916477603</v>
      </c>
      <c r="AM90" s="730">
        <f t="shared" si="53"/>
        <v>-38.021181612073043</v>
      </c>
      <c r="AN90" s="351"/>
      <c r="AO90" s="337">
        <f t="shared" si="54"/>
        <v>57.824222052914173</v>
      </c>
      <c r="AP90" s="730">
        <f t="shared" si="55"/>
        <v>-43.302719770022598</v>
      </c>
      <c r="AS90" s="351"/>
      <c r="AT90" s="351"/>
      <c r="AV90" s="405">
        <f t="shared" si="56"/>
        <v>0</v>
      </c>
      <c r="AW90" s="405">
        <f t="shared" ref="AW90:AW153" si="82">IF(AV90&gt;0,AI90,0)</f>
        <v>0</v>
      </c>
      <c r="AX90" s="405">
        <f t="shared" si="58"/>
        <v>0</v>
      </c>
      <c r="AY90" s="405">
        <f t="shared" si="59"/>
        <v>0</v>
      </c>
    </row>
    <row r="91" spans="2:51" ht="13.5" thickBot="1" x14ac:dyDescent="0.25">
      <c r="B91" s="345">
        <v>1318.3</v>
      </c>
      <c r="C91" s="728" t="str">
        <f t="shared" si="41"/>
        <v>2.2271548443541</v>
      </c>
      <c r="D91" s="728" t="str">
        <f t="shared" si="42"/>
        <v>1+1.00777998817201i</v>
      </c>
      <c r="E91" s="337">
        <f t="shared" si="61"/>
        <v>1.4197255032434886</v>
      </c>
      <c r="F91" s="338">
        <f t="shared" si="62"/>
        <v>0.78927306467115654</v>
      </c>
      <c r="G91" s="338" t="str">
        <f t="shared" si="43"/>
        <v>1+0.00414156159522742i</v>
      </c>
      <c r="H91" s="337">
        <f t="shared" si="63"/>
        <v>1.0000085762294477</v>
      </c>
      <c r="I91" s="338">
        <f t="shared" si="64"/>
        <v>4.1415379160478997E-3</v>
      </c>
      <c r="J91" s="340">
        <f t="shared" si="44"/>
        <v>1</v>
      </c>
      <c r="K91" s="338">
        <f t="shared" si="65"/>
        <v>1</v>
      </c>
      <c r="L91" s="339">
        <f t="shared" si="66"/>
        <v>0</v>
      </c>
      <c r="M91" s="731" t="str">
        <f t="shared" si="45"/>
        <v>0.999922759338222+0.0178538231823374i</v>
      </c>
      <c r="N91" s="338">
        <f t="shared" si="67"/>
        <v>1.0000821384490324</v>
      </c>
      <c r="O91" s="339">
        <f t="shared" si="68"/>
        <v>1.7853305230917303E-2</v>
      </c>
      <c r="P91" s="732" t="str">
        <f t="shared" si="60"/>
        <v>1.08949531050503-1.12850659700971i</v>
      </c>
      <c r="Q91" s="337">
        <f t="shared" si="69"/>
        <v>1.5686067611440695</v>
      </c>
      <c r="R91" s="339">
        <f t="shared" si="70"/>
        <v>-0.80298483198602222</v>
      </c>
      <c r="S91" s="731" t="str">
        <f t="shared" si="46"/>
        <v>6000</v>
      </c>
      <c r="T91" s="337" t="str">
        <f t="shared" si="47"/>
        <v>1+8365.9544223594i</v>
      </c>
      <c r="U91" s="346">
        <f t="shared" si="71"/>
        <v>8365.9544821254422</v>
      </c>
      <c r="V91" s="347">
        <f t="shared" si="72"/>
        <v>1.570676794707492</v>
      </c>
      <c r="W91" s="340" t="str">
        <f t="shared" si="48"/>
        <v>1+82.8312319045485i</v>
      </c>
      <c r="X91" s="337">
        <f t="shared" si="73"/>
        <v>82.837268055055347</v>
      </c>
      <c r="Y91" s="339">
        <f t="shared" si="74"/>
        <v>1.5587241723965446</v>
      </c>
      <c r="Z91" s="337" t="str">
        <f t="shared" si="49"/>
        <v>1+0.834396780583947i</v>
      </c>
      <c r="AA91" s="346">
        <f t="shared" si="75"/>
        <v>1.3023893378897324</v>
      </c>
      <c r="AB91" s="347">
        <f t="shared" si="76"/>
        <v>0.69536555625609842</v>
      </c>
      <c r="AC91" s="732" t="str">
        <f t="shared" si="77"/>
        <v>34.6733307639125-29.641407163112i</v>
      </c>
      <c r="AD91" s="337">
        <f t="shared" si="78"/>
        <v>45.616366414622163</v>
      </c>
      <c r="AE91" s="339">
        <f t="shared" si="79"/>
        <v>-0.70731817856704626</v>
      </c>
      <c r="AF91" s="736" t="str">
        <f t="shared" si="50"/>
        <v>4.3259077386497-71.4232566083557i</v>
      </c>
      <c r="AG91" s="337">
        <f t="shared" si="80"/>
        <v>37.092695421449427</v>
      </c>
      <c r="AH91" s="730">
        <f t="shared" si="81"/>
        <v>-86.533988290593044</v>
      </c>
      <c r="AI91" s="360">
        <f t="shared" si="51"/>
        <v>93.466011709406956</v>
      </c>
      <c r="AL91" s="337">
        <f t="shared" si="52"/>
        <v>33.182413769217106</v>
      </c>
      <c r="AM91" s="730">
        <f t="shared" si="53"/>
        <v>-40.526346404772475</v>
      </c>
      <c r="AN91" s="351"/>
      <c r="AO91" s="337">
        <f t="shared" si="54"/>
        <v>57.439404137274465</v>
      </c>
      <c r="AP91" s="730">
        <f t="shared" si="55"/>
        <v>-46.007641885820554</v>
      </c>
      <c r="AS91" s="351"/>
      <c r="AT91" s="351"/>
      <c r="AV91" s="405">
        <f t="shared" si="56"/>
        <v>0</v>
      </c>
      <c r="AW91" s="405">
        <f t="shared" si="82"/>
        <v>0</v>
      </c>
      <c r="AX91" s="405">
        <f t="shared" si="58"/>
        <v>0</v>
      </c>
      <c r="AY91" s="405">
        <f t="shared" si="59"/>
        <v>0</v>
      </c>
    </row>
    <row r="92" spans="2:51" ht="13.5" thickBot="1" x14ac:dyDescent="0.25">
      <c r="B92" s="345">
        <v>1445.4</v>
      </c>
      <c r="C92" s="728" t="str">
        <f t="shared" si="41"/>
        <v>2.2271548443541</v>
      </c>
      <c r="D92" s="728" t="str">
        <f t="shared" si="42"/>
        <v>1+1.10494211856468i</v>
      </c>
      <c r="E92" s="337">
        <f t="shared" si="61"/>
        <v>1.4902674543108707</v>
      </c>
      <c r="F92" s="338">
        <f t="shared" si="62"/>
        <v>0.83521202830770347</v>
      </c>
      <c r="G92" s="338" t="str">
        <f t="shared" si="43"/>
        <v>1+0.00454085802149868i</v>
      </c>
      <c r="H92" s="337">
        <f t="shared" si="63"/>
        <v>1.0000103096426414</v>
      </c>
      <c r="I92" s="338">
        <f t="shared" si="64"/>
        <v>4.54082681197492E-3</v>
      </c>
      <c r="J92" s="340">
        <f t="shared" si="44"/>
        <v>1</v>
      </c>
      <c r="K92" s="338">
        <f t="shared" si="65"/>
        <v>1</v>
      </c>
      <c r="L92" s="339">
        <f t="shared" si="66"/>
        <v>0</v>
      </c>
      <c r="M92" s="731" t="str">
        <f t="shared" si="45"/>
        <v>0.999907147504+0.0195751468009941i</v>
      </c>
      <c r="N92" s="338">
        <f t="shared" si="67"/>
        <v>1.000098740126127</v>
      </c>
      <c r="O92" s="339">
        <f t="shared" si="68"/>
        <v>1.9574464139539744E-2</v>
      </c>
      <c r="P92" s="732" t="str">
        <f t="shared" si="60"/>
        <v>0.985959685564017-1.12290640033489i</v>
      </c>
      <c r="Q92" s="337">
        <f t="shared" si="69"/>
        <v>1.4943343954652708</v>
      </c>
      <c r="R92" s="339">
        <f t="shared" si="70"/>
        <v>-0.8502456656352676</v>
      </c>
      <c r="S92" s="731" t="str">
        <f t="shared" si="46"/>
        <v>6000</v>
      </c>
      <c r="T92" s="337" t="str">
        <f t="shared" si="47"/>
        <v>1+9172.53320342735i</v>
      </c>
      <c r="U92" s="346">
        <f t="shared" si="71"/>
        <v>9172.5332579379174</v>
      </c>
      <c r="V92" s="347">
        <f t="shared" si="72"/>
        <v>1.5706873056582205</v>
      </c>
      <c r="W92" s="340" t="str">
        <f t="shared" si="48"/>
        <v>1+90.8171604299737i</v>
      </c>
      <c r="X92" s="337">
        <f t="shared" si="73"/>
        <v>90.822665830527015</v>
      </c>
      <c r="Y92" s="339">
        <f t="shared" si="74"/>
        <v>1.5597856369299492</v>
      </c>
      <c r="Z92" s="337" t="str">
        <f t="shared" si="49"/>
        <v>1+0.914842681222814i</v>
      </c>
      <c r="AA92" s="346">
        <f t="shared" si="75"/>
        <v>1.3553365380550129</v>
      </c>
      <c r="AB92" s="347">
        <f t="shared" si="76"/>
        <v>0.74095522019757409</v>
      </c>
      <c r="AC92" s="732" t="str">
        <f t="shared" si="77"/>
        <v>32.0171616377117-29.9383163095452i</v>
      </c>
      <c r="AD92" s="337">
        <f t="shared" si="78"/>
        <v>43.833793159909604</v>
      </c>
      <c r="AE92" s="339">
        <f t="shared" si="79"/>
        <v>-0.75185688892584712</v>
      </c>
      <c r="AF92" s="736" t="str">
        <f t="shared" si="50"/>
        <v>-2.0502963782682-65.4702486584185i</v>
      </c>
      <c r="AG92" s="337">
        <f t="shared" si="80"/>
        <v>36.32513693619822</v>
      </c>
      <c r="AH92" s="730">
        <f t="shared" si="81"/>
        <v>-91.793714723479567</v>
      </c>
      <c r="AI92" s="360">
        <f t="shared" si="51"/>
        <v>88.206285276520433</v>
      </c>
      <c r="AL92" s="337">
        <f t="shared" si="52"/>
        <v>32.83618107958111</v>
      </c>
      <c r="AM92" s="730">
        <f t="shared" si="53"/>
        <v>-43.078226533287364</v>
      </c>
      <c r="AN92" s="351"/>
      <c r="AO92" s="337">
        <f t="shared" si="54"/>
        <v>57.018078341659248</v>
      </c>
      <c r="AP92" s="730">
        <f t="shared" si="55"/>
        <v>-48.715488190192183</v>
      </c>
      <c r="AS92" s="351"/>
      <c r="AT92" s="351"/>
      <c r="AV92" s="405">
        <f t="shared" si="56"/>
        <v>0</v>
      </c>
      <c r="AW92" s="405">
        <f t="shared" si="82"/>
        <v>0</v>
      </c>
      <c r="AX92" s="405">
        <f t="shared" si="58"/>
        <v>0</v>
      </c>
      <c r="AY92" s="405">
        <f t="shared" si="59"/>
        <v>0</v>
      </c>
    </row>
    <row r="93" spans="2:51" ht="13.5" thickBot="1" x14ac:dyDescent="0.25">
      <c r="B93" s="345">
        <v>1584.9</v>
      </c>
      <c r="C93" s="728" t="str">
        <f t="shared" si="41"/>
        <v>2.2271548443541</v>
      </c>
      <c r="D93" s="728" t="str">
        <f t="shared" si="42"/>
        <v>1+1.21158348119079i</v>
      </c>
      <c r="E93" s="337">
        <f t="shared" si="61"/>
        <v>1.5709661141776396</v>
      </c>
      <c r="F93" s="338">
        <f t="shared" si="62"/>
        <v>0.88077845253714748</v>
      </c>
      <c r="G93" s="338" t="str">
        <f t="shared" si="43"/>
        <v>1+0.00497911019667447i</v>
      </c>
      <c r="H93" s="337">
        <f t="shared" si="63"/>
        <v>1.0000123956923488</v>
      </c>
      <c r="I93" s="338">
        <f t="shared" si="64"/>
        <v>4.9790690506860474E-3</v>
      </c>
      <c r="J93" s="340">
        <f t="shared" si="44"/>
        <v>1</v>
      </c>
      <c r="K93" s="338">
        <f t="shared" si="65"/>
        <v>1</v>
      </c>
      <c r="L93" s="339">
        <f t="shared" si="66"/>
        <v>0</v>
      </c>
      <c r="M93" s="731" t="str">
        <f t="shared" si="45"/>
        <v>0.999888359644+0.021464404431227i</v>
      </c>
      <c r="N93" s="338">
        <f t="shared" si="67"/>
        <v>1.000118719157459</v>
      </c>
      <c r="O93" s="339">
        <f t="shared" si="68"/>
        <v>2.1463504434852822E-2</v>
      </c>
      <c r="P93" s="732" t="str">
        <f t="shared" si="60"/>
        <v>0.884197247066491-1.10798660322159i</v>
      </c>
      <c r="Q93" s="337">
        <f t="shared" si="69"/>
        <v>1.4175468544772967</v>
      </c>
      <c r="R93" s="339">
        <f t="shared" si="70"/>
        <v>-0.89726288792131337</v>
      </c>
      <c r="S93" s="731" t="str">
        <f t="shared" si="46"/>
        <v>6000</v>
      </c>
      <c r="T93" s="337" t="str">
        <f t="shared" si="47"/>
        <v>1+10057.8025972824i</v>
      </c>
      <c r="U93" s="346">
        <f t="shared" si="71"/>
        <v>10057.802646995047</v>
      </c>
      <c r="V93" s="347">
        <f t="shared" si="72"/>
        <v>1.5706969014992584</v>
      </c>
      <c r="W93" s="340" t="str">
        <f t="shared" si="48"/>
        <v>1+99.5822039334893i</v>
      </c>
      <c r="X93" s="337">
        <f t="shared" si="73"/>
        <v>99.587224784362036</v>
      </c>
      <c r="Y93" s="339">
        <f t="shared" si="74"/>
        <v>1.5607547094283825</v>
      </c>
      <c r="Z93" s="337" t="str">
        <f t="shared" si="49"/>
        <v>1+1.00313696241182i</v>
      </c>
      <c r="AA93" s="346">
        <f t="shared" si="75"/>
        <v>1.4164334666184688</v>
      </c>
      <c r="AB93" s="347">
        <f t="shared" si="76"/>
        <v>0.78696418704250604</v>
      </c>
      <c r="AC93" s="732" t="str">
        <f t="shared" si="77"/>
        <v>29.314647402232-29.9972516659788i</v>
      </c>
      <c r="AD93" s="337">
        <f t="shared" si="78"/>
        <v>41.942623425690186</v>
      </c>
      <c r="AE93" s="339">
        <f t="shared" si="79"/>
        <v>-0.79690637911338402</v>
      </c>
      <c r="AF93" s="736" t="str">
        <f t="shared" si="50"/>
        <v>-7.31662244759264-59.0037239424568i</v>
      </c>
      <c r="AG93" s="337">
        <f t="shared" si="80"/>
        <v>35.483860276887206</v>
      </c>
      <c r="AH93" s="730">
        <f t="shared" si="81"/>
        <v>-97.068748781860322</v>
      </c>
      <c r="AI93" s="360">
        <f t="shared" si="51"/>
        <v>82.931251218139678</v>
      </c>
      <c r="AL93" s="337">
        <f t="shared" si="52"/>
        <v>32.453111824288221</v>
      </c>
      <c r="AM93" s="730">
        <f t="shared" si="53"/>
        <v>-45.659372190249243</v>
      </c>
      <c r="AN93" s="351"/>
      <c r="AO93" s="337">
        <f t="shared" si="54"/>
        <v>56.559870937641115</v>
      </c>
      <c r="AP93" s="730">
        <f t="shared" si="55"/>
        <v>-51.40937659161105</v>
      </c>
      <c r="AS93" s="351"/>
      <c r="AT93" s="351"/>
      <c r="AV93" s="405">
        <f t="shared" si="56"/>
        <v>0</v>
      </c>
      <c r="AW93" s="405">
        <f t="shared" si="82"/>
        <v>0</v>
      </c>
      <c r="AX93" s="405">
        <f t="shared" si="58"/>
        <v>0</v>
      </c>
      <c r="AY93" s="405">
        <f t="shared" si="59"/>
        <v>0</v>
      </c>
    </row>
    <row r="94" spans="2:51" ht="13.5" thickBot="1" x14ac:dyDescent="0.25">
      <c r="B94" s="345">
        <v>1737.8</v>
      </c>
      <c r="C94" s="728" t="str">
        <f t="shared" si="41"/>
        <v>2.2271548443541</v>
      </c>
      <c r="D94" s="728" t="str">
        <f t="shared" si="42"/>
        <v>1+1.3284685302627i</v>
      </c>
      <c r="E94" s="337">
        <f t="shared" si="61"/>
        <v>1.6627773861519581</v>
      </c>
      <c r="F94" s="338">
        <f t="shared" si="62"/>
        <v>0.92553979158927979</v>
      </c>
      <c r="G94" s="338" t="str">
        <f t="shared" si="43"/>
        <v>1+0.00545945971340835i</v>
      </c>
      <c r="H94" s="337">
        <f t="shared" si="63"/>
        <v>1.0000149027391354</v>
      </c>
      <c r="I94" s="338">
        <f t="shared" si="64"/>
        <v>5.4594054733715577E-3</v>
      </c>
      <c r="J94" s="340">
        <f t="shared" si="44"/>
        <v>1</v>
      </c>
      <c r="K94" s="338">
        <f t="shared" si="65"/>
        <v>1</v>
      </c>
      <c r="L94" s="339">
        <f t="shared" si="66"/>
        <v>0</v>
      </c>
      <c r="M94" s="731" t="str">
        <f t="shared" si="45"/>
        <v>0.999865780051556+0.0235351391384859i</v>
      </c>
      <c r="N94" s="338">
        <f t="shared" si="67"/>
        <v>1.0001427302602237</v>
      </c>
      <c r="O94" s="339">
        <f t="shared" si="68"/>
        <v>2.3533952749104119E-2</v>
      </c>
      <c r="P94" s="732" t="str">
        <f t="shared" si="60"/>
        <v>0.78595791373659-1.08436783360898i</v>
      </c>
      <c r="Q94" s="337">
        <f t="shared" si="69"/>
        <v>1.3392473411326995</v>
      </c>
      <c r="R94" s="339">
        <f t="shared" si="70"/>
        <v>-0.94361433886501023</v>
      </c>
      <c r="S94" s="731" t="str">
        <f t="shared" si="46"/>
        <v>6000</v>
      </c>
      <c r="T94" s="337" t="str">
        <f t="shared" si="47"/>
        <v>1+11028.1086210849i</v>
      </c>
      <c r="U94" s="346">
        <f t="shared" si="71"/>
        <v>11028.10866642359</v>
      </c>
      <c r="V94" s="347">
        <f t="shared" si="72"/>
        <v>1.5707056494147928</v>
      </c>
      <c r="W94" s="340" t="str">
        <f t="shared" si="48"/>
        <v>1+109.189194268167i</v>
      </c>
      <c r="X94" s="337">
        <f t="shared" si="73"/>
        <v>109.19377337985675</v>
      </c>
      <c r="Y94" s="339">
        <f t="shared" si="74"/>
        <v>1.5616381674252668</v>
      </c>
      <c r="Z94" s="337" t="str">
        <f t="shared" si="49"/>
        <v>1+1.09991255806629i</v>
      </c>
      <c r="AA94" s="346">
        <f t="shared" si="75"/>
        <v>1.4865421741047007</v>
      </c>
      <c r="AB94" s="347">
        <f t="shared" si="76"/>
        <v>0.83294169846647836</v>
      </c>
      <c r="AC94" s="732" t="str">
        <f t="shared" si="77"/>
        <v>26.6147561208965-29.8125819898595i</v>
      </c>
      <c r="AD94" s="337">
        <f t="shared" si="78"/>
        <v>39.964175060632648</v>
      </c>
      <c r="AE94" s="339">
        <f t="shared" si="79"/>
        <v>-0.84200918045600337</v>
      </c>
      <c r="AF94" s="736" t="str">
        <f t="shared" si="50"/>
        <v>-11.4097267512461-52.2916201806989i</v>
      </c>
      <c r="AG94" s="337">
        <f t="shared" si="80"/>
        <v>34.570632910513112</v>
      </c>
      <c r="AH94" s="730">
        <f t="shared" si="81"/>
        <v>-102.30869145639089</v>
      </c>
      <c r="AI94" s="360">
        <f t="shared" si="51"/>
        <v>77.691308543609111</v>
      </c>
      <c r="AL94" s="337">
        <f t="shared" si="52"/>
        <v>32.033417054080992</v>
      </c>
      <c r="AM94" s="730">
        <f t="shared" si="53"/>
        <v>-48.243572351398313</v>
      </c>
      <c r="AN94" s="351"/>
      <c r="AO94" s="337">
        <f t="shared" si="54"/>
        <v>56.06633834147425</v>
      </c>
      <c r="AP94" s="730">
        <f t="shared" si="55"/>
        <v>-54.06511910499259</v>
      </c>
      <c r="AS94" s="351"/>
      <c r="AT94" s="351"/>
      <c r="AV94" s="405">
        <f t="shared" si="56"/>
        <v>0</v>
      </c>
      <c r="AW94" s="405">
        <f t="shared" si="82"/>
        <v>0</v>
      </c>
      <c r="AX94" s="405">
        <f t="shared" si="58"/>
        <v>0</v>
      </c>
      <c r="AY94" s="405">
        <f t="shared" si="59"/>
        <v>0</v>
      </c>
    </row>
    <row r="95" spans="2:51" ht="13.5" thickBot="1" x14ac:dyDescent="0.25">
      <c r="B95" s="345">
        <v>1905.5</v>
      </c>
      <c r="C95" s="728" t="str">
        <f t="shared" si="41"/>
        <v>2.2271548443541</v>
      </c>
      <c r="D95" s="728" t="str">
        <f t="shared" si="42"/>
        <v>1+1.45666750167774i</v>
      </c>
      <c r="E95" s="337">
        <f t="shared" si="61"/>
        <v>1.7668843228814013</v>
      </c>
      <c r="F95" s="338">
        <f t="shared" si="62"/>
        <v>0.96918938794022602</v>
      </c>
      <c r="G95" s="338" t="str">
        <f t="shared" si="43"/>
        <v>1+0.00598630480141535i</v>
      </c>
      <c r="H95" s="337">
        <f t="shared" si="63"/>
        <v>1.0000179177620647</v>
      </c>
      <c r="I95" s="338">
        <f t="shared" si="64"/>
        <v>5.9862332948554973E-3</v>
      </c>
      <c r="J95" s="340">
        <f t="shared" si="44"/>
        <v>1</v>
      </c>
      <c r="K95" s="338">
        <f t="shared" si="65"/>
        <v>1</v>
      </c>
      <c r="L95" s="339">
        <f t="shared" si="66"/>
        <v>0</v>
      </c>
      <c r="M95" s="731" t="str">
        <f t="shared" si="45"/>
        <v>0.999838625322222+0.0258063112144003i</v>
      </c>
      <c r="N95" s="338">
        <f t="shared" si="67"/>
        <v>1.0001716064679727</v>
      </c>
      <c r="O95" s="339">
        <f t="shared" si="68"/>
        <v>2.580474718121533E-2</v>
      </c>
      <c r="P95" s="732" t="str">
        <f t="shared" si="60"/>
        <v>0.692561390771439-1.05296089864615i</v>
      </c>
      <c r="Q95" s="337">
        <f t="shared" si="69"/>
        <v>1.2603046988982378</v>
      </c>
      <c r="R95" s="339">
        <f t="shared" si="70"/>
        <v>-0.98900790182658671</v>
      </c>
      <c r="S95" s="731" t="str">
        <f t="shared" si="46"/>
        <v>6000</v>
      </c>
      <c r="T95" s="337" t="str">
        <f t="shared" si="47"/>
        <v>1+12092.335698859i</v>
      </c>
      <c r="U95" s="346">
        <f t="shared" si="71"/>
        <v>12092.335740207505</v>
      </c>
      <c r="V95" s="347">
        <f t="shared" si="72"/>
        <v>1.5707136297855988</v>
      </c>
      <c r="W95" s="340" t="str">
        <f t="shared" si="48"/>
        <v>1+119.726096028307i</v>
      </c>
      <c r="X95" s="337">
        <f t="shared" si="73"/>
        <v>119.73027215445303</v>
      </c>
      <c r="Y95" s="339">
        <f t="shared" si="74"/>
        <v>1.5624441230568493</v>
      </c>
      <c r="Z95" s="337" t="str">
        <f t="shared" si="49"/>
        <v>1+1.20605557566769i</v>
      </c>
      <c r="AA95" s="346">
        <f t="shared" si="75"/>
        <v>1.566706753543599</v>
      </c>
      <c r="AB95" s="347">
        <f t="shared" si="76"/>
        <v>0.87853246964353982</v>
      </c>
      <c r="AC95" s="732" t="str">
        <f t="shared" si="77"/>
        <v>23.9608085463103-29.3893361047088i</v>
      </c>
      <c r="AD95" s="337">
        <f t="shared" si="78"/>
        <v>37.919037736583938</v>
      </c>
      <c r="AE95" s="339">
        <f t="shared" si="79"/>
        <v>-0.8868019763722893</v>
      </c>
      <c r="AF95" s="736" t="str">
        <f t="shared" si="50"/>
        <v>-14.3514908645871-45.5837139857376i</v>
      </c>
      <c r="AG95" s="337">
        <f t="shared" si="80"/>
        <v>33.586657265663646</v>
      </c>
      <c r="AH95" s="730">
        <f t="shared" si="81"/>
        <v>-107.47598918974464</v>
      </c>
      <c r="AI95" s="360">
        <f t="shared" si="51"/>
        <v>72.524010810255362</v>
      </c>
      <c r="AL95" s="337">
        <f t="shared" si="52"/>
        <v>31.577146156129515</v>
      </c>
      <c r="AM95" s="730">
        <f t="shared" si="53"/>
        <v>-50.810010509992324</v>
      </c>
      <c r="AN95" s="351"/>
      <c r="AO95" s="337">
        <f t="shared" si="54"/>
        <v>55.538633594576268</v>
      </c>
      <c r="AP95" s="730">
        <f t="shared" si="55"/>
        <v>-56.665978679752328</v>
      </c>
      <c r="AS95" s="351"/>
      <c r="AT95" s="351"/>
      <c r="AV95" s="405">
        <f t="shared" si="56"/>
        <v>0</v>
      </c>
      <c r="AW95" s="405">
        <f t="shared" si="82"/>
        <v>0</v>
      </c>
      <c r="AX95" s="405">
        <f t="shared" si="58"/>
        <v>0</v>
      </c>
      <c r="AY95" s="405">
        <f t="shared" si="59"/>
        <v>0</v>
      </c>
    </row>
    <row r="96" spans="2:51" ht="13.5" thickBot="1" x14ac:dyDescent="0.25">
      <c r="B96" s="345">
        <v>2089.3000000000002</v>
      </c>
      <c r="C96" s="728" t="str">
        <f t="shared" si="41"/>
        <v>2.2271548443541</v>
      </c>
      <c r="D96" s="728" t="str">
        <f t="shared" si="42"/>
        <v>1+1.59717418591199i</v>
      </c>
      <c r="E96" s="337">
        <f t="shared" si="61"/>
        <v>1.8844005360176557</v>
      </c>
      <c r="F96" s="338">
        <f t="shared" si="62"/>
        <v>1.0114022342262492</v>
      </c>
      <c r="G96" s="338" t="str">
        <f t="shared" si="43"/>
        <v>1+0.00656372953114515i</v>
      </c>
      <c r="H96" s="337">
        <f t="shared" si="63"/>
        <v>1.0000215410406708</v>
      </c>
      <c r="I96" s="338">
        <f t="shared" si="64"/>
        <v>6.5636352728565897E-3</v>
      </c>
      <c r="J96" s="340">
        <f t="shared" si="44"/>
        <v>1</v>
      </c>
      <c r="K96" s="338">
        <f t="shared" si="65"/>
        <v>1</v>
      </c>
      <c r="L96" s="339">
        <f t="shared" si="66"/>
        <v>0</v>
      </c>
      <c r="M96" s="731" t="str">
        <f t="shared" si="45"/>
        <v>0.999805992244889+0.0282955266440549i</v>
      </c>
      <c r="N96" s="338">
        <f t="shared" si="67"/>
        <v>1.0002063081968897</v>
      </c>
      <c r="O96" s="339">
        <f t="shared" si="68"/>
        <v>2.8293465012845135E-2</v>
      </c>
      <c r="P96" s="732" t="str">
        <f t="shared" si="60"/>
        <v>0.605171130043505-1.01494665461562i</v>
      </c>
      <c r="Q96" s="337">
        <f t="shared" si="69"/>
        <v>1.1816720392535196</v>
      </c>
      <c r="R96" s="339">
        <f t="shared" si="70"/>
        <v>-1.0331320639662358</v>
      </c>
      <c r="S96" s="731" t="str">
        <f t="shared" si="46"/>
        <v>6000</v>
      </c>
      <c r="T96" s="337" t="str">
        <f t="shared" si="47"/>
        <v>1+13258.7336529132i</v>
      </c>
      <c r="U96" s="346">
        <f t="shared" si="71"/>
        <v>13258.733690624191</v>
      </c>
      <c r="V96" s="347">
        <f t="shared" si="72"/>
        <v>1.5707209048108459</v>
      </c>
      <c r="W96" s="340" t="str">
        <f t="shared" si="48"/>
        <v>1+131.274590622903i</v>
      </c>
      <c r="X96" s="337">
        <f t="shared" si="73"/>
        <v>131.27839937785183</v>
      </c>
      <c r="Y96" s="339">
        <f t="shared" si="74"/>
        <v>1.5631788537316409</v>
      </c>
      <c r="Z96" s="337" t="str">
        <f t="shared" si="49"/>
        <v>1+1.32238882930595i</v>
      </c>
      <c r="AA96" s="346">
        <f t="shared" si="75"/>
        <v>1.6579240681868279</v>
      </c>
      <c r="AB96" s="347">
        <f t="shared" si="76"/>
        <v>0.92333440959535962</v>
      </c>
      <c r="AC96" s="732" t="str">
        <f t="shared" si="77"/>
        <v>21.3967384057073-28.7428592399906i</v>
      </c>
      <c r="AD96" s="337">
        <f t="shared" si="78"/>
        <v>35.832560216822117</v>
      </c>
      <c r="AE96" s="339">
        <f t="shared" si="79"/>
        <v>-0.93087646067456487</v>
      </c>
      <c r="AF96" s="736" t="str">
        <f t="shared" si="50"/>
        <v>-16.223780469489-39.1108966715047i</v>
      </c>
      <c r="AG96" s="337">
        <f t="shared" si="80"/>
        <v>32.535495974876611</v>
      </c>
      <c r="AH96" s="730">
        <f t="shared" si="81"/>
        <v>-112.52939938963345</v>
      </c>
      <c r="AI96" s="360">
        <f t="shared" si="51"/>
        <v>67.470600610366546</v>
      </c>
      <c r="AL96" s="337">
        <f t="shared" si="52"/>
        <v>31.08555678755636</v>
      </c>
      <c r="AM96" s="730">
        <f t="shared" si="53"/>
        <v>-53.335292444728317</v>
      </c>
      <c r="AN96" s="351"/>
      <c r="AO96" s="337">
        <f t="shared" si="54"/>
        <v>54.97906167236237</v>
      </c>
      <c r="AP96" s="730">
        <f t="shared" si="55"/>
        <v>-59.194106944905059</v>
      </c>
      <c r="AS96" s="351"/>
      <c r="AT96" s="351"/>
      <c r="AV96" s="405">
        <f t="shared" si="56"/>
        <v>0</v>
      </c>
      <c r="AW96" s="405">
        <f t="shared" si="82"/>
        <v>0</v>
      </c>
      <c r="AX96" s="405">
        <f t="shared" si="58"/>
        <v>0</v>
      </c>
      <c r="AY96" s="405">
        <f t="shared" si="59"/>
        <v>0</v>
      </c>
    </row>
    <row r="97" spans="2:51" ht="13.5" thickBot="1" x14ac:dyDescent="0.25">
      <c r="B97" s="345">
        <v>2290.9</v>
      </c>
      <c r="C97" s="728" t="str">
        <f t="shared" si="41"/>
        <v>2.2271548443541</v>
      </c>
      <c r="D97" s="728" t="str">
        <f t="shared" si="42"/>
        <v>1+1.75128815512649i</v>
      </c>
      <c r="E97" s="337">
        <f t="shared" si="61"/>
        <v>2.0166829701979299</v>
      </c>
      <c r="F97" s="338">
        <f t="shared" si="62"/>
        <v>1.0519671210248362</v>
      </c>
      <c r="G97" s="338" t="str">
        <f t="shared" si="43"/>
        <v>1+0.00719707461010885i</v>
      </c>
      <c r="H97" s="337">
        <f t="shared" si="63"/>
        <v>1.0000258986061028</v>
      </c>
      <c r="I97" s="338">
        <f t="shared" si="64"/>
        <v>7.1969503495612902E-3</v>
      </c>
      <c r="J97" s="340">
        <f t="shared" si="44"/>
        <v>1</v>
      </c>
      <c r="K97" s="338">
        <f t="shared" si="65"/>
        <v>1</v>
      </c>
      <c r="L97" s="339">
        <f t="shared" si="66"/>
        <v>0</v>
      </c>
      <c r="M97" s="731" t="str">
        <f t="shared" si="45"/>
        <v>0.999766745652889+0.0310258086387141i</v>
      </c>
      <c r="N97" s="338">
        <f t="shared" si="67"/>
        <v>1.0002480424949876</v>
      </c>
      <c r="O97" s="339">
        <f t="shared" si="68"/>
        <v>3.1023090858752444E-2</v>
      </c>
      <c r="P97" s="732" t="str">
        <f t="shared" si="60"/>
        <v>0.524494976128845-0.971589538946863i</v>
      </c>
      <c r="Q97" s="337">
        <f t="shared" si="69"/>
        <v>1.1041201076764138</v>
      </c>
      <c r="R97" s="339">
        <f t="shared" si="70"/>
        <v>-1.075793261534028</v>
      </c>
      <c r="S97" s="731" t="str">
        <f t="shared" si="46"/>
        <v>6000</v>
      </c>
      <c r="T97" s="337" t="str">
        <f t="shared" si="47"/>
        <v>1+14538.0907124199i</v>
      </c>
      <c r="U97" s="346">
        <f t="shared" si="71"/>
        <v>14538.090746812311</v>
      </c>
      <c r="V97" s="347">
        <f t="shared" si="72"/>
        <v>1.5707275419717583</v>
      </c>
      <c r="W97" s="340" t="str">
        <f t="shared" si="48"/>
        <v>1+143.941492202177i</v>
      </c>
      <c r="X97" s="337">
        <f t="shared" si="73"/>
        <v>143.94496579383866</v>
      </c>
      <c r="Y97" s="339">
        <f t="shared" si="74"/>
        <v>1.5638491714125715</v>
      </c>
      <c r="Z97" s="337" t="str">
        <f t="shared" si="49"/>
        <v>1+1.44998830663716i</v>
      </c>
      <c r="AA97" s="346">
        <f t="shared" si="75"/>
        <v>1.761381869267564</v>
      </c>
      <c r="AB97" s="347">
        <f t="shared" si="76"/>
        <v>0.96704322436385981</v>
      </c>
      <c r="AC97" s="732" t="str">
        <f t="shared" si="77"/>
        <v>18.9570067342225-27.8960608038886i</v>
      </c>
      <c r="AD97" s="337">
        <f t="shared" si="78"/>
        <v>33.727708381916599</v>
      </c>
      <c r="AE97" s="339">
        <f t="shared" si="79"/>
        <v>-0.97392159492304808</v>
      </c>
      <c r="AF97" s="736" t="str">
        <f t="shared" si="50"/>
        <v>-17.1606660603434-33.0497731781402i</v>
      </c>
      <c r="AG97" s="337">
        <f t="shared" si="80"/>
        <v>31.420063065973803</v>
      </c>
      <c r="AH97" s="730">
        <f t="shared" si="81"/>
        <v>-117.44001048025379</v>
      </c>
      <c r="AI97" s="360">
        <f t="shared" si="51"/>
        <v>62.55998951974621</v>
      </c>
      <c r="AL97" s="337">
        <f t="shared" si="52"/>
        <v>30.559736683909726</v>
      </c>
      <c r="AM97" s="730">
        <f t="shared" si="53"/>
        <v>-55.801596965740437</v>
      </c>
      <c r="AN97" s="351"/>
      <c r="AO97" s="337">
        <f t="shared" si="54"/>
        <v>54.389448867106196</v>
      </c>
      <c r="AP97" s="730">
        <f t="shared" si="55"/>
        <v>-61.638413514513374</v>
      </c>
      <c r="AS97" s="351"/>
      <c r="AT97" s="351"/>
      <c r="AV97" s="405">
        <f t="shared" si="56"/>
        <v>0</v>
      </c>
      <c r="AW97" s="405">
        <f t="shared" si="82"/>
        <v>0</v>
      </c>
      <c r="AX97" s="405">
        <f t="shared" si="58"/>
        <v>0</v>
      </c>
      <c r="AY97" s="405">
        <f t="shared" si="59"/>
        <v>0</v>
      </c>
    </row>
    <row r="98" spans="2:51" ht="13.5" thickBot="1" x14ac:dyDescent="0.25">
      <c r="B98" s="345">
        <v>2511.9</v>
      </c>
      <c r="C98" s="728" t="str">
        <f t="shared" si="41"/>
        <v>2.2271548443541</v>
      </c>
      <c r="D98" s="728" t="str">
        <f t="shared" si="42"/>
        <v>1+1.92023253606104i</v>
      </c>
      <c r="E98" s="337">
        <f t="shared" si="61"/>
        <v>2.1650157026098942</v>
      </c>
      <c r="F98" s="338">
        <f t="shared" si="62"/>
        <v>1.0906709118016147</v>
      </c>
      <c r="G98" s="338" t="str">
        <f t="shared" si="43"/>
        <v>1+0.0078913665865522i</v>
      </c>
      <c r="H98" s="337">
        <f t="shared" si="63"/>
        <v>1.0000311363485657</v>
      </c>
      <c r="I98" s="338">
        <f t="shared" si="64"/>
        <v>7.8912027845618685E-3</v>
      </c>
      <c r="J98" s="340">
        <f t="shared" si="44"/>
        <v>1</v>
      </c>
      <c r="K98" s="338">
        <f t="shared" si="65"/>
        <v>1</v>
      </c>
      <c r="L98" s="339">
        <f t="shared" si="66"/>
        <v>0</v>
      </c>
      <c r="M98" s="731" t="str">
        <f t="shared" si="45"/>
        <v>0.999719571484+0.0340188261030974i</v>
      </c>
      <c r="N98" s="338">
        <f t="shared" si="67"/>
        <v>1.0002982066052031</v>
      </c>
      <c r="O98" s="339">
        <f t="shared" si="68"/>
        <v>3.401524359069389E-2</v>
      </c>
      <c r="P98" s="732" t="str">
        <f t="shared" si="60"/>
        <v>0.451032078545847-0.924246606033642i</v>
      </c>
      <c r="Q98" s="337">
        <f t="shared" si="69"/>
        <v>1.0284268202658335</v>
      </c>
      <c r="R98" s="339">
        <f t="shared" si="70"/>
        <v>-1.1167949526077459</v>
      </c>
      <c r="S98" s="731" t="str">
        <f t="shared" si="46"/>
        <v>6000</v>
      </c>
      <c r="T98" s="337" t="str">
        <f t="shared" si="47"/>
        <v>1+15940.5605048354i</v>
      </c>
      <c r="U98" s="346">
        <f t="shared" si="71"/>
        <v>15940.560536201923</v>
      </c>
      <c r="V98" s="347">
        <f t="shared" si="72"/>
        <v>1.5707335937436726</v>
      </c>
      <c r="W98" s="340" t="str">
        <f t="shared" si="48"/>
        <v>1+157.827331731044i</v>
      </c>
      <c r="X98" s="337">
        <f t="shared" si="73"/>
        <v>157.83049971834029</v>
      </c>
      <c r="Y98" s="339">
        <f t="shared" si="74"/>
        <v>1.5644603733984777</v>
      </c>
      <c r="Z98" s="337" t="str">
        <f t="shared" si="49"/>
        <v>1+1.58986670192583i</v>
      </c>
      <c r="AA98" s="346">
        <f t="shared" si="75"/>
        <v>1.8782108853620554</v>
      </c>
      <c r="AB98" s="347">
        <f t="shared" si="76"/>
        <v>1.0093375644112337</v>
      </c>
      <c r="AC98" s="732" t="str">
        <f t="shared" si="77"/>
        <v>16.6720139987071-26.8789515010373i</v>
      </c>
      <c r="AD98" s="337">
        <f t="shared" si="78"/>
        <v>31.629639336675986</v>
      </c>
      <c r="AE98" s="339">
        <f t="shared" si="79"/>
        <v>-1.015610784756428</v>
      </c>
      <c r="AF98" s="736" t="str">
        <f t="shared" si="50"/>
        <v>-17.3231665711943-27.5323217186963i</v>
      </c>
      <c r="AG98" s="337">
        <f t="shared" si="80"/>
        <v>30.245352677309544</v>
      </c>
      <c r="AH98" s="730">
        <f t="shared" si="81"/>
        <v>-122.17784896044945</v>
      </c>
      <c r="AI98" s="360">
        <f t="shared" si="51"/>
        <v>57.822151039550548</v>
      </c>
      <c r="AL98" s="337">
        <f t="shared" si="52"/>
        <v>30.00188479627559</v>
      </c>
      <c r="AM98" s="730">
        <f t="shared" si="53"/>
        <v>-58.190211594512803</v>
      </c>
      <c r="AN98" s="351"/>
      <c r="AO98" s="337">
        <f t="shared" si="54"/>
        <v>53.772590366076088</v>
      </c>
      <c r="AP98" s="730">
        <f t="shared" si="55"/>
        <v>-63.987637365936642</v>
      </c>
      <c r="AS98" s="351"/>
      <c r="AT98" s="351"/>
      <c r="AV98" s="405">
        <f t="shared" si="56"/>
        <v>0</v>
      </c>
      <c r="AW98" s="405">
        <f t="shared" si="82"/>
        <v>0</v>
      </c>
      <c r="AX98" s="405">
        <f t="shared" si="58"/>
        <v>0</v>
      </c>
      <c r="AY98" s="405">
        <f t="shared" si="59"/>
        <v>0</v>
      </c>
    </row>
    <row r="99" spans="2:51" ht="13.5" thickBot="1" x14ac:dyDescent="0.25">
      <c r="B99" s="345">
        <v>2754.2</v>
      </c>
      <c r="C99" s="728" t="str">
        <f t="shared" si="41"/>
        <v>2.2271548443541</v>
      </c>
      <c r="D99" s="728" t="str">
        <f t="shared" si="42"/>
        <v>1+2.10545979171914i</v>
      </c>
      <c r="E99" s="337">
        <f t="shared" si="61"/>
        <v>2.3308712822775104</v>
      </c>
      <c r="F99" s="338">
        <f t="shared" si="62"/>
        <v>1.1273841858883962</v>
      </c>
      <c r="G99" s="338" t="str">
        <f t="shared" si="43"/>
        <v>1+0.008652574486517i</v>
      </c>
      <c r="H99" s="337">
        <f t="shared" si="63"/>
        <v>1.0000374328220143</v>
      </c>
      <c r="I99" s="338">
        <f t="shared" si="64"/>
        <v>8.6523585653209573E-3</v>
      </c>
      <c r="J99" s="340">
        <f t="shared" si="44"/>
        <v>1</v>
      </c>
      <c r="K99" s="338">
        <f t="shared" si="65"/>
        <v>1</v>
      </c>
      <c r="L99" s="339">
        <f t="shared" si="66"/>
        <v>0</v>
      </c>
      <c r="M99" s="731" t="str">
        <f t="shared" si="45"/>
        <v>0.999662861438222+0.0373003108615593i</v>
      </c>
      <c r="N99" s="338">
        <f t="shared" si="67"/>
        <v>1.0003585105996864</v>
      </c>
      <c r="O99" s="339">
        <f t="shared" si="68"/>
        <v>3.7295588613699124E-2</v>
      </c>
      <c r="P99" s="732" t="str">
        <f t="shared" si="60"/>
        <v>0.384923587518498-0.874204849992188i</v>
      </c>
      <c r="Q99" s="337">
        <f t="shared" si="69"/>
        <v>0.95519646564357363</v>
      </c>
      <c r="R99" s="339">
        <f t="shared" si="70"/>
        <v>-1.1560274159367749</v>
      </c>
      <c r="S99" s="731" t="str">
        <f t="shared" si="46"/>
        <v>6000</v>
      </c>
      <c r="T99" s="337" t="str">
        <f t="shared" si="47"/>
        <v>1+17478.2004627643i</v>
      </c>
      <c r="U99" s="346">
        <f t="shared" si="71"/>
        <v>17478.200491371361</v>
      </c>
      <c r="V99" s="347">
        <f t="shared" si="72"/>
        <v>1.5707391126668724</v>
      </c>
      <c r="W99" s="340" t="str">
        <f t="shared" si="48"/>
        <v>1+173.05148973034i</v>
      </c>
      <c r="X99" s="337">
        <f t="shared" si="73"/>
        <v>173.05437901968841</v>
      </c>
      <c r="Y99" s="339">
        <f t="shared" si="74"/>
        <v>1.5650177641778502</v>
      </c>
      <c r="Z99" s="337" t="str">
        <f t="shared" si="49"/>
        <v>1+1.74322658961109i</v>
      </c>
      <c r="AA99" s="346">
        <f t="shared" si="75"/>
        <v>2.0096862796782764</v>
      </c>
      <c r="AB99" s="347">
        <f t="shared" si="76"/>
        <v>1.0499780340399616</v>
      </c>
      <c r="AC99" s="732" t="str">
        <f t="shared" si="77"/>
        <v>14.5619725672493-25.7247036847291i</v>
      </c>
      <c r="AD99" s="337">
        <f t="shared" si="78"/>
        <v>29.560301499078726</v>
      </c>
      <c r="AE99" s="339">
        <f t="shared" si="79"/>
        <v>-1.0556993825289849</v>
      </c>
      <c r="AF99" s="736" t="str">
        <f t="shared" si="50"/>
        <v>-16.8834140038705-22.6321922739188i</v>
      </c>
      <c r="AG99" s="337">
        <f t="shared" si="80"/>
        <v>29.016031323077556</v>
      </c>
      <c r="AH99" s="730">
        <f t="shared" si="81"/>
        <v>-126.72261098806956</v>
      </c>
      <c r="AI99" s="360">
        <f t="shared" si="51"/>
        <v>53.277389011930438</v>
      </c>
      <c r="AL99" s="337">
        <f t="shared" si="52"/>
        <v>29.414177186281492</v>
      </c>
      <c r="AM99" s="730">
        <f t="shared" si="53"/>
        <v>-60.487119053477869</v>
      </c>
      <c r="AN99" s="351"/>
      <c r="AO99" s="337">
        <f t="shared" si="54"/>
        <v>53.130976621838187</v>
      </c>
      <c r="AP99" s="730">
        <f t="shared" si="55"/>
        <v>-66.235491934591792</v>
      </c>
      <c r="AS99" s="351"/>
      <c r="AT99" s="351"/>
      <c r="AV99" s="405">
        <f t="shared" si="56"/>
        <v>0</v>
      </c>
      <c r="AW99" s="405">
        <f t="shared" si="82"/>
        <v>0</v>
      </c>
      <c r="AX99" s="405">
        <f t="shared" si="58"/>
        <v>0</v>
      </c>
      <c r="AY99" s="405">
        <f t="shared" si="59"/>
        <v>0</v>
      </c>
    </row>
    <row r="100" spans="2:51" ht="13.5" thickBot="1" x14ac:dyDescent="0.25">
      <c r="B100" s="345">
        <v>3020</v>
      </c>
      <c r="C100" s="728" t="str">
        <f t="shared" si="41"/>
        <v>2.2271548443541</v>
      </c>
      <c r="D100" s="728" t="str">
        <f t="shared" si="42"/>
        <v>1+2.30865172136801i</v>
      </c>
      <c r="E100" s="337">
        <f t="shared" si="61"/>
        <v>2.5159238403766273</v>
      </c>
      <c r="F100" s="338">
        <f t="shared" si="62"/>
        <v>1.1620401200864918</v>
      </c>
      <c r="G100" s="338" t="str">
        <f t="shared" si="43"/>
        <v>1+0.00948760981384115i</v>
      </c>
      <c r="H100" s="337">
        <f t="shared" si="63"/>
        <v>1.0000450063572037</v>
      </c>
      <c r="I100" s="338">
        <f t="shared" si="64"/>
        <v>9.4873251543049833E-3</v>
      </c>
      <c r="J100" s="340">
        <f t="shared" si="44"/>
        <v>1</v>
      </c>
      <c r="K100" s="338">
        <f t="shared" si="65"/>
        <v>1</v>
      </c>
      <c r="L100" s="339">
        <f t="shared" si="66"/>
        <v>0</v>
      </c>
      <c r="M100" s="731" t="str">
        <f t="shared" si="45"/>
        <v>0.999594648888889+0.0409000576580891i</v>
      </c>
      <c r="N100" s="338">
        <f t="shared" si="67"/>
        <v>1.0004310455017558</v>
      </c>
      <c r="O100" s="339">
        <f t="shared" si="68"/>
        <v>4.0893832345472392E-2</v>
      </c>
      <c r="P100" s="732" t="str">
        <f t="shared" si="60"/>
        <v>0.326041749261742-0.822625515657238i</v>
      </c>
      <c r="Q100" s="337">
        <f t="shared" si="69"/>
        <v>0.88488189114253735</v>
      </c>
      <c r="R100" s="339">
        <f t="shared" si="70"/>
        <v>-1.1934466272776583</v>
      </c>
      <c r="S100" s="731" t="str">
        <f t="shared" si="46"/>
        <v>6000</v>
      </c>
      <c r="T100" s="337" t="str">
        <f t="shared" si="47"/>
        <v>1+19164.9718239591i</v>
      </c>
      <c r="U100" s="346">
        <f t="shared" si="71"/>
        <v>19164.971850048361</v>
      </c>
      <c r="V100" s="347">
        <f t="shared" si="72"/>
        <v>1.5707441482679321</v>
      </c>
      <c r="W100" s="340" t="str">
        <f t="shared" si="48"/>
        <v>1+189.752196276823i</v>
      </c>
      <c r="X100" s="337">
        <f t="shared" si="73"/>
        <v>189.75483127414162</v>
      </c>
      <c r="Y100" s="339">
        <f t="shared" si="74"/>
        <v>1.56552634435447</v>
      </c>
      <c r="Z100" s="337" t="str">
        <f t="shared" si="49"/>
        <v>1+1.91146042430669i</v>
      </c>
      <c r="AA100" s="346">
        <f t="shared" si="75"/>
        <v>2.1572391971431242</v>
      </c>
      <c r="AB100" s="347">
        <f t="shared" si="76"/>
        <v>1.0887926978693256</v>
      </c>
      <c r="AC100" s="732" t="str">
        <f t="shared" si="77"/>
        <v>12.6380512974656-24.4671063422152i</v>
      </c>
      <c r="AD100" s="337">
        <f t="shared" si="78"/>
        <v>27.538330257273028</v>
      </c>
      <c r="AE100" s="339">
        <f t="shared" si="79"/>
        <v>-1.0940105017827872</v>
      </c>
      <c r="AF100" s="736" t="str">
        <f t="shared" si="50"/>
        <v>-16.0067336191199-18.3736816166692i</v>
      </c>
      <c r="AG100" s="337">
        <f t="shared" si="80"/>
        <v>27.736458228913314</v>
      </c>
      <c r="AH100" s="730">
        <f t="shared" si="81"/>
        <v>-131.06163931227545</v>
      </c>
      <c r="AI100" s="360">
        <f t="shared" si="51"/>
        <v>48.938360687724554</v>
      </c>
      <c r="AL100" s="337">
        <f t="shared" si="52"/>
        <v>28.798752079321119</v>
      </c>
      <c r="AM100" s="730">
        <f t="shared" si="53"/>
        <v>-62.682184495143133</v>
      </c>
      <c r="AN100" s="351"/>
      <c r="AO100" s="337">
        <f t="shared" si="54"/>
        <v>52.466828634634332</v>
      </c>
      <c r="AP100" s="730">
        <f t="shared" si="55"/>
        <v>-68.379454817132526</v>
      </c>
      <c r="AS100" s="351"/>
      <c r="AT100" s="351"/>
      <c r="AV100" s="405">
        <f t="shared" si="56"/>
        <v>0</v>
      </c>
      <c r="AW100" s="405">
        <f t="shared" si="82"/>
        <v>0</v>
      </c>
      <c r="AX100" s="405">
        <f t="shared" si="58"/>
        <v>0</v>
      </c>
      <c r="AY100" s="405">
        <f t="shared" si="59"/>
        <v>0</v>
      </c>
    </row>
    <row r="101" spans="2:51" ht="13.5" thickBot="1" x14ac:dyDescent="0.25">
      <c r="B101" s="345">
        <v>3311.3</v>
      </c>
      <c r="C101" s="728" t="str">
        <f t="shared" si="41"/>
        <v>2.2271548443541</v>
      </c>
      <c r="D101" s="728" t="str">
        <f t="shared" si="42"/>
        <v>1+2.53133723343243i</v>
      </c>
      <c r="E101" s="337">
        <f t="shared" si="61"/>
        <v>2.7217031780415271</v>
      </c>
      <c r="F101" s="338">
        <f t="shared" si="62"/>
        <v>1.194566092607364</v>
      </c>
      <c r="G101" s="338" t="str">
        <f t="shared" si="43"/>
        <v>1+0.0104027557538319i</v>
      </c>
      <c r="H101" s="337">
        <f t="shared" si="63"/>
        <v>1.0000541071998423</v>
      </c>
      <c r="I101" s="338">
        <f t="shared" si="64"/>
        <v>1.0402380525387342E-2</v>
      </c>
      <c r="J101" s="340">
        <f t="shared" si="44"/>
        <v>1</v>
      </c>
      <c r="K101" s="338">
        <f t="shared" si="65"/>
        <v>1</v>
      </c>
      <c r="L101" s="339">
        <f t="shared" si="66"/>
        <v>0</v>
      </c>
      <c r="M101" s="731" t="str">
        <f t="shared" si="45"/>
        <v>0.999512679658222+0.0448451526235864i</v>
      </c>
      <c r="N101" s="338">
        <f t="shared" si="67"/>
        <v>1.0005182079859378</v>
      </c>
      <c r="O101" s="339">
        <f t="shared" si="68"/>
        <v>4.4836947040167045E-2</v>
      </c>
      <c r="P101" s="732" t="str">
        <f t="shared" si="60"/>
        <v>0.274148269320961-0.77060211125263i</v>
      </c>
      <c r="Q101" s="337">
        <f t="shared" si="69"/>
        <v>0.81791496345200154</v>
      </c>
      <c r="R101" s="339">
        <f t="shared" si="70"/>
        <v>-1.229000659122143</v>
      </c>
      <c r="S101" s="731" t="str">
        <f t="shared" si="46"/>
        <v>6000</v>
      </c>
      <c r="T101" s="337" t="str">
        <f t="shared" si="47"/>
        <v>1+21013.5666227404i</v>
      </c>
      <c r="U101" s="346">
        <f t="shared" si="71"/>
        <v>21013.566646534553</v>
      </c>
      <c r="V101" s="347">
        <f t="shared" si="72"/>
        <v>1.5707487384907692</v>
      </c>
      <c r="W101" s="340" t="str">
        <f t="shared" si="48"/>
        <v>1+208.055115076638i</v>
      </c>
      <c r="X101" s="337">
        <f t="shared" si="73"/>
        <v>208.0575182721189</v>
      </c>
      <c r="Y101" s="339">
        <f t="shared" si="74"/>
        <v>1.5659899450859693</v>
      </c>
      <c r="Z101" s="337" t="str">
        <f t="shared" si="49"/>
        <v>1+2.0958340738433i</v>
      </c>
      <c r="AA101" s="346">
        <f t="shared" si="75"/>
        <v>2.3221801103882109</v>
      </c>
      <c r="AB101" s="347">
        <f t="shared" si="76"/>
        <v>1.1256058280011882</v>
      </c>
      <c r="AC101" s="732" t="str">
        <f t="shared" si="77"/>
        <v>10.9064872863867-23.1408904771178i</v>
      </c>
      <c r="AD101" s="337">
        <f t="shared" si="78"/>
        <v>25.582264891953489</v>
      </c>
      <c r="AE101" s="339">
        <f t="shared" si="79"/>
        <v>-1.1303646214059875</v>
      </c>
      <c r="AF101" s="736" t="str">
        <f t="shared" si="50"/>
        <v>-14.8424244439989-14.7485972040873i</v>
      </c>
      <c r="AG101" s="337">
        <f t="shared" si="80"/>
        <v>26.412942901047266</v>
      </c>
      <c r="AH101" s="730">
        <f t="shared" si="81"/>
        <v>-135.18167290396144</v>
      </c>
      <c r="AI101" s="360">
        <f t="shared" si="51"/>
        <v>44.818327096038558</v>
      </c>
      <c r="AL101" s="337">
        <f t="shared" si="52"/>
        <v>28.158779830635368</v>
      </c>
      <c r="AM101" s="730">
        <f t="shared" si="53"/>
        <v>-64.765122117466234</v>
      </c>
      <c r="AN101" s="351"/>
      <c r="AO101" s="337">
        <f t="shared" si="54"/>
        <v>51.783285555454043</v>
      </c>
      <c r="AP101" s="730">
        <f t="shared" si="55"/>
        <v>-70.416550786495151</v>
      </c>
      <c r="AS101" s="351"/>
      <c r="AT101" s="351"/>
      <c r="AV101" s="405">
        <f t="shared" si="56"/>
        <v>0</v>
      </c>
      <c r="AW101" s="405">
        <f t="shared" si="82"/>
        <v>0</v>
      </c>
      <c r="AX101" s="405">
        <f t="shared" si="58"/>
        <v>0</v>
      </c>
      <c r="AY101" s="405">
        <f t="shared" si="59"/>
        <v>0</v>
      </c>
    </row>
    <row r="102" spans="2:51" ht="13.5" thickBot="1" x14ac:dyDescent="0.25">
      <c r="B102" s="345">
        <v>3630.8</v>
      </c>
      <c r="C102" s="728" t="str">
        <f t="shared" si="41"/>
        <v>2.2271548443541</v>
      </c>
      <c r="D102" s="728" t="str">
        <f t="shared" si="42"/>
        <v>1+2.77558035428576i</v>
      </c>
      <c r="E102" s="337">
        <f t="shared" si="61"/>
        <v>2.9502281781409834</v>
      </c>
      <c r="F102" s="338">
        <f t="shared" si="62"/>
        <v>1.2249884572105247</v>
      </c>
      <c r="G102" s="338" t="str">
        <f t="shared" si="43"/>
        <v>1+0.0114064946066538i</v>
      </c>
      <c r="H102" s="337">
        <f t="shared" si="63"/>
        <v>1.0000650519437282</v>
      </c>
      <c r="I102" s="338">
        <f t="shared" si="64"/>
        <v>1.1405999952748297E-2</v>
      </c>
      <c r="J102" s="340">
        <f t="shared" si="44"/>
        <v>1</v>
      </c>
      <c r="K102" s="338">
        <f t="shared" si="65"/>
        <v>1</v>
      </c>
      <c r="L102" s="339">
        <f t="shared" si="66"/>
        <v>0</v>
      </c>
      <c r="M102" s="731" t="str">
        <f t="shared" si="45"/>
        <v>0.999414101838222+0.0491721620347649i</v>
      </c>
      <c r="N102" s="338">
        <f t="shared" si="67"/>
        <v>1.0006230301528509</v>
      </c>
      <c r="O102" s="339">
        <f t="shared" si="68"/>
        <v>4.9161345477813291E-2</v>
      </c>
      <c r="P102" s="732" t="str">
        <f t="shared" si="60"/>
        <v>0.228763455085897-0.718971498268735i</v>
      </c>
      <c r="Q102" s="337">
        <f t="shared" si="69"/>
        <v>0.75448839202841733</v>
      </c>
      <c r="R102" s="339">
        <f t="shared" si="70"/>
        <v>-1.2627438027355897</v>
      </c>
      <c r="S102" s="731" t="str">
        <f t="shared" si="46"/>
        <v>6000</v>
      </c>
      <c r="T102" s="337" t="str">
        <f t="shared" si="47"/>
        <v>1+23041.1191054407i</v>
      </c>
      <c r="U102" s="346">
        <f t="shared" si="71"/>
        <v>23041.119127141035</v>
      </c>
      <c r="V102" s="347">
        <f t="shared" si="72"/>
        <v>1.5707529261252158</v>
      </c>
      <c r="W102" s="340" t="str">
        <f t="shared" si="48"/>
        <v>1+228.129892133076i</v>
      </c>
      <c r="X102" s="337">
        <f t="shared" si="73"/>
        <v>228.1320838563679</v>
      </c>
      <c r="Y102" s="339">
        <f t="shared" si="74"/>
        <v>1.5664128872298571</v>
      </c>
      <c r="Z102" s="337" t="str">
        <f t="shared" si="49"/>
        <v>1+2.2980564597923i</v>
      </c>
      <c r="AA102" s="346">
        <f t="shared" si="75"/>
        <v>2.5062049980783936</v>
      </c>
      <c r="AB102" s="347">
        <f t="shared" si="76"/>
        <v>1.1603597776123182</v>
      </c>
      <c r="AC102" s="732" t="str">
        <f t="shared" si="77"/>
        <v>9.36361393281084-21.7759392454535i</v>
      </c>
      <c r="AD102" s="337">
        <f t="shared" si="78"/>
        <v>23.703771765362813</v>
      </c>
      <c r="AE102" s="339">
        <f t="shared" si="79"/>
        <v>-1.164699816507675</v>
      </c>
      <c r="AF102" s="736" t="str">
        <f t="shared" si="50"/>
        <v>-13.5142269901524-11.7137106380135i</v>
      </c>
      <c r="AG102" s="337">
        <f t="shared" si="80"/>
        <v>25.049400385619993</v>
      </c>
      <c r="AH102" s="730">
        <f t="shared" si="81"/>
        <v>-139.08227438860075</v>
      </c>
      <c r="AI102" s="360">
        <f t="shared" si="51"/>
        <v>40.917725611399248</v>
      </c>
      <c r="AL102" s="337">
        <f t="shared" si="52"/>
        <v>27.496349136702207</v>
      </c>
      <c r="AM102" s="730">
        <f t="shared" si="53"/>
        <v>-66.732383885551187</v>
      </c>
      <c r="AN102" s="351"/>
      <c r="AO102" s="337">
        <f t="shared" si="54"/>
        <v>51.082173733959941</v>
      </c>
      <c r="AP102" s="730">
        <f t="shared" si="55"/>
        <v>-72.349890503049522</v>
      </c>
      <c r="AS102" s="351"/>
      <c r="AT102" s="351"/>
      <c r="AV102" s="405">
        <f t="shared" si="56"/>
        <v>0</v>
      </c>
      <c r="AW102" s="405">
        <f t="shared" si="82"/>
        <v>0</v>
      </c>
      <c r="AX102" s="405">
        <f t="shared" si="58"/>
        <v>0</v>
      </c>
      <c r="AY102" s="405">
        <f t="shared" si="59"/>
        <v>0</v>
      </c>
    </row>
    <row r="103" spans="2:51" ht="13.5" thickBot="1" x14ac:dyDescent="0.25">
      <c r="B103" s="345">
        <v>3981.1</v>
      </c>
      <c r="C103" s="728" t="str">
        <f t="shared" si="41"/>
        <v>2.2271548443541</v>
      </c>
      <c r="D103" s="728" t="str">
        <f t="shared" si="42"/>
        <v>1+3.04336866488021i</v>
      </c>
      <c r="E103" s="337">
        <f t="shared" si="61"/>
        <v>3.2034501448242882</v>
      </c>
      <c r="F103" s="338">
        <f t="shared" si="62"/>
        <v>1.2533269121955002</v>
      </c>
      <c r="G103" s="338" t="str">
        <f t="shared" si="43"/>
        <v>1+0.0125069945132063i</v>
      </c>
      <c r="H103" s="337">
        <f t="shared" si="63"/>
        <v>1.0000782093975218</v>
      </c>
      <c r="I103" s="338">
        <f t="shared" si="64"/>
        <v>1.2506342439234566E-2</v>
      </c>
      <c r="J103" s="340">
        <f t="shared" si="44"/>
        <v>1</v>
      </c>
      <c r="K103" s="338">
        <f t="shared" si="65"/>
        <v>1</v>
      </c>
      <c r="L103" s="339">
        <f t="shared" si="66"/>
        <v>0</v>
      </c>
      <c r="M103" s="731" t="str">
        <f t="shared" si="45"/>
        <v>0.999295593012889+0.0539162978617944i</v>
      </c>
      <c r="N103" s="338">
        <f t="shared" si="67"/>
        <v>1.0007490441614737</v>
      </c>
      <c r="O103" s="339">
        <f t="shared" si="68"/>
        <v>5.3902040043485408E-2</v>
      </c>
      <c r="P103" s="732" t="str">
        <f t="shared" si="60"/>
        <v>0.18938058511482-0.668461454920643i</v>
      </c>
      <c r="Q103" s="337">
        <f t="shared" si="69"/>
        <v>0.69477026615497472</v>
      </c>
      <c r="R103" s="339">
        <f t="shared" si="70"/>
        <v>-1.2947226097997515</v>
      </c>
      <c r="S103" s="731" t="str">
        <f t="shared" si="46"/>
        <v>6000</v>
      </c>
      <c r="T103" s="337" t="str">
        <f t="shared" si="47"/>
        <v>1+25264.1289166768i</v>
      </c>
      <c r="U103" s="346">
        <f t="shared" si="71"/>
        <v>25264.128936467703</v>
      </c>
      <c r="V103" s="347">
        <f t="shared" si="72"/>
        <v>1.5707567449829618</v>
      </c>
      <c r="W103" s="340" t="str">
        <f t="shared" si="48"/>
        <v>1+250.139890264127i</v>
      </c>
      <c r="X103" s="337">
        <f t="shared" si="73"/>
        <v>250.14188913764423</v>
      </c>
      <c r="Y103" s="339">
        <f t="shared" si="74"/>
        <v>1.5667985850847459</v>
      </c>
      <c r="Z103" s="337" t="str">
        <f t="shared" si="49"/>
        <v>1+2.51977321033358i</v>
      </c>
      <c r="AA103" s="346">
        <f t="shared" si="75"/>
        <v>2.7109513148551367</v>
      </c>
      <c r="AB103" s="347">
        <f t="shared" si="76"/>
        <v>1.1929988123981312</v>
      </c>
      <c r="AC103" s="732" t="str">
        <f t="shared" si="77"/>
        <v>8.00263910967984-20.3999751171341i</v>
      </c>
      <c r="AD103" s="337">
        <f t="shared" si="78"/>
        <v>21.913493959190255</v>
      </c>
      <c r="AE103" s="339">
        <f t="shared" si="79"/>
        <v>-1.1969569722963465</v>
      </c>
      <c r="AF103" s="736" t="str">
        <f t="shared" si="50"/>
        <v>-12.1210525700905-9.21281500647205i</v>
      </c>
      <c r="AG103" s="337">
        <f t="shared" si="80"/>
        <v>23.651057044714562</v>
      </c>
      <c r="AH103" s="730">
        <f t="shared" si="81"/>
        <v>-142.7627239530272</v>
      </c>
      <c r="AI103" s="360">
        <f t="shared" si="51"/>
        <v>37.237276046972795</v>
      </c>
      <c r="AL103" s="337">
        <f t="shared" si="52"/>
        <v>26.814232568301929</v>
      </c>
      <c r="AM103" s="730">
        <f t="shared" si="53"/>
        <v>-68.580582771338058</v>
      </c>
      <c r="AN103" s="351"/>
      <c r="AO103" s="337">
        <f t="shared" si="54"/>
        <v>50.365946961454767</v>
      </c>
      <c r="AP103" s="730">
        <f t="shared" si="55"/>
        <v>-74.182141181689104</v>
      </c>
      <c r="AS103" s="351"/>
      <c r="AT103" s="351"/>
      <c r="AV103" s="405">
        <f t="shared" si="56"/>
        <v>0</v>
      </c>
      <c r="AW103" s="405">
        <f t="shared" si="82"/>
        <v>0</v>
      </c>
      <c r="AX103" s="405">
        <f t="shared" si="58"/>
        <v>0</v>
      </c>
      <c r="AY103" s="405">
        <f t="shared" si="59"/>
        <v>0</v>
      </c>
    </row>
    <row r="104" spans="2:51" ht="13.5" thickBot="1" x14ac:dyDescent="0.25">
      <c r="B104" s="345">
        <v>4365.2</v>
      </c>
      <c r="C104" s="728" t="str">
        <f t="shared" si="41"/>
        <v>2.2271548443541</v>
      </c>
      <c r="D104" s="728" t="str">
        <f t="shared" si="42"/>
        <v>1+3.33699552785287i</v>
      </c>
      <c r="E104" s="337">
        <f t="shared" si="61"/>
        <v>3.4836100747514855</v>
      </c>
      <c r="F104" s="338">
        <f t="shared" si="62"/>
        <v>1.2796416108634641</v>
      </c>
      <c r="G104" s="338" t="str">
        <f t="shared" si="43"/>
        <v>1+0.0137136802514502i</v>
      </c>
      <c r="H104" s="337">
        <f t="shared" si="63"/>
        <v>1.0000940280923785</v>
      </c>
      <c r="I104" s="338">
        <f t="shared" si="64"/>
        <v>1.3712820660565644E-2</v>
      </c>
      <c r="J104" s="340">
        <f t="shared" si="44"/>
        <v>1</v>
      </c>
      <c r="K104" s="338">
        <f t="shared" si="65"/>
        <v>1</v>
      </c>
      <c r="L104" s="339">
        <f t="shared" si="66"/>
        <v>0</v>
      </c>
      <c r="M104" s="731" t="str">
        <f t="shared" si="45"/>
        <v>0.999153112398222+0.0591181893010234i</v>
      </c>
      <c r="N104" s="338">
        <f t="shared" si="67"/>
        <v>1.0009005456693916</v>
      </c>
      <c r="O104" s="339">
        <f t="shared" si="68"/>
        <v>5.9099395687927478E-2</v>
      </c>
      <c r="P104" s="732" t="str">
        <f t="shared" si="60"/>
        <v>0.155423072258367-0.619612903070067i</v>
      </c>
      <c r="Q104" s="337">
        <f t="shared" si="69"/>
        <v>0.63880864195872133</v>
      </c>
      <c r="R104" s="339">
        <f t="shared" si="70"/>
        <v>-1.3250281858908255</v>
      </c>
      <c r="S104" s="731" t="str">
        <f t="shared" si="46"/>
        <v>6000</v>
      </c>
      <c r="T104" s="337" t="str">
        <f t="shared" si="47"/>
        <v>1+27701.6341079293i</v>
      </c>
      <c r="U104" s="346">
        <f t="shared" si="71"/>
        <v>27701.634125978781</v>
      </c>
      <c r="V104" s="347">
        <f t="shared" si="72"/>
        <v>1.5707602278414678</v>
      </c>
      <c r="W104" s="340" t="str">
        <f t="shared" si="48"/>
        <v>1+274.273605029003i</v>
      </c>
      <c r="X104" s="337">
        <f t="shared" si="73"/>
        <v>274.27542802009361</v>
      </c>
      <c r="Y104" s="339">
        <f t="shared" si="74"/>
        <v>1.5671503486526028</v>
      </c>
      <c r="Z104" s="337" t="str">
        <f t="shared" si="49"/>
        <v>1+2.76288312721311i</v>
      </c>
      <c r="AA104" s="346">
        <f t="shared" si="75"/>
        <v>2.9382857544219374</v>
      </c>
      <c r="AB104" s="347">
        <f t="shared" si="76"/>
        <v>1.223523721042723</v>
      </c>
      <c r="AC104" s="732" t="str">
        <f t="shared" si="77"/>
        <v>6.81221895068808-19.0358140258415i</v>
      </c>
      <c r="AD104" s="337">
        <f t="shared" si="78"/>
        <v>20.218025191856345</v>
      </c>
      <c r="AE104" s="339">
        <f t="shared" si="79"/>
        <v>-1.2271336002315882</v>
      </c>
      <c r="AF104" s="736" t="str">
        <f t="shared" si="50"/>
        <v>-10.7360599926409-7.17954345921997i</v>
      </c>
      <c r="AG104" s="337">
        <f t="shared" si="80"/>
        <v>22.22219032182808</v>
      </c>
      <c r="AH104" s="730">
        <f t="shared" si="81"/>
        <v>-146.22809897938404</v>
      </c>
      <c r="AI104" s="360">
        <f t="shared" si="51"/>
        <v>33.771901020615957</v>
      </c>
      <c r="AL104" s="337">
        <f t="shared" si="52"/>
        <v>26.114774666876194</v>
      </c>
      <c r="AM104" s="730">
        <f t="shared" si="53"/>
        <v>-70.309576191963984</v>
      </c>
      <c r="AN104" s="351"/>
      <c r="AO104" s="337">
        <f t="shared" si="54"/>
        <v>49.636538139994038</v>
      </c>
      <c r="AP104" s="730">
        <f t="shared" si="55"/>
        <v>-75.918522787420201</v>
      </c>
      <c r="AS104" s="351"/>
      <c r="AT104" s="351"/>
      <c r="AV104" s="405">
        <f t="shared" si="56"/>
        <v>0</v>
      </c>
      <c r="AW104" s="405">
        <f t="shared" si="82"/>
        <v>0</v>
      </c>
      <c r="AX104" s="405">
        <f t="shared" si="58"/>
        <v>0</v>
      </c>
      <c r="AY104" s="405">
        <f t="shared" si="59"/>
        <v>0</v>
      </c>
    </row>
    <row r="105" spans="2:51" ht="13.5" thickBot="1" x14ac:dyDescent="0.25">
      <c r="B105" s="345">
        <v>4786.3</v>
      </c>
      <c r="C105" s="728" t="str">
        <f t="shared" si="41"/>
        <v>2.2271548443541</v>
      </c>
      <c r="D105" s="728" t="str">
        <f t="shared" si="42"/>
        <v>1+3.65890719668337i</v>
      </c>
      <c r="E105" s="337">
        <f t="shared" si="61"/>
        <v>3.7930992438824163</v>
      </c>
      <c r="F105" s="338">
        <f t="shared" si="62"/>
        <v>1.3040060234144772</v>
      </c>
      <c r="G105" s="338" t="str">
        <f t="shared" si="43"/>
        <v>1+0.0150366049178768i</v>
      </c>
      <c r="H105" s="337">
        <f t="shared" si="63"/>
        <v>1.0001130433543282</v>
      </c>
      <c r="I105" s="338">
        <f t="shared" si="64"/>
        <v>1.5035471815367494E-2</v>
      </c>
      <c r="J105" s="340">
        <f t="shared" si="44"/>
        <v>1</v>
      </c>
      <c r="K105" s="338">
        <f t="shared" si="65"/>
        <v>1</v>
      </c>
      <c r="L105" s="339">
        <f t="shared" si="66"/>
        <v>0</v>
      </c>
      <c r="M105" s="731" t="str">
        <f t="shared" si="45"/>
        <v>0.998981836991556+0.0648211741618916i</v>
      </c>
      <c r="N105" s="338">
        <f t="shared" si="67"/>
        <v>1.0010826615513577</v>
      </c>
      <c r="O105" s="339">
        <f t="shared" si="68"/>
        <v>6.4796403230548333E-2</v>
      </c>
      <c r="P105" s="732" t="str">
        <f t="shared" si="60"/>
        <v>0.126310415877241-0.572830360391108i</v>
      </c>
      <c r="Q105" s="337">
        <f t="shared" si="69"/>
        <v>0.5865909502753075</v>
      </c>
      <c r="R105" s="339">
        <f t="shared" si="70"/>
        <v>-1.3537669548296583</v>
      </c>
      <c r="S105" s="731" t="str">
        <f t="shared" si="46"/>
        <v>6000</v>
      </c>
      <c r="T105" s="337" t="str">
        <f t="shared" si="47"/>
        <v>1+30373.9419341112i</v>
      </c>
      <c r="U105" s="346">
        <f t="shared" si="71"/>
        <v>30373.941950572676</v>
      </c>
      <c r="V105" s="347">
        <f t="shared" si="72"/>
        <v>1.570763403837389</v>
      </c>
      <c r="W105" s="340" t="str">
        <f t="shared" si="48"/>
        <v>1+300.732098357537i</v>
      </c>
      <c r="X105" s="337">
        <f t="shared" si="73"/>
        <v>300.73376096229583</v>
      </c>
      <c r="Y105" s="339">
        <f t="shared" si="74"/>
        <v>1.5674711203410701</v>
      </c>
      <c r="Z105" s="337" t="str">
        <f t="shared" si="49"/>
        <v>1+3.02941159895999i</v>
      </c>
      <c r="AA105" s="346">
        <f t="shared" si="75"/>
        <v>3.190193510731492</v>
      </c>
      <c r="AB105" s="347">
        <f t="shared" si="76"/>
        <v>1.2519611997472446</v>
      </c>
      <c r="AC105" s="732" t="str">
        <f t="shared" si="77"/>
        <v>5.77886558545048-17.7021443590415i</v>
      </c>
      <c r="AD105" s="337">
        <f t="shared" si="78"/>
        <v>18.621525242660674</v>
      </c>
      <c r="AE105" s="339">
        <f t="shared" si="79"/>
        <v>-1.2552534832435633</v>
      </c>
      <c r="AF105" s="736" t="str">
        <f t="shared" si="50"/>
        <v>-9.41039481748824-5.54627487187486i</v>
      </c>
      <c r="AG105" s="337">
        <f t="shared" si="80"/>
        <v>20.767012172575612</v>
      </c>
      <c r="AH105" s="730">
        <f t="shared" si="81"/>
        <v>-149.48585976496875</v>
      </c>
      <c r="AI105" s="360">
        <f t="shared" si="51"/>
        <v>30.514140235031249</v>
      </c>
      <c r="AL105" s="337">
        <f t="shared" si="52"/>
        <v>25.400305001587896</v>
      </c>
      <c r="AM105" s="730">
        <f t="shared" si="53"/>
        <v>-71.920726808951784</v>
      </c>
      <c r="AN105" s="351"/>
      <c r="AO105" s="337">
        <f t="shared" si="54"/>
        <v>48.895829656029839</v>
      </c>
      <c r="AP105" s="730">
        <f t="shared" si="55"/>
        <v>-77.565132956016967</v>
      </c>
      <c r="AS105" s="351"/>
      <c r="AT105" s="351"/>
      <c r="AV105" s="405">
        <f t="shared" si="56"/>
        <v>0</v>
      </c>
      <c r="AW105" s="405">
        <f t="shared" si="82"/>
        <v>0</v>
      </c>
      <c r="AX105" s="405">
        <f t="shared" si="58"/>
        <v>0</v>
      </c>
      <c r="AY105" s="405">
        <f t="shared" si="59"/>
        <v>0</v>
      </c>
    </row>
    <row r="106" spans="2:51" ht="13.5" thickBot="1" x14ac:dyDescent="0.25">
      <c r="B106" s="345">
        <v>5248.1</v>
      </c>
      <c r="C106" s="728" t="str">
        <f t="shared" si="41"/>
        <v>2.2271548443541</v>
      </c>
      <c r="D106" s="728" t="str">
        <f t="shared" si="42"/>
        <v>1+4.01193215195745i</v>
      </c>
      <c r="E106" s="337">
        <f t="shared" si="61"/>
        <v>4.1346825261330444</v>
      </c>
      <c r="F106" s="338">
        <f t="shared" si="62"/>
        <v>1.3265175897569228</v>
      </c>
      <c r="G106" s="338" t="str">
        <f t="shared" si="43"/>
        <v>1+0.0164873924053046i</v>
      </c>
      <c r="H106" s="337">
        <f t="shared" si="63"/>
        <v>1.0001359078186958</v>
      </c>
      <c r="I106" s="338">
        <f t="shared" si="64"/>
        <v>1.6485898703716081E-2</v>
      </c>
      <c r="J106" s="340">
        <f t="shared" si="44"/>
        <v>1</v>
      </c>
      <c r="K106" s="338">
        <f t="shared" si="65"/>
        <v>1</v>
      </c>
      <c r="L106" s="339">
        <f t="shared" si="66"/>
        <v>0</v>
      </c>
      <c r="M106" s="731" t="str">
        <f t="shared" si="45"/>
        <v>0.998775886506222+0.0710753617865622i</v>
      </c>
      <c r="N106" s="338">
        <f t="shared" si="67"/>
        <v>1.0013016421235812</v>
      </c>
      <c r="O106" s="339">
        <f t="shared" si="68"/>
        <v>7.1042711840774153E-2</v>
      </c>
      <c r="P106" s="732" t="str">
        <f t="shared" si="60"/>
        <v>0.101463855363351-0.528370917029361i</v>
      </c>
      <c r="Q106" s="337">
        <f t="shared" si="69"/>
        <v>0.53802485064134631</v>
      </c>
      <c r="R106" s="339">
        <f t="shared" si="70"/>
        <v>-1.3810744028939808</v>
      </c>
      <c r="S106" s="731" t="str">
        <f t="shared" si="46"/>
        <v>6000</v>
      </c>
      <c r="T106" s="337" t="str">
        <f t="shared" si="47"/>
        <v>1+33304.5326587153i</v>
      </c>
      <c r="U106" s="346">
        <f t="shared" si="71"/>
        <v>33304.532673728274</v>
      </c>
      <c r="V106" s="347">
        <f t="shared" si="72"/>
        <v>1.5707663008518833</v>
      </c>
      <c r="W106" s="340" t="str">
        <f t="shared" si="48"/>
        <v>1+329.747848106092i</v>
      </c>
      <c r="X106" s="337">
        <f t="shared" si="73"/>
        <v>329.74936441272837</v>
      </c>
      <c r="Y106" s="339">
        <f t="shared" si="74"/>
        <v>1.5677637158463635</v>
      </c>
      <c r="Z106" s="337" t="str">
        <f t="shared" si="49"/>
        <v>1+3.32170048106092i</v>
      </c>
      <c r="AA106" s="346">
        <f t="shared" si="75"/>
        <v>3.468961528452045</v>
      </c>
      <c r="AB106" s="347">
        <f t="shared" si="76"/>
        <v>1.2783759367298615</v>
      </c>
      <c r="AC106" s="732" t="str">
        <f t="shared" si="77"/>
        <v>4.88739761671712-16.4128429531717i</v>
      </c>
      <c r="AD106" s="337">
        <f t="shared" si="78"/>
        <v>17.125071365380354</v>
      </c>
      <c r="AE106" s="339">
        <f t="shared" si="79"/>
        <v>-1.2813785217353815</v>
      </c>
      <c r="AF106" s="736" t="str">
        <f t="shared" si="50"/>
        <v>-8.17617467734044-4.24766908413395i</v>
      </c>
      <c r="AG106" s="337">
        <f t="shared" si="80"/>
        <v>19.288694512215237</v>
      </c>
      <c r="AH106" s="730">
        <f t="shared" si="81"/>
        <v>-152.5473157335251</v>
      </c>
      <c r="AI106" s="360">
        <f t="shared" si="51"/>
        <v>27.452684266474904</v>
      </c>
      <c r="AL106" s="337">
        <f t="shared" si="52"/>
        <v>24.672647800108308</v>
      </c>
      <c r="AM106" s="730">
        <f t="shared" si="53"/>
        <v>-73.417581254149781</v>
      </c>
      <c r="AN106" s="351"/>
      <c r="AO106" s="337">
        <f t="shared" si="54"/>
        <v>48.14516919714908</v>
      </c>
      <c r="AP106" s="730">
        <f t="shared" si="55"/>
        <v>-79.129734479375358</v>
      </c>
      <c r="AS106" s="351"/>
      <c r="AT106" s="351"/>
      <c r="AV106" s="405">
        <f t="shared" si="56"/>
        <v>0</v>
      </c>
      <c r="AW106" s="405">
        <f t="shared" si="82"/>
        <v>0</v>
      </c>
      <c r="AX106" s="405">
        <f t="shared" si="58"/>
        <v>0</v>
      </c>
      <c r="AY106" s="405">
        <f t="shared" si="59"/>
        <v>0</v>
      </c>
    </row>
    <row r="107" spans="2:51" ht="13.5" thickBot="1" x14ac:dyDescent="0.25">
      <c r="B107" s="345">
        <v>5370.3</v>
      </c>
      <c r="C107" s="728" t="str">
        <f t="shared" si="41"/>
        <v>2.2271548443541</v>
      </c>
      <c r="D107" s="728" t="str">
        <f t="shared" si="42"/>
        <v>1+4.10534845670949i</v>
      </c>
      <c r="E107" s="337">
        <f t="shared" si="61"/>
        <v>4.2253858937388182</v>
      </c>
      <c r="F107" s="338">
        <f t="shared" si="62"/>
        <v>1.3318646639074396</v>
      </c>
      <c r="G107" s="338" t="str">
        <f t="shared" si="43"/>
        <v>1+0.0168712950275733i</v>
      </c>
      <c r="H107" s="337">
        <f t="shared" si="63"/>
        <v>1.0001423101718612</v>
      </c>
      <c r="I107" s="338">
        <f t="shared" si="64"/>
        <v>1.6869694549077642E-2</v>
      </c>
      <c r="J107" s="340">
        <f t="shared" si="44"/>
        <v>1</v>
      </c>
      <c r="K107" s="338">
        <f t="shared" si="65"/>
        <v>1</v>
      </c>
      <c r="L107" s="339">
        <f t="shared" si="66"/>
        <v>0</v>
      </c>
      <c r="M107" s="731" t="str">
        <f t="shared" si="45"/>
        <v>0.998718216796+0.0727303243845153i</v>
      </c>
      <c r="N107" s="338">
        <f t="shared" si="67"/>
        <v>1.0013629594933393</v>
      </c>
      <c r="O107" s="339">
        <f t="shared" si="68"/>
        <v>7.269534169438964E-2</v>
      </c>
      <c r="P107" s="732" t="str">
        <f t="shared" si="60"/>
        <v>0.0958577835080797-0.517645912838574i</v>
      </c>
      <c r="Q107" s="337">
        <f t="shared" si="69"/>
        <v>0.52644658393569466</v>
      </c>
      <c r="R107" s="339">
        <f t="shared" si="70"/>
        <v>-1.3876903110527516</v>
      </c>
      <c r="S107" s="731" t="str">
        <f t="shared" si="46"/>
        <v>6000</v>
      </c>
      <c r="T107" s="337" t="str">
        <f t="shared" si="47"/>
        <v>1+34080.015955698i</v>
      </c>
      <c r="U107" s="346">
        <f t="shared" si="71"/>
        <v>34080.01597036935</v>
      </c>
      <c r="V107" s="347">
        <f t="shared" si="72"/>
        <v>1.5707669840856382</v>
      </c>
      <c r="W107" s="340" t="str">
        <f t="shared" si="48"/>
        <v>1+337.425900551465i</v>
      </c>
      <c r="X107" s="337">
        <f t="shared" si="73"/>
        <v>337.42738235502935</v>
      </c>
      <c r="Y107" s="339">
        <f t="shared" si="74"/>
        <v>1.5678327218353707</v>
      </c>
      <c r="Z107" s="337" t="str">
        <f t="shared" si="49"/>
        <v>1+3.39904500551465i</v>
      </c>
      <c r="AA107" s="346">
        <f t="shared" si="75"/>
        <v>3.543092850817501</v>
      </c>
      <c r="AB107" s="347">
        <f t="shared" si="76"/>
        <v>1.2846688308235781</v>
      </c>
      <c r="AC107" s="732" t="str">
        <f t="shared" si="77"/>
        <v>4.68502130848151-16.0989114035317i</v>
      </c>
      <c r="AD107" s="337">
        <f t="shared" si="78"/>
        <v>16.766763940596555</v>
      </c>
      <c r="AE107" s="339">
        <f t="shared" si="79"/>
        <v>-1.2876030930738465</v>
      </c>
      <c r="AF107" s="736" t="str">
        <f t="shared" si="50"/>
        <v>-7.88443993086933-3.96838809593258i</v>
      </c>
      <c r="AG107" s="337">
        <f t="shared" si="80"/>
        <v>18.916071237541729</v>
      </c>
      <c r="AH107" s="730">
        <f t="shared" si="81"/>
        <v>-153.28302101564097</v>
      </c>
      <c r="AI107" s="360">
        <f t="shared" si="51"/>
        <v>26.716978984359031</v>
      </c>
      <c r="AL107" s="337">
        <f t="shared" si="52"/>
        <v>24.488984998862602</v>
      </c>
      <c r="AM107" s="730">
        <f t="shared" si="53"/>
        <v>-73.774222921121918</v>
      </c>
      <c r="AN107" s="351"/>
      <c r="AO107" s="337">
        <f t="shared" si="54"/>
        <v>47.956208723721275</v>
      </c>
      <c r="AP107" s="730">
        <f t="shared" si="55"/>
        <v>-79.508798094519079</v>
      </c>
      <c r="AS107" s="351"/>
      <c r="AT107" s="351"/>
      <c r="AV107" s="405">
        <f t="shared" si="56"/>
        <v>0</v>
      </c>
      <c r="AW107" s="405">
        <f t="shared" si="82"/>
        <v>0</v>
      </c>
      <c r="AX107" s="405">
        <f t="shared" si="58"/>
        <v>0</v>
      </c>
      <c r="AY107" s="405">
        <f t="shared" si="59"/>
        <v>0</v>
      </c>
    </row>
    <row r="108" spans="2:51" ht="13.5" thickBot="1" x14ac:dyDescent="0.25">
      <c r="B108" s="345">
        <v>5432.85</v>
      </c>
      <c r="C108" s="728" t="str">
        <f t="shared" si="41"/>
        <v>2.2271548443541</v>
      </c>
      <c r="D108" s="728" t="str">
        <f t="shared" si="42"/>
        <v>1+4.15316506769346i</v>
      </c>
      <c r="E108" s="337">
        <f t="shared" si="61"/>
        <v>4.2718590893789115</v>
      </c>
      <c r="F108" s="338">
        <f t="shared" si="62"/>
        <v>1.3345137495767478</v>
      </c>
      <c r="G108" s="338" t="str">
        <f t="shared" si="43"/>
        <v>1+0.0170678016480553i</v>
      </c>
      <c r="H108" s="337">
        <f t="shared" si="63"/>
        <v>1.0001456443204146</v>
      </c>
      <c r="I108" s="338">
        <f t="shared" si="64"/>
        <v>1.7066144598077721E-2</v>
      </c>
      <c r="J108" s="340">
        <f t="shared" si="44"/>
        <v>1</v>
      </c>
      <c r="K108" s="338">
        <f t="shared" si="65"/>
        <v>1</v>
      </c>
      <c r="L108" s="339">
        <f t="shared" si="66"/>
        <v>0</v>
      </c>
      <c r="M108" s="731" t="str">
        <f t="shared" si="45"/>
        <v>0.998688184039+0.073577443128394i</v>
      </c>
      <c r="N108" s="338">
        <f t="shared" si="67"/>
        <v>1.0013948916768187</v>
      </c>
      <c r="O108" s="339">
        <f t="shared" si="68"/>
        <v>7.3541224581714873E-2</v>
      </c>
      <c r="P108" s="732" t="str">
        <f t="shared" si="60"/>
        <v>0.0931228936253286-0.512309820422874i</v>
      </c>
      <c r="Q108" s="337">
        <f t="shared" si="69"/>
        <v>0.52070454714633674</v>
      </c>
      <c r="R108" s="339">
        <f t="shared" si="70"/>
        <v>-1.3909888295603852</v>
      </c>
      <c r="S108" s="731" t="str">
        <f t="shared" si="46"/>
        <v>6000</v>
      </c>
      <c r="T108" s="337" t="str">
        <f t="shared" si="47"/>
        <v>1+34476.9593290717i</v>
      </c>
      <c r="U108" s="346">
        <f t="shared" si="71"/>
        <v>34476.959343574141</v>
      </c>
      <c r="V108" s="347">
        <f t="shared" si="72"/>
        <v>1.5707673219168801</v>
      </c>
      <c r="W108" s="340" t="str">
        <f t="shared" si="48"/>
        <v>1+341.356032961106i</v>
      </c>
      <c r="X108" s="337">
        <f t="shared" si="73"/>
        <v>341.35749770430368</v>
      </c>
      <c r="Y108" s="339">
        <f t="shared" si="74"/>
        <v>1.5678668424945965</v>
      </c>
      <c r="Z108" s="337" t="str">
        <f t="shared" si="49"/>
        <v>1+3.43863502191875i</v>
      </c>
      <c r="AA108" s="346">
        <f t="shared" si="75"/>
        <v>3.5810907296473466</v>
      </c>
      <c r="AB108" s="347">
        <f t="shared" si="76"/>
        <v>1.287789074620012</v>
      </c>
      <c r="AC108" s="732" t="str">
        <f t="shared" si="77"/>
        <v>4.58612606192371-15.9423198974071i</v>
      </c>
      <c r="AD108" s="337">
        <f t="shared" si="78"/>
        <v>16.588855173492782</v>
      </c>
      <c r="AE108" s="339">
        <f t="shared" si="79"/>
        <v>-1.2906895540422945</v>
      </c>
      <c r="AF108" s="736" t="str">
        <f t="shared" si="50"/>
        <v>-7.74033371434777-3.834112379168i</v>
      </c>
      <c r="AG108" s="337">
        <f t="shared" si="80"/>
        <v>18.72815571736384</v>
      </c>
      <c r="AH108" s="730">
        <f t="shared" si="81"/>
        <v>-153.64885339189811</v>
      </c>
      <c r="AI108" s="360">
        <f t="shared" si="51"/>
        <v>26.351146608101885</v>
      </c>
      <c r="AL108" s="337">
        <f t="shared" si="52"/>
        <v>24.396328312421542</v>
      </c>
      <c r="AM108" s="730">
        <f t="shared" si="53"/>
        <v>-73.951064108245859</v>
      </c>
      <c r="AN108" s="351"/>
      <c r="AO108" s="337">
        <f t="shared" si="54"/>
        <v>47.860949889984425</v>
      </c>
      <c r="AP108" s="730">
        <f t="shared" si="55"/>
        <v>-79.697789283652256</v>
      </c>
      <c r="AS108" s="351"/>
      <c r="AT108" s="351"/>
      <c r="AV108" s="405">
        <f t="shared" si="56"/>
        <v>0</v>
      </c>
      <c r="AW108" s="405">
        <f t="shared" si="82"/>
        <v>0</v>
      </c>
      <c r="AX108" s="405">
        <f t="shared" si="58"/>
        <v>0</v>
      </c>
      <c r="AY108" s="405">
        <f t="shared" si="59"/>
        <v>0</v>
      </c>
    </row>
    <row r="109" spans="2:51" ht="13.5" thickBot="1" x14ac:dyDescent="0.25">
      <c r="B109" s="345">
        <v>5495.4</v>
      </c>
      <c r="C109" s="728" t="str">
        <f t="shared" si="41"/>
        <v>2.2271548443541</v>
      </c>
      <c r="D109" s="728" t="str">
        <f t="shared" si="42"/>
        <v>1+4.20098167867742i</v>
      </c>
      <c r="E109" s="337">
        <f t="shared" si="61"/>
        <v>4.318361618088896</v>
      </c>
      <c r="F109" s="338">
        <f t="shared" si="62"/>
        <v>1.337105799444418</v>
      </c>
      <c r="G109" s="338" t="str">
        <f t="shared" si="43"/>
        <v>1+0.0172643082685373i</v>
      </c>
      <c r="H109" s="337">
        <f t="shared" si="63"/>
        <v>1.0001490170669525</v>
      </c>
      <c r="I109" s="338">
        <f t="shared" si="64"/>
        <v>1.7262593329704222E-2</v>
      </c>
      <c r="J109" s="340">
        <f t="shared" si="44"/>
        <v>1</v>
      </c>
      <c r="K109" s="338">
        <f t="shared" si="65"/>
        <v>1</v>
      </c>
      <c r="L109" s="339">
        <f t="shared" si="66"/>
        <v>0</v>
      </c>
      <c r="M109" s="731" t="str">
        <f t="shared" si="45"/>
        <v>0.998657803504+0.0744245618722726i</v>
      </c>
      <c r="N109" s="338">
        <f t="shared" si="67"/>
        <v>1.0014271935139936</v>
      </c>
      <c r="O109" s="339">
        <f t="shared" si="68"/>
        <v>7.4387078728567937E-2</v>
      </c>
      <c r="P109" s="732" t="str">
        <f t="shared" si="60"/>
        <v>0.090474253149581-0.50707427588904i</v>
      </c>
      <c r="Q109" s="337">
        <f t="shared" si="69"/>
        <v>0.51508243199644144</v>
      </c>
      <c r="R109" s="339">
        <f t="shared" si="70"/>
        <v>-1.3942302848432815</v>
      </c>
      <c r="S109" s="731" t="str">
        <f t="shared" si="46"/>
        <v>6000</v>
      </c>
      <c r="T109" s="337" t="str">
        <f t="shared" si="47"/>
        <v>1+34873.9027024454i</v>
      </c>
      <c r="U109" s="346">
        <f t="shared" si="71"/>
        <v>34873.902716782766</v>
      </c>
      <c r="V109" s="347">
        <f t="shared" si="72"/>
        <v>1.5707676520575649</v>
      </c>
      <c r="W109" s="340" t="str">
        <f t="shared" si="48"/>
        <v>1+345.286165370747i</v>
      </c>
      <c r="X109" s="337">
        <f t="shared" si="73"/>
        <v>345.28761344194618</v>
      </c>
      <c r="Y109" s="339">
        <f t="shared" si="74"/>
        <v>1.5679001864208728</v>
      </c>
      <c r="Z109" s="337" t="str">
        <f t="shared" si="49"/>
        <v>1+3.47822503832286i</v>
      </c>
      <c r="AA109" s="346">
        <f t="shared" si="75"/>
        <v>3.6191227413858269</v>
      </c>
      <c r="AB109" s="347">
        <f t="shared" si="76"/>
        <v>1.2908437686804628</v>
      </c>
      <c r="AC109" s="732" t="str">
        <f t="shared" si="77"/>
        <v>4.4902447265999-15.7884266104117i</v>
      </c>
      <c r="AD109" s="337">
        <f t="shared" si="78"/>
        <v>16.414527484430199</v>
      </c>
      <c r="AE109" s="339">
        <f t="shared" si="79"/>
        <v>-1.2937112343171557</v>
      </c>
      <c r="AF109" s="736" t="str">
        <f t="shared" si="50"/>
        <v>-7.59965345280379-3.70533369928919i</v>
      </c>
      <c r="AG109" s="337">
        <f t="shared" si="80"/>
        <v>18.542102460750193</v>
      </c>
      <c r="AH109" s="730">
        <f t="shared" si="81"/>
        <v>-154.00770462587599</v>
      </c>
      <c r="AI109" s="360">
        <f t="shared" si="51"/>
        <v>25.992295374124012</v>
      </c>
      <c r="AL109" s="337">
        <f t="shared" si="52"/>
        <v>24.304567709192412</v>
      </c>
      <c r="AM109" s="730">
        <f t="shared" si="53"/>
        <v>-74.124193635033336</v>
      </c>
      <c r="AN109" s="351"/>
      <c r="AO109" s="337">
        <f t="shared" si="54"/>
        <v>47.766657236599912</v>
      </c>
      <c r="AP109" s="730">
        <f t="shared" si="55"/>
        <v>-79.883510990842638</v>
      </c>
      <c r="AS109" s="351"/>
      <c r="AT109" s="351"/>
      <c r="AV109" s="405">
        <f t="shared" si="56"/>
        <v>0</v>
      </c>
      <c r="AW109" s="405">
        <f t="shared" si="82"/>
        <v>0</v>
      </c>
      <c r="AX109" s="405">
        <f t="shared" si="58"/>
        <v>0</v>
      </c>
      <c r="AY109" s="405">
        <f t="shared" si="59"/>
        <v>0</v>
      </c>
    </row>
    <row r="110" spans="2:51" ht="13.5" thickBot="1" x14ac:dyDescent="0.25">
      <c r="B110" s="345">
        <v>5559.4</v>
      </c>
      <c r="C110" s="728" t="str">
        <f t="shared" si="41"/>
        <v>2.2271548443541</v>
      </c>
      <c r="D110" s="728" t="str">
        <f t="shared" si="42"/>
        <v>1+4.24990674826933i</v>
      </c>
      <c r="E110" s="337">
        <f t="shared" si="61"/>
        <v>4.3659715263598766</v>
      </c>
      <c r="F110" s="338">
        <f t="shared" si="62"/>
        <v>1.3397007676032244</v>
      </c>
      <c r="G110" s="338" t="str">
        <f t="shared" si="43"/>
        <v>1+0.0174653701983671i</v>
      </c>
      <c r="H110" s="337">
        <f t="shared" si="63"/>
        <v>1.0001525079487459</v>
      </c>
      <c r="I110" s="338">
        <f t="shared" si="64"/>
        <v>1.7463594649393805E-2</v>
      </c>
      <c r="J110" s="340">
        <f t="shared" si="44"/>
        <v>1</v>
      </c>
      <c r="K110" s="338">
        <f t="shared" si="65"/>
        <v>1</v>
      </c>
      <c r="L110" s="339">
        <f t="shared" si="66"/>
        <v>0</v>
      </c>
      <c r="M110" s="731" t="str">
        <f t="shared" si="45"/>
        <v>0.998626358739556+0.0752913180610534i</v>
      </c>
      <c r="N110" s="338">
        <f t="shared" si="67"/>
        <v>1.0014606267571358</v>
      </c>
      <c r="O110" s="339">
        <f t="shared" si="68"/>
        <v>7.525251091470149E-2</v>
      </c>
      <c r="P110" s="732" t="str">
        <f t="shared" si="60"/>
        <v>0.0878498191792631-0.501818757746583i</v>
      </c>
      <c r="Q110" s="337">
        <f t="shared" si="69"/>
        <v>0.50945034729220962</v>
      </c>
      <c r="R110" s="339">
        <f t="shared" si="70"/>
        <v>-1.3974896838685318</v>
      </c>
      <c r="S110" s="731" t="str">
        <f t="shared" si="46"/>
        <v>6000</v>
      </c>
      <c r="T110" s="337" t="str">
        <f t="shared" si="47"/>
        <v>1+35280.0478007015i</v>
      </c>
      <c r="U110" s="346">
        <f t="shared" si="71"/>
        <v>35280.047814873811</v>
      </c>
      <c r="V110" s="347">
        <f t="shared" si="72"/>
        <v>1.5707679821621063</v>
      </c>
      <c r="W110" s="340" t="str">
        <f t="shared" si="48"/>
        <v>1+349.307403967342i</v>
      </c>
      <c r="X110" s="337">
        <f t="shared" si="73"/>
        <v>349.30883536836541</v>
      </c>
      <c r="Y110" s="339">
        <f t="shared" si="74"/>
        <v>1.5679335267031551</v>
      </c>
      <c r="Z110" s="337" t="str">
        <f t="shared" si="49"/>
        <v>1+3.51873280890419i</v>
      </c>
      <c r="AA110" s="346">
        <f t="shared" si="75"/>
        <v>3.6580706090039827</v>
      </c>
      <c r="AB110" s="347">
        <f t="shared" si="76"/>
        <v>1.2939035023314029</v>
      </c>
      <c r="AC110" s="732" t="str">
        <f t="shared" si="77"/>
        <v>4.39513750806164-15.6336985063413i</v>
      </c>
      <c r="AD110" s="337">
        <f t="shared" si="78"/>
        <v>16.239758702085094</v>
      </c>
      <c r="AE110" s="339">
        <f t="shared" si="79"/>
        <v>-1.2967379577903542</v>
      </c>
      <c r="AF110" s="736" t="str">
        <f t="shared" si="50"/>
        <v>-7.45917112808559-3.5789800313061i</v>
      </c>
      <c r="AG110" s="337">
        <f t="shared" si="80"/>
        <v>18.353628692764477</v>
      </c>
      <c r="AH110" s="730">
        <f t="shared" si="81"/>
        <v>-154.3678729145393</v>
      </c>
      <c r="AI110" s="360">
        <f t="shared" si="51"/>
        <v>25.632127085460695</v>
      </c>
      <c r="AL110" s="337">
        <f t="shared" si="52"/>
        <v>24.21159144005944</v>
      </c>
      <c r="AM110" s="730">
        <f t="shared" si="53"/>
        <v>-74.297612115800789</v>
      </c>
      <c r="AN110" s="351"/>
      <c r="AO110" s="337">
        <f t="shared" si="54"/>
        <v>47.671159737747189</v>
      </c>
      <c r="AP110" s="730">
        <f t="shared" si="55"/>
        <v>-80.070260798738531</v>
      </c>
      <c r="AS110" s="351"/>
      <c r="AT110" s="351"/>
      <c r="AV110" s="405">
        <f t="shared" si="56"/>
        <v>0</v>
      </c>
      <c r="AW110" s="405">
        <f t="shared" si="82"/>
        <v>0</v>
      </c>
      <c r="AX110" s="405">
        <f t="shared" si="58"/>
        <v>0</v>
      </c>
      <c r="AY110" s="405">
        <f t="shared" si="59"/>
        <v>0</v>
      </c>
    </row>
    <row r="111" spans="2:51" ht="13.5" thickBot="1" x14ac:dyDescent="0.25">
      <c r="B111" s="345">
        <v>5623.4</v>
      </c>
      <c r="C111" s="728" t="str">
        <f t="shared" si="41"/>
        <v>2.2271548443541</v>
      </c>
      <c r="D111" s="728" t="str">
        <f t="shared" si="42"/>
        <v>1+4.29883181786123i</v>
      </c>
      <c r="E111" s="337">
        <f t="shared" si="61"/>
        <v>4.4136102000806652</v>
      </c>
      <c r="F111" s="338">
        <f t="shared" si="62"/>
        <v>1.3422397345378163</v>
      </c>
      <c r="G111" s="338" t="str">
        <f t="shared" si="43"/>
        <v>1+0.0176664321281969i</v>
      </c>
      <c r="H111" s="337">
        <f t="shared" si="63"/>
        <v>1.0001560392379483</v>
      </c>
      <c r="I111" s="338">
        <f t="shared" si="64"/>
        <v>1.7664594557837938E-2</v>
      </c>
      <c r="J111" s="340">
        <f t="shared" si="44"/>
        <v>1</v>
      </c>
      <c r="K111" s="338">
        <f t="shared" si="65"/>
        <v>1</v>
      </c>
      <c r="L111" s="339">
        <f t="shared" si="66"/>
        <v>0</v>
      </c>
      <c r="M111" s="731" t="str">
        <f t="shared" si="45"/>
        <v>0.998594549886222+0.0761580742498341i</v>
      </c>
      <c r="N111" s="338">
        <f t="shared" si="67"/>
        <v>1.0014944469820637</v>
      </c>
      <c r="O111" s="339">
        <f t="shared" si="68"/>
        <v>7.6117912316271713E-2</v>
      </c>
      <c r="P111" s="732" t="str">
        <f t="shared" si="60"/>
        <v>0.0853084223010343-0.496663146022009i</v>
      </c>
      <c r="Q111" s="337">
        <f t="shared" si="69"/>
        <v>0.50393631297215624</v>
      </c>
      <c r="R111" s="339">
        <f t="shared" si="70"/>
        <v>-1.4006930522962504</v>
      </c>
      <c r="S111" s="731" t="str">
        <f t="shared" si="46"/>
        <v>6000</v>
      </c>
      <c r="T111" s="337" t="str">
        <f t="shared" si="47"/>
        <v>1+35686.1928989576i</v>
      </c>
      <c r="U111" s="346">
        <f t="shared" si="71"/>
        <v>35686.19291296861</v>
      </c>
      <c r="V111" s="347">
        <f t="shared" si="72"/>
        <v>1.5707683047527985</v>
      </c>
      <c r="W111" s="340" t="str">
        <f t="shared" si="48"/>
        <v>1+353.328642563937i</v>
      </c>
      <c r="X111" s="337">
        <f t="shared" si="73"/>
        <v>353.33005767422952</v>
      </c>
      <c r="Y111" s="339">
        <f t="shared" si="74"/>
        <v>1.5679661080990781</v>
      </c>
      <c r="Z111" s="337" t="str">
        <f t="shared" si="49"/>
        <v>1+3.55924057948553i</v>
      </c>
      <c r="AA111" s="346">
        <f t="shared" si="75"/>
        <v>3.6970520016164898</v>
      </c>
      <c r="AB111" s="347">
        <f t="shared" si="76"/>
        <v>1.2968987404057184</v>
      </c>
      <c r="AC111" s="732" t="str">
        <f t="shared" si="77"/>
        <v>4.30294223542498-15.4816741922404i</v>
      </c>
      <c r="AD111" s="337">
        <f t="shared" si="78"/>
        <v>16.068526618084391</v>
      </c>
      <c r="AE111" s="339">
        <f t="shared" si="79"/>
        <v>-1.2997009370594372</v>
      </c>
      <c r="AF111" s="736" t="str">
        <f t="shared" si="50"/>
        <v>-7.32209979664927-3.45783002771581i</v>
      </c>
      <c r="AG111" s="337">
        <f t="shared" si="80"/>
        <v>18.167034214000807</v>
      </c>
      <c r="AH111" s="730">
        <f t="shared" si="81"/>
        <v>-154.72117861257627</v>
      </c>
      <c r="AI111" s="360">
        <f t="shared" si="51"/>
        <v>25.278821387423733</v>
      </c>
      <c r="AL111" s="337">
        <f t="shared" si="52"/>
        <v>24.119521130822172</v>
      </c>
      <c r="AM111" s="730">
        <f t="shared" si="53"/>
        <v>-74.467378322704008</v>
      </c>
      <c r="AN111" s="351"/>
      <c r="AO111" s="337">
        <f t="shared" si="54"/>
        <v>47.576635568220766</v>
      </c>
      <c r="AP111" s="730">
        <f t="shared" si="55"/>
        <v>-80.253800289872231</v>
      </c>
      <c r="AS111" s="351"/>
      <c r="AT111" s="351"/>
      <c r="AV111" s="405">
        <f t="shared" si="56"/>
        <v>0</v>
      </c>
      <c r="AW111" s="405">
        <f t="shared" si="82"/>
        <v>0</v>
      </c>
      <c r="AX111" s="405">
        <f t="shared" si="58"/>
        <v>0</v>
      </c>
      <c r="AY111" s="405">
        <f t="shared" si="59"/>
        <v>0</v>
      </c>
    </row>
    <row r="112" spans="2:51" ht="13.5" thickBot="1" x14ac:dyDescent="0.25">
      <c r="B112" s="345">
        <v>5688.9</v>
      </c>
      <c r="C112" s="728" t="str">
        <f t="shared" si="41"/>
        <v>2.2271548443541</v>
      </c>
      <c r="D112" s="728" t="str">
        <f t="shared" si="42"/>
        <v>1+4.34890356877169i</v>
      </c>
      <c r="E112" s="337">
        <f t="shared" si="61"/>
        <v>4.4623942284915996</v>
      </c>
      <c r="F112" s="338">
        <f t="shared" si="62"/>
        <v>1.344782061106391</v>
      </c>
      <c r="G112" s="338" t="str">
        <f t="shared" si="43"/>
        <v>1+0.017872206447007i</v>
      </c>
      <c r="H112" s="337">
        <f t="shared" si="63"/>
        <v>1.0001596951303748</v>
      </c>
      <c r="I112" s="338">
        <f t="shared" si="64"/>
        <v>1.7870303923456683E-2</v>
      </c>
      <c r="J112" s="340">
        <f t="shared" si="44"/>
        <v>1</v>
      </c>
      <c r="K112" s="338">
        <f t="shared" si="65"/>
        <v>1</v>
      </c>
      <c r="L112" s="339">
        <f t="shared" si="66"/>
        <v>0</v>
      </c>
      <c r="M112" s="731" t="str">
        <f t="shared" si="45"/>
        <v>0.998561618524+0.0770451450367892i</v>
      </c>
      <c r="N112" s="338">
        <f t="shared" si="67"/>
        <v>1.001529460556708</v>
      </c>
      <c r="O112" s="339">
        <f t="shared" si="68"/>
        <v>7.7003564320643675E-2</v>
      </c>
      <c r="P112" s="732" t="str">
        <f t="shared" si="60"/>
        <v>0.0827898952515387-0.491487442624753i</v>
      </c>
      <c r="Q112" s="337">
        <f t="shared" si="69"/>
        <v>0.49841154983966884</v>
      </c>
      <c r="R112" s="339">
        <f t="shared" si="70"/>
        <v>-1.4039153215035782</v>
      </c>
      <c r="S112" s="731" t="str">
        <f t="shared" si="46"/>
        <v>6000</v>
      </c>
      <c r="T112" s="337" t="str">
        <f t="shared" si="47"/>
        <v>1+36101.857022954i</v>
      </c>
      <c r="U112" s="346">
        <f t="shared" si="71"/>
        <v>36101.857036803696</v>
      </c>
      <c r="V112" s="347">
        <f t="shared" si="72"/>
        <v>1.5707686273887662</v>
      </c>
      <c r="W112" s="340" t="str">
        <f t="shared" si="48"/>
        <v>1+357.444128940139i</v>
      </c>
      <c r="X112" s="337">
        <f t="shared" si="73"/>
        <v>357.44552775741192</v>
      </c>
      <c r="Y112" s="339">
        <f t="shared" si="74"/>
        <v>1.5679986940738124</v>
      </c>
      <c r="Z112" s="337" t="str">
        <f t="shared" si="49"/>
        <v>1+3.60069775093985i</v>
      </c>
      <c r="AA112" s="346">
        <f t="shared" si="75"/>
        <v>3.7369806386471014</v>
      </c>
      <c r="AB112" s="347">
        <f t="shared" si="76"/>
        <v>1.299899449623489</v>
      </c>
      <c r="AC112" s="732" t="str">
        <f t="shared" si="77"/>
        <v>4.21148189656844-15.3288243205216i</v>
      </c>
      <c r="AD112" s="337">
        <f t="shared" si="78"/>
        <v>15.896837258226498</v>
      </c>
      <c r="AE112" s="339">
        <f t="shared" si="79"/>
        <v>-1.3026693829384417</v>
      </c>
      <c r="AF112" s="736" t="str">
        <f t="shared" si="50"/>
        <v>-7.18525651866663-3.33896222683009i</v>
      </c>
      <c r="AG112" s="337">
        <f t="shared" si="80"/>
        <v>17.977976520554755</v>
      </c>
      <c r="AH112" s="730">
        <f t="shared" si="81"/>
        <v>-155.07588045919107</v>
      </c>
      <c r="AI112" s="360">
        <f t="shared" si="51"/>
        <v>24.924119540808931</v>
      </c>
      <c r="AL112" s="337">
        <f t="shared" si="52"/>
        <v>24.026214564486111</v>
      </c>
      <c r="AM112" s="730">
        <f t="shared" si="53"/>
        <v>-74.63745774328396</v>
      </c>
      <c r="AN112" s="351"/>
      <c r="AO112" s="337">
        <f t="shared" si="54"/>
        <v>47.480884441110774</v>
      </c>
      <c r="AP112" s="730">
        <f t="shared" si="55"/>
        <v>-80.438422715907095</v>
      </c>
      <c r="AS112" s="351"/>
      <c r="AT112" s="351"/>
      <c r="AV112" s="405">
        <f t="shared" si="56"/>
        <v>0</v>
      </c>
      <c r="AW112" s="405">
        <f t="shared" si="82"/>
        <v>0</v>
      </c>
      <c r="AX112" s="405">
        <f t="shared" si="58"/>
        <v>0</v>
      </c>
      <c r="AY112" s="405">
        <f t="shared" si="59"/>
        <v>0</v>
      </c>
    </row>
    <row r="113" spans="2:51" ht="13.5" thickBot="1" x14ac:dyDescent="0.25">
      <c r="B113" s="345">
        <v>5754.4</v>
      </c>
      <c r="C113" s="728" t="str">
        <f t="shared" si="41"/>
        <v>2.2271548443541</v>
      </c>
      <c r="D113" s="728" t="str">
        <f t="shared" si="42"/>
        <v>1+4.39897531968216i</v>
      </c>
      <c r="E113" s="337">
        <f t="shared" si="61"/>
        <v>4.5112064753425738</v>
      </c>
      <c r="F113" s="338">
        <f t="shared" si="62"/>
        <v>1.3472693863970819</v>
      </c>
      <c r="G113" s="338" t="str">
        <f t="shared" si="43"/>
        <v>1+0.0180779807658171i</v>
      </c>
      <c r="H113" s="337">
        <f t="shared" si="63"/>
        <v>1.000163393345592</v>
      </c>
      <c r="I113" s="338">
        <f t="shared" si="64"/>
        <v>1.8076011776513735E-2</v>
      </c>
      <c r="J113" s="340">
        <f t="shared" si="44"/>
        <v>1</v>
      </c>
      <c r="K113" s="338">
        <f t="shared" si="65"/>
        <v>1</v>
      </c>
      <c r="L113" s="339">
        <f t="shared" si="66"/>
        <v>0</v>
      </c>
      <c r="M113" s="731" t="str">
        <f t="shared" si="45"/>
        <v>0.998528305806222+0.0779322158237445i</v>
      </c>
      <c r="N113" s="338">
        <f t="shared" si="67"/>
        <v>1.0015648794558656</v>
      </c>
      <c r="O113" s="339">
        <f t="shared" si="68"/>
        <v>7.788918333470006E-2</v>
      </c>
      <c r="P113" s="732" t="str">
        <f t="shared" si="60"/>
        <v>0.0803513241203448-0.486410976163343i</v>
      </c>
      <c r="Q113" s="337">
        <f t="shared" si="69"/>
        <v>0.49300301522411494</v>
      </c>
      <c r="R113" s="339">
        <f t="shared" si="70"/>
        <v>-1.4070825579552682</v>
      </c>
      <c r="S113" s="731" t="str">
        <f t="shared" si="46"/>
        <v>6000</v>
      </c>
      <c r="T113" s="337" t="str">
        <f t="shared" si="47"/>
        <v>1+36517.5211469506i</v>
      </c>
      <c r="U113" s="346">
        <f t="shared" si="71"/>
        <v>36517.521160642653</v>
      </c>
      <c r="V113" s="347">
        <f t="shared" si="72"/>
        <v>1.5707689426798652</v>
      </c>
      <c r="W113" s="340" t="str">
        <f t="shared" si="48"/>
        <v>1+361.559615316342i</v>
      </c>
      <c r="X113" s="337">
        <f t="shared" si="73"/>
        <v>361.56099821150679</v>
      </c>
      <c r="Y113" s="339">
        <f t="shared" si="74"/>
        <v>1.5680305382284341</v>
      </c>
      <c r="Z113" s="337" t="str">
        <f t="shared" si="49"/>
        <v>1+3.64215492239419i</v>
      </c>
      <c r="AA113" s="346">
        <f t="shared" si="75"/>
        <v>3.7769422127853938</v>
      </c>
      <c r="AB113" s="347">
        <f t="shared" si="76"/>
        <v>1.3028366873936155</v>
      </c>
      <c r="AC113" s="732" t="str">
        <f t="shared" si="77"/>
        <v>4.12283498444093-15.1786816437968i</v>
      </c>
      <c r="AD113" s="337">
        <f t="shared" si="78"/>
        <v>15.728640906087975</v>
      </c>
      <c r="AE113" s="339">
        <f t="shared" si="79"/>
        <v>-1.3055750918450455</v>
      </c>
      <c r="AF113" s="736" t="str">
        <f t="shared" si="50"/>
        <v>-7.05180210510231-3.22501935782254i</v>
      </c>
      <c r="AG113" s="337">
        <f t="shared" si="80"/>
        <v>17.790815455998136</v>
      </c>
      <c r="AH113" s="730">
        <f t="shared" si="81"/>
        <v>-155.42383459743485</v>
      </c>
      <c r="AI113" s="360">
        <f t="shared" si="51"/>
        <v>24.576165402565152</v>
      </c>
      <c r="AL113" s="337">
        <f t="shared" si="52"/>
        <v>23.933823947078668</v>
      </c>
      <c r="AM113" s="730">
        <f t="shared" si="53"/>
        <v>-74.803942600125936</v>
      </c>
      <c r="AN113" s="351"/>
      <c r="AO113" s="337">
        <f t="shared" si="54"/>
        <v>47.386113993961601</v>
      </c>
      <c r="AP113" s="730">
        <f t="shared" si="55"/>
        <v>-80.619891997308955</v>
      </c>
      <c r="AS113" s="351"/>
      <c r="AT113" s="351"/>
      <c r="AV113" s="405">
        <f t="shared" si="56"/>
        <v>0</v>
      </c>
      <c r="AW113" s="405">
        <f t="shared" si="82"/>
        <v>0</v>
      </c>
      <c r="AX113" s="405">
        <f t="shared" si="58"/>
        <v>0</v>
      </c>
      <c r="AY113" s="405">
        <f t="shared" si="59"/>
        <v>0</v>
      </c>
    </row>
    <row r="114" spans="2:51" ht="13.5" thickBot="1" x14ac:dyDescent="0.25">
      <c r="B114" s="345">
        <v>5821.4</v>
      </c>
      <c r="C114" s="728" t="str">
        <f t="shared" si="41"/>
        <v>2.2271548443541</v>
      </c>
      <c r="D114" s="728" t="str">
        <f t="shared" si="42"/>
        <v>1+4.45019375191118i</v>
      </c>
      <c r="E114" s="337">
        <f t="shared" si="61"/>
        <v>4.5611648106102569</v>
      </c>
      <c r="F114" s="338">
        <f t="shared" si="62"/>
        <v>1.3497585776101373</v>
      </c>
      <c r="G114" s="338" t="str">
        <f t="shared" si="43"/>
        <v>1+0.0182884674736076i</v>
      </c>
      <c r="H114" s="337">
        <f t="shared" si="63"/>
        <v>1.0001672200399958</v>
      </c>
      <c r="I114" s="338">
        <f t="shared" si="64"/>
        <v>1.8286428913386304E-2</v>
      </c>
      <c r="J114" s="340">
        <f t="shared" si="44"/>
        <v>1</v>
      </c>
      <c r="K114" s="338">
        <f t="shared" si="65"/>
        <v>1</v>
      </c>
      <c r="L114" s="339">
        <f t="shared" si="66"/>
        <v>0</v>
      </c>
      <c r="M114" s="731" t="str">
        <f t="shared" si="45"/>
        <v>0.998493835646222+0.0788396012088742i</v>
      </c>
      <c r="N114" s="338">
        <f t="shared" si="67"/>
        <v>1.0016015288238527</v>
      </c>
      <c r="O114" s="339">
        <f t="shared" si="68"/>
        <v>7.8795049174882101E-2</v>
      </c>
      <c r="P114" s="732" t="str">
        <f t="shared" si="60"/>
        <v>0.0779362066547947-0.481318204179241i</v>
      </c>
      <c r="Q114" s="337">
        <f t="shared" si="69"/>
        <v>0.48758718808236579</v>
      </c>
      <c r="R114" s="339">
        <f t="shared" si="70"/>
        <v>-1.410267197871633</v>
      </c>
      <c r="S114" s="731" t="str">
        <f t="shared" si="46"/>
        <v>6000</v>
      </c>
      <c r="T114" s="337" t="str">
        <f t="shared" si="47"/>
        <v>1+36942.7042966874i</v>
      </c>
      <c r="U114" s="346">
        <f t="shared" si="71"/>
        <v>36942.704310221867</v>
      </c>
      <c r="V114" s="347">
        <f t="shared" si="72"/>
        <v>1.5707692578507357</v>
      </c>
      <c r="W114" s="340" t="str">
        <f t="shared" si="48"/>
        <v>1+365.769349472152i</v>
      </c>
      <c r="X114" s="337">
        <f t="shared" si="73"/>
        <v>365.77071645127808</v>
      </c>
      <c r="Y114" s="339">
        <f t="shared" si="74"/>
        <v>1.5680623702456786</v>
      </c>
      <c r="Z114" s="337" t="str">
        <f t="shared" si="49"/>
        <v>1+3.68456149472152i</v>
      </c>
      <c r="AA114" s="346">
        <f t="shared" si="75"/>
        <v>3.8178519364145704</v>
      </c>
      <c r="AB114" s="347">
        <f t="shared" si="76"/>
        <v>1.3057775475577504</v>
      </c>
      <c r="AC114" s="732" t="str">
        <f t="shared" si="77"/>
        <v>4.034952894446-15.0278376766883i</v>
      </c>
      <c r="AD114" s="337">
        <f t="shared" si="78"/>
        <v>15.560101223876744</v>
      </c>
      <c r="AE114" s="339">
        <f t="shared" si="79"/>
        <v>-1.3084844351628071</v>
      </c>
      <c r="AF114" s="736" t="str">
        <f t="shared" si="50"/>
        <v>-6.91870292061684-3.11330894384767i</v>
      </c>
      <c r="AG114" s="337">
        <f t="shared" si="80"/>
        <v>17.601294068117106</v>
      </c>
      <c r="AH114" s="730">
        <f t="shared" si="81"/>
        <v>-155.77299411717377</v>
      </c>
      <c r="AI114" s="360">
        <f t="shared" si="51"/>
        <v>24.227005882826234</v>
      </c>
      <c r="AL114" s="337">
        <f t="shared" si="52"/>
        <v>23.840248357993858</v>
      </c>
      <c r="AM114" s="730">
        <f t="shared" si="53"/>
        <v>-74.97063569338826</v>
      </c>
      <c r="AN114" s="351"/>
      <c r="AO114" s="337">
        <f t="shared" si="54"/>
        <v>47.290168195165379</v>
      </c>
      <c r="AP114" s="730">
        <f t="shared" si="55"/>
        <v>-80.80235842378552</v>
      </c>
      <c r="AS114" s="351"/>
      <c r="AT114" s="351"/>
      <c r="AV114" s="405">
        <f t="shared" si="56"/>
        <v>0</v>
      </c>
      <c r="AW114" s="405">
        <f t="shared" si="82"/>
        <v>0</v>
      </c>
      <c r="AX114" s="405">
        <f t="shared" si="58"/>
        <v>0</v>
      </c>
      <c r="AY114" s="405">
        <f t="shared" si="59"/>
        <v>0</v>
      </c>
    </row>
    <row r="115" spans="2:51" ht="13.5" thickBot="1" x14ac:dyDescent="0.25">
      <c r="B115" s="345">
        <v>5888.4</v>
      </c>
      <c r="C115" s="728" t="str">
        <f t="shared" si="41"/>
        <v>2.2271548443541</v>
      </c>
      <c r="D115" s="728" t="str">
        <f t="shared" si="42"/>
        <v>1+4.50141218414022i</v>
      </c>
      <c r="E115" s="337">
        <f t="shared" si="61"/>
        <v>4.6111507947068935</v>
      </c>
      <c r="F115" s="338">
        <f t="shared" si="62"/>
        <v>1.3521938167774092</v>
      </c>
      <c r="G115" s="338" t="str">
        <f t="shared" si="43"/>
        <v>1+0.0184989541813981i</v>
      </c>
      <c r="H115" s="337">
        <f t="shared" si="63"/>
        <v>1.0001710910168347</v>
      </c>
      <c r="I115" s="338">
        <f t="shared" si="64"/>
        <v>1.8496844430813977E-2</v>
      </c>
      <c r="J115" s="340">
        <f t="shared" si="44"/>
        <v>1</v>
      </c>
      <c r="K115" s="338">
        <f t="shared" si="65"/>
        <v>1</v>
      </c>
      <c r="L115" s="339">
        <f t="shared" si="66"/>
        <v>0</v>
      </c>
      <c r="M115" s="731" t="str">
        <f t="shared" si="45"/>
        <v>0.998458966464+0.0797469865940042i</v>
      </c>
      <c r="N115" s="338">
        <f t="shared" si="67"/>
        <v>1.0016386022828709</v>
      </c>
      <c r="O115" s="339">
        <f t="shared" si="68"/>
        <v>7.9700879698389709E-2</v>
      </c>
      <c r="P115" s="732" t="str">
        <f t="shared" si="60"/>
        <v>0.0755979721460883-0.476323824756193i</v>
      </c>
      <c r="Q115" s="337">
        <f t="shared" si="69"/>
        <v>0.48228564090481607</v>
      </c>
      <c r="R115" s="339">
        <f t="shared" si="70"/>
        <v>-1.4133978520449846</v>
      </c>
      <c r="S115" s="731" t="str">
        <f t="shared" si="46"/>
        <v>6000</v>
      </c>
      <c r="T115" s="337" t="str">
        <f t="shared" si="47"/>
        <v>1+37367.8874464243i</v>
      </c>
      <c r="U115" s="346">
        <f t="shared" si="71"/>
        <v>37367.88745980477</v>
      </c>
      <c r="V115" s="347">
        <f t="shared" si="72"/>
        <v>1.570769565849387</v>
      </c>
      <c r="W115" s="340" t="str">
        <f t="shared" si="48"/>
        <v>1+369.979083627963i</v>
      </c>
      <c r="X115" s="337">
        <f t="shared" si="73"/>
        <v>369.98043505324341</v>
      </c>
      <c r="Y115" s="339">
        <f t="shared" si="74"/>
        <v>1.5680934778795952</v>
      </c>
      <c r="Z115" s="337" t="str">
        <f t="shared" si="49"/>
        <v>1+3.72696806704886i</v>
      </c>
      <c r="AA115" s="346">
        <f t="shared" si="75"/>
        <v>3.8587939790563994</v>
      </c>
      <c r="AB115" s="347">
        <f t="shared" si="76"/>
        <v>1.308656026762413</v>
      </c>
      <c r="AC115" s="732" t="str">
        <f t="shared" si="77"/>
        <v>3.94978491699805-14.8796981712052i</v>
      </c>
      <c r="AD115" s="337">
        <f t="shared" si="78"/>
        <v>15.395006286348593</v>
      </c>
      <c r="AE115" s="339">
        <f t="shared" si="79"/>
        <v>-1.3113321147322039</v>
      </c>
      <c r="AF115" s="736" t="str">
        <f t="shared" si="50"/>
        <v>-6.78895901398793-3.00625166651781i</v>
      </c>
      <c r="AG115" s="337">
        <f t="shared" si="80"/>
        <v>17.413684048762711</v>
      </c>
      <c r="AH115" s="730">
        <f t="shared" si="81"/>
        <v>-156.11552740915386</v>
      </c>
      <c r="AI115" s="360">
        <f t="shared" si="51"/>
        <v>23.884472590846144</v>
      </c>
      <c r="AL115" s="337">
        <f t="shared" si="52"/>
        <v>23.747597411554004</v>
      </c>
      <c r="AM115" s="730">
        <f t="shared" si="53"/>
        <v>-75.133795714120325</v>
      </c>
      <c r="AN115" s="351"/>
      <c r="AO115" s="337">
        <f t="shared" si="54"/>
        <v>47.195209122250866</v>
      </c>
      <c r="AP115" s="730">
        <f t="shared" si="55"/>
        <v>-80.981731695033602</v>
      </c>
      <c r="AS115" s="351"/>
      <c r="AT115" s="351"/>
      <c r="AV115" s="405">
        <f t="shared" si="56"/>
        <v>0</v>
      </c>
      <c r="AW115" s="405">
        <f t="shared" si="82"/>
        <v>0</v>
      </c>
      <c r="AX115" s="405">
        <f t="shared" si="58"/>
        <v>0</v>
      </c>
      <c r="AY115" s="405">
        <f t="shared" si="59"/>
        <v>0</v>
      </c>
    </row>
    <row r="116" spans="2:51" ht="13.5" thickBot="1" x14ac:dyDescent="0.25">
      <c r="B116" s="345">
        <v>5957</v>
      </c>
      <c r="C116" s="728" t="str">
        <f t="shared" si="41"/>
        <v>2.2271548443541</v>
      </c>
      <c r="D116" s="728" t="str">
        <f t="shared" si="42"/>
        <v>1+4.55385374310904i</v>
      </c>
      <c r="E116" s="337">
        <f t="shared" si="61"/>
        <v>4.6623581923344561</v>
      </c>
      <c r="F116" s="338">
        <f t="shared" si="62"/>
        <v>1.354633093457601</v>
      </c>
      <c r="G116" s="338" t="str">
        <f t="shared" si="43"/>
        <v>1+0.0187144674374344i</v>
      </c>
      <c r="H116" s="337">
        <f t="shared" si="63"/>
        <v>1.0001751003156731</v>
      </c>
      <c r="I116" s="338">
        <f t="shared" si="64"/>
        <v>1.8712283099063646E-2</v>
      </c>
      <c r="J116" s="340">
        <f t="shared" si="44"/>
        <v>1</v>
      </c>
      <c r="K116" s="338">
        <f t="shared" si="65"/>
        <v>1</v>
      </c>
      <c r="L116" s="339">
        <f t="shared" si="66"/>
        <v>0</v>
      </c>
      <c r="M116" s="731" t="str">
        <f t="shared" si="45"/>
        <v>0.998422851155556+0.0806760408838534i</v>
      </c>
      <c r="N116" s="338">
        <f t="shared" si="67"/>
        <v>1.0016770004758433</v>
      </c>
      <c r="O116" s="339">
        <f t="shared" si="68"/>
        <v>8.062830498249357E-2</v>
      </c>
      <c r="P116" s="732" t="str">
        <f t="shared" si="60"/>
        <v>0.0732802479047423-0.47130938155344i</v>
      </c>
      <c r="Q116" s="337">
        <f t="shared" si="69"/>
        <v>0.47697225063232618</v>
      </c>
      <c r="R116" s="339">
        <f t="shared" si="70"/>
        <v>-1.4165491153410308</v>
      </c>
      <c r="S116" s="731" t="str">
        <f t="shared" si="46"/>
        <v>6000</v>
      </c>
      <c r="T116" s="337" t="str">
        <f t="shared" si="47"/>
        <v>1+37803.2242236175i</v>
      </c>
      <c r="U116" s="346">
        <f t="shared" si="71"/>
        <v>37803.224236843889</v>
      </c>
      <c r="V116" s="347">
        <f t="shared" si="72"/>
        <v>1.5707698740247875</v>
      </c>
      <c r="W116" s="340" t="str">
        <f t="shared" si="48"/>
        <v>1+374.289348748688i</v>
      </c>
      <c r="X116" s="337">
        <f t="shared" si="73"/>
        <v>374.29068461119493</v>
      </c>
      <c r="Y116" s="339">
        <f t="shared" si="74"/>
        <v>1.5681246033702965</v>
      </c>
      <c r="Z116" s="337" t="str">
        <f t="shared" si="49"/>
        <v>1+3.77038733364073i</v>
      </c>
      <c r="AA116" s="346">
        <f t="shared" si="75"/>
        <v>3.9007461652456259</v>
      </c>
      <c r="AB116" s="347">
        <f t="shared" si="76"/>
        <v>1.3115406148336715</v>
      </c>
      <c r="AC116" s="732" t="str">
        <f t="shared" si="77"/>
        <v>3.86528258752566-14.7307576778399i</v>
      </c>
      <c r="AD116" s="337">
        <f t="shared" si="78"/>
        <v>15.229433057230603</v>
      </c>
      <c r="AE116" s="339">
        <f t="shared" si="79"/>
        <v>-1.3141858854881621</v>
      </c>
      <c r="AF116" s="736" t="str">
        <f t="shared" si="50"/>
        <v>-6.65949542472055-2.90121752031279i</v>
      </c>
      <c r="AG116" s="337">
        <f t="shared" si="80"/>
        <v>17.223536991456342</v>
      </c>
      <c r="AH116" s="730">
        <f t="shared" si="81"/>
        <v>-156.45959051616614</v>
      </c>
      <c r="AI116" s="360">
        <f t="shared" si="51"/>
        <v>23.540409483833855</v>
      </c>
      <c r="AL116" s="337">
        <f t="shared" si="52"/>
        <v>23.653674725027827</v>
      </c>
      <c r="AM116" s="730">
        <f t="shared" si="53"/>
        <v>-75.297304734134585</v>
      </c>
      <c r="AN116" s="351"/>
      <c r="AO116" s="337">
        <f t="shared" si="54"/>
        <v>47.098984751470631</v>
      </c>
      <c r="AP116" s="730">
        <f t="shared" si="55"/>
        <v>-81.162285782031489</v>
      </c>
      <c r="AS116" s="351"/>
      <c r="AT116" s="351"/>
      <c r="AV116" s="405">
        <f t="shared" si="56"/>
        <v>0</v>
      </c>
      <c r="AW116" s="405">
        <f t="shared" si="82"/>
        <v>0</v>
      </c>
      <c r="AX116" s="405">
        <f t="shared" si="58"/>
        <v>0</v>
      </c>
      <c r="AY116" s="405">
        <f t="shared" si="59"/>
        <v>0</v>
      </c>
    </row>
    <row r="117" spans="2:51" ht="13.5" thickBot="1" x14ac:dyDescent="0.25">
      <c r="B117" s="345">
        <v>6025.6</v>
      </c>
      <c r="C117" s="728" t="str">
        <f t="shared" si="41"/>
        <v>2.2271548443541</v>
      </c>
      <c r="D117" s="728" t="str">
        <f t="shared" si="42"/>
        <v>1+4.60629530207786i</v>
      </c>
      <c r="E117" s="337">
        <f t="shared" si="61"/>
        <v>4.7135927284762902</v>
      </c>
      <c r="F117" s="338">
        <f t="shared" si="62"/>
        <v>1.3570193564995587</v>
      </c>
      <c r="G117" s="338" t="str">
        <f t="shared" si="43"/>
        <v>1+0.0189299806934707i</v>
      </c>
      <c r="H117" s="337">
        <f t="shared" si="63"/>
        <v>1.0001791560360849</v>
      </c>
      <c r="I117" s="338">
        <f t="shared" si="64"/>
        <v>1.8927720030107509E-2</v>
      </c>
      <c r="J117" s="340">
        <f t="shared" si="44"/>
        <v>1</v>
      </c>
      <c r="K117" s="338">
        <f t="shared" si="65"/>
        <v>1</v>
      </c>
      <c r="L117" s="339">
        <f t="shared" si="66"/>
        <v>0</v>
      </c>
      <c r="M117" s="731" t="str">
        <f t="shared" si="45"/>
        <v>0.998386317539556+0.0816050951737027i</v>
      </c>
      <c r="N117" s="338">
        <f t="shared" si="67"/>
        <v>1.0017158432452311</v>
      </c>
      <c r="O117" s="339">
        <f t="shared" si="68"/>
        <v>8.155569238726286E-2</v>
      </c>
      <c r="P117" s="732" t="str">
        <f t="shared" si="60"/>
        <v>0.0710365687055-0.466392608133181i</v>
      </c>
      <c r="Q117" s="337">
        <f t="shared" si="69"/>
        <v>0.47177140546531882</v>
      </c>
      <c r="R117" s="339">
        <f t="shared" si="70"/>
        <v>-1.4196473288567142</v>
      </c>
      <c r="S117" s="731" t="str">
        <f t="shared" si="46"/>
        <v>6000</v>
      </c>
      <c r="T117" s="337" t="str">
        <f t="shared" si="47"/>
        <v>1+38238.5610008107i</v>
      </c>
      <c r="U117" s="346">
        <f t="shared" si="71"/>
        <v>38238.561013886509</v>
      </c>
      <c r="V117" s="347">
        <f t="shared" si="72"/>
        <v>1.5707701751831833</v>
      </c>
      <c r="W117" s="340" t="str">
        <f t="shared" si="48"/>
        <v>1+378.599613869413i</v>
      </c>
      <c r="X117" s="337">
        <f t="shared" si="73"/>
        <v>378.60093452350151</v>
      </c>
      <c r="Y117" s="339">
        <f t="shared" si="74"/>
        <v>1.5681550201536183</v>
      </c>
      <c r="Z117" s="337" t="str">
        <f t="shared" si="49"/>
        <v>1+3.81380660023259i</v>
      </c>
      <c r="AA117" s="346">
        <f t="shared" si="75"/>
        <v>3.9427301180752488</v>
      </c>
      <c r="AB117" s="347">
        <f t="shared" si="76"/>
        <v>1.3143637932145951</v>
      </c>
      <c r="AC117" s="732" t="str">
        <f t="shared" si="77"/>
        <v>3.78340234983262-14.5845209622448i</v>
      </c>
      <c r="AD117" s="337">
        <f t="shared" si="78"/>
        <v>15.067262028612797</v>
      </c>
      <c r="AE117" s="339">
        <f t="shared" si="79"/>
        <v>-1.3169789482441605</v>
      </c>
      <c r="AF117" s="736" t="str">
        <f t="shared" si="50"/>
        <v>-6.53335284898997-2.80058521492695i</v>
      </c>
      <c r="AG117" s="337">
        <f t="shared" si="80"/>
        <v>17.035319106013656</v>
      </c>
      <c r="AH117" s="730">
        <f t="shared" si="81"/>
        <v>-156.79713578247902</v>
      </c>
      <c r="AI117" s="360">
        <f t="shared" si="51"/>
        <v>23.202864217520982</v>
      </c>
      <c r="AL117" s="337">
        <f t="shared" si="52"/>
        <v>23.560686819488605</v>
      </c>
      <c r="AM117" s="730">
        <f t="shared" si="53"/>
        <v>-75.457335441968482</v>
      </c>
      <c r="AN117" s="351"/>
      <c r="AO117" s="337">
        <f t="shared" si="54"/>
        <v>47.003754771567188</v>
      </c>
      <c r="AP117" s="730">
        <f t="shared" si="55"/>
        <v>-81.339800340510578</v>
      </c>
      <c r="AS117" s="351"/>
      <c r="AT117" s="351"/>
      <c r="AV117" s="405">
        <f t="shared" si="56"/>
        <v>0</v>
      </c>
      <c r="AW117" s="405">
        <f t="shared" si="82"/>
        <v>0</v>
      </c>
      <c r="AX117" s="405">
        <f t="shared" si="58"/>
        <v>0</v>
      </c>
      <c r="AY117" s="405">
        <f t="shared" si="59"/>
        <v>0</v>
      </c>
    </row>
    <row r="118" spans="2:51" ht="13.5" thickBot="1" x14ac:dyDescent="0.25">
      <c r="B118" s="345">
        <v>6095.8</v>
      </c>
      <c r="C118" s="728" t="str">
        <f t="shared" si="41"/>
        <v>2.2271548443541</v>
      </c>
      <c r="D118" s="728" t="str">
        <f t="shared" si="42"/>
        <v>1+4.65995998778648i</v>
      </c>
      <c r="E118" s="337">
        <f t="shared" si="61"/>
        <v>4.7660494214570379</v>
      </c>
      <c r="F118" s="338">
        <f t="shared" si="62"/>
        <v>1.3594081488883727</v>
      </c>
      <c r="G118" s="338" t="str">
        <f t="shared" si="43"/>
        <v>1+0.0191505204977526i</v>
      </c>
      <c r="H118" s="337">
        <f t="shared" si="63"/>
        <v>1.0001833544082479</v>
      </c>
      <c r="I118" s="338">
        <f t="shared" si="64"/>
        <v>1.9148179909924987E-2</v>
      </c>
      <c r="J118" s="340">
        <f t="shared" si="44"/>
        <v>1</v>
      </c>
      <c r="K118" s="338">
        <f t="shared" si="65"/>
        <v>1</v>
      </c>
      <c r="L118" s="339">
        <f t="shared" si="66"/>
        <v>0</v>
      </c>
      <c r="M118" s="731" t="str">
        <f t="shared" si="45"/>
        <v>0.998348498771556+0.0825558183682715i</v>
      </c>
      <c r="N118" s="338">
        <f t="shared" si="67"/>
        <v>1.0017560522132494</v>
      </c>
      <c r="O118" s="339">
        <f t="shared" si="68"/>
        <v>8.2504670152611412E-2</v>
      </c>
      <c r="P118" s="732" t="str">
        <f t="shared" si="60"/>
        <v>0.0688140162447046-0.461459517410255i</v>
      </c>
      <c r="Q118" s="337">
        <f t="shared" si="69"/>
        <v>0.46656216631895037</v>
      </c>
      <c r="R118" s="339">
        <f t="shared" si="70"/>
        <v>-1.4227646391310589</v>
      </c>
      <c r="S118" s="731" t="str">
        <f t="shared" si="46"/>
        <v>6000</v>
      </c>
      <c r="T118" s="337" t="str">
        <f t="shared" si="47"/>
        <v>1+38684.0514054604i</v>
      </c>
      <c r="U118" s="346">
        <f t="shared" si="71"/>
        <v>38684.051418385621</v>
      </c>
      <c r="V118" s="347">
        <f t="shared" si="72"/>
        <v>1.5707704763484349</v>
      </c>
      <c r="W118" s="340" t="str">
        <f t="shared" si="48"/>
        <v>1+383.010409955053i</v>
      </c>
      <c r="X118" s="337">
        <f t="shared" si="73"/>
        <v>383.0117154003749</v>
      </c>
      <c r="Y118" s="339">
        <f t="shared" si="74"/>
        <v>1.568185437634289</v>
      </c>
      <c r="Z118" s="337" t="str">
        <f t="shared" si="49"/>
        <v>1+3.85823856108899i</v>
      </c>
      <c r="AA118" s="346">
        <f t="shared" si="75"/>
        <v>3.9857251277871684</v>
      </c>
      <c r="AB118" s="347">
        <f t="shared" si="76"/>
        <v>1.317191221923617</v>
      </c>
      <c r="AC118" s="732" t="str">
        <f t="shared" si="77"/>
        <v>3.70221759159265-14.4376056820396i</v>
      </c>
      <c r="AD118" s="337">
        <f t="shared" si="78"/>
        <v>14.904726529713994</v>
      </c>
      <c r="AE118" s="339">
        <f t="shared" si="79"/>
        <v>-1.3197762606377643</v>
      </c>
      <c r="AF118" s="736" t="str">
        <f t="shared" si="50"/>
        <v>-6.40760608910426-2.70193317510261i</v>
      </c>
      <c r="AG118" s="337">
        <f t="shared" si="80"/>
        <v>16.844670617120279</v>
      </c>
      <c r="AH118" s="730">
        <f t="shared" si="81"/>
        <v>-157.1360186987649</v>
      </c>
      <c r="AI118" s="360">
        <f t="shared" si="51"/>
        <v>22.8639813012351</v>
      </c>
      <c r="AL118" s="337">
        <f t="shared" si="52"/>
        <v>23.466480241085534</v>
      </c>
      <c r="AM118" s="730">
        <f t="shared" si="53"/>
        <v>-75.617609636101619</v>
      </c>
      <c r="AN118" s="351"/>
      <c r="AO118" s="337">
        <f t="shared" si="54"/>
        <v>46.907312861076875</v>
      </c>
      <c r="AP118" s="730">
        <f t="shared" si="55"/>
        <v>-81.518409062663281</v>
      </c>
      <c r="AS118" s="351"/>
      <c r="AT118" s="351"/>
      <c r="AV118" s="405">
        <f t="shared" si="56"/>
        <v>0</v>
      </c>
      <c r="AW118" s="405">
        <f t="shared" si="82"/>
        <v>0</v>
      </c>
      <c r="AX118" s="405">
        <f t="shared" si="58"/>
        <v>0</v>
      </c>
      <c r="AY118" s="405">
        <f t="shared" si="59"/>
        <v>0</v>
      </c>
    </row>
    <row r="119" spans="2:51" ht="13.5" thickBot="1" x14ac:dyDescent="0.25">
      <c r="B119" s="345">
        <v>6166</v>
      </c>
      <c r="C119" s="728" t="str">
        <f t="shared" si="41"/>
        <v>2.2271548443541</v>
      </c>
      <c r="D119" s="728" t="str">
        <f t="shared" si="42"/>
        <v>1+4.7136246734951i</v>
      </c>
      <c r="E119" s="337">
        <f t="shared" si="61"/>
        <v>4.8185327188452076</v>
      </c>
      <c r="F119" s="338">
        <f t="shared" si="62"/>
        <v>1.361744917076821</v>
      </c>
      <c r="G119" s="338" t="str">
        <f t="shared" si="43"/>
        <v>1+0.0193710603020346i</v>
      </c>
      <c r="H119" s="337">
        <f t="shared" si="63"/>
        <v>1.0001876013914714</v>
      </c>
      <c r="I119" s="338">
        <f t="shared" si="64"/>
        <v>1.9368637928229727E-2</v>
      </c>
      <c r="J119" s="340">
        <f t="shared" si="44"/>
        <v>1</v>
      </c>
      <c r="K119" s="338">
        <f t="shared" si="65"/>
        <v>1</v>
      </c>
      <c r="L119" s="339">
        <f t="shared" si="66"/>
        <v>0</v>
      </c>
      <c r="M119" s="731" t="str">
        <f t="shared" si="45"/>
        <v>0.998310241955556+0.0835065415628403i</v>
      </c>
      <c r="N119" s="338">
        <f t="shared" si="67"/>
        <v>1.0017967267251111</v>
      </c>
      <c r="O119" s="339">
        <f t="shared" si="68"/>
        <v>8.3453607334264615E-2</v>
      </c>
      <c r="P119" s="732" t="str">
        <f t="shared" si="60"/>
        <v>0.0666626740544135-0.456623204309063i</v>
      </c>
      <c r="Q119" s="337">
        <f t="shared" si="69"/>
        <v>0.46146360942718034</v>
      </c>
      <c r="R119" s="339">
        <f t="shared" si="70"/>
        <v>-1.4258298864828558</v>
      </c>
      <c r="S119" s="731" t="str">
        <f t="shared" si="46"/>
        <v>6000</v>
      </c>
      <c r="T119" s="337" t="str">
        <f t="shared" si="47"/>
        <v>1+39129.54181011i</v>
      </c>
      <c r="U119" s="346">
        <f t="shared" si="71"/>
        <v>39129.541822888066</v>
      </c>
      <c r="V119" s="347">
        <f t="shared" si="72"/>
        <v>1.5707707706561451</v>
      </c>
      <c r="W119" s="340" t="str">
        <f t="shared" si="48"/>
        <v>1+387.421206040693i</v>
      </c>
      <c r="X119" s="337">
        <f t="shared" si="73"/>
        <v>387.42249662355061</v>
      </c>
      <c r="Y119" s="339">
        <f t="shared" si="74"/>
        <v>1.5682151625127045</v>
      </c>
      <c r="Z119" s="337" t="str">
        <f t="shared" si="49"/>
        <v>1+3.90267052194539i</v>
      </c>
      <c r="AA119" s="346">
        <f t="shared" si="75"/>
        <v>4.0287513205534919</v>
      </c>
      <c r="AB119" s="347">
        <f t="shared" si="76"/>
        <v>1.3199582797073481</v>
      </c>
      <c r="AC119" s="732" t="str">
        <f t="shared" si="77"/>
        <v>3.6235620864481-14.2933875852024i</v>
      </c>
      <c r="AD119" s="337">
        <f t="shared" si="78"/>
        <v>14.745546136212187</v>
      </c>
      <c r="AE119" s="339">
        <f t="shared" si="79"/>
        <v>-1.3225138878507883</v>
      </c>
      <c r="AF119" s="736" t="str">
        <f t="shared" si="50"/>
        <v>-6.28513610130168-2.60743796865251i</v>
      </c>
      <c r="AG119" s="337">
        <f t="shared" si="80"/>
        <v>16.655966419610703</v>
      </c>
      <c r="AH119" s="730">
        <f t="shared" si="81"/>
        <v>-157.46849892037298</v>
      </c>
      <c r="AI119" s="360">
        <f t="shared" si="51"/>
        <v>22.53150107962702</v>
      </c>
      <c r="AL119" s="337">
        <f t="shared" si="52"/>
        <v>23.373217246201143</v>
      </c>
      <c r="AM119" s="730">
        <f t="shared" si="53"/>
        <v>-75.774464121288048</v>
      </c>
      <c r="AN119" s="351"/>
      <c r="AO119" s="337">
        <f t="shared" si="54"/>
        <v>46.811871658451707</v>
      </c>
      <c r="AP119" s="730">
        <f t="shared" si="55"/>
        <v>-81.694034799084918</v>
      </c>
      <c r="AS119" s="351"/>
      <c r="AT119" s="351"/>
      <c r="AV119" s="405">
        <f t="shared" si="56"/>
        <v>0</v>
      </c>
      <c r="AW119" s="405">
        <f t="shared" si="82"/>
        <v>0</v>
      </c>
      <c r="AX119" s="405">
        <f t="shared" si="58"/>
        <v>0</v>
      </c>
      <c r="AY119" s="405">
        <f t="shared" si="59"/>
        <v>0</v>
      </c>
    </row>
    <row r="120" spans="2:51" ht="13.5" thickBot="1" x14ac:dyDescent="0.25">
      <c r="B120" s="345">
        <v>6237.8</v>
      </c>
      <c r="C120" s="728" t="str">
        <f t="shared" si="41"/>
        <v>2.2271548443541</v>
      </c>
      <c r="D120" s="728" t="str">
        <f t="shared" si="42"/>
        <v>1+4.76851248594352i</v>
      </c>
      <c r="E120" s="337">
        <f t="shared" si="61"/>
        <v>4.872238841497742</v>
      </c>
      <c r="F120" s="338">
        <f t="shared" si="62"/>
        <v>1.3640828547870063</v>
      </c>
      <c r="G120" s="338" t="str">
        <f t="shared" si="43"/>
        <v>1+0.0195966266545624i</v>
      </c>
      <c r="H120" s="337">
        <f t="shared" si="63"/>
        <v>1.0001919954569913</v>
      </c>
      <c r="I120" s="338">
        <f t="shared" si="64"/>
        <v>1.9594118682763569E-2</v>
      </c>
      <c r="J120" s="340">
        <f t="shared" si="44"/>
        <v>1</v>
      </c>
      <c r="K120" s="338">
        <f t="shared" si="65"/>
        <v>1</v>
      </c>
      <c r="L120" s="339">
        <f t="shared" si="66"/>
        <v>0</v>
      </c>
      <c r="M120" s="731" t="str">
        <f t="shared" si="45"/>
        <v>0.998270660051556+0.0844789336621287i</v>
      </c>
      <c r="N120" s="338">
        <f t="shared" si="67"/>
        <v>1.0018388098653692</v>
      </c>
      <c r="O120" s="339">
        <f t="shared" si="68"/>
        <v>8.4424130248985443E-2</v>
      </c>
      <c r="P120" s="732" t="str">
        <f t="shared" si="60"/>
        <v>0.0645328781080948-0.451774014452643i</v>
      </c>
      <c r="Q120" s="337">
        <f t="shared" si="69"/>
        <v>0.45635978404277816</v>
      </c>
      <c r="R120" s="339">
        <f t="shared" si="70"/>
        <v>-1.428912866353228</v>
      </c>
      <c r="S120" s="731" t="str">
        <f t="shared" si="46"/>
        <v>6000</v>
      </c>
      <c r="T120" s="337" t="str">
        <f t="shared" si="47"/>
        <v>1+39585.1858422161i</v>
      </c>
      <c r="U120" s="346">
        <f t="shared" si="71"/>
        <v>39585.185854847099</v>
      </c>
      <c r="V120" s="347">
        <f t="shared" si="72"/>
        <v>1.5707710648192734</v>
      </c>
      <c r="W120" s="340" t="str">
        <f t="shared" si="48"/>
        <v>1+391.932533091248i</v>
      </c>
      <c r="X120" s="337">
        <f t="shared" si="73"/>
        <v>391.93380881894097</v>
      </c>
      <c r="Y120" s="339">
        <f t="shared" si="74"/>
        <v>1.5682448727930067</v>
      </c>
      <c r="Z120" s="337" t="str">
        <f t="shared" si="49"/>
        <v>1+3.94811517706633i</v>
      </c>
      <c r="AA120" s="346">
        <f t="shared" si="75"/>
        <v>4.0727893944300018</v>
      </c>
      <c r="AB120" s="347">
        <f t="shared" si="76"/>
        <v>1.3227279045953819</v>
      </c>
      <c r="AC120" s="732" t="str">
        <f t="shared" si="77"/>
        <v>3.54562435417061-14.1486044671294i</v>
      </c>
      <c r="AD120" s="337">
        <f t="shared" si="78"/>
        <v>14.586105046521562</v>
      </c>
      <c r="AE120" s="339">
        <f t="shared" si="79"/>
        <v>-1.3252540966216491</v>
      </c>
      <c r="AF120" s="736" t="str">
        <f t="shared" si="50"/>
        <v>-6.16316249475286-2.51487111570162i</v>
      </c>
      <c r="AG120" s="337">
        <f t="shared" si="80"/>
        <v>16.464934057863793</v>
      </c>
      <c r="AH120" s="730">
        <f t="shared" si="81"/>
        <v>-157.80214305282414</v>
      </c>
      <c r="AI120" s="360">
        <f t="shared" si="51"/>
        <v>22.197856947175865</v>
      </c>
      <c r="AL120" s="337">
        <f t="shared" si="52"/>
        <v>23.278786738989581</v>
      </c>
      <c r="AM120" s="730">
        <f t="shared" si="53"/>
        <v>-75.931466518843095</v>
      </c>
      <c r="AN120" s="351"/>
      <c r="AO120" s="337">
        <f t="shared" si="54"/>
        <v>46.715269803916343</v>
      </c>
      <c r="AP120" s="730">
        <f t="shared" si="55"/>
        <v>-81.870676533980998</v>
      </c>
      <c r="AS120" s="351"/>
      <c r="AT120" s="351"/>
      <c r="AV120" s="405">
        <f t="shared" si="56"/>
        <v>0</v>
      </c>
      <c r="AW120" s="405">
        <f t="shared" si="82"/>
        <v>0</v>
      </c>
      <c r="AX120" s="405">
        <f t="shared" si="58"/>
        <v>0</v>
      </c>
      <c r="AY120" s="405">
        <f t="shared" si="59"/>
        <v>0</v>
      </c>
    </row>
    <row r="121" spans="2:51" ht="13.5" thickBot="1" x14ac:dyDescent="0.25">
      <c r="B121" s="345">
        <v>6309.6</v>
      </c>
      <c r="C121" s="728" t="str">
        <f t="shared" si="41"/>
        <v>2.2271548443541</v>
      </c>
      <c r="D121" s="728" t="str">
        <f t="shared" si="42"/>
        <v>1+4.82340029839194i</v>
      </c>
      <c r="E121" s="337">
        <f t="shared" si="61"/>
        <v>4.9259710147875868</v>
      </c>
      <c r="F121" s="338">
        <f t="shared" si="62"/>
        <v>1.3663698006245963</v>
      </c>
      <c r="G121" s="338" t="str">
        <f t="shared" si="43"/>
        <v>1+0.0198221930070901i</v>
      </c>
      <c r="H121" s="337">
        <f t="shared" si="63"/>
        <v>1.0001964403733949</v>
      </c>
      <c r="I121" s="338">
        <f t="shared" si="64"/>
        <v>1.9819597444668397E-2</v>
      </c>
      <c r="J121" s="340">
        <f t="shared" si="44"/>
        <v>1</v>
      </c>
      <c r="K121" s="338">
        <f t="shared" si="65"/>
        <v>1</v>
      </c>
      <c r="L121" s="339">
        <f t="shared" si="66"/>
        <v>0</v>
      </c>
      <c r="M121" s="731" t="str">
        <f t="shared" si="45"/>
        <v>0.998230619904+0.085451325761417i</v>
      </c>
      <c r="N121" s="338">
        <f t="shared" si="67"/>
        <v>1.001881379998804</v>
      </c>
      <c r="O121" s="339">
        <f t="shared" si="68"/>
        <v>8.5394609728348822E-2</v>
      </c>
      <c r="P121" s="732" t="str">
        <f t="shared" si="60"/>
        <v>0.0624714759708799-0.44702055641566i</v>
      </c>
      <c r="Q121" s="337">
        <f t="shared" si="69"/>
        <v>0.45136466761161809</v>
      </c>
      <c r="R121" s="339">
        <f t="shared" si="70"/>
        <v>-1.4319448129082768</v>
      </c>
      <c r="S121" s="731" t="str">
        <f t="shared" si="46"/>
        <v>6000</v>
      </c>
      <c r="T121" s="337" t="str">
        <f t="shared" si="47"/>
        <v>1+40040.8298743221i</v>
      </c>
      <c r="U121" s="346">
        <f t="shared" si="71"/>
        <v>40040.829886809355</v>
      </c>
      <c r="V121" s="347">
        <f t="shared" si="72"/>
        <v>1.5707713522875517</v>
      </c>
      <c r="W121" s="340" t="str">
        <f t="shared" si="48"/>
        <v>1+396.443860141803i</v>
      </c>
      <c r="X121" s="337">
        <f t="shared" si="73"/>
        <v>396.44512135241808</v>
      </c>
      <c r="Y121" s="339">
        <f t="shared" si="74"/>
        <v>1.5682739069022691</v>
      </c>
      <c r="Z121" s="337" t="str">
        <f t="shared" si="49"/>
        <v>1+3.99355983218726i</v>
      </c>
      <c r="AA121" s="346">
        <f t="shared" si="75"/>
        <v>4.1168580414266813</v>
      </c>
      <c r="AB121" s="347">
        <f t="shared" si="76"/>
        <v>1.3254382553552952</v>
      </c>
      <c r="AC121" s="732" t="str">
        <f t="shared" si="77"/>
        <v>3.470122800254-14.0065064377595i</v>
      </c>
      <c r="AD121" s="337">
        <f t="shared" si="78"/>
        <v>14.429967943132826</v>
      </c>
      <c r="AE121" s="339">
        <f t="shared" si="79"/>
        <v>-1.327935700740577</v>
      </c>
      <c r="AF121" s="736" t="str">
        <f t="shared" si="50"/>
        <v>-6.04441260811471-2.42622335536268i</v>
      </c>
      <c r="AG121" s="337">
        <f t="shared" si="80"/>
        <v>16.275858524199414</v>
      </c>
      <c r="AH121" s="730">
        <f t="shared" si="81"/>
        <v>-158.12950539247711</v>
      </c>
      <c r="AI121" s="360">
        <f t="shared" si="51"/>
        <v>21.870494607522886</v>
      </c>
      <c r="AL121" s="337">
        <f t="shared" si="52"/>
        <v>23.185307325770115</v>
      </c>
      <c r="AM121" s="730">
        <f t="shared" si="53"/>
        <v>-76.085111117182564</v>
      </c>
      <c r="AN121" s="351"/>
      <c r="AO121" s="337">
        <f t="shared" si="54"/>
        <v>46.619673683471454</v>
      </c>
      <c r="AP121" s="730">
        <f t="shared" si="55"/>
        <v>-82.044394275294565</v>
      </c>
      <c r="AS121" s="351"/>
      <c r="AT121" s="351"/>
      <c r="AV121" s="405">
        <f t="shared" si="56"/>
        <v>0</v>
      </c>
      <c r="AW121" s="405">
        <f t="shared" si="82"/>
        <v>0</v>
      </c>
      <c r="AX121" s="405">
        <f t="shared" si="58"/>
        <v>0</v>
      </c>
      <c r="AY121" s="405">
        <f t="shared" si="59"/>
        <v>0</v>
      </c>
    </row>
    <row r="122" spans="2:51" ht="13.5" thickBot="1" x14ac:dyDescent="0.25">
      <c r="B122" s="345">
        <v>6383.05</v>
      </c>
      <c r="C122" s="728" t="str">
        <f t="shared" si="41"/>
        <v>2.2271548443541</v>
      </c>
      <c r="D122" s="728" t="str">
        <f t="shared" si="42"/>
        <v>1+4.87954946029078i</v>
      </c>
      <c r="E122" s="337">
        <f t="shared" si="61"/>
        <v>4.9809640568291629</v>
      </c>
      <c r="F122" s="338">
        <f t="shared" si="62"/>
        <v>1.3686582346552059</v>
      </c>
      <c r="G122" s="338" t="str">
        <f t="shared" si="43"/>
        <v>1+0.0200529429874963i</v>
      </c>
      <c r="H122" s="337">
        <f t="shared" si="63"/>
        <v>1.0002010400526784</v>
      </c>
      <c r="I122" s="338">
        <f t="shared" si="64"/>
        <v>2.0050255735855602E-2</v>
      </c>
      <c r="J122" s="340">
        <f t="shared" si="44"/>
        <v>1</v>
      </c>
      <c r="K122" s="338">
        <f t="shared" si="65"/>
        <v>1</v>
      </c>
      <c r="L122" s="339">
        <f t="shared" si="66"/>
        <v>0</v>
      </c>
      <c r="M122" s="731" t="str">
        <f t="shared" si="45"/>
        <v>0.998189185453222+0.0864460639186975i</v>
      </c>
      <c r="N122" s="338">
        <f t="shared" si="67"/>
        <v>1.0019254323165983</v>
      </c>
      <c r="O122" s="339">
        <f t="shared" si="68"/>
        <v>8.6387345851908839E-2</v>
      </c>
      <c r="P122" s="732" t="str">
        <f t="shared" si="60"/>
        <v>0.060430500169331-0.442254159295071i</v>
      </c>
      <c r="Q122" s="337">
        <f t="shared" si="69"/>
        <v>0.44636373818278025</v>
      </c>
      <c r="R122" s="339">
        <f t="shared" si="70"/>
        <v>-1.4349953247712592</v>
      </c>
      <c r="S122" s="731" t="str">
        <f t="shared" si="46"/>
        <v>6000</v>
      </c>
      <c r="T122" s="337" t="str">
        <f t="shared" si="47"/>
        <v>1+40506.9448347426i</v>
      </c>
      <c r="U122" s="346">
        <f t="shared" si="71"/>
        <v>40506.944847086153</v>
      </c>
      <c r="V122" s="347">
        <f t="shared" si="72"/>
        <v>1.570771639670161</v>
      </c>
      <c r="W122" s="340" t="str">
        <f t="shared" si="48"/>
        <v>1+401.058859749927i</v>
      </c>
      <c r="X122" s="337">
        <f t="shared" si="73"/>
        <v>401.06010644778871</v>
      </c>
      <c r="Y122" s="339">
        <f t="shared" si="74"/>
        <v>1.5683029323632562</v>
      </c>
      <c r="Z122" s="337" t="str">
        <f t="shared" si="49"/>
        <v>1+4.0400488282685i</v>
      </c>
      <c r="AA122" s="346">
        <f t="shared" si="75"/>
        <v>4.1619700305016218</v>
      </c>
      <c r="AB122" s="347">
        <f t="shared" si="76"/>
        <v>1.3281514806687411</v>
      </c>
      <c r="AC122" s="732" t="str">
        <f t="shared" si="77"/>
        <v>3.39530450388148-13.8638521690102i</v>
      </c>
      <c r="AD122" s="337">
        <f t="shared" si="78"/>
        <v>14.273559109004546</v>
      </c>
      <c r="AE122" s="339">
        <f t="shared" si="79"/>
        <v>-1.3306201879756463</v>
      </c>
      <c r="AF122" s="736" t="str">
        <f t="shared" si="50"/>
        <v>-5.92616633620001-2.33938705976182i</v>
      </c>
      <c r="AG122" s="337">
        <f t="shared" si="80"/>
        <v>16.084423677758338</v>
      </c>
      <c r="AH122" s="730">
        <f t="shared" si="81"/>
        <v>-158.45809663630683</v>
      </c>
      <c r="AI122" s="360">
        <f t="shared" si="51"/>
        <v>21.541903363693166</v>
      </c>
      <c r="AL122" s="337">
        <f t="shared" si="52"/>
        <v>23.090645557142253</v>
      </c>
      <c r="AM122" s="730">
        <f t="shared" si="53"/>
        <v>-76.238920905908785</v>
      </c>
      <c r="AN122" s="351"/>
      <c r="AO122" s="337">
        <f t="shared" si="54"/>
        <v>46.522900605658208</v>
      </c>
      <c r="AP122" s="730">
        <f t="shared" si="55"/>
        <v>-82.219175730398021</v>
      </c>
      <c r="AS122" s="351"/>
      <c r="AT122" s="351"/>
      <c r="AV122" s="405">
        <f t="shared" si="56"/>
        <v>0</v>
      </c>
      <c r="AW122" s="405">
        <f t="shared" si="82"/>
        <v>0</v>
      </c>
      <c r="AX122" s="405">
        <f t="shared" si="58"/>
        <v>0</v>
      </c>
      <c r="AY122" s="405">
        <f t="shared" si="59"/>
        <v>0</v>
      </c>
    </row>
    <row r="123" spans="2:51" ht="13.5" thickBot="1" x14ac:dyDescent="0.25">
      <c r="B123" s="345">
        <v>6456.5</v>
      </c>
      <c r="C123" s="728" t="str">
        <f t="shared" si="41"/>
        <v>2.2271548443541</v>
      </c>
      <c r="D123" s="728" t="str">
        <f t="shared" si="42"/>
        <v>1+4.93569862218961i</v>
      </c>
      <c r="E123" s="337">
        <f t="shared" si="61"/>
        <v>5.0359826140570041</v>
      </c>
      <c r="F123" s="338">
        <f t="shared" si="62"/>
        <v>1.3708966775059399</v>
      </c>
      <c r="G123" s="338" t="str">
        <f t="shared" si="43"/>
        <v>1+0.0202836929679025i</v>
      </c>
      <c r="H123" s="337">
        <f t="shared" si="63"/>
        <v>1.0002056929454142</v>
      </c>
      <c r="I123" s="338">
        <f t="shared" si="64"/>
        <v>2.0280911893299211E-2</v>
      </c>
      <c r="J123" s="340">
        <f t="shared" si="44"/>
        <v>1</v>
      </c>
      <c r="K123" s="338">
        <f t="shared" si="65"/>
        <v>1</v>
      </c>
      <c r="L123" s="339">
        <f t="shared" si="66"/>
        <v>0</v>
      </c>
      <c r="M123" s="731" t="str">
        <f t="shared" si="45"/>
        <v>0.998147271455556+0.0874408020759778i</v>
      </c>
      <c r="N123" s="338">
        <f t="shared" si="67"/>
        <v>1.001969994252254</v>
      </c>
      <c r="O123" s="339">
        <f t="shared" si="68"/>
        <v>8.7380035471777362E-2</v>
      </c>
      <c r="P123" s="732" t="str">
        <f t="shared" si="60"/>
        <v>0.0584552207469073-0.437582437033514i</v>
      </c>
      <c r="Q123" s="337">
        <f t="shared" si="69"/>
        <v>0.44146959355402826</v>
      </c>
      <c r="R123" s="339">
        <f t="shared" si="70"/>
        <v>-1.437995801084418</v>
      </c>
      <c r="S123" s="731" t="str">
        <f t="shared" si="46"/>
        <v>6000</v>
      </c>
      <c r="T123" s="337" t="str">
        <f t="shared" si="47"/>
        <v>1+40973.0597951631i</v>
      </c>
      <c r="U123" s="346">
        <f t="shared" si="71"/>
        <v>40973.05980736624</v>
      </c>
      <c r="V123" s="347">
        <f t="shared" si="72"/>
        <v>1.5707719205141648</v>
      </c>
      <c r="W123" s="340" t="str">
        <f t="shared" si="48"/>
        <v>1+405.67385935805i</v>
      </c>
      <c r="X123" s="337">
        <f t="shared" si="73"/>
        <v>405.67509187335486</v>
      </c>
      <c r="Y123" s="339">
        <f t="shared" si="74"/>
        <v>1.5683312974333179</v>
      </c>
      <c r="Z123" s="337" t="str">
        <f t="shared" si="49"/>
        <v>1+4.08653782434973i</v>
      </c>
      <c r="AA123" s="346">
        <f t="shared" si="75"/>
        <v>4.2071120011049175</v>
      </c>
      <c r="AB123" s="347">
        <f t="shared" si="76"/>
        <v>1.3308064998042481</v>
      </c>
      <c r="AC123" s="732" t="str">
        <f t="shared" si="77"/>
        <v>3.32283272061825-13.7238694030633i</v>
      </c>
      <c r="AD123" s="337">
        <f t="shared" si="78"/>
        <v>14.120403984360657</v>
      </c>
      <c r="AE123" s="339">
        <f t="shared" si="79"/>
        <v>-1.3332471228850948</v>
      </c>
      <c r="AF123" s="736" t="str">
        <f t="shared" si="50"/>
        <v>-5.81108729873333-2.25624505520063i</v>
      </c>
      <c r="AG123" s="337">
        <f t="shared" si="80"/>
        <v>15.89495837467264</v>
      </c>
      <c r="AH123" s="730">
        <f t="shared" si="81"/>
        <v>-158.78052354894675</v>
      </c>
      <c r="AI123" s="360">
        <f t="shared" si="51"/>
        <v>21.219476451053254</v>
      </c>
      <c r="AL123" s="337">
        <f t="shared" si="52"/>
        <v>22.996942440928731</v>
      </c>
      <c r="AM123" s="730">
        <f t="shared" si="53"/>
        <v>-76.389433189275763</v>
      </c>
      <c r="AN123" s="351"/>
      <c r="AO123" s="337">
        <f t="shared" si="54"/>
        <v>46.427138418786036</v>
      </c>
      <c r="AP123" s="730">
        <f t="shared" si="55"/>
        <v>-82.391090359671011</v>
      </c>
      <c r="AS123" s="351"/>
      <c r="AT123" s="351"/>
      <c r="AV123" s="405">
        <f t="shared" si="56"/>
        <v>0</v>
      </c>
      <c r="AW123" s="405">
        <f t="shared" si="82"/>
        <v>0</v>
      </c>
      <c r="AX123" s="405">
        <f t="shared" si="58"/>
        <v>0</v>
      </c>
      <c r="AY123" s="405">
        <f t="shared" si="59"/>
        <v>0</v>
      </c>
    </row>
    <row r="124" spans="2:51" ht="13.5" thickBot="1" x14ac:dyDescent="0.25">
      <c r="B124" s="345">
        <v>6531.7</v>
      </c>
      <c r="C124" s="728" t="str">
        <f t="shared" si="41"/>
        <v>2.2271548443541</v>
      </c>
      <c r="D124" s="728" t="str">
        <f t="shared" si="42"/>
        <v>1+4.9931855789601i</v>
      </c>
      <c r="E124" s="337">
        <f t="shared" si="61"/>
        <v>5.0923375993678093</v>
      </c>
      <c r="F124" s="338">
        <f t="shared" si="62"/>
        <v>1.3731383299194235</v>
      </c>
      <c r="G124" s="338" t="str">
        <f t="shared" si="43"/>
        <v>1+0.0205199407354524i</v>
      </c>
      <c r="H124" s="337">
        <f t="shared" si="63"/>
        <v>1.0002105118262787</v>
      </c>
      <c r="I124" s="338">
        <f t="shared" si="64"/>
        <v>2.0517061366281952E-2</v>
      </c>
      <c r="J124" s="340">
        <f t="shared" si="44"/>
        <v>1</v>
      </c>
      <c r="K124" s="338">
        <f t="shared" si="65"/>
        <v>1</v>
      </c>
      <c r="L124" s="339">
        <f t="shared" si="66"/>
        <v>0</v>
      </c>
      <c r="M124" s="731" t="str">
        <f t="shared" si="45"/>
        <v>0.998103862004889+0.0884592405977951i</v>
      </c>
      <c r="N124" s="338">
        <f t="shared" si="67"/>
        <v>1.0020161458760097</v>
      </c>
      <c r="O124" s="339">
        <f t="shared" si="68"/>
        <v>8.8396327915704079E-2</v>
      </c>
      <c r="P124" s="732" t="str">
        <f t="shared" si="60"/>
        <v>0.0564980753586225-0.432894731879793i</v>
      </c>
      <c r="Q124" s="337">
        <f t="shared" si="69"/>
        <v>0.43656601036785542</v>
      </c>
      <c r="R124" s="339">
        <f t="shared" si="70"/>
        <v>-1.4410175964688459</v>
      </c>
      <c r="S124" s="731" t="str">
        <f t="shared" si="46"/>
        <v>6000</v>
      </c>
      <c r="T124" s="337" t="str">
        <f t="shared" si="47"/>
        <v>1+41450.280285614i</v>
      </c>
      <c r="U124" s="346">
        <f t="shared" si="71"/>
        <v>41450.28029767664</v>
      </c>
      <c r="V124" s="347">
        <f t="shared" si="72"/>
        <v>1.5707722015056846</v>
      </c>
      <c r="W124" s="340" t="str">
        <f t="shared" si="48"/>
        <v>1+410.398814709049i</v>
      </c>
      <c r="X124" s="337">
        <f t="shared" si="73"/>
        <v>410.40003303434605</v>
      </c>
      <c r="Y124" s="339">
        <f t="shared" si="74"/>
        <v>1.5683596774063708</v>
      </c>
      <c r="Z124" s="337" t="str">
        <f t="shared" si="49"/>
        <v>1+4.1341344547828i</v>
      </c>
      <c r="AA124" s="346">
        <f t="shared" si="75"/>
        <v>4.2533595768782915</v>
      </c>
      <c r="AB124" s="347">
        <f t="shared" si="76"/>
        <v>1.3334663706370251</v>
      </c>
      <c r="AC124" s="732" t="str">
        <f t="shared" si="77"/>
        <v>3.25096599627717-13.583249086255i</v>
      </c>
      <c r="AD124" s="337">
        <f t="shared" si="78"/>
        <v>13.966869214258351</v>
      </c>
      <c r="AE124" s="339">
        <f t="shared" si="79"/>
        <v>-1.3358788947363394</v>
      </c>
      <c r="AF124" s="736" t="str">
        <f t="shared" si="50"/>
        <v>-5.69644364940481-2.1747534837989i</v>
      </c>
      <c r="AG124" s="337">
        <f t="shared" si="80"/>
        <v>15.702979726873741</v>
      </c>
      <c r="AH124" s="730">
        <f t="shared" si="81"/>
        <v>-159.10444909074423</v>
      </c>
      <c r="AI124" s="360">
        <f t="shared" si="51"/>
        <v>20.895550909255775</v>
      </c>
      <c r="AL124" s="337">
        <f t="shared" si="52"/>
        <v>22.901981328651345</v>
      </c>
      <c r="AM124" s="730">
        <f t="shared" si="53"/>
        <v>-76.540222608993403</v>
      </c>
      <c r="AN124" s="351"/>
      <c r="AO124" s="337">
        <f t="shared" si="54"/>
        <v>46.330120883264556</v>
      </c>
      <c r="AP124" s="730">
        <f t="shared" si="55"/>
        <v>-82.564226481750822</v>
      </c>
      <c r="AS124" s="351"/>
      <c r="AT124" s="351"/>
      <c r="AV124" s="405">
        <f t="shared" si="56"/>
        <v>0</v>
      </c>
      <c r="AW124" s="405">
        <f t="shared" si="82"/>
        <v>0</v>
      </c>
      <c r="AX124" s="405">
        <f t="shared" si="58"/>
        <v>0</v>
      </c>
      <c r="AY124" s="405">
        <f t="shared" si="59"/>
        <v>0</v>
      </c>
    </row>
    <row r="125" spans="2:51" ht="13.5" thickBot="1" x14ac:dyDescent="0.25">
      <c r="B125" s="345">
        <v>6606.9</v>
      </c>
      <c r="C125" s="728" t="str">
        <f t="shared" si="41"/>
        <v>2.2271548443541</v>
      </c>
      <c r="D125" s="728" t="str">
        <f t="shared" si="42"/>
        <v>1+5.05067253573058i</v>
      </c>
      <c r="E125" s="337">
        <f t="shared" si="61"/>
        <v>5.1487176134629067</v>
      </c>
      <c r="F125" s="338">
        <f t="shared" si="62"/>
        <v>1.3753308996074656</v>
      </c>
      <c r="G125" s="338" t="str">
        <f t="shared" si="43"/>
        <v>1+0.0207561885030024i</v>
      </c>
      <c r="H125" s="337">
        <f t="shared" si="63"/>
        <v>1.000215386484917</v>
      </c>
      <c r="I125" s="338">
        <f t="shared" si="64"/>
        <v>2.075320855063344E-2</v>
      </c>
      <c r="J125" s="340">
        <f t="shared" si="44"/>
        <v>1</v>
      </c>
      <c r="K125" s="338">
        <f t="shared" si="65"/>
        <v>1</v>
      </c>
      <c r="L125" s="339">
        <f t="shared" si="66"/>
        <v>0</v>
      </c>
      <c r="M125" s="731" t="str">
        <f t="shared" si="45"/>
        <v>0.998059949884+0.0894776791196124i</v>
      </c>
      <c r="N125" s="338">
        <f t="shared" si="67"/>
        <v>1.0020628316742841</v>
      </c>
      <c r="O125" s="339">
        <f t="shared" si="68"/>
        <v>8.9412570488882542E-2</v>
      </c>
      <c r="P125" s="732" t="str">
        <f t="shared" si="60"/>
        <v>0.0546041217158334-0.428300754625324i</v>
      </c>
      <c r="Q125" s="337">
        <f t="shared" si="69"/>
        <v>0.43176746811331163</v>
      </c>
      <c r="R125" s="339">
        <f t="shared" si="70"/>
        <v>-1.4439902615457145</v>
      </c>
      <c r="S125" s="731" t="str">
        <f t="shared" si="46"/>
        <v>6000</v>
      </c>
      <c r="T125" s="337" t="str">
        <f t="shared" si="47"/>
        <v>1+41927.5007760649i</v>
      </c>
      <c r="U125" s="346">
        <f t="shared" si="71"/>
        <v>41927.500787990248</v>
      </c>
      <c r="V125" s="347">
        <f t="shared" si="72"/>
        <v>1.5707724761006912</v>
      </c>
      <c r="W125" s="340" t="str">
        <f t="shared" si="48"/>
        <v>1+415.123770060048i</v>
      </c>
      <c r="X125" s="337">
        <f t="shared" si="73"/>
        <v>415.12497451835833</v>
      </c>
      <c r="Y125" s="339">
        <f t="shared" si="74"/>
        <v>1.5683874113392402</v>
      </c>
      <c r="Z125" s="337" t="str">
        <f t="shared" si="49"/>
        <v>1+4.18173108521587i</v>
      </c>
      <c r="AA125" s="346">
        <f t="shared" si="75"/>
        <v>4.2996365973254882</v>
      </c>
      <c r="AB125" s="347">
        <f t="shared" si="76"/>
        <v>1.33606900313558</v>
      </c>
      <c r="AC125" s="732" t="str">
        <f t="shared" si="77"/>
        <v>3.18136224946388-13.4452887041715i</v>
      </c>
      <c r="AD125" s="337">
        <f t="shared" si="78"/>
        <v>13.816542769478753</v>
      </c>
      <c r="AE125" s="339">
        <f t="shared" si="79"/>
        <v>-1.3384540678970309</v>
      </c>
      <c r="AF125" s="736" t="str">
        <f t="shared" si="50"/>
        <v>-5.58491180666011-2.096748033089i</v>
      </c>
      <c r="AG125" s="337">
        <f t="shared" si="80"/>
        <v>15.512986053522429</v>
      </c>
      <c r="AH125" s="730">
        <f t="shared" si="81"/>
        <v>-159.42231680717771</v>
      </c>
      <c r="AI125" s="360">
        <f t="shared" si="51"/>
        <v>20.577683192822292</v>
      </c>
      <c r="AL125" s="337">
        <f t="shared" si="52"/>
        <v>22.80798771463833</v>
      </c>
      <c r="AM125" s="730">
        <f t="shared" si="53"/>
        <v>-76.687769162616405</v>
      </c>
      <c r="AN125" s="351"/>
      <c r="AO125" s="337">
        <f t="shared" si="54"/>
        <v>46.234120823926254</v>
      </c>
      <c r="AP125" s="730">
        <f t="shared" si="55"/>
        <v>-82.73454764456136</v>
      </c>
      <c r="AS125" s="351"/>
      <c r="AT125" s="351"/>
      <c r="AV125" s="405">
        <f t="shared" si="56"/>
        <v>0</v>
      </c>
      <c r="AW125" s="405">
        <f t="shared" si="82"/>
        <v>0</v>
      </c>
      <c r="AX125" s="405">
        <f t="shared" si="58"/>
        <v>0</v>
      </c>
      <c r="AY125" s="405">
        <f t="shared" si="59"/>
        <v>0</v>
      </c>
    </row>
    <row r="126" spans="2:51" ht="13.5" thickBot="1" x14ac:dyDescent="0.25">
      <c r="B126" s="345">
        <v>6683.85</v>
      </c>
      <c r="C126" s="728" t="str">
        <f t="shared" si="41"/>
        <v>2.2271548443541</v>
      </c>
      <c r="D126" s="728" t="str">
        <f t="shared" si="42"/>
        <v>1+5.10949728737273i</v>
      </c>
      <c r="E126" s="337">
        <f t="shared" si="61"/>
        <v>5.206434723461852</v>
      </c>
      <c r="F126" s="338">
        <f t="shared" si="62"/>
        <v>1.3775253256564548</v>
      </c>
      <c r="G126" s="338" t="str">
        <f t="shared" si="43"/>
        <v>1+0.0209979340576962i</v>
      </c>
      <c r="H126" s="337">
        <f t="shared" si="63"/>
        <v>1.0002204323221413</v>
      </c>
      <c r="I126" s="338">
        <f t="shared" si="64"/>
        <v>2.0994848784848589E-2</v>
      </c>
      <c r="J126" s="340">
        <f t="shared" si="44"/>
        <v>1</v>
      </c>
      <c r="K126" s="338">
        <f t="shared" si="65"/>
        <v>1</v>
      </c>
      <c r="L126" s="339">
        <f t="shared" si="66"/>
        <v>0</v>
      </c>
      <c r="M126" s="731" t="str">
        <f t="shared" si="45"/>
        <v>0.998014495519+0.0905198180059668i</v>
      </c>
      <c r="N126" s="338">
        <f t="shared" si="67"/>
        <v>1.0021111568672798</v>
      </c>
      <c r="O126" s="339">
        <f t="shared" si="68"/>
        <v>9.0452410105722234E-2</v>
      </c>
      <c r="P126" s="732" t="str">
        <f t="shared" si="60"/>
        <v>0.0527287439250908-0.423694135586474i</v>
      </c>
      <c r="Q126" s="337">
        <f t="shared" si="69"/>
        <v>0.4269625756038663</v>
      </c>
      <c r="R126" s="339">
        <f t="shared" si="70"/>
        <v>-1.4469828869773287</v>
      </c>
      <c r="S126" s="731" t="str">
        <f t="shared" si="46"/>
        <v>6000</v>
      </c>
      <c r="T126" s="337" t="str">
        <f t="shared" si="47"/>
        <v>1+42415.8267965462i</v>
      </c>
      <c r="U126" s="346">
        <f t="shared" si="71"/>
        <v>42415.826808334255</v>
      </c>
      <c r="V126" s="347">
        <f t="shared" si="72"/>
        <v>1.5707727506895761</v>
      </c>
      <c r="W126" s="340" t="str">
        <f t="shared" si="48"/>
        <v>1+419.958681153923i</v>
      </c>
      <c r="X126" s="337">
        <f t="shared" si="73"/>
        <v>419.95987174555427</v>
      </c>
      <c r="Y126" s="339">
        <f t="shared" si="74"/>
        <v>1.5684151446575441</v>
      </c>
      <c r="Z126" s="337" t="str">
        <f t="shared" si="49"/>
        <v>1+4.23043535000077i</v>
      </c>
      <c r="AA126" s="346">
        <f t="shared" si="75"/>
        <v>4.3470200425735479</v>
      </c>
      <c r="AB126" s="347">
        <f t="shared" si="76"/>
        <v>1.3386748211970299</v>
      </c>
      <c r="AC126" s="732" t="str">
        <f t="shared" si="77"/>
        <v>3.11238518423442-13.3068003773634i</v>
      </c>
      <c r="AD126" s="337">
        <f t="shared" si="78"/>
        <v>13.665938599965999</v>
      </c>
      <c r="AE126" s="339">
        <f t="shared" si="79"/>
        <v>-1.3410324272290619</v>
      </c>
      <c r="AF126" s="736" t="str">
        <f t="shared" si="50"/>
        <v>-5.47390112193301-2.02035021980665i</v>
      </c>
      <c r="AG126" s="337">
        <f t="shared" si="80"/>
        <v>15.320585495496399</v>
      </c>
      <c r="AH126" s="730">
        <f t="shared" si="81"/>
        <v>-159.74151072186626</v>
      </c>
      <c r="AI126" s="360">
        <f t="shared" si="51"/>
        <v>20.258489278133737</v>
      </c>
      <c r="AL126" s="337">
        <f t="shared" si="52"/>
        <v>22.712789302772357</v>
      </c>
      <c r="AM126" s="730">
        <f t="shared" si="53"/>
        <v>-76.835498270409943</v>
      </c>
      <c r="AN126" s="351"/>
      <c r="AO126" s="337">
        <f t="shared" si="54"/>
        <v>46.136918677766161</v>
      </c>
      <c r="AP126" s="730">
        <f t="shared" si="55"/>
        <v>-82.90601245145632</v>
      </c>
      <c r="AS126" s="351"/>
      <c r="AT126" s="351"/>
      <c r="AV126" s="405">
        <f t="shared" si="56"/>
        <v>0</v>
      </c>
      <c r="AW126" s="405">
        <f t="shared" si="82"/>
        <v>0</v>
      </c>
      <c r="AX126" s="405">
        <f t="shared" si="58"/>
        <v>0</v>
      </c>
      <c r="AY126" s="405">
        <f t="shared" si="59"/>
        <v>0</v>
      </c>
    </row>
    <row r="127" spans="2:51" ht="13.5" thickBot="1" x14ac:dyDescent="0.25">
      <c r="B127" s="345">
        <v>6760.8</v>
      </c>
      <c r="C127" s="728" t="str">
        <f t="shared" si="41"/>
        <v>2.2271548443541</v>
      </c>
      <c r="D127" s="728" t="str">
        <f t="shared" si="42"/>
        <v>1+5.16832203901486i</v>
      </c>
      <c r="E127" s="337">
        <f t="shared" si="61"/>
        <v>5.2641763552303908</v>
      </c>
      <c r="F127" s="338">
        <f t="shared" si="62"/>
        <v>1.3796716214668581</v>
      </c>
      <c r="G127" s="338" t="str">
        <f t="shared" si="43"/>
        <v>1+0.0212396796123898i</v>
      </c>
      <c r="H127" s="337">
        <f t="shared" si="63"/>
        <v>1.0002255365616481</v>
      </c>
      <c r="I127" s="338">
        <f t="shared" si="64"/>
        <v>2.1236486566949608E-2</v>
      </c>
      <c r="J127" s="340">
        <f t="shared" si="44"/>
        <v>1</v>
      </c>
      <c r="K127" s="338">
        <f t="shared" si="65"/>
        <v>1</v>
      </c>
      <c r="L127" s="339">
        <f t="shared" si="66"/>
        <v>0</v>
      </c>
      <c r="M127" s="731" t="str">
        <f t="shared" si="45"/>
        <v>0.997968514816+0.0915619568923209i</v>
      </c>
      <c r="N127" s="338">
        <f t="shared" si="67"/>
        <v>1.002160041367647</v>
      </c>
      <c r="O127" s="339">
        <f t="shared" si="68"/>
        <v>9.1492196299105322E-2</v>
      </c>
      <c r="P127" s="732" t="str">
        <f t="shared" si="60"/>
        <v>0.0509140657152115-0.419180152755835i</v>
      </c>
      <c r="Q127" s="337">
        <f t="shared" si="69"/>
        <v>0.42226087025920128</v>
      </c>
      <c r="R127" s="339">
        <f t="shared" si="70"/>
        <v>-1.449927331199014</v>
      </c>
      <c r="S127" s="731" t="str">
        <f t="shared" si="46"/>
        <v>6000</v>
      </c>
      <c r="T127" s="337" t="str">
        <f t="shared" si="47"/>
        <v>1+42904.1528170275i</v>
      </c>
      <c r="U127" s="346">
        <f t="shared" si="71"/>
        <v>42904.152828681385</v>
      </c>
      <c r="V127" s="347">
        <f t="shared" si="72"/>
        <v>1.5707730190278353</v>
      </c>
      <c r="W127" s="340" t="str">
        <f t="shared" si="48"/>
        <v>1+424.793592247797i</v>
      </c>
      <c r="X127" s="337">
        <f t="shared" si="73"/>
        <v>424.79476928840313</v>
      </c>
      <c r="Y127" s="339">
        <f t="shared" si="74"/>
        <v>1.5684422466698251</v>
      </c>
      <c r="Z127" s="337" t="str">
        <f t="shared" si="49"/>
        <v>1+4.27913961478566i</v>
      </c>
      <c r="AA127" s="346">
        <f t="shared" si="75"/>
        <v>4.3944323686715192</v>
      </c>
      <c r="AB127" s="347">
        <f t="shared" si="76"/>
        <v>1.3412244269758562</v>
      </c>
      <c r="AC127" s="732" t="str">
        <f t="shared" si="77"/>
        <v>3.04558730798066-13.1709552823603i</v>
      </c>
      <c r="AD127" s="337">
        <f t="shared" si="78"/>
        <v>13.518493447883444</v>
      </c>
      <c r="AE127" s="339">
        <f t="shared" si="79"/>
        <v>-1.3435551993338664</v>
      </c>
      <c r="AF127" s="736" t="str">
        <f t="shared" si="50"/>
        <v>-5.36593981486012-1.94723663576877i</v>
      </c>
      <c r="AG127" s="337">
        <f t="shared" si="80"/>
        <v>15.130182666150931</v>
      </c>
      <c r="AH127" s="730">
        <f t="shared" si="81"/>
        <v>-160.05475914305913</v>
      </c>
      <c r="AI127" s="360">
        <f t="shared" si="51"/>
        <v>19.94524085694087</v>
      </c>
      <c r="AL127" s="337">
        <f t="shared" si="52"/>
        <v>22.618565897603922</v>
      </c>
      <c r="AM127" s="730">
        <f t="shared" si="53"/>
        <v>-76.98004246468858</v>
      </c>
      <c r="AN127" s="351"/>
      <c r="AO127" s="337">
        <f t="shared" si="54"/>
        <v>46.040739253589138</v>
      </c>
      <c r="AP127" s="730">
        <f t="shared" si="55"/>
        <v>-83.074716678370578</v>
      </c>
      <c r="AS127" s="351"/>
      <c r="AT127" s="351"/>
      <c r="AV127" s="405">
        <f t="shared" si="56"/>
        <v>0</v>
      </c>
      <c r="AW127" s="405">
        <f t="shared" si="82"/>
        <v>0</v>
      </c>
      <c r="AX127" s="405">
        <f t="shared" si="58"/>
        <v>0</v>
      </c>
      <c r="AY127" s="405">
        <f t="shared" si="59"/>
        <v>0</v>
      </c>
    </row>
    <row r="128" spans="2:51" ht="13.5" thickBot="1" x14ac:dyDescent="0.25">
      <c r="B128" s="345">
        <v>6839.55</v>
      </c>
      <c r="C128" s="728" t="str">
        <f t="shared" si="41"/>
        <v>2.2271548443541</v>
      </c>
      <c r="D128" s="728" t="str">
        <f t="shared" si="42"/>
        <v>1+5.22852280823928i</v>
      </c>
      <c r="E128" s="337">
        <f t="shared" si="61"/>
        <v>5.3232932247132849</v>
      </c>
      <c r="F128" s="338">
        <f t="shared" si="62"/>
        <v>1.381819904780869</v>
      </c>
      <c r="G128" s="338" t="str">
        <f t="shared" si="43"/>
        <v>1+0.02148708003386i</v>
      </c>
      <c r="H128" s="337">
        <f t="shared" si="63"/>
        <v>1.0002308206651009</v>
      </c>
      <c r="I128" s="338">
        <f t="shared" si="64"/>
        <v>2.1483774126602927E-2</v>
      </c>
      <c r="J128" s="340">
        <f t="shared" si="44"/>
        <v>1</v>
      </c>
      <c r="K128" s="338">
        <f t="shared" si="65"/>
        <v>1</v>
      </c>
      <c r="L128" s="339">
        <f t="shared" si="66"/>
        <v>0</v>
      </c>
      <c r="M128" s="731" t="str">
        <f t="shared" si="45"/>
        <v>0.997920913591+0.0926284732964847i</v>
      </c>
      <c r="N128" s="338">
        <f t="shared" si="67"/>
        <v>1.0022106484405031</v>
      </c>
      <c r="O128" s="339">
        <f t="shared" si="68"/>
        <v>9.2556249028603876E-2</v>
      </c>
      <c r="P128" s="732" t="str">
        <f t="shared" si="60"/>
        <v>0.049117121638415-0.414653738745889i</v>
      </c>
      <c r="Q128" s="337">
        <f t="shared" si="69"/>
        <v>0.41755264900846556</v>
      </c>
      <c r="R128" s="339">
        <f t="shared" si="70"/>
        <v>-1.4528923796828701</v>
      </c>
      <c r="S128" s="731" t="str">
        <f t="shared" si="46"/>
        <v>6000</v>
      </c>
      <c r="T128" s="337" t="str">
        <f t="shared" si="47"/>
        <v>1+43403.9016683973i</v>
      </c>
      <c r="U128" s="346">
        <f t="shared" si="71"/>
        <v>43403.901679917006</v>
      </c>
      <c r="V128" s="347">
        <f t="shared" si="72"/>
        <v>1.5707732873914932</v>
      </c>
      <c r="W128" s="340" t="str">
        <f t="shared" si="48"/>
        <v>1+429.741600677201i</v>
      </c>
      <c r="X128" s="337">
        <f t="shared" si="73"/>
        <v>429.7427641654981</v>
      </c>
      <c r="Y128" s="339">
        <f t="shared" si="74"/>
        <v>1.5684693512507903</v>
      </c>
      <c r="Z128" s="337" t="str">
        <f t="shared" si="49"/>
        <v>1+4.32898316061817i</v>
      </c>
      <c r="AA128" s="346">
        <f t="shared" si="75"/>
        <v>4.4429826923943434</v>
      </c>
      <c r="AB128" s="347">
        <f t="shared" si="76"/>
        <v>1.3437773163486695</v>
      </c>
      <c r="AC128" s="732" t="str">
        <f t="shared" si="77"/>
        <v>2.97939016921938-13.0345976144045i</v>
      </c>
      <c r="AD128" s="337">
        <f t="shared" si="78"/>
        <v>13.370770387299327</v>
      </c>
      <c r="AE128" s="339">
        <f t="shared" si="79"/>
        <v>-1.3460812524893717</v>
      </c>
      <c r="AF128" s="736" t="str">
        <f t="shared" si="50"/>
        <v>-5.25850556451123-1.87563718938406i</v>
      </c>
      <c r="AG128" s="337">
        <f t="shared" si="80"/>
        <v>14.937353481917764</v>
      </c>
      <c r="AH128" s="730">
        <f t="shared" si="81"/>
        <v>-160.36937609187197</v>
      </c>
      <c r="AI128" s="360">
        <f t="shared" si="51"/>
        <v>19.63062390812803</v>
      </c>
      <c r="AL128" s="337">
        <f t="shared" si="52"/>
        <v>22.523128616913873</v>
      </c>
      <c r="AM128" s="730">
        <f t="shared" si="53"/>
        <v>-77.124774649324735</v>
      </c>
      <c r="AN128" s="351"/>
      <c r="AO128" s="337">
        <f t="shared" si="54"/>
        <v>45.943347350046025</v>
      </c>
      <c r="AP128" s="730">
        <f t="shared" si="55"/>
        <v>-83.244601442547221</v>
      </c>
      <c r="AS128" s="351"/>
      <c r="AT128" s="351"/>
      <c r="AV128" s="405">
        <f t="shared" si="56"/>
        <v>0</v>
      </c>
      <c r="AW128" s="405">
        <f t="shared" si="82"/>
        <v>0</v>
      </c>
      <c r="AX128" s="405">
        <f t="shared" si="58"/>
        <v>0</v>
      </c>
      <c r="AY128" s="405">
        <f t="shared" si="59"/>
        <v>0</v>
      </c>
    </row>
    <row r="129" spans="2:51" ht="13.5" thickBot="1" x14ac:dyDescent="0.25">
      <c r="B129" s="345">
        <v>6918.3</v>
      </c>
      <c r="C129" s="728" t="str">
        <f t="shared" si="41"/>
        <v>2.2271548443541</v>
      </c>
      <c r="D129" s="728" t="str">
        <f t="shared" si="42"/>
        <v>1+5.28872357746369i</v>
      </c>
      <c r="E129" s="337">
        <f t="shared" si="61"/>
        <v>5.3824341221068686</v>
      </c>
      <c r="F129" s="338">
        <f t="shared" si="62"/>
        <v>1.3839209879695071</v>
      </c>
      <c r="G129" s="338" t="str">
        <f t="shared" si="43"/>
        <v>1+0.0217344804553302i</v>
      </c>
      <c r="H129" s="337">
        <f t="shared" si="63"/>
        <v>1.0002361659331576</v>
      </c>
      <c r="I129" s="338">
        <f t="shared" si="64"/>
        <v>2.1731059058365466E-2</v>
      </c>
      <c r="J129" s="340">
        <f t="shared" si="44"/>
        <v>1</v>
      </c>
      <c r="K129" s="338">
        <f t="shared" si="65"/>
        <v>1</v>
      </c>
      <c r="L129" s="339">
        <f t="shared" si="66"/>
        <v>0</v>
      </c>
      <c r="M129" s="731" t="str">
        <f t="shared" si="45"/>
        <v>0.997872761116+0.0936949897006484i</v>
      </c>
      <c r="N129" s="338">
        <f t="shared" si="67"/>
        <v>1.0022618412731648</v>
      </c>
      <c r="O129" s="339">
        <f t="shared" si="68"/>
        <v>9.3620244515911707E-2</v>
      </c>
      <c r="P129" s="732" t="str">
        <f t="shared" si="60"/>
        <v>0.047378482218616-0.410218854174864i</v>
      </c>
      <c r="Q129" s="337">
        <f t="shared" si="69"/>
        <v>0.41294579413995491</v>
      </c>
      <c r="R129" s="339">
        <f t="shared" si="70"/>
        <v>-1.4558101734270534</v>
      </c>
      <c r="S129" s="731" t="str">
        <f t="shared" si="46"/>
        <v>6000</v>
      </c>
      <c r="T129" s="337" t="str">
        <f t="shared" si="47"/>
        <v>1+43903.6505197671i</v>
      </c>
      <c r="U129" s="346">
        <f t="shared" si="71"/>
        <v>43903.650531155668</v>
      </c>
      <c r="V129" s="347">
        <f t="shared" si="72"/>
        <v>1.5707735496456621</v>
      </c>
      <c r="W129" s="340" t="str">
        <f t="shared" si="48"/>
        <v>1+434.689609106605i</v>
      </c>
      <c r="X129" s="337">
        <f t="shared" si="73"/>
        <v>434.69075935111971</v>
      </c>
      <c r="Y129" s="339">
        <f t="shared" si="74"/>
        <v>1.568495838780074</v>
      </c>
      <c r="Z129" s="337" t="str">
        <f t="shared" si="49"/>
        <v>1+4.37882670645067i</v>
      </c>
      <c r="AA129" s="346">
        <f t="shared" si="75"/>
        <v>4.4915613460271935</v>
      </c>
      <c r="AB129" s="347">
        <f t="shared" si="76"/>
        <v>1.346274999961991</v>
      </c>
      <c r="AC129" s="732" t="str">
        <f t="shared" si="77"/>
        <v>2.91529126563559-12.9008650484332i</v>
      </c>
      <c r="AD129" s="337">
        <f t="shared" si="78"/>
        <v>13.226157497980148</v>
      </c>
      <c r="AE129" s="339">
        <f t="shared" si="79"/>
        <v>-1.3485527108275788</v>
      </c>
      <c r="AF129" s="736" t="str">
        <f t="shared" si="50"/>
        <v>-5.15405600264182-1.80713084787698i</v>
      </c>
      <c r="AG129" s="337">
        <f t="shared" si="80"/>
        <v>14.746534743632543</v>
      </c>
      <c r="AH129" s="730">
        <f t="shared" si="81"/>
        <v>-160.67815749092497</v>
      </c>
      <c r="AI129" s="360">
        <f t="shared" si="51"/>
        <v>19.321842509075026</v>
      </c>
      <c r="AL129" s="337">
        <f t="shared" si="52"/>
        <v>22.428673800137769</v>
      </c>
      <c r="AM129" s="730">
        <f t="shared" si="53"/>
        <v>-77.266378781346418</v>
      </c>
      <c r="AN129" s="351"/>
      <c r="AO129" s="337">
        <f t="shared" si="54"/>
        <v>45.846983428536888</v>
      </c>
      <c r="AP129" s="730">
        <f t="shared" si="55"/>
        <v>-83.411778709578584</v>
      </c>
      <c r="AS129" s="351"/>
      <c r="AT129" s="351"/>
      <c r="AV129" s="405">
        <f t="shared" si="56"/>
        <v>0</v>
      </c>
      <c r="AW129" s="405">
        <f t="shared" si="82"/>
        <v>0</v>
      </c>
      <c r="AX129" s="405">
        <f t="shared" si="58"/>
        <v>0</v>
      </c>
      <c r="AY129" s="405">
        <f t="shared" si="59"/>
        <v>0</v>
      </c>
    </row>
    <row r="130" spans="2:51" ht="13.5" thickBot="1" x14ac:dyDescent="0.25">
      <c r="B130" s="345">
        <v>6998.9</v>
      </c>
      <c r="C130" s="728" t="str">
        <f t="shared" si="41"/>
        <v>2.2271548443541</v>
      </c>
      <c r="D130" s="728" t="str">
        <f t="shared" si="42"/>
        <v>1+5.350338586981i</v>
      </c>
      <c r="E130" s="337">
        <f t="shared" si="61"/>
        <v>5.4429884250600651</v>
      </c>
      <c r="F130" s="338">
        <f t="shared" si="62"/>
        <v>1.3860241401871241</v>
      </c>
      <c r="G130" s="338" t="str">
        <f t="shared" si="43"/>
        <v>1+0.0219876928232096i</v>
      </c>
      <c r="H130" s="337">
        <f t="shared" si="63"/>
        <v>1.0002417001083728</v>
      </c>
      <c r="I130" s="338">
        <f t="shared" si="64"/>
        <v>2.1984150470709975E-2</v>
      </c>
      <c r="J130" s="340">
        <f t="shared" si="44"/>
        <v>1</v>
      </c>
      <c r="K130" s="338">
        <f t="shared" si="65"/>
        <v>1</v>
      </c>
      <c r="L130" s="339">
        <f t="shared" si="66"/>
        <v>0</v>
      </c>
      <c r="M130" s="731" t="str">
        <f t="shared" si="45"/>
        <v>0.997822906612889+0.0947865607758942i</v>
      </c>
      <c r="N130" s="338">
        <f t="shared" si="67"/>
        <v>1.0023148432828461</v>
      </c>
      <c r="O130" s="339">
        <f t="shared" si="68"/>
        <v>9.4709175497029396E-2</v>
      </c>
      <c r="P130" s="732" t="str">
        <f t="shared" si="60"/>
        <v>0.0456568079852876-0.405771820469921i</v>
      </c>
      <c r="Q130" s="337">
        <f t="shared" si="69"/>
        <v>0.40833235777106763</v>
      </c>
      <c r="R130" s="339">
        <f t="shared" si="70"/>
        <v>-1.4587491652134434</v>
      </c>
      <c r="S130" s="731" t="str">
        <f t="shared" si="46"/>
        <v>6000</v>
      </c>
      <c r="T130" s="337" t="str">
        <f t="shared" si="47"/>
        <v>1+44415.1395028834i</v>
      </c>
      <c r="U130" s="346">
        <f t="shared" si="71"/>
        <v>44415.139514140821</v>
      </c>
      <c r="V130" s="347">
        <f t="shared" si="72"/>
        <v>1.5707738119494852</v>
      </c>
      <c r="W130" s="340" t="str">
        <f t="shared" si="48"/>
        <v>1+439.753856464192i</v>
      </c>
      <c r="X130" s="337">
        <f t="shared" si="73"/>
        <v>439.7549934624156</v>
      </c>
      <c r="Y130" s="339">
        <f t="shared" si="74"/>
        <v>1.5685223313276262</v>
      </c>
      <c r="Z130" s="337" t="str">
        <f t="shared" si="49"/>
        <v>1+4.42984118002654i</v>
      </c>
      <c r="AA130" s="346">
        <f t="shared" si="75"/>
        <v>4.5413095996924637</v>
      </c>
      <c r="AB130" s="347">
        <f t="shared" si="76"/>
        <v>1.3487760098917259</v>
      </c>
      <c r="AC130" s="732" t="str">
        <f t="shared" si="77"/>
        <v>2.85176937740299-12.7666369808123i</v>
      </c>
      <c r="AD130" s="337">
        <f t="shared" si="78"/>
        <v>13.081269371958427</v>
      </c>
      <c r="AE130" s="339">
        <f t="shared" si="79"/>
        <v>-1.3510274905135846</v>
      </c>
      <c r="AF130" s="736" t="str">
        <f t="shared" si="50"/>
        <v>-5.05013884210041-1.74005154508i</v>
      </c>
      <c r="AG130" s="337">
        <f t="shared" si="80"/>
        <v>14.553273704392129</v>
      </c>
      <c r="AH130" s="730">
        <f t="shared" si="81"/>
        <v>-160.98834374754165</v>
      </c>
      <c r="AI130" s="360">
        <f t="shared" si="51"/>
        <v>19.011656252458351</v>
      </c>
      <c r="AL130" s="337">
        <f t="shared" si="52"/>
        <v>22.332997776536715</v>
      </c>
      <c r="AM130" s="730">
        <f t="shared" si="53"/>
        <v>-77.408173212579257</v>
      </c>
      <c r="AN130" s="351"/>
      <c r="AO130" s="337">
        <f t="shared" si="54"/>
        <v>45.749398412897541</v>
      </c>
      <c r="AP130" s="730">
        <f t="shared" si="55"/>
        <v>-83.580170534962335</v>
      </c>
      <c r="AS130" s="351"/>
      <c r="AT130" s="351"/>
      <c r="AV130" s="405">
        <f t="shared" si="56"/>
        <v>0</v>
      </c>
      <c r="AW130" s="405">
        <f t="shared" si="82"/>
        <v>0</v>
      </c>
      <c r="AX130" s="405">
        <f t="shared" si="58"/>
        <v>0</v>
      </c>
      <c r="AY130" s="405">
        <f t="shared" si="59"/>
        <v>0</v>
      </c>
    </row>
    <row r="131" spans="2:51" ht="13.5" thickBot="1" x14ac:dyDescent="0.25">
      <c r="B131" s="345">
        <v>7079.5</v>
      </c>
      <c r="C131" s="728" t="str">
        <f t="shared" si="41"/>
        <v>2.2271548443541</v>
      </c>
      <c r="D131" s="728" t="str">
        <f t="shared" si="42"/>
        <v>1+5.41195359649831i</v>
      </c>
      <c r="E131" s="337">
        <f t="shared" si="61"/>
        <v>5.5035662738492563</v>
      </c>
      <c r="F131" s="338">
        <f t="shared" si="62"/>
        <v>1.3880810024712329</v>
      </c>
      <c r="G131" s="338" t="str">
        <f t="shared" si="43"/>
        <v>1+0.0222409051910889i</v>
      </c>
      <c r="H131" s="337">
        <f t="shared" si="63"/>
        <v>1.0002472983536217</v>
      </c>
      <c r="I131" s="338">
        <f t="shared" si="64"/>
        <v>2.2237239066230898E-2</v>
      </c>
      <c r="J131" s="340">
        <f t="shared" si="44"/>
        <v>1</v>
      </c>
      <c r="K131" s="338">
        <f t="shared" si="65"/>
        <v>1</v>
      </c>
      <c r="L131" s="339">
        <f t="shared" si="66"/>
        <v>0</v>
      </c>
      <c r="M131" s="731" t="str">
        <f t="shared" si="45"/>
        <v>0.997772474655556+0.0958781318511399i</v>
      </c>
      <c r="N131" s="338">
        <f t="shared" si="67"/>
        <v>1.002368458875047</v>
      </c>
      <c r="O131" s="339">
        <f t="shared" si="68"/>
        <v>9.5798045132707441E-2</v>
      </c>
      <c r="P131" s="732" t="str">
        <f t="shared" si="60"/>
        <v>0.0439911348560293-0.401415193485579i</v>
      </c>
      <c r="Q131" s="337">
        <f t="shared" si="69"/>
        <v>0.40381849574652501</v>
      </c>
      <c r="R131" s="339">
        <f t="shared" si="70"/>
        <v>-1.4616418085377094</v>
      </c>
      <c r="S131" s="731" t="str">
        <f t="shared" si="46"/>
        <v>6000</v>
      </c>
      <c r="T131" s="337" t="str">
        <f t="shared" si="47"/>
        <v>1+44926.6284859997i</v>
      </c>
      <c r="U131" s="346">
        <f t="shared" si="71"/>
        <v>44926.628497128957</v>
      </c>
      <c r="V131" s="347">
        <f t="shared" si="72"/>
        <v>1.5707740682806584</v>
      </c>
      <c r="W131" s="340" t="str">
        <f t="shared" si="48"/>
        <v>1+444.818103821779i</v>
      </c>
      <c r="X131" s="337">
        <f t="shared" si="73"/>
        <v>444.81922787532807</v>
      </c>
      <c r="Y131" s="339">
        <f t="shared" si="74"/>
        <v>1.5685482206437593</v>
      </c>
      <c r="Z131" s="337" t="str">
        <f t="shared" si="49"/>
        <v>1+4.48085565360241i</v>
      </c>
      <c r="AA131" s="346">
        <f t="shared" si="75"/>
        <v>4.5910856437688761</v>
      </c>
      <c r="AB131" s="347">
        <f t="shared" si="76"/>
        <v>1.3512228035034812</v>
      </c>
      <c r="AC131" s="732" t="str">
        <f t="shared" si="77"/>
        <v>2.79026745189809-12.635014484312i</v>
      </c>
      <c r="AD131" s="337">
        <f t="shared" si="78"/>
        <v>12.939442935145852</v>
      </c>
      <c r="AE131" s="339">
        <f t="shared" si="79"/>
        <v>-1.3534486511403807</v>
      </c>
      <c r="AF131" s="736" t="str">
        <f t="shared" si="50"/>
        <v>-4.94913975215236-1.67588437516744i</v>
      </c>
      <c r="AG131" s="337">
        <f t="shared" si="80"/>
        <v>14.362035725990637</v>
      </c>
      <c r="AH131" s="730">
        <f t="shared" si="81"/>
        <v>-161.2928022870974</v>
      </c>
      <c r="AI131" s="360">
        <f t="shared" si="51"/>
        <v>18.707197712902598</v>
      </c>
      <c r="AL131" s="337">
        <f t="shared" si="52"/>
        <v>22.238311592496139</v>
      </c>
      <c r="AM131" s="730">
        <f t="shared" si="53"/>
        <v>-77.546895498017932</v>
      </c>
      <c r="AN131" s="351"/>
      <c r="AO131" s="337">
        <f t="shared" si="54"/>
        <v>45.652846618536607</v>
      </c>
      <c r="AP131" s="730">
        <f t="shared" si="55"/>
        <v>-83.745906789079484</v>
      </c>
      <c r="AS131" s="351"/>
      <c r="AT131" s="351"/>
      <c r="AV131" s="405">
        <f t="shared" si="56"/>
        <v>0</v>
      </c>
      <c r="AW131" s="405">
        <f t="shared" si="82"/>
        <v>0</v>
      </c>
      <c r="AX131" s="405">
        <f t="shared" si="58"/>
        <v>0</v>
      </c>
      <c r="AY131" s="405">
        <f t="shared" si="59"/>
        <v>0</v>
      </c>
    </row>
    <row r="132" spans="2:51" ht="13.5" thickBot="1" x14ac:dyDescent="0.25">
      <c r="B132" s="345">
        <v>7161.95</v>
      </c>
      <c r="C132" s="728" t="str">
        <f t="shared" si="41"/>
        <v>2.2271548443541</v>
      </c>
      <c r="D132" s="728" t="str">
        <f t="shared" si="42"/>
        <v>1+5.4749828463085i</v>
      </c>
      <c r="E132" s="337">
        <f t="shared" si="61"/>
        <v>5.5655581182278864</v>
      </c>
      <c r="F132" s="338">
        <f t="shared" si="62"/>
        <v>1.3901387378369112</v>
      </c>
      <c r="G132" s="338" t="str">
        <f t="shared" si="43"/>
        <v>1+0.0224999295053774i</v>
      </c>
      <c r="H132" s="337">
        <f t="shared" si="63"/>
        <v>1.0002530913862486</v>
      </c>
      <c r="I132" s="338">
        <f t="shared" si="64"/>
        <v>2.2496133818931039E-2</v>
      </c>
      <c r="J132" s="340">
        <f t="shared" si="44"/>
        <v>1</v>
      </c>
      <c r="K132" s="338">
        <f t="shared" si="65"/>
        <v>1</v>
      </c>
      <c r="L132" s="339">
        <f t="shared" si="66"/>
        <v>0</v>
      </c>
      <c r="M132" s="731" t="str">
        <f t="shared" si="45"/>
        <v>0.997720287653222+0.0969947575974675i</v>
      </c>
      <c r="N132" s="338">
        <f t="shared" si="67"/>
        <v>1.0024239399556554</v>
      </c>
      <c r="O132" s="339">
        <f t="shared" si="68"/>
        <v>9.6911843231543074E-2</v>
      </c>
      <c r="P132" s="732" t="str">
        <f t="shared" si="60"/>
        <v>0.0423427047015134-0.397049381533704i</v>
      </c>
      <c r="Q132" s="337">
        <f t="shared" si="69"/>
        <v>0.39930078389321555</v>
      </c>
      <c r="R132" s="339">
        <f t="shared" si="70"/>
        <v>-1.4645544472495233</v>
      </c>
      <c r="S132" s="731" t="str">
        <f t="shared" si="46"/>
        <v>6000</v>
      </c>
      <c r="T132" s="337" t="str">
        <f t="shared" si="47"/>
        <v>1+45449.8576008624i</v>
      </c>
      <c r="U132" s="346">
        <f t="shared" si="71"/>
        <v>45449.857611863532</v>
      </c>
      <c r="V132" s="347">
        <f t="shared" si="72"/>
        <v>1.5707743245257451</v>
      </c>
      <c r="W132" s="340" t="str">
        <f t="shared" si="48"/>
        <v>1+449.998590107548i</v>
      </c>
      <c r="X132" s="337">
        <f t="shared" si="73"/>
        <v>449.9997012207686</v>
      </c>
      <c r="Y132" s="339">
        <f t="shared" si="74"/>
        <v>1.5685741012682233</v>
      </c>
      <c r="Z132" s="337" t="str">
        <f t="shared" si="49"/>
        <v>1+4.53304105492164i</v>
      </c>
      <c r="AA132" s="346">
        <f t="shared" si="75"/>
        <v>4.6420320125571184</v>
      </c>
      <c r="AB132" s="347">
        <f t="shared" si="76"/>
        <v>1.3536714491220529</v>
      </c>
      <c r="AC132" s="732" t="str">
        <f t="shared" si="77"/>
        <v>2.72935708746311-12.5029942803853i</v>
      </c>
      <c r="AD132" s="337">
        <f t="shared" si="78"/>
        <v>12.797431620689858</v>
      </c>
      <c r="AE132" s="339">
        <f t="shared" si="79"/>
        <v>-1.3558716723795758</v>
      </c>
      <c r="AF132" s="736" t="str">
        <f t="shared" si="50"/>
        <v>-4.84873778516699-1.61310013826093i</v>
      </c>
      <c r="AG132" s="337">
        <f t="shared" si="80"/>
        <v>14.168459609809926</v>
      </c>
      <c r="AH132" s="730">
        <f t="shared" si="81"/>
        <v>-161.59851308320714</v>
      </c>
      <c r="AI132" s="360">
        <f t="shared" si="51"/>
        <v>18.401486916792862</v>
      </c>
      <c r="AL132" s="337">
        <f t="shared" si="52"/>
        <v>22.142456354074245</v>
      </c>
      <c r="AM132" s="730">
        <f t="shared" si="53"/>
        <v>-77.685724388694368</v>
      </c>
      <c r="AN132" s="351"/>
      <c r="AO132" s="337">
        <f t="shared" si="54"/>
        <v>45.555125740777825</v>
      </c>
      <c r="AP132" s="730">
        <f t="shared" si="55"/>
        <v>-83.912788694512855</v>
      </c>
      <c r="AS132" s="351"/>
      <c r="AT132" s="351"/>
      <c r="AV132" s="405">
        <f t="shared" si="56"/>
        <v>0</v>
      </c>
      <c r="AW132" s="405">
        <f t="shared" si="82"/>
        <v>0</v>
      </c>
      <c r="AX132" s="405">
        <f t="shared" si="58"/>
        <v>0</v>
      </c>
      <c r="AY132" s="405">
        <f t="shared" si="59"/>
        <v>0</v>
      </c>
    </row>
    <row r="133" spans="2:51" ht="13.5" thickBot="1" x14ac:dyDescent="0.25">
      <c r="B133" s="345">
        <v>7244.4</v>
      </c>
      <c r="C133" s="728" t="str">
        <f t="shared" si="41"/>
        <v>2.2271548443541</v>
      </c>
      <c r="D133" s="728" t="str">
        <f t="shared" si="42"/>
        <v>1+5.5380120961187i</v>
      </c>
      <c r="E133" s="337">
        <f t="shared" si="61"/>
        <v>5.6275730094559444</v>
      </c>
      <c r="F133" s="338">
        <f t="shared" si="62"/>
        <v>1.3921511297848583</v>
      </c>
      <c r="G133" s="338" t="str">
        <f t="shared" si="43"/>
        <v>1+0.0227589538196659i</v>
      </c>
      <c r="H133" s="337">
        <f t="shared" si="63"/>
        <v>1.0002589514615532</v>
      </c>
      <c r="I133" s="338">
        <f t="shared" si="64"/>
        <v>2.2755025555483647E-2</v>
      </c>
      <c r="J133" s="340">
        <f t="shared" si="44"/>
        <v>1</v>
      </c>
      <c r="K133" s="338">
        <f t="shared" si="65"/>
        <v>1</v>
      </c>
      <c r="L133" s="339">
        <f t="shared" si="66"/>
        <v>0</v>
      </c>
      <c r="M133" s="731" t="str">
        <f t="shared" si="45"/>
        <v>0.997667496384+0.0981113833437952i</v>
      </c>
      <c r="N133" s="338">
        <f t="shared" si="67"/>
        <v>1.0024800630849233</v>
      </c>
      <c r="O133" s="339">
        <f t="shared" si="68"/>
        <v>9.8025575657674321E-2</v>
      </c>
      <c r="P133" s="732" t="str">
        <f t="shared" si="60"/>
        <v>0.0407479945081465-0.392772730448999i</v>
      </c>
      <c r="Q133" s="337">
        <f t="shared" si="69"/>
        <v>0.39488076281429307</v>
      </c>
      <c r="R133" s="339">
        <f t="shared" si="70"/>
        <v>-1.4674216798870492</v>
      </c>
      <c r="S133" s="731" t="str">
        <f t="shared" si="46"/>
        <v>6000</v>
      </c>
      <c r="T133" s="337" t="str">
        <f t="shared" si="47"/>
        <v>1+45973.0867157251i</v>
      </c>
      <c r="U133" s="346">
        <f t="shared" si="71"/>
        <v>45973.086726601025</v>
      </c>
      <c r="V133" s="347">
        <f t="shared" si="72"/>
        <v>1.5707745749380759</v>
      </c>
      <c r="W133" s="340" t="str">
        <f t="shared" si="48"/>
        <v>1+455.179076393318i</v>
      </c>
      <c r="X133" s="337">
        <f t="shared" si="73"/>
        <v>455.18017486076212</v>
      </c>
      <c r="Y133" s="339">
        <f t="shared" si="74"/>
        <v>1.5685993927901891</v>
      </c>
      <c r="Z133" s="337" t="str">
        <f t="shared" si="49"/>
        <v>1+4.58522645624087i</v>
      </c>
      <c r="AA133" s="346">
        <f t="shared" si="75"/>
        <v>4.6930056099488322</v>
      </c>
      <c r="AB133" s="347">
        <f t="shared" si="76"/>
        <v>1.3560669163764734</v>
      </c>
      <c r="AC133" s="732" t="str">
        <f t="shared" si="77"/>
        <v>2.67038865393336-12.3735556558295i</v>
      </c>
      <c r="AD133" s="337">
        <f t="shared" si="78"/>
        <v>12.658430200106418</v>
      </c>
      <c r="AE133" s="339">
        <f t="shared" si="79"/>
        <v>-1.3582420985243595</v>
      </c>
      <c r="AF133" s="736" t="str">
        <f t="shared" si="50"/>
        <v>-4.75118225809771-1.55305342087542i</v>
      </c>
      <c r="AG133" s="337">
        <f t="shared" si="80"/>
        <v>13.976916563449384</v>
      </c>
      <c r="AH133" s="730">
        <f t="shared" si="81"/>
        <v>-161.89860882596312</v>
      </c>
      <c r="AI133" s="360">
        <f t="shared" si="51"/>
        <v>18.101391174036877</v>
      </c>
      <c r="AL133" s="337">
        <f t="shared" si="52"/>
        <v>22.047597024048958</v>
      </c>
      <c r="AM133" s="730">
        <f t="shared" si="53"/>
        <v>-77.82153980243794</v>
      </c>
      <c r="AN133" s="351"/>
      <c r="AO133" s="337">
        <f t="shared" si="54"/>
        <v>45.458442024442562</v>
      </c>
      <c r="AP133" s="730">
        <f t="shared" si="55"/>
        <v>-84.077069023525226</v>
      </c>
      <c r="AS133" s="351"/>
      <c r="AT133" s="351"/>
      <c r="AV133" s="405">
        <f t="shared" si="56"/>
        <v>0</v>
      </c>
      <c r="AW133" s="405">
        <f t="shared" si="82"/>
        <v>0</v>
      </c>
      <c r="AX133" s="405">
        <f t="shared" si="58"/>
        <v>0</v>
      </c>
      <c r="AY133" s="405">
        <f t="shared" si="59"/>
        <v>0</v>
      </c>
    </row>
    <row r="134" spans="2:51" ht="13.5" thickBot="1" x14ac:dyDescent="0.25">
      <c r="B134" s="345">
        <v>7328.75</v>
      </c>
      <c r="C134" s="728" t="str">
        <f t="shared" si="41"/>
        <v>2.2271548443541</v>
      </c>
      <c r="D134" s="728" t="str">
        <f t="shared" si="42"/>
        <v>1+5.60249380893241i</v>
      </c>
      <c r="E134" s="337">
        <f t="shared" si="61"/>
        <v>5.6910400524970814</v>
      </c>
      <c r="F134" s="338">
        <f t="shared" si="62"/>
        <v>1.394164502033878</v>
      </c>
      <c r="G134" s="338" t="str">
        <f t="shared" si="43"/>
        <v>1+0.0230239471599962i</v>
      </c>
      <c r="H134" s="337">
        <f t="shared" si="63"/>
        <v>1.0002650159546851</v>
      </c>
      <c r="I134" s="338">
        <f t="shared" si="64"/>
        <v>2.3019880105581796E-2</v>
      </c>
      <c r="J134" s="340">
        <f t="shared" si="44"/>
        <v>1</v>
      </c>
      <c r="K134" s="338">
        <f t="shared" si="65"/>
        <v>1</v>
      </c>
      <c r="L134" s="339">
        <f t="shared" si="66"/>
        <v>0</v>
      </c>
      <c r="M134" s="731" t="str">
        <f t="shared" si="45"/>
        <v>0.997612863263889+0.0992537409144773i</v>
      </c>
      <c r="N134" s="338">
        <f t="shared" si="67"/>
        <v>1.0025381439302412</v>
      </c>
      <c r="O134" s="339">
        <f t="shared" si="68"/>
        <v>9.9164904494151107E-2</v>
      </c>
      <c r="P134" s="732" t="str">
        <f t="shared" si="60"/>
        <v>0.0391697525790126-0.388487079612796i</v>
      </c>
      <c r="Q134" s="337">
        <f t="shared" si="69"/>
        <v>0.39045675886476844</v>
      </c>
      <c r="R134" s="339">
        <f t="shared" si="70"/>
        <v>-1.4703095264224475</v>
      </c>
      <c r="S134" s="731" t="str">
        <f t="shared" si="46"/>
        <v>6000</v>
      </c>
      <c r="T134" s="337" t="str">
        <f t="shared" si="47"/>
        <v>1+46508.3732631923i</v>
      </c>
      <c r="U134" s="346">
        <f t="shared" si="71"/>
        <v>46508.373273943049</v>
      </c>
      <c r="V134" s="347">
        <f t="shared" si="72"/>
        <v>1.5707748252903355</v>
      </c>
      <c r="W134" s="340" t="str">
        <f t="shared" si="48"/>
        <v>1+460.478943199924i</v>
      </c>
      <c r="X134" s="337">
        <f t="shared" si="73"/>
        <v>460.48002902462429</v>
      </c>
      <c r="Y134" s="339">
        <f t="shared" si="74"/>
        <v>1.5686246782477746</v>
      </c>
      <c r="Z134" s="337" t="str">
        <f t="shared" si="49"/>
        <v>1+4.63861443199924i</v>
      </c>
      <c r="AA134" s="346">
        <f t="shared" si="75"/>
        <v>4.7451811186456982</v>
      </c>
      <c r="AB134" s="347">
        <f t="shared" si="76"/>
        <v>1.3584643136307875</v>
      </c>
      <c r="AC134" s="732" t="str">
        <f t="shared" si="77"/>
        <v>2.61198713193488-12.2437329166138i</v>
      </c>
      <c r="AD134" s="337">
        <f t="shared" si="78"/>
        <v>12.519244087035194</v>
      </c>
      <c r="AE134" s="339">
        <f t="shared" si="79"/>
        <v>-1.3606144606733486</v>
      </c>
      <c r="AF134" s="736" t="str">
        <f t="shared" si="50"/>
        <v>-4.6542211546369-1.49430724185886i</v>
      </c>
      <c r="AG134" s="337">
        <f t="shared" si="80"/>
        <v>13.783021037251611</v>
      </c>
      <c r="AH134" s="730">
        <f t="shared" si="81"/>
        <v>-162.19999658293665</v>
      </c>
      <c r="AI134" s="360">
        <f t="shared" si="51"/>
        <v>17.800003417063351</v>
      </c>
      <c r="AL134" s="337">
        <f t="shared" si="52"/>
        <v>21.951562138606</v>
      </c>
      <c r="AM134" s="730">
        <f t="shared" si="53"/>
        <v>-77.957466141051597</v>
      </c>
      <c r="AN134" s="351"/>
      <c r="AO134" s="337">
        <f t="shared" si="54"/>
        <v>45.360581383687745</v>
      </c>
      <c r="AP134" s="730">
        <f t="shared" si="55"/>
        <v>-84.242530441885037</v>
      </c>
      <c r="AS134" s="351"/>
      <c r="AT134" s="351"/>
      <c r="AV134" s="405">
        <f t="shared" si="56"/>
        <v>0</v>
      </c>
      <c r="AW134" s="405">
        <f t="shared" si="82"/>
        <v>0</v>
      </c>
      <c r="AX134" s="405">
        <f t="shared" si="58"/>
        <v>0</v>
      </c>
      <c r="AY134" s="405">
        <f t="shared" si="59"/>
        <v>0</v>
      </c>
    </row>
    <row r="135" spans="2:51" ht="13.5" thickBot="1" x14ac:dyDescent="0.25">
      <c r="B135" s="345">
        <v>7413.1</v>
      </c>
      <c r="C135" s="728" t="str">
        <f t="shared" si="41"/>
        <v>2.2271548443541</v>
      </c>
      <c r="D135" s="728" t="str">
        <f t="shared" si="42"/>
        <v>1+5.66697552174612i</v>
      </c>
      <c r="E135" s="337">
        <f t="shared" si="61"/>
        <v>5.7545296561986454</v>
      </c>
      <c r="F135" s="338">
        <f t="shared" si="62"/>
        <v>1.3961334551316043</v>
      </c>
      <c r="G135" s="338" t="str">
        <f t="shared" si="43"/>
        <v>1+0.0232889405003265i</v>
      </c>
      <c r="H135" s="337">
        <f t="shared" si="63"/>
        <v>1.0002711506134863</v>
      </c>
      <c r="I135" s="338">
        <f t="shared" si="64"/>
        <v>2.3284731425554824E-2</v>
      </c>
      <c r="J135" s="340">
        <f t="shared" si="44"/>
        <v>1</v>
      </c>
      <c r="K135" s="338">
        <f t="shared" si="65"/>
        <v>1</v>
      </c>
      <c r="L135" s="339">
        <f t="shared" si="66"/>
        <v>0</v>
      </c>
      <c r="M135" s="731" t="str">
        <f t="shared" si="45"/>
        <v>0.997557597706222+0.100396098485159i</v>
      </c>
      <c r="N135" s="338">
        <f t="shared" si="67"/>
        <v>1.0025968967299124</v>
      </c>
      <c r="O135" s="339">
        <f t="shared" si="68"/>
        <v>0.10030416301414719</v>
      </c>
      <c r="P135" s="732" t="str">
        <f t="shared" si="60"/>
        <v>0.0376430416401517-0.384289337683159i</v>
      </c>
      <c r="Q135" s="337">
        <f t="shared" si="69"/>
        <v>0.38612859728448395</v>
      </c>
      <c r="R135" s="339">
        <f t="shared" si="70"/>
        <v>-1.4731528867201966</v>
      </c>
      <c r="S135" s="731" t="str">
        <f t="shared" si="46"/>
        <v>6000</v>
      </c>
      <c r="T135" s="337" t="str">
        <f t="shared" si="47"/>
        <v>1+47043.6598106595i</v>
      </c>
      <c r="U135" s="346">
        <f t="shared" si="71"/>
        <v>47043.659821287925</v>
      </c>
      <c r="V135" s="347">
        <f t="shared" si="72"/>
        <v>1.570775069945326</v>
      </c>
      <c r="W135" s="340" t="str">
        <f t="shared" si="48"/>
        <v>1+465.77881000653i</v>
      </c>
      <c r="X135" s="337">
        <f t="shared" si="73"/>
        <v>465.7798834761964</v>
      </c>
      <c r="Y135" s="339">
        <f t="shared" si="74"/>
        <v>1.5686493882866008</v>
      </c>
      <c r="Z135" s="337" t="str">
        <f t="shared" si="49"/>
        <v>1+4.69200240775761i</v>
      </c>
      <c r="AA135" s="346">
        <f t="shared" si="75"/>
        <v>4.7973833070126064</v>
      </c>
      <c r="AB135" s="347">
        <f t="shared" si="76"/>
        <v>1.3608095501023965</v>
      </c>
      <c r="AC135" s="732" t="str">
        <f t="shared" si="77"/>
        <v>2.55545231051299-12.1164667080799i</v>
      </c>
      <c r="AD135" s="337">
        <f t="shared" si="78"/>
        <v>12.383016676049287</v>
      </c>
      <c r="AE135" s="339">
        <f t="shared" si="79"/>
        <v>-1.3629352317611212</v>
      </c>
      <c r="AF135" s="736" t="str">
        <f t="shared" si="50"/>
        <v>-4.56003396857401-1.4381337367117i</v>
      </c>
      <c r="AG135" s="337">
        <f t="shared" si="80"/>
        <v>13.591168502463324</v>
      </c>
      <c r="AH135" s="730">
        <f t="shared" si="81"/>
        <v>-162.49587951617809</v>
      </c>
      <c r="AI135" s="360">
        <f t="shared" si="51"/>
        <v>17.504120483821907</v>
      </c>
      <c r="AL135" s="337">
        <f t="shared" si="52"/>
        <v>21.856529155663331</v>
      </c>
      <c r="AM135" s="730">
        <f t="shared" si="53"/>
        <v>-78.090436529596957</v>
      </c>
      <c r="AN135" s="351"/>
      <c r="AO135" s="337">
        <f t="shared" si="54"/>
        <v>45.263761831842118</v>
      </c>
      <c r="AP135" s="730">
        <f t="shared" si="55"/>
        <v>-84.405442986581107</v>
      </c>
      <c r="AS135" s="351"/>
      <c r="AT135" s="351"/>
      <c r="AV135" s="405">
        <f t="shared" si="56"/>
        <v>0</v>
      </c>
      <c r="AW135" s="405">
        <f t="shared" si="82"/>
        <v>0</v>
      </c>
      <c r="AX135" s="405">
        <f t="shared" si="58"/>
        <v>0</v>
      </c>
      <c r="AY135" s="405">
        <f t="shared" si="59"/>
        <v>0</v>
      </c>
    </row>
    <row r="136" spans="2:51" ht="13.5" thickBot="1" x14ac:dyDescent="0.25">
      <c r="B136" s="345">
        <v>7499.45</v>
      </c>
      <c r="C136" s="728" t="str">
        <f t="shared" si="41"/>
        <v>2.2271548443541</v>
      </c>
      <c r="D136" s="728" t="str">
        <f t="shared" si="42"/>
        <v>1+5.73298614298457i</v>
      </c>
      <c r="E136" s="337">
        <f t="shared" si="61"/>
        <v>5.819547243184223</v>
      </c>
      <c r="F136" s="338">
        <f t="shared" si="62"/>
        <v>1.3981045842361204</v>
      </c>
      <c r="G136" s="338" t="str">
        <f t="shared" si="43"/>
        <v>1+0.023560217025964i</v>
      </c>
      <c r="H136" s="337">
        <f t="shared" si="63"/>
        <v>1.0002775034090843</v>
      </c>
      <c r="I136" s="338">
        <f t="shared" si="64"/>
        <v>2.3555859178782418E-2</v>
      </c>
      <c r="J136" s="340">
        <f t="shared" si="44"/>
        <v>1</v>
      </c>
      <c r="K136" s="338">
        <f t="shared" si="65"/>
        <v>1</v>
      </c>
      <c r="L136" s="339">
        <f t="shared" si="66"/>
        <v>0</v>
      </c>
      <c r="M136" s="731" t="str">
        <f t="shared" si="45"/>
        <v>0.997500366653222+0.101565542186741i</v>
      </c>
      <c r="N136" s="338">
        <f t="shared" si="67"/>
        <v>1.0026577386291888</v>
      </c>
      <c r="O136" s="339">
        <f t="shared" si="68"/>
        <v>0.10147036051235901</v>
      </c>
      <c r="P136" s="732" t="str">
        <f t="shared" si="60"/>
        <v>0.0361312247221993-0.380080426379417i</v>
      </c>
      <c r="Q136" s="337">
        <f t="shared" si="69"/>
        <v>0.38179391812427488</v>
      </c>
      <c r="R136" s="339">
        <f t="shared" si="70"/>
        <v>-1.4760190855696971</v>
      </c>
      <c r="S136" s="731" t="str">
        <f t="shared" si="46"/>
        <v>6000</v>
      </c>
      <c r="T136" s="337" t="str">
        <f t="shared" si="47"/>
        <v>1+47591.6383924473i</v>
      </c>
      <c r="U136" s="346">
        <f t="shared" si="71"/>
        <v>47591.638402953344</v>
      </c>
      <c r="V136" s="347">
        <f t="shared" si="72"/>
        <v>1.5707753147004693</v>
      </c>
      <c r="W136" s="340" t="str">
        <f t="shared" si="48"/>
        <v>1+471.20434051928i</v>
      </c>
      <c r="X136" s="337">
        <f t="shared" si="73"/>
        <v>471.20540162885396</v>
      </c>
      <c r="Y136" s="339">
        <f t="shared" si="74"/>
        <v>1.5686741084434543</v>
      </c>
      <c r="Z136" s="337" t="str">
        <f t="shared" si="49"/>
        <v>1+4.74665625134665i</v>
      </c>
      <c r="AA136" s="346">
        <f t="shared" si="75"/>
        <v>4.8508499841211572</v>
      </c>
      <c r="AB136" s="347">
        <f t="shared" si="76"/>
        <v>1.3631580948816526</v>
      </c>
      <c r="AC136" s="732" t="str">
        <f t="shared" si="77"/>
        <v>2.4994297308309-11.988758079944i</v>
      </c>
      <c r="AD136" s="337">
        <f t="shared" si="78"/>
        <v>12.246528866531282</v>
      </c>
      <c r="AE136" s="339">
        <f t="shared" si="79"/>
        <v>-1.3652593011386673</v>
      </c>
      <c r="AF136" s="736" t="str">
        <f t="shared" si="50"/>
        <v>-4.4663848255028-1.38315283012614i</v>
      </c>
      <c r="AG136" s="337">
        <f t="shared" si="80"/>
        <v>13.396840328706825</v>
      </c>
      <c r="AH136" s="730">
        <f t="shared" si="81"/>
        <v>-162.79325998012868</v>
      </c>
      <c r="AI136" s="360">
        <f t="shared" si="51"/>
        <v>17.206740019871319</v>
      </c>
      <c r="AL136" s="337">
        <f t="shared" si="52"/>
        <v>21.760260210367104</v>
      </c>
      <c r="AM136" s="730">
        <f t="shared" si="53"/>
        <v>-78.223595896225945</v>
      </c>
      <c r="AN136" s="351"/>
      <c r="AO136" s="337">
        <f t="shared" si="54"/>
        <v>45.165702603381831</v>
      </c>
      <c r="AP136" s="730">
        <f t="shared" si="55"/>
        <v>-84.569664083902737</v>
      </c>
      <c r="AS136" s="351"/>
      <c r="AT136" s="351"/>
      <c r="AV136" s="405">
        <f t="shared" si="56"/>
        <v>0</v>
      </c>
      <c r="AW136" s="405">
        <f t="shared" si="82"/>
        <v>0</v>
      </c>
      <c r="AX136" s="405">
        <f t="shared" si="58"/>
        <v>0</v>
      </c>
      <c r="AY136" s="405">
        <f t="shared" si="59"/>
        <v>0</v>
      </c>
    </row>
    <row r="137" spans="2:51" ht="13.5" thickBot="1" x14ac:dyDescent="0.25">
      <c r="B137" s="345">
        <v>7585.8</v>
      </c>
      <c r="C137" s="728" t="str">
        <f t="shared" si="41"/>
        <v>2.2271548443541</v>
      </c>
      <c r="D137" s="728" t="str">
        <f t="shared" si="42"/>
        <v>1+5.79899676422302i</v>
      </c>
      <c r="E137" s="337">
        <f t="shared" si="61"/>
        <v>5.8845869414487417</v>
      </c>
      <c r="F137" s="338">
        <f t="shared" si="62"/>
        <v>1.4000321486820033</v>
      </c>
      <c r="G137" s="338" t="str">
        <f t="shared" si="43"/>
        <v>1+0.0238314935516014i</v>
      </c>
      <c r="H137" s="337">
        <f t="shared" si="63"/>
        <v>1.0002839297344028</v>
      </c>
      <c r="I137" s="338">
        <f t="shared" si="64"/>
        <v>2.382698346821896E-2</v>
      </c>
      <c r="J137" s="340">
        <f t="shared" si="44"/>
        <v>1</v>
      </c>
      <c r="K137" s="338">
        <f t="shared" si="65"/>
        <v>1</v>
      </c>
      <c r="L137" s="339">
        <f t="shared" si="66"/>
        <v>0</v>
      </c>
      <c r="M137" s="731" t="str">
        <f t="shared" si="45"/>
        <v>0.997442472816+0.102734985888322i</v>
      </c>
      <c r="N137" s="338">
        <f t="shared" si="67"/>
        <v>1.0027192846967543</v>
      </c>
      <c r="O137" s="339">
        <f t="shared" si="68"/>
        <v>0.10263648262461059</v>
      </c>
      <c r="P137" s="732" t="str">
        <f t="shared" si="60"/>
        <v>0.0346688927652666-0.375958264133971i</v>
      </c>
      <c r="Q137" s="337">
        <f t="shared" si="69"/>
        <v>0.37755337171875214</v>
      </c>
      <c r="R137" s="339">
        <f t="shared" si="70"/>
        <v>-1.478841647838395</v>
      </c>
      <c r="S137" s="731" t="str">
        <f t="shared" si="46"/>
        <v>6000</v>
      </c>
      <c r="T137" s="337" t="str">
        <f t="shared" si="47"/>
        <v>1+48139.6169742349i</v>
      </c>
      <c r="U137" s="346">
        <f t="shared" si="71"/>
        <v>48139.61698462136</v>
      </c>
      <c r="V137" s="347">
        <f t="shared" si="72"/>
        <v>1.5707755538834629</v>
      </c>
      <c r="W137" s="340" t="str">
        <f t="shared" si="48"/>
        <v>1+476.629871032029i</v>
      </c>
      <c r="X137" s="337">
        <f t="shared" si="73"/>
        <v>476.63092006290219</v>
      </c>
      <c r="Y137" s="339">
        <f t="shared" si="74"/>
        <v>1.5686982658182573</v>
      </c>
      <c r="Z137" s="337" t="str">
        <f t="shared" si="49"/>
        <v>1+4.80131009493568i</v>
      </c>
      <c r="AA137" s="346">
        <f t="shared" si="75"/>
        <v>4.9043428334213406</v>
      </c>
      <c r="AB137" s="347">
        <f t="shared" si="76"/>
        <v>1.3654554198150053</v>
      </c>
      <c r="AC137" s="732" t="str">
        <f t="shared" si="77"/>
        <v>2.44520331534061-11.8635827963389i</v>
      </c>
      <c r="AD137" s="337">
        <f t="shared" si="78"/>
        <v>12.112952407193756</v>
      </c>
      <c r="AE137" s="339">
        <f t="shared" si="79"/>
        <v>-1.3675327078802104</v>
      </c>
      <c r="AF137" s="736" t="str">
        <f t="shared" si="50"/>
        <v>-4.3754395029924-1.33059167366822i</v>
      </c>
      <c r="AG137" s="337">
        <f t="shared" si="80"/>
        <v>13.204567278176963</v>
      </c>
      <c r="AH137" s="730">
        <f t="shared" si="81"/>
        <v>-163.08523749694498</v>
      </c>
      <c r="AI137" s="360">
        <f t="shared" si="51"/>
        <v>16.914762503055016</v>
      </c>
      <c r="AL137" s="337">
        <f t="shared" si="52"/>
        <v>21.665000216910006</v>
      </c>
      <c r="AM137" s="730">
        <f t="shared" si="53"/>
        <v>-78.353852507632951</v>
      </c>
      <c r="AN137" s="351"/>
      <c r="AO137" s="337">
        <f t="shared" si="54"/>
        <v>45.068689546309066</v>
      </c>
      <c r="AP137" s="730">
        <f t="shared" si="55"/>
        <v>-84.731384989312005</v>
      </c>
      <c r="AS137" s="351"/>
      <c r="AT137" s="351"/>
      <c r="AV137" s="405">
        <f t="shared" si="56"/>
        <v>0</v>
      </c>
      <c r="AW137" s="405">
        <f t="shared" si="82"/>
        <v>0</v>
      </c>
      <c r="AX137" s="405">
        <f t="shared" si="58"/>
        <v>0</v>
      </c>
      <c r="AY137" s="405">
        <f t="shared" si="59"/>
        <v>0</v>
      </c>
    </row>
    <row r="138" spans="2:51" ht="13.5" thickBot="1" x14ac:dyDescent="0.25">
      <c r="B138" s="345">
        <v>7674.15</v>
      </c>
      <c r="C138" s="728" t="str">
        <f t="shared" si="41"/>
        <v>2.2271548443541</v>
      </c>
      <c r="D138" s="728" t="str">
        <f t="shared" si="42"/>
        <v>1+5.86653629388622i</v>
      </c>
      <c r="E138" s="337">
        <f t="shared" si="61"/>
        <v>5.9511551893295698</v>
      </c>
      <c r="F138" s="338">
        <f t="shared" si="62"/>
        <v>1.4019607437059638</v>
      </c>
      <c r="G138" s="338" t="str">
        <f t="shared" si="43"/>
        <v>1+0.0241090532625461i</v>
      </c>
      <c r="H138" s="337">
        <f t="shared" si="63"/>
        <v>1.0002905810059477</v>
      </c>
      <c r="I138" s="338">
        <f t="shared" si="64"/>
        <v>2.4104383790372157E-2</v>
      </c>
      <c r="J138" s="340">
        <f t="shared" si="44"/>
        <v>1</v>
      </c>
      <c r="K138" s="338">
        <f t="shared" si="65"/>
        <v>1</v>
      </c>
      <c r="L138" s="339">
        <f t="shared" si="66"/>
        <v>0</v>
      </c>
      <c r="M138" s="731" t="str">
        <f t="shared" si="45"/>
        <v>0.997382552079+0.103931515720803i</v>
      </c>
      <c r="N138" s="338">
        <f t="shared" si="67"/>
        <v>1.0027829850728636</v>
      </c>
      <c r="O138" s="339">
        <f t="shared" si="68"/>
        <v>0.10382953501537459</v>
      </c>
      <c r="P138" s="732" t="str">
        <f t="shared" si="60"/>
        <v>0.0332217106654762-0.37182773310986i</v>
      </c>
      <c r="Q138" s="337">
        <f t="shared" si="69"/>
        <v>0.37330891386244436</v>
      </c>
      <c r="R138" s="339">
        <f t="shared" si="70"/>
        <v>-1.4816858949309661</v>
      </c>
      <c r="S138" s="731" t="str">
        <f t="shared" si="46"/>
        <v>6000</v>
      </c>
      <c r="T138" s="337" t="str">
        <f t="shared" si="47"/>
        <v>1+48700.2875903431i</v>
      </c>
      <c r="U138" s="346">
        <f t="shared" si="71"/>
        <v>48700.287600609976</v>
      </c>
      <c r="V138" s="347">
        <f t="shared" si="72"/>
        <v>1.5707757930352551</v>
      </c>
      <c r="W138" s="340" t="str">
        <f t="shared" si="48"/>
        <v>1+482.181065250922i</v>
      </c>
      <c r="X138" s="337">
        <f t="shared" si="73"/>
        <v>482.18210220466909</v>
      </c>
      <c r="Y138" s="339">
        <f t="shared" si="74"/>
        <v>1.5687224200441561</v>
      </c>
      <c r="Z138" s="337" t="str">
        <f t="shared" si="49"/>
        <v>1+4.85722980635537i</v>
      </c>
      <c r="AA138" s="346">
        <f t="shared" si="75"/>
        <v>4.9591008652523927</v>
      </c>
      <c r="AB138" s="347">
        <f t="shared" si="76"/>
        <v>1.3677546451748315</v>
      </c>
      <c r="AC138" s="732" t="str">
        <f t="shared" si="77"/>
        <v>2.39150192723864-11.73805717345i</v>
      </c>
      <c r="AD138" s="337">
        <f t="shared" si="78"/>
        <v>11.979201462333252</v>
      </c>
      <c r="AE138" s="339">
        <f t="shared" si="79"/>
        <v>-1.3698080181659302</v>
      </c>
      <c r="AF138" s="736" t="str">
        <f t="shared" si="50"/>
        <v>-4.28508540483519-1.27918507952418i</v>
      </c>
      <c r="AG138" s="337">
        <f t="shared" si="80"/>
        <v>13.009924578482746</v>
      </c>
      <c r="AH138" s="730">
        <f t="shared" si="81"/>
        <v>-163.37856652769605</v>
      </c>
      <c r="AI138" s="360">
        <f t="shared" si="51"/>
        <v>16.621433472303949</v>
      </c>
      <c r="AL138" s="337">
        <f t="shared" si="52"/>
        <v>21.568557375989187</v>
      </c>
      <c r="AM138" s="730">
        <f t="shared" si="53"/>
        <v>-78.48421818408741</v>
      </c>
      <c r="AN138" s="351"/>
      <c r="AO138" s="337">
        <f t="shared" si="54"/>
        <v>44.970489687535732</v>
      </c>
      <c r="AP138" s="730">
        <f t="shared" si="55"/>
        <v>-84.894348343608698</v>
      </c>
      <c r="AS138" s="351"/>
      <c r="AT138" s="351"/>
      <c r="AV138" s="405">
        <f t="shared" si="56"/>
        <v>0</v>
      </c>
      <c r="AW138" s="405">
        <f t="shared" si="82"/>
        <v>0</v>
      </c>
      <c r="AX138" s="405">
        <f t="shared" si="58"/>
        <v>0</v>
      </c>
      <c r="AY138" s="405">
        <f t="shared" si="59"/>
        <v>0</v>
      </c>
    </row>
    <row r="139" spans="2:51" ht="13.5" thickBot="1" x14ac:dyDescent="0.25">
      <c r="B139" s="345">
        <v>7762.5</v>
      </c>
      <c r="C139" s="728" t="str">
        <f t="shared" si="41"/>
        <v>2.2271548443541</v>
      </c>
      <c r="D139" s="728" t="str">
        <f t="shared" si="42"/>
        <v>1+5.93407582354942i</v>
      </c>
      <c r="E139" s="337">
        <f t="shared" si="61"/>
        <v>6.017745082639653</v>
      </c>
      <c r="F139" s="338">
        <f t="shared" si="62"/>
        <v>1.4038466635363289</v>
      </c>
      <c r="G139" s="338" t="str">
        <f t="shared" si="43"/>
        <v>1+0.0243866129734908i</v>
      </c>
      <c r="H139" s="337">
        <f t="shared" si="63"/>
        <v>1.0002973092497645</v>
      </c>
      <c r="I139" s="338">
        <f t="shared" si="64"/>
        <v>2.4381780402146513E-2</v>
      </c>
      <c r="J139" s="340">
        <f t="shared" si="44"/>
        <v>1</v>
      </c>
      <c r="K139" s="338">
        <f t="shared" si="65"/>
        <v>1</v>
      </c>
      <c r="L139" s="339">
        <f t="shared" si="66"/>
        <v>0</v>
      </c>
      <c r="M139" s="731" t="str">
        <f t="shared" si="45"/>
        <v>0.9973219375+0.105128045553284i</v>
      </c>
      <c r="N139" s="338">
        <f t="shared" si="67"/>
        <v>1.0028474225826214</v>
      </c>
      <c r="O139" s="339">
        <f t="shared" si="68"/>
        <v>0.10502250667270926</v>
      </c>
      <c r="P139" s="732" t="str">
        <f t="shared" si="60"/>
        <v>0.0318219877529185-0.36778267847015i</v>
      </c>
      <c r="Q139" s="337">
        <f t="shared" si="69"/>
        <v>0.36915679255192446</v>
      </c>
      <c r="R139" s="339">
        <f t="shared" si="70"/>
        <v>-1.4844873898068918</v>
      </c>
      <c r="S139" s="731" t="str">
        <f t="shared" si="46"/>
        <v>6000</v>
      </c>
      <c r="T139" s="337" t="str">
        <f t="shared" si="47"/>
        <v>1+49260.9582064513i</v>
      </c>
      <c r="U139" s="346">
        <f t="shared" si="71"/>
        <v>49260.958216601328</v>
      </c>
      <c r="V139" s="347">
        <f t="shared" si="72"/>
        <v>1.5707760267431665</v>
      </c>
      <c r="W139" s="340" t="str">
        <f t="shared" si="48"/>
        <v>1+487.732259469815i</v>
      </c>
      <c r="X139" s="337">
        <f t="shared" si="73"/>
        <v>487.73328462135015</v>
      </c>
      <c r="Y139" s="339">
        <f t="shared" si="74"/>
        <v>1.5687460244428642</v>
      </c>
      <c r="Z139" s="337" t="str">
        <f t="shared" si="49"/>
        <v>1+4.91314951777508i</v>
      </c>
      <c r="AA139" s="346">
        <f t="shared" si="75"/>
        <v>5.0138845403552637</v>
      </c>
      <c r="AB139" s="347">
        <f t="shared" si="76"/>
        <v>1.370003637726565</v>
      </c>
      <c r="AC139" s="732" t="str">
        <f t="shared" si="77"/>
        <v>2.33952645511441-11.6150376414474i</v>
      </c>
      <c r="AD139" s="337">
        <f t="shared" si="78"/>
        <v>11.848311417515163</v>
      </c>
      <c r="AE139" s="339">
        <f t="shared" si="79"/>
        <v>-1.3720336400268669</v>
      </c>
      <c r="AF139" s="736" t="str">
        <f t="shared" si="50"/>
        <v>-4.19736127210086-1.23005089158958i</v>
      </c>
      <c r="AG139" s="337">
        <f t="shared" si="80"/>
        <v>12.817346489203686</v>
      </c>
      <c r="AH139" s="730">
        <f t="shared" si="81"/>
        <v>-163.66659909983787</v>
      </c>
      <c r="AI139" s="360">
        <f t="shared" si="51"/>
        <v>16.333400900162133</v>
      </c>
      <c r="AL139" s="337">
        <f t="shared" si="52"/>
        <v>21.473129210619209</v>
      </c>
      <c r="AM139" s="730">
        <f t="shared" si="53"/>
        <v>-78.611736923511131</v>
      </c>
      <c r="AN139" s="351"/>
      <c r="AO139" s="337">
        <f t="shared" si="54"/>
        <v>44.873339763626632</v>
      </c>
      <c r="AP139" s="730">
        <f t="shared" si="55"/>
        <v>-85.054862176326765</v>
      </c>
      <c r="AS139" s="351"/>
      <c r="AT139" s="351"/>
      <c r="AV139" s="405">
        <f t="shared" si="56"/>
        <v>0</v>
      </c>
      <c r="AW139" s="405">
        <f t="shared" si="82"/>
        <v>0</v>
      </c>
      <c r="AX139" s="405">
        <f t="shared" si="58"/>
        <v>0</v>
      </c>
      <c r="AY139" s="405">
        <f t="shared" si="59"/>
        <v>0</v>
      </c>
    </row>
    <row r="140" spans="2:51" ht="13.5" thickBot="1" x14ac:dyDescent="0.25">
      <c r="B140" s="345">
        <v>7852.9</v>
      </c>
      <c r="C140" s="728" t="str">
        <f t="shared" si="41"/>
        <v>2.2271548443541</v>
      </c>
      <c r="D140" s="728" t="str">
        <f t="shared" si="42"/>
        <v>1+6.00318248434799i</v>
      </c>
      <c r="E140" s="337">
        <f t="shared" si="61"/>
        <v>6.0859017360110661</v>
      </c>
      <c r="F140" s="338">
        <f t="shared" si="62"/>
        <v>1.4057336181039304</v>
      </c>
      <c r="G140" s="338" t="str">
        <f t="shared" si="43"/>
        <v>1+0.0246706129493753i</v>
      </c>
      <c r="H140" s="337">
        <f t="shared" si="63"/>
        <v>1.0003042732805343</v>
      </c>
      <c r="I140" s="338">
        <f t="shared" si="64"/>
        <v>2.4665609609475305E-2</v>
      </c>
      <c r="J140" s="340">
        <f t="shared" si="44"/>
        <v>1</v>
      </c>
      <c r="K140" s="338">
        <f t="shared" si="65"/>
        <v>1</v>
      </c>
      <c r="L140" s="339">
        <f t="shared" si="66"/>
        <v>0</v>
      </c>
      <c r="M140" s="731" t="str">
        <f t="shared" si="45"/>
        <v>0.997259198292889+0.106352338669937i</v>
      </c>
      <c r="N140" s="338">
        <f t="shared" si="67"/>
        <v>1.0029141182176768</v>
      </c>
      <c r="O140" s="339">
        <f t="shared" si="68"/>
        <v>0.10624307453145804</v>
      </c>
      <c r="P140" s="732" t="str">
        <f t="shared" si="60"/>
        <v>0.0304367984408985-0.363729583036437i</v>
      </c>
      <c r="Q140" s="337">
        <f t="shared" si="69"/>
        <v>0.3650008332527368</v>
      </c>
      <c r="R140" s="339">
        <f t="shared" si="70"/>
        <v>-1.4873110830259133</v>
      </c>
      <c r="S140" s="731" t="str">
        <f t="shared" si="46"/>
        <v>6000</v>
      </c>
      <c r="T140" s="337" t="str">
        <f t="shared" si="47"/>
        <v>1+49834.6381577381i</v>
      </c>
      <c r="U140" s="346">
        <f t="shared" si="71"/>
        <v>49834.638167771293</v>
      </c>
      <c r="V140" s="347">
        <f t="shared" si="72"/>
        <v>1.5707762604306803</v>
      </c>
      <c r="W140" s="340" t="str">
        <f t="shared" si="48"/>
        <v>1+493.412258987506i</v>
      </c>
      <c r="X140" s="337">
        <f t="shared" si="73"/>
        <v>493.41327233785847</v>
      </c>
      <c r="Y140" s="339">
        <f t="shared" si="74"/>
        <v>1.5687696267836715</v>
      </c>
      <c r="Z140" s="337" t="str">
        <f t="shared" si="49"/>
        <v>1+4.97036674372122i</v>
      </c>
      <c r="AA140" s="346">
        <f t="shared" si="75"/>
        <v>5.0699650459435999</v>
      </c>
      <c r="AB140" s="347">
        <f t="shared" si="76"/>
        <v>1.3722544945520183</v>
      </c>
      <c r="AC140" s="732" t="str">
        <f t="shared" si="77"/>
        <v>2.28805619916841-11.4916845641377i</v>
      </c>
      <c r="AD140" s="337">
        <f t="shared" si="78"/>
        <v>11.717252890169847</v>
      </c>
      <c r="AE140" s="339">
        <f t="shared" si="79"/>
        <v>-1.3742611281990276</v>
      </c>
      <c r="AF140" s="736" t="str">
        <f t="shared" si="50"/>
        <v>-4.11022452954453-1.1820038141125i</v>
      </c>
      <c r="AG140" s="337">
        <f t="shared" si="80"/>
        <v>12.622393183564933</v>
      </c>
      <c r="AH140" s="730">
        <f t="shared" si="81"/>
        <v>-163.95601047510769</v>
      </c>
      <c r="AI140" s="360">
        <f t="shared" si="51"/>
        <v>16.043989524892311</v>
      </c>
      <c r="AL140" s="337">
        <f t="shared" si="52"/>
        <v>21.376516065577761</v>
      </c>
      <c r="AM140" s="730">
        <f t="shared" si="53"/>
        <v>-78.739362594691244</v>
      </c>
      <c r="AN140" s="351"/>
      <c r="AO140" s="337">
        <f t="shared" si="54"/>
        <v>44.774999603029279</v>
      </c>
      <c r="AP140" s="730">
        <f t="shared" si="55"/>
        <v>-85.216647880416375</v>
      </c>
      <c r="AS140" s="351"/>
      <c r="AT140" s="351"/>
      <c r="AV140" s="405">
        <f t="shared" si="56"/>
        <v>0</v>
      </c>
      <c r="AW140" s="405">
        <f t="shared" si="82"/>
        <v>0</v>
      </c>
      <c r="AX140" s="405">
        <f t="shared" si="58"/>
        <v>0</v>
      </c>
      <c r="AY140" s="405">
        <f t="shared" si="59"/>
        <v>0</v>
      </c>
    </row>
    <row r="141" spans="2:51" ht="13.5" thickBot="1" x14ac:dyDescent="0.25">
      <c r="B141" s="345">
        <v>7943.3</v>
      </c>
      <c r="C141" s="728" t="str">
        <f t="shared" ref="C141:C204" si="83">COMPLEX(Am*Afb,0)</f>
        <v>2.2271548443541</v>
      </c>
      <c r="D141" s="728" t="str">
        <f t="shared" ref="D141:D204" si="84">IMSUM(COMPLEX(1,0),IMDIV(COMPLEX(0,2*PI()*B141),COMPLEX(2*PI()*PS_Pole1,0)))</f>
        <v>1+6.07228914514655i</v>
      </c>
      <c r="E141" s="337">
        <f t="shared" si="61"/>
        <v>6.1540795788049909</v>
      </c>
      <c r="F141" s="338">
        <f t="shared" si="62"/>
        <v>1.4075787699466522</v>
      </c>
      <c r="G141" s="338" t="str">
        <f t="shared" ref="G141:G204" si="85">IMSUM(COMPLEX(1,0),IMDIV(COMPLEX(0,2*PI()*B141),COMPLEX(2*PI()*PS_Zero1,0)))</f>
        <v>1+0.0249546129252598i</v>
      </c>
      <c r="H141" s="337">
        <f t="shared" si="63"/>
        <v>1.0003113178937093</v>
      </c>
      <c r="I141" s="338">
        <f t="shared" si="64"/>
        <v>2.4949434841979121E-2</v>
      </c>
      <c r="J141" s="340">
        <f t="shared" ref="J141:J204" si="86">IF(VIN_nom&gt;Vout, 1,IMSUB(COMPLEX(1,0),IMDIV(COMPLEX(0,2*PI()*B141),COMPLEX(2*PI()*PS_RHPZ,0))))</f>
        <v>1</v>
      </c>
      <c r="K141" s="338">
        <f t="shared" si="65"/>
        <v>1</v>
      </c>
      <c r="L141" s="339">
        <f t="shared" si="66"/>
        <v>0</v>
      </c>
      <c r="M141" s="731" t="str">
        <f t="shared" ref="M141:M204" si="87">IMSUM(COMPLEX(1,0),IMDIV(COMPLEX(0,2*PI()*B141),COMPLEX(Q*(2*PI()*PS_Pole2/2),0)),IMDIV(IMPOWER(COMPLEX(0,2*PI()*B141),2),IMPOWER(COMPLEX(2*PI()*PS_Pole2/2,0),2)))</f>
        <v>0.997195732671556+0.107576631786589i</v>
      </c>
      <c r="N141" s="338">
        <f t="shared" si="67"/>
        <v>1.0029815855562398</v>
      </c>
      <c r="O141" s="339">
        <f t="shared" si="68"/>
        <v>0.10746355592434662</v>
      </c>
      <c r="P141" s="732" t="str">
        <f t="shared" si="60"/>
        <v>0.029097120983435-0.359760684045986i</v>
      </c>
      <c r="Q141" s="337">
        <f t="shared" si="69"/>
        <v>0.36093544053578391</v>
      </c>
      <c r="R141" s="339">
        <f t="shared" si="70"/>
        <v>-1.4900928910290199</v>
      </c>
      <c r="S141" s="731" t="str">
        <f t="shared" ref="S141:S204" si="88">COMPLEX(AEA,0)</f>
        <v>6000</v>
      </c>
      <c r="T141" s="337" t="str">
        <f t="shared" ref="T141:T204" si="89">IMSUM(COMPLEX(1,0),IMDIV(COMPLEX(0,2*PI()*B141),COMPLEX(2*PI()*EA_Pole1,0)))</f>
        <v>1+50408.3181090248i</v>
      </c>
      <c r="U141" s="346">
        <f t="shared" si="71"/>
        <v>50408.318118943804</v>
      </c>
      <c r="V141" s="347">
        <f t="shared" si="72"/>
        <v>1.5707764887991573</v>
      </c>
      <c r="W141" s="340" t="str">
        <f t="shared" ref="W141:W204" si="90">IMSUM(COMPLEX(1,0),IMDIV(COMPLEX(0,2*PI()*B141),COMPLEX(2*PI()*EA_Zero1,0)))</f>
        <v>1+499.092258505196i</v>
      </c>
      <c r="X141" s="337">
        <f t="shared" si="73"/>
        <v>499.09326032297554</v>
      </c>
      <c r="Y141" s="339">
        <f t="shared" si="74"/>
        <v>1.5687926919062081</v>
      </c>
      <c r="Z141" s="337" t="str">
        <f t="shared" ref="Z141:Z204" si="91">IMSUM(COMPLEX(1,0),IMDIV(COMPLEX(0,2*PI()*B141),COMPLEX(2*PI()*EA_Pole2,0)))</f>
        <v>1+5.02758396966735i</v>
      </c>
      <c r="AA141" s="346">
        <f t="shared" si="75"/>
        <v>5.1260706756789949</v>
      </c>
      <c r="AB141" s="347">
        <f t="shared" si="76"/>
        <v>1.374456090382659</v>
      </c>
      <c r="AC141" s="732" t="str">
        <f t="shared" si="77"/>
        <v>2.23824404592088-11.3708093650833i</v>
      </c>
      <c r="AD141" s="337">
        <f t="shared" si="78"/>
        <v>11.589005221595437</v>
      </c>
      <c r="AE141" s="339">
        <f t="shared" si="79"/>
        <v>-1.3764398872756083</v>
      </c>
      <c r="AF141" s="736" t="str">
        <f t="shared" ref="AF141:AF204" si="92">IMPRODUCT(P141,AC141)</f>
        <v>-4.02564369754426-1.13609002479776i</v>
      </c>
      <c r="AG141" s="337">
        <f t="shared" si="80"/>
        <v>12.4295137282691</v>
      </c>
      <c r="AH141" s="730">
        <f t="shared" si="81"/>
        <v>-164.24023003276523</v>
      </c>
      <c r="AI141" s="360">
        <f t="shared" ref="AI141:AI204" si="93">IF(AH141&gt;0,AH141-180,AH141+180)</f>
        <v>15.759769967234774</v>
      </c>
      <c r="AL141" s="337">
        <f t="shared" ref="AL141:AL204" si="94">20*LOG10(IMABS(AC141))</f>
        <v>21.280923170844879</v>
      </c>
      <c r="AM141" s="730">
        <f t="shared" ref="AM141:AM204" si="95">(180/PI())*IMARGUMENT(AC141)</f>
        <v>-78.864196294355139</v>
      </c>
      <c r="AN141" s="351"/>
      <c r="AO141" s="337">
        <f t="shared" ref="AO141:AO204" si="96">20*LOG10(IMABS(IMPRODUCT(COMPLEX(Am/Afb,0),P141)))</f>
        <v>44.677713042466351</v>
      </c>
      <c r="AP141" s="730">
        <f t="shared" ref="AP141:AP204" si="97">180/PI()*IMARGUMENT(IMPRODUCT(COMPLEX(Am/Afb,0),P141))</f>
        <v>-85.376033738410143</v>
      </c>
      <c r="AS141" s="351"/>
      <c r="AT141" s="351"/>
      <c r="AV141" s="405">
        <f t="shared" ref="AV141:AV204" si="98">SUM((AG142&lt;0)*(AG141&gt;0))*B141</f>
        <v>0</v>
      </c>
      <c r="AW141" s="405">
        <f t="shared" si="82"/>
        <v>0</v>
      </c>
      <c r="AX141" s="405">
        <f t="shared" ref="AX141:AX204" si="99">SUM((AL142&lt;0)*(AL141&gt;0))*B141</f>
        <v>0</v>
      </c>
      <c r="AY141" s="405">
        <f t="shared" ref="AY141:AY204" si="100">IF(AX141&gt;0,AM141,0)</f>
        <v>0</v>
      </c>
    </row>
    <row r="142" spans="2:51" ht="13.5" thickBot="1" x14ac:dyDescent="0.25">
      <c r="B142" s="345">
        <v>8035.8</v>
      </c>
      <c r="C142" s="728" t="str">
        <f t="shared" si="83"/>
        <v>2.2271548443541</v>
      </c>
      <c r="D142" s="728" t="str">
        <f t="shared" si="84"/>
        <v>1+6.1430011597911i</v>
      </c>
      <c r="E142" s="337">
        <f t="shared" si="61"/>
        <v>6.2238624060301007</v>
      </c>
      <c r="F142" s="338">
        <f t="shared" si="62"/>
        <v>1.4094249343239387</v>
      </c>
      <c r="G142" s="338" t="str">
        <f t="shared" si="85"/>
        <v>1+0.0252452102457169i</v>
      </c>
      <c r="H142" s="337">
        <f t="shared" si="63"/>
        <v>1.0003186095641481</v>
      </c>
      <c r="I142" s="338">
        <f t="shared" si="64"/>
        <v>2.5239849197738355E-2</v>
      </c>
      <c r="J142" s="340">
        <f t="shared" si="86"/>
        <v>1</v>
      </c>
      <c r="K142" s="338">
        <f t="shared" si="65"/>
        <v>1</v>
      </c>
      <c r="L142" s="339">
        <f t="shared" si="66"/>
        <v>0</v>
      </c>
      <c r="M142" s="731" t="str">
        <f t="shared" si="87"/>
        <v>0.997130040816+0.108829365340686i</v>
      </c>
      <c r="N142" s="338">
        <f t="shared" si="67"/>
        <v>1.0030514189502819</v>
      </c>
      <c r="O142" s="339">
        <f t="shared" si="68"/>
        <v>0.108712298681895</v>
      </c>
      <c r="P142" s="732" t="str">
        <f t="shared" ref="P142:P205" si="101">(IMDIV(IMPRODUCT(C142,G142,J142),IMPRODUCT(D142,M142)))</f>
        <v>0.0277714031546412-0.355784106831853i</v>
      </c>
      <c r="Q142" s="337">
        <f t="shared" si="69"/>
        <v>0.35686633563186798</v>
      </c>
      <c r="R142" s="339">
        <f t="shared" si="70"/>
        <v>-1.4928973838080954</v>
      </c>
      <c r="S142" s="731" t="str">
        <f t="shared" si="88"/>
        <v>6000</v>
      </c>
      <c r="T142" s="337" t="str">
        <f t="shared" si="89"/>
        <v>1+50995.324696348i</v>
      </c>
      <c r="U142" s="346">
        <f t="shared" si="71"/>
        <v>50995.324706152809</v>
      </c>
      <c r="V142" s="347">
        <f t="shared" si="72"/>
        <v>1.5707767171540947</v>
      </c>
      <c r="W142" s="340" t="str">
        <f t="shared" si="90"/>
        <v>1+504.904204914337i</v>
      </c>
      <c r="X142" s="337">
        <f t="shared" si="73"/>
        <v>504.9051952002265</v>
      </c>
      <c r="Y142" s="339">
        <f t="shared" si="74"/>
        <v>1.5688157556633582</v>
      </c>
      <c r="Z142" s="337" t="str">
        <f t="shared" si="91"/>
        <v>1+5.08613035683568i</v>
      </c>
      <c r="AA142" s="346">
        <f t="shared" si="75"/>
        <v>5.1835047995275785</v>
      </c>
      <c r="AB142" s="347">
        <f t="shared" si="76"/>
        <v>1.3766594853700838</v>
      </c>
      <c r="AC142" s="732" t="str">
        <f t="shared" si="77"/>
        <v>2.18891857637313-11.249618135558i</v>
      </c>
      <c r="AD142" s="337">
        <f t="shared" si="78"/>
        <v>11.460596525917262</v>
      </c>
      <c r="AE142" s="339">
        <f t="shared" si="79"/>
        <v>-1.3786204468608214</v>
      </c>
      <c r="AF142" s="736" t="str">
        <f t="shared" si="92"/>
        <v>-3.94164600030178-1.09120012120091i</v>
      </c>
      <c r="AG142" s="337">
        <f t="shared" si="80"/>
        <v>12.234256095756857</v>
      </c>
      <c r="AH142" s="730">
        <f t="shared" si="81"/>
        <v>-164.52585249389074</v>
      </c>
      <c r="AI142" s="360">
        <f t="shared" si="93"/>
        <v>15.474147506109261</v>
      </c>
      <c r="AL142" s="337">
        <f t="shared" si="94"/>
        <v>21.184144466365289</v>
      </c>
      <c r="AM142" s="730">
        <f t="shared" si="95"/>
        <v>-78.989133155564645</v>
      </c>
      <c r="AN142" s="351"/>
      <c r="AO142" s="337">
        <f t="shared" si="96"/>
        <v>44.57923411443371</v>
      </c>
      <c r="AP142" s="730">
        <f t="shared" si="97"/>
        <v>-85.536719338326066</v>
      </c>
      <c r="AS142" s="351"/>
      <c r="AT142" s="351"/>
      <c r="AV142" s="405">
        <f t="shared" si="98"/>
        <v>0</v>
      </c>
      <c r="AW142" s="405">
        <f t="shared" si="82"/>
        <v>0</v>
      </c>
      <c r="AX142" s="405">
        <f t="shared" si="99"/>
        <v>0</v>
      </c>
      <c r="AY142" s="405">
        <f t="shared" si="100"/>
        <v>0</v>
      </c>
    </row>
    <row r="143" spans="2:51" ht="13.5" thickBot="1" x14ac:dyDescent="0.25">
      <c r="B143" s="345">
        <v>8128.3</v>
      </c>
      <c r="C143" s="728" t="str">
        <f t="shared" si="83"/>
        <v>2.2271548443541</v>
      </c>
      <c r="D143" s="728" t="str">
        <f t="shared" si="84"/>
        <v>1+6.21371317443565i</v>
      </c>
      <c r="E143" s="337">
        <f t="shared" si="61"/>
        <v>6.2936659757374454</v>
      </c>
      <c r="F143" s="338">
        <f t="shared" si="62"/>
        <v>1.4112301528172728</v>
      </c>
      <c r="G143" s="338" t="str">
        <f t="shared" si="85"/>
        <v>1+0.0255358075661739i</v>
      </c>
      <c r="H143" s="337">
        <f t="shared" si="63"/>
        <v>1.0003259856007225</v>
      </c>
      <c r="I143" s="338">
        <f t="shared" si="64"/>
        <v>2.5530259295172844E-2</v>
      </c>
      <c r="J143" s="340">
        <f t="shared" si="86"/>
        <v>1</v>
      </c>
      <c r="K143" s="338">
        <f t="shared" si="65"/>
        <v>1</v>
      </c>
      <c r="L143" s="339">
        <f t="shared" si="66"/>
        <v>0</v>
      </c>
      <c r="M143" s="731" t="str">
        <f t="shared" si="87"/>
        <v>0.997063588404889+0.110082098894784i</v>
      </c>
      <c r="N143" s="338">
        <f t="shared" si="67"/>
        <v>1.0031220602797621</v>
      </c>
      <c r="O143" s="339">
        <f t="shared" si="68"/>
        <v>0.10996094883073226</v>
      </c>
      <c r="P143" s="732" t="str">
        <f t="shared" si="101"/>
        <v>0.0264893244493906-0.351890438790491i</v>
      </c>
      <c r="Q143" s="337">
        <f t="shared" si="69"/>
        <v>0.35288605132811551</v>
      </c>
      <c r="R143" s="339">
        <f t="shared" si="70"/>
        <v>-1.4956608423528321</v>
      </c>
      <c r="S143" s="731" t="str">
        <f t="shared" si="88"/>
        <v>6000</v>
      </c>
      <c r="T143" s="337" t="str">
        <f t="shared" si="89"/>
        <v>1+51582.3312836713i</v>
      </c>
      <c r="U143" s="346">
        <f t="shared" si="71"/>
        <v>51582.331293364543</v>
      </c>
      <c r="V143" s="347">
        <f t="shared" si="72"/>
        <v>1.5707769403116767</v>
      </c>
      <c r="W143" s="340" t="str">
        <f t="shared" si="90"/>
        <v>1+510.716151323478i</v>
      </c>
      <c r="X143" s="337">
        <f t="shared" si="73"/>
        <v>510.71713033994234</v>
      </c>
      <c r="Y143" s="339">
        <f t="shared" si="74"/>
        <v>1.5688382944917381</v>
      </c>
      <c r="Z143" s="337" t="str">
        <f t="shared" si="91"/>
        <v>1+5.14467674400401i</v>
      </c>
      <c r="AA143" s="346">
        <f t="shared" si="75"/>
        <v>5.2409635373942169</v>
      </c>
      <c r="AB143" s="347">
        <f t="shared" si="76"/>
        <v>1.3788145772639837</v>
      </c>
      <c r="AC143" s="732" t="str">
        <f t="shared" si="77"/>
        <v>2.1411857287292-11.1308756502065i</v>
      </c>
      <c r="AD143" s="337">
        <f t="shared" si="78"/>
        <v>11.334949010263502</v>
      </c>
      <c r="AE143" s="339">
        <f t="shared" si="79"/>
        <v>-1.3807532230839223</v>
      </c>
      <c r="AF143" s="736" t="str">
        <f t="shared" si="92"/>
        <v>-3.86013015319884-1.0483121621186i</v>
      </c>
      <c r="AG143" s="337">
        <f t="shared" si="80"/>
        <v>12.041081259529037</v>
      </c>
      <c r="AH143" s="730">
        <f t="shared" si="81"/>
        <v>-164.80638608159296</v>
      </c>
      <c r="AI143" s="360">
        <f t="shared" si="93"/>
        <v>15.193613918407038</v>
      </c>
      <c r="AL143" s="337">
        <f t="shared" si="94"/>
        <v>21.088391416271453</v>
      </c>
      <c r="AM143" s="730">
        <f t="shared" si="95"/>
        <v>-79.111332231794179</v>
      </c>
      <c r="AN143" s="351"/>
      <c r="AO143" s="337">
        <f t="shared" si="96"/>
        <v>44.481812328299732</v>
      </c>
      <c r="AP143" s="730">
        <f t="shared" si="97"/>
        <v>-85.695053849798867</v>
      </c>
      <c r="AS143" s="351"/>
      <c r="AT143" s="351"/>
      <c r="AV143" s="405">
        <f t="shared" si="98"/>
        <v>0</v>
      </c>
      <c r="AW143" s="405">
        <f t="shared" si="82"/>
        <v>0</v>
      </c>
      <c r="AX143" s="405">
        <f t="shared" si="99"/>
        <v>0</v>
      </c>
      <c r="AY143" s="405">
        <f t="shared" si="100"/>
        <v>0</v>
      </c>
    </row>
    <row r="144" spans="2:51" ht="13.5" thickBot="1" x14ac:dyDescent="0.25">
      <c r="B144" s="345">
        <v>8222.9500000000007</v>
      </c>
      <c r="C144" s="728" t="str">
        <f t="shared" si="83"/>
        <v>2.2271548443541</v>
      </c>
      <c r="D144" s="728" t="str">
        <f t="shared" si="84"/>
        <v>1+6.28606876563681i</v>
      </c>
      <c r="E144" s="337">
        <f t="shared" si="61"/>
        <v>6.3651127661899825</v>
      </c>
      <c r="F144" s="338">
        <f t="shared" si="62"/>
        <v>1.4130363391036733</v>
      </c>
      <c r="G144" s="338" t="str">
        <f t="shared" si="85"/>
        <v>1+0.0258331593108362i</v>
      </c>
      <c r="H144" s="337">
        <f t="shared" si="63"/>
        <v>1.000333620408701</v>
      </c>
      <c r="I144" s="338">
        <f t="shared" si="64"/>
        <v>2.5827415006201213E-2</v>
      </c>
      <c r="J144" s="340">
        <f t="shared" si="86"/>
        <v>1</v>
      </c>
      <c r="K144" s="338">
        <f t="shared" si="65"/>
        <v>1</v>
      </c>
      <c r="L144" s="339">
        <f t="shared" si="66"/>
        <v>0</v>
      </c>
      <c r="M144" s="731" t="str">
        <f t="shared" si="87"/>
        <v>0.996994804146556+0.111363950039598i</v>
      </c>
      <c r="N144" s="338">
        <f t="shared" si="67"/>
        <v>1.0031951798447059</v>
      </c>
      <c r="O144" s="339">
        <f t="shared" si="68"/>
        <v>0.11123852470019283</v>
      </c>
      <c r="P144" s="732" t="str">
        <f t="shared" si="101"/>
        <v>0.0252206687259076-0.347989483343417i</v>
      </c>
      <c r="Q144" s="337">
        <f t="shared" si="69"/>
        <v>0.34890222505538748</v>
      </c>
      <c r="R144" s="339">
        <f t="shared" si="70"/>
        <v>-1.4984474487976649</v>
      </c>
      <c r="S144" s="731" t="str">
        <f t="shared" si="88"/>
        <v>6000</v>
      </c>
      <c r="T144" s="337" t="str">
        <f t="shared" si="89"/>
        <v>1+52182.9818078891i</v>
      </c>
      <c r="U144" s="346">
        <f t="shared" si="71"/>
        <v>52182.981817470762</v>
      </c>
      <c r="V144" s="347">
        <f t="shared" si="72"/>
        <v>1.5707771634591647</v>
      </c>
      <c r="W144" s="340" t="str">
        <f t="shared" si="90"/>
        <v>1+516.663186216724i</v>
      </c>
      <c r="X144" s="337">
        <f t="shared" si="73"/>
        <v>516.66415396427226</v>
      </c>
      <c r="Y144" s="339">
        <f t="shared" si="74"/>
        <v>1.5688608323026159</v>
      </c>
      <c r="Z144" s="337" t="str">
        <f t="shared" si="91"/>
        <v>1+5.20458393909032i</v>
      </c>
      <c r="AA144" s="346">
        <f t="shared" si="75"/>
        <v>5.2997824463874839</v>
      </c>
      <c r="AB144" s="347">
        <f t="shared" si="76"/>
        <v>1.3809713785910587</v>
      </c>
      <c r="AC144" s="732" t="str">
        <f t="shared" si="77"/>
        <v>2.09392215199341-11.0118352003499i</v>
      </c>
      <c r="AD144" s="337">
        <f t="shared" si="78"/>
        <v>11.209149140691894</v>
      </c>
      <c r="AE144" s="339">
        <f t="shared" si="79"/>
        <v>-1.3828877097476067</v>
      </c>
      <c r="AF144" s="736" t="str">
        <f t="shared" si="92"/>
        <v>-3.77919272509935-1.00638873548584i</v>
      </c>
      <c r="AG144" s="337">
        <f t="shared" si="80"/>
        <v>11.845527733812581</v>
      </c>
      <c r="AH144" s="730">
        <f t="shared" si="81"/>
        <v>-165.08834394730189</v>
      </c>
      <c r="AI144" s="360">
        <f t="shared" si="93"/>
        <v>14.911656052698106</v>
      </c>
      <c r="AL144" s="337">
        <f t="shared" si="94"/>
        <v>20.991452952119182</v>
      </c>
      <c r="AM144" s="730">
        <f t="shared" si="95"/>
        <v>-79.233629309050258</v>
      </c>
      <c r="AN144" s="351"/>
      <c r="AO144" s="337">
        <f t="shared" si="96"/>
        <v>44.383197266735522</v>
      </c>
      <c r="AP144" s="730">
        <f t="shared" si="97"/>
        <v>-85.854714638251707</v>
      </c>
      <c r="AS144" s="351"/>
      <c r="AT144" s="351"/>
      <c r="AV144" s="405">
        <f t="shared" si="98"/>
        <v>0</v>
      </c>
      <c r="AW144" s="405">
        <f t="shared" si="82"/>
        <v>0</v>
      </c>
      <c r="AX144" s="405">
        <f t="shared" si="99"/>
        <v>0</v>
      </c>
      <c r="AY144" s="405">
        <f t="shared" si="100"/>
        <v>0</v>
      </c>
    </row>
    <row r="145" spans="2:51" ht="13.5" thickBot="1" x14ac:dyDescent="0.25">
      <c r="B145" s="345">
        <v>8270.2750000000015</v>
      </c>
      <c r="C145" s="728" t="str">
        <f t="shared" si="83"/>
        <v>2.2271548443541</v>
      </c>
      <c r="D145" s="728" t="str">
        <f t="shared" si="84"/>
        <v>1+6.32224656123739i</v>
      </c>
      <c r="E145" s="337">
        <f t="shared" ref="E145:E208" si="102">IMABS(D145)</f>
        <v>6.400843817894482</v>
      </c>
      <c r="F145" s="338">
        <f t="shared" ref="F145:F208" si="103">IMARGUMENT(D145)</f>
        <v>1.4139243101910099</v>
      </c>
      <c r="G145" s="338" t="str">
        <f t="shared" si="85"/>
        <v>1+0.0259818351831674i</v>
      </c>
      <c r="H145" s="337">
        <f t="shared" ref="H145:H208" si="104">IMABS(G145)</f>
        <v>1.0003374709364261</v>
      </c>
      <c r="I145" s="338">
        <f t="shared" ref="I145:I208" si="105">IMARGUMENT(G145)</f>
        <v>2.5975991154184638E-2</v>
      </c>
      <c r="J145" s="340">
        <f t="shared" si="86"/>
        <v>1</v>
      </c>
      <c r="K145" s="338">
        <f t="shared" ref="K145:K208" si="106">IMABS(J145)</f>
        <v>1</v>
      </c>
      <c r="L145" s="339">
        <f t="shared" ref="L145:L208" si="107">IMARGUMENT(J145)</f>
        <v>0</v>
      </c>
      <c r="M145" s="731" t="str">
        <f t="shared" si="87"/>
        <v>0.996960113396639+0.112004875612005i</v>
      </c>
      <c r="N145" s="338">
        <f t="shared" ref="N145:N208" si="108">IMABS(M145)</f>
        <v>1.0032320568366524</v>
      </c>
      <c r="O145" s="339">
        <f t="shared" ref="O145:O208" si="109">IMARGUMENT(M145)</f>
        <v>0.11187727550937038</v>
      </c>
      <c r="P145" s="732" t="str">
        <f t="shared" si="101"/>
        <v>0.0246021444578355-0.346069768126195i</v>
      </c>
      <c r="Q145" s="337">
        <f t="shared" ref="Q145:Q208" si="110">IMABS(P145)</f>
        <v>0.34694315085160937</v>
      </c>
      <c r="R145" s="339">
        <f t="shared" ref="R145:R208" si="111">IMARGUMENT(P145)</f>
        <v>-1.4998255945461958</v>
      </c>
      <c r="S145" s="731" t="str">
        <f t="shared" si="88"/>
        <v>6000</v>
      </c>
      <c r="T145" s="337" t="str">
        <f t="shared" si="89"/>
        <v>1+52483.3070699981i</v>
      </c>
      <c r="U145" s="346">
        <f t="shared" ref="U145:U208" si="112">IMABS(T145)</f>
        <v>52483.307079524951</v>
      </c>
      <c r="V145" s="347">
        <f t="shared" ref="V145:V208" si="113">IMARGUMENT(T145)</f>
        <v>1.5707772731175331</v>
      </c>
      <c r="W145" s="340" t="str">
        <f t="shared" si="90"/>
        <v>1+519.636703663347i</v>
      </c>
      <c r="X145" s="337">
        <f t="shared" ref="X145:X208" si="114">IMABS(W145)</f>
        <v>519.6376658731632</v>
      </c>
      <c r="Y145" s="339">
        <f t="shared" ref="Y145:Y208" si="115">IMARGUMENT(W145)</f>
        <v>1.568871907756582</v>
      </c>
      <c r="Z145" s="337" t="str">
        <f t="shared" si="91"/>
        <v>1+5.23453753663347i</v>
      </c>
      <c r="AA145" s="346">
        <f t="shared" ref="AA145:AA208" si="116">IMABS(Z145)</f>
        <v>5.3292009928717077</v>
      </c>
      <c r="AB145" s="347">
        <f t="shared" ref="AB145:AB208" si="117">IMARGUMENT(Z145)</f>
        <v>1.3820319231720333</v>
      </c>
      <c r="AC145" s="732" t="str">
        <f t="shared" ref="AC145:AC208" si="118">IMPRODUCT(S145,IMDIV(W145,IMPRODUCT(T145,Z145)))</f>
        <v>2.07086799271708-10.9532264038182i</v>
      </c>
      <c r="AD145" s="337">
        <f t="shared" ref="AD145:AD208" si="119">IMABS(AC145)</f>
        <v>11.147271544936917</v>
      </c>
      <c r="AE145" s="339">
        <f t="shared" ref="AE145:AE208" si="120">IMARGUMENT(AC145)</f>
        <v>-1.3839372885329853</v>
      </c>
      <c r="AF145" s="736" t="str">
        <f t="shared" si="92"/>
        <v>-3.73963272829315-0.986137664325672i</v>
      </c>
      <c r="AG145" s="337">
        <f t="shared" ref="AG145:AG208" si="121">20*LOG10(IMABS(AF145))</f>
        <v>11.748537977865476</v>
      </c>
      <c r="AH145" s="730">
        <f t="shared" ref="AH145:AH208" si="122">(180/PI())*IMARGUMENT(AF145)</f>
        <v>-165.22744231691536</v>
      </c>
      <c r="AI145" s="360">
        <f t="shared" si="93"/>
        <v>14.772557683084642</v>
      </c>
      <c r="AL145" s="337">
        <f t="shared" si="94"/>
        <v>20.943371611390621</v>
      </c>
      <c r="AM145" s="730">
        <f t="shared" si="95"/>
        <v>-79.293765743718922</v>
      </c>
      <c r="AN145" s="351"/>
      <c r="AO145" s="337">
        <f t="shared" si="96"/>
        <v>44.334288851516995</v>
      </c>
      <c r="AP145" s="730">
        <f t="shared" si="97"/>
        <v>-85.933676573196422</v>
      </c>
      <c r="AS145" s="351"/>
      <c r="AT145" s="351"/>
      <c r="AV145" s="405">
        <f t="shared" si="98"/>
        <v>0</v>
      </c>
      <c r="AW145" s="405">
        <f t="shared" si="82"/>
        <v>0</v>
      </c>
      <c r="AX145" s="405">
        <f t="shared" si="99"/>
        <v>0</v>
      </c>
      <c r="AY145" s="405">
        <f t="shared" si="100"/>
        <v>0</v>
      </c>
    </row>
    <row r="146" spans="2:51" ht="13.5" thickBot="1" x14ac:dyDescent="0.25">
      <c r="B146" s="345">
        <v>8317.6</v>
      </c>
      <c r="C146" s="728" t="str">
        <f t="shared" si="83"/>
        <v>2.2271548443541</v>
      </c>
      <c r="D146" s="728" t="str">
        <f t="shared" si="84"/>
        <v>1+6.35842435683796i</v>
      </c>
      <c r="E146" s="337">
        <f t="shared" si="102"/>
        <v>6.4365798605804798</v>
      </c>
      <c r="F146" s="338">
        <f t="shared" si="103"/>
        <v>1.4148024218916393</v>
      </c>
      <c r="G146" s="338" t="str">
        <f t="shared" si="85"/>
        <v>1+0.0261305110554984i</v>
      </c>
      <c r="H146" s="337">
        <f t="shared" si="104"/>
        <v>1.0003413435463024</v>
      </c>
      <c r="I146" s="338">
        <f t="shared" si="105"/>
        <v>2.6124566155085367E-2</v>
      </c>
      <c r="J146" s="340">
        <f t="shared" si="86"/>
        <v>1</v>
      </c>
      <c r="K146" s="338">
        <f t="shared" si="106"/>
        <v>1</v>
      </c>
      <c r="L146" s="339">
        <f t="shared" si="107"/>
        <v>0</v>
      </c>
      <c r="M146" s="731" t="str">
        <f t="shared" si="87"/>
        <v>0.996925223566222+0.112645801184411i</v>
      </c>
      <c r="N146" s="338">
        <f t="shared" si="108"/>
        <v>1.00326914529803</v>
      </c>
      <c r="O146" s="339">
        <f t="shared" si="109"/>
        <v>0.11251600138072769</v>
      </c>
      <c r="P146" s="732" t="str">
        <f t="shared" si="101"/>
        <v>0.02399385053328-0.344170142594656i</v>
      </c>
      <c r="Q146" s="337">
        <f t="shared" si="110"/>
        <v>0.34500549548817228</v>
      </c>
      <c r="R146" s="339">
        <f t="shared" si="111"/>
        <v>-1.5011938571172818</v>
      </c>
      <c r="S146" s="731" t="str">
        <f t="shared" si="88"/>
        <v>6000</v>
      </c>
      <c r="T146" s="337" t="str">
        <f t="shared" si="89"/>
        <v>1+52783.6323321069i</v>
      </c>
      <c r="U146" s="346">
        <f t="shared" si="112"/>
        <v>52783.632341579534</v>
      </c>
      <c r="V146" s="347">
        <f t="shared" si="113"/>
        <v>1.5707773815280459</v>
      </c>
      <c r="W146" s="340" t="str">
        <f t="shared" si="90"/>
        <v>1+522.610221109969i</v>
      </c>
      <c r="X146" s="337">
        <f t="shared" si="114"/>
        <v>522.61117784506928</v>
      </c>
      <c r="Y146" s="339">
        <f t="shared" si="115"/>
        <v>1.5688828571780558</v>
      </c>
      <c r="Z146" s="337" t="str">
        <f t="shared" si="91"/>
        <v>1+5.26449113417661i</v>
      </c>
      <c r="AA146" s="346">
        <f t="shared" si="116"/>
        <v>5.3586254675825344</v>
      </c>
      <c r="AB146" s="347">
        <f t="shared" si="117"/>
        <v>1.3830808219175883</v>
      </c>
      <c r="AC146" s="732" t="str">
        <f t="shared" si="118"/>
        <v>2.04818795688055-10.8952134798051i</v>
      </c>
      <c r="AD146" s="337">
        <f t="shared" si="119"/>
        <v>11.086061098390054</v>
      </c>
      <c r="AE146" s="339">
        <f t="shared" si="120"/>
        <v>-1.3849753462675787</v>
      </c>
      <c r="AF146" s="736" t="str">
        <f t="shared" si="92"/>
        <v>-3.70066326124228-0.966343264942857i</v>
      </c>
      <c r="AG146" s="337">
        <f t="shared" si="121"/>
        <v>11.652065613109073</v>
      </c>
      <c r="AH146" s="730">
        <f t="shared" si="122"/>
        <v>-165.36531431458741</v>
      </c>
      <c r="AI146" s="360">
        <f t="shared" si="93"/>
        <v>14.634685685412592</v>
      </c>
      <c r="AL146" s="337">
        <f t="shared" si="94"/>
        <v>20.895545355633146</v>
      </c>
      <c r="AM146" s="730">
        <f t="shared" si="95"/>
        <v>-79.353242070802025</v>
      </c>
      <c r="AN146" s="351"/>
      <c r="AO146" s="337">
        <f t="shared" si="96"/>
        <v>44.285642742518085</v>
      </c>
      <c r="AP146" s="730">
        <f t="shared" si="97"/>
        <v>-86.012072243785397</v>
      </c>
      <c r="AS146" s="351"/>
      <c r="AT146" s="351"/>
      <c r="AV146" s="405">
        <f t="shared" si="98"/>
        <v>0</v>
      </c>
      <c r="AW146" s="405">
        <f t="shared" si="82"/>
        <v>0</v>
      </c>
      <c r="AX146" s="405">
        <f t="shared" si="99"/>
        <v>0</v>
      </c>
      <c r="AY146" s="405">
        <f t="shared" si="100"/>
        <v>0</v>
      </c>
    </row>
    <row r="147" spans="2:51" ht="13.5" thickBot="1" x14ac:dyDescent="0.25">
      <c r="B147" s="345">
        <v>8366.0499999999993</v>
      </c>
      <c r="C147" s="728" t="str">
        <f t="shared" si="83"/>
        <v>2.2271548443541</v>
      </c>
      <c r="D147" s="728" t="str">
        <f t="shared" si="84"/>
        <v>1+6.39546216342746i</v>
      </c>
      <c r="E147" s="337">
        <f t="shared" si="102"/>
        <v>6.4731704970464232</v>
      </c>
      <c r="F147" s="338">
        <f t="shared" si="103"/>
        <v>1.4156913632421653</v>
      </c>
      <c r="G147" s="338" t="str">
        <f t="shared" si="85"/>
        <v>1+0.0262827212195649i</v>
      </c>
      <c r="H147" s="337">
        <f t="shared" si="104"/>
        <v>1.0003453310905717</v>
      </c>
      <c r="I147" s="338">
        <f t="shared" si="105"/>
        <v>2.6276671854683062E-2</v>
      </c>
      <c r="J147" s="340">
        <f t="shared" si="86"/>
        <v>1</v>
      </c>
      <c r="K147" s="338">
        <f t="shared" si="106"/>
        <v>1</v>
      </c>
      <c r="L147" s="339">
        <f t="shared" si="107"/>
        <v>0</v>
      </c>
      <c r="M147" s="731" t="str">
        <f t="shared" si="87"/>
        <v>0.996889298106556+0.113301962705449i</v>
      </c>
      <c r="N147" s="338">
        <f t="shared" si="108"/>
        <v>1.0033073344854453</v>
      </c>
      <c r="O147" s="339">
        <f t="shared" si="109"/>
        <v>0.1131698849290463</v>
      </c>
      <c r="P147" s="732" t="str">
        <f t="shared" si="101"/>
        <v>0.0233814633023099-0.342245851482631i</v>
      </c>
      <c r="Q147" s="337">
        <f t="shared" si="110"/>
        <v>0.34304360609582618</v>
      </c>
      <c r="R147" s="339">
        <f t="shared" si="111"/>
        <v>-1.5025845763165284</v>
      </c>
      <c r="S147" s="731" t="str">
        <f t="shared" si="88"/>
        <v>6000</v>
      </c>
      <c r="T147" s="337" t="str">
        <f t="shared" si="89"/>
        <v>1+53091.0968635211i</v>
      </c>
      <c r="U147" s="346">
        <f t="shared" si="112"/>
        <v>53091.096872938877</v>
      </c>
      <c r="V147" s="347">
        <f t="shared" si="113"/>
        <v>1.5707774912450783</v>
      </c>
      <c r="W147" s="340" t="str">
        <f t="shared" si="90"/>
        <v>1+525.654424391298i</v>
      </c>
      <c r="X147" s="337">
        <f t="shared" si="114"/>
        <v>525.65537558570327</v>
      </c>
      <c r="Y147" s="339">
        <f t="shared" si="115"/>
        <v>1.568893938557991</v>
      </c>
      <c r="Z147" s="337" t="str">
        <f t="shared" si="91"/>
        <v>1+5.29515678237452i</v>
      </c>
      <c r="AA147" s="346">
        <f t="shared" si="116"/>
        <v>5.3887554546413483</v>
      </c>
      <c r="AB147" s="347">
        <f t="shared" si="117"/>
        <v>1.3841427872790553</v>
      </c>
      <c r="AC147" s="732" t="str">
        <f t="shared" si="118"/>
        <v>2.02534804308092-10.8364297823187i</v>
      </c>
      <c r="AD147" s="337">
        <f t="shared" si="119"/>
        <v>11.024075703782852</v>
      </c>
      <c r="AE147" s="339">
        <f t="shared" si="120"/>
        <v>-1.3860263399661419</v>
      </c>
      <c r="AF147" s="736" t="str">
        <f t="shared" si="92"/>
        <v>-3.6613675369377-0.946538550836252i</v>
      </c>
      <c r="AG147" s="337">
        <f t="shared" si="121"/>
        <v>11.553830319254113</v>
      </c>
      <c r="AH147" s="730">
        <f t="shared" si="122"/>
        <v>-165.50521415841456</v>
      </c>
      <c r="AI147" s="360">
        <f t="shared" si="93"/>
        <v>14.49478584158544</v>
      </c>
      <c r="AL147" s="337">
        <f t="shared" si="94"/>
        <v>20.846843738626355</v>
      </c>
      <c r="AM147" s="730">
        <f t="shared" si="95"/>
        <v>-79.413459574024543</v>
      </c>
      <c r="AN147" s="351"/>
      <c r="AO147" s="337">
        <f t="shared" si="96"/>
        <v>44.236109065669893</v>
      </c>
      <c r="AP147" s="730">
        <f t="shared" si="97"/>
        <v>-86.091754584390031</v>
      </c>
      <c r="AS147" s="351"/>
      <c r="AT147" s="351"/>
      <c r="AV147" s="405">
        <f t="shared" si="98"/>
        <v>0</v>
      </c>
      <c r="AW147" s="405">
        <f t="shared" si="82"/>
        <v>0</v>
      </c>
      <c r="AX147" s="405">
        <f t="shared" si="99"/>
        <v>0</v>
      </c>
      <c r="AY147" s="405">
        <f t="shared" si="100"/>
        <v>0</v>
      </c>
    </row>
    <row r="148" spans="2:51" ht="13.5" thickBot="1" x14ac:dyDescent="0.25">
      <c r="B148" s="345">
        <v>8414.5</v>
      </c>
      <c r="C148" s="728" t="str">
        <f t="shared" si="83"/>
        <v>2.2271548443541</v>
      </c>
      <c r="D148" s="728" t="str">
        <f t="shared" si="84"/>
        <v>1+6.43249997001695i</v>
      </c>
      <c r="E148" s="337">
        <f t="shared" si="102"/>
        <v>6.5097661912136342</v>
      </c>
      <c r="F148" s="338">
        <f t="shared" si="103"/>
        <v>1.4165703106281566</v>
      </c>
      <c r="G148" s="338" t="str">
        <f t="shared" si="85"/>
        <v>1+0.0264349313836313i</v>
      </c>
      <c r="H148" s="337">
        <f t="shared" si="104"/>
        <v>1.0003493417787894</v>
      </c>
      <c r="I148" s="338">
        <f t="shared" si="105"/>
        <v>2.6428776338128752E-2</v>
      </c>
      <c r="J148" s="340">
        <f t="shared" si="86"/>
        <v>1</v>
      </c>
      <c r="K148" s="338">
        <f t="shared" si="106"/>
        <v>1</v>
      </c>
      <c r="L148" s="339">
        <f t="shared" si="107"/>
        <v>0</v>
      </c>
      <c r="M148" s="731" t="str">
        <f t="shared" si="87"/>
        <v>0.996853163988889+0.113958124226487i</v>
      </c>
      <c r="N148" s="338">
        <f t="shared" si="108"/>
        <v>1.0033457453100991</v>
      </c>
      <c r="O148" s="339">
        <f t="shared" si="109"/>
        <v>0.11382374204175084</v>
      </c>
      <c r="P148" s="732" t="str">
        <f t="shared" si="101"/>
        <v>0.0227793354906173-0.340341973335399i</v>
      </c>
      <c r="Q148" s="337">
        <f t="shared" si="110"/>
        <v>0.34110344023364458</v>
      </c>
      <c r="R148" s="339">
        <f t="shared" si="111"/>
        <v>-1.5039652763317786</v>
      </c>
      <c r="S148" s="731" t="str">
        <f t="shared" si="88"/>
        <v>6000</v>
      </c>
      <c r="T148" s="337" t="str">
        <f t="shared" si="89"/>
        <v>1+53398.5613949352i</v>
      </c>
      <c r="U148" s="346">
        <f t="shared" si="112"/>
        <v>53398.561404298751</v>
      </c>
      <c r="V148" s="347">
        <f t="shared" si="113"/>
        <v>1.5707775996986273</v>
      </c>
      <c r="W148" s="340" t="str">
        <f t="shared" si="90"/>
        <v>1+528.698627672626i</v>
      </c>
      <c r="X148" s="337">
        <f t="shared" si="114"/>
        <v>528.69957339014184</v>
      </c>
      <c r="Y148" s="339">
        <f t="shared" si="115"/>
        <v>1.5689048923270341</v>
      </c>
      <c r="Z148" s="337" t="str">
        <f t="shared" si="91"/>
        <v>1+5.32582243057242i</v>
      </c>
      <c r="AA148" s="346">
        <f t="shared" si="116"/>
        <v>5.4188914513937547</v>
      </c>
      <c r="AB148" s="347">
        <f t="shared" si="117"/>
        <v>1.3851929420310061</v>
      </c>
      <c r="AC148" s="732" t="str">
        <f t="shared" si="118"/>
        <v>2.00288360884112-10.778252526613i</v>
      </c>
      <c r="AD148" s="337">
        <f t="shared" si="119"/>
        <v>10.962767455255264</v>
      </c>
      <c r="AE148" s="339">
        <f t="shared" si="120"/>
        <v>-1.3870656494025997</v>
      </c>
      <c r="AF148" s="736" t="str">
        <f t="shared" si="92"/>
        <v>-3.62266737634027-0.927186790100423i</v>
      </c>
      <c r="AG148" s="337">
        <f t="shared" si="121"/>
        <v>11.45612602805484</v>
      </c>
      <c r="AH148" s="730">
        <f t="shared" si="122"/>
        <v>-165.6438704863792</v>
      </c>
      <c r="AI148" s="360">
        <f t="shared" si="93"/>
        <v>14.3561295136208</v>
      </c>
      <c r="AL148" s="337">
        <f t="shared" si="94"/>
        <v>20.798404037036541</v>
      </c>
      <c r="AM148" s="730">
        <f t="shared" si="95"/>
        <v>-79.473007618341697</v>
      </c>
      <c r="AN148" s="351"/>
      <c r="AO148" s="337">
        <f t="shared" si="96"/>
        <v>44.186844476060458</v>
      </c>
      <c r="AP148" s="730">
        <f t="shared" si="97"/>
        <v>-86.170862868037545</v>
      </c>
      <c r="AS148" s="351"/>
      <c r="AT148" s="351"/>
      <c r="AV148" s="405">
        <f t="shared" si="98"/>
        <v>0</v>
      </c>
      <c r="AW148" s="405">
        <f t="shared" si="82"/>
        <v>0</v>
      </c>
      <c r="AX148" s="405">
        <f t="shared" si="99"/>
        <v>0</v>
      </c>
      <c r="AY148" s="405">
        <f t="shared" si="100"/>
        <v>0</v>
      </c>
    </row>
    <row r="149" spans="2:51" ht="13.5" thickBot="1" x14ac:dyDescent="0.25">
      <c r="B149" s="345">
        <v>8462.9500000000007</v>
      </c>
      <c r="C149" s="728" t="str">
        <f t="shared" si="83"/>
        <v>2.2271548443541</v>
      </c>
      <c r="D149" s="728" t="str">
        <f t="shared" si="84"/>
        <v>1+6.46953777660645i</v>
      </c>
      <c r="E149" s="337">
        <f t="shared" si="102"/>
        <v>6.5463668582609946</v>
      </c>
      <c r="F149" s="338">
        <f t="shared" si="103"/>
        <v>1.4174394303084854</v>
      </c>
      <c r="G149" s="338" t="str">
        <f t="shared" si="85"/>
        <v>1+0.0265871415476977i</v>
      </c>
      <c r="H149" s="337">
        <f t="shared" si="104"/>
        <v>1.0003533756106775</v>
      </c>
      <c r="I149" s="338">
        <f t="shared" si="105"/>
        <v>2.6580879598399099E-2</v>
      </c>
      <c r="J149" s="340">
        <f t="shared" si="86"/>
        <v>1</v>
      </c>
      <c r="K149" s="338">
        <f t="shared" si="106"/>
        <v>1</v>
      </c>
      <c r="L149" s="339">
        <f t="shared" si="107"/>
        <v>0</v>
      </c>
      <c r="M149" s="731" t="str">
        <f t="shared" si="87"/>
        <v>0.996816821213222+0.114614285747525i</v>
      </c>
      <c r="N149" s="338">
        <f t="shared" si="108"/>
        <v>1.0033843777690821</v>
      </c>
      <c r="O149" s="339">
        <f t="shared" si="109"/>
        <v>0.11447757256811603</v>
      </c>
      <c r="P149" s="732" t="str">
        <f t="shared" si="101"/>
        <v>0.0221872422718207-0.338458192369597i</v>
      </c>
      <c r="Q149" s="337">
        <f t="shared" si="110"/>
        <v>0.33918464249096475</v>
      </c>
      <c r="R149" s="339">
        <f t="shared" si="111"/>
        <v>-1.5053361232782025</v>
      </c>
      <c r="S149" s="731" t="str">
        <f t="shared" si="88"/>
        <v>6000</v>
      </c>
      <c r="T149" s="337" t="str">
        <f t="shared" si="89"/>
        <v>1+53706.0259263495i</v>
      </c>
      <c r="U149" s="346">
        <f t="shared" si="112"/>
        <v>53706.02593565944</v>
      </c>
      <c r="V149" s="347">
        <f t="shared" si="113"/>
        <v>1.5707777069103932</v>
      </c>
      <c r="W149" s="340" t="str">
        <f t="shared" si="90"/>
        <v>1+531.742830953955i</v>
      </c>
      <c r="X149" s="337">
        <f t="shared" si="114"/>
        <v>531.7437712572912</v>
      </c>
      <c r="Y149" s="339">
        <f t="shared" si="115"/>
        <v>1.5689157206768742</v>
      </c>
      <c r="Z149" s="337" t="str">
        <f t="shared" si="91"/>
        <v>1+5.35648807877032i</v>
      </c>
      <c r="AA149" s="346">
        <f t="shared" si="116"/>
        <v>5.4490333581295456</v>
      </c>
      <c r="AB149" s="347">
        <f t="shared" si="117"/>
        <v>1.3862314798326627</v>
      </c>
      <c r="AC149" s="732" t="str">
        <f t="shared" si="118"/>
        <v>1.9807865668113-10.7206728069552i</v>
      </c>
      <c r="AD149" s="337">
        <f t="shared" si="119"/>
        <v>10.902125520147381</v>
      </c>
      <c r="AE149" s="339">
        <f t="shared" si="120"/>
        <v>-1.3880934660661821</v>
      </c>
      <c r="AF149" s="736" t="str">
        <f t="shared" si="92"/>
        <v>-3.58455134778134-0.908275605757768i</v>
      </c>
      <c r="AG149" s="337">
        <f t="shared" si="121"/>
        <v>11.358947161497055</v>
      </c>
      <c r="AH149" s="730">
        <f t="shared" si="122"/>
        <v>-165.78130378770416</v>
      </c>
      <c r="AI149" s="360">
        <f t="shared" si="93"/>
        <v>14.218696212295839</v>
      </c>
      <c r="AL149" s="337">
        <f t="shared" si="94"/>
        <v>20.750223558224612</v>
      </c>
      <c r="AM149" s="730">
        <f t="shared" si="95"/>
        <v>-79.531897175278189</v>
      </c>
      <c r="AN149" s="351"/>
      <c r="AO149" s="337">
        <f t="shared" si="96"/>
        <v>44.137846088314603</v>
      </c>
      <c r="AP149" s="730">
        <f t="shared" si="97"/>
        <v>-86.249406612425986</v>
      </c>
      <c r="AS149" s="351"/>
      <c r="AT149" s="351"/>
      <c r="AV149" s="405">
        <f t="shared" si="98"/>
        <v>0</v>
      </c>
      <c r="AW149" s="405">
        <f t="shared" si="82"/>
        <v>0</v>
      </c>
      <c r="AX149" s="405">
        <f t="shared" si="99"/>
        <v>0</v>
      </c>
      <c r="AY149" s="405">
        <f t="shared" si="100"/>
        <v>0</v>
      </c>
    </row>
    <row r="150" spans="2:51" ht="13.5" thickBot="1" x14ac:dyDescent="0.25">
      <c r="B150" s="345">
        <v>8511.4</v>
      </c>
      <c r="C150" s="728" t="str">
        <f t="shared" si="83"/>
        <v>2.2271548443541</v>
      </c>
      <c r="D150" s="728" t="str">
        <f t="shared" si="84"/>
        <v>1+6.50657558319594i</v>
      </c>
      <c r="E150" s="337">
        <f t="shared" si="102"/>
        <v>6.5829724152423408</v>
      </c>
      <c r="F150" s="338">
        <f t="shared" si="103"/>
        <v>1.4182988849041429</v>
      </c>
      <c r="G150" s="338" t="str">
        <f t="shared" si="85"/>
        <v>1+0.0267393517117641i</v>
      </c>
      <c r="H150" s="337">
        <f t="shared" si="104"/>
        <v>1.0003574325859559</v>
      </c>
      <c r="I150" s="338">
        <f t="shared" si="105"/>
        <v>2.6732981628471E-2</v>
      </c>
      <c r="J150" s="340">
        <f t="shared" si="86"/>
        <v>1</v>
      </c>
      <c r="K150" s="338">
        <f t="shared" si="106"/>
        <v>1</v>
      </c>
      <c r="L150" s="339">
        <f t="shared" si="107"/>
        <v>0</v>
      </c>
      <c r="M150" s="731" t="str">
        <f t="shared" si="87"/>
        <v>0.996780269779556+0.115270447268563i</v>
      </c>
      <c r="N150" s="338">
        <f t="shared" si="108"/>
        <v>1.0034232318594678</v>
      </c>
      <c r="O150" s="339">
        <f t="shared" si="109"/>
        <v>0.11513137635745725</v>
      </c>
      <c r="P150" s="732" t="str">
        <f t="shared" si="101"/>
        <v>0.021604964900094-0.336594199057855i</v>
      </c>
      <c r="Q150" s="337">
        <f t="shared" si="110"/>
        <v>0.33728686506849509</v>
      </c>
      <c r="R150" s="339">
        <f t="shared" si="111"/>
        <v>-1.506697279633129</v>
      </c>
      <c r="S150" s="731" t="str">
        <f t="shared" si="88"/>
        <v>6000</v>
      </c>
      <c r="T150" s="337" t="str">
        <f t="shared" si="89"/>
        <v>1+54013.4904577636i</v>
      </c>
      <c r="U150" s="346">
        <f t="shared" si="112"/>
        <v>54013.490467020536</v>
      </c>
      <c r="V150" s="347">
        <f t="shared" si="113"/>
        <v>1.5707778129015819</v>
      </c>
      <c r="W150" s="340" t="str">
        <f t="shared" si="90"/>
        <v>1+534.787034235283i</v>
      </c>
      <c r="X150" s="337">
        <f t="shared" si="114"/>
        <v>534.78796918607827</v>
      </c>
      <c r="Y150" s="339">
        <f t="shared" si="115"/>
        <v>1.5689264257492967</v>
      </c>
      <c r="Z150" s="337" t="str">
        <f t="shared" si="91"/>
        <v>1+5.38715372696822i</v>
      </c>
      <c r="AA150" s="346">
        <f t="shared" si="116"/>
        <v>5.4791810773132505</v>
      </c>
      <c r="AB150" s="347">
        <f t="shared" si="117"/>
        <v>1.3872585901825121</v>
      </c>
      <c r="AC150" s="732" t="str">
        <f t="shared" si="118"/>
        <v>1.95904904351308-10.6636818806913i</v>
      </c>
      <c r="AD150" s="337">
        <f t="shared" si="119"/>
        <v>10.842139291093501</v>
      </c>
      <c r="AE150" s="339">
        <f t="shared" si="120"/>
        <v>-1.3891099773347984</v>
      </c>
      <c r="AF150" s="736" t="str">
        <f t="shared" si="92"/>
        <v>-3.54700827581639-0.889793016454446i</v>
      </c>
      <c r="AG150" s="337">
        <f t="shared" si="121"/>
        <v>11.262288225504165</v>
      </c>
      <c r="AH150" s="730">
        <f t="shared" si="122"/>
        <v>-165.91753410761808</v>
      </c>
      <c r="AI150" s="360">
        <f t="shared" si="93"/>
        <v>14.082465892381919</v>
      </c>
      <c r="AL150" s="337">
        <f t="shared" si="94"/>
        <v>20.702299648938919</v>
      </c>
      <c r="AM150" s="730">
        <f t="shared" si="95"/>
        <v>-79.590138980797391</v>
      </c>
      <c r="AN150" s="351"/>
      <c r="AO150" s="337">
        <f t="shared" si="96"/>
        <v>44.089111061607376</v>
      </c>
      <c r="AP150" s="730">
        <f t="shared" si="97"/>
        <v>-86.327395126820718</v>
      </c>
      <c r="AS150" s="351"/>
      <c r="AT150" s="351"/>
      <c r="AV150" s="405">
        <f t="shared" si="98"/>
        <v>0</v>
      </c>
      <c r="AW150" s="405">
        <f t="shared" si="82"/>
        <v>0</v>
      </c>
      <c r="AX150" s="405">
        <f t="shared" si="99"/>
        <v>0</v>
      </c>
      <c r="AY150" s="405">
        <f t="shared" si="100"/>
        <v>0</v>
      </c>
    </row>
    <row r="151" spans="2:51" ht="13.5" thickBot="1" x14ac:dyDescent="0.25">
      <c r="B151" s="345">
        <v>8560.9500000000007</v>
      </c>
      <c r="C151" s="728" t="str">
        <f t="shared" si="83"/>
        <v>2.2271548443541</v>
      </c>
      <c r="D151" s="728" t="str">
        <f t="shared" si="84"/>
        <v>1+6.54445428941906i</v>
      </c>
      <c r="E151" s="337">
        <f t="shared" si="102"/>
        <v>6.6204140313348638</v>
      </c>
      <c r="F151" s="338">
        <f t="shared" si="103"/>
        <v>1.4191680214383031</v>
      </c>
      <c r="G151" s="338" t="str">
        <f t="shared" si="85"/>
        <v>1+0.0268950176277495i</v>
      </c>
      <c r="H151" s="337">
        <f t="shared" si="104"/>
        <v>1.0003616056072908</v>
      </c>
      <c r="I151" s="338">
        <f t="shared" si="105"/>
        <v>2.6888535675677817E-2</v>
      </c>
      <c r="J151" s="340">
        <f t="shared" si="86"/>
        <v>1</v>
      </c>
      <c r="K151" s="338">
        <f t="shared" si="106"/>
        <v>1</v>
      </c>
      <c r="L151" s="339">
        <f t="shared" si="107"/>
        <v>0</v>
      </c>
      <c r="M151" s="731" t="str">
        <f t="shared" si="87"/>
        <v>0.996742672671+0.115941506161596i</v>
      </c>
      <c r="N151" s="338">
        <f t="shared" si="108"/>
        <v>1.0034631973193375</v>
      </c>
      <c r="O151" s="339">
        <f t="shared" si="109"/>
        <v>0.1157999961778262</v>
      </c>
      <c r="P151" s="732" t="str">
        <f t="shared" si="101"/>
        <v>0.0210193984753215-0.334708036447812i</v>
      </c>
      <c r="Q151" s="337">
        <f t="shared" si="110"/>
        <v>0.3353673877630533</v>
      </c>
      <c r="R151" s="339">
        <f t="shared" si="111"/>
        <v>-1.5080794819404515</v>
      </c>
      <c r="S151" s="731" t="str">
        <f t="shared" si="88"/>
        <v>6000</v>
      </c>
      <c r="T151" s="337" t="str">
        <f t="shared" si="89"/>
        <v>1+54327.9356080541i</v>
      </c>
      <c r="U151" s="346">
        <f t="shared" si="112"/>
        <v>54327.93561725747</v>
      </c>
      <c r="V151" s="347">
        <f t="shared" si="113"/>
        <v>1.5707779200583127</v>
      </c>
      <c r="W151" s="340" t="str">
        <f t="shared" si="90"/>
        <v>1+537.900352554991i</v>
      </c>
      <c r="X151" s="337">
        <f t="shared" si="114"/>
        <v>537.90128209438535</v>
      </c>
      <c r="Y151" s="339">
        <f t="shared" si="115"/>
        <v>1.5689372485414756</v>
      </c>
      <c r="Z151" s="337" t="str">
        <f t="shared" si="91"/>
        <v>1+5.41851560247299i</v>
      </c>
      <c r="AA151" s="346">
        <f t="shared" si="116"/>
        <v>5.5100191773026728</v>
      </c>
      <c r="AB151" s="347">
        <f t="shared" si="117"/>
        <v>1.388297393531003</v>
      </c>
      <c r="AC151" s="732" t="str">
        <f t="shared" si="118"/>
        <v>1.93718186235794-10.6059970959931i</v>
      </c>
      <c r="AD151" s="337">
        <f t="shared" si="119"/>
        <v>10.781458526937005</v>
      </c>
      <c r="AE151" s="339">
        <f t="shared" si="120"/>
        <v>-1.3901380650478397</v>
      </c>
      <c r="AF151" s="736" t="str">
        <f t="shared" si="92"/>
        <v>-3.50919406508698-0.871322016580923i</v>
      </c>
      <c r="AG151" s="337">
        <f t="shared" si="121"/>
        <v>11.163966894450841</v>
      </c>
      <c r="AH151" s="730">
        <f t="shared" si="122"/>
        <v>-166.05563355318742</v>
      </c>
      <c r="AI151" s="360">
        <f t="shared" si="93"/>
        <v>13.94436644681258</v>
      </c>
      <c r="AL151" s="337">
        <f t="shared" si="94"/>
        <v>20.653550332697087</v>
      </c>
      <c r="AM151" s="730">
        <f t="shared" si="95"/>
        <v>-79.649044067723906</v>
      </c>
      <c r="AN151" s="351"/>
      <c r="AO151" s="337">
        <f t="shared" si="96"/>
        <v>44.039539046795895</v>
      </c>
      <c r="AP151" s="730">
        <f t="shared" si="97"/>
        <v>-86.406589485463527</v>
      </c>
      <c r="AS151" s="351"/>
      <c r="AT151" s="351"/>
      <c r="AV151" s="405">
        <f t="shared" si="98"/>
        <v>0</v>
      </c>
      <c r="AW151" s="405">
        <f t="shared" si="82"/>
        <v>0</v>
      </c>
      <c r="AX151" s="405">
        <f t="shared" si="99"/>
        <v>0</v>
      </c>
      <c r="AY151" s="405">
        <f t="shared" si="100"/>
        <v>0</v>
      </c>
    </row>
    <row r="152" spans="2:51" ht="13.5" thickBot="1" x14ac:dyDescent="0.25">
      <c r="B152" s="345">
        <v>8610.5</v>
      </c>
      <c r="C152" s="728" t="str">
        <f t="shared" si="83"/>
        <v>2.2271548443541</v>
      </c>
      <c r="D152" s="728" t="str">
        <f t="shared" si="84"/>
        <v>1+6.58233299564216i</v>
      </c>
      <c r="E152" s="337">
        <f t="shared" si="102"/>
        <v>6.6578605922262666</v>
      </c>
      <c r="F152" s="338">
        <f t="shared" si="103"/>
        <v>1.4200273818490663</v>
      </c>
      <c r="G152" s="338" t="str">
        <f t="shared" si="85"/>
        <v>1+0.0270506835437349i</v>
      </c>
      <c r="H152" s="337">
        <f t="shared" si="104"/>
        <v>1.0003658028342348</v>
      </c>
      <c r="I152" s="338">
        <f t="shared" si="105"/>
        <v>2.7044088421334739E-2</v>
      </c>
      <c r="J152" s="340">
        <f t="shared" si="86"/>
        <v>1</v>
      </c>
      <c r="K152" s="338">
        <f t="shared" si="106"/>
        <v>1</v>
      </c>
      <c r="L152" s="339">
        <f t="shared" si="107"/>
        <v>0</v>
      </c>
      <c r="M152" s="731" t="str">
        <f t="shared" si="87"/>
        <v>0.996704857322222+0.116612565054628i</v>
      </c>
      <c r="N152" s="338">
        <f t="shared" si="108"/>
        <v>1.0035033945823655</v>
      </c>
      <c r="O152" s="339">
        <f t="shared" si="109"/>
        <v>0.11646858771466762</v>
      </c>
      <c r="P152" s="732" t="str">
        <f t="shared" si="101"/>
        <v>0.0204436545322812-0.332841934767349i</v>
      </c>
      <c r="Q152" s="337">
        <f t="shared" si="110"/>
        <v>0.33346918380910023</v>
      </c>
      <c r="R152" s="339">
        <f t="shared" si="111"/>
        <v>-1.5094518811423991</v>
      </c>
      <c r="S152" s="731" t="str">
        <f t="shared" si="88"/>
        <v>6000</v>
      </c>
      <c r="T152" s="337" t="str">
        <f t="shared" si="89"/>
        <v>1+54642.3807583445i</v>
      </c>
      <c r="U152" s="346">
        <f t="shared" si="112"/>
        <v>54642.380767494906</v>
      </c>
      <c r="V152" s="347">
        <f t="shared" si="113"/>
        <v>1.5707780259817548</v>
      </c>
      <c r="W152" s="340" t="str">
        <f t="shared" si="90"/>
        <v>1+541.013670874698i</v>
      </c>
      <c r="X152" s="337">
        <f t="shared" si="114"/>
        <v>541.01459506497247</v>
      </c>
      <c r="Y152" s="339">
        <f t="shared" si="115"/>
        <v>1.5689479467723608</v>
      </c>
      <c r="Z152" s="337" t="str">
        <f t="shared" si="91"/>
        <v>1+5.44987747797775i</v>
      </c>
      <c r="AA152" s="346">
        <f t="shared" si="116"/>
        <v>5.5408631570333089</v>
      </c>
      <c r="AB152" s="347">
        <f t="shared" si="117"/>
        <v>1.389324632693228</v>
      </c>
      <c r="AC152" s="732" t="str">
        <f t="shared" si="118"/>
        <v>1.9156747093845-10.5489101556151i</v>
      </c>
      <c r="AD152" s="337">
        <f t="shared" si="119"/>
        <v>10.721441836964598</v>
      </c>
      <c r="AE152" s="339">
        <f t="shared" si="120"/>
        <v>-1.391154711902622</v>
      </c>
      <c r="AF152" s="736" t="str">
        <f t="shared" si="92"/>
        <v>-3.47195627392698-0.853275151569884i</v>
      </c>
      <c r="AG152" s="337">
        <f t="shared" si="121"/>
        <v>11.066178009441202</v>
      </c>
      <c r="AH152" s="730">
        <f t="shared" si="122"/>
        <v>-166.19251580930043</v>
      </c>
      <c r="AI152" s="360">
        <f t="shared" si="93"/>
        <v>13.807484190699569</v>
      </c>
      <c r="AL152" s="337">
        <f t="shared" si="94"/>
        <v>20.605063878274326</v>
      </c>
      <c r="AM152" s="730">
        <f t="shared" si="95"/>
        <v>-79.707293641758184</v>
      </c>
      <c r="AN152" s="351"/>
      <c r="AO152" s="337">
        <f t="shared" si="96"/>
        <v>43.990236616209017</v>
      </c>
      <c r="AP152" s="730">
        <f t="shared" si="97"/>
        <v>-86.485222167542247</v>
      </c>
      <c r="AS152" s="351"/>
      <c r="AT152" s="351"/>
      <c r="AV152" s="405">
        <f t="shared" si="98"/>
        <v>0</v>
      </c>
      <c r="AW152" s="405">
        <f t="shared" si="82"/>
        <v>0</v>
      </c>
      <c r="AX152" s="405">
        <f t="shared" si="99"/>
        <v>0</v>
      </c>
      <c r="AY152" s="405">
        <f t="shared" si="100"/>
        <v>0</v>
      </c>
    </row>
    <row r="153" spans="2:51" ht="13.5" thickBot="1" x14ac:dyDescent="0.25">
      <c r="B153" s="345">
        <v>8660.0499999999993</v>
      </c>
      <c r="C153" s="728" t="str">
        <f t="shared" si="83"/>
        <v>2.2271548443541</v>
      </c>
      <c r="D153" s="728" t="str">
        <f t="shared" si="84"/>
        <v>1+6.62021170186527i</v>
      </c>
      <c r="E153" s="337">
        <f t="shared" si="102"/>
        <v>6.6953120149485086</v>
      </c>
      <c r="F153" s="338">
        <f t="shared" si="103"/>
        <v>1.4208771289098618</v>
      </c>
      <c r="G153" s="338" t="str">
        <f t="shared" si="85"/>
        <v>1+0.0272063494597203i</v>
      </c>
      <c r="H153" s="337">
        <f t="shared" si="104"/>
        <v>1.0003700242664832</v>
      </c>
      <c r="I153" s="338">
        <f t="shared" si="105"/>
        <v>2.7199639857930485E-2</v>
      </c>
      <c r="J153" s="340">
        <f t="shared" si="86"/>
        <v>1</v>
      </c>
      <c r="K153" s="338">
        <f t="shared" si="106"/>
        <v>1</v>
      </c>
      <c r="L153" s="339">
        <f t="shared" si="107"/>
        <v>0</v>
      </c>
      <c r="M153" s="731" t="str">
        <f t="shared" si="87"/>
        <v>0.996666823733222+0.117283623947661i</v>
      </c>
      <c r="N153" s="338">
        <f t="shared" si="108"/>
        <v>1.0035438236453682</v>
      </c>
      <c r="O153" s="339">
        <f t="shared" si="109"/>
        <v>0.11713715080693453</v>
      </c>
      <c r="P153" s="732" t="str">
        <f t="shared" si="101"/>
        <v>0.0198775175758023-0.330995582279869i</v>
      </c>
      <c r="Q153" s="337">
        <f t="shared" si="110"/>
        <v>0.33159190459624588</v>
      </c>
      <c r="R153" s="339">
        <f t="shared" si="111"/>
        <v>-1.510814639858866</v>
      </c>
      <c r="S153" s="731" t="str">
        <f t="shared" si="88"/>
        <v>6000</v>
      </c>
      <c r="T153" s="337" t="str">
        <f t="shared" si="89"/>
        <v>1+54956.825908635i</v>
      </c>
      <c r="U153" s="346">
        <f t="shared" si="112"/>
        <v>54956.82591773304</v>
      </c>
      <c r="V153" s="347">
        <f t="shared" si="113"/>
        <v>1.5707781306930775</v>
      </c>
      <c r="W153" s="340" t="str">
        <f t="shared" si="90"/>
        <v>1+544.126989194406i</v>
      </c>
      <c r="X153" s="337">
        <f t="shared" si="114"/>
        <v>544.12790809677199</v>
      </c>
      <c r="Y153" s="339">
        <f t="shared" si="115"/>
        <v>1.5689585225800409</v>
      </c>
      <c r="Z153" s="337" t="str">
        <f t="shared" si="91"/>
        <v>1+5.48123935348252i</v>
      </c>
      <c r="AA153" s="346">
        <f t="shared" si="116"/>
        <v>5.5717129188576715</v>
      </c>
      <c r="AB153" s="347">
        <f t="shared" si="117"/>
        <v>1.3903404975706986</v>
      </c>
      <c r="AC153" s="732" t="str">
        <f t="shared" si="118"/>
        <v>1.89451981407332-10.4924122151983i</v>
      </c>
      <c r="AD153" s="337">
        <f t="shared" si="119"/>
        <v>10.662078569376561</v>
      </c>
      <c r="AE153" s="339">
        <f t="shared" si="120"/>
        <v>-1.3921601056837358</v>
      </c>
      <c r="AF153" s="736" t="str">
        <f t="shared" si="92"/>
        <v>-3.43528373978802-0.835640797220115i</v>
      </c>
      <c r="AG153" s="337">
        <f t="shared" si="121"/>
        <v>10.968915955724217</v>
      </c>
      <c r="AH153" s="730">
        <f t="shared" si="122"/>
        <v>-166.32820095265515</v>
      </c>
      <c r="AI153" s="360">
        <f t="shared" si="93"/>
        <v>13.671799047344848</v>
      </c>
      <c r="AL153" s="337">
        <f t="shared" si="94"/>
        <v>20.556837570758763</v>
      </c>
      <c r="AM153" s="730">
        <f t="shared" si="95"/>
        <v>-79.764898462164709</v>
      </c>
      <c r="AN153" s="351"/>
      <c r="AO153" s="337">
        <f t="shared" si="96"/>
        <v>43.94120087000762</v>
      </c>
      <c r="AP153" s="730">
        <f t="shared" si="97"/>
        <v>-86.563302490490457</v>
      </c>
      <c r="AS153" s="351"/>
      <c r="AT153" s="351"/>
      <c r="AV153" s="405">
        <f t="shared" si="98"/>
        <v>0</v>
      </c>
      <c r="AW153" s="405">
        <f t="shared" si="82"/>
        <v>0</v>
      </c>
      <c r="AX153" s="405">
        <f t="shared" si="99"/>
        <v>0</v>
      </c>
      <c r="AY153" s="405">
        <f t="shared" si="100"/>
        <v>0</v>
      </c>
    </row>
    <row r="154" spans="2:51" ht="13.5" thickBot="1" x14ac:dyDescent="0.25">
      <c r="B154" s="345">
        <v>8709.6</v>
      </c>
      <c r="C154" s="728" t="str">
        <f t="shared" si="83"/>
        <v>2.2271548443541</v>
      </c>
      <c r="D154" s="728" t="str">
        <f t="shared" si="84"/>
        <v>1+6.65809040808838i</v>
      </c>
      <c r="E154" s="337">
        <f t="shared" si="102"/>
        <v>6.7327682183689115</v>
      </c>
      <c r="F154" s="338">
        <f t="shared" si="103"/>
        <v>1.4217174218281492</v>
      </c>
      <c r="G154" s="338" t="str">
        <f t="shared" si="85"/>
        <v>1+0.0273620153757057i</v>
      </c>
      <c r="H154" s="337">
        <f t="shared" si="104"/>
        <v>1.0003742699037297</v>
      </c>
      <c r="I154" s="338">
        <f t="shared" si="105"/>
        <v>2.7355189977954147E-2</v>
      </c>
      <c r="J154" s="340">
        <f t="shared" si="86"/>
        <v>1</v>
      </c>
      <c r="K154" s="338">
        <f t="shared" si="106"/>
        <v>1</v>
      </c>
      <c r="L154" s="339">
        <f t="shared" si="107"/>
        <v>0</v>
      </c>
      <c r="M154" s="731" t="str">
        <f t="shared" si="87"/>
        <v>0.996628571904+0.117954682840693i</v>
      </c>
      <c r="N154" s="338">
        <f t="shared" si="108"/>
        <v>1.0035844845051438</v>
      </c>
      <c r="O154" s="339">
        <f t="shared" si="109"/>
        <v>0.11780568529362154</v>
      </c>
      <c r="P154" s="732" t="str">
        <f t="shared" si="101"/>
        <v>0.0193207779483502-0.329168673466356i</v>
      </c>
      <c r="Q154" s="337">
        <f t="shared" si="110"/>
        <v>0.3297352089967493</v>
      </c>
      <c r="R154" s="339">
        <f t="shared" si="111"/>
        <v>-1.5121679171438165</v>
      </c>
      <c r="S154" s="731" t="str">
        <f t="shared" si="88"/>
        <v>6000</v>
      </c>
      <c r="T154" s="337" t="str">
        <f t="shared" si="89"/>
        <v>1+55271.2710589254i</v>
      </c>
      <c r="U154" s="346">
        <f t="shared" si="112"/>
        <v>55271.271067971691</v>
      </c>
      <c r="V154" s="347">
        <f t="shared" si="113"/>
        <v>1.5707782342129688</v>
      </c>
      <c r="W154" s="340" t="str">
        <f t="shared" si="90"/>
        <v>1+547.240307514113i</v>
      </c>
      <c r="X154" s="337">
        <f t="shared" si="114"/>
        <v>547.24122118873777</v>
      </c>
      <c r="Y154" s="339">
        <f t="shared" si="115"/>
        <v>1.5689689780539486</v>
      </c>
      <c r="Z154" s="337" t="str">
        <f t="shared" si="91"/>
        <v>1+5.51260122898729i</v>
      </c>
      <c r="AA154" s="346">
        <f t="shared" si="116"/>
        <v>5.6025683672608748</v>
      </c>
      <c r="AB154" s="347">
        <f t="shared" si="117"/>
        <v>1.3913451739765741</v>
      </c>
      <c r="AC154" s="732" t="str">
        <f t="shared" si="118"/>
        <v>1.87370961194584-10.4364945942745i</v>
      </c>
      <c r="AD154" s="337">
        <f t="shared" si="119"/>
        <v>10.60335829472055</v>
      </c>
      <c r="AE154" s="339">
        <f t="shared" si="120"/>
        <v>-1.3931544301355947</v>
      </c>
      <c r="AF154" s="736" t="str">
        <f t="shared" si="92"/>
        <v>-3.39916555388404-0.818407702040508i</v>
      </c>
      <c r="AG154" s="337">
        <f t="shared" si="121"/>
        <v>10.872175203533736</v>
      </c>
      <c r="AH154" s="730">
        <f t="shared" si="122"/>
        <v>-166.46270862415196</v>
      </c>
      <c r="AI154" s="360">
        <f t="shared" si="93"/>
        <v>13.537291375848042</v>
      </c>
      <c r="AL154" s="337">
        <f t="shared" si="94"/>
        <v>20.508868735248459</v>
      </c>
      <c r="AM154" s="730">
        <f t="shared" si="95"/>
        <v>-79.821869056722889</v>
      </c>
      <c r="AN154" s="351"/>
      <c r="AO154" s="337">
        <f t="shared" si="96"/>
        <v>43.892428953327418</v>
      </c>
      <c r="AP154" s="730">
        <f t="shared" si="97"/>
        <v>-86.640839567429055</v>
      </c>
      <c r="AS154" s="351"/>
      <c r="AT154" s="351"/>
      <c r="AV154" s="405">
        <f t="shared" si="98"/>
        <v>0</v>
      </c>
      <c r="AW154" s="405">
        <f t="shared" ref="AW154:AW217" si="123">IF(AV154&gt;0,AI154,0)</f>
        <v>0</v>
      </c>
      <c r="AX154" s="405">
        <f t="shared" si="99"/>
        <v>0</v>
      </c>
      <c r="AY154" s="405">
        <f t="shared" si="100"/>
        <v>0</v>
      </c>
    </row>
    <row r="155" spans="2:51" ht="13.5" thickBot="1" x14ac:dyDescent="0.25">
      <c r="B155" s="345">
        <v>8760.3250000000007</v>
      </c>
      <c r="C155" s="728" t="str">
        <f t="shared" si="83"/>
        <v>2.2271548443541</v>
      </c>
      <c r="D155" s="728" t="str">
        <f t="shared" si="84"/>
        <v>1+6.69686734801102i</v>
      </c>
      <c r="E155" s="337">
        <f t="shared" si="102"/>
        <v>6.771117505763443</v>
      </c>
      <c r="F155" s="338">
        <f t="shared" si="103"/>
        <v>1.4225680104556391</v>
      </c>
      <c r="G155" s="338" t="str">
        <f t="shared" si="85"/>
        <v>1+0.027521372663059i</v>
      </c>
      <c r="H155" s="337">
        <f t="shared" si="104"/>
        <v>1.0003786412920155</v>
      </c>
      <c r="I155" s="338">
        <f t="shared" si="105"/>
        <v>2.7514427351813173E-2</v>
      </c>
      <c r="J155" s="340">
        <f t="shared" si="86"/>
        <v>1</v>
      </c>
      <c r="K155" s="338">
        <f t="shared" si="106"/>
        <v>1</v>
      </c>
      <c r="L155" s="339">
        <f t="shared" si="107"/>
        <v>0</v>
      </c>
      <c r="M155" s="731" t="str">
        <f t="shared" si="87"/>
        <v>0.996589186928639+0.118641654835629i</v>
      </c>
      <c r="N155" s="338">
        <f t="shared" si="108"/>
        <v>1.0036263496766227</v>
      </c>
      <c r="O155" s="339">
        <f t="shared" si="109"/>
        <v>0.11849004322073092</v>
      </c>
      <c r="P155" s="732" t="str">
        <f t="shared" si="101"/>
        <v>0.0187603573979425-0.32731827055027i</v>
      </c>
      <c r="Q155" s="337">
        <f t="shared" si="110"/>
        <v>0.32785545785562009</v>
      </c>
      <c r="R155" s="339">
        <f t="shared" si="111"/>
        <v>-1.513543626324557</v>
      </c>
      <c r="S155" s="731" t="str">
        <f t="shared" si="88"/>
        <v>6000</v>
      </c>
      <c r="T155" s="337" t="str">
        <f t="shared" si="89"/>
        <v>1+55593.1727793792i</v>
      </c>
      <c r="U155" s="346">
        <f t="shared" si="112"/>
        <v>55593.172788373107</v>
      </c>
      <c r="V155" s="347">
        <f t="shared" si="113"/>
        <v>1.5707783389746321</v>
      </c>
      <c r="W155" s="340" t="str">
        <f t="shared" si="90"/>
        <v>1+550.42745326118i</v>
      </c>
      <c r="X155" s="337">
        <f t="shared" si="114"/>
        <v>550.4283616453539</v>
      </c>
      <c r="Y155" s="339">
        <f t="shared" si="115"/>
        <v>1.5689795589468181</v>
      </c>
      <c r="Z155" s="337" t="str">
        <f t="shared" si="91"/>
        <v>1+5.54470680184257i</v>
      </c>
      <c r="AA155" s="346">
        <f t="shared" si="116"/>
        <v>5.6341612968035681</v>
      </c>
      <c r="AB155" s="347">
        <f t="shared" si="117"/>
        <v>1.3923622749206443</v>
      </c>
      <c r="AC155" s="732" t="str">
        <f t="shared" si="118"/>
        <v>1.8527552916028-10.3798432056821i</v>
      </c>
      <c r="AD155" s="337">
        <f t="shared" si="119"/>
        <v>10.543900945338354</v>
      </c>
      <c r="AE155" s="339">
        <f t="shared" si="120"/>
        <v>-1.394161054948458</v>
      </c>
      <c r="AF155" s="736" t="str">
        <f t="shared" si="92"/>
        <v>-3.36275397522544-0.801170226073491i</v>
      </c>
      <c r="AG155" s="337">
        <f t="shared" si="121"/>
        <v>10.773674702277567</v>
      </c>
      <c r="AH155" s="730">
        <f t="shared" si="122"/>
        <v>-166.59920630737597</v>
      </c>
      <c r="AI155" s="360">
        <f t="shared" si="93"/>
        <v>13.400793692624035</v>
      </c>
      <c r="AL155" s="337">
        <f t="shared" si="94"/>
        <v>20.460026345804785</v>
      </c>
      <c r="AM155" s="730">
        <f t="shared" si="95"/>
        <v>-79.8795444100531</v>
      </c>
      <c r="AN155" s="351"/>
      <c r="AO155" s="337">
        <f t="shared" si="96"/>
        <v>43.84277084151492</v>
      </c>
      <c r="AP155" s="730">
        <f t="shared" si="97"/>
        <v>-86.719661897322879</v>
      </c>
      <c r="AS155" s="351"/>
      <c r="AT155" s="351"/>
      <c r="AV155" s="405">
        <f t="shared" si="98"/>
        <v>0</v>
      </c>
      <c r="AW155" s="405">
        <f t="shared" si="123"/>
        <v>0</v>
      </c>
      <c r="AX155" s="405">
        <f t="shared" si="99"/>
        <v>0</v>
      </c>
      <c r="AY155" s="405">
        <f t="shared" si="100"/>
        <v>0</v>
      </c>
    </row>
    <row r="156" spans="2:51" ht="13.5" thickBot="1" x14ac:dyDescent="0.25">
      <c r="B156" s="345">
        <v>8811.0499999999993</v>
      </c>
      <c r="C156" s="728" t="str">
        <f t="shared" si="83"/>
        <v>2.2271548443541</v>
      </c>
      <c r="D156" s="728" t="str">
        <f t="shared" si="84"/>
        <v>1+6.73564428793367i</v>
      </c>
      <c r="E156" s="337">
        <f t="shared" si="102"/>
        <v>6.8094716368873645</v>
      </c>
      <c r="F156" s="338">
        <f t="shared" si="103"/>
        <v>1.4234090178594407</v>
      </c>
      <c r="G156" s="338" t="str">
        <f t="shared" si="85"/>
        <v>1+0.0276807299504124i</v>
      </c>
      <c r="H156" s="337">
        <f t="shared" si="104"/>
        <v>1.0003830380462213</v>
      </c>
      <c r="I156" s="338">
        <f t="shared" si="105"/>
        <v>2.7673663329990904E-2</v>
      </c>
      <c r="J156" s="340">
        <f t="shared" si="86"/>
        <v>1</v>
      </c>
      <c r="K156" s="338">
        <f t="shared" si="106"/>
        <v>1</v>
      </c>
      <c r="L156" s="339">
        <f t="shared" si="107"/>
        <v>0</v>
      </c>
      <c r="M156" s="731" t="str">
        <f t="shared" si="87"/>
        <v>0.996549573239889+0.119328626830565i</v>
      </c>
      <c r="N156" s="338">
        <f t="shared" si="108"/>
        <v>1.0036684577617616</v>
      </c>
      <c r="O156" s="339">
        <f t="shared" si="109"/>
        <v>0.11917437082818992</v>
      </c>
      <c r="P156" s="732" t="str">
        <f t="shared" si="101"/>
        <v>0.0182093584410601-0.32548761576859i</v>
      </c>
      <c r="Q156" s="337">
        <f t="shared" si="110"/>
        <v>0.32599657782491559</v>
      </c>
      <c r="R156" s="339">
        <f t="shared" si="111"/>
        <v>-1.5149097253576398</v>
      </c>
      <c r="S156" s="731" t="str">
        <f t="shared" si="88"/>
        <v>6000</v>
      </c>
      <c r="T156" s="337" t="str">
        <f t="shared" si="89"/>
        <v>1+55915.074499833i</v>
      </c>
      <c r="U156" s="346">
        <f t="shared" si="112"/>
        <v>55915.074508775142</v>
      </c>
      <c r="V156" s="347">
        <f t="shared" si="113"/>
        <v>1.5707784425300746</v>
      </c>
      <c r="W156" s="340" t="str">
        <f t="shared" si="90"/>
        <v>1+553.614599008247i</v>
      </c>
      <c r="X156" s="337">
        <f t="shared" si="114"/>
        <v>553.6155021628839</v>
      </c>
      <c r="Y156" s="339">
        <f t="shared" si="115"/>
        <v>1.5689900180122032</v>
      </c>
      <c r="Z156" s="337" t="str">
        <f t="shared" si="91"/>
        <v>1+5.57681237469786i</v>
      </c>
      <c r="AA156" s="346">
        <f t="shared" si="116"/>
        <v>5.6657599898498328</v>
      </c>
      <c r="AB156" s="347">
        <f t="shared" si="117"/>
        <v>1.3933680318824597</v>
      </c>
      <c r="AC156" s="732" t="str">
        <f t="shared" si="118"/>
        <v>1.83214679700224-10.3237820871205i</v>
      </c>
      <c r="AD156" s="337">
        <f t="shared" si="119"/>
        <v>10.48509601616102</v>
      </c>
      <c r="AE156" s="339">
        <f t="shared" si="120"/>
        <v>-1.3951564564003309</v>
      </c>
      <c r="AF156" s="736" t="str">
        <f t="shared" si="92"/>
        <v>-3.32690099950808-0.784330541186091i</v>
      </c>
      <c r="AG156" s="337">
        <f t="shared" si="121"/>
        <v>10.675709057527724</v>
      </c>
      <c r="AH156" s="730">
        <f t="shared" si="122"/>
        <v>-166.73451031848202</v>
      </c>
      <c r="AI156" s="360">
        <f t="shared" si="93"/>
        <v>13.265489681517977</v>
      </c>
      <c r="AL156" s="337">
        <f t="shared" si="94"/>
        <v>20.411448236509798</v>
      </c>
      <c r="AM156" s="730">
        <f t="shared" si="95"/>
        <v>-79.936576712166612</v>
      </c>
      <c r="AN156" s="351"/>
      <c r="AO156" s="337">
        <f t="shared" si="96"/>
        <v>43.793383306060043</v>
      </c>
      <c r="AP156" s="730">
        <f t="shared" si="97"/>
        <v>-86.797933606315425</v>
      </c>
      <c r="AS156" s="351"/>
      <c r="AT156" s="351"/>
      <c r="AV156" s="405">
        <f t="shared" si="98"/>
        <v>0</v>
      </c>
      <c r="AW156" s="405">
        <f t="shared" si="123"/>
        <v>0</v>
      </c>
      <c r="AX156" s="405">
        <f t="shared" si="99"/>
        <v>0</v>
      </c>
      <c r="AY156" s="405">
        <f t="shared" si="100"/>
        <v>0</v>
      </c>
    </row>
    <row r="157" spans="2:51" ht="13.5" thickBot="1" x14ac:dyDescent="0.25">
      <c r="B157" s="345">
        <v>8861.7749999999996</v>
      </c>
      <c r="C157" s="728" t="str">
        <f t="shared" si="83"/>
        <v>2.2271548443541</v>
      </c>
      <c r="D157" s="728" t="str">
        <f t="shared" si="84"/>
        <v>1+6.77442122785632i</v>
      </c>
      <c r="E157" s="337">
        <f t="shared" si="102"/>
        <v>6.8478305303526854</v>
      </c>
      <c r="F157" s="338">
        <f t="shared" si="103"/>
        <v>1.4242406038506774</v>
      </c>
      <c r="G157" s="338" t="str">
        <f t="shared" si="85"/>
        <v>1+0.0278400872377657i</v>
      </c>
      <c r="H157" s="337">
        <f t="shared" si="104"/>
        <v>1.000387460166013</v>
      </c>
      <c r="I157" s="338">
        <f t="shared" si="105"/>
        <v>2.7832897904430387E-2</v>
      </c>
      <c r="J157" s="340">
        <f t="shared" si="86"/>
        <v>1</v>
      </c>
      <c r="K157" s="338">
        <f t="shared" si="106"/>
        <v>1</v>
      </c>
      <c r="L157" s="339">
        <f t="shared" si="107"/>
        <v>0</v>
      </c>
      <c r="M157" s="731" t="str">
        <f t="shared" si="87"/>
        <v>0.99650973083775+0.120015598825501i</v>
      </c>
      <c r="N157" s="338">
        <f t="shared" si="108"/>
        <v>1.0037108087570685</v>
      </c>
      <c r="O157" s="339">
        <f t="shared" si="109"/>
        <v>0.11985866794341753</v>
      </c>
      <c r="P157" s="732" t="str">
        <f t="shared" si="101"/>
        <v>0.0176675739591301-0.323676400641561i</v>
      </c>
      <c r="Q157" s="337">
        <f t="shared" si="110"/>
        <v>0.3241582260283975</v>
      </c>
      <c r="R157" s="339">
        <f t="shared" si="111"/>
        <v>-1.5162663738896645</v>
      </c>
      <c r="S157" s="731" t="str">
        <f t="shared" si="88"/>
        <v>6000</v>
      </c>
      <c r="T157" s="337" t="str">
        <f t="shared" si="89"/>
        <v>1+56236.9762202867i</v>
      </c>
      <c r="U157" s="346">
        <f t="shared" si="112"/>
        <v>56236.97622917765</v>
      </c>
      <c r="V157" s="347">
        <f t="shared" si="113"/>
        <v>1.57077854490001</v>
      </c>
      <c r="W157" s="340" t="str">
        <f t="shared" si="90"/>
        <v>1+556.801744755314i</v>
      </c>
      <c r="X157" s="337">
        <f t="shared" si="114"/>
        <v>556.80264274028173</v>
      </c>
      <c r="Y157" s="339">
        <f t="shared" si="115"/>
        <v>1.5690003573421241</v>
      </c>
      <c r="Z157" s="337" t="str">
        <f t="shared" si="91"/>
        <v>1+5.60891794755314i</v>
      </c>
      <c r="AA157" s="346">
        <f t="shared" si="116"/>
        <v>5.6973643505031095</v>
      </c>
      <c r="AB157" s="347">
        <f t="shared" si="117"/>
        <v>1.3943626315918272</v>
      </c>
      <c r="AC157" s="732" t="str">
        <f t="shared" si="118"/>
        <v>1.811876642336-10.2683024370573i</v>
      </c>
      <c r="AD157" s="337">
        <f t="shared" si="119"/>
        <v>10.42693300572703</v>
      </c>
      <c r="AE157" s="339">
        <f t="shared" si="120"/>
        <v>-1.3961408191497129</v>
      </c>
      <c r="AF157" s="736" t="str">
        <f t="shared" si="92"/>
        <v>-3.29159570894238-0.767877702739259i</v>
      </c>
      <c r="AG157" s="337">
        <f t="shared" si="121"/>
        <v>10.578272602915039</v>
      </c>
      <c r="AH157" s="730">
        <f t="shared" si="122"/>
        <v>-166.86864038469912</v>
      </c>
      <c r="AI157" s="360">
        <f t="shared" si="93"/>
        <v>13.13135961530088</v>
      </c>
      <c r="AL157" s="337">
        <f t="shared" si="94"/>
        <v>20.36313166313327</v>
      </c>
      <c r="AM157" s="730">
        <f t="shared" si="95"/>
        <v>-79.992976543216088</v>
      </c>
      <c r="AN157" s="351"/>
      <c r="AO157" s="337">
        <f t="shared" si="96"/>
        <v>43.744263424823934</v>
      </c>
      <c r="AP157" s="730">
        <f t="shared" si="97"/>
        <v>-86.875663841483075</v>
      </c>
      <c r="AS157" s="351"/>
      <c r="AT157" s="351"/>
      <c r="AV157" s="405">
        <f t="shared" si="98"/>
        <v>0</v>
      </c>
      <c r="AW157" s="405">
        <f t="shared" si="123"/>
        <v>0</v>
      </c>
      <c r="AX157" s="405">
        <f t="shared" si="99"/>
        <v>0</v>
      </c>
      <c r="AY157" s="405">
        <f t="shared" si="100"/>
        <v>0</v>
      </c>
    </row>
    <row r="158" spans="2:51" ht="13.5" thickBot="1" x14ac:dyDescent="0.25">
      <c r="B158" s="345">
        <v>8912.5</v>
      </c>
      <c r="C158" s="728" t="str">
        <f t="shared" si="83"/>
        <v>2.2271548443541</v>
      </c>
      <c r="D158" s="728" t="str">
        <f t="shared" si="84"/>
        <v>1+6.81319816777897i</v>
      </c>
      <c r="E158" s="337">
        <f t="shared" si="102"/>
        <v>6.8861941065748873</v>
      </c>
      <c r="F158" s="338">
        <f t="shared" si="103"/>
        <v>1.4250629247319737</v>
      </c>
      <c r="G158" s="338" t="str">
        <f t="shared" si="85"/>
        <v>1+0.027999444525119i</v>
      </c>
      <c r="H158" s="337">
        <f t="shared" si="104"/>
        <v>1.0003919076510541</v>
      </c>
      <c r="I158" s="338">
        <f t="shared" si="105"/>
        <v>2.7992131067075401E-2</v>
      </c>
      <c r="J158" s="340">
        <f t="shared" si="86"/>
        <v>1</v>
      </c>
      <c r="K158" s="338">
        <f t="shared" si="106"/>
        <v>1</v>
      </c>
      <c r="L158" s="339">
        <f t="shared" si="107"/>
        <v>0</v>
      </c>
      <c r="M158" s="731" t="str">
        <f t="shared" si="87"/>
        <v>0.996469659722222+0.120702570820437i</v>
      </c>
      <c r="N158" s="338">
        <f t="shared" si="108"/>
        <v>1.0037534026590316</v>
      </c>
      <c r="O158" s="339">
        <f t="shared" si="109"/>
        <v>0.12054293439388376</v>
      </c>
      <c r="P158" s="732" t="str">
        <f t="shared" si="101"/>
        <v>0.0171348024583051-0.321884322886985i</v>
      </c>
      <c r="Q158" s="337">
        <f t="shared" si="110"/>
        <v>0.32234006697228623</v>
      </c>
      <c r="R158" s="339">
        <f t="shared" si="111"/>
        <v>-1.517613728058782</v>
      </c>
      <c r="S158" s="731" t="str">
        <f t="shared" si="88"/>
        <v>6000</v>
      </c>
      <c r="T158" s="337" t="str">
        <f t="shared" si="89"/>
        <v>1+56558.8779407405i</v>
      </c>
      <c r="U158" s="346">
        <f t="shared" si="112"/>
        <v>56558.877949580849</v>
      </c>
      <c r="V158" s="347">
        <f t="shared" si="113"/>
        <v>1.5707786461046795</v>
      </c>
      <c r="W158" s="340" t="str">
        <f t="shared" si="90"/>
        <v>1+559.988890502381i</v>
      </c>
      <c r="X158" s="337">
        <f t="shared" si="114"/>
        <v>559.98978337652522</v>
      </c>
      <c r="Y158" s="339">
        <f t="shared" si="115"/>
        <v>1.5690105789809756</v>
      </c>
      <c r="Z158" s="337" t="str">
        <f t="shared" si="91"/>
        <v>1+5.64102352040843i</v>
      </c>
      <c r="AA158" s="346">
        <f t="shared" si="116"/>
        <v>5.7289742849659495</v>
      </c>
      <c r="AB158" s="347">
        <f t="shared" si="117"/>
        <v>1.3953462567467962</v>
      </c>
      <c r="AC158" s="732" t="str">
        <f t="shared" si="118"/>
        <v>1.79193754098083-10.2133956190236i</v>
      </c>
      <c r="AD158" s="337">
        <f t="shared" si="119"/>
        <v>10.369401632759091</v>
      </c>
      <c r="AE158" s="339">
        <f t="shared" si="120"/>
        <v>-1.3971143238705002</v>
      </c>
      <c r="AF158" s="736" t="str">
        <f t="shared" si="92"/>
        <v>-3.25682743742398-0.751801118394872i</v>
      </c>
      <c r="AG158" s="337">
        <f t="shared" si="121"/>
        <v>10.481359758392511</v>
      </c>
      <c r="AH158" s="730">
        <f t="shared" si="122"/>
        <v>-167.00161580393609</v>
      </c>
      <c r="AI158" s="360">
        <f t="shared" si="93"/>
        <v>12.99838419606391</v>
      </c>
      <c r="AL158" s="337">
        <f t="shared" si="94"/>
        <v>20.315073922209798</v>
      </c>
      <c r="AM158" s="730">
        <f t="shared" si="95"/>
        <v>-80.048754255053268</v>
      </c>
      <c r="AN158" s="351"/>
      <c r="AO158" s="337">
        <f t="shared" si="96"/>
        <v>43.695408321224846</v>
      </c>
      <c r="AP158" s="730">
        <f t="shared" si="97"/>
        <v>-86.952861548882851</v>
      </c>
      <c r="AS158" s="351"/>
      <c r="AT158" s="351"/>
      <c r="AV158" s="405">
        <f t="shared" si="98"/>
        <v>0</v>
      </c>
      <c r="AW158" s="405">
        <f t="shared" si="123"/>
        <v>0</v>
      </c>
      <c r="AX158" s="405">
        <f t="shared" si="99"/>
        <v>0</v>
      </c>
      <c r="AY158" s="405">
        <f t="shared" si="100"/>
        <v>0</v>
      </c>
    </row>
    <row r="159" spans="2:51" ht="13.5" thickBot="1" x14ac:dyDescent="0.25">
      <c r="B159" s="345">
        <v>8964.4</v>
      </c>
      <c r="C159" s="728" t="str">
        <f t="shared" si="83"/>
        <v>2.2271548443541</v>
      </c>
      <c r="D159" s="728" t="str">
        <f t="shared" si="84"/>
        <v>1+6.85287334140115i</v>
      </c>
      <c r="E159" s="337">
        <f t="shared" si="102"/>
        <v>6.9254511068439841</v>
      </c>
      <c r="F159" s="338">
        <f t="shared" si="103"/>
        <v>1.4258948638743918</v>
      </c>
      <c r="G159" s="338" t="str">
        <f t="shared" si="85"/>
        <v>1+0.0281624931838403i</v>
      </c>
      <c r="H159" s="337">
        <f t="shared" si="104"/>
        <v>1.0003964844112208</v>
      </c>
      <c r="I159" s="338">
        <f t="shared" si="105"/>
        <v>2.8155051256218699E-2</v>
      </c>
      <c r="J159" s="340">
        <f t="shared" si="86"/>
        <v>1</v>
      </c>
      <c r="K159" s="338">
        <f t="shared" si="106"/>
        <v>1</v>
      </c>
      <c r="L159" s="339">
        <f t="shared" si="107"/>
        <v>0</v>
      </c>
      <c r="M159" s="731" t="str">
        <f t="shared" si="87"/>
        <v>0.996428423672889+0.121405455917276i</v>
      </c>
      <c r="N159" s="338">
        <f t="shared" si="108"/>
        <v>1.0037972346194823</v>
      </c>
      <c r="O159" s="339">
        <f t="shared" si="109"/>
        <v>0.12124301935632796</v>
      </c>
      <c r="P159" s="732" t="str">
        <f t="shared" si="101"/>
        <v>0.0165988138908563-0.320070231747517i</v>
      </c>
      <c r="Q159" s="337">
        <f t="shared" si="110"/>
        <v>0.32050034925642829</v>
      </c>
      <c r="R159" s="339">
        <f t="shared" si="111"/>
        <v>-1.5189828319745009</v>
      </c>
      <c r="S159" s="731" t="str">
        <f t="shared" si="88"/>
        <v>6000</v>
      </c>
      <c r="T159" s="337" t="str">
        <f t="shared" si="89"/>
        <v>1+56888.2362313575i</v>
      </c>
      <c r="U159" s="346">
        <f t="shared" si="112"/>
        <v>56888.236240146653</v>
      </c>
      <c r="V159" s="347">
        <f t="shared" si="113"/>
        <v>1.5707787484682312</v>
      </c>
      <c r="W159" s="340" t="str">
        <f t="shared" si="90"/>
        <v>1+563.249863676807i</v>
      </c>
      <c r="X159" s="337">
        <f t="shared" si="114"/>
        <v>563.25075138160412</v>
      </c>
      <c r="Y159" s="339">
        <f t="shared" si="115"/>
        <v>1.5690209176669132</v>
      </c>
      <c r="Z159" s="337" t="str">
        <f t="shared" si="91"/>
        <v>1+5.67387279061423i</v>
      </c>
      <c r="AA159" s="346">
        <f t="shared" si="116"/>
        <v>5.7613221090364766</v>
      </c>
      <c r="AB159" s="347">
        <f t="shared" si="117"/>
        <v>1.3963414943290196</v>
      </c>
      <c r="AC159" s="732" t="str">
        <f t="shared" si="118"/>
        <v>1.77187181522467-10.1578009838012i</v>
      </c>
      <c r="AD159" s="337">
        <f t="shared" si="119"/>
        <v>10.311180851682323</v>
      </c>
      <c r="AE159" s="339">
        <f t="shared" si="120"/>
        <v>-1.3980993251303384</v>
      </c>
      <c r="AF159" s="736" t="str">
        <f t="shared" si="92"/>
        <v>-3.22179874443104-0.735730870596327i</v>
      </c>
      <c r="AG159" s="337">
        <f t="shared" si="121"/>
        <v>10.382738225872609</v>
      </c>
      <c r="AH159" s="730">
        <f t="shared" si="122"/>
        <v>-167.13649609502545</v>
      </c>
      <c r="AI159" s="360">
        <f t="shared" si="93"/>
        <v>12.86350390497455</v>
      </c>
      <c r="AL159" s="337">
        <f t="shared" si="94"/>
        <v>20.26616808356172</v>
      </c>
      <c r="AM159" s="730">
        <f t="shared" si="95"/>
        <v>-80.10519067005707</v>
      </c>
      <c r="AN159" s="351"/>
      <c r="AO159" s="337">
        <f t="shared" si="96"/>
        <v>43.645692627353007</v>
      </c>
      <c r="AP159" s="730">
        <f t="shared" si="97"/>
        <v>-87.03130542496838</v>
      </c>
      <c r="AS159" s="351"/>
      <c r="AT159" s="351"/>
      <c r="AV159" s="405">
        <f t="shared" si="98"/>
        <v>0</v>
      </c>
      <c r="AW159" s="405">
        <f t="shared" si="123"/>
        <v>0</v>
      </c>
      <c r="AX159" s="405">
        <f t="shared" si="99"/>
        <v>0</v>
      </c>
      <c r="AY159" s="405">
        <f t="shared" si="100"/>
        <v>0</v>
      </c>
    </row>
    <row r="160" spans="2:51" ht="13.5" thickBot="1" x14ac:dyDescent="0.25">
      <c r="B160" s="345">
        <v>9016.2999999999993</v>
      </c>
      <c r="C160" s="728" t="str">
        <f t="shared" si="83"/>
        <v>2.2271548443541</v>
      </c>
      <c r="D160" s="728" t="str">
        <f t="shared" si="84"/>
        <v>1+6.89254851502334i</v>
      </c>
      <c r="E160" s="337">
        <f t="shared" si="102"/>
        <v>6.964712846338351</v>
      </c>
      <c r="F160" s="338">
        <f t="shared" si="103"/>
        <v>1.426717423903948</v>
      </c>
      <c r="G160" s="338" t="str">
        <f t="shared" si="85"/>
        <v>1+0.0283255418425617i</v>
      </c>
      <c r="H160" s="337">
        <f t="shared" si="104"/>
        <v>1.0004010877246559</v>
      </c>
      <c r="I160" s="338">
        <f t="shared" si="105"/>
        <v>2.831796995034239E-2</v>
      </c>
      <c r="J160" s="340">
        <f t="shared" si="86"/>
        <v>1</v>
      </c>
      <c r="K160" s="338">
        <f t="shared" si="106"/>
        <v>1</v>
      </c>
      <c r="L160" s="339">
        <f t="shared" si="107"/>
        <v>0</v>
      </c>
      <c r="M160" s="731" t="str">
        <f t="shared" si="87"/>
        <v>0.996386948191556+0.122108341014116i</v>
      </c>
      <c r="N160" s="338">
        <f t="shared" si="108"/>
        <v>1.0038413208628654</v>
      </c>
      <c r="O160" s="339">
        <f t="shared" si="109"/>
        <v>0.12194307185166366</v>
      </c>
      <c r="P160" s="732" t="str">
        <f t="shared" si="101"/>
        <v>0.0160718511954944-0.318275553852435i</v>
      </c>
      <c r="Q160" s="337">
        <f t="shared" si="110"/>
        <v>0.31868108287271202</v>
      </c>
      <c r="R160" s="339">
        <f t="shared" si="111"/>
        <v>-1.5203425258052694</v>
      </c>
      <c r="S160" s="731" t="str">
        <f t="shared" si="88"/>
        <v>6000</v>
      </c>
      <c r="T160" s="337" t="str">
        <f t="shared" si="89"/>
        <v>1+57217.5945219745i</v>
      </c>
      <c r="U160" s="346">
        <f t="shared" si="112"/>
        <v>57217.594530713075</v>
      </c>
      <c r="V160" s="347">
        <f t="shared" si="113"/>
        <v>1.5707788496533241</v>
      </c>
      <c r="W160" s="340" t="str">
        <f t="shared" si="90"/>
        <v>1+566.510836851233i</v>
      </c>
      <c r="X160" s="337">
        <f t="shared" si="114"/>
        <v>566.51171944619489</v>
      </c>
      <c r="Y160" s="339">
        <f t="shared" si="115"/>
        <v>1.5690311373292782</v>
      </c>
      <c r="Z160" s="337" t="str">
        <f t="shared" si="91"/>
        <v>1+5.70672206082002i</v>
      </c>
      <c r="AA160" s="346">
        <f t="shared" si="116"/>
        <v>5.7936755759577956</v>
      </c>
      <c r="AB160" s="347">
        <f t="shared" si="117"/>
        <v>1.3973256175199595</v>
      </c>
      <c r="AC160" s="732" t="str">
        <f t="shared" si="118"/>
        <v>1.75213783645313-10.1027882482644i</v>
      </c>
      <c r="AD160" s="337">
        <f t="shared" si="119"/>
        <v>10.253600215885147</v>
      </c>
      <c r="AE160" s="339">
        <f t="shared" si="120"/>
        <v>-1.3990733298440063</v>
      </c>
      <c r="AF160" s="736" t="str">
        <f t="shared" si="92"/>
        <v>-3.18731042658875-0.720033149708622i</v>
      </c>
      <c r="AG160" s="337">
        <f t="shared" si="121"/>
        <v>10.284653293456497</v>
      </c>
      <c r="AH160" s="730">
        <f t="shared" si="122"/>
        <v>-167.27020717227745</v>
      </c>
      <c r="AI160" s="360">
        <f t="shared" si="93"/>
        <v>12.729792827722548</v>
      </c>
      <c r="AL160" s="337">
        <f t="shared" si="94"/>
        <v>20.217527609035614</v>
      </c>
      <c r="AM160" s="730">
        <f t="shared" si="95"/>
        <v>-80.160997029376091</v>
      </c>
      <c r="AN160" s="351"/>
      <c r="AO160" s="337">
        <f t="shared" si="96"/>
        <v>43.596248169463038</v>
      </c>
      <c r="AP160" s="730">
        <f t="shared" si="97"/>
        <v>-87.109210142901404</v>
      </c>
      <c r="AS160" s="351"/>
      <c r="AT160" s="351"/>
      <c r="AV160" s="405">
        <f t="shared" si="98"/>
        <v>0</v>
      </c>
      <c r="AW160" s="405">
        <f t="shared" si="123"/>
        <v>0</v>
      </c>
      <c r="AX160" s="405">
        <f t="shared" si="99"/>
        <v>0</v>
      </c>
      <c r="AY160" s="405">
        <f t="shared" si="100"/>
        <v>0</v>
      </c>
    </row>
    <row r="161" spans="2:51" ht="13.5" thickBot="1" x14ac:dyDescent="0.25">
      <c r="B161" s="345">
        <v>9068.2000000000007</v>
      </c>
      <c r="C161" s="728" t="str">
        <f t="shared" si="83"/>
        <v>2.2271548443541</v>
      </c>
      <c r="D161" s="728" t="str">
        <f t="shared" si="84"/>
        <v>1+6.93222368864552i</v>
      </c>
      <c r="E161" s="337">
        <f t="shared" si="102"/>
        <v>7.0039792453588907</v>
      </c>
      <c r="F161" s="338">
        <f t="shared" si="103"/>
        <v>1.4275307614444019</v>
      </c>
      <c r="G161" s="338" t="str">
        <f t="shared" si="85"/>
        <v>1+0.028488590501283i</v>
      </c>
      <c r="H161" s="337">
        <f t="shared" si="104"/>
        <v>1.0004057175909931</v>
      </c>
      <c r="I161" s="338">
        <f t="shared" si="105"/>
        <v>2.848088714081843E-2</v>
      </c>
      <c r="J161" s="340">
        <f t="shared" si="86"/>
        <v>1</v>
      </c>
      <c r="K161" s="338">
        <f t="shared" si="106"/>
        <v>1</v>
      </c>
      <c r="L161" s="339">
        <f t="shared" si="107"/>
        <v>0</v>
      </c>
      <c r="M161" s="731" t="str">
        <f t="shared" si="87"/>
        <v>0.996345233278222+0.122811226110955i</v>
      </c>
      <c r="N161" s="338">
        <f t="shared" si="108"/>
        <v>1.0038856613853546</v>
      </c>
      <c r="O161" s="339">
        <f t="shared" si="109"/>
        <v>0.12264309169525778</v>
      </c>
      <c r="P161" s="732" t="str">
        <f t="shared" si="101"/>
        <v>0.0155537156749313-0.316499984608626i</v>
      </c>
      <c r="Q161" s="337">
        <f t="shared" si="110"/>
        <v>0.31688193121185865</v>
      </c>
      <c r="R161" s="339">
        <f t="shared" si="111"/>
        <v>-1.521692965998841</v>
      </c>
      <c r="S161" s="731" t="str">
        <f t="shared" si="88"/>
        <v>6000</v>
      </c>
      <c r="T161" s="337" t="str">
        <f t="shared" si="89"/>
        <v>1+57546.9528125916i</v>
      </c>
      <c r="U161" s="346">
        <f t="shared" si="112"/>
        <v>57546.952821280145</v>
      </c>
      <c r="V161" s="347">
        <f t="shared" si="113"/>
        <v>1.5707789496801925</v>
      </c>
      <c r="W161" s="340" t="str">
        <f t="shared" si="90"/>
        <v>1+569.771810025659i</v>
      </c>
      <c r="X161" s="337">
        <f t="shared" si="114"/>
        <v>569.77268756927583</v>
      </c>
      <c r="Y161" s="339">
        <f t="shared" si="115"/>
        <v>1.5690412400116838</v>
      </c>
      <c r="Z161" s="337" t="str">
        <f t="shared" si="91"/>
        <v>1+5.73957133102582i</v>
      </c>
      <c r="AA161" s="346">
        <f t="shared" si="116"/>
        <v>5.8260345917213279</v>
      </c>
      <c r="AB161" s="347">
        <f t="shared" si="117"/>
        <v>1.3982988095922857</v>
      </c>
      <c r="AC161" s="732" t="str">
        <f t="shared" si="118"/>
        <v>1.73272840728219-10.0483486752512i</v>
      </c>
      <c r="AD161" s="337">
        <f t="shared" si="119"/>
        <v>10.196649392463449</v>
      </c>
      <c r="AE161" s="339">
        <f t="shared" si="120"/>
        <v>-1.4000365192607933</v>
      </c>
      <c r="AF161" s="736" t="str">
        <f t="shared" si="92"/>
        <v>-3.15335183607037-0.704697672533172i</v>
      </c>
      <c r="AG161" s="337">
        <f t="shared" si="121"/>
        <v>10.187099254049709</v>
      </c>
      <c r="AH161" s="730">
        <f t="shared" si="122"/>
        <v>-167.40276838430751</v>
      </c>
      <c r="AI161" s="360">
        <f t="shared" si="93"/>
        <v>12.597231615692493</v>
      </c>
      <c r="AL161" s="337">
        <f t="shared" si="94"/>
        <v>20.169149730496482</v>
      </c>
      <c r="AM161" s="730">
        <f t="shared" si="95"/>
        <v>-80.216183717829651</v>
      </c>
      <c r="AN161" s="351"/>
      <c r="AO161" s="337">
        <f t="shared" si="96"/>
        <v>43.547072008595357</v>
      </c>
      <c r="AP161" s="730">
        <f t="shared" si="97"/>
        <v>-87.18658466647787</v>
      </c>
      <c r="AS161" s="351"/>
      <c r="AT161" s="351"/>
      <c r="AV161" s="405">
        <f t="shared" si="98"/>
        <v>0</v>
      </c>
      <c r="AW161" s="405">
        <f t="shared" si="123"/>
        <v>0</v>
      </c>
      <c r="AX161" s="405">
        <f t="shared" si="99"/>
        <v>0</v>
      </c>
      <c r="AY161" s="405">
        <f t="shared" si="100"/>
        <v>0</v>
      </c>
    </row>
    <row r="162" spans="2:51" ht="13.5" thickBot="1" x14ac:dyDescent="0.25">
      <c r="B162" s="345">
        <v>9120.1</v>
      </c>
      <c r="C162" s="728" t="str">
        <f t="shared" si="83"/>
        <v>2.2271548443541</v>
      </c>
      <c r="D162" s="728" t="str">
        <f t="shared" si="84"/>
        <v>1+6.9718988622677i</v>
      </c>
      <c r="E162" s="337">
        <f t="shared" si="102"/>
        <v>7.0432502259744867</v>
      </c>
      <c r="F162" s="338">
        <f t="shared" si="103"/>
        <v>1.4283350296758026</v>
      </c>
      <c r="G162" s="338" t="str">
        <f t="shared" si="85"/>
        <v>1+0.0286516391600043i</v>
      </c>
      <c r="H162" s="337">
        <f t="shared" si="104"/>
        <v>1.0004103740098635</v>
      </c>
      <c r="I162" s="338">
        <f t="shared" si="105"/>
        <v>2.8643802819019563E-2</v>
      </c>
      <c r="J162" s="340">
        <f t="shared" si="86"/>
        <v>1</v>
      </c>
      <c r="K162" s="338">
        <f t="shared" si="106"/>
        <v>1</v>
      </c>
      <c r="L162" s="339">
        <f t="shared" si="107"/>
        <v>0</v>
      </c>
      <c r="M162" s="731" t="str">
        <f t="shared" si="87"/>
        <v>0.996303278932889+0.123514111207794i</v>
      </c>
      <c r="N162" s="338">
        <f t="shared" si="108"/>
        <v>1.0039302561831061</v>
      </c>
      <c r="O162" s="339">
        <f t="shared" si="109"/>
        <v>0.12334307870253704</v>
      </c>
      <c r="P162" s="732" t="str">
        <f t="shared" si="101"/>
        <v>0.0150442140379767-0.314743225581357i</v>
      </c>
      <c r="Q162" s="337">
        <f t="shared" si="110"/>
        <v>0.31510256492986122</v>
      </c>
      <c r="R162" s="339">
        <f t="shared" si="111"/>
        <v>-1.5230343055593203</v>
      </c>
      <c r="S162" s="731" t="str">
        <f t="shared" si="88"/>
        <v>6000</v>
      </c>
      <c r="T162" s="337" t="str">
        <f t="shared" si="89"/>
        <v>1+57876.3111032086i</v>
      </c>
      <c r="U162" s="346">
        <f t="shared" si="112"/>
        <v>57876.311111847717</v>
      </c>
      <c r="V162" s="347">
        <f t="shared" si="113"/>
        <v>1.5707790485686095</v>
      </c>
      <c r="W162" s="340" t="str">
        <f t="shared" si="90"/>
        <v>1+573.032783200085i</v>
      </c>
      <c r="X162" s="337">
        <f t="shared" si="114"/>
        <v>573.03365574984832</v>
      </c>
      <c r="Y162" s="339">
        <f t="shared" si="115"/>
        <v>1.5690512277112252</v>
      </c>
      <c r="Z162" s="337" t="str">
        <f t="shared" si="91"/>
        <v>1+5.77242060123162i</v>
      </c>
      <c r="AA162" s="346">
        <f t="shared" si="116"/>
        <v>5.8583990643795527</v>
      </c>
      <c r="AB162" s="347">
        <f t="shared" si="117"/>
        <v>1.3992612498526082</v>
      </c>
      <c r="AC162" s="732" t="str">
        <f t="shared" si="118"/>
        <v>1.71363652237761-9.99447369321288i</v>
      </c>
      <c r="AD162" s="337">
        <f t="shared" si="119"/>
        <v>10.140318265969306</v>
      </c>
      <c r="AE162" s="339">
        <f t="shared" si="120"/>
        <v>-1.4009890707099928</v>
      </c>
      <c r="AF162" s="736" t="str">
        <f t="shared" si="92"/>
        <v>-3.1199125735639-0.68971448796477i</v>
      </c>
      <c r="AG162" s="337">
        <f t="shared" si="121"/>
        <v>10.090070487989857</v>
      </c>
      <c r="AH162" s="730">
        <f t="shared" si="122"/>
        <v>-167.5341986578251</v>
      </c>
      <c r="AI162" s="360">
        <f t="shared" si="93"/>
        <v>12.465801342174899</v>
      </c>
      <c r="AL162" s="337">
        <f t="shared" si="94"/>
        <v>20.121031721218742</v>
      </c>
      <c r="AM162" s="730">
        <f t="shared" si="95"/>
        <v>-80.270760895637849</v>
      </c>
      <c r="AN162" s="351"/>
      <c r="AO162" s="337">
        <f t="shared" si="96"/>
        <v>43.498161251813229</v>
      </c>
      <c r="AP162" s="730">
        <f t="shared" si="97"/>
        <v>-87.263437762187252</v>
      </c>
      <c r="AS162" s="351"/>
      <c r="AT162" s="351"/>
      <c r="AV162" s="405">
        <f t="shared" si="98"/>
        <v>0</v>
      </c>
      <c r="AW162" s="405">
        <f t="shared" si="123"/>
        <v>0</v>
      </c>
      <c r="AX162" s="405">
        <f t="shared" si="99"/>
        <v>0</v>
      </c>
      <c r="AY162" s="405">
        <f t="shared" si="100"/>
        <v>0</v>
      </c>
    </row>
    <row r="163" spans="2:51" ht="13.5" thickBot="1" x14ac:dyDescent="0.25">
      <c r="B163" s="345">
        <v>9173.2000000000007</v>
      </c>
      <c r="C163" s="728" t="str">
        <f t="shared" si="83"/>
        <v>2.2271548443541</v>
      </c>
      <c r="D163" s="728" t="str">
        <f t="shared" si="84"/>
        <v>1+7.01249138094474i</v>
      </c>
      <c r="E163" s="337">
        <f t="shared" si="102"/>
        <v>7.0834338683878642</v>
      </c>
      <c r="F163" s="338">
        <f t="shared" si="103"/>
        <v>1.4291486636702915</v>
      </c>
      <c r="G163" s="338" t="str">
        <f t="shared" si="85"/>
        <v>1+0.0288184577299099i</v>
      </c>
      <c r="H163" s="337">
        <f t="shared" si="104"/>
        <v>1.0004151655717393</v>
      </c>
      <c r="I163" s="338">
        <f t="shared" si="105"/>
        <v>2.8810483759585705E-2</v>
      </c>
      <c r="J163" s="340">
        <f t="shared" si="86"/>
        <v>1</v>
      </c>
      <c r="K163" s="338">
        <f t="shared" si="106"/>
        <v>1</v>
      </c>
      <c r="L163" s="339">
        <f t="shared" si="107"/>
        <v>0</v>
      </c>
      <c r="M163" s="731" t="str">
        <f t="shared" si="87"/>
        <v>0.996260106744889+0.124233247983174i</v>
      </c>
      <c r="N163" s="338">
        <f t="shared" si="108"/>
        <v>1.0039761452324385</v>
      </c>
      <c r="O163" s="339">
        <f t="shared" si="109"/>
        <v>0.1240592162041461</v>
      </c>
      <c r="P163" s="732" t="str">
        <f t="shared" si="101"/>
        <v>0.0145316715476029-0.312965010527351i</v>
      </c>
      <c r="Q163" s="337">
        <f t="shared" si="110"/>
        <v>0.31330219803306886</v>
      </c>
      <c r="R163" s="339">
        <f t="shared" si="111"/>
        <v>-1.524397396114852</v>
      </c>
      <c r="S163" s="731" t="str">
        <f t="shared" si="88"/>
        <v>6000</v>
      </c>
      <c r="T163" s="337" t="str">
        <f t="shared" si="89"/>
        <v>1+58213.284614418i</v>
      </c>
      <c r="U163" s="346">
        <f t="shared" si="112"/>
        <v>58213.284623007108</v>
      </c>
      <c r="V163" s="347">
        <f t="shared" si="113"/>
        <v>1.5707791485853775</v>
      </c>
      <c r="W163" s="340" t="str">
        <f t="shared" si="90"/>
        <v>1+576.369154598198i</v>
      </c>
      <c r="X163" s="337">
        <f t="shared" si="114"/>
        <v>576.37002209712591</v>
      </c>
      <c r="Y163" s="339">
        <f t="shared" si="115"/>
        <v>1.5690613293742044</v>
      </c>
      <c r="Z163" s="337" t="str">
        <f t="shared" si="91"/>
        <v>1+5.80602939213583i</v>
      </c>
      <c r="AA163" s="346">
        <f t="shared" si="116"/>
        <v>5.891517402362922</v>
      </c>
      <c r="AB163" s="347">
        <f t="shared" si="117"/>
        <v>1.4002349984402791</v>
      </c>
      <c r="AC163" s="732" t="str">
        <f t="shared" si="118"/>
        <v>1.69442473788455-9.93992860032012i</v>
      </c>
      <c r="AD163" s="337">
        <f t="shared" si="119"/>
        <v>10.083315713187654</v>
      </c>
      <c r="AE163" s="339">
        <f t="shared" si="120"/>
        <v>-1.4019528176514529</v>
      </c>
      <c r="AF163" s="736" t="str">
        <f t="shared" si="92"/>
        <v>-3.08622703528723-0.674739433556318i</v>
      </c>
      <c r="AG163" s="337">
        <f t="shared" si="121"/>
        <v>9.9913361425955731</v>
      </c>
      <c r="AH163" s="730">
        <f t="shared" si="122"/>
        <v>-167.66751662601553</v>
      </c>
      <c r="AI163" s="360">
        <f t="shared" si="93"/>
        <v>12.332483373984473</v>
      </c>
      <c r="AL163" s="337">
        <f t="shared" si="94"/>
        <v>20.072067307183993</v>
      </c>
      <c r="AM163" s="730">
        <f t="shared" si="95"/>
        <v>-80.325979527902149</v>
      </c>
      <c r="AN163" s="351"/>
      <c r="AO163" s="337">
        <f t="shared" si="96"/>
        <v>43.448391320453709</v>
      </c>
      <c r="AP163" s="730">
        <f t="shared" si="97"/>
        <v>-87.341537098113363</v>
      </c>
      <c r="AS163" s="351"/>
      <c r="AT163" s="351"/>
      <c r="AV163" s="405">
        <f t="shared" si="98"/>
        <v>0</v>
      </c>
      <c r="AW163" s="405">
        <f t="shared" si="123"/>
        <v>0</v>
      </c>
      <c r="AX163" s="405">
        <f t="shared" si="99"/>
        <v>0</v>
      </c>
      <c r="AY163" s="405">
        <f t="shared" si="100"/>
        <v>0</v>
      </c>
    </row>
    <row r="164" spans="2:51" ht="13.5" thickBot="1" x14ac:dyDescent="0.25">
      <c r="B164" s="345">
        <v>9226.2999999999993</v>
      </c>
      <c r="C164" s="728" t="str">
        <f t="shared" si="83"/>
        <v>2.2271548443541</v>
      </c>
      <c r="D164" s="728" t="str">
        <f t="shared" si="84"/>
        <v>1+7.05308389962177i</v>
      </c>
      <c r="E164" s="337">
        <f t="shared" si="102"/>
        <v>7.1236221471316004</v>
      </c>
      <c r="F164" s="338">
        <f t="shared" si="103"/>
        <v>1.4299531178767324</v>
      </c>
      <c r="G164" s="338" t="str">
        <f t="shared" si="85"/>
        <v>1+0.0289852762998155i</v>
      </c>
      <c r="H164" s="337">
        <f t="shared" si="104"/>
        <v>1.0004199849274187</v>
      </c>
      <c r="I164" s="338">
        <f t="shared" si="105"/>
        <v>2.8977163098867574E-2</v>
      </c>
      <c r="J164" s="340">
        <f t="shared" si="86"/>
        <v>1</v>
      </c>
      <c r="K164" s="338">
        <f t="shared" si="106"/>
        <v>1</v>
      </c>
      <c r="L164" s="339">
        <f t="shared" si="107"/>
        <v>0</v>
      </c>
      <c r="M164" s="731" t="str">
        <f t="shared" si="87"/>
        <v>0.996216683924889+0.124952384758552i</v>
      </c>
      <c r="N164" s="338">
        <f t="shared" si="108"/>
        <v>1.0040223004431483</v>
      </c>
      <c r="O164" s="339">
        <f t="shared" si="109"/>
        <v>0.12477531894274387</v>
      </c>
      <c r="P164" s="732" t="str">
        <f t="shared" si="101"/>
        <v>0.0140277740519231-0.311205872670233i</v>
      </c>
      <c r="Q164" s="337">
        <f t="shared" si="110"/>
        <v>0.31152186701625467</v>
      </c>
      <c r="R164" s="339">
        <f t="shared" si="111"/>
        <v>-1.5257512737206087</v>
      </c>
      <c r="S164" s="731" t="str">
        <f t="shared" si="88"/>
        <v>6000</v>
      </c>
      <c r="T164" s="337" t="str">
        <f t="shared" si="89"/>
        <v>1+58550.2581256273i</v>
      </c>
      <c r="U164" s="346">
        <f t="shared" si="112"/>
        <v>58550.258134166972</v>
      </c>
      <c r="V164" s="347">
        <f t="shared" si="113"/>
        <v>1.570779247450895</v>
      </c>
      <c r="W164" s="340" t="str">
        <f t="shared" si="90"/>
        <v>1+579.70552599631i</v>
      </c>
      <c r="X164" s="337">
        <f t="shared" si="114"/>
        <v>579.70638850254056</v>
      </c>
      <c r="Y164" s="339">
        <f t="shared" si="115"/>
        <v>1.569071314761602</v>
      </c>
      <c r="Z164" s="337" t="str">
        <f t="shared" si="91"/>
        <v>1+5.83963818304002i</v>
      </c>
      <c r="AA164" s="346">
        <f t="shared" si="116"/>
        <v>5.9246412641457837</v>
      </c>
      <c r="AB164" s="347">
        <f t="shared" si="117"/>
        <v>1.4011978597411692</v>
      </c>
      <c r="AC164" s="732" t="str">
        <f t="shared" si="118"/>
        <v>1.67553110570695-9.88595687125158i</v>
      </c>
      <c r="AD164" s="337">
        <f t="shared" si="119"/>
        <v>10.026941096188702</v>
      </c>
      <c r="AE164" s="339">
        <f t="shared" si="120"/>
        <v>-1.4029057924304627</v>
      </c>
      <c r="AF164" s="736" t="str">
        <f t="shared" si="92"/>
        <v>-3.05306386353031-0.660113089214626i</v>
      </c>
      <c r="AG164" s="337">
        <f t="shared" si="121"/>
        <v>9.8931400132901253</v>
      </c>
      <c r="AH164" s="730">
        <f t="shared" si="122"/>
        <v>-167.79968953162233</v>
      </c>
      <c r="AI164" s="360">
        <f t="shared" si="93"/>
        <v>12.200310468377666</v>
      </c>
      <c r="AL164" s="337">
        <f t="shared" si="94"/>
        <v>20.023369273246384</v>
      </c>
      <c r="AM164" s="730">
        <f t="shared" si="95"/>
        <v>-80.380580960721829</v>
      </c>
      <c r="AN164" s="351"/>
      <c r="AO164" s="337">
        <f t="shared" si="96"/>
        <v>43.398893225085864</v>
      </c>
      <c r="AP164" s="730">
        <f t="shared" si="97"/>
        <v>-87.419108570900505</v>
      </c>
      <c r="AS164" s="351"/>
      <c r="AT164" s="351"/>
      <c r="AV164" s="405">
        <f t="shared" si="98"/>
        <v>0</v>
      </c>
      <c r="AW164" s="405">
        <f t="shared" si="123"/>
        <v>0</v>
      </c>
      <c r="AX164" s="405">
        <f t="shared" si="99"/>
        <v>0</v>
      </c>
      <c r="AY164" s="405">
        <f t="shared" si="100"/>
        <v>0</v>
      </c>
    </row>
    <row r="165" spans="2:51" ht="13.5" thickBot="1" x14ac:dyDescent="0.25">
      <c r="B165" s="345">
        <v>9279.4</v>
      </c>
      <c r="C165" s="728" t="str">
        <f t="shared" si="83"/>
        <v>2.2271548443541</v>
      </c>
      <c r="D165" s="728" t="str">
        <f t="shared" si="84"/>
        <v>1+7.0936764182988i</v>
      </c>
      <c r="E165" s="337">
        <f t="shared" si="102"/>
        <v>7.1638149841776695</v>
      </c>
      <c r="F165" s="338">
        <f t="shared" si="103"/>
        <v>1.4307485457556408</v>
      </c>
      <c r="G165" s="338" t="str">
        <f t="shared" si="85"/>
        <v>1+0.0291520948697211i</v>
      </c>
      <c r="H165" s="337">
        <f t="shared" si="104"/>
        <v>1.0004248320764999</v>
      </c>
      <c r="I165" s="338">
        <f t="shared" si="105"/>
        <v>2.9143840827627006E-2</v>
      </c>
      <c r="J165" s="340">
        <f t="shared" si="86"/>
        <v>1</v>
      </c>
      <c r="K165" s="338">
        <f t="shared" si="106"/>
        <v>1</v>
      </c>
      <c r="L165" s="339">
        <f t="shared" si="107"/>
        <v>0</v>
      </c>
      <c r="M165" s="731" t="str">
        <f t="shared" si="87"/>
        <v>0.996173010472889+0.125671521533931i</v>
      </c>
      <c r="N165" s="338">
        <f t="shared" si="108"/>
        <v>1.004068721811048</v>
      </c>
      <c r="O165" s="339">
        <f t="shared" si="109"/>
        <v>0.12549138672084648</v>
      </c>
      <c r="P165" s="732" t="str">
        <f t="shared" si="101"/>
        <v>0.0135323309951026-0.309465511445432i</v>
      </c>
      <c r="Q165" s="337">
        <f t="shared" si="110"/>
        <v>0.30976124153344914</v>
      </c>
      <c r="R165" s="339">
        <f t="shared" si="111"/>
        <v>-1.5270960916488601</v>
      </c>
      <c r="S165" s="731" t="str">
        <f t="shared" si="88"/>
        <v>6000</v>
      </c>
      <c r="T165" s="337" t="str">
        <f t="shared" si="89"/>
        <v>1+58887.2316368366i</v>
      </c>
      <c r="U165" s="346">
        <f t="shared" si="112"/>
        <v>58887.231645327403</v>
      </c>
      <c r="V165" s="347">
        <f t="shared" si="113"/>
        <v>1.5707793451849261</v>
      </c>
      <c r="W165" s="340" t="str">
        <f t="shared" si="90"/>
        <v>1+583.041897394422i</v>
      </c>
      <c r="X165" s="337">
        <f t="shared" si="114"/>
        <v>583.04275496509479</v>
      </c>
      <c r="Y165" s="339">
        <f t="shared" si="115"/>
        <v>1.5690811858695202</v>
      </c>
      <c r="Z165" s="337" t="str">
        <f t="shared" si="91"/>
        <v>1+5.87324697394422i</v>
      </c>
      <c r="AA165" s="346">
        <f t="shared" si="116"/>
        <v>5.9577705575949249</v>
      </c>
      <c r="AB165" s="347">
        <f t="shared" si="117"/>
        <v>1.4021500135772444</v>
      </c>
      <c r="AC165" s="732" t="str">
        <f t="shared" si="118"/>
        <v>1.65694870872142-9.83254984076988i</v>
      </c>
      <c r="AD165" s="337">
        <f t="shared" si="119"/>
        <v>9.9711842523622725</v>
      </c>
      <c r="AE165" s="339">
        <f t="shared" si="120"/>
        <v>-1.4038481728926511</v>
      </c>
      <c r="AF165" s="736" t="str">
        <f t="shared" si="92"/>
        <v>-3.02041268691823-0.645825798554464i</v>
      </c>
      <c r="AG165" s="337">
        <f t="shared" si="121"/>
        <v>9.7954763546392911</v>
      </c>
      <c r="AH165" s="730">
        <f t="shared" si="122"/>
        <v>-167.93073634630366</v>
      </c>
      <c r="AI165" s="360">
        <f t="shared" si="93"/>
        <v>12.069263653696339</v>
      </c>
      <c r="AL165" s="337">
        <f t="shared" si="94"/>
        <v>19.97493482866642</v>
      </c>
      <c r="AM165" s="730">
        <f t="shared" si="95"/>
        <v>-80.434575383900807</v>
      </c>
      <c r="AN165" s="351"/>
      <c r="AO165" s="337">
        <f t="shared" si="96"/>
        <v>43.349664011015001</v>
      </c>
      <c r="AP165" s="730">
        <f t="shared" si="97"/>
        <v>-87.49616096240284</v>
      </c>
      <c r="AS165" s="351"/>
      <c r="AT165" s="351"/>
      <c r="AV165" s="405">
        <f t="shared" si="98"/>
        <v>0</v>
      </c>
      <c r="AW165" s="405">
        <f t="shared" si="123"/>
        <v>0</v>
      </c>
      <c r="AX165" s="405">
        <f t="shared" si="99"/>
        <v>0</v>
      </c>
      <c r="AY165" s="405">
        <f t="shared" si="100"/>
        <v>0</v>
      </c>
    </row>
    <row r="166" spans="2:51" ht="13.5" thickBot="1" x14ac:dyDescent="0.25">
      <c r="B166" s="345">
        <v>9332.5</v>
      </c>
      <c r="C166" s="728" t="str">
        <f t="shared" si="83"/>
        <v>2.2271548443541</v>
      </c>
      <c r="D166" s="728" t="str">
        <f t="shared" si="84"/>
        <v>1+7.13426893697584i</v>
      </c>
      <c r="E166" s="337">
        <f t="shared" si="102"/>
        <v>7.2040123032306367</v>
      </c>
      <c r="F166" s="338">
        <f t="shared" si="103"/>
        <v>1.4315350973886571</v>
      </c>
      <c r="G166" s="338" t="str">
        <f t="shared" si="85"/>
        <v>1+0.0293189134396268i</v>
      </c>
      <c r="H166" s="337">
        <f t="shared" si="104"/>
        <v>1.0004297070185793</v>
      </c>
      <c r="I166" s="338">
        <f t="shared" si="105"/>
        <v>2.9310516936626466E-2</v>
      </c>
      <c r="J166" s="340">
        <f t="shared" si="86"/>
        <v>1</v>
      </c>
      <c r="K166" s="338">
        <f t="shared" si="106"/>
        <v>1</v>
      </c>
      <c r="L166" s="339">
        <f t="shared" si="107"/>
        <v>0</v>
      </c>
      <c r="M166" s="731" t="str">
        <f t="shared" si="87"/>
        <v>0.996129086388889+0.12639065830931i</v>
      </c>
      <c r="N166" s="338">
        <f t="shared" si="108"/>
        <v>1.0041154093319271</v>
      </c>
      <c r="O166" s="339">
        <f t="shared" si="109"/>
        <v>0.12620741934103016</v>
      </c>
      <c r="P166" s="732" t="str">
        <f t="shared" si="101"/>
        <v>0.0130451570148972-0.307743632401387i</v>
      </c>
      <c r="Q166" s="337">
        <f t="shared" si="110"/>
        <v>0.30801999838507782</v>
      </c>
      <c r="R166" s="339">
        <f t="shared" si="111"/>
        <v>-1.5284319997930609</v>
      </c>
      <c r="S166" s="731" t="str">
        <f t="shared" si="88"/>
        <v>6000</v>
      </c>
      <c r="T166" s="337" t="str">
        <f t="shared" si="89"/>
        <v>1+59224.205148046i</v>
      </c>
      <c r="U166" s="346">
        <f t="shared" si="112"/>
        <v>59224.20515648849</v>
      </c>
      <c r="V166" s="347">
        <f t="shared" si="113"/>
        <v>1.570779441806784</v>
      </c>
      <c r="W166" s="340" t="str">
        <f t="shared" si="90"/>
        <v>1+586.378268792535i</v>
      </c>
      <c r="X166" s="337">
        <f t="shared" si="114"/>
        <v>586.37912148381474</v>
      </c>
      <c r="Y166" s="339">
        <f t="shared" si="115"/>
        <v>1.5690909446486307</v>
      </c>
      <c r="Z166" s="337" t="str">
        <f t="shared" si="91"/>
        <v>1+5.90685576484843i</v>
      </c>
      <c r="AA166" s="346">
        <f t="shared" si="116"/>
        <v>5.9909051926001249</v>
      </c>
      <c r="AB166" s="347">
        <f t="shared" si="117"/>
        <v>1.4030916358708576</v>
      </c>
      <c r="AC166" s="732" t="str">
        <f t="shared" si="118"/>
        <v>1.63867081486357-9.77969900952174i</v>
      </c>
      <c r="AD166" s="337">
        <f t="shared" si="119"/>
        <v>9.916035233717464</v>
      </c>
      <c r="AE166" s="339">
        <f t="shared" si="120"/>
        <v>-1.4047801330290108</v>
      </c>
      <c r="AF166" s="736" t="str">
        <f t="shared" si="92"/>
        <v>-2.98826337890684-0.631868218013902i</v>
      </c>
      <c r="AG166" s="337">
        <f t="shared" si="121"/>
        <v>9.6983395096927367</v>
      </c>
      <c r="AH166" s="730">
        <f t="shared" si="122"/>
        <v>-168.06067562727134</v>
      </c>
      <c r="AI166" s="360">
        <f t="shared" si="93"/>
        <v>11.939324372728663</v>
      </c>
      <c r="AL166" s="337">
        <f t="shared" si="94"/>
        <v>19.926761224727066</v>
      </c>
      <c r="AM166" s="730">
        <f t="shared" si="95"/>
        <v>-80.487972766388665</v>
      </c>
      <c r="AN166" s="351"/>
      <c r="AO166" s="337">
        <f t="shared" si="96"/>
        <v>43.300700770007843</v>
      </c>
      <c r="AP166" s="730">
        <f t="shared" si="97"/>
        <v>-87.572702860882714</v>
      </c>
      <c r="AS166" s="351"/>
      <c r="AT166" s="351"/>
      <c r="AV166" s="405">
        <f t="shared" si="98"/>
        <v>0</v>
      </c>
      <c r="AW166" s="405">
        <f t="shared" si="123"/>
        <v>0</v>
      </c>
      <c r="AX166" s="405">
        <f t="shared" si="99"/>
        <v>0</v>
      </c>
      <c r="AY166" s="405">
        <f t="shared" si="100"/>
        <v>0</v>
      </c>
    </row>
    <row r="167" spans="2:51" ht="13.5" thickBot="1" x14ac:dyDescent="0.25">
      <c r="B167" s="345">
        <v>9386.85</v>
      </c>
      <c r="C167" s="728" t="str">
        <f t="shared" si="83"/>
        <v>2.2271548443541</v>
      </c>
      <c r="D167" s="728" t="str">
        <f t="shared" si="84"/>
        <v>1+7.17581702341834i</v>
      </c>
      <c r="E167" s="337">
        <f t="shared" si="102"/>
        <v>7.2451604505062859</v>
      </c>
      <c r="F167" s="338">
        <f t="shared" si="103"/>
        <v>1.4323311258920222</v>
      </c>
      <c r="G167" s="338" t="str">
        <f t="shared" si="85"/>
        <v>1+0.0294896590003494i</v>
      </c>
      <c r="H167" s="337">
        <f t="shared" si="104"/>
        <v>1.0004347255008479</v>
      </c>
      <c r="I167" s="338">
        <f t="shared" si="105"/>
        <v>2.9481114995798686E-2</v>
      </c>
      <c r="J167" s="340">
        <f t="shared" si="86"/>
        <v>1</v>
      </c>
      <c r="K167" s="338">
        <f t="shared" si="106"/>
        <v>1</v>
      </c>
      <c r="L167" s="339">
        <f t="shared" si="107"/>
        <v>0</v>
      </c>
      <c r="M167" s="731" t="str">
        <f t="shared" si="87"/>
        <v>0.996083868759+0.127126723916502i</v>
      </c>
      <c r="N167" s="338">
        <f t="shared" si="108"/>
        <v>1.0041634715202696</v>
      </c>
      <c r="O167" s="339">
        <f t="shared" si="109"/>
        <v>0.12694027110459619</v>
      </c>
      <c r="P167" s="732" t="str">
        <f t="shared" si="101"/>
        <v>0.0125548898860597-0.306000058339548i</v>
      </c>
      <c r="Q167" s="337">
        <f t="shared" si="110"/>
        <v>0.3062575076040715</v>
      </c>
      <c r="R167" s="339">
        <f t="shared" si="111"/>
        <v>-1.5297902820008196</v>
      </c>
      <c r="S167" s="731" t="str">
        <f t="shared" si="88"/>
        <v>6000</v>
      </c>
      <c r="T167" s="337" t="str">
        <f t="shared" si="89"/>
        <v>1+59569.1111807057i</v>
      </c>
      <c r="U167" s="346">
        <f t="shared" si="112"/>
        <v>59569.11118909932</v>
      </c>
      <c r="V167" s="347">
        <f t="shared" si="113"/>
        <v>1.5707795395711144</v>
      </c>
      <c r="W167" s="340" t="str">
        <f t="shared" si="90"/>
        <v>1+589.793180006987i</v>
      </c>
      <c r="X167" s="337">
        <f t="shared" si="114"/>
        <v>589.79402776117877</v>
      </c>
      <c r="Y167" s="339">
        <f t="shared" si="115"/>
        <v>1.5691008188174411</v>
      </c>
      <c r="Z167" s="337" t="str">
        <f t="shared" si="91"/>
        <v>1+5.94125572314679i</v>
      </c>
      <c r="AA167" s="346">
        <f t="shared" si="116"/>
        <v>6.0248252728045557</v>
      </c>
      <c r="AB167" s="347">
        <f t="shared" si="117"/>
        <v>1.4040446977056382</v>
      </c>
      <c r="AC167" s="732" t="str">
        <f t="shared" si="118"/>
        <v>1.62027115193257-9.72617133632562i</v>
      </c>
      <c r="AD167" s="337">
        <f t="shared" si="119"/>
        <v>9.8602072731432475</v>
      </c>
      <c r="AE167" s="339">
        <f t="shared" si="120"/>
        <v>-1.4057234184593113</v>
      </c>
      <c r="AF167" s="736" t="str">
        <f t="shared" si="92"/>
        <v>-2.95586667043801-0.617914077157771i</v>
      </c>
      <c r="AG167" s="337">
        <f t="shared" si="121"/>
        <v>9.5994557645238316</v>
      </c>
      <c r="AH167" s="730">
        <f t="shared" si="122"/>
        <v>-168.19254573919605</v>
      </c>
      <c r="AI167" s="360">
        <f t="shared" si="93"/>
        <v>11.807454260803951</v>
      </c>
      <c r="AL167" s="337">
        <f t="shared" si="94"/>
        <v>19.877720888350016</v>
      </c>
      <c r="AM167" s="730">
        <f t="shared" si="95"/>
        <v>-80.542019040421053</v>
      </c>
      <c r="AN167" s="351"/>
      <c r="AO167" s="337">
        <f t="shared" si="96"/>
        <v>43.250857361215971</v>
      </c>
      <c r="AP167" s="730">
        <f t="shared" si="97"/>
        <v>-87.650526698774982</v>
      </c>
      <c r="AS167" s="351"/>
      <c r="AT167" s="351"/>
      <c r="AV167" s="405">
        <f t="shared" si="98"/>
        <v>0</v>
      </c>
      <c r="AW167" s="405">
        <f t="shared" si="123"/>
        <v>0</v>
      </c>
      <c r="AX167" s="405">
        <f t="shared" si="99"/>
        <v>0</v>
      </c>
      <c r="AY167" s="405">
        <f t="shared" si="100"/>
        <v>0</v>
      </c>
    </row>
    <row r="168" spans="2:51" ht="13.5" thickBot="1" x14ac:dyDescent="0.25">
      <c r="B168" s="345">
        <v>9441.2000000000007</v>
      </c>
      <c r="C168" s="728" t="str">
        <f t="shared" si="83"/>
        <v>2.2271548443541</v>
      </c>
      <c r="D168" s="728" t="str">
        <f t="shared" si="84"/>
        <v>1+7.21736510986084i</v>
      </c>
      <c r="E168" s="337">
        <f t="shared" si="102"/>
        <v>7.2863131369051493</v>
      </c>
      <c r="F168" s="338">
        <f t="shared" si="103"/>
        <v>1.4331181630410725</v>
      </c>
      <c r="G168" s="338" t="str">
        <f t="shared" si="85"/>
        <v>1+0.029660404561072i</v>
      </c>
      <c r="H168" s="337">
        <f t="shared" si="104"/>
        <v>1.0004397730991739</v>
      </c>
      <c r="I168" s="338">
        <f t="shared" si="105"/>
        <v>2.9651711338471946E-2</v>
      </c>
      <c r="J168" s="340">
        <f t="shared" si="86"/>
        <v>1</v>
      </c>
      <c r="K168" s="338">
        <f t="shared" si="106"/>
        <v>1</v>
      </c>
      <c r="L168" s="339">
        <f t="shared" si="107"/>
        <v>0</v>
      </c>
      <c r="M168" s="731" t="str">
        <f t="shared" si="87"/>
        <v>0.996038388558222+0.127862789523693i</v>
      </c>
      <c r="N168" s="338">
        <f t="shared" si="108"/>
        <v>1.0042118125308226</v>
      </c>
      <c r="O168" s="339">
        <f t="shared" si="109"/>
        <v>0.12767308561717475</v>
      </c>
      <c r="P168" s="732" t="str">
        <f t="shared" si="101"/>
        <v>0.0120729087270618-0.304275241619008i</v>
      </c>
      <c r="Q168" s="337">
        <f t="shared" si="110"/>
        <v>0.30451465939661698</v>
      </c>
      <c r="R168" s="339">
        <f t="shared" si="111"/>
        <v>-1.5311395373197754</v>
      </c>
      <c r="S168" s="731" t="str">
        <f t="shared" si="88"/>
        <v>6000</v>
      </c>
      <c r="T168" s="337" t="str">
        <f t="shared" si="89"/>
        <v>1+59914.0172133653i</v>
      </c>
      <c r="U168" s="346">
        <f t="shared" si="112"/>
        <v>59914.017221710586</v>
      </c>
      <c r="V168" s="347">
        <f t="shared" si="113"/>
        <v>1.5707796362098478</v>
      </c>
      <c r="W168" s="340" t="str">
        <f t="shared" si="90"/>
        <v>1+593.208091221439i</v>
      </c>
      <c r="X168" s="337">
        <f t="shared" si="114"/>
        <v>593.20893409538519</v>
      </c>
      <c r="Y168" s="339">
        <f t="shared" si="115"/>
        <v>1.5691105793016475</v>
      </c>
      <c r="Z168" s="337" t="str">
        <f t="shared" si="91"/>
        <v>1+5.97565568144516i</v>
      </c>
      <c r="AA168" s="346">
        <f t="shared" si="116"/>
        <v>6.0587507642407443</v>
      </c>
      <c r="AB168" s="347">
        <f t="shared" si="117"/>
        <v>1.4049870872010612</v>
      </c>
      <c r="AC168" s="732" t="str">
        <f t="shared" si="118"/>
        <v>1.60217679454525-9.6732088553736i</v>
      </c>
      <c r="AD168" s="337">
        <f t="shared" si="119"/>
        <v>9.8049956675491465</v>
      </c>
      <c r="AE168" s="339">
        <f t="shared" si="120"/>
        <v>-1.4066561441092609</v>
      </c>
      <c r="AF168" s="736" t="str">
        <f t="shared" si="92"/>
        <v>-2.92397502749477-0.604286498885355i</v>
      </c>
      <c r="AG168" s="337">
        <f t="shared" si="121"/>
        <v>9.5011122120235587</v>
      </c>
      <c r="AH168" s="730">
        <f t="shared" si="122"/>
        <v>-168.32329361764349</v>
      </c>
      <c r="AI168" s="360">
        <f t="shared" si="93"/>
        <v>11.676706382356514</v>
      </c>
      <c r="AL168" s="337">
        <f t="shared" si="94"/>
        <v>19.828948122116007</v>
      </c>
      <c r="AM168" s="730">
        <f t="shared" si="95"/>
        <v>-80.595460283606769</v>
      </c>
      <c r="AN168" s="351"/>
      <c r="AO168" s="337">
        <f t="shared" si="96"/>
        <v>43.201286574949663</v>
      </c>
      <c r="AP168" s="730">
        <f t="shared" si="97"/>
        <v>-87.727833334036731</v>
      </c>
      <c r="AS168" s="351"/>
      <c r="AT168" s="351"/>
      <c r="AV168" s="405">
        <f t="shared" si="98"/>
        <v>0</v>
      </c>
      <c r="AW168" s="405">
        <f t="shared" si="123"/>
        <v>0</v>
      </c>
      <c r="AX168" s="405">
        <f t="shared" si="99"/>
        <v>0</v>
      </c>
      <c r="AY168" s="405">
        <f t="shared" si="100"/>
        <v>0</v>
      </c>
    </row>
    <row r="169" spans="2:51" ht="13.5" thickBot="1" x14ac:dyDescent="0.25">
      <c r="B169" s="345">
        <v>9495.5499999999993</v>
      </c>
      <c r="C169" s="728" t="str">
        <f t="shared" si="83"/>
        <v>2.2271548443541</v>
      </c>
      <c r="D169" s="728" t="str">
        <f t="shared" si="84"/>
        <v>1+7.25891319630334i</v>
      </c>
      <c r="E169" s="337">
        <f t="shared" si="102"/>
        <v>7.3274702859490857</v>
      </c>
      <c r="F169" s="338">
        <f t="shared" si="103"/>
        <v>1.4338963593611807</v>
      </c>
      <c r="G169" s="338" t="str">
        <f t="shared" si="85"/>
        <v>1+0.0298311501217946i</v>
      </c>
      <c r="H169" s="337">
        <f t="shared" si="104"/>
        <v>1.0004448498131164</v>
      </c>
      <c r="I169" s="338">
        <f t="shared" si="105"/>
        <v>2.9822305954742532E-2</v>
      </c>
      <c r="J169" s="340">
        <f t="shared" si="86"/>
        <v>1</v>
      </c>
      <c r="K169" s="338">
        <f t="shared" si="106"/>
        <v>1</v>
      </c>
      <c r="L169" s="339">
        <f t="shared" si="107"/>
        <v>0</v>
      </c>
      <c r="M169" s="731" t="str">
        <f t="shared" si="87"/>
        <v>0.995992645786556+0.128598855130884i</v>
      </c>
      <c r="N169" s="338">
        <f t="shared" si="108"/>
        <v>1.0042604323589963</v>
      </c>
      <c r="O169" s="339">
        <f t="shared" si="109"/>
        <v>0.12840586266728196</v>
      </c>
      <c r="P169" s="732" t="str">
        <f t="shared" si="101"/>
        <v>0.0115990306032667-0.302568885432169i</v>
      </c>
      <c r="Q169" s="337">
        <f t="shared" si="110"/>
        <v>0.30279112923366913</v>
      </c>
      <c r="R169" s="339">
        <f t="shared" si="111"/>
        <v>-1.5324799160737201</v>
      </c>
      <c r="S169" s="731" t="str">
        <f t="shared" si="88"/>
        <v>6000</v>
      </c>
      <c r="T169" s="337" t="str">
        <f t="shared" si="89"/>
        <v>1+60258.923246025i</v>
      </c>
      <c r="U169" s="346">
        <f t="shared" si="112"/>
        <v>60258.923254322523</v>
      </c>
      <c r="V169" s="347">
        <f t="shared" si="113"/>
        <v>1.5707797317423129</v>
      </c>
      <c r="W169" s="340" t="str">
        <f t="shared" si="90"/>
        <v>1+596.623002435891i</v>
      </c>
      <c r="X169" s="337">
        <f t="shared" si="114"/>
        <v>596.623840485458</v>
      </c>
      <c r="Y169" s="339">
        <f t="shared" si="115"/>
        <v>1.5691202280533441</v>
      </c>
      <c r="Z169" s="337" t="str">
        <f t="shared" si="91"/>
        <v>1+6.01005563974353i</v>
      </c>
      <c r="AA169" s="346">
        <f t="shared" si="116"/>
        <v>6.0926815765156324</v>
      </c>
      <c r="AB169" s="347">
        <f t="shared" si="117"/>
        <v>1.4059189809754085</v>
      </c>
      <c r="AC169" s="732" t="str">
        <f t="shared" si="118"/>
        <v>1.58438108875804-9.62080296876972i</v>
      </c>
      <c r="AD169" s="337">
        <f t="shared" si="119"/>
        <v>9.7503904126092511</v>
      </c>
      <c r="AE169" s="339">
        <f t="shared" si="120"/>
        <v>-1.4075784846643771</v>
      </c>
      <c r="AF169" s="736" t="str">
        <f t="shared" si="92"/>
        <v>-2.89257834648741-0.590976408188086i</v>
      </c>
      <c r="AG169" s="337">
        <f t="shared" si="121"/>
        <v>9.4033030629727108</v>
      </c>
      <c r="AH169" s="730">
        <f t="shared" si="122"/>
        <v>-168.4529378842754</v>
      </c>
      <c r="AI169" s="360">
        <f t="shared" si="93"/>
        <v>11.5470621157246</v>
      </c>
      <c r="AL169" s="337">
        <f t="shared" si="94"/>
        <v>19.780440110170296</v>
      </c>
      <c r="AM169" s="730">
        <f t="shared" si="95"/>
        <v>-80.648306504688676</v>
      </c>
      <c r="AN169" s="351"/>
      <c r="AO169" s="337">
        <f t="shared" si="96"/>
        <v>43.151985437844559</v>
      </c>
      <c r="AP169" s="730">
        <f t="shared" si="97"/>
        <v>-87.804631379586766</v>
      </c>
      <c r="AS169" s="351"/>
      <c r="AT169" s="351"/>
      <c r="AV169" s="405">
        <f t="shared" si="98"/>
        <v>0</v>
      </c>
      <c r="AW169" s="405">
        <f t="shared" si="123"/>
        <v>0</v>
      </c>
      <c r="AX169" s="405">
        <f t="shared" si="99"/>
        <v>0</v>
      </c>
      <c r="AY169" s="405">
        <f t="shared" si="100"/>
        <v>0</v>
      </c>
    </row>
    <row r="170" spans="2:51" ht="13.5" thickBot="1" x14ac:dyDescent="0.25">
      <c r="B170" s="345">
        <v>9549.9</v>
      </c>
      <c r="C170" s="728" t="str">
        <f t="shared" si="83"/>
        <v>2.2271548443541</v>
      </c>
      <c r="D170" s="728" t="str">
        <f t="shared" si="84"/>
        <v>1+7.30046128274584i</v>
      </c>
      <c r="E170" s="337">
        <f t="shared" si="102"/>
        <v>7.3686318228604035</v>
      </c>
      <c r="F170" s="338">
        <f t="shared" si="103"/>
        <v>1.4346658620577315</v>
      </c>
      <c r="G170" s="338" t="str">
        <f t="shared" si="85"/>
        <v>1+0.0300018956825172i</v>
      </c>
      <c r="H170" s="337">
        <f t="shared" si="104"/>
        <v>1.0004499556422324</v>
      </c>
      <c r="I170" s="338">
        <f t="shared" si="105"/>
        <v>2.9992898834707338E-2</v>
      </c>
      <c r="J170" s="340">
        <f t="shared" si="86"/>
        <v>1</v>
      </c>
      <c r="K170" s="338">
        <f t="shared" si="106"/>
        <v>1</v>
      </c>
      <c r="L170" s="339">
        <f t="shared" si="107"/>
        <v>0</v>
      </c>
      <c r="M170" s="731" t="str">
        <f t="shared" si="87"/>
        <v>0.995946640444+0.129334920738075i</v>
      </c>
      <c r="N170" s="338">
        <f t="shared" si="108"/>
        <v>1.0043093310001727</v>
      </c>
      <c r="O170" s="339">
        <f t="shared" si="109"/>
        <v>0.12913860204350544</v>
      </c>
      <c r="P170" s="732" t="str">
        <f t="shared" si="101"/>
        <v>0.0111330775761416-0.30088069904421i</v>
      </c>
      <c r="Q170" s="337">
        <f t="shared" si="110"/>
        <v>0.30108659962484025</v>
      </c>
      <c r="R170" s="339">
        <f t="shared" si="111"/>
        <v>-1.5338115652665296</v>
      </c>
      <c r="S170" s="731" t="str">
        <f t="shared" si="88"/>
        <v>6000</v>
      </c>
      <c r="T170" s="337" t="str">
        <f t="shared" si="89"/>
        <v>1+60603.8292786847i</v>
      </c>
      <c r="U170" s="346">
        <f t="shared" si="112"/>
        <v>60603.829286935012</v>
      </c>
      <c r="V170" s="347">
        <f t="shared" si="113"/>
        <v>1.5707798261873969</v>
      </c>
      <c r="W170" s="340" t="str">
        <f t="shared" si="90"/>
        <v>1+600.037913650343i</v>
      </c>
      <c r="X170" s="337">
        <f t="shared" si="114"/>
        <v>600.03874693044315</v>
      </c>
      <c r="Y170" s="339">
        <f t="shared" si="115"/>
        <v>1.5691297669801858</v>
      </c>
      <c r="Z170" s="337" t="str">
        <f t="shared" si="91"/>
        <v>1+6.04445559804189i</v>
      </c>
      <c r="AA170" s="346">
        <f t="shared" si="116"/>
        <v>6.1266176212246135</v>
      </c>
      <c r="AB170" s="347">
        <f t="shared" si="117"/>
        <v>1.4068405518075673</v>
      </c>
      <c r="AC170" s="732" t="str">
        <f t="shared" si="118"/>
        <v>1.56687755916432-9.56894524480878i</v>
      </c>
      <c r="AD170" s="337">
        <f t="shared" si="119"/>
        <v>9.6963817160609604</v>
      </c>
      <c r="AE170" s="339">
        <f t="shared" si="120"/>
        <v>-1.4084906110147786</v>
      </c>
      <c r="AF170" s="736" t="str">
        <f t="shared" si="92"/>
        <v>-2.86166676495534-0.577975025050354i</v>
      </c>
      <c r="AG170" s="337">
        <f t="shared" si="121"/>
        <v>9.3060226177921184</v>
      </c>
      <c r="AH170" s="730">
        <f t="shared" si="122"/>
        <v>-168.58149675307607</v>
      </c>
      <c r="AI170" s="360">
        <f t="shared" si="93"/>
        <v>11.418503246923933</v>
      </c>
      <c r="AL170" s="337">
        <f t="shared" si="94"/>
        <v>19.732194079339894</v>
      </c>
      <c r="AM170" s="730">
        <f t="shared" si="95"/>
        <v>-80.700567494949354</v>
      </c>
      <c r="AN170" s="351"/>
      <c r="AO170" s="337">
        <f t="shared" si="96"/>
        <v>43.102951023494384</v>
      </c>
      <c r="AP170" s="730">
        <f t="shared" si="97"/>
        <v>-87.880929258126756</v>
      </c>
      <c r="AS170" s="351"/>
      <c r="AT170" s="351"/>
      <c r="AV170" s="405">
        <f t="shared" si="98"/>
        <v>0</v>
      </c>
      <c r="AW170" s="405">
        <f t="shared" si="123"/>
        <v>0</v>
      </c>
      <c r="AX170" s="405">
        <f t="shared" si="99"/>
        <v>0</v>
      </c>
      <c r="AY170" s="405">
        <f t="shared" si="100"/>
        <v>0</v>
      </c>
    </row>
    <row r="171" spans="2:51" ht="13.5" thickBot="1" x14ac:dyDescent="0.25">
      <c r="B171" s="345">
        <v>9605.5249999999996</v>
      </c>
      <c r="C171" s="728" t="str">
        <f t="shared" si="83"/>
        <v>2.2271548443541</v>
      </c>
      <c r="D171" s="728" t="str">
        <f t="shared" si="84"/>
        <v>1+7.34298404830912i</v>
      </c>
      <c r="E171" s="337">
        <f t="shared" si="102"/>
        <v>7.4107634379814193</v>
      </c>
      <c r="F171" s="338">
        <f t="shared" si="103"/>
        <v>1.4354445648615679</v>
      </c>
      <c r="G171" s="338" t="str">
        <f t="shared" si="85"/>
        <v>1+0.0301766467738731i</v>
      </c>
      <c r="H171" s="337">
        <f t="shared" si="104"/>
        <v>1.0004552113965497</v>
      </c>
      <c r="I171" s="338">
        <f t="shared" si="105"/>
        <v>3.0167491855342569E-2</v>
      </c>
      <c r="J171" s="340">
        <f t="shared" si="86"/>
        <v>1</v>
      </c>
      <c r="K171" s="338">
        <f t="shared" si="106"/>
        <v>1</v>
      </c>
      <c r="L171" s="339">
        <f t="shared" si="107"/>
        <v>0</v>
      </c>
      <c r="M171" s="731" t="str">
        <f t="shared" si="87"/>
        <v>0.995899283976639+0.130088253753714i</v>
      </c>
      <c r="N171" s="338">
        <f t="shared" si="108"/>
        <v>1.004359665453503</v>
      </c>
      <c r="O171" s="339">
        <f t="shared" si="109"/>
        <v>0.1298884915674321</v>
      </c>
      <c r="P171" s="732" t="str">
        <f t="shared" si="101"/>
        <v>0.0106642192626697-0.299171426372993i</v>
      </c>
      <c r="Q171" s="337">
        <f t="shared" si="110"/>
        <v>0.29936143360582285</v>
      </c>
      <c r="R171" s="339">
        <f t="shared" si="111"/>
        <v>-1.5351655645736575</v>
      </c>
      <c r="S171" s="731" t="str">
        <f t="shared" si="88"/>
        <v>6000</v>
      </c>
      <c r="T171" s="337" t="str">
        <f t="shared" si="89"/>
        <v>1+60956.8264832237i</v>
      </c>
      <c r="U171" s="346">
        <f t="shared" si="112"/>
        <v>60956.826491426233</v>
      </c>
      <c r="V171" s="347">
        <f t="shared" si="113"/>
        <v>1.5707799217413922</v>
      </c>
      <c r="W171" s="340" t="str">
        <f t="shared" si="90"/>
        <v>1+603.532935477462i</v>
      </c>
      <c r="X171" s="337">
        <f t="shared" si="114"/>
        <v>603.53376393209555</v>
      </c>
      <c r="Y171" s="339">
        <f t="shared" si="115"/>
        <v>1.5691394179070774</v>
      </c>
      <c r="Z171" s="337" t="str">
        <f t="shared" si="91"/>
        <v>1+6.07966254708231i</v>
      </c>
      <c r="AA171" s="346">
        <f t="shared" si="116"/>
        <v>6.1613551014687795</v>
      </c>
      <c r="AB171" s="347">
        <f t="shared" si="117"/>
        <v>1.4077732291776746</v>
      </c>
      <c r="AC171" s="732" t="str">
        <f t="shared" si="118"/>
        <v>1.54925937500822-9.51642996132804i</v>
      </c>
      <c r="AD171" s="337">
        <f t="shared" si="119"/>
        <v>9.6417137387454552</v>
      </c>
      <c r="AE171" s="339">
        <f t="shared" si="120"/>
        <v>-1.4094137330119885</v>
      </c>
      <c r="AF171" s="736" t="str">
        <f t="shared" si="92"/>
        <v>-2.83052228383936-0.564979432748382i</v>
      </c>
      <c r="AG171" s="337">
        <f t="shared" si="121"/>
        <v>9.2070016627062081</v>
      </c>
      <c r="AH171" s="730">
        <f t="shared" si="122"/>
        <v>-168.711966193254</v>
      </c>
      <c r="AI171" s="360">
        <f t="shared" si="93"/>
        <v>11.288033806746</v>
      </c>
      <c r="AL171" s="337">
        <f t="shared" si="94"/>
        <v>19.683084663809375</v>
      </c>
      <c r="AM171" s="730">
        <f t="shared" si="95"/>
        <v>-80.753458489365173</v>
      </c>
      <c r="AN171" s="351"/>
      <c r="AO171" s="337">
        <f t="shared" si="96"/>
        <v>43.05303948393896</v>
      </c>
      <c r="AP171" s="730">
        <f t="shared" si="97"/>
        <v>-87.958507703888813</v>
      </c>
      <c r="AS171" s="351"/>
      <c r="AT171" s="351"/>
      <c r="AV171" s="405">
        <f t="shared" si="98"/>
        <v>0</v>
      </c>
      <c r="AW171" s="405">
        <f t="shared" si="123"/>
        <v>0</v>
      </c>
      <c r="AX171" s="405">
        <f t="shared" si="99"/>
        <v>0</v>
      </c>
      <c r="AY171" s="405">
        <f t="shared" si="100"/>
        <v>0</v>
      </c>
    </row>
    <row r="172" spans="2:51" ht="13.5" thickBot="1" x14ac:dyDescent="0.25">
      <c r="B172" s="345">
        <v>9661.15</v>
      </c>
      <c r="C172" s="728" t="str">
        <f t="shared" si="83"/>
        <v>2.2271548443541</v>
      </c>
      <c r="D172" s="728" t="str">
        <f t="shared" si="84"/>
        <v>1+7.3855068138724i</v>
      </c>
      <c r="E172" s="337">
        <f t="shared" si="102"/>
        <v>7.4528994960186896</v>
      </c>
      <c r="F172" s="338">
        <f t="shared" si="103"/>
        <v>1.4362144631073348</v>
      </c>
      <c r="G172" s="338" t="str">
        <f t="shared" si="85"/>
        <v>1+0.0303513978652291i</v>
      </c>
      <c r="H172" s="337">
        <f t="shared" si="104"/>
        <v>1.0004604976471452</v>
      </c>
      <c r="I172" s="338">
        <f t="shared" si="105"/>
        <v>3.034208303626458E-2</v>
      </c>
      <c r="J172" s="340">
        <f t="shared" si="86"/>
        <v>1</v>
      </c>
      <c r="K172" s="338">
        <f t="shared" si="106"/>
        <v>1</v>
      </c>
      <c r="L172" s="339">
        <f t="shared" si="107"/>
        <v>0</v>
      </c>
      <c r="M172" s="731" t="str">
        <f t="shared" si="87"/>
        <v>0.995851652474556+0.130841586769354i</v>
      </c>
      <c r="N172" s="338">
        <f t="shared" si="108"/>
        <v>1.0044102919447939</v>
      </c>
      <c r="O172" s="339">
        <f t="shared" si="109"/>
        <v>0.13063834118129614</v>
      </c>
      <c r="P172" s="732" t="str">
        <f t="shared" si="101"/>
        <v>0.010203300433891-0.297480588619877i</v>
      </c>
      <c r="Q172" s="337">
        <f t="shared" si="110"/>
        <v>0.29765551892308789</v>
      </c>
      <c r="R172" s="339">
        <f t="shared" si="111"/>
        <v>-1.5365107212523665</v>
      </c>
      <c r="S172" s="731" t="str">
        <f t="shared" si="88"/>
        <v>6000</v>
      </c>
      <c r="T172" s="337" t="str">
        <f t="shared" si="89"/>
        <v>1+61309.8236877627i</v>
      </c>
      <c r="U172" s="346">
        <f t="shared" si="112"/>
        <v>61309.823695917999</v>
      </c>
      <c r="V172" s="347">
        <f t="shared" si="113"/>
        <v>1.5707800161950651</v>
      </c>
      <c r="W172" s="340" t="str">
        <f t="shared" si="90"/>
        <v>1+607.027957304581i</v>
      </c>
      <c r="X172" s="337">
        <f t="shared" si="114"/>
        <v>607.02878098931376</v>
      </c>
      <c r="Y172" s="339">
        <f t="shared" si="115"/>
        <v>1.5691489577019937</v>
      </c>
      <c r="Z172" s="337" t="str">
        <f t="shared" si="91"/>
        <v>1+6.11486949612273i</v>
      </c>
      <c r="AA172" s="346">
        <f t="shared" si="116"/>
        <v>6.1960978812969252</v>
      </c>
      <c r="AB172" s="347">
        <f t="shared" si="117"/>
        <v>1.4086954479194715</v>
      </c>
      <c r="AC172" s="732" t="str">
        <f t="shared" si="118"/>
        <v>1.53193406014143-9.46447150687746i</v>
      </c>
      <c r="AD172" s="337">
        <f t="shared" si="119"/>
        <v>9.5876505395804195</v>
      </c>
      <c r="AE172" s="339">
        <f t="shared" si="120"/>
        <v>-1.4103265064125423</v>
      </c>
      <c r="AF172" s="736" t="str">
        <f t="shared" si="92"/>
        <v>-2.79986577138143-0.552289492170382i</v>
      </c>
      <c r="AG172" s="337">
        <f t="shared" si="121"/>
        <v>9.1085227078952578</v>
      </c>
      <c r="AH172" s="730">
        <f t="shared" si="122"/>
        <v>-168.84133605723142</v>
      </c>
      <c r="AI172" s="360">
        <f t="shared" si="93"/>
        <v>11.158663942768584</v>
      </c>
      <c r="AL172" s="337">
        <f t="shared" si="94"/>
        <v>19.634243920879083</v>
      </c>
      <c r="AM172" s="730">
        <f t="shared" si="95"/>
        <v>-80.805756552868701</v>
      </c>
      <c r="AN172" s="351"/>
      <c r="AO172" s="337">
        <f t="shared" si="96"/>
        <v>43.003401272058291</v>
      </c>
      <c r="AP172" s="730">
        <f t="shared" si="97"/>
        <v>-88.035579504362673</v>
      </c>
      <c r="AS172" s="351"/>
      <c r="AT172" s="351"/>
      <c r="AV172" s="405">
        <f t="shared" si="98"/>
        <v>0</v>
      </c>
      <c r="AW172" s="405">
        <f t="shared" si="123"/>
        <v>0</v>
      </c>
      <c r="AX172" s="405">
        <f t="shared" si="99"/>
        <v>0</v>
      </c>
      <c r="AY172" s="405">
        <f t="shared" si="100"/>
        <v>0</v>
      </c>
    </row>
    <row r="173" spans="2:51" ht="13.5" thickBot="1" x14ac:dyDescent="0.25">
      <c r="B173" s="345">
        <v>9716.7749999999996</v>
      </c>
      <c r="C173" s="728" t="str">
        <f t="shared" si="83"/>
        <v>2.2271548443541</v>
      </c>
      <c r="D173" s="728" t="str">
        <f t="shared" si="84"/>
        <v>1+7.42802957943567i</v>
      </c>
      <c r="E173" s="337">
        <f t="shared" si="102"/>
        <v>7.4950399220398589</v>
      </c>
      <c r="F173" s="338">
        <f t="shared" si="103"/>
        <v>1.4369757043838904</v>
      </c>
      <c r="G173" s="338" t="str">
        <f t="shared" si="85"/>
        <v>1+0.030526148956585i</v>
      </c>
      <c r="H173" s="337">
        <f t="shared" si="104"/>
        <v>1.0004658143935352</v>
      </c>
      <c r="I173" s="338">
        <f t="shared" si="105"/>
        <v>3.0516672366858625E-2</v>
      </c>
      <c r="J173" s="340">
        <f t="shared" si="86"/>
        <v>1</v>
      </c>
      <c r="K173" s="338">
        <f t="shared" si="106"/>
        <v>1</v>
      </c>
      <c r="L173" s="339">
        <f t="shared" si="107"/>
        <v>0</v>
      </c>
      <c r="M173" s="731" t="str">
        <f t="shared" si="87"/>
        <v>0.99580374593775+0.131594919784993i</v>
      </c>
      <c r="N173" s="338">
        <f t="shared" si="108"/>
        <v>1.0044612104690125</v>
      </c>
      <c r="O173" s="339">
        <f t="shared" si="109"/>
        <v>0.13138815065868933</v>
      </c>
      <c r="P173" s="732" t="str">
        <f t="shared" si="101"/>
        <v>0.0097501455526282-0.295807892899544i</v>
      </c>
      <c r="Q173" s="337">
        <f t="shared" si="110"/>
        <v>0.29596853690885039</v>
      </c>
      <c r="R173" s="339">
        <f t="shared" si="111"/>
        <v>-1.5378471826757212</v>
      </c>
      <c r="S173" s="731" t="str">
        <f t="shared" si="88"/>
        <v>6000</v>
      </c>
      <c r="T173" s="337" t="str">
        <f t="shared" si="89"/>
        <v>1+61662.8208923016i</v>
      </c>
      <c r="U173" s="346">
        <f t="shared" si="112"/>
        <v>61662.820900410217</v>
      </c>
      <c r="V173" s="347">
        <f t="shared" si="113"/>
        <v>1.5707801095673122</v>
      </c>
      <c r="W173" s="340" t="str">
        <f t="shared" si="90"/>
        <v>1+610.522979131699i</v>
      </c>
      <c r="X173" s="337">
        <f t="shared" si="114"/>
        <v>610.5237981011428</v>
      </c>
      <c r="Y173" s="339">
        <f t="shared" si="115"/>
        <v>1.5691583882734979</v>
      </c>
      <c r="Z173" s="337" t="str">
        <f t="shared" si="91"/>
        <v>1+6.15007644516315i</v>
      </c>
      <c r="AA173" s="346">
        <f t="shared" si="116"/>
        <v>6.2308458720586728</v>
      </c>
      <c r="AB173" s="347">
        <f t="shared" si="117"/>
        <v>1.4096073814270962</v>
      </c>
      <c r="AC173" s="732" t="str">
        <f t="shared" si="118"/>
        <v>1.51489521731257-9.41306135871588i</v>
      </c>
      <c r="AD173" s="337">
        <f t="shared" si="119"/>
        <v>9.5341822754962333</v>
      </c>
      <c r="AE173" s="339">
        <f t="shared" si="120"/>
        <v>-1.4112291027209096</v>
      </c>
      <c r="AF173" s="736" t="str">
        <f t="shared" si="92"/>
        <v>-2.76968739739009-0.539896680540128i</v>
      </c>
      <c r="AG173" s="337">
        <f t="shared" si="121"/>
        <v>9.0105799233395683</v>
      </c>
      <c r="AH173" s="730">
        <f t="shared" si="122"/>
        <v>-168.9696246153452</v>
      </c>
      <c r="AI173" s="360">
        <f t="shared" si="93"/>
        <v>11.030375384654803</v>
      </c>
      <c r="AL173" s="337">
        <f t="shared" si="94"/>
        <v>19.585669011156501</v>
      </c>
      <c r="AM173" s="730">
        <f t="shared" si="95"/>
        <v>-80.857471511942236</v>
      </c>
      <c r="AN173" s="351"/>
      <c r="AO173" s="337">
        <f t="shared" si="96"/>
        <v>42.954033397225174</v>
      </c>
      <c r="AP173" s="730">
        <f t="shared" si="97"/>
        <v>-88.112153103402946</v>
      </c>
      <c r="AS173" s="351"/>
      <c r="AT173" s="351"/>
      <c r="AV173" s="405">
        <f t="shared" si="98"/>
        <v>0</v>
      </c>
      <c r="AW173" s="405">
        <f t="shared" si="123"/>
        <v>0</v>
      </c>
      <c r="AX173" s="405">
        <f t="shared" si="99"/>
        <v>0</v>
      </c>
      <c r="AY173" s="405">
        <f t="shared" si="100"/>
        <v>0</v>
      </c>
    </row>
    <row r="174" spans="2:51" ht="13.5" thickBot="1" x14ac:dyDescent="0.25">
      <c r="B174" s="345">
        <v>9772.4</v>
      </c>
      <c r="C174" s="728" t="str">
        <f t="shared" si="83"/>
        <v>2.2271548443541</v>
      </c>
      <c r="D174" s="728" t="str">
        <f t="shared" si="84"/>
        <v>1+7.47055234499895i</v>
      </c>
      <c r="E174" s="337">
        <f t="shared" si="102"/>
        <v>7.537184642780705</v>
      </c>
      <c r="F174" s="338">
        <f t="shared" si="103"/>
        <v>1.4377284330197264</v>
      </c>
      <c r="G174" s="338" t="str">
        <f t="shared" si="85"/>
        <v>1+0.0307009000479409i</v>
      </c>
      <c r="H174" s="337">
        <f t="shared" si="104"/>
        <v>1.0004711616352335</v>
      </c>
      <c r="I174" s="338">
        <f t="shared" si="105"/>
        <v>3.0691259836510908E-2</v>
      </c>
      <c r="J174" s="340">
        <f t="shared" si="86"/>
        <v>1</v>
      </c>
      <c r="K174" s="338">
        <f t="shared" si="106"/>
        <v>1</v>
      </c>
      <c r="L174" s="339">
        <f t="shared" si="107"/>
        <v>0</v>
      </c>
      <c r="M174" s="731" t="str">
        <f t="shared" si="87"/>
        <v>0.995755564366222+0.132348252800633i</v>
      </c>
      <c r="N174" s="338">
        <f t="shared" si="108"/>
        <v>1.0045124210211009</v>
      </c>
      <c r="O174" s="339">
        <f t="shared" si="109"/>
        <v>0.13213791977328787</v>
      </c>
      <c r="P174" s="732" t="str">
        <f t="shared" si="101"/>
        <v>0.00930458388481205-0.294153052352651i</v>
      </c>
      <c r="Q174" s="337">
        <f t="shared" si="110"/>
        <v>0.29430017582334356</v>
      </c>
      <c r="R174" s="339">
        <f t="shared" si="111"/>
        <v>-1.5391750929565033</v>
      </c>
      <c r="S174" s="731" t="str">
        <f t="shared" si="88"/>
        <v>6000</v>
      </c>
      <c r="T174" s="337" t="str">
        <f t="shared" si="89"/>
        <v>1+62015.8180968406i</v>
      </c>
      <c r="U174" s="346">
        <f t="shared" si="112"/>
        <v>62015.818104903061</v>
      </c>
      <c r="V174" s="347">
        <f t="shared" si="113"/>
        <v>1.5707802018765999</v>
      </c>
      <c r="W174" s="340" t="str">
        <f t="shared" si="90"/>
        <v>1+614.018000958818i</v>
      </c>
      <c r="X174" s="337">
        <f t="shared" si="114"/>
        <v>614.01881526665215</v>
      </c>
      <c r="Y174" s="339">
        <f t="shared" si="115"/>
        <v>1.5691677114866989</v>
      </c>
      <c r="Z174" s="337" t="str">
        <f t="shared" si="91"/>
        <v>1+6.18528339420357i</v>
      </c>
      <c r="AA174" s="346">
        <f t="shared" si="116"/>
        <v>6.265598987057059</v>
      </c>
      <c r="AB174" s="347">
        <f t="shared" si="117"/>
        <v>1.4105091993169534</v>
      </c>
      <c r="AC174" s="732" t="str">
        <f t="shared" si="118"/>
        <v>1.49813662138456-9.3621911603232i</v>
      </c>
      <c r="AD174" s="337">
        <f t="shared" si="119"/>
        <v>9.481299312792915</v>
      </c>
      <c r="AE174" s="339">
        <f t="shared" si="120"/>
        <v>-1.4121216897068543</v>
      </c>
      <c r="AF174" s="736" t="str">
        <f t="shared" si="92"/>
        <v>-2.7399775686535-0.527792753018429i</v>
      </c>
      <c r="AG174" s="337">
        <f t="shared" si="121"/>
        <v>8.9131675697469319</v>
      </c>
      <c r="AH174" s="730">
        <f t="shared" si="122"/>
        <v>-169.096849737149</v>
      </c>
      <c r="AI174" s="360">
        <f t="shared" si="93"/>
        <v>10.903150262851</v>
      </c>
      <c r="AL174" s="337">
        <f t="shared" si="94"/>
        <v>19.537357138554217</v>
      </c>
      <c r="AM174" s="730">
        <f t="shared" si="95"/>
        <v>-80.908612979085177</v>
      </c>
      <c r="AN174" s="351"/>
      <c r="AO174" s="337">
        <f t="shared" si="96"/>
        <v>42.904932916234834</v>
      </c>
      <c r="AP174" s="730">
        <f t="shared" si="97"/>
        <v>-88.188236758063809</v>
      </c>
      <c r="AS174" s="351"/>
      <c r="AT174" s="351"/>
      <c r="AV174" s="405">
        <f t="shared" si="98"/>
        <v>0</v>
      </c>
      <c r="AW174" s="405">
        <f t="shared" si="123"/>
        <v>0</v>
      </c>
      <c r="AX174" s="405">
        <f t="shared" si="99"/>
        <v>0</v>
      </c>
      <c r="AY174" s="405">
        <f t="shared" si="100"/>
        <v>0</v>
      </c>
    </row>
    <row r="175" spans="2:51" ht="13.5" thickBot="1" x14ac:dyDescent="0.25">
      <c r="B175" s="345">
        <v>9829.2999999999993</v>
      </c>
      <c r="C175" s="728" t="str">
        <f t="shared" si="83"/>
        <v>2.2271548443541</v>
      </c>
      <c r="D175" s="728" t="str">
        <f t="shared" si="84"/>
        <v>1+7.514049789683i</v>
      </c>
      <c r="E175" s="337">
        <f t="shared" si="102"/>
        <v>7.5802997461733099</v>
      </c>
      <c r="F175" s="338">
        <f t="shared" si="103"/>
        <v>1.4384897547968585</v>
      </c>
      <c r="G175" s="338" t="str">
        <f t="shared" si="85"/>
        <v>1+0.0308796566699302i</v>
      </c>
      <c r="H175" s="337">
        <f t="shared" si="104"/>
        <v>1.0004766629942212</v>
      </c>
      <c r="I175" s="338">
        <f t="shared" si="105"/>
        <v>3.0869847149888184E-2</v>
      </c>
      <c r="J175" s="340">
        <f t="shared" si="86"/>
        <v>1</v>
      </c>
      <c r="K175" s="338">
        <f t="shared" si="106"/>
        <v>1</v>
      </c>
      <c r="L175" s="339">
        <f t="shared" si="107"/>
        <v>0</v>
      </c>
      <c r="M175" s="731" t="str">
        <f t="shared" si="87"/>
        <v>0.995705993844889+0.133118853224721i</v>
      </c>
      <c r="N175" s="338">
        <f t="shared" si="108"/>
        <v>1.004565107527881</v>
      </c>
      <c r="O175" s="339">
        <f t="shared" si="109"/>
        <v>0.13290483260989319</v>
      </c>
      <c r="P175" s="732" t="str">
        <f t="shared" si="101"/>
        <v>0.00885649249423244-0.292478461485502i</v>
      </c>
      <c r="Q175" s="337">
        <f t="shared" si="110"/>
        <v>0.29261252176252922</v>
      </c>
      <c r="R175" s="339">
        <f t="shared" si="111"/>
        <v>-1.5405247402568634</v>
      </c>
      <c r="S175" s="731" t="str">
        <f t="shared" si="88"/>
        <v>6000</v>
      </c>
      <c r="T175" s="337" t="str">
        <f t="shared" si="89"/>
        <v>1+62376.9064732589i</v>
      </c>
      <c r="U175" s="346">
        <f t="shared" si="112"/>
        <v>62376.906481274687</v>
      </c>
      <c r="V175" s="347">
        <f t="shared" si="113"/>
        <v>1.5707802952207701</v>
      </c>
      <c r="W175" s="340" t="str">
        <f t="shared" si="90"/>
        <v>1+617.593133398603i</v>
      </c>
      <c r="X175" s="337">
        <f t="shared" si="114"/>
        <v>617.59394299256576</v>
      </c>
      <c r="Y175" s="339">
        <f t="shared" si="115"/>
        <v>1.5691771392230172</v>
      </c>
      <c r="Z175" s="337" t="str">
        <f t="shared" si="91"/>
        <v>1+6.22129733398603i</v>
      </c>
      <c r="AA175" s="346">
        <f t="shared" si="116"/>
        <v>6.3011539036799986</v>
      </c>
      <c r="AB175" s="347">
        <f t="shared" si="117"/>
        <v>1.4114213949975944</v>
      </c>
      <c r="AC175" s="732" t="str">
        <f t="shared" si="118"/>
        <v>1.48127753650264-9.3107050627404i</v>
      </c>
      <c r="AD175" s="337">
        <f t="shared" si="119"/>
        <v>9.4277999504384393</v>
      </c>
      <c r="AE175" s="339">
        <f t="shared" si="120"/>
        <v>-1.4130245509953474</v>
      </c>
      <c r="AF175" s="736" t="str">
        <f t="shared" si="92"/>
        <v>-2.71006176871168-0.515701964413499i</v>
      </c>
      <c r="AG175" s="337">
        <f t="shared" si="121"/>
        <v>8.8140653109815332</v>
      </c>
      <c r="AH175" s="730">
        <f t="shared" si="122"/>
        <v>-169.22590897260724</v>
      </c>
      <c r="AI175" s="360">
        <f t="shared" si="93"/>
        <v>10.774091027392757</v>
      </c>
      <c r="AL175" s="337">
        <f t="shared" si="94"/>
        <v>19.488207172119015</v>
      </c>
      <c r="AM175" s="730">
        <f t="shared" si="95"/>
        <v>-80.960343120401575</v>
      </c>
      <c r="AN175" s="351"/>
      <c r="AO175" s="337">
        <f t="shared" si="96"/>
        <v>42.854980623904659</v>
      </c>
      <c r="AP175" s="730">
        <f t="shared" si="97"/>
        <v>-88.265565852205668</v>
      </c>
      <c r="AS175" s="351"/>
      <c r="AT175" s="351"/>
      <c r="AV175" s="405">
        <f t="shared" si="98"/>
        <v>0</v>
      </c>
      <c r="AW175" s="405">
        <f t="shared" si="123"/>
        <v>0</v>
      </c>
      <c r="AX175" s="405">
        <f t="shared" si="99"/>
        <v>0</v>
      </c>
      <c r="AY175" s="405">
        <f t="shared" si="100"/>
        <v>0</v>
      </c>
    </row>
    <row r="176" spans="2:51" ht="13.5" thickBot="1" x14ac:dyDescent="0.25">
      <c r="B176" s="345">
        <v>9886.2000000000007</v>
      </c>
      <c r="C176" s="728" t="str">
        <f t="shared" si="83"/>
        <v>2.2271548443541</v>
      </c>
      <c r="D176" s="728" t="str">
        <f t="shared" si="84"/>
        <v>1+7.55754723436706i</v>
      </c>
      <c r="E176" s="337">
        <f t="shared" si="102"/>
        <v>7.6234191934911468</v>
      </c>
      <c r="F176" s="338">
        <f t="shared" si="103"/>
        <v>1.4392424646569231</v>
      </c>
      <c r="G176" s="338" t="str">
        <f t="shared" si="85"/>
        <v>1+0.0310584132919194i</v>
      </c>
      <c r="H176" s="337">
        <f t="shared" si="104"/>
        <v>1.0004821962614885</v>
      </c>
      <c r="I176" s="338">
        <f t="shared" si="105"/>
        <v>3.1048432493570862E-2</v>
      </c>
      <c r="J176" s="340">
        <f t="shared" si="86"/>
        <v>1</v>
      </c>
      <c r="K176" s="338">
        <f t="shared" si="106"/>
        <v>1</v>
      </c>
      <c r="L176" s="339">
        <f t="shared" si="107"/>
        <v>0</v>
      </c>
      <c r="M176" s="731" t="str">
        <f t="shared" si="87"/>
        <v>0.995656135536+0.133889453648808i</v>
      </c>
      <c r="N176" s="338">
        <f t="shared" si="108"/>
        <v>1.0046180995925058</v>
      </c>
      <c r="O176" s="339">
        <f t="shared" si="109"/>
        <v>0.13367170273334864</v>
      </c>
      <c r="P176" s="732" t="str">
        <f t="shared" si="101"/>
        <v>0.00841599972566586-0.290821965164812i</v>
      </c>
      <c r="Q176" s="337">
        <f t="shared" si="110"/>
        <v>0.29094371358341042</v>
      </c>
      <c r="R176" s="339">
        <f t="shared" si="111"/>
        <v>-1.5418657348967009</v>
      </c>
      <c r="S176" s="731" t="str">
        <f t="shared" si="88"/>
        <v>6000</v>
      </c>
      <c r="T176" s="337" t="str">
        <f t="shared" si="89"/>
        <v>1+62737.9948496772i</v>
      </c>
      <c r="U176" s="346">
        <f t="shared" si="112"/>
        <v>62737.99485764686</v>
      </c>
      <c r="V176" s="347">
        <f t="shared" si="113"/>
        <v>1.5707803874904558</v>
      </c>
      <c r="W176" s="340" t="str">
        <f t="shared" si="90"/>
        <v>1+621.168265838388i</v>
      </c>
      <c r="X176" s="337">
        <f t="shared" si="114"/>
        <v>621.16907077274084</v>
      </c>
      <c r="Y176" s="339">
        <f t="shared" si="115"/>
        <v>1.5691864584369919</v>
      </c>
      <c r="Z176" s="337" t="str">
        <f t="shared" si="91"/>
        <v>1+6.2573112737685i</v>
      </c>
      <c r="AA176" s="346">
        <f t="shared" si="116"/>
        <v>6.3367140046581216</v>
      </c>
      <c r="AB176" s="347">
        <f t="shared" si="117"/>
        <v>1.4123233533802406</v>
      </c>
      <c r="AC176" s="732" t="str">
        <f t="shared" si="118"/>
        <v>1.46469904417853-9.25976677907238i</v>
      </c>
      <c r="AD176" s="337">
        <f t="shared" si="119"/>
        <v>9.3748932843435604</v>
      </c>
      <c r="AE176" s="339">
        <f t="shared" si="120"/>
        <v>-1.4139172824337043</v>
      </c>
      <c r="AF176" s="736" t="str">
        <f t="shared" si="92"/>
        <v>-2.68061666490368-0.503896849075425i</v>
      </c>
      <c r="AG176" s="337">
        <f t="shared" si="121"/>
        <v>8.7155062126464973</v>
      </c>
      <c r="AH176" s="730">
        <f t="shared" si="122"/>
        <v>-169.35389204947606</v>
      </c>
      <c r="AI176" s="360">
        <f t="shared" si="93"/>
        <v>10.646107950523941</v>
      </c>
      <c r="AL176" s="337">
        <f t="shared" si="94"/>
        <v>19.439326655921519</v>
      </c>
      <c r="AM176" s="730">
        <f t="shared" si="95"/>
        <v>-81.01149286405807</v>
      </c>
      <c r="AN176" s="351"/>
      <c r="AO176" s="337">
        <f t="shared" si="96"/>
        <v>42.805302041767099</v>
      </c>
      <c r="AP176" s="730">
        <f t="shared" si="97"/>
        <v>-88.342399185418003</v>
      </c>
      <c r="AS176" s="351"/>
      <c r="AT176" s="351"/>
      <c r="AV176" s="405">
        <f t="shared" si="98"/>
        <v>0</v>
      </c>
      <c r="AW176" s="405">
        <f t="shared" si="123"/>
        <v>0</v>
      </c>
      <c r="AX176" s="405">
        <f t="shared" si="99"/>
        <v>0</v>
      </c>
      <c r="AY176" s="405">
        <f t="shared" si="100"/>
        <v>0</v>
      </c>
    </row>
    <row r="177" spans="2:51" ht="13.5" thickBot="1" x14ac:dyDescent="0.25">
      <c r="B177" s="345">
        <v>9943.1</v>
      </c>
      <c r="C177" s="728" t="str">
        <f t="shared" si="83"/>
        <v>2.2271548443541</v>
      </c>
      <c r="D177" s="728" t="str">
        <f t="shared" si="84"/>
        <v>1+7.60104467905111i</v>
      </c>
      <c r="E177" s="337">
        <f t="shared" si="102"/>
        <v>7.6665429114387145</v>
      </c>
      <c r="F177" s="338">
        <f t="shared" si="103"/>
        <v>1.439986707063839</v>
      </c>
      <c r="G177" s="338" t="str">
        <f t="shared" si="85"/>
        <v>1+0.0312371699139086i</v>
      </c>
      <c r="H177" s="337">
        <f t="shared" si="104"/>
        <v>1.0004877614365058</v>
      </c>
      <c r="I177" s="338">
        <f t="shared" si="105"/>
        <v>3.1227015856200673E-2</v>
      </c>
      <c r="J177" s="340">
        <f t="shared" si="86"/>
        <v>1</v>
      </c>
      <c r="K177" s="338">
        <f t="shared" si="106"/>
        <v>1</v>
      </c>
      <c r="L177" s="339">
        <f t="shared" si="107"/>
        <v>0</v>
      </c>
      <c r="M177" s="731" t="str">
        <f t="shared" si="87"/>
        <v>0.995605989439556+0.134660054072896i</v>
      </c>
      <c r="N177" s="338">
        <f t="shared" si="108"/>
        <v>1.0046713972094721</v>
      </c>
      <c r="O177" s="339">
        <f t="shared" si="109"/>
        <v>0.13443852990167274</v>
      </c>
      <c r="P177" s="732" t="str">
        <f t="shared" si="101"/>
        <v>0.00798293743695693-0.289183274958267i</v>
      </c>
      <c r="Q177" s="337">
        <f t="shared" si="110"/>
        <v>0.28929343892613785</v>
      </c>
      <c r="R177" s="339">
        <f t="shared" si="111"/>
        <v>-1.5431982211093112</v>
      </c>
      <c r="S177" s="731" t="str">
        <f t="shared" si="88"/>
        <v>6000</v>
      </c>
      <c r="T177" s="337" t="str">
        <f t="shared" si="89"/>
        <v>1+63099.0832260955i</v>
      </c>
      <c r="U177" s="346">
        <f t="shared" si="112"/>
        <v>63099.083234019541</v>
      </c>
      <c r="V177" s="347">
        <f t="shared" si="113"/>
        <v>1.5707804787041038</v>
      </c>
      <c r="W177" s="340" t="str">
        <f t="shared" si="90"/>
        <v>1+624.743398278173i</v>
      </c>
      <c r="X177" s="337">
        <f t="shared" si="114"/>
        <v>624.7441986062455</v>
      </c>
      <c r="Y177" s="339">
        <f t="shared" si="115"/>
        <v>1.5691956709916934</v>
      </c>
      <c r="Z177" s="337" t="str">
        <f t="shared" si="91"/>
        <v>1+6.29332521355096i</v>
      </c>
      <c r="AA177" s="346">
        <f t="shared" si="116"/>
        <v>6.3722792031985094</v>
      </c>
      <c r="AB177" s="347">
        <f t="shared" si="117"/>
        <v>1.4132152443952806</v>
      </c>
      <c r="AC177" s="732" t="str">
        <f t="shared" si="118"/>
        <v>1.44839500531246-9.2093678801157i</v>
      </c>
      <c r="AD177" s="337">
        <f t="shared" si="119"/>
        <v>9.3225696480488036</v>
      </c>
      <c r="AE177" s="339">
        <f t="shared" si="120"/>
        <v>-1.4148000521076913</v>
      </c>
      <c r="AF177" s="736" t="str">
        <f t="shared" si="92"/>
        <v>-2.65163271715592-0.492369418690338i</v>
      </c>
      <c r="AG177" s="337">
        <f t="shared" si="121"/>
        <v>8.6174844146400549</v>
      </c>
      <c r="AH177" s="730">
        <f t="shared" si="122"/>
        <v>-169.48081686231961</v>
      </c>
      <c r="AI177" s="360">
        <f t="shared" si="93"/>
        <v>10.519183137680386</v>
      </c>
      <c r="AL177" s="337">
        <f t="shared" si="94"/>
        <v>19.390712732381097</v>
      </c>
      <c r="AM177" s="730">
        <f t="shared" si="95"/>
        <v>-81.062071840659669</v>
      </c>
      <c r="AN177" s="351"/>
      <c r="AO177" s="337">
        <f t="shared" si="96"/>
        <v>42.755894167301101</v>
      </c>
      <c r="AP177" s="730">
        <f t="shared" si="97"/>
        <v>-88.418745021659959</v>
      </c>
      <c r="AS177" s="351"/>
      <c r="AT177" s="351"/>
      <c r="AV177" s="405">
        <f t="shared" si="98"/>
        <v>0</v>
      </c>
      <c r="AW177" s="405">
        <f t="shared" si="123"/>
        <v>0</v>
      </c>
      <c r="AX177" s="405">
        <f t="shared" si="99"/>
        <v>0</v>
      </c>
      <c r="AY177" s="405">
        <f t="shared" si="100"/>
        <v>0</v>
      </c>
    </row>
    <row r="178" spans="2:51" ht="13.5" thickBot="1" x14ac:dyDescent="0.25">
      <c r="B178" s="345">
        <v>10000</v>
      </c>
      <c r="C178" s="728" t="str">
        <f t="shared" si="83"/>
        <v>2.2271548443541</v>
      </c>
      <c r="D178" s="728" t="str">
        <f t="shared" si="84"/>
        <v>1+7.64454212373517i</v>
      </c>
      <c r="E178" s="337">
        <f t="shared" si="102"/>
        <v>7.7096708283532713</v>
      </c>
      <c r="F178" s="338">
        <f t="shared" si="103"/>
        <v>1.4407226232870034</v>
      </c>
      <c r="G178" s="338" t="str">
        <f t="shared" si="85"/>
        <v>1+0.0314159265358979i</v>
      </c>
      <c r="H178" s="337">
        <f t="shared" si="104"/>
        <v>1.0004933585187405</v>
      </c>
      <c r="I178" s="338">
        <f t="shared" si="105"/>
        <v>3.1405597226420098E-2</v>
      </c>
      <c r="J178" s="340">
        <f t="shared" si="86"/>
        <v>1</v>
      </c>
      <c r="K178" s="338">
        <f t="shared" si="106"/>
        <v>1</v>
      </c>
      <c r="L178" s="339">
        <f t="shared" si="107"/>
        <v>0</v>
      </c>
      <c r="M178" s="731" t="str">
        <f t="shared" si="87"/>
        <v>0.995555555555556+0.135430654496984i</v>
      </c>
      <c r="N178" s="338">
        <f t="shared" si="108"/>
        <v>1.0047250003732431</v>
      </c>
      <c r="O178" s="339">
        <f t="shared" si="109"/>
        <v>0.13520531387297177</v>
      </c>
      <c r="P178" s="732" t="str">
        <f t="shared" si="101"/>
        <v>0.00755714209264016-0.287562108396134i</v>
      </c>
      <c r="Q178" s="337">
        <f t="shared" si="110"/>
        <v>0.28766139223371334</v>
      </c>
      <c r="R178" s="339">
        <f t="shared" si="111"/>
        <v>-1.544522339933555</v>
      </c>
      <c r="S178" s="731" t="str">
        <f t="shared" si="88"/>
        <v>6000</v>
      </c>
      <c r="T178" s="337" t="str">
        <f t="shared" si="89"/>
        <v>1+63460.1716025139i</v>
      </c>
      <c r="U178" s="346">
        <f t="shared" si="112"/>
        <v>63460.171610392848</v>
      </c>
      <c r="V178" s="347">
        <f t="shared" si="113"/>
        <v>1.5707805688797403</v>
      </c>
      <c r="W178" s="340" t="str">
        <f t="shared" si="90"/>
        <v>1+628.318530717959i</v>
      </c>
      <c r="X178" s="337">
        <f t="shared" si="114"/>
        <v>628.31932649217049</v>
      </c>
      <c r="Y178" s="339">
        <f t="shared" si="115"/>
        <v>1.5692047787077896</v>
      </c>
      <c r="Z178" s="337" t="str">
        <f t="shared" si="91"/>
        <v>1+6.32933915333344i</v>
      </c>
      <c r="AA178" s="346">
        <f t="shared" si="116"/>
        <v>6.4078494144228824</v>
      </c>
      <c r="AB178" s="347">
        <f t="shared" si="117"/>
        <v>1.4140972342648259</v>
      </c>
      <c r="AC178" s="732" t="str">
        <f t="shared" si="118"/>
        <v>1.43235944631599-9.1595001023655i</v>
      </c>
      <c r="AD178" s="337">
        <f t="shared" si="119"/>
        <v>9.2708195812821348</v>
      </c>
      <c r="AE178" s="339">
        <f t="shared" si="120"/>
        <v>-1.4156730244367768</v>
      </c>
      <c r="AF178" s="736" t="str">
        <f t="shared" si="92"/>
        <v>-2.62310061742728-0.481111946134873i</v>
      </c>
      <c r="AG178" s="337">
        <f t="shared" si="121"/>
        <v>8.5199941484457291</v>
      </c>
      <c r="AH178" s="730">
        <f t="shared" si="122"/>
        <v>-169.6067009126109</v>
      </c>
      <c r="AI178" s="360">
        <f t="shared" si="93"/>
        <v>10.393299087389096</v>
      </c>
      <c r="AL178" s="337">
        <f t="shared" si="94"/>
        <v>19.342362587732495</v>
      </c>
      <c r="AM178" s="730">
        <f t="shared" si="95"/>
        <v>-81.112089470747961</v>
      </c>
      <c r="AN178" s="351"/>
      <c r="AO178" s="337">
        <f t="shared" si="96"/>
        <v>42.706754045755346</v>
      </c>
      <c r="AP178" s="730">
        <f t="shared" si="97"/>
        <v>-88.494611441862943</v>
      </c>
      <c r="AS178" s="351"/>
      <c r="AT178" s="351"/>
      <c r="AV178" s="405">
        <f t="shared" si="98"/>
        <v>0</v>
      </c>
      <c r="AW178" s="405">
        <f t="shared" si="123"/>
        <v>0</v>
      </c>
      <c r="AX178" s="405">
        <f t="shared" si="99"/>
        <v>0</v>
      </c>
      <c r="AY178" s="405">
        <f t="shared" si="100"/>
        <v>0</v>
      </c>
    </row>
    <row r="179" spans="2:51" ht="13.5" thickBot="1" x14ac:dyDescent="0.25">
      <c r="B179" s="345">
        <v>10058.25</v>
      </c>
      <c r="C179" s="728" t="str">
        <f t="shared" si="83"/>
        <v>2.2271548443541</v>
      </c>
      <c r="D179" s="728" t="str">
        <f t="shared" si="84"/>
        <v>1+7.68907158160592i</v>
      </c>
      <c r="E179" s="337">
        <f t="shared" si="102"/>
        <v>7.7538262675313891</v>
      </c>
      <c r="F179" s="338">
        <f t="shared" si="103"/>
        <v>1.4414675191223163</v>
      </c>
      <c r="G179" s="338" t="str">
        <f t="shared" si="85"/>
        <v>1+0.0315989243079696i</v>
      </c>
      <c r="H179" s="337">
        <f t="shared" si="104"/>
        <v>1.0004991214476007</v>
      </c>
      <c r="I179" s="338">
        <f t="shared" si="105"/>
        <v>3.1588413512991464E-2</v>
      </c>
      <c r="J179" s="340">
        <f t="shared" si="86"/>
        <v>1</v>
      </c>
      <c r="K179" s="338">
        <f t="shared" si="106"/>
        <v>1</v>
      </c>
      <c r="L179" s="339">
        <f t="shared" si="107"/>
        <v>0</v>
      </c>
      <c r="M179" s="731" t="str">
        <f t="shared" si="87"/>
        <v>0.995503626975+0.136219538059429i</v>
      </c>
      <c r="N179" s="338">
        <f t="shared" si="108"/>
        <v>1.0047801918178443</v>
      </c>
      <c r="O179" s="339">
        <f t="shared" si="109"/>
        <v>0.135990245435132</v>
      </c>
      <c r="P179" s="732" t="str">
        <f t="shared" si="101"/>
        <v>0.00712860594851684-0.285920341713933i</v>
      </c>
      <c r="Q179" s="337">
        <f t="shared" si="110"/>
        <v>0.28600919360849475</v>
      </c>
      <c r="R179" s="339">
        <f t="shared" si="111"/>
        <v>-1.5458693510444568</v>
      </c>
      <c r="S179" s="731" t="str">
        <f t="shared" si="88"/>
        <v>6000</v>
      </c>
      <c r="T179" s="337" t="str">
        <f t="shared" si="89"/>
        <v>1+63829.8271020985i</v>
      </c>
      <c r="U179" s="346">
        <f t="shared" si="112"/>
        <v>63829.827109931823</v>
      </c>
      <c r="V179" s="347">
        <f t="shared" si="113"/>
        <v>1.5707806601380165</v>
      </c>
      <c r="W179" s="340" t="str">
        <f t="shared" si="90"/>
        <v>1+631.978486159391i</v>
      </c>
      <c r="X179" s="337">
        <f t="shared" si="114"/>
        <v>631.97927732506821</v>
      </c>
      <c r="Y179" s="339">
        <f t="shared" si="115"/>
        <v>1.5692139957704871</v>
      </c>
      <c r="Z179" s="337" t="str">
        <f t="shared" si="91"/>
        <v>1+6.3662075539016i</v>
      </c>
      <c r="AA179" s="346">
        <f t="shared" si="116"/>
        <v>6.4442686644299512</v>
      </c>
      <c r="AB179" s="347">
        <f t="shared" si="117"/>
        <v>1.4149900635354999</v>
      </c>
      <c r="AC179" s="732" t="str">
        <f t="shared" si="118"/>
        <v>1.41621547205629-9.10899088493388i</v>
      </c>
      <c r="AD179" s="337">
        <f t="shared" si="119"/>
        <v>9.2184261783180812</v>
      </c>
      <c r="AE179" s="339">
        <f t="shared" si="120"/>
        <v>-1.4165567279030289</v>
      </c>
      <c r="AF179" s="736" t="str">
        <f t="shared" si="92"/>
        <v>-2.59435014445091-0.469859218318219i</v>
      </c>
      <c r="AG179" s="337">
        <f t="shared" si="121"/>
        <v>8.4207355138229971</v>
      </c>
      <c r="AH179" s="730">
        <f t="shared" si="122"/>
        <v>-169.73451144318011</v>
      </c>
      <c r="AI179" s="360">
        <f t="shared" si="93"/>
        <v>10.265488556819889</v>
      </c>
      <c r="AL179" s="337">
        <f t="shared" si="94"/>
        <v>19.293135643601222</v>
      </c>
      <c r="AM179" s="730">
        <f t="shared" si="95"/>
        <v>-81.162721949705286</v>
      </c>
      <c r="AN179" s="351"/>
      <c r="AO179" s="337">
        <f t="shared" si="96"/>
        <v>42.656722355263895</v>
      </c>
      <c r="AP179" s="730">
        <f t="shared" si="97"/>
        <v>-88.571789493474853</v>
      </c>
      <c r="AS179" s="351"/>
      <c r="AT179" s="351"/>
      <c r="AV179" s="405">
        <f t="shared" si="98"/>
        <v>0</v>
      </c>
      <c r="AW179" s="405">
        <f t="shared" si="123"/>
        <v>0</v>
      </c>
      <c r="AX179" s="405">
        <f t="shared" si="99"/>
        <v>0</v>
      </c>
      <c r="AY179" s="405">
        <f t="shared" si="100"/>
        <v>0</v>
      </c>
    </row>
    <row r="180" spans="2:51" ht="13.5" thickBot="1" x14ac:dyDescent="0.25">
      <c r="B180" s="345">
        <v>10116.5</v>
      </c>
      <c r="C180" s="728" t="str">
        <f t="shared" si="83"/>
        <v>2.2271548443541</v>
      </c>
      <c r="D180" s="728" t="str">
        <f t="shared" si="84"/>
        <v>1+7.73360103947668i</v>
      </c>
      <c r="E180" s="337">
        <f t="shared" si="102"/>
        <v>7.7979859603486581</v>
      </c>
      <c r="F180" s="338">
        <f t="shared" si="103"/>
        <v>1.4422039787298249</v>
      </c>
      <c r="G180" s="338" t="str">
        <f t="shared" si="85"/>
        <v>1+0.0317819220800412i</v>
      </c>
      <c r="H180" s="337">
        <f t="shared" si="104"/>
        <v>1.0005049178145513</v>
      </c>
      <c r="I180" s="338">
        <f t="shared" si="105"/>
        <v>3.1771227687401635E-2</v>
      </c>
      <c r="J180" s="340">
        <f t="shared" si="86"/>
        <v>1</v>
      </c>
      <c r="K180" s="338">
        <f t="shared" si="106"/>
        <v>1</v>
      </c>
      <c r="L180" s="339">
        <f t="shared" si="107"/>
        <v>0</v>
      </c>
      <c r="M180" s="731" t="str">
        <f t="shared" si="87"/>
        <v>0.995451396788889+0.137008421621874i</v>
      </c>
      <c r="N180" s="338">
        <f t="shared" si="108"/>
        <v>1.0048357034681179</v>
      </c>
      <c r="O180" s="339">
        <f t="shared" si="109"/>
        <v>0.13677513121344248</v>
      </c>
      <c r="P180" s="732" t="str">
        <f t="shared" si="101"/>
        <v>0.00670735297777389-0.284296359483503i</v>
      </c>
      <c r="Q180" s="337">
        <f t="shared" si="110"/>
        <v>0.28437547116363887</v>
      </c>
      <c r="R180" s="339">
        <f t="shared" si="111"/>
        <v>-1.5472078822558657</v>
      </c>
      <c r="S180" s="731" t="str">
        <f t="shared" si="88"/>
        <v>6000</v>
      </c>
      <c r="T180" s="337" t="str">
        <f t="shared" si="89"/>
        <v>1+64199.4826016831i</v>
      </c>
      <c r="U180" s="346">
        <f t="shared" si="112"/>
        <v>64199.482609471313</v>
      </c>
      <c r="V180" s="347">
        <f t="shared" si="113"/>
        <v>1.5707807503453772</v>
      </c>
      <c r="W180" s="340" t="str">
        <f t="shared" si="90"/>
        <v>1+635.638441600823i</v>
      </c>
      <c r="X180" s="337">
        <f t="shared" si="114"/>
        <v>635.63922821103699</v>
      </c>
      <c r="Y180" s="339">
        <f t="shared" si="115"/>
        <v>1.5692231066912254</v>
      </c>
      <c r="Z180" s="337" t="str">
        <f t="shared" si="91"/>
        <v>1+6.40307595446977i</v>
      </c>
      <c r="AA180" s="346">
        <f t="shared" si="116"/>
        <v>6.4806929937090025</v>
      </c>
      <c r="AB180" s="347">
        <f t="shared" si="117"/>
        <v>1.415872857321262</v>
      </c>
      <c r="AC180" s="732" t="str">
        <f t="shared" si="118"/>
        <v>1.40034070812559-9.05902127973096i</v>
      </c>
      <c r="AD180" s="337">
        <f t="shared" si="119"/>
        <v>9.1666144593002308</v>
      </c>
      <c r="AE180" s="339">
        <f t="shared" si="120"/>
        <v>-1.4174305009754136</v>
      </c>
      <c r="AF180" s="736" t="str">
        <f t="shared" si="92"/>
        <v>-2.56605419089255-0.458873818712976i</v>
      </c>
      <c r="AG180" s="337">
        <f t="shared" si="121"/>
        <v>8.3220219840316929</v>
      </c>
      <c r="AH180" s="730">
        <f t="shared" si="122"/>
        <v>-169.86126714164021</v>
      </c>
      <c r="AI180" s="360">
        <f t="shared" si="93"/>
        <v>10.138732858359788</v>
      </c>
      <c r="AL180" s="337">
        <f t="shared" si="94"/>
        <v>19.244179312897696</v>
      </c>
      <c r="AM180" s="730">
        <f t="shared" si="95"/>
        <v>-81.212785459005119</v>
      </c>
      <c r="AN180" s="351"/>
      <c r="AO180" s="337">
        <f t="shared" si="96"/>
        <v>42.606965156176145</v>
      </c>
      <c r="AP180" s="730">
        <f t="shared" si="97"/>
        <v>-88.648481682635122</v>
      </c>
      <c r="AS180" s="351"/>
      <c r="AT180" s="351"/>
      <c r="AV180" s="405">
        <f t="shared" si="98"/>
        <v>0</v>
      </c>
      <c r="AW180" s="405">
        <f t="shared" si="123"/>
        <v>0</v>
      </c>
      <c r="AX180" s="405">
        <f t="shared" si="99"/>
        <v>0</v>
      </c>
      <c r="AY180" s="405">
        <f t="shared" si="100"/>
        <v>0</v>
      </c>
    </row>
    <row r="181" spans="2:51" ht="13.5" thickBot="1" x14ac:dyDescent="0.25">
      <c r="B181" s="345">
        <v>10174.75</v>
      </c>
      <c r="C181" s="728" t="str">
        <f t="shared" si="83"/>
        <v>2.2271548443541</v>
      </c>
      <c r="D181" s="728" t="str">
        <f t="shared" si="84"/>
        <v>1+7.77813049734744i</v>
      </c>
      <c r="E181" s="337">
        <f t="shared" si="102"/>
        <v>7.8421498349474508</v>
      </c>
      <c r="F181" s="338">
        <f t="shared" si="103"/>
        <v>1.44293214383229</v>
      </c>
      <c r="G181" s="338" t="str">
        <f t="shared" si="85"/>
        <v>1+0.0319649198521127i</v>
      </c>
      <c r="H181" s="337">
        <f t="shared" si="104"/>
        <v>1.0005107476190109</v>
      </c>
      <c r="I181" s="338">
        <f t="shared" si="105"/>
        <v>3.1954039737467764E-2</v>
      </c>
      <c r="J181" s="340">
        <f t="shared" si="86"/>
        <v>1</v>
      </c>
      <c r="K181" s="338">
        <f t="shared" si="106"/>
        <v>1</v>
      </c>
      <c r="L181" s="339">
        <f t="shared" si="107"/>
        <v>0</v>
      </c>
      <c r="M181" s="731" t="str">
        <f t="shared" si="87"/>
        <v>0.995398864997222+0.137797305184319i</v>
      </c>
      <c r="N181" s="338">
        <f t="shared" si="108"/>
        <v>1.0048915353180254</v>
      </c>
      <c r="O181" s="339">
        <f t="shared" si="109"/>
        <v>0.13755997094867869</v>
      </c>
      <c r="P181" s="732" t="str">
        <f t="shared" si="101"/>
        <v>0.00629322176965497-0.28268987710558i</v>
      </c>
      <c r="Q181" s="337">
        <f t="shared" si="110"/>
        <v>0.28275991805453971</v>
      </c>
      <c r="R181" s="339">
        <f t="shared" si="111"/>
        <v>-1.5485380750435009</v>
      </c>
      <c r="S181" s="731" t="str">
        <f t="shared" si="88"/>
        <v>6000</v>
      </c>
      <c r="T181" s="337" t="str">
        <f t="shared" si="89"/>
        <v>1+64569.1381012678i</v>
      </c>
      <c r="U181" s="346">
        <f t="shared" si="112"/>
        <v>64569.138109011437</v>
      </c>
      <c r="V181" s="347">
        <f t="shared" si="113"/>
        <v>1.5707808395198712</v>
      </c>
      <c r="W181" s="340" t="str">
        <f t="shared" si="90"/>
        <v>1+639.298397042255i</v>
      </c>
      <c r="X181" s="337">
        <f t="shared" si="114"/>
        <v>639.29917914916541</v>
      </c>
      <c r="Y181" s="339">
        <f t="shared" si="115"/>
        <v>1.5692321132929725</v>
      </c>
      <c r="Z181" s="337" t="str">
        <f t="shared" si="91"/>
        <v>1+6.43994435503794i</v>
      </c>
      <c r="AA181" s="346">
        <f t="shared" si="116"/>
        <v>6.5171223170955619</v>
      </c>
      <c r="AB181" s="347">
        <f t="shared" si="117"/>
        <v>1.4167457825231395</v>
      </c>
      <c r="AC181" s="732" t="str">
        <f t="shared" si="118"/>
        <v>1.3847292507665-9.00958293572652i</v>
      </c>
      <c r="AD181" s="337">
        <f t="shared" si="119"/>
        <v>9.1153749113057803</v>
      </c>
      <c r="AE181" s="339">
        <f t="shared" si="120"/>
        <v>-1.418294508750038</v>
      </c>
      <c r="AF181" s="736" t="str">
        <f t="shared" si="92"/>
        <v>-2.53820348460706-0.44814824519031i</v>
      </c>
      <c r="AG181" s="337">
        <f t="shared" si="121"/>
        <v>8.2238476564993128</v>
      </c>
      <c r="AH181" s="730">
        <f t="shared" si="122"/>
        <v>-169.98698557326296</v>
      </c>
      <c r="AI181" s="360">
        <f t="shared" si="93"/>
        <v>10.013014426737044</v>
      </c>
      <c r="AL181" s="337">
        <f t="shared" si="94"/>
        <v>19.195490713934792</v>
      </c>
      <c r="AM181" s="730">
        <f t="shared" si="95"/>
        <v>-81.262289457957593</v>
      </c>
      <c r="AN181" s="351"/>
      <c r="AO181" s="337">
        <f t="shared" si="96"/>
        <v>42.55747942760663</v>
      </c>
      <c r="AP181" s="730">
        <f t="shared" si="97"/>
        <v>-88.724696115305363</v>
      </c>
      <c r="AS181" s="351"/>
      <c r="AT181" s="351"/>
      <c r="AV181" s="405">
        <f t="shared" si="98"/>
        <v>0</v>
      </c>
      <c r="AW181" s="405">
        <f t="shared" si="123"/>
        <v>0</v>
      </c>
      <c r="AX181" s="405">
        <f t="shared" si="99"/>
        <v>0</v>
      </c>
      <c r="AY181" s="405">
        <f t="shared" si="100"/>
        <v>0</v>
      </c>
    </row>
    <row r="182" spans="2:51" ht="13.5" thickBot="1" x14ac:dyDescent="0.25">
      <c r="B182" s="345">
        <v>10233</v>
      </c>
      <c r="C182" s="728" t="str">
        <f t="shared" si="83"/>
        <v>2.2271548443541</v>
      </c>
      <c r="D182" s="728" t="str">
        <f t="shared" si="84"/>
        <v>1+7.82265995521819i</v>
      </c>
      <c r="E182" s="337">
        <f t="shared" si="102"/>
        <v>7.8863178210730425</v>
      </c>
      <c r="F182" s="338">
        <f t="shared" si="103"/>
        <v>1.4436521530131892</v>
      </c>
      <c r="G182" s="338" t="str">
        <f t="shared" si="85"/>
        <v>1+0.0321479176241843i</v>
      </c>
      <c r="H182" s="337">
        <f t="shared" si="104"/>
        <v>1.0005166108603951</v>
      </c>
      <c r="I182" s="338">
        <f t="shared" si="105"/>
        <v>3.2136849651008027E-2</v>
      </c>
      <c r="J182" s="340">
        <f t="shared" si="86"/>
        <v>1</v>
      </c>
      <c r="K182" s="338">
        <f t="shared" si="106"/>
        <v>1</v>
      </c>
      <c r="L182" s="339">
        <f t="shared" si="107"/>
        <v>0</v>
      </c>
      <c r="M182" s="731" t="str">
        <f t="shared" si="87"/>
        <v>0.9953460316+0.138586188746764i</v>
      </c>
      <c r="N182" s="338">
        <f t="shared" si="108"/>
        <v>1.0049476873614973</v>
      </c>
      <c r="O182" s="339">
        <f t="shared" si="109"/>
        <v>0.13834476438171706</v>
      </c>
      <c r="P182" s="732" t="str">
        <f t="shared" si="101"/>
        <v>0.00588605534445651-0.281100615895146i</v>
      </c>
      <c r="Q182" s="337">
        <f t="shared" si="110"/>
        <v>0.28116223413564706</v>
      </c>
      <c r="R182" s="339">
        <f t="shared" si="111"/>
        <v>-1.5498600677438983</v>
      </c>
      <c r="S182" s="731" t="str">
        <f t="shared" si="88"/>
        <v>6000</v>
      </c>
      <c r="T182" s="337" t="str">
        <f t="shared" si="89"/>
        <v>1+64938.7936008524i</v>
      </c>
      <c r="U182" s="346">
        <f t="shared" si="112"/>
        <v>64938.793608551961</v>
      </c>
      <c r="V182" s="347">
        <f t="shared" si="113"/>
        <v>1.5707809276791374</v>
      </c>
      <c r="W182" s="340" t="str">
        <f t="shared" si="90"/>
        <v>1+642.958352483687i</v>
      </c>
      <c r="X182" s="337">
        <f t="shared" si="114"/>
        <v>642.95913013856261</v>
      </c>
      <c r="Y182" s="339">
        <f t="shared" si="115"/>
        <v>1.5692410173571891</v>
      </c>
      <c r="Z182" s="337" t="str">
        <f t="shared" si="91"/>
        <v>1+6.4768127556061i</v>
      </c>
      <c r="AA182" s="346">
        <f t="shared" si="116"/>
        <v>6.5535565513072278</v>
      </c>
      <c r="AB182" s="347">
        <f t="shared" si="117"/>
        <v>1.4176090023915671</v>
      </c>
      <c r="AC182" s="732" t="str">
        <f t="shared" si="118"/>
        <v>1.36937535582385-8.96066766739716i</v>
      </c>
      <c r="AD182" s="337">
        <f t="shared" si="119"/>
        <v>9.0646982250196579</v>
      </c>
      <c r="AE182" s="339">
        <f t="shared" si="120"/>
        <v>-1.4191489127135151</v>
      </c>
      <c r="AF182" s="736" t="str">
        <f t="shared" si="92"/>
        <v>-2.51078898100535-0.437675241727301i</v>
      </c>
      <c r="AG182" s="337">
        <f t="shared" si="121"/>
        <v>8.1262067213477387</v>
      </c>
      <c r="AH182" s="730">
        <f t="shared" si="122"/>
        <v>-170.1116839166493</v>
      </c>
      <c r="AI182" s="360">
        <f t="shared" si="93"/>
        <v>9.888316083350702</v>
      </c>
      <c r="AL182" s="337">
        <f t="shared" si="94"/>
        <v>19.14706700946833</v>
      </c>
      <c r="AM182" s="730">
        <f t="shared" si="95"/>
        <v>-81.311243199064066</v>
      </c>
      <c r="AN182" s="351"/>
      <c r="AO182" s="337">
        <f t="shared" si="96"/>
        <v>42.508262196921507</v>
      </c>
      <c r="AP182" s="730">
        <f t="shared" si="97"/>
        <v>-88.800440717585218</v>
      </c>
      <c r="AS182" s="351"/>
      <c r="AT182" s="351"/>
      <c r="AV182" s="405">
        <f t="shared" si="98"/>
        <v>0</v>
      </c>
      <c r="AW182" s="405">
        <f t="shared" si="123"/>
        <v>0</v>
      </c>
      <c r="AX182" s="405">
        <f t="shared" si="99"/>
        <v>0</v>
      </c>
      <c r="AY182" s="405">
        <f t="shared" si="100"/>
        <v>0</v>
      </c>
    </row>
    <row r="183" spans="2:51" ht="13.5" thickBot="1" x14ac:dyDescent="0.25">
      <c r="B183" s="345">
        <v>10292.5</v>
      </c>
      <c r="C183" s="728" t="str">
        <f t="shared" si="83"/>
        <v>2.2271548443541</v>
      </c>
      <c r="D183" s="728" t="str">
        <f t="shared" si="84"/>
        <v>1+7.86814498085442i</v>
      </c>
      <c r="E183" s="337">
        <f t="shared" si="102"/>
        <v>7.9314377914565144</v>
      </c>
      <c r="F183" s="338">
        <f t="shared" si="103"/>
        <v>1.4443793336139001</v>
      </c>
      <c r="G183" s="338" t="str">
        <f t="shared" si="85"/>
        <v>1+0.032334842387073i</v>
      </c>
      <c r="H183" s="337">
        <f t="shared" si="104"/>
        <v>1.0005226344427181</v>
      </c>
      <c r="I183" s="338">
        <f t="shared" si="105"/>
        <v>3.2323580305610264E-2</v>
      </c>
      <c r="J183" s="340">
        <f t="shared" si="86"/>
        <v>1</v>
      </c>
      <c r="K183" s="338">
        <f t="shared" si="106"/>
        <v>1</v>
      </c>
      <c r="L183" s="339">
        <f t="shared" si="107"/>
        <v>0</v>
      </c>
      <c r="M183" s="731" t="str">
        <f t="shared" si="87"/>
        <v>0.995291753055556+0.139392001141021i</v>
      </c>
      <c r="N183" s="338">
        <f t="shared" si="108"/>
        <v>1.0050053749520449</v>
      </c>
      <c r="O183" s="339">
        <f t="shared" si="109"/>
        <v>0.13914635080294629</v>
      </c>
      <c r="P183" s="732" t="str">
        <f t="shared" si="101"/>
        <v>0.00547718326965658-0.279494746077346i</v>
      </c>
      <c r="Q183" s="337">
        <f t="shared" si="110"/>
        <v>0.27954840836858563</v>
      </c>
      <c r="R183" s="339">
        <f t="shared" si="111"/>
        <v>-1.5512021041112363</v>
      </c>
      <c r="S183" s="731" t="str">
        <f t="shared" si="88"/>
        <v>6000</v>
      </c>
      <c r="T183" s="337" t="str">
        <f t="shared" si="89"/>
        <v>1+65316.3816218874i</v>
      </c>
      <c r="U183" s="346">
        <f t="shared" si="112"/>
        <v>65316.381629542448</v>
      </c>
      <c r="V183" s="347">
        <f t="shared" si="113"/>
        <v>1.5707810167000156</v>
      </c>
      <c r="W183" s="340" t="str">
        <f t="shared" si="90"/>
        <v>1+646.696847741459i</v>
      </c>
      <c r="X183" s="337">
        <f t="shared" si="114"/>
        <v>646.69762090078837</v>
      </c>
      <c r="Y183" s="339">
        <f t="shared" si="115"/>
        <v>1.5692500084442524</v>
      </c>
      <c r="Z183" s="337" t="str">
        <f t="shared" si="91"/>
        <v>1+6.51447232356844i</v>
      </c>
      <c r="AA183" s="346">
        <f t="shared" si="116"/>
        <v>6.5907776213842313</v>
      </c>
      <c r="AB183" s="347">
        <f t="shared" si="117"/>
        <v>1.4184808923555099</v>
      </c>
      <c r="AC183" s="732" t="str">
        <f t="shared" si="118"/>
        <v>1.3539520792033-8.91123440609328i</v>
      </c>
      <c r="AD183" s="337">
        <f t="shared" si="119"/>
        <v>9.0135056927435055</v>
      </c>
      <c r="AE183" s="339">
        <f t="shared" si="120"/>
        <v>-1.4200119006112728</v>
      </c>
      <c r="AF183" s="736" t="str">
        <f t="shared" si="92"/>
        <v>-2.48322735389062-0.427230956578863i</v>
      </c>
      <c r="AG183" s="337">
        <f t="shared" si="121"/>
        <v>8.0270152254293841</v>
      </c>
      <c r="AH183" s="730">
        <f t="shared" si="122"/>
        <v>-170.23802250076321</v>
      </c>
      <c r="AI183" s="360">
        <f t="shared" si="93"/>
        <v>9.7619774992367923</v>
      </c>
      <c r="AL183" s="337">
        <f t="shared" si="94"/>
        <v>19.09787474720812</v>
      </c>
      <c r="AM183" s="730">
        <f t="shared" si="95"/>
        <v>-81.360688763376459</v>
      </c>
      <c r="AN183" s="351"/>
      <c r="AO183" s="337">
        <f t="shared" si="96"/>
        <v>42.458262963263415</v>
      </c>
      <c r="AP183" s="730">
        <f t="shared" si="97"/>
        <v>-88.877333737386763</v>
      </c>
      <c r="AS183" s="351"/>
      <c r="AT183" s="351"/>
      <c r="AV183" s="405">
        <f t="shared" si="98"/>
        <v>0</v>
      </c>
      <c r="AW183" s="405">
        <f t="shared" si="123"/>
        <v>0</v>
      </c>
      <c r="AX183" s="405">
        <f t="shared" si="99"/>
        <v>0</v>
      </c>
      <c r="AY183" s="405">
        <f t="shared" si="100"/>
        <v>0</v>
      </c>
    </row>
    <row r="184" spans="2:51" ht="13.5" thickBot="1" x14ac:dyDescent="0.25">
      <c r="B184" s="345">
        <v>10352</v>
      </c>
      <c r="C184" s="728" t="str">
        <f t="shared" si="83"/>
        <v>2.2271548443541</v>
      </c>
      <c r="D184" s="728" t="str">
        <f t="shared" si="84"/>
        <v>1+7.91363000649064i</v>
      </c>
      <c r="E184" s="337">
        <f t="shared" si="102"/>
        <v>7.9765619084684012</v>
      </c>
      <c r="F184" s="338">
        <f t="shared" si="103"/>
        <v>1.4450982871411164</v>
      </c>
      <c r="G184" s="338" t="str">
        <f t="shared" si="85"/>
        <v>1+0.0325217671499616i</v>
      </c>
      <c r="H184" s="337">
        <f t="shared" si="104"/>
        <v>1.000528692911181</v>
      </c>
      <c r="I184" s="338">
        <f t="shared" si="105"/>
        <v>3.2510308705315259E-2</v>
      </c>
      <c r="J184" s="340">
        <f t="shared" si="86"/>
        <v>1</v>
      </c>
      <c r="K184" s="338">
        <f t="shared" si="106"/>
        <v>1</v>
      </c>
      <c r="L184" s="339">
        <f t="shared" si="107"/>
        <v>0</v>
      </c>
      <c r="M184" s="731" t="str">
        <f t="shared" si="87"/>
        <v>0.995237159822222+0.140197813535278i</v>
      </c>
      <c r="N184" s="338">
        <f t="shared" si="108"/>
        <v>1.0050633966129081</v>
      </c>
      <c r="O184" s="339">
        <f t="shared" si="109"/>
        <v>0.13994788836723335</v>
      </c>
      <c r="P184" s="732" t="str">
        <f t="shared" si="101"/>
        <v>0.00507526053273647-0.277906274909005i</v>
      </c>
      <c r="Q184" s="337">
        <f t="shared" si="110"/>
        <v>0.27795261449260483</v>
      </c>
      <c r="R184" s="339">
        <f t="shared" si="111"/>
        <v>-1.5525358668030345</v>
      </c>
      <c r="S184" s="731" t="str">
        <f t="shared" si="88"/>
        <v>6000</v>
      </c>
      <c r="T184" s="337" t="str">
        <f t="shared" si="89"/>
        <v>1+65693.9696429223i</v>
      </c>
      <c r="U184" s="346">
        <f t="shared" si="112"/>
        <v>65693.969650533356</v>
      </c>
      <c r="V184" s="347">
        <f t="shared" si="113"/>
        <v>1.5707811046975662</v>
      </c>
      <c r="W184" s="340" t="str">
        <f t="shared" si="90"/>
        <v>1+650.435342999231i</v>
      </c>
      <c r="X184" s="337">
        <f t="shared" si="114"/>
        <v>650.43611171469195</v>
      </c>
      <c r="Y184" s="339">
        <f t="shared" si="115"/>
        <v>1.5692588961757499</v>
      </c>
      <c r="Z184" s="337" t="str">
        <f t="shared" si="91"/>
        <v>1+6.55213189153077i</v>
      </c>
      <c r="AA184" s="346">
        <f t="shared" si="116"/>
        <v>6.6280036454436715</v>
      </c>
      <c r="AB184" s="347">
        <f t="shared" si="117"/>
        <v>1.4193429890704039</v>
      </c>
      <c r="AC184" s="732" t="str">
        <f t="shared" si="118"/>
        <v>1.33878591000823-8.86233015785544i</v>
      </c>
      <c r="AD184" s="337">
        <f t="shared" si="119"/>
        <v>8.9628814306377276</v>
      </c>
      <c r="AE184" s="339">
        <f t="shared" si="120"/>
        <v>-1.4208651975922197</v>
      </c>
      <c r="AF184" s="736" t="str">
        <f t="shared" si="92"/>
        <v>-2.45610247389249-0.417035639629293i</v>
      </c>
      <c r="AG184" s="337">
        <f t="shared" si="121"/>
        <v>7.9283682937154314</v>
      </c>
      <c r="AH184" s="730">
        <f t="shared" si="122"/>
        <v>-170.36333178955476</v>
      </c>
      <c r="AI184" s="360">
        <f t="shared" si="93"/>
        <v>9.6366682104452366</v>
      </c>
      <c r="AL184" s="337">
        <f t="shared" si="94"/>
        <v>19.048953024164422</v>
      </c>
      <c r="AM184" s="730">
        <f t="shared" si="95"/>
        <v>-81.409579079055973</v>
      </c>
      <c r="AN184" s="351"/>
      <c r="AO184" s="337">
        <f t="shared" si="96"/>
        <v>42.408537754593141</v>
      </c>
      <c r="AP184" s="730">
        <f t="shared" si="97"/>
        <v>-88.953752710498804</v>
      </c>
      <c r="AS184" s="351"/>
      <c r="AT184" s="351"/>
      <c r="AV184" s="405">
        <f t="shared" si="98"/>
        <v>0</v>
      </c>
      <c r="AW184" s="405">
        <f t="shared" si="123"/>
        <v>0</v>
      </c>
      <c r="AX184" s="405">
        <f t="shared" si="99"/>
        <v>0</v>
      </c>
      <c r="AY184" s="405">
        <f t="shared" si="100"/>
        <v>0</v>
      </c>
    </row>
    <row r="185" spans="2:51" ht="13.5" thickBot="1" x14ac:dyDescent="0.25">
      <c r="B185" s="345">
        <v>10411.5</v>
      </c>
      <c r="C185" s="728" t="str">
        <f t="shared" si="83"/>
        <v>2.2271548443541</v>
      </c>
      <c r="D185" s="728" t="str">
        <f t="shared" si="84"/>
        <v>1+7.95911503212687i</v>
      </c>
      <c r="E185" s="337">
        <f t="shared" si="102"/>
        <v>8.0216901021310907</v>
      </c>
      <c r="F185" s="338">
        <f t="shared" si="103"/>
        <v>1.4458091516961504</v>
      </c>
      <c r="G185" s="338" t="str">
        <f t="shared" si="85"/>
        <v>1+0.0327086919128501i</v>
      </c>
      <c r="H185" s="337">
        <f t="shared" si="104"/>
        <v>1.0005347862651501</v>
      </c>
      <c r="I185" s="338">
        <f t="shared" si="105"/>
        <v>3.2697034837142605E-2</v>
      </c>
      <c r="J185" s="340">
        <f t="shared" si="86"/>
        <v>1</v>
      </c>
      <c r="K185" s="338">
        <f t="shared" si="106"/>
        <v>1</v>
      </c>
      <c r="L185" s="339">
        <f t="shared" si="107"/>
        <v>0</v>
      </c>
      <c r="M185" s="731" t="str">
        <f t="shared" si="87"/>
        <v>0.9951822519+0.141003625929535i</v>
      </c>
      <c r="N185" s="338">
        <f t="shared" si="108"/>
        <v>1.0051217523375122</v>
      </c>
      <c r="O185" s="339">
        <f t="shared" si="109"/>
        <v>0.14074937679874336</v>
      </c>
      <c r="P185" s="732" t="str">
        <f t="shared" si="101"/>
        <v>0.00468013323151418-0.276334923536063i</v>
      </c>
      <c r="Q185" s="337">
        <f t="shared" si="110"/>
        <v>0.27637455312084452</v>
      </c>
      <c r="R185" s="339">
        <f t="shared" si="111"/>
        <v>-1.5538614936577513</v>
      </c>
      <c r="S185" s="731" t="str">
        <f t="shared" si="88"/>
        <v>6000</v>
      </c>
      <c r="T185" s="337" t="str">
        <f t="shared" si="89"/>
        <v>1+66071.5576639573i</v>
      </c>
      <c r="U185" s="346">
        <f t="shared" si="112"/>
        <v>66071.557671524846</v>
      </c>
      <c r="V185" s="347">
        <f t="shared" si="113"/>
        <v>1.5707811916893342</v>
      </c>
      <c r="W185" s="340" t="str">
        <f t="shared" si="90"/>
        <v>1+654.173838257003i</v>
      </c>
      <c r="X185" s="337">
        <f t="shared" si="114"/>
        <v>654.17460257938751</v>
      </c>
      <c r="Y185" s="339">
        <f t="shared" si="115"/>
        <v>1.5692676823236558</v>
      </c>
      <c r="Z185" s="337" t="str">
        <f t="shared" si="91"/>
        <v>1+6.58979145949311i</v>
      </c>
      <c r="AA185" s="346">
        <f t="shared" si="116"/>
        <v>6.6652345404800517</v>
      </c>
      <c r="AB185" s="347">
        <f t="shared" si="117"/>
        <v>1.4201954553543508</v>
      </c>
      <c r="AC185" s="732" t="str">
        <f t="shared" si="118"/>
        <v>1.32387120960128-8.81394670867872i</v>
      </c>
      <c r="AD185" s="337">
        <f t="shared" si="119"/>
        <v>8.9128161409870685</v>
      </c>
      <c r="AE185" s="339">
        <f t="shared" si="120"/>
        <v>-1.4217089647200287</v>
      </c>
      <c r="AF185" s="736" t="str">
        <f t="shared" si="92"/>
        <v>-2.42940539615137-0.407082294368847i</v>
      </c>
      <c r="AG185" s="337">
        <f t="shared" si="121"/>
        <v>7.8302600217246567</v>
      </c>
      <c r="AH185" s="730">
        <f t="shared" si="122"/>
        <v>-170.48762890885459</v>
      </c>
      <c r="AI185" s="360">
        <f t="shared" si="93"/>
        <v>9.5123710911454111</v>
      </c>
      <c r="AL185" s="337">
        <f t="shared" si="94"/>
        <v>19.000298954480115</v>
      </c>
      <c r="AM185" s="730">
        <f t="shared" si="95"/>
        <v>-81.457923374371305</v>
      </c>
      <c r="AN185" s="351"/>
      <c r="AO185" s="337">
        <f t="shared" si="96"/>
        <v>42.359083552286677</v>
      </c>
      <c r="AP185" s="730">
        <f t="shared" si="97"/>
        <v>-89.029705534483284</v>
      </c>
      <c r="AS185" s="351"/>
      <c r="AT185" s="351"/>
      <c r="AV185" s="405">
        <f t="shared" si="98"/>
        <v>0</v>
      </c>
      <c r="AW185" s="405">
        <f t="shared" si="123"/>
        <v>0</v>
      </c>
      <c r="AX185" s="405">
        <f t="shared" si="99"/>
        <v>0</v>
      </c>
      <c r="AY185" s="405">
        <f t="shared" si="100"/>
        <v>0</v>
      </c>
    </row>
    <row r="186" spans="2:51" ht="13.5" thickBot="1" x14ac:dyDescent="0.25">
      <c r="B186" s="345">
        <v>10471</v>
      </c>
      <c r="C186" s="728" t="str">
        <f t="shared" si="83"/>
        <v>2.2271548443541</v>
      </c>
      <c r="D186" s="728" t="str">
        <f t="shared" si="84"/>
        <v>1+8.0046000577631i</v>
      </c>
      <c r="E186" s="337">
        <f t="shared" si="102"/>
        <v>8.0668223040265996</v>
      </c>
      <c r="F186" s="338">
        <f t="shared" si="103"/>
        <v>1.4465120623228427</v>
      </c>
      <c r="G186" s="338" t="str">
        <f t="shared" si="85"/>
        <v>1+0.0328956166757387i</v>
      </c>
      <c r="H186" s="337">
        <f t="shared" si="104"/>
        <v>1.0005409145039883</v>
      </c>
      <c r="I186" s="338">
        <f t="shared" si="105"/>
        <v>3.2883758688113024E-2</v>
      </c>
      <c r="J186" s="340">
        <f t="shared" si="86"/>
        <v>1</v>
      </c>
      <c r="K186" s="338">
        <f t="shared" si="106"/>
        <v>1</v>
      </c>
      <c r="L186" s="339">
        <f t="shared" si="107"/>
        <v>0</v>
      </c>
      <c r="M186" s="731" t="str">
        <f t="shared" si="87"/>
        <v>0.995127029288889+0.141809438323792i</v>
      </c>
      <c r="N186" s="338">
        <f t="shared" si="108"/>
        <v>1.0051804421192441</v>
      </c>
      <c r="O186" s="339">
        <f t="shared" si="109"/>
        <v>0.14155081582175469</v>
      </c>
      <c r="P186" s="732" t="str">
        <f t="shared" si="101"/>
        <v>0.00429165168763926-0.274780418915512i</v>
      </c>
      <c r="Q186" s="337">
        <f t="shared" si="110"/>
        <v>0.27481393140376326</v>
      </c>
      <c r="R186" s="339">
        <f t="shared" si="111"/>
        <v>-1.5551791194564846</v>
      </c>
      <c r="S186" s="731" t="str">
        <f t="shared" si="88"/>
        <v>6000</v>
      </c>
      <c r="T186" s="337" t="str">
        <f t="shared" si="89"/>
        <v>1+66449.1456849923i</v>
      </c>
      <c r="U186" s="346">
        <f t="shared" si="112"/>
        <v>66449.14569251686</v>
      </c>
      <c r="V186" s="347">
        <f t="shared" si="113"/>
        <v>1.5707812776924648</v>
      </c>
      <c r="W186" s="340" t="str">
        <f t="shared" si="90"/>
        <v>1+657.912333514775i</v>
      </c>
      <c r="X186" s="337">
        <f t="shared" si="114"/>
        <v>657.91309349400899</v>
      </c>
      <c r="Y186" s="339">
        <f t="shared" si="115"/>
        <v>1.5692763686196689</v>
      </c>
      <c r="Z186" s="337" t="str">
        <f t="shared" si="91"/>
        <v>1+6.62745102745544i</v>
      </c>
      <c r="AA186" s="346">
        <f t="shared" si="116"/>
        <v>6.7024702253214192</v>
      </c>
      <c r="AB186" s="347">
        <f t="shared" si="117"/>
        <v>1.421038450463997</v>
      </c>
      <c r="AC186" s="732" t="str">
        <f t="shared" si="118"/>
        <v>1.30920249184936-8.76607600824696i</v>
      </c>
      <c r="AD186" s="337">
        <f t="shared" si="119"/>
        <v>8.8633007252957157</v>
      </c>
      <c r="AE186" s="339">
        <f t="shared" si="120"/>
        <v>-1.4225433595367922</v>
      </c>
      <c r="AF186" s="736" t="str">
        <f t="shared" si="92"/>
        <v>-2.40312739670771-0.397364154050366i</v>
      </c>
      <c r="AG186" s="337">
        <f t="shared" si="121"/>
        <v>7.7326845979222689</v>
      </c>
      <c r="AH186" s="730">
        <f t="shared" si="122"/>
        <v>-170.61093060754769</v>
      </c>
      <c r="AI186" s="360">
        <f t="shared" si="93"/>
        <v>9.3890693924523134</v>
      </c>
      <c r="AL186" s="337">
        <f t="shared" si="94"/>
        <v>18.951909696953731</v>
      </c>
      <c r="AM186" s="730">
        <f t="shared" si="95"/>
        <v>-81.505730675819436</v>
      </c>
      <c r="AN186" s="351"/>
      <c r="AO186" s="337">
        <f t="shared" si="96"/>
        <v>42.309897386010668</v>
      </c>
      <c r="AP186" s="730">
        <f t="shared" si="97"/>
        <v>-89.105199931728237</v>
      </c>
      <c r="AS186" s="351"/>
      <c r="AT186" s="351"/>
      <c r="AV186" s="405">
        <f t="shared" si="98"/>
        <v>0</v>
      </c>
      <c r="AW186" s="405">
        <f t="shared" si="123"/>
        <v>0</v>
      </c>
      <c r="AX186" s="405">
        <f t="shared" si="99"/>
        <v>0</v>
      </c>
      <c r="AY186" s="405">
        <f t="shared" si="100"/>
        <v>0</v>
      </c>
    </row>
    <row r="187" spans="2:51" ht="13.5" thickBot="1" x14ac:dyDescent="0.25">
      <c r="B187" s="345">
        <v>10532</v>
      </c>
      <c r="C187" s="728" t="str">
        <f t="shared" si="83"/>
        <v>2.2271548443541</v>
      </c>
      <c r="D187" s="728" t="str">
        <f t="shared" si="84"/>
        <v>1+8.05123176471787i</v>
      </c>
      <c r="E187" s="337">
        <f t="shared" si="102"/>
        <v>8.1130963835764973</v>
      </c>
      <c r="F187" s="338">
        <f t="shared" si="103"/>
        <v>1.44722457439005</v>
      </c>
      <c r="G187" s="338" t="str">
        <f t="shared" si="85"/>
        <v>1+0.0330872538276077i</v>
      </c>
      <c r="H187" s="337">
        <f t="shared" si="104"/>
        <v>1.0005472334507015</v>
      </c>
      <c r="I187" s="338">
        <f t="shared" si="105"/>
        <v>3.3075187481638138E-2</v>
      </c>
      <c r="J187" s="340">
        <f t="shared" si="86"/>
        <v>1</v>
      </c>
      <c r="K187" s="338">
        <f t="shared" si="106"/>
        <v>1</v>
      </c>
      <c r="L187" s="339">
        <f t="shared" si="107"/>
        <v>0</v>
      </c>
      <c r="M187" s="731" t="str">
        <f t="shared" si="87"/>
        <v>0.995070087822222+0.142635565316224i</v>
      </c>
      <c r="N187" s="338">
        <f t="shared" si="108"/>
        <v>1.0052409582640389</v>
      </c>
      <c r="O187" s="339">
        <f t="shared" si="109"/>
        <v>0.14237240760877462</v>
      </c>
      <c r="P187" s="732" t="str">
        <f t="shared" si="101"/>
        <v>0.0039001232829133-0.273203934399849i</v>
      </c>
      <c r="Q187" s="337">
        <f t="shared" si="110"/>
        <v>0.27323177109036739</v>
      </c>
      <c r="R187" s="339">
        <f t="shared" si="111"/>
        <v>-1.5565217945171865</v>
      </c>
      <c r="S187" s="731" t="str">
        <f t="shared" si="88"/>
        <v>6000</v>
      </c>
      <c r="T187" s="337" t="str">
        <f t="shared" si="89"/>
        <v>1+66836.2527317676i</v>
      </c>
      <c r="U187" s="346">
        <f t="shared" si="112"/>
        <v>66836.252739248564</v>
      </c>
      <c r="V187" s="347">
        <f t="shared" si="113"/>
        <v>1.5707813648549456</v>
      </c>
      <c r="W187" s="340" t="str">
        <f t="shared" si="90"/>
        <v>1+661.745076552154i</v>
      </c>
      <c r="X187" s="337">
        <f t="shared" si="114"/>
        <v>661.74583212969026</v>
      </c>
      <c r="Y187" s="339">
        <f t="shared" si="115"/>
        <v>1.5692851720100149</v>
      </c>
      <c r="Z187" s="337" t="str">
        <f t="shared" si="91"/>
        <v>1+6.66605999629077i</v>
      </c>
      <c r="AA187" s="346">
        <f t="shared" si="116"/>
        <v>6.740649514264045</v>
      </c>
      <c r="AB187" s="347">
        <f t="shared" si="117"/>
        <v>1.4218930282823221</v>
      </c>
      <c r="AC187" s="732" t="str">
        <f t="shared" si="118"/>
        <v>1.29441374946994-8.7175225255674i</v>
      </c>
      <c r="AD187" s="337">
        <f t="shared" si="119"/>
        <v>8.8130985435652462</v>
      </c>
      <c r="AE187" s="339">
        <f t="shared" si="120"/>
        <v>-1.4233892211272527</v>
      </c>
      <c r="AF187" s="736" t="str">
        <f t="shared" si="92"/>
        <v>-2.37661307900229-0.387638341667735i</v>
      </c>
      <c r="AG187" s="337">
        <f t="shared" si="121"/>
        <v>7.6331964687911613</v>
      </c>
      <c r="AH187" s="730">
        <f t="shared" si="122"/>
        <v>-170.73632452096899</v>
      </c>
      <c r="AI187" s="360">
        <f t="shared" si="93"/>
        <v>9.2636754790310079</v>
      </c>
      <c r="AL187" s="337">
        <f t="shared" si="94"/>
        <v>18.902572524165627</v>
      </c>
      <c r="AM187" s="730">
        <f t="shared" si="95"/>
        <v>-81.554194975005046</v>
      </c>
      <c r="AN187" s="351"/>
      <c r="AO187" s="337">
        <f t="shared" si="96"/>
        <v>42.259746429667672</v>
      </c>
      <c r="AP187" s="730">
        <f t="shared" si="97"/>
        <v>-89.182129545963946</v>
      </c>
      <c r="AS187" s="351"/>
      <c r="AT187" s="351"/>
      <c r="AV187" s="405">
        <f t="shared" si="98"/>
        <v>0</v>
      </c>
      <c r="AW187" s="405">
        <f t="shared" si="123"/>
        <v>0</v>
      </c>
      <c r="AX187" s="405">
        <f t="shared" si="99"/>
        <v>0</v>
      </c>
      <c r="AY187" s="405">
        <f t="shared" si="100"/>
        <v>0</v>
      </c>
    </row>
    <row r="188" spans="2:51" ht="13.5" thickBot="1" x14ac:dyDescent="0.25">
      <c r="B188" s="345">
        <v>10593</v>
      </c>
      <c r="C188" s="728" t="str">
        <f t="shared" si="83"/>
        <v>2.2271548443541</v>
      </c>
      <c r="D188" s="728" t="str">
        <f t="shared" si="84"/>
        <v>1+8.09786347167267i</v>
      </c>
      <c r="E188" s="337">
        <f t="shared" si="102"/>
        <v>8.1593745352110485</v>
      </c>
      <c r="F188" s="338">
        <f t="shared" si="103"/>
        <v>1.4479290043926027</v>
      </c>
      <c r="G188" s="338" t="str">
        <f t="shared" si="85"/>
        <v>1+0.0332788909794767i</v>
      </c>
      <c r="H188" s="337">
        <f t="shared" si="104"/>
        <v>1.0005535890619872</v>
      </c>
      <c r="I188" s="338">
        <f t="shared" si="105"/>
        <v>3.3266613850230289E-2</v>
      </c>
      <c r="J188" s="340">
        <f t="shared" si="86"/>
        <v>1</v>
      </c>
      <c r="K188" s="338">
        <f t="shared" si="106"/>
        <v>1</v>
      </c>
      <c r="L188" s="339">
        <f t="shared" si="107"/>
        <v>0</v>
      </c>
      <c r="M188" s="731" t="str">
        <f t="shared" si="87"/>
        <v>0.9950128156+0.143461692308655i</v>
      </c>
      <c r="N188" s="338">
        <f t="shared" si="108"/>
        <v>1.0053018255072965</v>
      </c>
      <c r="O188" s="339">
        <f t="shared" si="109"/>
        <v>0.14319394687817086</v>
      </c>
      <c r="P188" s="732" t="str">
        <f t="shared" si="101"/>
        <v>0.00351527436084578-0.271644593661459i</v>
      </c>
      <c r="Q188" s="337">
        <f t="shared" si="110"/>
        <v>0.2716673377852612</v>
      </c>
      <c r="R188" s="339">
        <f t="shared" si="111"/>
        <v>-1.5578563374205434</v>
      </c>
      <c r="S188" s="731" t="str">
        <f t="shared" si="88"/>
        <v>6000</v>
      </c>
      <c r="T188" s="337" t="str">
        <f t="shared" si="89"/>
        <v>1+67223.3597785429i</v>
      </c>
      <c r="U188" s="346">
        <f t="shared" si="112"/>
        <v>67223.359785980792</v>
      </c>
      <c r="V188" s="347">
        <f t="shared" si="113"/>
        <v>1.5707814510135727</v>
      </c>
      <c r="W188" s="340" t="str">
        <f t="shared" si="90"/>
        <v>1+665.577819589534i</v>
      </c>
      <c r="X188" s="337">
        <f t="shared" si="114"/>
        <v>665.57857081606699</v>
      </c>
      <c r="Y188" s="339">
        <f t="shared" si="115"/>
        <v>1.5692938740115965</v>
      </c>
      <c r="Z188" s="337" t="str">
        <f t="shared" si="91"/>
        <v>1+6.70466896512611i</v>
      </c>
      <c r="AA188" s="346">
        <f t="shared" si="116"/>
        <v>6.7788336704720251</v>
      </c>
      <c r="AB188" s="347">
        <f t="shared" si="117"/>
        <v>1.4227379792938621</v>
      </c>
      <c r="AC188" s="732" t="str">
        <f t="shared" si="118"/>
        <v>1.27987234148608-8.669491345434i</v>
      </c>
      <c r="AD188" s="337">
        <f t="shared" si="119"/>
        <v>8.7634555626793755</v>
      </c>
      <c r="AE188" s="339">
        <f t="shared" si="120"/>
        <v>-1.4242255562958384</v>
      </c>
      <c r="AF188" s="736" t="str">
        <f t="shared" si="92"/>
        <v>-2.35052135135477-0.378146042789705i</v>
      </c>
      <c r="AG188" s="337">
        <f t="shared" si="121"/>
        <v>7.5342563138509639</v>
      </c>
      <c r="AH188" s="730">
        <f t="shared" si="122"/>
        <v>-170.86070667232877</v>
      </c>
      <c r="AI188" s="360">
        <f t="shared" si="93"/>
        <v>9.1392933276712256</v>
      </c>
      <c r="AL188" s="337">
        <f t="shared" si="94"/>
        <v>18.853507776064895</v>
      </c>
      <c r="AM188" s="730">
        <f t="shared" si="95"/>
        <v>-81.602113450423374</v>
      </c>
      <c r="AN188" s="351"/>
      <c r="AO188" s="337">
        <f t="shared" si="96"/>
        <v>42.20987102282821</v>
      </c>
      <c r="AP188" s="730">
        <f t="shared" si="97"/>
        <v>-89.258593221905429</v>
      </c>
      <c r="AS188" s="351"/>
      <c r="AT188" s="351"/>
      <c r="AV188" s="405">
        <f t="shared" si="98"/>
        <v>0</v>
      </c>
      <c r="AW188" s="405">
        <f t="shared" si="123"/>
        <v>0</v>
      </c>
      <c r="AX188" s="405">
        <f t="shared" si="99"/>
        <v>0</v>
      </c>
      <c r="AY188" s="405">
        <f t="shared" si="100"/>
        <v>0</v>
      </c>
    </row>
    <row r="189" spans="2:51" ht="13.5" thickBot="1" x14ac:dyDescent="0.25">
      <c r="B189" s="345">
        <v>10654</v>
      </c>
      <c r="C189" s="728" t="str">
        <f t="shared" si="83"/>
        <v>2.2271548443541</v>
      </c>
      <c r="D189" s="728" t="str">
        <f t="shared" si="84"/>
        <v>1+8.14449517862744i</v>
      </c>
      <c r="E189" s="337">
        <f t="shared" si="102"/>
        <v>8.2056566900331411</v>
      </c>
      <c r="F189" s="338">
        <f t="shared" si="103"/>
        <v>1.4486254883805973</v>
      </c>
      <c r="G189" s="338" t="str">
        <f t="shared" si="85"/>
        <v>1+0.0334705281313456i</v>
      </c>
      <c r="H189" s="337">
        <f t="shared" si="104"/>
        <v>1.0005599813371466</v>
      </c>
      <c r="I189" s="338">
        <f t="shared" si="105"/>
        <v>3.3458037779906448E-2</v>
      </c>
      <c r="J189" s="340">
        <f t="shared" si="86"/>
        <v>1</v>
      </c>
      <c r="K189" s="338">
        <f t="shared" si="106"/>
        <v>1</v>
      </c>
      <c r="L189" s="339">
        <f t="shared" si="107"/>
        <v>0</v>
      </c>
      <c r="M189" s="731" t="str">
        <f t="shared" si="87"/>
        <v>0.994955212622222+0.144287819301087i</v>
      </c>
      <c r="N189" s="338">
        <f t="shared" si="108"/>
        <v>1.0053630438417727</v>
      </c>
      <c r="O189" s="339">
        <f t="shared" si="109"/>
        <v>0.14401543333321379</v>
      </c>
      <c r="P189" s="732" t="str">
        <f t="shared" si="101"/>
        <v>0.00313695657417191-0.270102120550316i</v>
      </c>
      <c r="Q189" s="337">
        <f t="shared" si="110"/>
        <v>0.27012033618801401</v>
      </c>
      <c r="R189" s="339">
        <f t="shared" si="111"/>
        <v>-1.5591828839339046</v>
      </c>
      <c r="S189" s="731" t="str">
        <f t="shared" si="88"/>
        <v>6000</v>
      </c>
      <c r="T189" s="337" t="str">
        <f t="shared" si="89"/>
        <v>1+67610.4668253182i</v>
      </c>
      <c r="U189" s="346">
        <f t="shared" si="112"/>
        <v>67610.4668327135</v>
      </c>
      <c r="V189" s="347">
        <f t="shared" si="113"/>
        <v>1.5707815361855888</v>
      </c>
      <c r="W189" s="340" t="str">
        <f t="shared" si="90"/>
        <v>1+669.410562626913i</v>
      </c>
      <c r="X189" s="337">
        <f t="shared" si="114"/>
        <v>669.41130955226652</v>
      </c>
      <c r="Y189" s="339">
        <f t="shared" si="115"/>
        <v>1.5693024763659271</v>
      </c>
      <c r="Z189" s="337" t="str">
        <f t="shared" si="91"/>
        <v>1+6.74327793396144i</v>
      </c>
      <c r="AA189" s="346">
        <f t="shared" si="116"/>
        <v>6.8170226121563697</v>
      </c>
      <c r="AB189" s="347">
        <f t="shared" si="117"/>
        <v>1.4235734640699074</v>
      </c>
      <c r="AC189" s="732" t="str">
        <f t="shared" si="118"/>
        <v>1.26557282401021-8.62197430374498i</v>
      </c>
      <c r="AD189" s="337">
        <f t="shared" si="119"/>
        <v>8.7143625967314389</v>
      </c>
      <c r="AE189" s="339">
        <f t="shared" si="120"/>
        <v>-1.4250525238895679</v>
      </c>
      <c r="AF189" s="736" t="str">
        <f t="shared" si="92"/>
        <v>-2.32484349578148-0.368880662450484i</v>
      </c>
      <c r="AG189" s="337">
        <f t="shared" si="121"/>
        <v>7.4358581628184215</v>
      </c>
      <c r="AH189" s="730">
        <f t="shared" si="122"/>
        <v>-170.98409394178697</v>
      </c>
      <c r="AI189" s="360">
        <f t="shared" si="93"/>
        <v>9.0159060582130337</v>
      </c>
      <c r="AL189" s="337">
        <f t="shared" si="94"/>
        <v>18.804712531511353</v>
      </c>
      <c r="AM189" s="730">
        <f t="shared" si="95"/>
        <v>-81.649495203338162</v>
      </c>
      <c r="AN189" s="351"/>
      <c r="AO189" s="337">
        <f t="shared" si="96"/>
        <v>42.160268116349243</v>
      </c>
      <c r="AP189" s="730">
        <f t="shared" si="97"/>
        <v>-89.334598738448818</v>
      </c>
      <c r="AS189" s="351"/>
      <c r="AT189" s="351"/>
      <c r="AV189" s="405">
        <f t="shared" si="98"/>
        <v>0</v>
      </c>
      <c r="AW189" s="405">
        <f t="shared" si="123"/>
        <v>0</v>
      </c>
      <c r="AX189" s="405">
        <f t="shared" si="99"/>
        <v>0</v>
      </c>
      <c r="AY189" s="405">
        <f t="shared" si="100"/>
        <v>0</v>
      </c>
    </row>
    <row r="190" spans="2:51" ht="13.5" thickBot="1" x14ac:dyDescent="0.25">
      <c r="B190" s="345">
        <v>10715</v>
      </c>
      <c r="C190" s="728" t="str">
        <f t="shared" si="83"/>
        <v>2.2271548443541</v>
      </c>
      <c r="D190" s="728" t="str">
        <f t="shared" si="84"/>
        <v>1+8.19112688558223i</v>
      </c>
      <c r="E190" s="337">
        <f t="shared" si="102"/>
        <v>8.2519427806855301</v>
      </c>
      <c r="F190" s="338">
        <f t="shared" si="103"/>
        <v>1.4493141593828827</v>
      </c>
      <c r="G190" s="338" t="str">
        <f t="shared" si="85"/>
        <v>1+0.0336621652832146i</v>
      </c>
      <c r="H190" s="337">
        <f t="shared" si="104"/>
        <v>1.0005664102754772</v>
      </c>
      <c r="I190" s="338">
        <f t="shared" si="105"/>
        <v>3.3649459256684951E-2</v>
      </c>
      <c r="J190" s="340">
        <f t="shared" si="86"/>
        <v>1</v>
      </c>
      <c r="K190" s="338">
        <f t="shared" si="106"/>
        <v>1</v>
      </c>
      <c r="L190" s="339">
        <f t="shared" si="107"/>
        <v>0</v>
      </c>
      <c r="M190" s="731" t="str">
        <f t="shared" si="87"/>
        <v>0.994897278888889+0.145113946293519i</v>
      </c>
      <c r="N190" s="338">
        <f t="shared" si="108"/>
        <v>1.0054246132601856</v>
      </c>
      <c r="O190" s="339">
        <f t="shared" si="109"/>
        <v>0.14483686667729781</v>
      </c>
      <c r="P190" s="732" t="str">
        <f t="shared" si="101"/>
        <v>0.0027650256603976-0.268576244706719i</v>
      </c>
      <c r="Q190" s="337">
        <f t="shared" si="110"/>
        <v>0.2685904774701926</v>
      </c>
      <c r="R190" s="339">
        <f t="shared" si="111"/>
        <v>-1.5605015668034954</v>
      </c>
      <c r="S190" s="731" t="str">
        <f t="shared" si="88"/>
        <v>6000</v>
      </c>
      <c r="T190" s="337" t="str">
        <f t="shared" si="89"/>
        <v>1+67997.5738720936i</v>
      </c>
      <c r="U190" s="346">
        <f t="shared" si="112"/>
        <v>67997.57387944682</v>
      </c>
      <c r="V190" s="347">
        <f t="shared" si="113"/>
        <v>1.5707816203878444</v>
      </c>
      <c r="W190" s="340" t="str">
        <f t="shared" si="90"/>
        <v>1+673.243305664293i</v>
      </c>
      <c r="X190" s="337">
        <f t="shared" si="114"/>
        <v>673.24404833743949</v>
      </c>
      <c r="Y190" s="339">
        <f t="shared" si="115"/>
        <v>1.5693109807748638</v>
      </c>
      <c r="Z190" s="337" t="str">
        <f t="shared" si="91"/>
        <v>1+6.78188690279678i</v>
      </c>
      <c r="AA190" s="346">
        <f t="shared" si="116"/>
        <v>6.8552162593405095</v>
      </c>
      <c r="AB190" s="347">
        <f t="shared" si="117"/>
        <v>1.4243996396568124</v>
      </c>
      <c r="AC190" s="732" t="str">
        <f t="shared" si="118"/>
        <v>1.251509900977-8.57496340051356i</v>
      </c>
      <c r="AD190" s="337">
        <f t="shared" si="119"/>
        <v>8.6658106575432718</v>
      </c>
      <c r="AE190" s="339">
        <f t="shared" si="120"/>
        <v>-1.425870279269793</v>
      </c>
      <c r="AF190" s="736" t="str">
        <f t="shared" si="92"/>
        <v>-2.29957101161705-0.359835823257071i</v>
      </c>
      <c r="AG190" s="337">
        <f t="shared" si="121"/>
        <v>7.3379961399416826</v>
      </c>
      <c r="AH190" s="730">
        <f t="shared" si="122"/>
        <v>-171.10650283669176</v>
      </c>
      <c r="AI190" s="360">
        <f t="shared" si="93"/>
        <v>8.8934971633082398</v>
      </c>
      <c r="AL190" s="337">
        <f t="shared" si="94"/>
        <v>18.756183914870693</v>
      </c>
      <c r="AM190" s="730">
        <f t="shared" si="95"/>
        <v>-81.696349135299172</v>
      </c>
      <c r="AN190" s="351"/>
      <c r="AO190" s="337">
        <f t="shared" si="96"/>
        <v>42.110934710113114</v>
      </c>
      <c r="AP190" s="730">
        <f t="shared" si="97"/>
        <v>-89.410153701392574</v>
      </c>
      <c r="AS190" s="351"/>
      <c r="AT190" s="351"/>
      <c r="AV190" s="405">
        <f t="shared" si="98"/>
        <v>0</v>
      </c>
      <c r="AW190" s="405">
        <f t="shared" si="123"/>
        <v>0</v>
      </c>
      <c r="AX190" s="405">
        <f t="shared" si="99"/>
        <v>0</v>
      </c>
      <c r="AY190" s="405">
        <f t="shared" si="100"/>
        <v>0</v>
      </c>
    </row>
    <row r="191" spans="2:51" ht="13.5" thickBot="1" x14ac:dyDescent="0.25">
      <c r="B191" s="345">
        <v>10777.5</v>
      </c>
      <c r="C191" s="728" t="str">
        <f t="shared" si="83"/>
        <v>2.2271548443541</v>
      </c>
      <c r="D191" s="728" t="str">
        <f t="shared" si="84"/>
        <v>1+8.23890527385557i</v>
      </c>
      <c r="E191" s="337">
        <f t="shared" si="102"/>
        <v>8.2993710672294387</v>
      </c>
      <c r="F191" s="338">
        <f t="shared" si="103"/>
        <v>1.4500117974020703</v>
      </c>
      <c r="G191" s="338" t="str">
        <f t="shared" si="85"/>
        <v>1+0.033858514824064i</v>
      </c>
      <c r="H191" s="337">
        <f t="shared" si="104"/>
        <v>1.000573035328302</v>
      </c>
      <c r="I191" s="338">
        <f t="shared" si="105"/>
        <v>3.3845585260223382E-2</v>
      </c>
      <c r="J191" s="340">
        <f t="shared" si="86"/>
        <v>1</v>
      </c>
      <c r="K191" s="338">
        <f t="shared" si="106"/>
        <v>1</v>
      </c>
      <c r="L191" s="339">
        <f t="shared" si="107"/>
        <v>0</v>
      </c>
      <c r="M191" s="731" t="str">
        <f t="shared" si="87"/>
        <v>0.9948375775+0.145960387884125i</v>
      </c>
      <c r="N191" s="338">
        <f t="shared" si="108"/>
        <v>1.0054880608129333</v>
      </c>
      <c r="O191" s="339">
        <f t="shared" si="109"/>
        <v>0.14567844380592501</v>
      </c>
      <c r="P191" s="732" t="str">
        <f t="shared" si="101"/>
        <v>0.00239042659251989-0.267029785029603i</v>
      </c>
      <c r="Q191" s="337">
        <f t="shared" si="110"/>
        <v>0.26704048425706955</v>
      </c>
      <c r="R191" s="339">
        <f t="shared" si="111"/>
        <v>-1.5618446559477721</v>
      </c>
      <c r="S191" s="731" t="str">
        <f t="shared" si="88"/>
        <v>6000</v>
      </c>
      <c r="T191" s="337" t="str">
        <f t="shared" si="89"/>
        <v>1+68394.1999446093i</v>
      </c>
      <c r="U191" s="346">
        <f t="shared" si="112"/>
        <v>68394.199951919858</v>
      </c>
      <c r="V191" s="347">
        <f t="shared" si="113"/>
        <v>1.5707817056720421</v>
      </c>
      <c r="W191" s="340" t="str">
        <f t="shared" si="90"/>
        <v>1+677.17029648128i</v>
      </c>
      <c r="X191" s="337">
        <f t="shared" si="114"/>
        <v>677.17103484758172</v>
      </c>
      <c r="Y191" s="339">
        <f t="shared" si="115"/>
        <v>1.5693195944599385</v>
      </c>
      <c r="Z191" s="337" t="str">
        <f t="shared" si="91"/>
        <v>1+6.82144527250511i</v>
      </c>
      <c r="AA191" s="346">
        <f t="shared" si="116"/>
        <v>6.8943538932797983</v>
      </c>
      <c r="AB191" s="347">
        <f t="shared" si="117"/>
        <v>1.4252366362753879</v>
      </c>
      <c r="AC191" s="732" t="str">
        <f t="shared" si="118"/>
        <v>1.23734117364325-8.5273132549839i</v>
      </c>
      <c r="AD191" s="337">
        <f t="shared" si="119"/>
        <v>8.6166167681182717</v>
      </c>
      <c r="AE191" s="339">
        <f t="shared" si="120"/>
        <v>-1.4266987474874919</v>
      </c>
      <c r="AF191" s="736" t="str">
        <f t="shared" si="92"/>
        <v>-2.27408885211294-0.350790863973695i</v>
      </c>
      <c r="AG191" s="337">
        <f t="shared" si="121"/>
        <v>7.2382776925467232</v>
      </c>
      <c r="AH191" s="730">
        <f t="shared" si="122"/>
        <v>-171.23092390850351</v>
      </c>
      <c r="AI191" s="360">
        <f t="shared" si="93"/>
        <v>8.7690760914964869</v>
      </c>
      <c r="AL191" s="337">
        <f t="shared" si="94"/>
        <v>18.706735554646279</v>
      </c>
      <c r="AM191" s="730">
        <f t="shared" si="95"/>
        <v>-81.743816867634052</v>
      </c>
      <c r="AN191" s="351"/>
      <c r="AO191" s="337">
        <f t="shared" si="96"/>
        <v>42.060664622942554</v>
      </c>
      <c r="AP191" s="730">
        <f t="shared" si="97"/>
        <v>-89.487107040869475</v>
      </c>
      <c r="AS191" s="351"/>
      <c r="AT191" s="351"/>
      <c r="AV191" s="405">
        <f t="shared" si="98"/>
        <v>0</v>
      </c>
      <c r="AW191" s="405">
        <f t="shared" si="123"/>
        <v>0</v>
      </c>
      <c r="AX191" s="405">
        <f t="shared" si="99"/>
        <v>0</v>
      </c>
      <c r="AY191" s="405">
        <f t="shared" si="100"/>
        <v>0</v>
      </c>
    </row>
    <row r="192" spans="2:51" ht="13.5" thickBot="1" x14ac:dyDescent="0.25">
      <c r="B192" s="345">
        <v>10840</v>
      </c>
      <c r="C192" s="728" t="str">
        <f t="shared" si="83"/>
        <v>2.2271548443541</v>
      </c>
      <c r="D192" s="728" t="str">
        <f t="shared" si="84"/>
        <v>1+8.28668366212892i</v>
      </c>
      <c r="E192" s="337">
        <f t="shared" si="102"/>
        <v>8.3468033471619769</v>
      </c>
      <c r="F192" s="338">
        <f t="shared" si="103"/>
        <v>1.450701506835248</v>
      </c>
      <c r="G192" s="338" t="str">
        <f t="shared" si="85"/>
        <v>1+0.0340548643649134i</v>
      </c>
      <c r="H192" s="337">
        <f t="shared" si="104"/>
        <v>1.0005796988680675</v>
      </c>
      <c r="I192" s="338">
        <f t="shared" si="105"/>
        <v>3.4041708659033193E-2</v>
      </c>
      <c r="J192" s="340">
        <f t="shared" si="86"/>
        <v>1</v>
      </c>
      <c r="K192" s="338">
        <f t="shared" si="106"/>
        <v>1</v>
      </c>
      <c r="L192" s="339">
        <f t="shared" si="107"/>
        <v>0</v>
      </c>
      <c r="M192" s="731" t="str">
        <f t="shared" si="87"/>
        <v>0.994777528888889+0.146806829474731i</v>
      </c>
      <c r="N192" s="338">
        <f t="shared" si="108"/>
        <v>1.0055518769127265</v>
      </c>
      <c r="O192" s="339">
        <f t="shared" si="109"/>
        <v>0.1465199645494781</v>
      </c>
      <c r="P192" s="732" t="str">
        <f t="shared" si="101"/>
        <v>0.00202223832991538-0.265500192299489i</v>
      </c>
      <c r="Q192" s="337">
        <f t="shared" si="110"/>
        <v>0.26550789359062116</v>
      </c>
      <c r="R192" s="339">
        <f t="shared" si="111"/>
        <v>-1.5631797627256929</v>
      </c>
      <c r="S192" s="731" t="str">
        <f t="shared" si="88"/>
        <v>6000</v>
      </c>
      <c r="T192" s="337" t="str">
        <f t="shared" si="89"/>
        <v>1+68790.826017125i</v>
      </c>
      <c r="U192" s="346">
        <f t="shared" si="112"/>
        <v>68790.826024393406</v>
      </c>
      <c r="V192" s="347">
        <f t="shared" si="113"/>
        <v>1.5707817899727965</v>
      </c>
      <c r="W192" s="340" t="str">
        <f t="shared" si="90"/>
        <v>1+681.097287298267i</v>
      </c>
      <c r="X192" s="337">
        <f t="shared" si="114"/>
        <v>681.09802140738748</v>
      </c>
      <c r="Y192" s="339">
        <f t="shared" si="115"/>
        <v>1.5693281088176794</v>
      </c>
      <c r="Z192" s="337" t="str">
        <f t="shared" si="91"/>
        <v>1+6.86100364221344i</v>
      </c>
      <c r="AA192" s="346">
        <f t="shared" si="116"/>
        <v>6.9334963026215055</v>
      </c>
      <c r="AB192" s="347">
        <f t="shared" si="117"/>
        <v>1.4260641830949428</v>
      </c>
      <c r="AC192" s="732" t="str">
        <f t="shared" si="118"/>
        <v>1.22341001884695-8.48017795422762i</v>
      </c>
      <c r="AD192" s="337">
        <f t="shared" si="119"/>
        <v>8.5679723511215453</v>
      </c>
      <c r="AE192" s="339">
        <f t="shared" si="120"/>
        <v>-1.4275178642500597</v>
      </c>
      <c r="AF192" s="736" t="str">
        <f t="shared" si="92"/>
        <v>-2.24901485094801-0.341964536168529i</v>
      </c>
      <c r="AG192" s="337">
        <f t="shared" si="121"/>
        <v>7.1391098721501489</v>
      </c>
      <c r="AH192" s="730">
        <f t="shared" si="122"/>
        <v>-171.35435182550125</v>
      </c>
      <c r="AI192" s="360">
        <f t="shared" si="93"/>
        <v>8.6456481744987457</v>
      </c>
      <c r="AL192" s="337">
        <f t="shared" si="94"/>
        <v>18.657561127123234</v>
      </c>
      <c r="AM192" s="730">
        <f t="shared" si="95"/>
        <v>-81.790748801057603</v>
      </c>
      <c r="AN192" s="351"/>
      <c r="AO192" s="337">
        <f t="shared" si="96"/>
        <v>42.010671230069065</v>
      </c>
      <c r="AP192" s="730">
        <f t="shared" si="97"/>
        <v>-89.563603024443637</v>
      </c>
      <c r="AS192" s="351"/>
      <c r="AT192" s="351"/>
      <c r="AV192" s="405">
        <f t="shared" si="98"/>
        <v>0</v>
      </c>
      <c r="AW192" s="405">
        <f t="shared" si="123"/>
        <v>0</v>
      </c>
      <c r="AX192" s="405">
        <f t="shared" si="99"/>
        <v>0</v>
      </c>
      <c r="AY192" s="405">
        <f t="shared" si="100"/>
        <v>0</v>
      </c>
    </row>
    <row r="193" spans="2:51" ht="13.5" thickBot="1" x14ac:dyDescent="0.25">
      <c r="B193" s="345">
        <v>10902.5</v>
      </c>
      <c r="C193" s="728" t="str">
        <f t="shared" si="83"/>
        <v>2.2271548443541</v>
      </c>
      <c r="D193" s="728" t="str">
        <f t="shared" si="84"/>
        <v>1+8.33446205040226i</v>
      </c>
      <c r="E193" s="337">
        <f t="shared" si="102"/>
        <v>8.3942395527882958</v>
      </c>
      <c r="F193" s="338">
        <f t="shared" si="103"/>
        <v>1.4513834214349339</v>
      </c>
      <c r="G193" s="338" t="str">
        <f t="shared" si="85"/>
        <v>1+0.0342512139057627i</v>
      </c>
      <c r="H193" s="337">
        <f t="shared" si="104"/>
        <v>1.0005864008940049</v>
      </c>
      <c r="I193" s="338">
        <f t="shared" si="105"/>
        <v>3.4237829438078911E-2</v>
      </c>
      <c r="J193" s="340">
        <f t="shared" si="86"/>
        <v>1</v>
      </c>
      <c r="K193" s="338">
        <f t="shared" si="106"/>
        <v>1</v>
      </c>
      <c r="L193" s="339">
        <f t="shared" si="107"/>
        <v>0</v>
      </c>
      <c r="M193" s="731" t="str">
        <f t="shared" si="87"/>
        <v>0.994717133055556+0.147653271065337i</v>
      </c>
      <c r="N193" s="338">
        <f t="shared" si="108"/>
        <v>1.0056160615516037</v>
      </c>
      <c r="O193" s="339">
        <f t="shared" si="109"/>
        <v>0.14736142858934972</v>
      </c>
      <c r="P193" s="732" t="str">
        <f t="shared" si="101"/>
        <v>0.00166031818776383-0.263987193676468i</v>
      </c>
      <c r="Q193" s="337">
        <f t="shared" si="110"/>
        <v>0.26399241481842173</v>
      </c>
      <c r="R193" s="339">
        <f t="shared" si="111"/>
        <v>-1.5645070205862046</v>
      </c>
      <c r="S193" s="731" t="str">
        <f t="shared" si="88"/>
        <v>6000</v>
      </c>
      <c r="T193" s="337" t="str">
        <f t="shared" si="89"/>
        <v>1+69187.4520896407i</v>
      </c>
      <c r="U193" s="346">
        <f t="shared" si="112"/>
        <v>69187.452096867448</v>
      </c>
      <c r="V193" s="347">
        <f t="shared" si="113"/>
        <v>1.5707818733070209</v>
      </c>
      <c r="W193" s="340" t="str">
        <f t="shared" si="90"/>
        <v>1+685.024278115254i</v>
      </c>
      <c r="X193" s="337">
        <f t="shared" si="114"/>
        <v>685.02500801600297</v>
      </c>
      <c r="Y193" s="339">
        <f t="shared" si="115"/>
        <v>1.5693365255563021</v>
      </c>
      <c r="Z193" s="337" t="str">
        <f t="shared" si="91"/>
        <v>1+6.90056201192177i</v>
      </c>
      <c r="AA193" s="346">
        <f t="shared" si="116"/>
        <v>6.9726434069424368</v>
      </c>
      <c r="AB193" s="347">
        <f t="shared" si="117"/>
        <v>1.4268824381367893</v>
      </c>
      <c r="AC193" s="732" t="str">
        <f t="shared" si="118"/>
        <v>1.20971119241321-8.4335494039635i</v>
      </c>
      <c r="AD193" s="337">
        <f t="shared" si="119"/>
        <v>8.5198683509865862</v>
      </c>
      <c r="AE193" s="339">
        <f t="shared" si="120"/>
        <v>-1.4283277858875083</v>
      </c>
      <c r="AF193" s="736" t="str">
        <f t="shared" si="92"/>
        <v>-2.22434053438947-0.333350638306983i</v>
      </c>
      <c r="AG193" s="337">
        <f t="shared" si="121"/>
        <v>7.040486655012109</v>
      </c>
      <c r="AH193" s="730">
        <f t="shared" si="122"/>
        <v>-171.47680319079623</v>
      </c>
      <c r="AI193" s="360">
        <f t="shared" si="93"/>
        <v>8.5231968092037675</v>
      </c>
      <c r="AL193" s="337">
        <f t="shared" si="94"/>
        <v>18.608657681996441</v>
      </c>
      <c r="AM193" s="730">
        <f t="shared" si="95"/>
        <v>-81.837153892619739</v>
      </c>
      <c r="AN193" s="351"/>
      <c r="AO193" s="337">
        <f t="shared" si="96"/>
        <v>41.960951458057785</v>
      </c>
      <c r="AP193" s="730">
        <f t="shared" si="97"/>
        <v>-89.639649298176522</v>
      </c>
      <c r="AS193" s="351"/>
      <c r="AT193" s="351"/>
      <c r="AV193" s="405">
        <f t="shared" si="98"/>
        <v>0</v>
      </c>
      <c r="AW193" s="405">
        <f t="shared" si="123"/>
        <v>0</v>
      </c>
      <c r="AX193" s="405">
        <f t="shared" si="99"/>
        <v>0</v>
      </c>
      <c r="AY193" s="405">
        <f t="shared" si="100"/>
        <v>0</v>
      </c>
    </row>
    <row r="194" spans="2:51" ht="13.5" thickBot="1" x14ac:dyDescent="0.25">
      <c r="B194" s="345">
        <v>10965</v>
      </c>
      <c r="C194" s="728" t="str">
        <f t="shared" si="83"/>
        <v>2.2271548443541</v>
      </c>
      <c r="D194" s="728" t="str">
        <f t="shared" si="84"/>
        <v>1+8.38224043867561i</v>
      </c>
      <c r="E194" s="337">
        <f t="shared" si="102"/>
        <v>8.4416796179296387</v>
      </c>
      <c r="F194" s="338">
        <f t="shared" si="103"/>
        <v>1.4520576719764007</v>
      </c>
      <c r="G194" s="338" t="str">
        <f t="shared" si="85"/>
        <v>1+0.0344475634466121i</v>
      </c>
      <c r="H194" s="337">
        <f t="shared" si="104"/>
        <v>1.0005931414053408</v>
      </c>
      <c r="I194" s="338">
        <f t="shared" si="105"/>
        <v>3.4433947582326638E-2</v>
      </c>
      <c r="J194" s="340">
        <f t="shared" si="86"/>
        <v>1</v>
      </c>
      <c r="K194" s="338">
        <f t="shared" si="106"/>
        <v>1</v>
      </c>
      <c r="L194" s="339">
        <f t="shared" si="107"/>
        <v>0</v>
      </c>
      <c r="M194" s="731" t="str">
        <f t="shared" si="87"/>
        <v>0.99465639+0.148499712655943i</v>
      </c>
      <c r="N194" s="338">
        <f t="shared" si="108"/>
        <v>1.0056806147215573</v>
      </c>
      <c r="O194" s="339">
        <f t="shared" si="109"/>
        <v>0.14820283560707595</v>
      </c>
      <c r="P194" s="732" t="str">
        <f t="shared" si="101"/>
        <v>0.0013045274202769-0.262490522072018i</v>
      </c>
      <c r="Q194" s="337">
        <f t="shared" si="110"/>
        <v>0.26249376367721733</v>
      </c>
      <c r="R194" s="339">
        <f t="shared" si="111"/>
        <v>-1.5658265600011501</v>
      </c>
      <c r="S194" s="731" t="str">
        <f t="shared" si="88"/>
        <v>6000</v>
      </c>
      <c r="T194" s="337" t="str">
        <f t="shared" si="89"/>
        <v>1+69584.0781621564i</v>
      </c>
      <c r="U194" s="346">
        <f t="shared" si="112"/>
        <v>69584.078169341941</v>
      </c>
      <c r="V194" s="347">
        <f t="shared" si="113"/>
        <v>1.5707819556912428</v>
      </c>
      <c r="W194" s="340" t="str">
        <f t="shared" si="90"/>
        <v>1+688.951268932242i</v>
      </c>
      <c r="X194" s="337">
        <f t="shared" si="114"/>
        <v>688.95199467259431</v>
      </c>
      <c r="Y194" s="339">
        <f t="shared" si="115"/>
        <v>1.5693448463450752</v>
      </c>
      <c r="Z194" s="337" t="str">
        <f t="shared" si="91"/>
        <v>1+6.94012038163011i</v>
      </c>
      <c r="AA194" s="346">
        <f t="shared" si="116"/>
        <v>7.011795127605887</v>
      </c>
      <c r="AB194" s="347">
        <f t="shared" si="117"/>
        <v>1.4276915559432763</v>
      </c>
      <c r="AC194" s="732" t="str">
        <f t="shared" si="118"/>
        <v>1.19623959302871-8.38741967387328i</v>
      </c>
      <c r="AD194" s="337">
        <f t="shared" si="119"/>
        <v>8.4722959078166102</v>
      </c>
      <c r="AE194" s="339">
        <f t="shared" si="120"/>
        <v>-1.429128665289443</v>
      </c>
      <c r="AF194" s="736" t="str">
        <f t="shared" si="92"/>
        <v>-2.20005764168179-0.324943174247262i</v>
      </c>
      <c r="AG194" s="337">
        <f t="shared" si="121"/>
        <v>6.9424021132478755</v>
      </c>
      <c r="AH194" s="730">
        <f t="shared" si="122"/>
        <v>-171.59829423980364</v>
      </c>
      <c r="AI194" s="360">
        <f t="shared" si="93"/>
        <v>8.4017057601963643</v>
      </c>
      <c r="AL194" s="337">
        <f t="shared" si="94"/>
        <v>18.560022315188892</v>
      </c>
      <c r="AM194" s="730">
        <f t="shared" si="95"/>
        <v>-81.883040902249562</v>
      </c>
      <c r="AN194" s="351"/>
      <c r="AO194" s="337">
        <f t="shared" si="96"/>
        <v>41.911502283101107</v>
      </c>
      <c r="AP194" s="730">
        <f t="shared" si="97"/>
        <v>-89.71525333755406</v>
      </c>
      <c r="AS194" s="351"/>
      <c r="AT194" s="351"/>
      <c r="AV194" s="405">
        <f t="shared" si="98"/>
        <v>0</v>
      </c>
      <c r="AW194" s="405">
        <f t="shared" si="123"/>
        <v>0</v>
      </c>
      <c r="AX194" s="405">
        <f t="shared" si="99"/>
        <v>0</v>
      </c>
      <c r="AY194" s="405">
        <f t="shared" si="100"/>
        <v>0</v>
      </c>
    </row>
    <row r="195" spans="2:51" ht="13.5" thickBot="1" x14ac:dyDescent="0.25">
      <c r="B195" s="345">
        <v>11028.75</v>
      </c>
      <c r="C195" s="728" t="str">
        <f t="shared" si="83"/>
        <v>2.2271548443541</v>
      </c>
      <c r="D195" s="728" t="str">
        <f t="shared" si="84"/>
        <v>1+8.43097439471442i</v>
      </c>
      <c r="E195" s="337">
        <f t="shared" si="102"/>
        <v>8.4900723933503759</v>
      </c>
      <c r="F195" s="338">
        <f t="shared" si="103"/>
        <v>1.4527376446215008</v>
      </c>
      <c r="G195" s="338" t="str">
        <f t="shared" si="85"/>
        <v>1+0.0346478399782784i</v>
      </c>
      <c r="H195" s="337">
        <f t="shared" si="104"/>
        <v>1.0006000563737545</v>
      </c>
      <c r="I195" s="338">
        <f t="shared" si="105"/>
        <v>3.4633985359500061E-2</v>
      </c>
      <c r="J195" s="340">
        <f t="shared" si="86"/>
        <v>1</v>
      </c>
      <c r="K195" s="338">
        <f t="shared" si="106"/>
        <v>1</v>
      </c>
      <c r="L195" s="339">
        <f t="shared" si="107"/>
        <v>0</v>
      </c>
      <c r="M195" s="731" t="str">
        <f t="shared" si="87"/>
        <v>0.994594074375+0.149363083078361i</v>
      </c>
      <c r="N195" s="338">
        <f t="shared" si="108"/>
        <v>1.005746838607279</v>
      </c>
      <c r="O195" s="339">
        <f t="shared" si="109"/>
        <v>0.14906101169082339</v>
      </c>
      <c r="P195" s="732" t="str">
        <f t="shared" si="101"/>
        <v>0.000947795400750732-0.260980465980947i</v>
      </c>
      <c r="Q195" s="337">
        <f t="shared" si="110"/>
        <v>0.26098218701619064</v>
      </c>
      <c r="R195" s="339">
        <f t="shared" si="111"/>
        <v>-1.5671646709528242</v>
      </c>
      <c r="S195" s="731" t="str">
        <f t="shared" si="88"/>
        <v>6000</v>
      </c>
      <c r="T195" s="337" t="str">
        <f t="shared" si="89"/>
        <v>1+69988.6367561225i</v>
      </c>
      <c r="U195" s="346">
        <f t="shared" si="112"/>
        <v>69988.636763266521</v>
      </c>
      <c r="V195" s="347">
        <f t="shared" si="113"/>
        <v>1.5707820387612059</v>
      </c>
      <c r="W195" s="340" t="str">
        <f t="shared" si="90"/>
        <v>1+692.956799565569i</v>
      </c>
      <c r="X195" s="337">
        <f t="shared" si="114"/>
        <v>692.95752111089473</v>
      </c>
      <c r="Y195" s="339">
        <f t="shared" si="115"/>
        <v>1.5693532363937968</v>
      </c>
      <c r="Z195" s="337" t="str">
        <f t="shared" si="91"/>
        <v>1+6.98046991873261i</v>
      </c>
      <c r="AA195" s="346">
        <f t="shared" si="116"/>
        <v>7.0517345586976576</v>
      </c>
      <c r="AB195" s="347">
        <f t="shared" si="117"/>
        <v>1.4285075996698959</v>
      </c>
      <c r="AC195" s="732" t="str">
        <f t="shared" si="118"/>
        <v>1.18272750462816-8.34087317616606i</v>
      </c>
      <c r="AD195" s="337">
        <f t="shared" si="119"/>
        <v>8.4243106359565392</v>
      </c>
      <c r="AE195" s="339">
        <f t="shared" si="120"/>
        <v>-1.4299364020373047</v>
      </c>
      <c r="AF195" s="736" t="str">
        <f t="shared" si="92"/>
        <v>-2.17568398451457-0.316574216520955i</v>
      </c>
      <c r="AG195" s="337">
        <f t="shared" si="121"/>
        <v>6.8429047742364251</v>
      </c>
      <c r="AH195" s="730">
        <f t="shared" si="122"/>
        <v>-171.72124225646488</v>
      </c>
      <c r="AI195" s="360">
        <f t="shared" si="93"/>
        <v>8.2787577435351238</v>
      </c>
      <c r="AL195" s="337">
        <f t="shared" si="94"/>
        <v>18.510687450810003</v>
      </c>
      <c r="AM195" s="730">
        <f t="shared" si="95"/>
        <v>-81.929320808859643</v>
      </c>
      <c r="AN195" s="351"/>
      <c r="AO195" s="337">
        <f t="shared" si="96"/>
        <v>41.8613398084686</v>
      </c>
      <c r="AP195" s="730">
        <f t="shared" si="97"/>
        <v>-89.791921447605219</v>
      </c>
      <c r="AS195" s="351"/>
      <c r="AT195" s="351"/>
      <c r="AV195" s="405">
        <f t="shared" si="98"/>
        <v>0</v>
      </c>
      <c r="AW195" s="405">
        <f t="shared" si="123"/>
        <v>0</v>
      </c>
      <c r="AX195" s="405">
        <f t="shared" si="99"/>
        <v>0</v>
      </c>
      <c r="AY195" s="405">
        <f t="shared" si="100"/>
        <v>0</v>
      </c>
    </row>
    <row r="196" spans="2:51" ht="13.5" thickBot="1" x14ac:dyDescent="0.25">
      <c r="B196" s="345">
        <v>11092.5</v>
      </c>
      <c r="C196" s="728" t="str">
        <f t="shared" si="83"/>
        <v>2.2271548443541</v>
      </c>
      <c r="D196" s="728" t="str">
        <f t="shared" si="84"/>
        <v>1+8.47970835075323i</v>
      </c>
      <c r="E196" s="337">
        <f t="shared" si="102"/>
        <v>8.538469049767297</v>
      </c>
      <c r="F196" s="338">
        <f t="shared" si="103"/>
        <v>1.4534099093068282</v>
      </c>
      <c r="G196" s="338" t="str">
        <f t="shared" si="85"/>
        <v>1+0.0348481165099448i</v>
      </c>
      <c r="H196" s="337">
        <f t="shared" si="104"/>
        <v>1.0006070113807373</v>
      </c>
      <c r="I196" s="338">
        <f t="shared" si="105"/>
        <v>3.4834020363837634E-2</v>
      </c>
      <c r="J196" s="340">
        <f t="shared" si="86"/>
        <v>1</v>
      </c>
      <c r="K196" s="338">
        <f t="shared" si="106"/>
        <v>1</v>
      </c>
      <c r="L196" s="339">
        <f t="shared" si="107"/>
        <v>0</v>
      </c>
      <c r="M196" s="731" t="str">
        <f t="shared" si="87"/>
        <v>0.9945313975+0.15022645350078i</v>
      </c>
      <c r="N196" s="338">
        <f t="shared" si="108"/>
        <v>1.0058134458957708</v>
      </c>
      <c r="O196" s="339">
        <f t="shared" si="109"/>
        <v>0.14991912777990354</v>
      </c>
      <c r="P196" s="732" t="str">
        <f t="shared" si="101"/>
        <v>0.000597160762213652-0.259486852851724i</v>
      </c>
      <c r="Q196" s="337">
        <f t="shared" si="110"/>
        <v>0.25948753997806562</v>
      </c>
      <c r="R196" s="339">
        <f t="shared" si="111"/>
        <v>-1.5684950167228942</v>
      </c>
      <c r="S196" s="731" t="str">
        <f t="shared" si="88"/>
        <v>6000</v>
      </c>
      <c r="T196" s="337" t="str">
        <f t="shared" si="89"/>
        <v>1+70393.1953500885i</v>
      </c>
      <c r="U196" s="346">
        <f t="shared" si="112"/>
        <v>70393.195357191464</v>
      </c>
      <c r="V196" s="347">
        <f t="shared" si="113"/>
        <v>1.5707821208763422</v>
      </c>
      <c r="W196" s="340" t="str">
        <f t="shared" si="90"/>
        <v>1+696.962330198896i</v>
      </c>
      <c r="X196" s="337">
        <f t="shared" si="114"/>
        <v>696.96304759741372</v>
      </c>
      <c r="Y196" s="339">
        <f t="shared" si="115"/>
        <v>1.5693615300053763</v>
      </c>
      <c r="Z196" s="337" t="str">
        <f t="shared" si="91"/>
        <v>1+7.02081945583512i</v>
      </c>
      <c r="AA196" s="346">
        <f t="shared" si="116"/>
        <v>7.0916786328367243</v>
      </c>
      <c r="AB196" s="347">
        <f t="shared" si="117"/>
        <v>1.429314451151505</v>
      </c>
      <c r="AC196" s="732" t="str">
        <f t="shared" si="118"/>
        <v>1.16944153668433-8.29482948857682i</v>
      </c>
      <c r="AD196" s="337">
        <f t="shared" si="119"/>
        <v>8.3768603755993336</v>
      </c>
      <c r="AE196" s="339">
        <f t="shared" si="120"/>
        <v>-1.4307350420224705</v>
      </c>
      <c r="AF196" s="736" t="str">
        <f t="shared" si="92"/>
        <v>-2.15170085433306-0.308408050648132i</v>
      </c>
      <c r="AG196" s="337">
        <f t="shared" si="121"/>
        <v>6.7439557111482209</v>
      </c>
      <c r="AH196" s="730">
        <f t="shared" si="122"/>
        <v>-171.84322415488333</v>
      </c>
      <c r="AI196" s="360">
        <f t="shared" si="93"/>
        <v>8.1567758451166696</v>
      </c>
      <c r="AL196" s="337">
        <f t="shared" si="94"/>
        <v>18.461625534794983</v>
      </c>
      <c r="AM196" s="730">
        <f t="shared" si="95"/>
        <v>-81.975079509360043</v>
      </c>
      <c r="AN196" s="351"/>
      <c r="AO196" s="337">
        <f t="shared" si="96"/>
        <v>41.811452661395421</v>
      </c>
      <c r="AP196" s="730">
        <f t="shared" si="97"/>
        <v>-89.868144645523316</v>
      </c>
      <c r="AS196" s="351"/>
      <c r="AT196" s="351"/>
      <c r="AV196" s="405">
        <f t="shared" si="98"/>
        <v>0</v>
      </c>
      <c r="AW196" s="405">
        <f t="shared" si="123"/>
        <v>0</v>
      </c>
      <c r="AX196" s="405">
        <f t="shared" si="99"/>
        <v>0</v>
      </c>
      <c r="AY196" s="405">
        <f t="shared" si="100"/>
        <v>0</v>
      </c>
    </row>
    <row r="197" spans="2:51" ht="13.5" thickBot="1" x14ac:dyDescent="0.25">
      <c r="B197" s="345">
        <v>11156.25</v>
      </c>
      <c r="C197" s="728" t="str">
        <f t="shared" si="83"/>
        <v>2.2271548443541</v>
      </c>
      <c r="D197" s="728" t="str">
        <f t="shared" si="84"/>
        <v>1+8.52844230679205i</v>
      </c>
      <c r="E197" s="337">
        <f t="shared" si="102"/>
        <v>8.5868695215590929</v>
      </c>
      <c r="F197" s="338">
        <f t="shared" si="103"/>
        <v>1.4540745957588532</v>
      </c>
      <c r="G197" s="338" t="str">
        <f t="shared" si="85"/>
        <v>1+0.0350483930416111i</v>
      </c>
      <c r="H197" s="337">
        <f t="shared" si="104"/>
        <v>1.0006140064254545</v>
      </c>
      <c r="I197" s="338">
        <f t="shared" si="105"/>
        <v>3.5034052579388762E-2</v>
      </c>
      <c r="J197" s="340">
        <f t="shared" si="86"/>
        <v>1</v>
      </c>
      <c r="K197" s="338">
        <f t="shared" si="106"/>
        <v>1</v>
      </c>
      <c r="L197" s="339">
        <f t="shared" si="107"/>
        <v>0</v>
      </c>
      <c r="M197" s="731" t="str">
        <f t="shared" si="87"/>
        <v>0.994468359375+0.151089823923198i</v>
      </c>
      <c r="N197" s="338">
        <f t="shared" si="108"/>
        <v>1.0058804365783973</v>
      </c>
      <c r="O197" s="339">
        <f t="shared" si="109"/>
        <v>0.15077718353682351</v>
      </c>
      <c r="P197" s="732" t="str">
        <f t="shared" si="101"/>
        <v>0.00025248811616427-0.258009416802957i</v>
      </c>
      <c r="Q197" s="337">
        <f t="shared" si="110"/>
        <v>0.25800954034541207</v>
      </c>
      <c r="R197" s="339">
        <f t="shared" si="111"/>
        <v>-1.5698177267162878</v>
      </c>
      <c r="S197" s="731" t="str">
        <f t="shared" si="88"/>
        <v>6000</v>
      </c>
      <c r="T197" s="337" t="str">
        <f t="shared" si="89"/>
        <v>1+70797.7539440545i</v>
      </c>
      <c r="U197" s="346">
        <f t="shared" si="112"/>
        <v>70797.753951116872</v>
      </c>
      <c r="V197" s="347">
        <f t="shared" si="113"/>
        <v>1.5707822020530195</v>
      </c>
      <c r="W197" s="340" t="str">
        <f t="shared" si="90"/>
        <v>1+700.967860832223i</v>
      </c>
      <c r="X197" s="337">
        <f t="shared" si="114"/>
        <v>700.96857413132489</v>
      </c>
      <c r="Y197" s="339">
        <f t="shared" si="115"/>
        <v>1.5693697288330175</v>
      </c>
      <c r="Z197" s="337" t="str">
        <f t="shared" si="91"/>
        <v>1+7.06116899293762i</v>
      </c>
      <c r="AA197" s="346">
        <f t="shared" si="116"/>
        <v>7.1316272720062761</v>
      </c>
      <c r="AB197" s="347">
        <f t="shared" si="117"/>
        <v>1.4301122638029287</v>
      </c>
      <c r="AC197" s="732" t="str">
        <f t="shared" si="118"/>
        <v>1.15637670585901-8.24928069724122i</v>
      </c>
      <c r="AD197" s="337">
        <f t="shared" si="119"/>
        <v>8.3299363207487929</v>
      </c>
      <c r="AE197" s="339">
        <f t="shared" si="120"/>
        <v>-1.4315247370229314</v>
      </c>
      <c r="AF197" s="736" t="str">
        <f t="shared" si="92"/>
        <v>-2.12810013036306-0.300438924826164i</v>
      </c>
      <c r="AG197" s="337">
        <f t="shared" si="121"/>
        <v>6.6455489288824152</v>
      </c>
      <c r="AH197" s="730">
        <f t="shared" si="122"/>
        <v>-171.96425604565357</v>
      </c>
      <c r="AI197" s="360">
        <f t="shared" si="93"/>
        <v>8.0357439543464295</v>
      </c>
      <c r="AL197" s="337">
        <f t="shared" si="94"/>
        <v>18.412833628008215</v>
      </c>
      <c r="AM197" s="730">
        <f t="shared" si="95"/>
        <v>-82.02032569998903</v>
      </c>
      <c r="AN197" s="351"/>
      <c r="AO197" s="337">
        <f t="shared" si="96"/>
        <v>41.761837785916342</v>
      </c>
      <c r="AP197" s="730">
        <f t="shared" si="97"/>
        <v>-89.943930345664555</v>
      </c>
      <c r="AS197" s="351"/>
      <c r="AT197" s="351"/>
      <c r="AV197" s="405">
        <f t="shared" si="98"/>
        <v>0</v>
      </c>
      <c r="AW197" s="405">
        <f t="shared" si="123"/>
        <v>0</v>
      </c>
      <c r="AX197" s="405">
        <f t="shared" si="99"/>
        <v>0</v>
      </c>
      <c r="AY197" s="405">
        <f t="shared" si="100"/>
        <v>0</v>
      </c>
    </row>
    <row r="198" spans="2:51" ht="13.5" thickBot="1" x14ac:dyDescent="0.25">
      <c r="B198" s="345">
        <v>11220</v>
      </c>
      <c r="C198" s="728" t="str">
        <f t="shared" si="83"/>
        <v>2.2271548443541</v>
      </c>
      <c r="D198" s="728" t="str">
        <f t="shared" si="84"/>
        <v>1+8.57717626283086i</v>
      </c>
      <c r="E198" s="337">
        <f t="shared" si="102"/>
        <v>8.635273744570533</v>
      </c>
      <c r="F198" s="338">
        <f t="shared" si="103"/>
        <v>1.4547318308224972</v>
      </c>
      <c r="G198" s="338" t="str">
        <f t="shared" si="85"/>
        <v>1+0.0352486695732775i</v>
      </c>
      <c r="H198" s="337">
        <f t="shared" si="104"/>
        <v>1.0006210415070662</v>
      </c>
      <c r="I198" s="338">
        <f t="shared" si="105"/>
        <v>3.5234081990204544E-2</v>
      </c>
      <c r="J198" s="340">
        <f t="shared" si="86"/>
        <v>1</v>
      </c>
      <c r="K198" s="338">
        <f t="shared" si="106"/>
        <v>1</v>
      </c>
      <c r="L198" s="339">
        <f t="shared" si="107"/>
        <v>0</v>
      </c>
      <c r="M198" s="731" t="str">
        <f t="shared" si="87"/>
        <v>0.99440496+0.151953194345616i</v>
      </c>
      <c r="N198" s="338">
        <f t="shared" si="108"/>
        <v>1.0059478106464759</v>
      </c>
      <c r="O198" s="339">
        <f t="shared" si="109"/>
        <v>0.15163517862425194</v>
      </c>
      <c r="P198" s="732" t="str">
        <f t="shared" si="101"/>
        <v>-0.0000863541953249666-0.256547897561722i</v>
      </c>
      <c r="Q198" s="337">
        <f t="shared" si="110"/>
        <v>0.25654791209516181</v>
      </c>
      <c r="R198" s="339">
        <f t="shared" si="111"/>
        <v>-1.5711329274565444</v>
      </c>
      <c r="S198" s="731" t="str">
        <f t="shared" si="88"/>
        <v>6000</v>
      </c>
      <c r="T198" s="337" t="str">
        <f t="shared" si="89"/>
        <v>1+71202.3125380205i</v>
      </c>
      <c r="U198" s="346">
        <f t="shared" si="112"/>
        <v>71202.312545042747</v>
      </c>
      <c r="V198" s="347">
        <f t="shared" si="113"/>
        <v>1.5707822823072348</v>
      </c>
      <c r="W198" s="340" t="str">
        <f t="shared" si="90"/>
        <v>1+704.97339146555i</v>
      </c>
      <c r="X198" s="337">
        <f t="shared" si="114"/>
        <v>704.97410071182014</v>
      </c>
      <c r="Y198" s="339">
        <f t="shared" si="115"/>
        <v>1.5693778344923515</v>
      </c>
      <c r="Z198" s="337" t="str">
        <f t="shared" si="91"/>
        <v>1+7.10151853004012i</v>
      </c>
      <c r="AA198" s="346">
        <f t="shared" si="116"/>
        <v>7.1715803999190566</v>
      </c>
      <c r="AB198" s="347">
        <f t="shared" si="117"/>
        <v>1.4309011876668891</v>
      </c>
      <c r="AC198" s="732" t="str">
        <f t="shared" si="118"/>
        <v>1.14352816439905-8.20421904906294i</v>
      </c>
      <c r="AD198" s="337">
        <f t="shared" si="119"/>
        <v>8.2835298555495704</v>
      </c>
      <c r="AE198" s="339">
        <f t="shared" si="120"/>
        <v>-1.4323056354817725</v>
      </c>
      <c r="AF198" s="736" t="str">
        <f t="shared" si="92"/>
        <v>-2.1048738966274-0.29266127764494i</v>
      </c>
      <c r="AG198" s="337">
        <f t="shared" si="121"/>
        <v>6.5476785277734422</v>
      </c>
      <c r="AH198" s="730">
        <f t="shared" si="122"/>
        <v>-172.08435368320266</v>
      </c>
      <c r="AI198" s="360">
        <f t="shared" si="93"/>
        <v>7.9156463167973357</v>
      </c>
      <c r="AL198" s="337">
        <f t="shared" si="94"/>
        <v>18.364308837420293</v>
      </c>
      <c r="AM198" s="730">
        <f t="shared" si="95"/>
        <v>-82.065067885908903</v>
      </c>
      <c r="AN198" s="351"/>
      <c r="AO198" s="337">
        <f t="shared" si="96"/>
        <v>41.712492175395262</v>
      </c>
      <c r="AP198" s="730">
        <f t="shared" si="97"/>
        <v>-90.019285797293733</v>
      </c>
      <c r="AS198" s="351"/>
      <c r="AT198" s="351"/>
      <c r="AV198" s="405">
        <f t="shared" si="98"/>
        <v>0</v>
      </c>
      <c r="AW198" s="405">
        <f t="shared" si="123"/>
        <v>0</v>
      </c>
      <c r="AX198" s="405">
        <f t="shared" si="99"/>
        <v>0</v>
      </c>
      <c r="AY198" s="405">
        <f t="shared" si="100"/>
        <v>0</v>
      </c>
    </row>
    <row r="199" spans="2:51" ht="13.5" thickBot="1" x14ac:dyDescent="0.25">
      <c r="B199" s="345">
        <v>11285.5</v>
      </c>
      <c r="C199" s="728" t="str">
        <f t="shared" si="83"/>
        <v>2.2271548443541</v>
      </c>
      <c r="D199" s="728" t="str">
        <f t="shared" si="84"/>
        <v>1+8.62724801374132i</v>
      </c>
      <c r="E199" s="337">
        <f t="shared" si="102"/>
        <v>8.6850105521296612</v>
      </c>
      <c r="F199" s="338">
        <f t="shared" si="103"/>
        <v>1.4553994769745808</v>
      </c>
      <c r="G199" s="338" t="str">
        <f t="shared" si="85"/>
        <v>1+0.0354544438920876i</v>
      </c>
      <c r="H199" s="337">
        <f t="shared" si="104"/>
        <v>1.0006283114082357</v>
      </c>
      <c r="I199" s="338">
        <f t="shared" si="105"/>
        <v>3.5439599466410711E-2</v>
      </c>
      <c r="J199" s="340">
        <f t="shared" si="86"/>
        <v>1</v>
      </c>
      <c r="K199" s="338">
        <f t="shared" si="106"/>
        <v>1</v>
      </c>
      <c r="L199" s="339">
        <f t="shared" si="107"/>
        <v>0</v>
      </c>
      <c r="M199" s="731" t="str">
        <f t="shared" si="87"/>
        <v>0.994339443988889+0.152840265132571i</v>
      </c>
      <c r="N199" s="338">
        <f t="shared" si="108"/>
        <v>1.0060174335059644</v>
      </c>
      <c r="O199" s="339">
        <f t="shared" si="109"/>
        <v>0.15251666297309988</v>
      </c>
      <c r="P199" s="732" t="str">
        <f t="shared" si="101"/>
        <v>-0.000428560021935687-0.255062568600307i</v>
      </c>
      <c r="Q199" s="337">
        <f t="shared" si="110"/>
        <v>0.25506292863659885</v>
      </c>
      <c r="R199" s="339">
        <f t="shared" si="111"/>
        <v>-1.5724765404812697</v>
      </c>
      <c r="S199" s="731" t="str">
        <f t="shared" si="88"/>
        <v>6000</v>
      </c>
      <c r="T199" s="337" t="str">
        <f t="shared" si="89"/>
        <v>1+71617.976662017i</v>
      </c>
      <c r="U199" s="346">
        <f t="shared" si="112"/>
        <v>71617.976668998497</v>
      </c>
      <c r="V199" s="347">
        <f t="shared" si="113"/>
        <v>1.5707823638201444</v>
      </c>
      <c r="W199" s="340" t="str">
        <f t="shared" si="90"/>
        <v>1+709.088877841752i</v>
      </c>
      <c r="X199" s="337">
        <f t="shared" si="114"/>
        <v>709.08958297162644</v>
      </c>
      <c r="Y199" s="339">
        <f t="shared" si="115"/>
        <v>1.569386067279757</v>
      </c>
      <c r="Z199" s="337" t="str">
        <f t="shared" si="91"/>
        <v>1+7.14297570149444i</v>
      </c>
      <c r="AA199" s="346">
        <f t="shared" si="116"/>
        <v>7.2126348772234401</v>
      </c>
      <c r="AB199" s="347">
        <f t="shared" si="117"/>
        <v>1.4317026643550606</v>
      </c>
      <c r="AC199" s="732" t="str">
        <f t="shared" si="118"/>
        <v>1.13054723821402-8.15841981680814i</v>
      </c>
      <c r="AD199" s="337">
        <f t="shared" si="119"/>
        <v>8.2363797244372545</v>
      </c>
      <c r="AE199" s="339">
        <f t="shared" si="120"/>
        <v>-1.4330989608954479</v>
      </c>
      <c r="AF199" s="736" t="str">
        <f t="shared" si="92"/>
        <v>-2.08139202154394-0.284863909927199i</v>
      </c>
      <c r="AG199" s="337">
        <f t="shared" si="121"/>
        <v>6.4476740555978216</v>
      </c>
      <c r="AH199" s="730">
        <f t="shared" si="122"/>
        <v>-172.20679123680227</v>
      </c>
      <c r="AI199" s="360">
        <f t="shared" si="93"/>
        <v>7.7932087631977254</v>
      </c>
      <c r="AL199" s="337">
        <f t="shared" si="94"/>
        <v>18.314727216487103</v>
      </c>
      <c r="AM199" s="730">
        <f t="shared" si="95"/>
        <v>-82.11052208389296</v>
      </c>
      <c r="AN199" s="351"/>
      <c r="AO199" s="337">
        <f t="shared" si="96"/>
        <v>41.662069324152853</v>
      </c>
      <c r="AP199" s="730">
        <f t="shared" si="97"/>
        <v>-90.096269152909301</v>
      </c>
      <c r="AS199" s="351"/>
      <c r="AT199" s="351"/>
      <c r="AV199" s="405">
        <f t="shared" si="98"/>
        <v>0</v>
      </c>
      <c r="AW199" s="405">
        <f t="shared" si="123"/>
        <v>0</v>
      </c>
      <c r="AX199" s="405">
        <f t="shared" si="99"/>
        <v>0</v>
      </c>
      <c r="AY199" s="405">
        <f t="shared" si="100"/>
        <v>0</v>
      </c>
    </row>
    <row r="200" spans="2:51" ht="13.5" thickBot="1" x14ac:dyDescent="0.25">
      <c r="B200" s="345">
        <v>11351</v>
      </c>
      <c r="C200" s="728" t="str">
        <f t="shared" si="83"/>
        <v>2.2271548443541</v>
      </c>
      <c r="D200" s="728" t="str">
        <f t="shared" si="84"/>
        <v>1+8.67731976465179i</v>
      </c>
      <c r="E200" s="337">
        <f t="shared" si="102"/>
        <v>8.7347511869552736</v>
      </c>
      <c r="F200" s="338">
        <f t="shared" si="103"/>
        <v>1.4560595195052326</v>
      </c>
      <c r="G200" s="338" t="str">
        <f t="shared" si="85"/>
        <v>1+0.0356602182108978i</v>
      </c>
      <c r="H200" s="337">
        <f t="shared" si="104"/>
        <v>1.0006356235727614</v>
      </c>
      <c r="I200" s="338">
        <f t="shared" si="105"/>
        <v>3.5645113947651269E-2</v>
      </c>
      <c r="J200" s="340">
        <f t="shared" si="86"/>
        <v>1</v>
      </c>
      <c r="K200" s="338">
        <f t="shared" si="106"/>
        <v>1</v>
      </c>
      <c r="L200" s="339">
        <f t="shared" si="107"/>
        <v>0</v>
      </c>
      <c r="M200" s="731" t="str">
        <f t="shared" si="87"/>
        <v>0.994273546622222+0.153727335919527i</v>
      </c>
      <c r="N200" s="338">
        <f t="shared" si="108"/>
        <v>1.0060874610696859</v>
      </c>
      <c r="O200" s="339">
        <f t="shared" si="109"/>
        <v>0.15339808255439416</v>
      </c>
      <c r="P200" s="732" t="str">
        <f t="shared" si="101"/>
        <v>-0.00076488123289731-0.253593502818152i</v>
      </c>
      <c r="Q200" s="337">
        <f t="shared" si="110"/>
        <v>0.25359465632161993</v>
      </c>
      <c r="R200" s="339">
        <f t="shared" si="111"/>
        <v>-1.5738124881119753</v>
      </c>
      <c r="S200" s="731" t="str">
        <f t="shared" si="88"/>
        <v>6000</v>
      </c>
      <c r="T200" s="337" t="str">
        <f t="shared" si="89"/>
        <v>1+72033.6407860135i</v>
      </c>
      <c r="U200" s="346">
        <f t="shared" si="112"/>
        <v>72033.640792954699</v>
      </c>
      <c r="V200" s="347">
        <f t="shared" si="113"/>
        <v>1.5707824443923271</v>
      </c>
      <c r="W200" s="340" t="str">
        <f t="shared" si="90"/>
        <v>1+713.204364217955i</v>
      </c>
      <c r="X200" s="337">
        <f t="shared" si="114"/>
        <v>713.20506527894031</v>
      </c>
      <c r="Y200" s="339">
        <f t="shared" si="115"/>
        <v>1.5693942050541227</v>
      </c>
      <c r="Z200" s="337" t="str">
        <f t="shared" si="91"/>
        <v>1+7.18443287294878i</v>
      </c>
      <c r="AA200" s="346">
        <f t="shared" si="116"/>
        <v>7.2536939352241125</v>
      </c>
      <c r="AB200" s="347">
        <f t="shared" si="117"/>
        <v>1.4324950681351705</v>
      </c>
      <c r="AC200" s="732" t="str">
        <f t="shared" si="118"/>
        <v>1.11778468453329-8.11311875066352i</v>
      </c>
      <c r="AD200" s="337">
        <f t="shared" si="119"/>
        <v>8.1897581443743022</v>
      </c>
      <c r="AE200" s="339">
        <f t="shared" si="120"/>
        <v>-1.433883307473375</v>
      </c>
      <c r="AF200" s="736" t="str">
        <f t="shared" si="92"/>
        <v>-2.05828917528801-0.27725736127463i</v>
      </c>
      <c r="AG200" s="337">
        <f t="shared" si="121"/>
        <v>6.3482234912683477</v>
      </c>
      <c r="AH200" s="730">
        <f t="shared" si="122"/>
        <v>-172.32827514628298</v>
      </c>
      <c r="AI200" s="360">
        <f t="shared" si="93"/>
        <v>7.6717248537170235</v>
      </c>
      <c r="AL200" s="337">
        <f t="shared" si="94"/>
        <v>18.265421531876051</v>
      </c>
      <c r="AM200" s="730">
        <f t="shared" si="95"/>
        <v>-82.155461832483724</v>
      </c>
      <c r="AN200" s="351"/>
      <c r="AO200" s="337">
        <f t="shared" si="96"/>
        <v>41.611924444434464</v>
      </c>
      <c r="AP200" s="730">
        <f t="shared" si="97"/>
        <v>-90.172813313799224</v>
      </c>
      <c r="AS200" s="351"/>
      <c r="AT200" s="351"/>
      <c r="AV200" s="405">
        <f t="shared" si="98"/>
        <v>0</v>
      </c>
      <c r="AW200" s="405">
        <f t="shared" si="123"/>
        <v>0</v>
      </c>
      <c r="AX200" s="405">
        <f t="shared" si="99"/>
        <v>0</v>
      </c>
      <c r="AY200" s="405">
        <f t="shared" si="100"/>
        <v>0</v>
      </c>
    </row>
    <row r="201" spans="2:51" ht="13.5" thickBot="1" x14ac:dyDescent="0.25">
      <c r="B201" s="345">
        <v>11416.5</v>
      </c>
      <c r="C201" s="728" t="str">
        <f t="shared" si="83"/>
        <v>2.2271548443541</v>
      </c>
      <c r="D201" s="728" t="str">
        <f t="shared" si="84"/>
        <v>1+8.72739151556224i</v>
      </c>
      <c r="E201" s="337">
        <f t="shared" si="102"/>
        <v>8.7844955840337118</v>
      </c>
      <c r="F201" s="338">
        <f t="shared" si="103"/>
        <v>1.4567120870066161</v>
      </c>
      <c r="G201" s="338" t="str">
        <f t="shared" si="85"/>
        <v>1+0.0358659925297079i</v>
      </c>
      <c r="H201" s="337">
        <f t="shared" si="104"/>
        <v>1.0006429779997164</v>
      </c>
      <c r="I201" s="338">
        <f t="shared" si="105"/>
        <v>3.585062541663156E-2</v>
      </c>
      <c r="J201" s="340">
        <f t="shared" si="86"/>
        <v>1</v>
      </c>
      <c r="K201" s="338">
        <f t="shared" si="106"/>
        <v>1</v>
      </c>
      <c r="L201" s="339">
        <f t="shared" si="107"/>
        <v>0</v>
      </c>
      <c r="M201" s="731" t="str">
        <f t="shared" si="87"/>
        <v>0.9942072679+0.154614406706482i</v>
      </c>
      <c r="N201" s="338">
        <f t="shared" si="108"/>
        <v>1.0061578933280702</v>
      </c>
      <c r="O201" s="339">
        <f t="shared" si="109"/>
        <v>0.1542794370027788</v>
      </c>
      <c r="P201" s="732" t="str">
        <f t="shared" si="101"/>
        <v>-0.00109544911736983-0.252140435471064i</v>
      </c>
      <c r="Q201" s="337">
        <f t="shared" si="110"/>
        <v>0.25214281510347775</v>
      </c>
      <c r="R201" s="339">
        <f t="shared" si="111"/>
        <v>-1.5751408985927633</v>
      </c>
      <c r="S201" s="731" t="str">
        <f t="shared" si="88"/>
        <v>6000</v>
      </c>
      <c r="T201" s="337" t="str">
        <f t="shared" si="89"/>
        <v>1+72449.3049100099i</v>
      </c>
      <c r="U201" s="346">
        <f t="shared" si="112"/>
        <v>72449.304916911278</v>
      </c>
      <c r="V201" s="347">
        <f t="shared" si="113"/>
        <v>1.5707825240399746</v>
      </c>
      <c r="W201" s="340" t="str">
        <f t="shared" si="90"/>
        <v>1+717.319850594157i</v>
      </c>
      <c r="X201" s="337">
        <f t="shared" si="114"/>
        <v>717.32054763294195</v>
      </c>
      <c r="Y201" s="339">
        <f t="shared" si="115"/>
        <v>1.569402249450802</v>
      </c>
      <c r="Z201" s="337" t="str">
        <f t="shared" si="91"/>
        <v>1+7.22589004440311i</v>
      </c>
      <c r="AA201" s="346">
        <f t="shared" si="116"/>
        <v>7.2947574965727258</v>
      </c>
      <c r="AB201" s="347">
        <f t="shared" si="117"/>
        <v>1.43327855122293</v>
      </c>
      <c r="AC201" s="732" t="str">
        <f t="shared" si="118"/>
        <v>1.10523566411591-8.06830794593664i</v>
      </c>
      <c r="AD201" s="337">
        <f t="shared" si="119"/>
        <v>8.1436563645390923</v>
      </c>
      <c r="AE201" s="339">
        <f t="shared" si="120"/>
        <v>-1.4346588258121034</v>
      </c>
      <c r="AF201" s="736" t="str">
        <f t="shared" si="92"/>
        <v>-2.03555740843585-0.269836180830292i</v>
      </c>
      <c r="AG201" s="337">
        <f t="shared" si="121"/>
        <v>6.2493207376751609</v>
      </c>
      <c r="AH201" s="730">
        <f t="shared" si="122"/>
        <v>-172.44882138803717</v>
      </c>
      <c r="AI201" s="360">
        <f t="shared" si="93"/>
        <v>7.5511786119628255</v>
      </c>
      <c r="AL201" s="337">
        <f t="shared" si="94"/>
        <v>18.216388791668233</v>
      </c>
      <c r="AM201" s="730">
        <f t="shared" si="95"/>
        <v>-82.199895760227847</v>
      </c>
      <c r="AN201" s="351"/>
      <c r="AO201" s="337">
        <f t="shared" si="96"/>
        <v>41.562054431049098</v>
      </c>
      <c r="AP201" s="730">
        <f t="shared" si="97"/>
        <v>-90.248925627809328</v>
      </c>
      <c r="AS201" s="351"/>
      <c r="AT201" s="351"/>
      <c r="AV201" s="405">
        <f t="shared" si="98"/>
        <v>0</v>
      </c>
      <c r="AW201" s="405">
        <f t="shared" si="123"/>
        <v>0</v>
      </c>
      <c r="AX201" s="405">
        <f t="shared" si="99"/>
        <v>0</v>
      </c>
      <c r="AY201" s="405">
        <f t="shared" si="100"/>
        <v>0</v>
      </c>
    </row>
    <row r="202" spans="2:51" ht="13.5" thickBot="1" x14ac:dyDescent="0.25">
      <c r="B202" s="345">
        <v>11482</v>
      </c>
      <c r="C202" s="728" t="str">
        <f t="shared" si="83"/>
        <v>2.2271548443541</v>
      </c>
      <c r="D202" s="728" t="str">
        <f t="shared" si="84"/>
        <v>1+8.77746326647271i</v>
      </c>
      <c r="E202" s="337">
        <f t="shared" si="102"/>
        <v>8.8342436798108395</v>
      </c>
      <c r="F202" s="338">
        <f t="shared" si="103"/>
        <v>1.4573573052001381</v>
      </c>
      <c r="G202" s="338" t="str">
        <f t="shared" si="85"/>
        <v>1+0.036071766848518i</v>
      </c>
      <c r="H202" s="337">
        <f t="shared" si="104"/>
        <v>1.0006503746881694</v>
      </c>
      <c r="I202" s="338">
        <f t="shared" si="105"/>
        <v>3.6056133856058749E-2</v>
      </c>
      <c r="J202" s="340">
        <f t="shared" si="86"/>
        <v>1</v>
      </c>
      <c r="K202" s="338">
        <f t="shared" si="106"/>
        <v>1</v>
      </c>
      <c r="L202" s="339">
        <f t="shared" si="107"/>
        <v>0</v>
      </c>
      <c r="M202" s="731" t="str">
        <f t="shared" si="87"/>
        <v>0.994140607822222+0.155501477493437i</v>
      </c>
      <c r="N202" s="338">
        <f t="shared" si="108"/>
        <v>1.0062287302714921</v>
      </c>
      <c r="O202" s="339">
        <f t="shared" si="109"/>
        <v>0.15516072595308134</v>
      </c>
      <c r="P202" s="732" t="str">
        <f t="shared" si="101"/>
        <v>-0.00142039132794987-0.250703107442257i</v>
      </c>
      <c r="Q202" s="337">
        <f t="shared" si="110"/>
        <v>0.25070713111662452</v>
      </c>
      <c r="R202" s="339">
        <f t="shared" si="111"/>
        <v>-1.5764618972971607</v>
      </c>
      <c r="S202" s="731" t="str">
        <f t="shared" si="88"/>
        <v>6000</v>
      </c>
      <c r="T202" s="337" t="str">
        <f t="shared" si="89"/>
        <v>1+72864.9690340064i</v>
      </c>
      <c r="U202" s="346">
        <f t="shared" si="112"/>
        <v>72864.969040868411</v>
      </c>
      <c r="V202" s="347">
        <f t="shared" si="113"/>
        <v>1.5707826027789094</v>
      </c>
      <c r="W202" s="340" t="str">
        <f t="shared" si="90"/>
        <v>1+721.43533697036i</v>
      </c>
      <c r="X202" s="337">
        <f t="shared" si="114"/>
        <v>721.43603003283442</v>
      </c>
      <c r="Y202" s="339">
        <f t="shared" si="115"/>
        <v>1.5694102020678322</v>
      </c>
      <c r="Z202" s="337" t="str">
        <f t="shared" si="91"/>
        <v>1+7.26734721585745i</v>
      </c>
      <c r="AA202" s="346">
        <f t="shared" si="116"/>
        <v>7.3358254856444773</v>
      </c>
      <c r="AB202" s="347">
        <f t="shared" si="117"/>
        <v>1.4340532624698386</v>
      </c>
      <c r="AC202" s="732" t="str">
        <f t="shared" si="118"/>
        <v>1.09289547015426-8.02397966008392i</v>
      </c>
      <c r="AD202" s="337">
        <f t="shared" si="119"/>
        <v>8.0980658242647152</v>
      </c>
      <c r="AE202" s="339">
        <f t="shared" si="120"/>
        <v>-1.4354256631809155</v>
      </c>
      <c r="AF202" s="736" t="str">
        <f t="shared" si="92"/>
        <v>-2.01318897408467-0.26259509935241i</v>
      </c>
      <c r="AG202" s="337">
        <f t="shared" si="121"/>
        <v>6.1509597954892286</v>
      </c>
      <c r="AH202" s="730">
        <f t="shared" si="122"/>
        <v>-172.56844558334726</v>
      </c>
      <c r="AI202" s="360">
        <f t="shared" si="93"/>
        <v>7.4315544166527445</v>
      </c>
      <c r="AL202" s="337">
        <f t="shared" si="94"/>
        <v>18.167626051262754</v>
      </c>
      <c r="AM202" s="730">
        <f t="shared" si="95"/>
        <v>-82.243832305033706</v>
      </c>
      <c r="AN202" s="351"/>
      <c r="AO202" s="337">
        <f t="shared" si="96"/>
        <v>41.512456229268587</v>
      </c>
      <c r="AP202" s="730">
        <f t="shared" si="97"/>
        <v>-90.324613278313549</v>
      </c>
      <c r="AS202" s="351"/>
      <c r="AT202" s="351"/>
      <c r="AV202" s="405">
        <f t="shared" si="98"/>
        <v>0</v>
      </c>
      <c r="AW202" s="405">
        <f t="shared" si="123"/>
        <v>0</v>
      </c>
      <c r="AX202" s="405">
        <f t="shared" si="99"/>
        <v>0</v>
      </c>
      <c r="AY202" s="405">
        <f t="shared" si="100"/>
        <v>0</v>
      </c>
    </row>
    <row r="203" spans="2:51" ht="13.5" thickBot="1" x14ac:dyDescent="0.25">
      <c r="B203" s="345">
        <v>11548.75</v>
      </c>
      <c r="C203" s="728" t="str">
        <f t="shared" si="83"/>
        <v>2.2271548443541</v>
      </c>
      <c r="D203" s="728" t="str">
        <f t="shared" si="84"/>
        <v>1+8.82849058514864i</v>
      </c>
      <c r="E203" s="337">
        <f t="shared" si="102"/>
        <v>8.8849449076546421</v>
      </c>
      <c r="F203" s="338">
        <f t="shared" si="103"/>
        <v>1.4580074029532273</v>
      </c>
      <c r="G203" s="338" t="str">
        <f t="shared" si="85"/>
        <v>1+0.0362814681581451i</v>
      </c>
      <c r="H203" s="337">
        <f t="shared" si="104"/>
        <v>1.0006579560127977</v>
      </c>
      <c r="I203" s="338">
        <f t="shared" si="105"/>
        <v>3.6265561077537617E-2</v>
      </c>
      <c r="J203" s="340">
        <f t="shared" si="86"/>
        <v>1</v>
      </c>
      <c r="K203" s="338">
        <f t="shared" si="106"/>
        <v>1</v>
      </c>
      <c r="L203" s="339">
        <f t="shared" si="107"/>
        <v>0</v>
      </c>
      <c r="M203" s="731" t="str">
        <f t="shared" si="87"/>
        <v>0.994072283263889+0.156405477112204i</v>
      </c>
      <c r="N203" s="338">
        <f t="shared" si="108"/>
        <v>1.0063013353981884</v>
      </c>
      <c r="O203" s="339">
        <f t="shared" si="109"/>
        <v>0.15605876563195265</v>
      </c>
      <c r="P203" s="732" t="str">
        <f t="shared" si="101"/>
        <v>-0.0017458754944764-0.249254279651051i</v>
      </c>
      <c r="Q203" s="337">
        <f t="shared" si="110"/>
        <v>0.24926039397707475</v>
      </c>
      <c r="R203" s="339">
        <f t="shared" si="111"/>
        <v>-1.5778006075076423</v>
      </c>
      <c r="S203" s="731" t="str">
        <f t="shared" si="88"/>
        <v>6000</v>
      </c>
      <c r="T203" s="337" t="str">
        <f t="shared" si="89"/>
        <v>1+73288.5656794531i</v>
      </c>
      <c r="U203" s="346">
        <f t="shared" si="112"/>
        <v>73288.56568627544</v>
      </c>
      <c r="V203" s="347">
        <f t="shared" si="113"/>
        <v>1.5707826821016124</v>
      </c>
      <c r="W203" s="340" t="str">
        <f t="shared" si="90"/>
        <v>1+725.629363162902i</v>
      </c>
      <c r="X203" s="337">
        <f t="shared" si="114"/>
        <v>725.63005221958576</v>
      </c>
      <c r="Y203" s="339">
        <f t="shared" si="115"/>
        <v>1.5694182136455392</v>
      </c>
      <c r="Z203" s="337" t="str">
        <f t="shared" si="91"/>
        <v>1+7.30959555470595i</v>
      </c>
      <c r="AA203" s="346">
        <f t="shared" si="116"/>
        <v>7.3776816936878618</v>
      </c>
      <c r="AB203" s="347">
        <f t="shared" si="117"/>
        <v>1.4348338844519277</v>
      </c>
      <c r="AC203" s="732" t="str">
        <f t="shared" si="118"/>
        <v>1.08052987872506-7.97929398211236i</v>
      </c>
      <c r="AD203" s="337">
        <f t="shared" si="119"/>
        <v>8.0521225320900385</v>
      </c>
      <c r="AE203" s="339">
        <f t="shared" si="120"/>
        <v>-1.4361983529080009</v>
      </c>
      <c r="AF203" s="736" t="str">
        <f t="shared" si="92"/>
        <v>-1.9907596442717-0.255395842736459i</v>
      </c>
      <c r="AG203" s="337">
        <f t="shared" si="121"/>
        <v>6.0512730441976972</v>
      </c>
      <c r="AH203" s="730">
        <f t="shared" si="122"/>
        <v>-172.68941988863403</v>
      </c>
      <c r="AI203" s="360">
        <f t="shared" si="93"/>
        <v>7.3105801113659652</v>
      </c>
      <c r="AL203" s="337">
        <f t="shared" si="94"/>
        <v>18.118207501693643</v>
      </c>
      <c r="AM203" s="730">
        <f t="shared" si="95"/>
        <v>-82.28810416526882</v>
      </c>
      <c r="AN203" s="351"/>
      <c r="AO203" s="337">
        <f t="shared" si="96"/>
        <v>41.462188027546169</v>
      </c>
      <c r="AP203" s="730">
        <f t="shared" si="97"/>
        <v>-90.401315723365215</v>
      </c>
      <c r="AS203" s="351"/>
      <c r="AT203" s="351"/>
      <c r="AV203" s="405">
        <f t="shared" si="98"/>
        <v>0</v>
      </c>
      <c r="AW203" s="405">
        <f t="shared" si="123"/>
        <v>0</v>
      </c>
      <c r="AX203" s="405">
        <f t="shared" si="99"/>
        <v>0</v>
      </c>
      <c r="AY203" s="405">
        <f t="shared" si="100"/>
        <v>0</v>
      </c>
    </row>
    <row r="204" spans="2:51" ht="13.5" thickBot="1" x14ac:dyDescent="0.25">
      <c r="B204" s="345">
        <v>11615.5</v>
      </c>
      <c r="C204" s="728" t="str">
        <f t="shared" si="83"/>
        <v>2.2271548443541</v>
      </c>
      <c r="D204" s="728" t="str">
        <f t="shared" si="84"/>
        <v>1+8.87951790382458i</v>
      </c>
      <c r="E204" s="337">
        <f t="shared" si="102"/>
        <v>8.9356498479036901</v>
      </c>
      <c r="F204" s="338">
        <f t="shared" si="103"/>
        <v>1.4586501230748878</v>
      </c>
      <c r="G204" s="338" t="str">
        <f t="shared" si="85"/>
        <v>1+0.0364911694677722i</v>
      </c>
      <c r="H204" s="337">
        <f t="shared" si="104"/>
        <v>1.0006655812253791</v>
      </c>
      <c r="I204" s="338">
        <f t="shared" si="105"/>
        <v>3.6474985116471841E-2</v>
      </c>
      <c r="J204" s="340">
        <f t="shared" si="86"/>
        <v>1</v>
      </c>
      <c r="K204" s="338">
        <f t="shared" si="106"/>
        <v>1</v>
      </c>
      <c r="L204" s="339">
        <f t="shared" si="107"/>
        <v>0</v>
      </c>
      <c r="M204" s="731" t="str">
        <f t="shared" si="87"/>
        <v>0.994003562655556+0.157309476730972i</v>
      </c>
      <c r="N204" s="338">
        <f t="shared" si="108"/>
        <v>1.0063743607829594</v>
      </c>
      <c r="O204" s="339">
        <f t="shared" si="109"/>
        <v>0.15695673652381112</v>
      </c>
      <c r="P204" s="732" t="str">
        <f t="shared" si="101"/>
        <v>-0.0020657738712126-0.247821271525411i</v>
      </c>
      <c r="Q204" s="337">
        <f t="shared" si="110"/>
        <v>0.24782988125356972</v>
      </c>
      <c r="R204" s="339">
        <f t="shared" si="111"/>
        <v>-1.5791318744822269</v>
      </c>
      <c r="S204" s="731" t="str">
        <f t="shared" si="88"/>
        <v>6000</v>
      </c>
      <c r="T204" s="337" t="str">
        <f t="shared" si="89"/>
        <v>1+73712.1623249i</v>
      </c>
      <c r="U204" s="346">
        <f t="shared" si="112"/>
        <v>73712.162331683139</v>
      </c>
      <c r="V204" s="347">
        <f t="shared" si="113"/>
        <v>1.5707827605126388</v>
      </c>
      <c r="W204" s="340" t="str">
        <f t="shared" si="90"/>
        <v>1+729.823389355445i</v>
      </c>
      <c r="X204" s="337">
        <f t="shared" si="114"/>
        <v>729.82407445237743</v>
      </c>
      <c r="Y204" s="339">
        <f t="shared" si="115"/>
        <v>1.5694261331442481</v>
      </c>
      <c r="Z204" s="337" t="str">
        <f t="shared" si="91"/>
        <v>1+7.35184389355445i</v>
      </c>
      <c r="AA204" s="346">
        <f t="shared" si="116"/>
        <v>7.4195423467484742</v>
      </c>
      <c r="AB204" s="347">
        <f t="shared" si="117"/>
        <v>1.4356056984466716</v>
      </c>
      <c r="AC204" s="732" t="str">
        <f t="shared" si="118"/>
        <v>1.06837169220409-7.93509367715658i</v>
      </c>
      <c r="AD204" s="337">
        <f t="shared" si="119"/>
        <v>8.0066928090163021</v>
      </c>
      <c r="AE204" s="339">
        <f t="shared" si="120"/>
        <v>-1.4369623258150619</v>
      </c>
      <c r="AF204" s="736" t="str">
        <f t="shared" si="92"/>
        <v>-1.96869201907269-0.248373122039878i</v>
      </c>
      <c r="AG204" s="337">
        <f t="shared" si="121"/>
        <v>5.9521367028024441</v>
      </c>
      <c r="AH204" s="730">
        <f t="shared" si="122"/>
        <v>-172.80946829091982</v>
      </c>
      <c r="AI204" s="360">
        <f t="shared" si="93"/>
        <v>7.1905317090801759</v>
      </c>
      <c r="AL204" s="337">
        <f t="shared" si="94"/>
        <v>18.06906332696029</v>
      </c>
      <c r="AM204" s="730">
        <f t="shared" si="95"/>
        <v>-82.33187658850575</v>
      </c>
      <c r="AN204" s="351"/>
      <c r="AO204" s="337">
        <f t="shared" si="96"/>
        <v>41.412195860884289</v>
      </c>
      <c r="AP204" s="730">
        <f t="shared" si="97"/>
        <v>-90.47759170241406</v>
      </c>
      <c r="AS204" s="351"/>
      <c r="AT204" s="351"/>
      <c r="AV204" s="405">
        <f t="shared" si="98"/>
        <v>0</v>
      </c>
      <c r="AW204" s="405">
        <f t="shared" si="123"/>
        <v>0</v>
      </c>
      <c r="AX204" s="405">
        <f t="shared" si="99"/>
        <v>0</v>
      </c>
      <c r="AY204" s="405">
        <f t="shared" si="100"/>
        <v>0</v>
      </c>
    </row>
    <row r="205" spans="2:51" ht="13.5" thickBot="1" x14ac:dyDescent="0.25">
      <c r="B205" s="345">
        <v>11682.25</v>
      </c>
      <c r="C205" s="728" t="str">
        <f t="shared" ref="C205:C268" si="124">COMPLEX(Am*Afb,0)</f>
        <v>2.2271548443541</v>
      </c>
      <c r="D205" s="728" t="str">
        <f t="shared" ref="D205:D268" si="125">IMSUM(COMPLEX(1,0),IMDIV(COMPLEX(0,2*PI()*B205),COMPLEX(2*PI()*PS_Pole1,0)))</f>
        <v>1+8.93054522250051i</v>
      </c>
      <c r="E205" s="337">
        <f t="shared" si="102"/>
        <v>8.9863584377169534</v>
      </c>
      <c r="F205" s="338">
        <f t="shared" si="103"/>
        <v>1.4592855899219701</v>
      </c>
      <c r="G205" s="338" t="str">
        <f t="shared" ref="G205:G268" si="126">IMSUM(COMPLEX(1,0),IMDIV(COMPLEX(0,2*PI()*B205),COMPLEX(2*PI()*PS_Zero1,0)))</f>
        <v>1+0.0367008707773993i</v>
      </c>
      <c r="H205" s="337">
        <f t="shared" si="104"/>
        <v>1.0006732503249096</v>
      </c>
      <c r="I205" s="338">
        <f t="shared" si="105"/>
        <v>3.6684405954564375E-2</v>
      </c>
      <c r="J205" s="340">
        <f t="shared" ref="J205:J268" si="127">IF(VIN_nom&gt;Vout, 1,IMSUB(COMPLEX(1,0),IMDIV(COMPLEX(0,2*PI()*B205),COMPLEX(2*PI()*PS_RHPZ,0))))</f>
        <v>1</v>
      </c>
      <c r="K205" s="338">
        <f t="shared" si="106"/>
        <v>1</v>
      </c>
      <c r="L205" s="339">
        <f t="shared" si="107"/>
        <v>0</v>
      </c>
      <c r="M205" s="731" t="str">
        <f t="shared" ref="M205:M268" si="128">IMSUM(COMPLEX(1,0),IMDIV(COMPLEX(0,2*PI()*B205),COMPLEX(Q*(2*PI()*PS_Pole2/2),0)),IMDIV(IMPOWER(COMPLEX(0,2*PI()*B205),2),IMPOWER(COMPLEX(2*PI()*PS_Pole2/2,0),2)))</f>
        <v>0.993934445997222+0.158213476349739i</v>
      </c>
      <c r="N205" s="338">
        <f t="shared" si="108"/>
        <v>1.0064478064154514</v>
      </c>
      <c r="O205" s="339">
        <f t="shared" si="109"/>
        <v>0.15785463824275756</v>
      </c>
      <c r="P205" s="732" t="str">
        <f t="shared" si="101"/>
        <v>-0.00238021065664651-0.246403825942095i</v>
      </c>
      <c r="Q205" s="337">
        <f t="shared" si="110"/>
        <v>0.24641532184844403</v>
      </c>
      <c r="R205" s="339">
        <f t="shared" si="111"/>
        <v>-1.5804558222101632</v>
      </c>
      <c r="S205" s="731" t="str">
        <f t="shared" ref="S205:S268" si="129">COMPLEX(AEA,0)</f>
        <v>6000</v>
      </c>
      <c r="T205" s="337" t="str">
        <f t="shared" ref="T205:T268" si="130">IMSUM(COMPLEX(1,0),IMDIV(COMPLEX(0,2*PI()*B205),COMPLEX(2*PI()*EA_Pole1,0)))</f>
        <v>1+74135.7589703467i</v>
      </c>
      <c r="U205" s="346">
        <f t="shared" si="112"/>
        <v>74135.758977091085</v>
      </c>
      <c r="V205" s="347">
        <f t="shared" si="113"/>
        <v>1.5707828380276159</v>
      </c>
      <c r="W205" s="340" t="str">
        <f t="shared" ref="W205:W268" si="131">IMSUM(COMPLEX(1,0),IMDIV(COMPLEX(0,2*PI()*B205),COMPLEX(2*PI()*EA_Zero1,0)))</f>
        <v>1+734.017415547987i</v>
      </c>
      <c r="X205" s="337">
        <f t="shared" si="114"/>
        <v>734.01809673041862</v>
      </c>
      <c r="Y205" s="339">
        <f t="shared" si="115"/>
        <v>1.5694339621423166</v>
      </c>
      <c r="Z205" s="337" t="str">
        <f t="shared" ref="Z205:Z268" si="132">IMSUM(COMPLEX(1,0),IMDIV(COMPLEX(0,2*PI()*B205),COMPLEX(2*PI()*EA_Pole2,0)))</f>
        <v>1+7.39409223240295i</v>
      </c>
      <c r="AA205" s="346">
        <f t="shared" si="116"/>
        <v>7.4614073700128216</v>
      </c>
      <c r="AB205" s="347">
        <f t="shared" si="117"/>
        <v>1.4363688517882547</v>
      </c>
      <c r="AC205" s="732" t="str">
        <f t="shared" si="118"/>
        <v>1.05641632656506-7.89137104520592i</v>
      </c>
      <c r="AD205" s="337">
        <f t="shared" si="119"/>
        <v>7.9617681722182532</v>
      </c>
      <c r="AE205" s="339">
        <f t="shared" si="120"/>
        <v>-1.437717727673554</v>
      </c>
      <c r="AF205" s="736" t="str">
        <f t="shared" ref="AF205:AF268" si="133">IMPRODUCT(P205,AC205)</f>
        <v>-1.94697851086575-0.241521899195974i</v>
      </c>
      <c r="AG205" s="337">
        <f t="shared" si="121"/>
        <v>5.8535447223881363</v>
      </c>
      <c r="AH205" s="730">
        <f t="shared" si="122"/>
        <v>-172.92860624635441</v>
      </c>
      <c r="AI205" s="360">
        <f t="shared" ref="AI205:AI268" si="134">IF(AH205&gt;0,AH205-180,AH205+180)</f>
        <v>7.0713937536455944</v>
      </c>
      <c r="AL205" s="337">
        <f t="shared" ref="AL205:AL268" si="135">20*LOG10(IMABS(AC205))</f>
        <v>18.020190556164412</v>
      </c>
      <c r="AM205" s="730">
        <f t="shared" ref="AM205:AM268" si="136">(180/PI())*IMARGUMENT(AC205)</f>
        <v>-82.37515792683368</v>
      </c>
      <c r="AN205" s="351"/>
      <c r="AO205" s="337">
        <f t="shared" ref="AO205:AO268" si="137">20*LOG10(IMABS(IMPRODUCT(COMPLEX(Am/Afb,0),P205)))</f>
        <v>41.362476651265879</v>
      </c>
      <c r="AP205" s="730">
        <f t="shared" ref="AP205:AP268" si="138">180/PI()*IMARGUMENT(IMPRODUCT(COMPLEX(Am/Afb,0),P205))</f>
        <v>-90.553448319520754</v>
      </c>
      <c r="AS205" s="351"/>
      <c r="AT205" s="351"/>
      <c r="AV205" s="405">
        <f t="shared" ref="AV205:AV268" si="139">SUM((AG206&lt;0)*(AG205&gt;0))*B205</f>
        <v>0</v>
      </c>
      <c r="AW205" s="405">
        <f t="shared" si="123"/>
        <v>0</v>
      </c>
      <c r="AX205" s="405">
        <f t="shared" ref="AX205:AX268" si="140">SUM((AL206&lt;0)*(AL205&gt;0))*B205</f>
        <v>0</v>
      </c>
      <c r="AY205" s="405">
        <f t="shared" ref="AY205:AY268" si="141">IF(AX205&gt;0,AM205,0)</f>
        <v>0</v>
      </c>
    </row>
    <row r="206" spans="2:51" ht="13.5" thickBot="1" x14ac:dyDescent="0.25">
      <c r="B206" s="345">
        <v>11749</v>
      </c>
      <c r="C206" s="728" t="str">
        <f t="shared" si="124"/>
        <v>2.2271548443541</v>
      </c>
      <c r="D206" s="728" t="str">
        <f t="shared" si="125"/>
        <v>1+8.98157254117645i</v>
      </c>
      <c r="E206" s="337">
        <f t="shared" si="102"/>
        <v>9.0370706156594114</v>
      </c>
      <c r="F206" s="338">
        <f t="shared" si="103"/>
        <v>1.4599139250837108</v>
      </c>
      <c r="G206" s="338" t="str">
        <f t="shared" si="126"/>
        <v>1+0.0369105720870265i</v>
      </c>
      <c r="H206" s="337">
        <f t="shared" si="104"/>
        <v>1.0006809633103808</v>
      </c>
      <c r="I206" s="338">
        <f t="shared" si="105"/>
        <v>3.6893823573519939E-2</v>
      </c>
      <c r="J206" s="340">
        <f t="shared" si="127"/>
        <v>1</v>
      </c>
      <c r="K206" s="338">
        <f t="shared" si="106"/>
        <v>1</v>
      </c>
      <c r="L206" s="339">
        <f t="shared" si="107"/>
        <v>0</v>
      </c>
      <c r="M206" s="731" t="str">
        <f t="shared" si="128"/>
        <v>0.993864933288889+0.159117475968507i</v>
      </c>
      <c r="N206" s="338">
        <f t="shared" si="108"/>
        <v>1.0065216722852599</v>
      </c>
      <c r="O206" s="339">
        <f t="shared" si="109"/>
        <v>0.15875247040309495</v>
      </c>
      <c r="P206" s="732" t="str">
        <f t="shared" ref="P206:P269" si="142">(IMDIV(IMPRODUCT(C206,G206,J206),IMPRODUCT(D206,M206)))</f>
        <v>-0.00268930661905863-0.245001691239884i</v>
      </c>
      <c r="Q206" s="337">
        <f t="shared" si="110"/>
        <v>0.24501645063239072</v>
      </c>
      <c r="R206" s="339">
        <f t="shared" si="111"/>
        <v>-1.5817725719132856</v>
      </c>
      <c r="S206" s="731" t="str">
        <f t="shared" si="129"/>
        <v>6000</v>
      </c>
      <c r="T206" s="337" t="str">
        <f t="shared" si="130"/>
        <v>1+74559.3556157935i</v>
      </c>
      <c r="U206" s="346">
        <f t="shared" si="112"/>
        <v>74559.35562249957</v>
      </c>
      <c r="V206" s="347">
        <f t="shared" si="113"/>
        <v>1.5707829146618157</v>
      </c>
      <c r="W206" s="340" t="str">
        <f t="shared" si="131"/>
        <v>1+738.21144174053i</v>
      </c>
      <c r="X206" s="337">
        <f t="shared" si="114"/>
        <v>738.21211905293978</v>
      </c>
      <c r="Y206" s="339">
        <f t="shared" si="115"/>
        <v>1.5694417021822342</v>
      </c>
      <c r="Z206" s="337" t="str">
        <f t="shared" si="132"/>
        <v>1+7.43634057125146i</v>
      </c>
      <c r="AA206" s="346">
        <f t="shared" si="116"/>
        <v>7.5032766903293986</v>
      </c>
      <c r="AB206" s="347">
        <f t="shared" si="117"/>
        <v>1.4371234885631503</v>
      </c>
      <c r="AC206" s="732" t="str">
        <f t="shared" si="118"/>
        <v>1.04465932293936-7.84811854440444i</v>
      </c>
      <c r="AD206" s="337">
        <f t="shared" si="119"/>
        <v>7.9173403228627857</v>
      </c>
      <c r="AE206" s="339">
        <f t="shared" si="120"/>
        <v>-1.4384647010427318</v>
      </c>
      <c r="AF206" s="736" t="str">
        <f t="shared" si="133"/>
        <v>-1.92561172566203-0.234837303741032i</v>
      </c>
      <c r="AG206" s="337">
        <f t="shared" si="121"/>
        <v>5.755491150962893</v>
      </c>
      <c r="AH206" s="730">
        <f t="shared" si="122"/>
        <v>-173.04684886848102</v>
      </c>
      <c r="AI206" s="360">
        <f t="shared" si="134"/>
        <v>6.9531511315189789</v>
      </c>
      <c r="AL206" s="337">
        <f t="shared" si="135"/>
        <v>17.971586265384534</v>
      </c>
      <c r="AM206" s="730">
        <f t="shared" si="136"/>
        <v>-82.417956348296244</v>
      </c>
      <c r="AN206" s="351"/>
      <c r="AO206" s="337">
        <f t="shared" si="137"/>
        <v>41.31302737062051</v>
      </c>
      <c r="AP206" s="730">
        <f t="shared" si="138"/>
        <v>-90.628892520184763</v>
      </c>
      <c r="AS206" s="351"/>
      <c r="AT206" s="351"/>
      <c r="AV206" s="405">
        <f t="shared" si="139"/>
        <v>0</v>
      </c>
      <c r="AW206" s="405">
        <f t="shared" si="123"/>
        <v>0</v>
      </c>
      <c r="AX206" s="405">
        <f t="shared" si="140"/>
        <v>0</v>
      </c>
      <c r="AY206" s="405">
        <f t="shared" si="141"/>
        <v>0</v>
      </c>
    </row>
    <row r="207" spans="2:51" ht="13.5" thickBot="1" x14ac:dyDescent="0.25">
      <c r="B207" s="345">
        <v>11817.5</v>
      </c>
      <c r="C207" s="728" t="str">
        <f t="shared" si="124"/>
        <v>2.2271548443541</v>
      </c>
      <c r="D207" s="728" t="str">
        <f t="shared" si="125"/>
        <v>1+9.03393765472403i</v>
      </c>
      <c r="E207" s="337">
        <f t="shared" si="102"/>
        <v>9.0891159938379449</v>
      </c>
      <c r="F207" s="338">
        <f t="shared" si="103"/>
        <v>1.4605514435327758</v>
      </c>
      <c r="G207" s="338" t="str">
        <f t="shared" si="126"/>
        <v>1+0.0371257711837974i</v>
      </c>
      <c r="H207" s="337">
        <f t="shared" si="104"/>
        <v>1.0006889241347641</v>
      </c>
      <c r="I207" s="338">
        <f t="shared" si="105"/>
        <v>3.7108728176011803E-2</v>
      </c>
      <c r="J207" s="340">
        <f t="shared" si="127"/>
        <v>1</v>
      </c>
      <c r="K207" s="338">
        <f t="shared" si="106"/>
        <v>1</v>
      </c>
      <c r="L207" s="339">
        <f t="shared" si="107"/>
        <v>0</v>
      </c>
      <c r="M207" s="731" t="str">
        <f t="shared" si="128"/>
        <v>0.993793186388889+0.160045175951811i</v>
      </c>
      <c r="N207" s="338">
        <f t="shared" si="108"/>
        <v>1.0065979116104042</v>
      </c>
      <c r="O207" s="339">
        <f t="shared" si="109"/>
        <v>0.15967376851204299</v>
      </c>
      <c r="P207" s="732" t="str">
        <f t="shared" si="142"/>
        <v>-0.003001076684859-0.243578456392552i</v>
      </c>
      <c r="Q207" s="337">
        <f t="shared" si="110"/>
        <v>0.24359694349446739</v>
      </c>
      <c r="R207" s="339">
        <f t="shared" si="111"/>
        <v>-1.5831164838688068</v>
      </c>
      <c r="S207" s="731" t="str">
        <f t="shared" si="129"/>
        <v>6000</v>
      </c>
      <c r="T207" s="337" t="str">
        <f t="shared" si="130"/>
        <v>1+74994.0577912708i</v>
      </c>
      <c r="U207" s="346">
        <f t="shared" si="112"/>
        <v>74994.057797938003</v>
      </c>
      <c r="V207" s="347">
        <f t="shared" si="113"/>
        <v>1.5707829924050878</v>
      </c>
      <c r="W207" s="340" t="str">
        <f t="shared" si="131"/>
        <v>1+742.515423675948i</v>
      </c>
      <c r="X207" s="337">
        <f t="shared" si="114"/>
        <v>742.51609706232807</v>
      </c>
      <c r="Y207" s="339">
        <f t="shared" si="115"/>
        <v>1.5694495542383744</v>
      </c>
      <c r="Z207" s="337" t="str">
        <f t="shared" si="132"/>
        <v>1+7.47969654445179i</v>
      </c>
      <c r="AA207" s="346">
        <f t="shared" si="116"/>
        <v>7.5462481006844744</v>
      </c>
      <c r="AB207" s="347">
        <f t="shared" si="117"/>
        <v>1.4378892031849366</v>
      </c>
      <c r="AC207" s="732" t="str">
        <f t="shared" si="118"/>
        <v>1.03279576576043-7.804213117158i</v>
      </c>
      <c r="AD207" s="337">
        <f t="shared" si="119"/>
        <v>7.8722556787615607</v>
      </c>
      <c r="AE207" s="339">
        <f t="shared" si="120"/>
        <v>-1.4392226413516507</v>
      </c>
      <c r="AF207" s="736" t="str">
        <f t="shared" si="133"/>
        <v>-1.9040376837287-0.228145756363116i</v>
      </c>
      <c r="AG207" s="337">
        <f t="shared" si="121"/>
        <v>5.6554205120557688</v>
      </c>
      <c r="AH207" s="730">
        <f t="shared" si="122"/>
        <v>-173.16727613239343</v>
      </c>
      <c r="AI207" s="360">
        <f t="shared" si="134"/>
        <v>6.8327238676065747</v>
      </c>
      <c r="AL207" s="337">
        <f t="shared" si="135"/>
        <v>17.921983817388629</v>
      </c>
      <c r="AM207" s="730">
        <f t="shared" si="136"/>
        <v>-82.461383129120136</v>
      </c>
      <c r="AN207" s="351"/>
      <c r="AO207" s="337">
        <f t="shared" si="137"/>
        <v>41.262559179709285</v>
      </c>
      <c r="AP207" s="730">
        <f t="shared" si="138"/>
        <v>-90.705893003273303</v>
      </c>
      <c r="AS207" s="351"/>
      <c r="AT207" s="351"/>
      <c r="AV207" s="405">
        <f t="shared" si="139"/>
        <v>0</v>
      </c>
      <c r="AW207" s="405">
        <f t="shared" si="123"/>
        <v>0</v>
      </c>
      <c r="AX207" s="405">
        <f t="shared" si="140"/>
        <v>0</v>
      </c>
      <c r="AY207" s="405">
        <f t="shared" si="141"/>
        <v>0</v>
      </c>
    </row>
    <row r="208" spans="2:51" ht="13.5" thickBot="1" x14ac:dyDescent="0.25">
      <c r="B208" s="345">
        <v>11886</v>
      </c>
      <c r="C208" s="728" t="str">
        <f t="shared" si="124"/>
        <v>2.2271548443541</v>
      </c>
      <c r="D208" s="728" t="str">
        <f t="shared" si="125"/>
        <v>1+9.08630276827162i</v>
      </c>
      <c r="E208" s="337">
        <f t="shared" si="102"/>
        <v>9.1411650240382674</v>
      </c>
      <c r="F208" s="338">
        <f t="shared" si="103"/>
        <v>1.4611817022819613</v>
      </c>
      <c r="G208" s="338" t="str">
        <f t="shared" si="126"/>
        <v>1+0.0373409702805683i</v>
      </c>
      <c r="H208" s="337">
        <f t="shared" si="104"/>
        <v>1.0006969311742162</v>
      </c>
      <c r="I208" s="338">
        <f t="shared" si="105"/>
        <v>3.7323629349326079E-2</v>
      </c>
      <c r="J208" s="340">
        <f t="shared" si="127"/>
        <v>1</v>
      </c>
      <c r="K208" s="338">
        <f t="shared" si="106"/>
        <v>1</v>
      </c>
      <c r="L208" s="339">
        <f t="shared" si="107"/>
        <v>0</v>
      </c>
      <c r="M208" s="731" t="str">
        <f t="shared" si="128"/>
        <v>0.9937210224+0.160972875935115i</v>
      </c>
      <c r="N208" s="338">
        <f t="shared" si="108"/>
        <v>1.0066745934742385</v>
      </c>
      <c r="O208" s="339">
        <f t="shared" si="109"/>
        <v>0.16059499254492537</v>
      </c>
      <c r="P208" s="732" t="str">
        <f t="shared" si="142"/>
        <v>-0.0033074693087165-0.242170825809039i</v>
      </c>
      <c r="Q208" s="337">
        <f t="shared" si="110"/>
        <v>0.24219341078208551</v>
      </c>
      <c r="R208" s="339">
        <f t="shared" si="111"/>
        <v>-1.5844530654775604</v>
      </c>
      <c r="S208" s="731" t="str">
        <f t="shared" si="129"/>
        <v>6000</v>
      </c>
      <c r="T208" s="337" t="str">
        <f t="shared" si="130"/>
        <v>1+75428.759966748i</v>
      </c>
      <c r="U208" s="346">
        <f t="shared" si="112"/>
        <v>75428.759973376771</v>
      </c>
      <c r="V208" s="347">
        <f t="shared" si="113"/>
        <v>1.5707830692522777</v>
      </c>
      <c r="W208" s="340" t="str">
        <f t="shared" si="131"/>
        <v>1+746.819405611366i</v>
      </c>
      <c r="X208" s="337">
        <f t="shared" si="114"/>
        <v>746.82007511696827</v>
      </c>
      <c r="Y208" s="339">
        <f t="shared" si="115"/>
        <v>1.5694573157905813</v>
      </c>
      <c r="Z208" s="337" t="str">
        <f t="shared" si="132"/>
        <v>1+7.52305251765212i</v>
      </c>
      <c r="AA208" s="346">
        <f t="shared" si="116"/>
        <v>7.5892238854412444</v>
      </c>
      <c r="AB208" s="347">
        <f t="shared" si="117"/>
        <v>1.4386462461641893</v>
      </c>
      <c r="AC208" s="732" t="str">
        <f t="shared" si="118"/>
        <v>1.02113198061018-7.7607871964988i</v>
      </c>
      <c r="AD208" s="337">
        <f t="shared" si="119"/>
        <v>7.8276770775987288</v>
      </c>
      <c r="AE208" s="339">
        <f t="shared" si="120"/>
        <v>-1.4399719996258862</v>
      </c>
      <c r="AF208" s="736" t="str">
        <f t="shared" si="133"/>
        <v>-1.88281360699035-0.221619809540487i</v>
      </c>
      <c r="AG208" s="337">
        <f t="shared" si="121"/>
        <v>5.5559044873852113</v>
      </c>
      <c r="AH208" s="730">
        <f t="shared" si="122"/>
        <v>-173.28679168400674</v>
      </c>
      <c r="AI208" s="360">
        <f t="shared" si="134"/>
        <v>6.7132083159932563</v>
      </c>
      <c r="AL208" s="337">
        <f t="shared" si="135"/>
        <v>17.872658020072588</v>
      </c>
      <c r="AM208" s="730">
        <f t="shared" si="136"/>
        <v>-82.504318195577042</v>
      </c>
      <c r="AN208" s="351"/>
      <c r="AO208" s="337">
        <f t="shared" si="137"/>
        <v>41.212368952354765</v>
      </c>
      <c r="AP208" s="730">
        <f t="shared" si="138"/>
        <v>-90.782473488429687</v>
      </c>
      <c r="AS208" s="351"/>
      <c r="AT208" s="351"/>
      <c r="AV208" s="405">
        <f t="shared" si="139"/>
        <v>0</v>
      </c>
      <c r="AW208" s="405">
        <f t="shared" si="123"/>
        <v>0</v>
      </c>
      <c r="AX208" s="405">
        <f t="shared" si="140"/>
        <v>0</v>
      </c>
      <c r="AY208" s="405">
        <f t="shared" si="141"/>
        <v>0</v>
      </c>
    </row>
    <row r="209" spans="2:51" ht="13.5" thickBot="1" x14ac:dyDescent="0.25">
      <c r="B209" s="345">
        <v>11954.5</v>
      </c>
      <c r="C209" s="728" t="str">
        <f t="shared" si="124"/>
        <v>2.2271548443541</v>
      </c>
      <c r="D209" s="728" t="str">
        <f t="shared" si="125"/>
        <v>1+9.13866788181921i</v>
      </c>
      <c r="E209" s="337">
        <f t="shared" ref="E209:E272" si="143">IMABS(D209)</f>
        <v>9.1932176442306659</v>
      </c>
      <c r="F209" s="338">
        <f t="shared" ref="F209:F272" si="144">IMARGUMENT(D209)</f>
        <v>1.4618048241409909</v>
      </c>
      <c r="G209" s="338" t="str">
        <f t="shared" si="126"/>
        <v>1+0.0375561693773392i</v>
      </c>
      <c r="H209" s="337">
        <f t="shared" ref="H209:H272" si="145">IMABS(G209)</f>
        <v>1.0007049844276281</v>
      </c>
      <c r="I209" s="338">
        <f t="shared" ref="I209:I272" si="146">IMARGUMENT(G209)</f>
        <v>3.7538527073695982E-2</v>
      </c>
      <c r="J209" s="340">
        <f t="shared" si="127"/>
        <v>1</v>
      </c>
      <c r="K209" s="338">
        <f t="shared" ref="K209:K272" si="147">IMABS(J209)</f>
        <v>1</v>
      </c>
      <c r="L209" s="339">
        <f t="shared" ref="L209:L272" si="148">IMARGUMENT(J209)</f>
        <v>0</v>
      </c>
      <c r="M209" s="731" t="str">
        <f t="shared" si="128"/>
        <v>0.993648441322222+0.16190057591842i</v>
      </c>
      <c r="N209" s="338">
        <f t="shared" ref="N209:N272" si="149">IMABS(M209)</f>
        <v>1.0067517178653322</v>
      </c>
      <c r="O209" s="339">
        <f t="shared" ref="O209:O272" si="150">IMARGUMENT(M209)</f>
        <v>0.16151614208556619</v>
      </c>
      <c r="P209" s="732" t="str">
        <f t="shared" si="142"/>
        <v>-0.00360860447017129-0.240778544529708i</v>
      </c>
      <c r="Q209" s="337">
        <f t="shared" ref="Q209:Q272" si="151">IMABS(P209)</f>
        <v>0.24080558451179393</v>
      </c>
      <c r="R209" s="339">
        <f t="shared" ref="R209:R272" si="152">IMARGUMENT(P209)</f>
        <v>-1.585782439152861</v>
      </c>
      <c r="S209" s="731" t="str">
        <f t="shared" si="129"/>
        <v>6000</v>
      </c>
      <c r="T209" s="337" t="str">
        <f t="shared" si="130"/>
        <v>1+75863.4621422252i</v>
      </c>
      <c r="U209" s="346">
        <f t="shared" ref="U209:U272" si="153">IMABS(T209)</f>
        <v>75863.462148815976</v>
      </c>
      <c r="V209" s="347">
        <f t="shared" ref="V209:V272" si="154">IMARGUMENT(T209)</f>
        <v>1.5707831452187899</v>
      </c>
      <c r="W209" s="340" t="str">
        <f t="shared" si="131"/>
        <v>1+751.123387546784i</v>
      </c>
      <c r="X209" s="337">
        <f t="shared" ref="X209:X272" si="155">IMABS(W209)</f>
        <v>751.12405321608242</v>
      </c>
      <c r="Y209" s="339">
        <f t="shared" ref="Y209:Y272" si="156">IMARGUMENT(W209)</f>
        <v>1.5694649883946301</v>
      </c>
      <c r="Z209" s="337" t="str">
        <f t="shared" si="132"/>
        <v>1+7.56640849085246i</v>
      </c>
      <c r="AA209" s="346">
        <f t="shared" ref="AA209:AA272" si="157">IMABS(Z209)</f>
        <v>7.6322039707049374</v>
      </c>
      <c r="AB209" s="347">
        <f t="shared" ref="AB209:AB272" si="158">IMARGUMENT(Z209)</f>
        <v>1.4393947631265278</v>
      </c>
      <c r="AC209" s="732" t="str">
        <f t="shared" ref="AC209:AC272" si="159">IMPRODUCT(S209,IMDIV(W209,IMPRODUCT(T209,Z209)))</f>
        <v>1.0096635335194-7.71783312562902i</v>
      </c>
      <c r="AD209" s="337">
        <f t="shared" ref="AD209:AD272" si="160">IMABS(AC209)</f>
        <v>7.7835961229996693</v>
      </c>
      <c r="AE209" s="339">
        <f t="shared" ref="AE209:AE272" si="161">IMARGUMENT(AC209)</f>
        <v>-1.4407129199506878</v>
      </c>
      <c r="AF209" s="736" t="str">
        <f t="shared" si="133"/>
        <v>-1.86193210325255-0.215254708948342i</v>
      </c>
      <c r="AG209" s="337">
        <f t="shared" ref="AG209:AG272" si="162">20*LOG10(IMABS(AF209))</f>
        <v>5.4569369496263578</v>
      </c>
      <c r="AH209" s="730">
        <f t="shared" ref="AH209:AH272" si="163">(180/PI())*IMARGUMENT(AF209)</f>
        <v>-173.40541079256383</v>
      </c>
      <c r="AI209" s="360">
        <f t="shared" si="134"/>
        <v>6.5945892074361723</v>
      </c>
      <c r="AL209" s="337">
        <f t="shared" si="135"/>
        <v>17.823605861487589</v>
      </c>
      <c r="AM209" s="730">
        <f t="shared" si="136"/>
        <v>-82.546769803143633</v>
      </c>
      <c r="AN209" s="351"/>
      <c r="AO209" s="337">
        <f t="shared" si="137"/>
        <v>41.162453573180919</v>
      </c>
      <c r="AP209" s="730">
        <f t="shared" si="138"/>
        <v>-90.858640989420209</v>
      </c>
      <c r="AS209" s="351"/>
      <c r="AT209" s="351"/>
      <c r="AV209" s="405">
        <f t="shared" si="139"/>
        <v>0</v>
      </c>
      <c r="AW209" s="405">
        <f t="shared" si="123"/>
        <v>0</v>
      </c>
      <c r="AX209" s="405">
        <f t="shared" si="140"/>
        <v>0</v>
      </c>
      <c r="AY209" s="405">
        <f t="shared" si="141"/>
        <v>0</v>
      </c>
    </row>
    <row r="210" spans="2:51" ht="13.5" thickBot="1" x14ac:dyDescent="0.25">
      <c r="B210" s="345">
        <v>12023</v>
      </c>
      <c r="C210" s="728" t="str">
        <f t="shared" si="124"/>
        <v>2.2271548443541</v>
      </c>
      <c r="D210" s="728" t="str">
        <f t="shared" si="125"/>
        <v>1+9.19103299536679i</v>
      </c>
      <c r="E210" s="337">
        <f t="shared" si="143"/>
        <v>9.24527379377815</v>
      </c>
      <c r="F210" s="338">
        <f t="shared" si="144"/>
        <v>1.4624209291760903</v>
      </c>
      <c r="G210" s="338" t="str">
        <f t="shared" si="126"/>
        <v>1+0.0377713684741101i</v>
      </c>
      <c r="H210" s="337">
        <f t="shared" si="145"/>
        <v>1.0007130838938836</v>
      </c>
      <c r="I210" s="338">
        <f t="shared" si="146"/>
        <v>3.7753421329356607E-2</v>
      </c>
      <c r="J210" s="340">
        <f t="shared" si="127"/>
        <v>1</v>
      </c>
      <c r="K210" s="338">
        <f t="shared" si="147"/>
        <v>1</v>
      </c>
      <c r="L210" s="339">
        <f t="shared" si="148"/>
        <v>0</v>
      </c>
      <c r="M210" s="731" t="str">
        <f t="shared" si="128"/>
        <v>0.993575443155556+0.162828275901724i</v>
      </c>
      <c r="N210" s="338">
        <f t="shared" si="149"/>
        <v>1.0068292847721938</v>
      </c>
      <c r="O210" s="339">
        <f t="shared" si="150"/>
        <v>0.16243721671801151</v>
      </c>
      <c r="P210" s="732" t="str">
        <f t="shared" si="142"/>
        <v>-0.00390459882200251-0.239401363044193i</v>
      </c>
      <c r="Q210" s="337">
        <f t="shared" si="151"/>
        <v>0.23943320262523801</v>
      </c>
      <c r="R210" s="339">
        <f t="shared" si="152"/>
        <v>-1.5871047245647452</v>
      </c>
      <c r="S210" s="731" t="str">
        <f t="shared" si="129"/>
        <v>6000</v>
      </c>
      <c r="T210" s="337" t="str">
        <f t="shared" si="130"/>
        <v>1+76298.1643177024i</v>
      </c>
      <c r="U210" s="346">
        <f t="shared" si="153"/>
        <v>76298.164324255646</v>
      </c>
      <c r="V210" s="347">
        <f t="shared" si="154"/>
        <v>1.5707832203196768</v>
      </c>
      <c r="W210" s="340" t="str">
        <f t="shared" si="131"/>
        <v>1+755.427369482202i</v>
      </c>
      <c r="X210" s="337">
        <f t="shared" si="155"/>
        <v>755.42803135891074</v>
      </c>
      <c r="Y210" s="339">
        <f t="shared" si="156"/>
        <v>1.5694725735708404</v>
      </c>
      <c r="Z210" s="337" t="str">
        <f t="shared" si="132"/>
        <v>1+7.60976446405279i</v>
      </c>
      <c r="AA210" s="346">
        <f t="shared" si="157"/>
        <v>7.6751882842286445</v>
      </c>
      <c r="AB210" s="347">
        <f t="shared" si="158"/>
        <v>1.4401348964740177</v>
      </c>
      <c r="AC210" s="732" t="str">
        <f t="shared" si="159"/>
        <v>0.998386112124024-7.67534340626652i</v>
      </c>
      <c r="AD210" s="337">
        <f t="shared" si="160"/>
        <v>7.7400046016136876</v>
      </c>
      <c r="AE210" s="339">
        <f t="shared" si="161"/>
        <v>-1.4414455432228541</v>
      </c>
      <c r="AF210" s="736" t="str">
        <f t="shared" si="133"/>
        <v>-1.84138597052977-0.209045859264311i</v>
      </c>
      <c r="AG210" s="337">
        <f t="shared" si="162"/>
        <v>5.3585118702159482</v>
      </c>
      <c r="AH210" s="730">
        <f t="shared" si="163"/>
        <v>-173.52314838744471</v>
      </c>
      <c r="AI210" s="360">
        <f t="shared" si="134"/>
        <v>6.4768516125552935</v>
      </c>
      <c r="AL210" s="337">
        <f t="shared" si="135"/>
        <v>17.774824377623844</v>
      </c>
      <c r="AM210" s="730">
        <f t="shared" si="136"/>
        <v>-82.588746024611822</v>
      </c>
      <c r="AN210" s="351"/>
      <c r="AO210" s="337">
        <f t="shared" si="137"/>
        <v>41.112809977634235</v>
      </c>
      <c r="AP210" s="730">
        <f t="shared" si="138"/>
        <v>-90.934402362832884</v>
      </c>
      <c r="AS210" s="351"/>
      <c r="AT210" s="351"/>
      <c r="AV210" s="405">
        <f t="shared" si="139"/>
        <v>0</v>
      </c>
      <c r="AW210" s="405">
        <f t="shared" si="123"/>
        <v>0</v>
      </c>
      <c r="AX210" s="405">
        <f t="shared" si="140"/>
        <v>0</v>
      </c>
      <c r="AY210" s="405">
        <f t="shared" si="141"/>
        <v>0</v>
      </c>
    </row>
    <row r="211" spans="2:51" ht="13.5" thickBot="1" x14ac:dyDescent="0.25">
      <c r="B211" s="345">
        <v>12093</v>
      </c>
      <c r="C211" s="728" t="str">
        <f t="shared" si="124"/>
        <v>2.2271548443541</v>
      </c>
      <c r="D211" s="728" t="str">
        <f t="shared" si="125"/>
        <v>1+9.24454479023293i</v>
      </c>
      <c r="E211" s="337">
        <f t="shared" si="143"/>
        <v>9.2984734434541885</v>
      </c>
      <c r="F211" s="338">
        <f t="shared" si="144"/>
        <v>1.463043398729772</v>
      </c>
      <c r="G211" s="338" t="str">
        <f t="shared" si="126"/>
        <v>1+0.0379912799598613i</v>
      </c>
      <c r="H211" s="337">
        <f t="shared" si="145"/>
        <v>1.0007214084614102</v>
      </c>
      <c r="I211" s="338">
        <f t="shared" si="146"/>
        <v>3.7973017694602249E-2</v>
      </c>
      <c r="J211" s="340">
        <f t="shared" si="127"/>
        <v>1</v>
      </c>
      <c r="K211" s="338">
        <f t="shared" si="147"/>
        <v>1</v>
      </c>
      <c r="L211" s="339">
        <f t="shared" si="148"/>
        <v>0</v>
      </c>
      <c r="M211" s="731" t="str">
        <f t="shared" si="128"/>
        <v>0.9935004156+0.163776290483203i</v>
      </c>
      <c r="N211" s="338">
        <f t="shared" si="149"/>
        <v>1.0069090073694897</v>
      </c>
      <c r="O211" s="339">
        <f t="shared" si="150"/>
        <v>0.16337838304870009</v>
      </c>
      <c r="P211" s="732" t="str">
        <f t="shared" si="142"/>
        <v>-0.00420188192750519-0.238009369597288i</v>
      </c>
      <c r="Q211" s="337">
        <f t="shared" si="151"/>
        <v>0.23804645728897361</v>
      </c>
      <c r="R211" s="339">
        <f t="shared" si="152"/>
        <v>-1.5884487640838696</v>
      </c>
      <c r="S211" s="731" t="str">
        <f t="shared" si="129"/>
        <v>6000</v>
      </c>
      <c r="T211" s="337" t="str">
        <f t="shared" si="130"/>
        <v>1+76742.3855189199i</v>
      </c>
      <c r="U211" s="346">
        <f t="shared" si="153"/>
        <v>76742.385525435195</v>
      </c>
      <c r="V211" s="347">
        <f t="shared" si="154"/>
        <v>1.5707832961861505</v>
      </c>
      <c r="W211" s="340" t="str">
        <f t="shared" si="131"/>
        <v>1+759.825599197227i</v>
      </c>
      <c r="X211" s="337">
        <f t="shared" si="155"/>
        <v>759.82625724268371</v>
      </c>
      <c r="Y211" s="339">
        <f t="shared" si="156"/>
        <v>1.569480236071326</v>
      </c>
      <c r="Z211" s="337" t="str">
        <f t="shared" si="132"/>
        <v>1+7.65406983812612i</v>
      </c>
      <c r="AA211" s="346">
        <f t="shared" si="157"/>
        <v>7.7191181547448799</v>
      </c>
      <c r="AB211" s="347">
        <f t="shared" si="158"/>
        <v>1.4408827210292403</v>
      </c>
      <c r="AC211" s="732" t="str">
        <f t="shared" si="159"/>
        <v>0.987054721474992-7.6323953291208i</v>
      </c>
      <c r="AD211" s="337">
        <f t="shared" si="160"/>
        <v>7.6959557875010622</v>
      </c>
      <c r="AE211" s="339">
        <f t="shared" si="161"/>
        <v>-1.442185781144065</v>
      </c>
      <c r="AF211" s="736" t="str">
        <f t="shared" si="133"/>
        <v>-1.82072908819695-0.202857848019282i</v>
      </c>
      <c r="AG211" s="337">
        <f t="shared" si="162"/>
        <v>5.2584857311491371</v>
      </c>
      <c r="AH211" s="730">
        <f t="shared" si="163"/>
        <v>-173.64256868811026</v>
      </c>
      <c r="AI211" s="360">
        <f t="shared" si="134"/>
        <v>6.3574313118897408</v>
      </c>
      <c r="AL211" s="337">
        <f t="shared" si="135"/>
        <v>17.725251281168223</v>
      </c>
      <c r="AM211" s="730">
        <f t="shared" si="136"/>
        <v>-82.631158533332751</v>
      </c>
      <c r="AN211" s="351"/>
      <c r="AO211" s="337">
        <f t="shared" si="137"/>
        <v>41.062356935023068</v>
      </c>
      <c r="AP211" s="730">
        <f t="shared" si="138"/>
        <v>-91.011410154777508</v>
      </c>
      <c r="AS211" s="351"/>
      <c r="AT211" s="351"/>
      <c r="AV211" s="405">
        <f t="shared" si="139"/>
        <v>0</v>
      </c>
      <c r="AW211" s="405">
        <f t="shared" si="123"/>
        <v>0</v>
      </c>
      <c r="AX211" s="405">
        <f t="shared" si="140"/>
        <v>0</v>
      </c>
      <c r="AY211" s="405">
        <f t="shared" si="141"/>
        <v>0</v>
      </c>
    </row>
    <row r="212" spans="2:51" ht="13.5" thickBot="1" x14ac:dyDescent="0.25">
      <c r="B212" s="345">
        <v>12163</v>
      </c>
      <c r="C212" s="728" t="str">
        <f t="shared" si="124"/>
        <v>2.2271548443541</v>
      </c>
      <c r="D212" s="728" t="str">
        <f t="shared" si="125"/>
        <v>1+9.29805658509908i</v>
      </c>
      <c r="E212" s="337">
        <f t="shared" si="143"/>
        <v>9.3516766550017305</v>
      </c>
      <c r="F212" s="338">
        <f t="shared" si="144"/>
        <v>1.4636587858583026</v>
      </c>
      <c r="G212" s="338" t="str">
        <f t="shared" si="126"/>
        <v>1+0.0382111914456126i</v>
      </c>
      <c r="H212" s="337">
        <f t="shared" si="145"/>
        <v>1.0007297812854843</v>
      </c>
      <c r="I212" s="338">
        <f t="shared" si="146"/>
        <v>3.8192610395835366E-2</v>
      </c>
      <c r="J212" s="340">
        <f t="shared" si="127"/>
        <v>1</v>
      </c>
      <c r="K212" s="338">
        <f t="shared" si="147"/>
        <v>1</v>
      </c>
      <c r="L212" s="339">
        <f t="shared" si="148"/>
        <v>0</v>
      </c>
      <c r="M212" s="731" t="str">
        <f t="shared" si="128"/>
        <v>0.993424952488889+0.164724305064682i</v>
      </c>
      <c r="N212" s="338">
        <f t="shared" si="149"/>
        <v>1.0069891920505372</v>
      </c>
      <c r="O212" s="339">
        <f t="shared" si="150"/>
        <v>0.16431947027710028</v>
      </c>
      <c r="P212" s="732" t="str">
        <f t="shared" si="142"/>
        <v>-0.00449403275572109-0.236632634468254i</v>
      </c>
      <c r="Q212" s="337">
        <f t="shared" si="151"/>
        <v>0.23667530506116563</v>
      </c>
      <c r="R212" s="339">
        <f t="shared" si="152"/>
        <v>-1.5897856457395674</v>
      </c>
      <c r="S212" s="731" t="str">
        <f t="shared" si="129"/>
        <v>6000</v>
      </c>
      <c r="T212" s="337" t="str">
        <f t="shared" si="130"/>
        <v>1+77186.6067201376i</v>
      </c>
      <c r="U212" s="346">
        <f t="shared" si="153"/>
        <v>77186.606726615413</v>
      </c>
      <c r="V212" s="347">
        <f t="shared" si="154"/>
        <v>1.5707833711793768</v>
      </c>
      <c r="W212" s="340" t="str">
        <f t="shared" si="131"/>
        <v>1+764.223828912253i</v>
      </c>
      <c r="X212" s="337">
        <f t="shared" si="155"/>
        <v>764.22448317055682</v>
      </c>
      <c r="Y212" s="339">
        <f t="shared" si="156"/>
        <v>1.5694878103741448</v>
      </c>
      <c r="Z212" s="337" t="str">
        <f t="shared" si="132"/>
        <v>1+7.69837521219945i</v>
      </c>
      <c r="AA212" s="346">
        <f t="shared" si="157"/>
        <v>7.7630522932546917</v>
      </c>
      <c r="AB212" s="347">
        <f t="shared" si="158"/>
        <v>1.4416220815328207</v>
      </c>
      <c r="AC212" s="732" t="str">
        <f t="shared" si="159"/>
        <v>0.975914080625088-7.58991682010484i</v>
      </c>
      <c r="AD212" s="337">
        <f t="shared" si="160"/>
        <v>7.6524012982117364</v>
      </c>
      <c r="AE212" s="339">
        <f t="shared" si="161"/>
        <v>-1.4429176423380525</v>
      </c>
      <c r="AF212" s="736" t="str">
        <f t="shared" si="133"/>
        <v>-1.80040780238142-0.196823785110229i</v>
      </c>
      <c r="AG212" s="337">
        <f t="shared" si="162"/>
        <v>5.1590136456573585</v>
      </c>
      <c r="AH212" s="730">
        <f t="shared" si="163"/>
        <v>-173.7610989222951</v>
      </c>
      <c r="AI212" s="360">
        <f t="shared" si="134"/>
        <v>6.2389010777048952</v>
      </c>
      <c r="AL212" s="337">
        <f t="shared" si="135"/>
        <v>17.675954734238307</v>
      </c>
      <c r="AM212" s="730">
        <f t="shared" si="136"/>
        <v>-82.673091090937632</v>
      </c>
      <c r="AN212" s="351"/>
      <c r="AO212" s="337">
        <f t="shared" si="137"/>
        <v>41.012181396461223</v>
      </c>
      <c r="AP212" s="730">
        <f t="shared" si="138"/>
        <v>-91.088007831357459</v>
      </c>
      <c r="AS212" s="351"/>
      <c r="AT212" s="351"/>
      <c r="AV212" s="405">
        <f t="shared" si="139"/>
        <v>0</v>
      </c>
      <c r="AW212" s="405">
        <f t="shared" si="123"/>
        <v>0</v>
      </c>
      <c r="AX212" s="405">
        <f t="shared" si="140"/>
        <v>0</v>
      </c>
      <c r="AY212" s="405">
        <f t="shared" si="141"/>
        <v>0</v>
      </c>
    </row>
    <row r="213" spans="2:51" ht="13.5" thickBot="1" x14ac:dyDescent="0.25">
      <c r="B213" s="345">
        <v>12233</v>
      </c>
      <c r="C213" s="728" t="str">
        <f t="shared" si="124"/>
        <v>2.2271548443541</v>
      </c>
      <c r="D213" s="728" t="str">
        <f t="shared" si="125"/>
        <v>1+9.35156837996523i</v>
      </c>
      <c r="E213" s="337">
        <f t="shared" si="143"/>
        <v>9.4048833679724861</v>
      </c>
      <c r="F213" s="338">
        <f t="shared" si="144"/>
        <v>1.4642672102948506</v>
      </c>
      <c r="G213" s="338" t="str">
        <f t="shared" si="126"/>
        <v>1+0.038431102931364i</v>
      </c>
      <c r="H213" s="337">
        <f t="shared" si="145"/>
        <v>1.0007382023648947</v>
      </c>
      <c r="I213" s="338">
        <f t="shared" si="146"/>
        <v>3.8412199411970237E-2</v>
      </c>
      <c r="J213" s="340">
        <f t="shared" si="127"/>
        <v>1</v>
      </c>
      <c r="K213" s="338">
        <f t="shared" si="147"/>
        <v>1</v>
      </c>
      <c r="L213" s="339">
        <f t="shared" si="148"/>
        <v>0</v>
      </c>
      <c r="M213" s="731" t="str">
        <f t="shared" si="128"/>
        <v>0.993349053822222+0.165672319646161i</v>
      </c>
      <c r="N213" s="338">
        <f t="shared" si="149"/>
        <v>1.0070698388028725</v>
      </c>
      <c r="O213" s="339">
        <f t="shared" si="150"/>
        <v>0.16526047796006879</v>
      </c>
      <c r="P213" s="732" t="str">
        <f t="shared" si="142"/>
        <v>-0.00478116572270049-0.235270908118889i</v>
      </c>
      <c r="Q213" s="337">
        <f t="shared" si="151"/>
        <v>0.23531948443075135</v>
      </c>
      <c r="R213" s="339">
        <f t="shared" si="152"/>
        <v>-1.5911154888429491</v>
      </c>
      <c r="S213" s="731" t="str">
        <f t="shared" si="129"/>
        <v>6000</v>
      </c>
      <c r="T213" s="337" t="str">
        <f t="shared" si="130"/>
        <v>1+77630.8279213552i</v>
      </c>
      <c r="U213" s="346">
        <f t="shared" si="153"/>
        <v>77630.827927795937</v>
      </c>
      <c r="V213" s="347">
        <f t="shared" si="154"/>
        <v>1.5707834453143468</v>
      </c>
      <c r="W213" s="340" t="str">
        <f t="shared" si="131"/>
        <v>1+768.622058627279i</v>
      </c>
      <c r="X213" s="337">
        <f t="shared" si="155"/>
        <v>768.62270914177157</v>
      </c>
      <c r="Y213" s="339">
        <f t="shared" si="156"/>
        <v>1.5694952979933545</v>
      </c>
      <c r="Z213" s="337" t="str">
        <f t="shared" si="132"/>
        <v>1+7.74268058627279i</v>
      </c>
      <c r="AA213" s="346">
        <f t="shared" si="157"/>
        <v>7.8069906277031969</v>
      </c>
      <c r="AB213" s="347">
        <f t="shared" si="158"/>
        <v>1.4423531200784798</v>
      </c>
      <c r="AC213" s="732" t="str">
        <f t="shared" si="159"/>
        <v>0.96495995605101-7.54790036506968i</v>
      </c>
      <c r="AD213" s="337">
        <f t="shared" si="160"/>
        <v>7.6093329298829442</v>
      </c>
      <c r="AE213" s="339">
        <f t="shared" si="161"/>
        <v>-1.4436412673994721</v>
      </c>
      <c r="AF213" s="736" t="str">
        <f t="shared" si="133"/>
        <v>-1.78041500674649-0.190939242654655i</v>
      </c>
      <c r="AG213" s="337">
        <f t="shared" si="162"/>
        <v>5.0600894867411323</v>
      </c>
      <c r="AH213" s="730">
        <f t="shared" si="163"/>
        <v>-173.87875398150268</v>
      </c>
      <c r="AI213" s="360">
        <f t="shared" si="134"/>
        <v>6.1212460184973168</v>
      </c>
      <c r="AL213" s="337">
        <f t="shared" si="135"/>
        <v>17.626931722615243</v>
      </c>
      <c r="AM213" s="730">
        <f t="shared" si="136"/>
        <v>-82.714551752906871</v>
      </c>
      <c r="AN213" s="351"/>
      <c r="AO213" s="337">
        <f t="shared" si="137"/>
        <v>40.962280249167968</v>
      </c>
      <c r="AP213" s="730">
        <f t="shared" si="138"/>
        <v>-91.164202228595812</v>
      </c>
      <c r="AS213" s="351"/>
      <c r="AT213" s="351"/>
      <c r="AV213" s="405">
        <f t="shared" si="139"/>
        <v>0</v>
      </c>
      <c r="AW213" s="405">
        <f t="shared" si="123"/>
        <v>0</v>
      </c>
      <c r="AX213" s="405">
        <f t="shared" si="140"/>
        <v>0</v>
      </c>
      <c r="AY213" s="405">
        <f t="shared" si="141"/>
        <v>0</v>
      </c>
    </row>
    <row r="214" spans="2:51" ht="13.5" thickBot="1" x14ac:dyDescent="0.25">
      <c r="B214" s="345">
        <v>12303</v>
      </c>
      <c r="C214" s="728" t="str">
        <f t="shared" si="124"/>
        <v>2.2271548443541</v>
      </c>
      <c r="D214" s="728" t="str">
        <f t="shared" si="125"/>
        <v>1+9.40508017483138i</v>
      </c>
      <c r="E214" s="337">
        <f t="shared" si="143"/>
        <v>9.4580935232744583</v>
      </c>
      <c r="F214" s="338">
        <f t="shared" si="144"/>
        <v>1.4648687890990508</v>
      </c>
      <c r="G214" s="338" t="str">
        <f t="shared" si="126"/>
        <v>1+0.0386510144171152i</v>
      </c>
      <c r="H214" s="337">
        <f t="shared" si="145"/>
        <v>1.0007466716984235</v>
      </c>
      <c r="I214" s="338">
        <f t="shared" si="146"/>
        <v>3.8631784721922989E-2</v>
      </c>
      <c r="J214" s="340">
        <f t="shared" si="127"/>
        <v>1</v>
      </c>
      <c r="K214" s="338">
        <f t="shared" si="147"/>
        <v>1</v>
      </c>
      <c r="L214" s="339">
        <f t="shared" si="148"/>
        <v>0</v>
      </c>
      <c r="M214" s="731" t="str">
        <f t="shared" si="128"/>
        <v>0.9932727196+0.16662033422764i</v>
      </c>
      <c r="N214" s="338">
        <f t="shared" si="149"/>
        <v>1.0071509476139666</v>
      </c>
      <c r="O214" s="339">
        <f t="shared" si="150"/>
        <v>0.166201405654713</v>
      </c>
      <c r="P214" s="732" t="str">
        <f t="shared" si="142"/>
        <v>-0.00506339207292109-0.233923946353763i</v>
      </c>
      <c r="Q214" s="337">
        <f t="shared" si="151"/>
        <v>0.23397873966880475</v>
      </c>
      <c r="R214" s="339">
        <f t="shared" si="152"/>
        <v>-1.5924384100318407</v>
      </c>
      <c r="S214" s="731" t="str">
        <f t="shared" si="129"/>
        <v>6000</v>
      </c>
      <c r="T214" s="337" t="str">
        <f t="shared" si="130"/>
        <v>1+78075.0491225728i</v>
      </c>
      <c r="U214" s="346">
        <f t="shared" si="153"/>
        <v>78075.049128976898</v>
      </c>
      <c r="V214" s="347">
        <f t="shared" si="154"/>
        <v>1.5707835186057095</v>
      </c>
      <c r="W214" s="340" t="str">
        <f t="shared" si="131"/>
        <v>1+773.020288342305i</v>
      </c>
      <c r="X214" s="337">
        <f t="shared" si="155"/>
        <v>773.02093515558829</v>
      </c>
      <c r="Y214" s="339">
        <f t="shared" si="156"/>
        <v>1.5695027004085551</v>
      </c>
      <c r="Z214" s="337" t="str">
        <f t="shared" si="132"/>
        <v>1+7.78698596034613i</v>
      </c>
      <c r="AA214" s="346">
        <f t="shared" si="157"/>
        <v>7.8509330876417325</v>
      </c>
      <c r="AB214" s="347">
        <f t="shared" si="158"/>
        <v>1.4430759756147238</v>
      </c>
      <c r="AC214" s="732" t="str">
        <f t="shared" si="159"/>
        <v>0.954188230364592-7.50633860596422i</v>
      </c>
      <c r="AD214" s="337">
        <f t="shared" si="160"/>
        <v>7.5667426576007708</v>
      </c>
      <c r="AE214" s="339">
        <f t="shared" si="161"/>
        <v>-1.4443567938118778</v>
      </c>
      <c r="AF214" s="736" t="str">
        <f t="shared" si="133"/>
        <v>-1.76074377849646-0.185199941017098i</v>
      </c>
      <c r="AG214" s="337">
        <f t="shared" si="162"/>
        <v>4.9617072263109883</v>
      </c>
      <c r="AH214" s="730">
        <f t="shared" si="163"/>
        <v>-173.9955484258156</v>
      </c>
      <c r="AI214" s="360">
        <f t="shared" si="134"/>
        <v>6.0044515741844009</v>
      </c>
      <c r="AL214" s="337">
        <f t="shared" si="135"/>
        <v>17.578179280158995</v>
      </c>
      <c r="AM214" s="730">
        <f t="shared" si="136"/>
        <v>-82.755548396467859</v>
      </c>
      <c r="AN214" s="351"/>
      <c r="AO214" s="337">
        <f t="shared" si="137"/>
        <v>40.912650431194145</v>
      </c>
      <c r="AP214" s="730">
        <f t="shared" si="138"/>
        <v>-91.240000029347712</v>
      </c>
      <c r="AS214" s="351"/>
      <c r="AT214" s="351"/>
      <c r="AV214" s="405">
        <f t="shared" si="139"/>
        <v>0</v>
      </c>
      <c r="AW214" s="405">
        <f t="shared" si="123"/>
        <v>0</v>
      </c>
      <c r="AX214" s="405">
        <f t="shared" si="140"/>
        <v>0</v>
      </c>
      <c r="AY214" s="405">
        <f t="shared" si="141"/>
        <v>0</v>
      </c>
    </row>
    <row r="215" spans="2:51" ht="13.5" thickBot="1" x14ac:dyDescent="0.25">
      <c r="B215" s="345">
        <v>12374.5</v>
      </c>
      <c r="C215" s="728" t="str">
        <f t="shared" si="124"/>
        <v>2.2271548443541</v>
      </c>
      <c r="D215" s="728" t="str">
        <f t="shared" si="125"/>
        <v>1+9.45973865101608i</v>
      </c>
      <c r="E215" s="337">
        <f t="shared" si="143"/>
        <v>9.5124473898953852</v>
      </c>
      <c r="F215" s="338">
        <f t="shared" si="144"/>
        <v>1.4654763106306503</v>
      </c>
      <c r="G215" s="338" t="str">
        <f t="shared" si="126"/>
        <v>1+0.0388756382918469i</v>
      </c>
      <c r="H215" s="337">
        <f t="shared" si="145"/>
        <v>1.0007553723326188</v>
      </c>
      <c r="I215" s="338">
        <f t="shared" si="146"/>
        <v>3.8856071583295404E-2</v>
      </c>
      <c r="J215" s="340">
        <f t="shared" si="127"/>
        <v>1</v>
      </c>
      <c r="K215" s="338">
        <f t="shared" si="147"/>
        <v>1</v>
      </c>
      <c r="L215" s="339">
        <f t="shared" si="148"/>
        <v>0</v>
      </c>
      <c r="M215" s="731" t="str">
        <f t="shared" si="128"/>
        <v>0.993194299988889+0.167588663407293i</v>
      </c>
      <c r="N215" s="338">
        <f t="shared" si="149"/>
        <v>1.0072342714746465</v>
      </c>
      <c r="O215" s="339">
        <f t="shared" si="150"/>
        <v>0.16716241304769583</v>
      </c>
      <c r="P215" s="732" t="str">
        <f t="shared" si="142"/>
        <v>-0.00534671313516798-0.232563115208727i</v>
      </c>
      <c r="Q215" s="337">
        <f t="shared" si="151"/>
        <v>0.23262456855830471</v>
      </c>
      <c r="R215" s="339">
        <f t="shared" si="152"/>
        <v>-1.5937826520950507</v>
      </c>
      <c r="S215" s="731" t="str">
        <f t="shared" si="129"/>
        <v>6000</v>
      </c>
      <c r="T215" s="337" t="str">
        <f t="shared" si="130"/>
        <v>1+78528.7893495308i</v>
      </c>
      <c r="U215" s="346">
        <f t="shared" si="153"/>
        <v>78528.789355897883</v>
      </c>
      <c r="V215" s="347">
        <f t="shared" si="154"/>
        <v>1.5707835926115705</v>
      </c>
      <c r="W215" s="340" t="str">
        <f t="shared" si="131"/>
        <v>1+777.512765836938i</v>
      </c>
      <c r="X215" s="337">
        <f t="shared" si="155"/>
        <v>777.51340891293012</v>
      </c>
      <c r="Y215" s="339">
        <f t="shared" si="156"/>
        <v>1.5695101749880795</v>
      </c>
      <c r="Z215" s="337" t="str">
        <f t="shared" si="132"/>
        <v>1+7.83224073529246i</v>
      </c>
      <c r="AA215" s="346">
        <f t="shared" si="157"/>
        <v>7.8958213591477984</v>
      </c>
      <c r="AB215" s="347">
        <f t="shared" si="158"/>
        <v>1.4438060142728013</v>
      </c>
      <c r="AC215" s="732" t="str">
        <f t="shared" si="159"/>
        <v>0.94336982196138-7.4643481618212i</v>
      </c>
      <c r="AD215" s="337">
        <f t="shared" si="160"/>
        <v>7.5237251479483875</v>
      </c>
      <c r="AE215" s="339">
        <f t="shared" si="161"/>
        <v>-1.4450794318962927</v>
      </c>
      <c r="AF215" s="736" t="str">
        <f t="shared" si="133"/>
        <v>-1.74097598933408-0.179483296226964i</v>
      </c>
      <c r="AG215" s="337">
        <f t="shared" si="162"/>
        <v>4.8617700491766893</v>
      </c>
      <c r="AH215" s="730">
        <f t="shared" si="163"/>
        <v>-174.11397193503387</v>
      </c>
      <c r="AI215" s="360">
        <f t="shared" si="134"/>
        <v>5.8860280649661263</v>
      </c>
      <c r="AL215" s="337">
        <f t="shared" si="135"/>
        <v>17.528658435839969</v>
      </c>
      <c r="AM215" s="730">
        <f t="shared" si="136"/>
        <v>-82.796952508820254</v>
      </c>
      <c r="AN215" s="351"/>
      <c r="AO215" s="337">
        <f t="shared" si="137"/>
        <v>40.862234098378835</v>
      </c>
      <c r="AP215" s="730">
        <f t="shared" si="138"/>
        <v>-91.317019426213619</v>
      </c>
      <c r="AS215" s="351"/>
      <c r="AT215" s="351"/>
      <c r="AV215" s="405">
        <f t="shared" si="139"/>
        <v>0</v>
      </c>
      <c r="AW215" s="405">
        <f t="shared" si="123"/>
        <v>0</v>
      </c>
      <c r="AX215" s="405">
        <f t="shared" si="140"/>
        <v>0</v>
      </c>
      <c r="AY215" s="405">
        <f t="shared" si="141"/>
        <v>0</v>
      </c>
    </row>
    <row r="216" spans="2:51" ht="13.5" thickBot="1" x14ac:dyDescent="0.25">
      <c r="B216" s="345">
        <v>12446</v>
      </c>
      <c r="C216" s="728" t="str">
        <f t="shared" si="124"/>
        <v>2.2271548443541</v>
      </c>
      <c r="D216" s="728" t="str">
        <f t="shared" si="125"/>
        <v>1+9.51439712720078i</v>
      </c>
      <c r="E216" s="337">
        <f t="shared" si="143"/>
        <v>9.5668047274984378</v>
      </c>
      <c r="F216" s="338">
        <f t="shared" si="144"/>
        <v>1.4660769286655067</v>
      </c>
      <c r="G216" s="338" t="str">
        <f t="shared" si="126"/>
        <v>1+0.0391002621665785i</v>
      </c>
      <c r="H216" s="337">
        <f t="shared" si="145"/>
        <v>1.0007641233085323</v>
      </c>
      <c r="I216" s="338">
        <f t="shared" si="146"/>
        <v>3.9080354533489424E-2</v>
      </c>
      <c r="J216" s="340">
        <f t="shared" si="127"/>
        <v>1</v>
      </c>
      <c r="K216" s="338">
        <f t="shared" si="147"/>
        <v>1</v>
      </c>
      <c r="L216" s="339">
        <f t="shared" si="148"/>
        <v>0</v>
      </c>
      <c r="M216" s="731" t="str">
        <f t="shared" si="128"/>
        <v>0.993115425955556+0.168556992586946i</v>
      </c>
      <c r="N216" s="338">
        <f t="shared" si="149"/>
        <v>1.0073180773821351</v>
      </c>
      <c r="O216" s="339">
        <f t="shared" si="150"/>
        <v>0.16812333605430388</v>
      </c>
      <c r="P216" s="732" t="str">
        <f t="shared" si="142"/>
        <v>-0.00562513998386998-0.231217189637407i</v>
      </c>
      <c r="Q216" s="337">
        <f t="shared" si="151"/>
        <v>0.2312856047912597</v>
      </c>
      <c r="R216" s="339">
        <f t="shared" si="152"/>
        <v>-1.5951199101863209</v>
      </c>
      <c r="S216" s="731" t="str">
        <f t="shared" si="129"/>
        <v>6000</v>
      </c>
      <c r="T216" s="337" t="str">
        <f t="shared" si="130"/>
        <v>1+78982.5295764887i</v>
      </c>
      <c r="U216" s="346">
        <f t="shared" si="153"/>
        <v>78982.529582819203</v>
      </c>
      <c r="V216" s="347">
        <f t="shared" si="154"/>
        <v>1.5707836657671312</v>
      </c>
      <c r="W216" s="340" t="str">
        <f t="shared" si="131"/>
        <v>1+782.005243331571i</v>
      </c>
      <c r="X216" s="337">
        <f t="shared" si="155"/>
        <v>782.0058827132118</v>
      </c>
      <c r="Y216" s="339">
        <f t="shared" si="156"/>
        <v>1.5695175636875531</v>
      </c>
      <c r="Z216" s="337" t="str">
        <f t="shared" si="132"/>
        <v>1+7.87749551023879i</v>
      </c>
      <c r="AA216" s="346">
        <f t="shared" si="157"/>
        <v>7.9407137912049359</v>
      </c>
      <c r="AB216" s="347">
        <f t="shared" si="158"/>
        <v>1.4445277988371634</v>
      </c>
      <c r="AC216" s="732" t="str">
        <f t="shared" si="159"/>
        <v>0.932733384189966-7.42281707252712i</v>
      </c>
      <c r="AD216" s="337">
        <f t="shared" si="160"/>
        <v>7.4811900696468436</v>
      </c>
      <c r="AE216" s="339">
        <f t="shared" si="161"/>
        <v>-1.4457939009167411</v>
      </c>
      <c r="AF216" s="736" t="str">
        <f t="shared" si="133"/>
        <v>-1.72152965855598-0.173909606665767i</v>
      </c>
      <c r="AG216" s="337">
        <f t="shared" si="162"/>
        <v>4.7623858370607852</v>
      </c>
      <c r="AH216" s="730">
        <f t="shared" si="163"/>
        <v>-174.2315272392479</v>
      </c>
      <c r="AI216" s="360">
        <f t="shared" si="134"/>
        <v>5.768472760752104</v>
      </c>
      <c r="AL216" s="337">
        <f t="shared" si="135"/>
        <v>17.4794137743222</v>
      </c>
      <c r="AM216" s="730">
        <f t="shared" si="136"/>
        <v>-82.837888568284782</v>
      </c>
      <c r="AN216" s="351"/>
      <c r="AO216" s="337">
        <f t="shared" si="137"/>
        <v>40.812094547780731</v>
      </c>
      <c r="AP216" s="730">
        <f t="shared" si="138"/>
        <v>-91.393638670963128</v>
      </c>
      <c r="AS216" s="351"/>
      <c r="AT216" s="351"/>
      <c r="AV216" s="405">
        <f t="shared" si="139"/>
        <v>0</v>
      </c>
      <c r="AW216" s="405">
        <f t="shared" si="123"/>
        <v>0</v>
      </c>
      <c r="AX216" s="405">
        <f t="shared" si="140"/>
        <v>0</v>
      </c>
      <c r="AY216" s="405">
        <f t="shared" si="141"/>
        <v>0</v>
      </c>
    </row>
    <row r="217" spans="2:51" ht="13.5" thickBot="1" x14ac:dyDescent="0.25">
      <c r="B217" s="345">
        <v>12517.5</v>
      </c>
      <c r="C217" s="728" t="str">
        <f t="shared" si="124"/>
        <v>2.2271548443541</v>
      </c>
      <c r="D217" s="728" t="str">
        <f t="shared" si="125"/>
        <v>1+9.56905560338549i</v>
      </c>
      <c r="E217" s="337">
        <f t="shared" si="143"/>
        <v>9.6211654772529123</v>
      </c>
      <c r="F217" s="338">
        <f t="shared" si="144"/>
        <v>1.4666707597833462</v>
      </c>
      <c r="G217" s="338" t="str">
        <f t="shared" si="126"/>
        <v>1+0.0393248860413103i</v>
      </c>
      <c r="H217" s="337">
        <f t="shared" si="145"/>
        <v>1.0007729246248431</v>
      </c>
      <c r="I217" s="338">
        <f t="shared" si="146"/>
        <v>3.9304633550044099E-2</v>
      </c>
      <c r="J217" s="340">
        <f t="shared" si="127"/>
        <v>1</v>
      </c>
      <c r="K217" s="338">
        <f t="shared" si="147"/>
        <v>1</v>
      </c>
      <c r="L217" s="339">
        <f t="shared" si="148"/>
        <v>0</v>
      </c>
      <c r="M217" s="731" t="str">
        <f t="shared" si="128"/>
        <v>0.9930360975+0.1695253217666i</v>
      </c>
      <c r="N217" s="338">
        <f t="shared" si="149"/>
        <v>1.0074023653228628</v>
      </c>
      <c r="O217" s="339">
        <f t="shared" si="150"/>
        <v>0.16908417420337848</v>
      </c>
      <c r="P217" s="732" t="str">
        <f t="shared" si="142"/>
        <v>-0.00589878158516671-0.229885925776805i</v>
      </c>
      <c r="Q217" s="337">
        <f t="shared" si="151"/>
        <v>0.22996159352041418</v>
      </c>
      <c r="R217" s="339">
        <f t="shared" si="152"/>
        <v>-1.5964503004366803</v>
      </c>
      <c r="S217" s="731" t="str">
        <f t="shared" si="129"/>
        <v>6000</v>
      </c>
      <c r="T217" s="337" t="str">
        <f t="shared" si="130"/>
        <v>1+79436.2698034467i</v>
      </c>
      <c r="U217" s="346">
        <f t="shared" si="153"/>
        <v>79436.269809741076</v>
      </c>
      <c r="V217" s="347">
        <f t="shared" si="154"/>
        <v>1.5707837380869623</v>
      </c>
      <c r="W217" s="340" t="str">
        <f t="shared" si="131"/>
        <v>1+786.497720826205i</v>
      </c>
      <c r="X217" s="337">
        <f t="shared" si="155"/>
        <v>786.49835655569882</v>
      </c>
      <c r="Y217" s="339">
        <f t="shared" si="156"/>
        <v>1.5695248679786138</v>
      </c>
      <c r="Z217" s="337" t="str">
        <f t="shared" si="132"/>
        <v>1+7.92275028518513i</v>
      </c>
      <c r="AA217" s="346">
        <f t="shared" si="157"/>
        <v>7.9856103136454815</v>
      </c>
      <c r="AB217" s="347">
        <f t="shared" si="158"/>
        <v>1.445241467767288</v>
      </c>
      <c r="AC217" s="732" t="str">
        <f t="shared" si="159"/>
        <v>0.92227488049977-7.38173797606092i</v>
      </c>
      <c r="AD217" s="337">
        <f t="shared" si="160"/>
        <v>7.4391294183137342</v>
      </c>
      <c r="AE217" s="339">
        <f t="shared" si="161"/>
        <v>-1.4465003378756363</v>
      </c>
      <c r="AF217" s="736" t="str">
        <f t="shared" si="133"/>
        <v>-1.70239796655012-0.168474754684668i</v>
      </c>
      <c r="AG217" s="337">
        <f t="shared" si="162"/>
        <v>4.663548472264508</v>
      </c>
      <c r="AH217" s="730">
        <f t="shared" si="163"/>
        <v>-174.34822884193559</v>
      </c>
      <c r="AI217" s="360">
        <f t="shared" si="134"/>
        <v>5.6517711580644061</v>
      </c>
      <c r="AL217" s="337">
        <f t="shared" si="135"/>
        <v>17.430442283646347</v>
      </c>
      <c r="AM217" s="730">
        <f t="shared" si="136"/>
        <v>-82.878364424521536</v>
      </c>
      <c r="AN217" s="351"/>
      <c r="AO217" s="337">
        <f t="shared" si="137"/>
        <v>40.762228673660282</v>
      </c>
      <c r="AP217" s="730">
        <f t="shared" si="138"/>
        <v>-91.469864417414072</v>
      </c>
      <c r="AS217" s="351"/>
      <c r="AT217" s="351"/>
      <c r="AV217" s="405">
        <f t="shared" si="139"/>
        <v>0</v>
      </c>
      <c r="AW217" s="405">
        <f t="shared" si="123"/>
        <v>0</v>
      </c>
      <c r="AX217" s="405">
        <f t="shared" si="140"/>
        <v>0</v>
      </c>
      <c r="AY217" s="405">
        <f t="shared" si="141"/>
        <v>0</v>
      </c>
    </row>
    <row r="218" spans="2:51" ht="13.5" thickBot="1" x14ac:dyDescent="0.25">
      <c r="B218" s="345">
        <v>12589</v>
      </c>
      <c r="C218" s="728" t="str">
        <f t="shared" si="124"/>
        <v>2.2271548443541</v>
      </c>
      <c r="D218" s="728" t="str">
        <f t="shared" si="125"/>
        <v>1+9.6237140795702i</v>
      </c>
      <c r="E218" s="337">
        <f t="shared" si="143"/>
        <v>9.675529581646563</v>
      </c>
      <c r="F218" s="338">
        <f t="shared" si="144"/>
        <v>1.4672579179631728</v>
      </c>
      <c r="G218" s="338" t="str">
        <f t="shared" si="126"/>
        <v>1+0.0395495099160419i</v>
      </c>
      <c r="H218" s="337">
        <f t="shared" si="145"/>
        <v>1.0007817762802234</v>
      </c>
      <c r="I218" s="338">
        <f t="shared" si="146"/>
        <v>3.9528908610500159E-2</v>
      </c>
      <c r="J218" s="340">
        <f t="shared" si="127"/>
        <v>1</v>
      </c>
      <c r="K218" s="338">
        <f t="shared" si="147"/>
        <v>1</v>
      </c>
      <c r="L218" s="339">
        <f t="shared" si="148"/>
        <v>0</v>
      </c>
      <c r="M218" s="731" t="str">
        <f t="shared" si="128"/>
        <v>0.992956314622222+0.170493650946253i</v>
      </c>
      <c r="N218" s="338">
        <f t="shared" si="149"/>
        <v>1.0074871352831896</v>
      </c>
      <c r="O218" s="339">
        <f t="shared" si="150"/>
        <v>0.17004492702403648</v>
      </c>
      <c r="P218" s="732" t="str">
        <f t="shared" si="142"/>
        <v>-0.00616774388699614-0.228569084991319i</v>
      </c>
      <c r="Q218" s="337">
        <f t="shared" si="151"/>
        <v>0.22865228553072542</v>
      </c>
      <c r="R218" s="339">
        <f t="shared" si="152"/>
        <v>-1.5977739363767089</v>
      </c>
      <c r="S218" s="731" t="str">
        <f t="shared" si="129"/>
        <v>6000</v>
      </c>
      <c r="T218" s="337" t="str">
        <f t="shared" si="130"/>
        <v>1+79890.0100304047i</v>
      </c>
      <c r="U218" s="346">
        <f t="shared" si="153"/>
        <v>79890.010036663298</v>
      </c>
      <c r="V218" s="347">
        <f t="shared" si="154"/>
        <v>1.5707838095853035</v>
      </c>
      <c r="W218" s="340" t="str">
        <f t="shared" si="131"/>
        <v>1+790.990198320838i</v>
      </c>
      <c r="X218" s="337">
        <f t="shared" si="155"/>
        <v>790.99083043966982</v>
      </c>
      <c r="Y218" s="339">
        <f t="shared" si="156"/>
        <v>1.5695320892994671</v>
      </c>
      <c r="Z218" s="337" t="str">
        <f t="shared" si="132"/>
        <v>1+7.96800506013146i</v>
      </c>
      <c r="AA218" s="346">
        <f t="shared" si="157"/>
        <v>8.0305108578645577</v>
      </c>
      <c r="AB218" s="347">
        <f t="shared" si="158"/>
        <v>1.4459471564595017</v>
      </c>
      <c r="AC218" s="732" t="str">
        <f t="shared" si="159"/>
        <v>0.911990385043608-7.34110366376022i</v>
      </c>
      <c r="AD218" s="337">
        <f t="shared" si="160"/>
        <v>7.3975353641929766</v>
      </c>
      <c r="AE218" s="339">
        <f t="shared" si="161"/>
        <v>-1.4471988767453381</v>
      </c>
      <c r="AF218" s="736" t="str">
        <f t="shared" si="133"/>
        <v>-1.68357427037444-0.163174760584336i</v>
      </c>
      <c r="AG218" s="337">
        <f t="shared" si="162"/>
        <v>4.5652519359470967</v>
      </c>
      <c r="AH218" s="730">
        <f t="shared" si="163"/>
        <v>-174.46409092397084</v>
      </c>
      <c r="AI218" s="360">
        <f t="shared" si="134"/>
        <v>5.5359090760291565</v>
      </c>
      <c r="AL218" s="337">
        <f t="shared" si="135"/>
        <v>17.381740999971171</v>
      </c>
      <c r="AM218" s="730">
        <f t="shared" si="136"/>
        <v>-82.918387753581285</v>
      </c>
      <c r="AN218" s="351"/>
      <c r="AO218" s="337">
        <f t="shared" si="137"/>
        <v>40.712633421018118</v>
      </c>
      <c r="AP218" s="730">
        <f t="shared" si="138"/>
        <v>-91.545703170389544</v>
      </c>
      <c r="AS218" s="351"/>
      <c r="AT218" s="351"/>
      <c r="AV218" s="405">
        <f t="shared" si="139"/>
        <v>0</v>
      </c>
      <c r="AW218" s="405">
        <f t="shared" ref="AW218:AW281" si="164">IF(AV218&gt;0,AI218,0)</f>
        <v>0</v>
      </c>
      <c r="AX218" s="405">
        <f t="shared" si="140"/>
        <v>0</v>
      </c>
      <c r="AY218" s="405">
        <f t="shared" si="141"/>
        <v>0</v>
      </c>
    </row>
    <row r="219" spans="2:51" ht="13.5" thickBot="1" x14ac:dyDescent="0.25">
      <c r="B219" s="345">
        <v>12662.25</v>
      </c>
      <c r="C219" s="728" t="str">
        <f t="shared" si="124"/>
        <v>2.2271548443541</v>
      </c>
      <c r="D219" s="728" t="str">
        <f t="shared" si="125"/>
        <v>1+9.67971035062656i</v>
      </c>
      <c r="E219" s="337">
        <f t="shared" si="143"/>
        <v>9.7312276960323452</v>
      </c>
      <c r="F219" s="338">
        <f t="shared" si="144"/>
        <v>1.4678526437275121</v>
      </c>
      <c r="G219" s="338" t="str">
        <f t="shared" si="126"/>
        <v>1+0.0397796315779174i</v>
      </c>
      <c r="H219" s="337">
        <f t="shared" si="145"/>
        <v>1.0007908967853749</v>
      </c>
      <c r="I219" s="338">
        <f t="shared" si="146"/>
        <v>3.9758668794685398E-2</v>
      </c>
      <c r="J219" s="340">
        <f t="shared" si="127"/>
        <v>1</v>
      </c>
      <c r="K219" s="338">
        <f t="shared" si="147"/>
        <v>1</v>
      </c>
      <c r="L219" s="339">
        <f t="shared" si="148"/>
        <v>0</v>
      </c>
      <c r="M219" s="731" t="str">
        <f t="shared" si="128"/>
        <v>0.992874107775+0.171485680490444i</v>
      </c>
      <c r="N219" s="338">
        <f t="shared" si="149"/>
        <v>1.0075744798789183</v>
      </c>
      <c r="O219" s="339">
        <f t="shared" si="150"/>
        <v>0.17102910579521338</v>
      </c>
      <c r="P219" s="732" t="str">
        <f t="shared" si="142"/>
        <v>-0.00643854438478164-0.227234726616899i</v>
      </c>
      <c r="Q219" s="337">
        <f t="shared" si="151"/>
        <v>0.22732592424633763</v>
      </c>
      <c r="R219" s="339">
        <f t="shared" si="152"/>
        <v>-1.5991230807280399</v>
      </c>
      <c r="S219" s="731" t="str">
        <f t="shared" si="129"/>
        <v>6000</v>
      </c>
      <c r="T219" s="337" t="str">
        <f t="shared" si="130"/>
        <v>1+80354.8557873931i</v>
      </c>
      <c r="U219" s="346">
        <f t="shared" si="153"/>
        <v>80354.855793615498</v>
      </c>
      <c r="V219" s="347">
        <f t="shared" si="154"/>
        <v>1.5707838819962576</v>
      </c>
      <c r="W219" s="340" t="str">
        <f t="shared" si="131"/>
        <v>1+795.592631558347i</v>
      </c>
      <c r="X219" s="337">
        <f t="shared" si="155"/>
        <v>795.59326002043008</v>
      </c>
      <c r="Y219" s="339">
        <f t="shared" si="156"/>
        <v>1.5695394027942031</v>
      </c>
      <c r="Z219" s="337" t="str">
        <f t="shared" si="132"/>
        <v>1+8.01436746942963i</v>
      </c>
      <c r="AA219" s="346">
        <f t="shared" si="157"/>
        <v>8.076514466962335</v>
      </c>
      <c r="AB219" s="347">
        <f t="shared" si="158"/>
        <v>1.4466619800633744</v>
      </c>
      <c r="AC219" s="732" t="str">
        <f t="shared" si="159"/>
        <v>0.901630628204346-7.29992867298066i</v>
      </c>
      <c r="AD219" s="337">
        <f t="shared" si="160"/>
        <v>7.3553991339913942</v>
      </c>
      <c r="AE219" s="339">
        <f t="shared" si="161"/>
        <v>-1.4479064592654292</v>
      </c>
      <c r="AF219" s="736" t="str">
        <f t="shared" si="133"/>
        <v>-1.66460248514599-0.157880874542711i</v>
      </c>
      <c r="AG219" s="337">
        <f t="shared" si="162"/>
        <v>4.465104195658272</v>
      </c>
      <c r="AH219" s="730">
        <f t="shared" si="163"/>
        <v>-174.58193269331446</v>
      </c>
      <c r="AI219" s="360">
        <f t="shared" si="134"/>
        <v>5.4180673066855434</v>
      </c>
      <c r="AL219" s="337">
        <f t="shared" si="135"/>
        <v>17.332124885898587</v>
      </c>
      <c r="AM219" s="730">
        <f t="shared" si="136"/>
        <v>-82.958929245639737</v>
      </c>
      <c r="AN219" s="351"/>
      <c r="AO219" s="337">
        <f t="shared" si="137"/>
        <v>40.662101794801856</v>
      </c>
      <c r="AP219" s="730">
        <f t="shared" si="138"/>
        <v>-91.623003447674719</v>
      </c>
      <c r="AS219" s="351"/>
      <c r="AT219" s="351"/>
      <c r="AV219" s="405">
        <f t="shared" si="139"/>
        <v>0</v>
      </c>
      <c r="AW219" s="405">
        <f t="shared" si="164"/>
        <v>0</v>
      </c>
      <c r="AX219" s="405">
        <f t="shared" si="140"/>
        <v>0</v>
      </c>
      <c r="AY219" s="405">
        <f t="shared" si="141"/>
        <v>0</v>
      </c>
    </row>
    <row r="220" spans="2:51" ht="13.5" thickBot="1" x14ac:dyDescent="0.25">
      <c r="B220" s="345">
        <v>12735.5</v>
      </c>
      <c r="C220" s="728" t="str">
        <f t="shared" si="124"/>
        <v>2.2271548443541</v>
      </c>
      <c r="D220" s="728" t="str">
        <f t="shared" si="125"/>
        <v>1+9.73570662168292i</v>
      </c>
      <c r="E220" s="337">
        <f t="shared" si="143"/>
        <v>9.7869292131638854</v>
      </c>
      <c r="F220" s="338">
        <f t="shared" si="144"/>
        <v>1.4684406000305386</v>
      </c>
      <c r="G220" s="338" t="str">
        <f t="shared" si="126"/>
        <v>1+0.0400097532397928i</v>
      </c>
      <c r="H220" s="337">
        <f t="shared" si="145"/>
        <v>1.0008000701210553</v>
      </c>
      <c r="I220" s="338">
        <f t="shared" si="146"/>
        <v>3.9988424779034394E-2</v>
      </c>
      <c r="J220" s="340">
        <f t="shared" si="127"/>
        <v>1</v>
      </c>
      <c r="K220" s="338">
        <f t="shared" si="147"/>
        <v>1</v>
      </c>
      <c r="L220" s="339">
        <f t="shared" si="148"/>
        <v>0</v>
      </c>
      <c r="M220" s="731" t="str">
        <f t="shared" si="128"/>
        <v>0.992791423988889+0.172477710034634i</v>
      </c>
      <c r="N220" s="338">
        <f t="shared" si="149"/>
        <v>1.007662330349149</v>
      </c>
      <c r="O220" s="339">
        <f t="shared" si="150"/>
        <v>0.17201319401032278</v>
      </c>
      <c r="P220" s="732" t="str">
        <f t="shared" si="142"/>
        <v>-0.00670464955480101-0.225915015162436i</v>
      </c>
      <c r="Q220" s="337">
        <f t="shared" si="151"/>
        <v>0.2260144827251041</v>
      </c>
      <c r="R220" s="339">
        <f t="shared" si="152"/>
        <v>-1.6004653692618269</v>
      </c>
      <c r="S220" s="731" t="str">
        <f t="shared" si="129"/>
        <v>6000</v>
      </c>
      <c r="T220" s="337" t="str">
        <f t="shared" si="130"/>
        <v>1+80819.7015443815i</v>
      </c>
      <c r="U220" s="346">
        <f t="shared" si="153"/>
        <v>80819.701550568119</v>
      </c>
      <c r="V220" s="347">
        <f t="shared" si="154"/>
        <v>1.5707839535742483</v>
      </c>
      <c r="W220" s="340" t="str">
        <f t="shared" si="131"/>
        <v>1+800.195064795856i</v>
      </c>
      <c r="X220" s="337">
        <f t="shared" si="155"/>
        <v>800.19568964325481</v>
      </c>
      <c r="Y220" s="339">
        <f t="shared" si="156"/>
        <v>1.5695466321599063</v>
      </c>
      <c r="Z220" s="337" t="str">
        <f t="shared" si="132"/>
        <v>1+8.06072987872779i</v>
      </c>
      <c r="AA220" s="346">
        <f t="shared" si="157"/>
        <v>8.1225221561910761</v>
      </c>
      <c r="AB220" s="347">
        <f t="shared" si="158"/>
        <v>1.4473687061997837</v>
      </c>
      <c r="AC220" s="732" t="str">
        <f t="shared" si="159"/>
        <v>0.891445500891618-7.25920566536682i</v>
      </c>
      <c r="AD220" s="337">
        <f t="shared" si="160"/>
        <v>7.3137365260961955</v>
      </c>
      <c r="AE220" s="339">
        <f t="shared" si="161"/>
        <v>-1.4486060276141257</v>
      </c>
      <c r="AF220" s="736" t="str">
        <f t="shared" si="133"/>
        <v>-1.64594038763927-0.152720493817905i</v>
      </c>
      <c r="AG220" s="337">
        <f t="shared" si="162"/>
        <v>4.3655116023203391</v>
      </c>
      <c r="AH220" s="730">
        <f t="shared" si="163"/>
        <v>-174.69892247505049</v>
      </c>
      <c r="AI220" s="360">
        <f t="shared" si="134"/>
        <v>5.3010775249495055</v>
      </c>
      <c r="AL220" s="337">
        <f t="shared" si="135"/>
        <v>17.282786220604962</v>
      </c>
      <c r="AM220" s="730">
        <f t="shared" si="136"/>
        <v>-82.999011559500985</v>
      </c>
      <c r="AN220" s="351"/>
      <c r="AO220" s="337">
        <f t="shared" si="137"/>
        <v>40.611847866757536</v>
      </c>
      <c r="AP220" s="730">
        <f t="shared" si="138"/>
        <v>-91.699910915549509</v>
      </c>
      <c r="AS220" s="351"/>
      <c r="AT220" s="351"/>
      <c r="AV220" s="405">
        <f t="shared" si="139"/>
        <v>0</v>
      </c>
      <c r="AW220" s="405">
        <f t="shared" si="164"/>
        <v>0</v>
      </c>
      <c r="AX220" s="405">
        <f t="shared" si="140"/>
        <v>0</v>
      </c>
      <c r="AY220" s="405">
        <f t="shared" si="141"/>
        <v>0</v>
      </c>
    </row>
    <row r="221" spans="2:51" ht="13.5" thickBot="1" x14ac:dyDescent="0.25">
      <c r="B221" s="345">
        <v>12808.75</v>
      </c>
      <c r="C221" s="728" t="str">
        <f t="shared" si="124"/>
        <v>2.2271548443541</v>
      </c>
      <c r="D221" s="728" t="str">
        <f t="shared" si="125"/>
        <v>1+9.79170289273928i</v>
      </c>
      <c r="E221" s="337">
        <f t="shared" si="143"/>
        <v>9.8426340752706452</v>
      </c>
      <c r="F221" s="338">
        <f t="shared" si="144"/>
        <v>1.4690219013985355</v>
      </c>
      <c r="G221" s="338" t="str">
        <f t="shared" si="126"/>
        <v>1+0.0402398749016682i</v>
      </c>
      <c r="H221" s="337">
        <f t="shared" si="145"/>
        <v>1.0008092962858119</v>
      </c>
      <c r="I221" s="338">
        <f t="shared" si="146"/>
        <v>4.0218176539406424E-2</v>
      </c>
      <c r="J221" s="340">
        <f t="shared" si="127"/>
        <v>1</v>
      </c>
      <c r="K221" s="338">
        <f t="shared" si="147"/>
        <v>1</v>
      </c>
      <c r="L221" s="339">
        <f t="shared" si="148"/>
        <v>0</v>
      </c>
      <c r="M221" s="731" t="str">
        <f t="shared" si="128"/>
        <v>0.992708263263889+0.173469739578824i</v>
      </c>
      <c r="N221" s="338">
        <f t="shared" si="149"/>
        <v>1.0077506866789778</v>
      </c>
      <c r="O221" s="339">
        <f t="shared" si="150"/>
        <v>0.17299719116397611</v>
      </c>
      <c r="P221" s="732" t="str">
        <f t="shared" si="142"/>
        <v>-0.00696616410038692-0.224609710219088i</v>
      </c>
      <c r="Q221" s="337">
        <f t="shared" si="151"/>
        <v>0.22471771039901639</v>
      </c>
      <c r="R221" s="339">
        <f t="shared" si="152"/>
        <v>-1.601800916023105</v>
      </c>
      <c r="S221" s="731" t="str">
        <f t="shared" si="129"/>
        <v>6000</v>
      </c>
      <c r="T221" s="337" t="str">
        <f t="shared" si="130"/>
        <v>1+81284.5473013699i</v>
      </c>
      <c r="U221" s="346">
        <f t="shared" si="153"/>
        <v>81284.547307521119</v>
      </c>
      <c r="V221" s="347">
        <f t="shared" si="154"/>
        <v>1.570784024333566</v>
      </c>
      <c r="W221" s="340" t="str">
        <f t="shared" si="131"/>
        <v>1+804.797498033365i</v>
      </c>
      <c r="X221" s="337">
        <f t="shared" si="155"/>
        <v>804.79811930742244</v>
      </c>
      <c r="Y221" s="339">
        <f t="shared" si="156"/>
        <v>1.5695537788399119</v>
      </c>
      <c r="Z221" s="337" t="str">
        <f t="shared" si="132"/>
        <v>1+8.10709228802596i</v>
      </c>
      <c r="AA221" s="346">
        <f t="shared" si="157"/>
        <v>8.1685338566091517</v>
      </c>
      <c r="AB221" s="347">
        <f t="shared" si="158"/>
        <v>1.4480674709909254</v>
      </c>
      <c r="AC221" s="732" t="str">
        <f t="shared" si="159"/>
        <v>0.881431120181676-7.2189273655401i</v>
      </c>
      <c r="AD221" s="337">
        <f t="shared" si="160"/>
        <v>7.2725396615328579</v>
      </c>
      <c r="AE221" s="339">
        <f t="shared" si="161"/>
        <v>-1.4492977164845786</v>
      </c>
      <c r="AF221" s="736" t="str">
        <f t="shared" si="133"/>
        <v>-1.62758137749298-0.147689755824966i</v>
      </c>
      <c r="AG221" s="337">
        <f t="shared" si="162"/>
        <v>4.2664679935295382</v>
      </c>
      <c r="AH221" s="730">
        <f t="shared" si="163"/>
        <v>-174.81507452082724</v>
      </c>
      <c r="AI221" s="360">
        <f t="shared" si="134"/>
        <v>5.1849254791727617</v>
      </c>
      <c r="AL221" s="337">
        <f t="shared" si="135"/>
        <v>17.233721967891444</v>
      </c>
      <c r="AM221" s="730">
        <f t="shared" si="136"/>
        <v>-83.038642412514108</v>
      </c>
      <c r="AN221" s="351"/>
      <c r="AO221" s="337">
        <f t="shared" si="137"/>
        <v>40.561868510680263</v>
      </c>
      <c r="AP221" s="730">
        <f t="shared" si="138"/>
        <v>-91.776432108313116</v>
      </c>
      <c r="AS221" s="351"/>
      <c r="AT221" s="351"/>
      <c r="AV221" s="405">
        <f t="shared" si="139"/>
        <v>0</v>
      </c>
      <c r="AW221" s="405">
        <f t="shared" si="164"/>
        <v>0</v>
      </c>
      <c r="AX221" s="405">
        <f t="shared" si="140"/>
        <v>0</v>
      </c>
      <c r="AY221" s="405">
        <f t="shared" si="141"/>
        <v>0</v>
      </c>
    </row>
    <row r="222" spans="2:51" ht="13.5" thickBot="1" x14ac:dyDescent="0.25">
      <c r="B222" s="345">
        <v>12882</v>
      </c>
      <c r="C222" s="728" t="str">
        <f t="shared" si="124"/>
        <v>2.2271548443541</v>
      </c>
      <c r="D222" s="728" t="str">
        <f t="shared" si="125"/>
        <v>1+9.84769916379563i</v>
      </c>
      <c r="E222" s="337">
        <f t="shared" si="143"/>
        <v>9.8983422258790963</v>
      </c>
      <c r="F222" s="338">
        <f t="shared" si="144"/>
        <v>1.4695966597977808</v>
      </c>
      <c r="G222" s="338" t="str">
        <f t="shared" si="126"/>
        <v>1+0.0404699965635437i</v>
      </c>
      <c r="H222" s="337">
        <f t="shared" si="145"/>
        <v>1.0008185752781835</v>
      </c>
      <c r="I222" s="338">
        <f t="shared" si="146"/>
        <v>4.0447924051663461E-2</v>
      </c>
      <c r="J222" s="340">
        <f t="shared" si="127"/>
        <v>1</v>
      </c>
      <c r="K222" s="338">
        <f t="shared" si="147"/>
        <v>1</v>
      </c>
      <c r="L222" s="339">
        <f t="shared" si="148"/>
        <v>0</v>
      </c>
      <c r="M222" s="731" t="str">
        <f t="shared" si="128"/>
        <v>0.9926246256+0.174461769123015i</v>
      </c>
      <c r="N222" s="338">
        <f t="shared" si="149"/>
        <v>1.0078395488534235</v>
      </c>
      <c r="O222" s="339">
        <f t="shared" si="150"/>
        <v>0.17398109675109819</v>
      </c>
      <c r="P222" s="732" t="str">
        <f t="shared" si="142"/>
        <v>-0.00722318981855865-0.223318576551902i</v>
      </c>
      <c r="Q222" s="337">
        <f t="shared" si="151"/>
        <v>0.22343536225119476</v>
      </c>
      <c r="R222" s="339">
        <f t="shared" si="152"/>
        <v>-1.6031298324972154</v>
      </c>
      <c r="S222" s="731" t="str">
        <f t="shared" si="129"/>
        <v>6000</v>
      </c>
      <c r="T222" s="337" t="str">
        <f t="shared" si="130"/>
        <v>1+81749.3930583583i</v>
      </c>
      <c r="U222" s="346">
        <f t="shared" si="153"/>
        <v>81749.393064474541</v>
      </c>
      <c r="V222" s="347">
        <f t="shared" si="154"/>
        <v>1.5707840942881766</v>
      </c>
      <c r="W222" s="340" t="str">
        <f t="shared" si="131"/>
        <v>1+809.399931270874i</v>
      </c>
      <c r="X222" s="337">
        <f t="shared" si="155"/>
        <v>809.40054901222766</v>
      </c>
      <c r="Y222" s="339">
        <f t="shared" si="156"/>
        <v>1.5695608442447262</v>
      </c>
      <c r="Z222" s="337" t="str">
        <f t="shared" si="132"/>
        <v>1+8.15345469732413i</v>
      </c>
      <c r="AA222" s="346">
        <f t="shared" si="157"/>
        <v>8.2145495008135985</v>
      </c>
      <c r="AB222" s="347">
        <f t="shared" si="158"/>
        <v>1.4487584075404172</v>
      </c>
      <c r="AC222" s="732" t="str">
        <f t="shared" si="159"/>
        <v>0.871583709920076-7.1790866505048i</v>
      </c>
      <c r="AD222" s="337">
        <f t="shared" si="160"/>
        <v>7.2318008337380446</v>
      </c>
      <c r="AE222" s="339">
        <f t="shared" si="161"/>
        <v>-1.4499816575838669</v>
      </c>
      <c r="AF222" s="736" t="str">
        <f t="shared" si="133"/>
        <v>-1.60951902631301-0.142784927844701i</v>
      </c>
      <c r="AG222" s="337">
        <f t="shared" si="162"/>
        <v>4.167967306844135</v>
      </c>
      <c r="AH222" s="730">
        <f t="shared" si="163"/>
        <v>-174.93040276454391</v>
      </c>
      <c r="AI222" s="360">
        <f t="shared" si="134"/>
        <v>5.0695972354560865</v>
      </c>
      <c r="AL222" s="337">
        <f t="shared" si="135"/>
        <v>17.184929140276409</v>
      </c>
      <c r="AM222" s="730">
        <f t="shared" si="136"/>
        <v>-83.07782935093887</v>
      </c>
      <c r="AN222" s="351"/>
      <c r="AO222" s="337">
        <f t="shared" si="137"/>
        <v>40.512160651609825</v>
      </c>
      <c r="AP222" s="730">
        <f t="shared" si="138"/>
        <v>-91.852573413605057</v>
      </c>
      <c r="AS222" s="351"/>
      <c r="AT222" s="351"/>
      <c r="AV222" s="405">
        <f t="shared" si="139"/>
        <v>0</v>
      </c>
      <c r="AW222" s="405">
        <f t="shared" si="164"/>
        <v>0</v>
      </c>
      <c r="AX222" s="405">
        <f t="shared" si="140"/>
        <v>0</v>
      </c>
      <c r="AY222" s="405">
        <f t="shared" si="141"/>
        <v>0</v>
      </c>
    </row>
    <row r="223" spans="2:51" ht="13.5" thickBot="1" x14ac:dyDescent="0.25">
      <c r="B223" s="345">
        <v>12957.25</v>
      </c>
      <c r="C223" s="728" t="str">
        <f t="shared" si="124"/>
        <v>2.2271548443541</v>
      </c>
      <c r="D223" s="728" t="str">
        <f t="shared" si="125"/>
        <v>1+9.90522434327675i</v>
      </c>
      <c r="E223" s="337">
        <f t="shared" si="143"/>
        <v>9.9555747845436979</v>
      </c>
      <c r="F223" s="338">
        <f t="shared" si="144"/>
        <v>1.470180412901851</v>
      </c>
      <c r="G223" s="338" t="str">
        <f t="shared" si="126"/>
        <v>1+0.0407064014107264i</v>
      </c>
      <c r="H223" s="337">
        <f t="shared" si="145"/>
        <v>1.0008281626312336</v>
      </c>
      <c r="I223" s="338">
        <f t="shared" si="146"/>
        <v>4.068394008449399E-2</v>
      </c>
      <c r="J223" s="340">
        <f t="shared" si="127"/>
        <v>1</v>
      </c>
      <c r="K223" s="338">
        <f t="shared" si="147"/>
        <v>1</v>
      </c>
      <c r="L223" s="339">
        <f t="shared" si="148"/>
        <v>0</v>
      </c>
      <c r="M223" s="731" t="str">
        <f t="shared" si="128"/>
        <v>0.992538207663889+0.175480884798105i</v>
      </c>
      <c r="N223" s="338">
        <f t="shared" si="149"/>
        <v>1.0079313640333705</v>
      </c>
      <c r="O223" s="339">
        <f t="shared" si="150"/>
        <v>0.17499177077335992</v>
      </c>
      <c r="P223" s="732" t="str">
        <f t="shared" si="142"/>
        <v>-0.00748266295653924-0.22200670518273i</v>
      </c>
      <c r="Q223" s="337">
        <f t="shared" si="151"/>
        <v>0.22213276973695883</v>
      </c>
      <c r="R223" s="339">
        <f t="shared" si="152"/>
        <v>-1.6044882435907173</v>
      </c>
      <c r="S223" s="731" t="str">
        <f t="shared" si="129"/>
        <v>6000</v>
      </c>
      <c r="T223" s="337" t="str">
        <f t="shared" si="130"/>
        <v>1+82226.9308496672i</v>
      </c>
      <c r="U223" s="346">
        <f t="shared" si="153"/>
        <v>82226.930855747938</v>
      </c>
      <c r="V223" s="347">
        <f t="shared" si="154"/>
        <v>1.5707841653291867</v>
      </c>
      <c r="W223" s="340" t="str">
        <f t="shared" si="131"/>
        <v>1+814.128028214527i</v>
      </c>
      <c r="X223" s="337">
        <f t="shared" si="155"/>
        <v>814.12864236831376</v>
      </c>
      <c r="Y223" s="339">
        <f t="shared" si="156"/>
        <v>1.5695680193758781</v>
      </c>
      <c r="Z223" s="337" t="str">
        <f t="shared" si="132"/>
        <v>1+8.20108297445296i</v>
      </c>
      <c r="AA223" s="346">
        <f t="shared" si="157"/>
        <v>8.2618255823917153</v>
      </c>
      <c r="AB223" s="347">
        <f t="shared" si="158"/>
        <v>1.4494601942419916</v>
      </c>
      <c r="AC223" s="732" t="str">
        <f t="shared" si="159"/>
        <v>0.861637440702756-7.1386064760408i</v>
      </c>
      <c r="AD223" s="337">
        <f t="shared" si="160"/>
        <v>7.1904187290443975</v>
      </c>
      <c r="AE223" s="339">
        <f t="shared" si="161"/>
        <v>-1.4506763401953002</v>
      </c>
      <c r="AF223" s="736" t="str">
        <f t="shared" si="133"/>
        <v>-1.59126584590143-0.137873503032917i</v>
      </c>
      <c r="AG223" s="337">
        <f t="shared" si="162"/>
        <v>4.0673362748677553</v>
      </c>
      <c r="AH223" s="730">
        <f t="shared" si="163"/>
        <v>-175.0480363687816</v>
      </c>
      <c r="AI223" s="360">
        <f t="shared" si="134"/>
        <v>4.9519636312184048</v>
      </c>
      <c r="AL223" s="337">
        <f t="shared" si="135"/>
        <v>17.135083639141065</v>
      </c>
      <c r="AM223" s="730">
        <f t="shared" si="136"/>
        <v>-83.117631732675122</v>
      </c>
      <c r="AN223" s="351"/>
      <c r="AO223" s="337">
        <f t="shared" si="137"/>
        <v>40.461375120768828</v>
      </c>
      <c r="AP223" s="730">
        <f t="shared" si="138"/>
        <v>-91.930404636106459</v>
      </c>
      <c r="AS223" s="351"/>
      <c r="AT223" s="351"/>
      <c r="AV223" s="405">
        <f t="shared" si="139"/>
        <v>0</v>
      </c>
      <c r="AW223" s="405">
        <f t="shared" si="164"/>
        <v>0</v>
      </c>
      <c r="AX223" s="405">
        <f t="shared" si="140"/>
        <v>0</v>
      </c>
      <c r="AY223" s="405">
        <f t="shared" si="141"/>
        <v>0</v>
      </c>
    </row>
    <row r="224" spans="2:51" ht="13.5" thickBot="1" x14ac:dyDescent="0.25">
      <c r="B224" s="345">
        <v>13032.5</v>
      </c>
      <c r="C224" s="728" t="str">
        <f t="shared" si="124"/>
        <v>2.2271548443541</v>
      </c>
      <c r="D224" s="728" t="str">
        <f t="shared" si="125"/>
        <v>1+9.96274952275786i</v>
      </c>
      <c r="E224" s="337">
        <f t="shared" si="143"/>
        <v>10.012810696962767</v>
      </c>
      <c r="F224" s="338">
        <f t="shared" si="144"/>
        <v>1.47075749242197</v>
      </c>
      <c r="G224" s="338" t="str">
        <f t="shared" si="126"/>
        <v>1+0.040942806257909i</v>
      </c>
      <c r="H224" s="337">
        <f t="shared" si="145"/>
        <v>1.0008378057329133</v>
      </c>
      <c r="I224" s="338">
        <f t="shared" si="146"/>
        <v>4.091995158242806E-2</v>
      </c>
      <c r="J224" s="340">
        <f t="shared" si="127"/>
        <v>1</v>
      </c>
      <c r="K224" s="338">
        <f t="shared" si="147"/>
        <v>1</v>
      </c>
      <c r="L224" s="339">
        <f t="shared" si="148"/>
        <v>0</v>
      </c>
      <c r="M224" s="731" t="str">
        <f t="shared" si="128"/>
        <v>0.992451286388889+0.176500000473195i</v>
      </c>
      <c r="N224" s="338">
        <f t="shared" si="149"/>
        <v>1.0080237130256404</v>
      </c>
      <c r="O224" s="339">
        <f t="shared" si="150"/>
        <v>0.17600234708101001</v>
      </c>
      <c r="P224" s="732" t="str">
        <f t="shared" si="142"/>
        <v>-0.00773760758212089-0.220709302412066i</v>
      </c>
      <c r="Q224" s="337">
        <f t="shared" si="151"/>
        <v>0.2208448929504952</v>
      </c>
      <c r="R224" s="339">
        <f t="shared" si="152"/>
        <v>-1.605839887920552</v>
      </c>
      <c r="S224" s="731" t="str">
        <f t="shared" si="129"/>
        <v>6000</v>
      </c>
      <c r="T224" s="337" t="str">
        <f t="shared" si="130"/>
        <v>1+82704.4686409762i</v>
      </c>
      <c r="U224" s="346">
        <f t="shared" si="153"/>
        <v>82704.468647021829</v>
      </c>
      <c r="V224" s="347">
        <f t="shared" si="154"/>
        <v>1.5707842355498118</v>
      </c>
      <c r="W224" s="340" t="str">
        <f t="shared" si="131"/>
        <v>1+818.85612515818i</v>
      </c>
      <c r="X224" s="337">
        <f t="shared" si="155"/>
        <v>818.85673576582906</v>
      </c>
      <c r="Y224" s="339">
        <f t="shared" si="156"/>
        <v>1.5695751116483596</v>
      </c>
      <c r="Z224" s="337" t="str">
        <f t="shared" si="132"/>
        <v>1+8.2487112515818i</v>
      </c>
      <c r="AA224" s="346">
        <f t="shared" si="157"/>
        <v>8.3091056866531794</v>
      </c>
      <c r="AB224" s="347">
        <f t="shared" si="158"/>
        <v>1.4501539947309718</v>
      </c>
      <c r="AC224" s="732" t="str">
        <f t="shared" si="159"/>
        <v>0.851859636323568-7.09857334562556i</v>
      </c>
      <c r="AD224" s="337">
        <f t="shared" si="160"/>
        <v>7.1495040655434963</v>
      </c>
      <c r="AE224" s="339">
        <f t="shared" si="161"/>
        <v>-1.4513631186324243</v>
      </c>
      <c r="AF224" s="736" t="str">
        <f t="shared" si="133"/>
        <v>-1.57331252681482-0.133087371144617i</v>
      </c>
      <c r="AG224" s="337">
        <f t="shared" si="162"/>
        <v>3.9672655616848544</v>
      </c>
      <c r="AH224" s="730">
        <f t="shared" si="163"/>
        <v>-175.1648293901917</v>
      </c>
      <c r="AI224" s="360">
        <f t="shared" si="134"/>
        <v>4.8351706098083014</v>
      </c>
      <c r="AL224" s="337">
        <f t="shared" si="135"/>
        <v>17.085518349118725</v>
      </c>
      <c r="AM224" s="730">
        <f t="shared" si="136"/>
        <v>-83.156981238582929</v>
      </c>
      <c r="AN224" s="351"/>
      <c r="AO224" s="337">
        <f t="shared" si="137"/>
        <v>40.410869697608277</v>
      </c>
      <c r="AP224" s="730">
        <f t="shared" si="138"/>
        <v>-92.007848151608783</v>
      </c>
      <c r="AS224" s="351"/>
      <c r="AT224" s="351"/>
      <c r="AV224" s="405">
        <f t="shared" si="139"/>
        <v>0</v>
      </c>
      <c r="AW224" s="405">
        <f t="shared" si="164"/>
        <v>0</v>
      </c>
      <c r="AX224" s="405">
        <f t="shared" si="140"/>
        <v>0</v>
      </c>
      <c r="AY224" s="405">
        <f t="shared" si="141"/>
        <v>0</v>
      </c>
    </row>
    <row r="225" spans="2:51" ht="13.5" thickBot="1" x14ac:dyDescent="0.25">
      <c r="B225" s="345">
        <v>13107.75</v>
      </c>
      <c r="C225" s="728" t="str">
        <f t="shared" si="124"/>
        <v>2.2271548443541</v>
      </c>
      <c r="D225" s="728" t="str">
        <f t="shared" si="125"/>
        <v>1+10.020274702239i</v>
      </c>
      <c r="E225" s="337">
        <f t="shared" si="143"/>
        <v>10.070049905950361</v>
      </c>
      <c r="F225" s="338">
        <f t="shared" si="144"/>
        <v>1.4713280117704959</v>
      </c>
      <c r="G225" s="338" t="str">
        <f t="shared" si="126"/>
        <v>1+0.0411792111050916i</v>
      </c>
      <c r="H225" s="337">
        <f t="shared" si="145"/>
        <v>1.000847504581611</v>
      </c>
      <c r="I225" s="338">
        <f t="shared" si="146"/>
        <v>4.1155958519304883E-2</v>
      </c>
      <c r="J225" s="340">
        <f t="shared" si="127"/>
        <v>1</v>
      </c>
      <c r="K225" s="338">
        <f t="shared" si="147"/>
        <v>1</v>
      </c>
      <c r="L225" s="339">
        <f t="shared" si="148"/>
        <v>0</v>
      </c>
      <c r="M225" s="731" t="str">
        <f t="shared" si="128"/>
        <v>0.992363861775+0.177519116148284i</v>
      </c>
      <c r="N225" s="338">
        <f t="shared" si="149"/>
        <v>1.0081165958137279</v>
      </c>
      <c r="O225" s="339">
        <f t="shared" si="150"/>
        <v>0.1770128251275048</v>
      </c>
      <c r="P225" s="732" t="str">
        <f t="shared" si="142"/>
        <v>-0.0079881251019634-0.219426129371818i</v>
      </c>
      <c r="Q225" s="337">
        <f t="shared" si="151"/>
        <v>0.21957148356228415</v>
      </c>
      <c r="R225" s="339">
        <f t="shared" si="152"/>
        <v>-1.6071848783786957</v>
      </c>
      <c r="S225" s="731" t="str">
        <f t="shared" si="129"/>
        <v>6000</v>
      </c>
      <c r="T225" s="337" t="str">
        <f t="shared" si="130"/>
        <v>1+83182.006432285i</v>
      </c>
      <c r="U225" s="346">
        <f t="shared" si="153"/>
        <v>83182.00643829591</v>
      </c>
      <c r="V225" s="347">
        <f t="shared" si="154"/>
        <v>1.5707843049641805</v>
      </c>
      <c r="W225" s="340" t="str">
        <f t="shared" si="131"/>
        <v>1+823.584222101832i</v>
      </c>
      <c r="X225" s="337">
        <f t="shared" si="155"/>
        <v>823.58482920405936</v>
      </c>
      <c r="Y225" s="339">
        <f t="shared" si="156"/>
        <v>1.5695821224892128</v>
      </c>
      <c r="Z225" s="337" t="str">
        <f t="shared" si="132"/>
        <v>1+8.29633952871063i</v>
      </c>
      <c r="AA225" s="346">
        <f t="shared" si="157"/>
        <v>8.3563897453174434</v>
      </c>
      <c r="AB225" s="347">
        <f t="shared" si="158"/>
        <v>1.4508399439019992</v>
      </c>
      <c r="AC225" s="732" t="str">
        <f t="shared" si="159"/>
        <v>0.842246532153384-7.05898001375172i</v>
      </c>
      <c r="AD225" s="337">
        <f t="shared" si="160"/>
        <v>7.1090490260984023</v>
      </c>
      <c r="AE225" s="339">
        <f t="shared" si="161"/>
        <v>-1.4520421263769663</v>
      </c>
      <c r="AF225" s="736" t="str">
        <f t="shared" si="133"/>
        <v>-1.5556526323961-0.128422881085145i</v>
      </c>
      <c r="AG225" s="337">
        <f t="shared" si="162"/>
        <v>3.8677489102861067</v>
      </c>
      <c r="AH225" s="730">
        <f t="shared" si="163"/>
        <v>-175.28079594494767</v>
      </c>
      <c r="AI225" s="360">
        <f t="shared" si="134"/>
        <v>4.7192040550523302</v>
      </c>
      <c r="AL225" s="337">
        <f t="shared" si="135"/>
        <v>17.036230185227538</v>
      </c>
      <c r="AM225" s="730">
        <f t="shared" si="136"/>
        <v>-83.195885516601876</v>
      </c>
      <c r="AN225" s="351"/>
      <c r="AO225" s="337">
        <f t="shared" si="137"/>
        <v>40.360641210100667</v>
      </c>
      <c r="AP225" s="730">
        <f t="shared" si="138"/>
        <v>-92.084910428345793</v>
      </c>
      <c r="AS225" s="351"/>
      <c r="AT225" s="351"/>
      <c r="AV225" s="405">
        <f t="shared" si="139"/>
        <v>0</v>
      </c>
      <c r="AW225" s="405">
        <f t="shared" si="164"/>
        <v>0</v>
      </c>
      <c r="AX225" s="405">
        <f t="shared" si="140"/>
        <v>0</v>
      </c>
      <c r="AY225" s="405">
        <f t="shared" si="141"/>
        <v>0</v>
      </c>
    </row>
    <row r="226" spans="2:51" ht="13.5" thickBot="1" x14ac:dyDescent="0.25">
      <c r="B226" s="345">
        <v>13183</v>
      </c>
      <c r="C226" s="728" t="str">
        <f t="shared" si="124"/>
        <v>2.2271548443541</v>
      </c>
      <c r="D226" s="728" t="str">
        <f t="shared" si="125"/>
        <v>1+10.0777998817201i</v>
      </c>
      <c r="E226" s="337">
        <f t="shared" si="143"/>
        <v>10.127292355610045</v>
      </c>
      <c r="F226" s="338">
        <f t="shared" si="144"/>
        <v>1.4718920818129304</v>
      </c>
      <c r="G226" s="338" t="str">
        <f t="shared" si="126"/>
        <v>1+0.0414156159522743i</v>
      </c>
      <c r="H226" s="337">
        <f t="shared" si="145"/>
        <v>1.0008572591757059</v>
      </c>
      <c r="I226" s="338">
        <f t="shared" si="146"/>
        <v>4.1391960868966703E-2</v>
      </c>
      <c r="J226" s="340">
        <f t="shared" si="127"/>
        <v>1</v>
      </c>
      <c r="K226" s="338">
        <f t="shared" si="147"/>
        <v>1</v>
      </c>
      <c r="L226" s="339">
        <f t="shared" si="148"/>
        <v>0</v>
      </c>
      <c r="M226" s="731" t="str">
        <f t="shared" si="128"/>
        <v>0.992275933822222+0.178538231823374i</v>
      </c>
      <c r="N226" s="338">
        <f t="shared" si="149"/>
        <v>1.0082100123810414</v>
      </c>
      <c r="O226" s="339">
        <f t="shared" si="150"/>
        <v>0.17802320436665994</v>
      </c>
      <c r="P226" s="732" t="str">
        <f t="shared" si="142"/>
        <v>-0.00823431409453465-0.218156952368212i</v>
      </c>
      <c r="Q226" s="337">
        <f t="shared" si="151"/>
        <v>0.21831229877218045</v>
      </c>
      <c r="R226" s="339">
        <f t="shared" si="152"/>
        <v>-1.6085233253106233</v>
      </c>
      <c r="S226" s="731" t="str">
        <f t="shared" si="129"/>
        <v>6000</v>
      </c>
      <c r="T226" s="337" t="str">
        <f t="shared" si="130"/>
        <v>1+83659.544223594i</v>
      </c>
      <c r="U226" s="346">
        <f t="shared" si="153"/>
        <v>83659.544229570616</v>
      </c>
      <c r="V226" s="347">
        <f t="shared" si="154"/>
        <v>1.5707843735860998</v>
      </c>
      <c r="W226" s="340" t="str">
        <f t="shared" si="131"/>
        <v>1+828.312319045485i</v>
      </c>
      <c r="X226" s="337">
        <f t="shared" si="155"/>
        <v>828.31292268230936</v>
      </c>
      <c r="Y226" s="339">
        <f t="shared" si="156"/>
        <v>1.5695890532928969</v>
      </c>
      <c r="Z226" s="337" t="str">
        <f t="shared" si="132"/>
        <v>1+8.34396780583947i</v>
      </c>
      <c r="AA226" s="346">
        <f t="shared" si="157"/>
        <v>8.4036776916351066</v>
      </c>
      <c r="AB226" s="347">
        <f t="shared" si="158"/>
        <v>1.4515181736434146</v>
      </c>
      <c r="AC226" s="732" t="str">
        <f t="shared" si="159"/>
        <v>0.832794467621034-7.0198193878737i</v>
      </c>
      <c r="AD226" s="337">
        <f t="shared" si="160"/>
        <v>7.0690459655930731</v>
      </c>
      <c r="AE226" s="339">
        <f t="shared" si="161"/>
        <v>-1.452713493936618</v>
      </c>
      <c r="AF226" s="736" t="str">
        <f t="shared" si="133"/>
        <v>-1.5382798950564-0.123876505278656i</v>
      </c>
      <c r="AG226" s="337">
        <f t="shared" si="162"/>
        <v>3.7687801658084856</v>
      </c>
      <c r="AH226" s="730">
        <f t="shared" si="163"/>
        <v>-175.3959498329194</v>
      </c>
      <c r="AI226" s="360">
        <f t="shared" si="134"/>
        <v>4.6040501670806009</v>
      </c>
      <c r="AL226" s="337">
        <f t="shared" si="135"/>
        <v>16.987216112327765</v>
      </c>
      <c r="AM226" s="730">
        <f t="shared" si="136"/>
        <v>-83.234352044271915</v>
      </c>
      <c r="AN226" s="351"/>
      <c r="AO226" s="337">
        <f t="shared" si="137"/>
        <v>40.310686538522859</v>
      </c>
      <c r="AP226" s="730">
        <f t="shared" si="138"/>
        <v>-92.161597788647455</v>
      </c>
      <c r="AS226" s="351"/>
      <c r="AT226" s="351"/>
      <c r="AV226" s="405">
        <f t="shared" si="139"/>
        <v>0</v>
      </c>
      <c r="AW226" s="405">
        <f t="shared" si="164"/>
        <v>0</v>
      </c>
      <c r="AX226" s="405">
        <f t="shared" si="140"/>
        <v>0</v>
      </c>
      <c r="AY226" s="405">
        <f t="shared" si="141"/>
        <v>0</v>
      </c>
    </row>
    <row r="227" spans="2:51" ht="13.5" thickBot="1" x14ac:dyDescent="0.25">
      <c r="B227" s="345">
        <v>13259.75</v>
      </c>
      <c r="C227" s="728" t="str">
        <f t="shared" si="124"/>
        <v>2.2271548443541</v>
      </c>
      <c r="D227" s="728" t="str">
        <f t="shared" si="125"/>
        <v>1+10.1364717425197i</v>
      </c>
      <c r="E227" s="337">
        <f t="shared" si="143"/>
        <v>10.185679132335769</v>
      </c>
      <c r="F227" s="338">
        <f t="shared" si="144"/>
        <v>1.4724608647339685</v>
      </c>
      <c r="G227" s="338" t="str">
        <f t="shared" si="126"/>
        <v>1+0.0416567331884372i</v>
      </c>
      <c r="H227" s="337">
        <f t="shared" si="145"/>
        <v>1.0008672656351254</v>
      </c>
      <c r="I227" s="338">
        <f t="shared" si="146"/>
        <v>4.1632662831995598E-2</v>
      </c>
      <c r="J227" s="340">
        <f t="shared" si="127"/>
        <v>1</v>
      </c>
      <c r="K227" s="338">
        <f t="shared" si="147"/>
        <v>1</v>
      </c>
      <c r="L227" s="339">
        <f t="shared" si="148"/>
        <v>0</v>
      </c>
      <c r="M227" s="731" t="str">
        <f t="shared" si="128"/>
        <v>0.992185734663889+0.179577662096638i</v>
      </c>
      <c r="N227" s="338">
        <f t="shared" si="149"/>
        <v>1.0083058409007732</v>
      </c>
      <c r="O227" s="339">
        <f t="shared" si="150"/>
        <v>0.17905362170843039</v>
      </c>
      <c r="P227" s="732" t="str">
        <f t="shared" si="142"/>
        <v>-0.00848105106842635-0.216876656379703i</v>
      </c>
      <c r="Q227" s="337">
        <f t="shared" si="151"/>
        <v>0.21704242053033093</v>
      </c>
      <c r="R227" s="339">
        <f t="shared" si="152"/>
        <v>-1.6098818236104031</v>
      </c>
      <c r="S227" s="731" t="str">
        <f t="shared" si="129"/>
        <v>6000</v>
      </c>
      <c r="T227" s="337" t="str">
        <f t="shared" si="130"/>
        <v>1+84146.6010406432i</v>
      </c>
      <c r="U227" s="346">
        <f t="shared" si="153"/>
        <v>84146.601046585216</v>
      </c>
      <c r="V227" s="347">
        <f t="shared" si="154"/>
        <v>1.5707844427735864</v>
      </c>
      <c r="W227" s="340" t="str">
        <f t="shared" si="131"/>
        <v>1+833.134663768745i</v>
      </c>
      <c r="X227" s="337">
        <f t="shared" si="155"/>
        <v>833.13526391160508</v>
      </c>
      <c r="Y227" s="339">
        <f t="shared" si="156"/>
        <v>1.5695960412189156</v>
      </c>
      <c r="Z227" s="337" t="str">
        <f t="shared" si="132"/>
        <v>1+8.3925454838413i</v>
      </c>
      <c r="AA227" s="346">
        <f t="shared" si="157"/>
        <v>8.451912191826473</v>
      </c>
      <c r="AB227" s="347">
        <f t="shared" si="158"/>
        <v>1.4522021048523539</v>
      </c>
      <c r="AC227" s="732" t="str">
        <f t="shared" si="159"/>
        <v>0.823316185674522-6.9803166822471i</v>
      </c>
      <c r="AD227" s="337">
        <f t="shared" si="160"/>
        <v>7.0287033317711458</v>
      </c>
      <c r="AE227" s="339">
        <f t="shared" si="161"/>
        <v>-1.4533905064070249</v>
      </c>
      <c r="AF227" s="736" t="str">
        <f t="shared" si="133"/>
        <v>-1.52085032913338-0.119357639236455i</v>
      </c>
      <c r="AG227" s="337">
        <f t="shared" si="162"/>
        <v>3.6683967427353368</v>
      </c>
      <c r="AH227" s="730">
        <f t="shared" si="163"/>
        <v>-175.51257600920451</v>
      </c>
      <c r="AI227" s="360">
        <f t="shared" si="134"/>
        <v>4.4874239907954916</v>
      </c>
      <c r="AL227" s="337">
        <f t="shared" si="135"/>
        <v>16.937504259151442</v>
      </c>
      <c r="AM227" s="730">
        <f t="shared" si="136"/>
        <v>-83.273142001503956</v>
      </c>
      <c r="AN227" s="351"/>
      <c r="AO227" s="337">
        <f t="shared" si="137"/>
        <v>40.260014968625988</v>
      </c>
      <c r="AP227" s="730">
        <f t="shared" si="138"/>
        <v>-92.239434007700552</v>
      </c>
      <c r="AS227" s="351"/>
      <c r="AT227" s="351"/>
      <c r="AV227" s="405">
        <f t="shared" si="139"/>
        <v>0</v>
      </c>
      <c r="AW227" s="405">
        <f t="shared" si="164"/>
        <v>0</v>
      </c>
      <c r="AX227" s="405">
        <f t="shared" si="140"/>
        <v>0</v>
      </c>
      <c r="AY227" s="405">
        <f t="shared" si="141"/>
        <v>0</v>
      </c>
    </row>
    <row r="228" spans="2:51" ht="13.5" thickBot="1" x14ac:dyDescent="0.25">
      <c r="B228" s="345">
        <v>13336.5</v>
      </c>
      <c r="C228" s="728" t="str">
        <f t="shared" si="124"/>
        <v>2.2271548443541</v>
      </c>
      <c r="D228" s="728" t="str">
        <f t="shared" si="125"/>
        <v>1+10.1951436033194i</v>
      </c>
      <c r="E228" s="337">
        <f t="shared" si="143"/>
        <v>10.244069166708337</v>
      </c>
      <c r="F228" s="338">
        <f t="shared" si="144"/>
        <v>1.4730231638386955</v>
      </c>
      <c r="G228" s="338" t="str">
        <f t="shared" si="126"/>
        <v>1+0.0418978504246003i</v>
      </c>
      <c r="H228" s="337">
        <f t="shared" si="145"/>
        <v>1.0008773300810656</v>
      </c>
      <c r="I228" s="338">
        <f t="shared" si="146"/>
        <v>4.1873359968153043E-2</v>
      </c>
      <c r="J228" s="340">
        <f t="shared" si="127"/>
        <v>1</v>
      </c>
      <c r="K228" s="338">
        <f t="shared" si="147"/>
        <v>1</v>
      </c>
      <c r="L228" s="339">
        <f t="shared" si="148"/>
        <v>0</v>
      </c>
      <c r="M228" s="731" t="str">
        <f t="shared" si="128"/>
        <v>0.9920950119+0.180617092369903i</v>
      </c>
      <c r="N228" s="338">
        <f t="shared" si="149"/>
        <v>1.0084022246569169</v>
      </c>
      <c r="O228" s="339">
        <f t="shared" si="150"/>
        <v>0.18008393511789583</v>
      </c>
      <c r="P228" s="732" t="str">
        <f t="shared" si="142"/>
        <v>-0.00872348378147186-0.215610444771745i</v>
      </c>
      <c r="Q228" s="337">
        <f t="shared" si="151"/>
        <v>0.21578684636454395</v>
      </c>
      <c r="R228" s="339">
        <f t="shared" si="152"/>
        <v>-1.6112337389884379</v>
      </c>
      <c r="S228" s="731" t="str">
        <f t="shared" si="129"/>
        <v>6000</v>
      </c>
      <c r="T228" s="337" t="str">
        <f t="shared" si="130"/>
        <v>1+84633.6578576926i</v>
      </c>
      <c r="U228" s="346">
        <f t="shared" si="153"/>
        <v>84633.657863600412</v>
      </c>
      <c r="V228" s="347">
        <f t="shared" si="154"/>
        <v>1.5707845111647412</v>
      </c>
      <c r="W228" s="340" t="str">
        <f t="shared" si="131"/>
        <v>1+837.957008492006i</v>
      </c>
      <c r="X228" s="337">
        <f t="shared" si="155"/>
        <v>837.95760518111649</v>
      </c>
      <c r="Y228" s="339">
        <f t="shared" si="156"/>
        <v>1.5696029487156531</v>
      </c>
      <c r="Z228" s="337" t="str">
        <f t="shared" si="132"/>
        <v>1+8.44112316184314i</v>
      </c>
      <c r="AA228" s="346">
        <f t="shared" si="157"/>
        <v>8.5001506006308354</v>
      </c>
      <c r="AB228" s="347">
        <f t="shared" si="158"/>
        <v>1.4528782737466601</v>
      </c>
      <c r="AC228" s="732" t="str">
        <f t="shared" si="159"/>
        <v>0.813998051816676-6.9412496711883i</v>
      </c>
      <c r="AD228" s="337">
        <f t="shared" si="160"/>
        <v>6.9888153378189228</v>
      </c>
      <c r="AE228" s="339">
        <f t="shared" si="161"/>
        <v>-1.4540598361957482</v>
      </c>
      <c r="AF228" s="736" t="str">
        <f t="shared" si="133"/>
        <v>-1.50370682767981-0.114954603065769i</v>
      </c>
      <c r="AG228" s="337">
        <f t="shared" si="162"/>
        <v>3.5685706699853821</v>
      </c>
      <c r="AH228" s="730">
        <f t="shared" si="163"/>
        <v>-175.62838482662099</v>
      </c>
      <c r="AI228" s="360">
        <f t="shared" si="134"/>
        <v>4.3716151733790127</v>
      </c>
      <c r="AL228" s="337">
        <f t="shared" si="135"/>
        <v>16.888071309331224</v>
      </c>
      <c r="AM228" s="730">
        <f t="shared" si="136"/>
        <v>-83.311491773500194</v>
      </c>
      <c r="AN228" s="351"/>
      <c r="AO228" s="337">
        <f t="shared" si="137"/>
        <v>40.209621845696269</v>
      </c>
      <c r="AP228" s="730">
        <f t="shared" si="138"/>
        <v>-92.316893053120779</v>
      </c>
      <c r="AS228" s="351"/>
      <c r="AT228" s="351"/>
      <c r="AV228" s="405">
        <f t="shared" si="139"/>
        <v>0</v>
      </c>
      <c r="AW228" s="405">
        <f t="shared" si="164"/>
        <v>0</v>
      </c>
      <c r="AX228" s="405">
        <f t="shared" si="140"/>
        <v>0</v>
      </c>
      <c r="AY228" s="405">
        <f t="shared" si="141"/>
        <v>0</v>
      </c>
    </row>
    <row r="229" spans="2:51" ht="13.5" thickBot="1" x14ac:dyDescent="0.25">
      <c r="B229" s="345">
        <v>13413.25</v>
      </c>
      <c r="C229" s="728" t="str">
        <f t="shared" si="124"/>
        <v>2.2271548443541</v>
      </c>
      <c r="D229" s="728" t="str">
        <f t="shared" si="125"/>
        <v>1+10.2538154641191i</v>
      </c>
      <c r="E229" s="337">
        <f t="shared" si="143"/>
        <v>10.302462403338726</v>
      </c>
      <c r="F229" s="338">
        <f t="shared" si="144"/>
        <v>1.473579089017174</v>
      </c>
      <c r="G229" s="338" t="str">
        <f t="shared" si="126"/>
        <v>1+0.0421389676607633i</v>
      </c>
      <c r="H229" s="337">
        <f t="shared" si="145"/>
        <v>1.000887452511777</v>
      </c>
      <c r="I229" s="338">
        <f t="shared" si="146"/>
        <v>4.2114052249695132E-2</v>
      </c>
      <c r="J229" s="340">
        <f t="shared" si="127"/>
        <v>1</v>
      </c>
      <c r="K229" s="338">
        <f t="shared" si="147"/>
        <v>1</v>
      </c>
      <c r="L229" s="339">
        <f t="shared" si="148"/>
        <v>0</v>
      </c>
      <c r="M229" s="731" t="str">
        <f t="shared" si="128"/>
        <v>0.992003765530556+0.181656522643167i</v>
      </c>
      <c r="N229" s="338">
        <f t="shared" si="149"/>
        <v>1.0084991636315868</v>
      </c>
      <c r="O229" s="339">
        <f t="shared" si="150"/>
        <v>0.18111414401670853</v>
      </c>
      <c r="P229" s="732" t="str">
        <f t="shared" si="142"/>
        <v>-0.00896170832630078-0.214358085355955i</v>
      </c>
      <c r="Q229" s="337">
        <f t="shared" si="151"/>
        <v>0.21454533547387269</v>
      </c>
      <c r="R229" s="339">
        <f t="shared" si="152"/>
        <v>-1.6125791807841869</v>
      </c>
      <c r="S229" s="731" t="str">
        <f t="shared" si="129"/>
        <v>6000</v>
      </c>
      <c r="T229" s="337" t="str">
        <f t="shared" si="130"/>
        <v>1+85120.7146747419i</v>
      </c>
      <c r="U229" s="346">
        <f t="shared" si="153"/>
        <v>85120.7146806159</v>
      </c>
      <c r="V229" s="347">
        <f t="shared" si="154"/>
        <v>1.5707845787732337</v>
      </c>
      <c r="W229" s="340" t="str">
        <f t="shared" si="131"/>
        <v>1+842.779353215266i</v>
      </c>
      <c r="X229" s="337">
        <f t="shared" si="155"/>
        <v>842.77994649015125</v>
      </c>
      <c r="Y229" s="339">
        <f t="shared" si="156"/>
        <v>1.5696097771637447</v>
      </c>
      <c r="Z229" s="337" t="str">
        <f t="shared" si="132"/>
        <v>1+8.48970083984497i</v>
      </c>
      <c r="AA229" s="346">
        <f t="shared" si="157"/>
        <v>8.5483928518794912</v>
      </c>
      <c r="AB229" s="347">
        <f t="shared" si="158"/>
        <v>1.4535468111209675</v>
      </c>
      <c r="AC229" s="732" t="str">
        <f t="shared" si="159"/>
        <v>0.804836495118978-6.902611296243i</v>
      </c>
      <c r="AD229" s="337">
        <f t="shared" si="160"/>
        <v>6.949374395648638</v>
      </c>
      <c r="AE229" s="339">
        <f t="shared" si="161"/>
        <v>-1.4547216127304565</v>
      </c>
      <c r="AF229" s="736" t="str">
        <f t="shared" si="133"/>
        <v>-1.48684325133865-0.110664020991543i</v>
      </c>
      <c r="AG229" s="337">
        <f t="shared" si="162"/>
        <v>3.4692957317420152</v>
      </c>
      <c r="AH229" s="730">
        <f t="shared" si="163"/>
        <v>-175.74338996551745</v>
      </c>
      <c r="AI229" s="360">
        <f t="shared" si="134"/>
        <v>4.2566100344825486</v>
      </c>
      <c r="AL229" s="337">
        <f t="shared" si="135"/>
        <v>16.838914196128126</v>
      </c>
      <c r="AM229" s="730">
        <f t="shared" si="136"/>
        <v>-83.34940877591977</v>
      </c>
      <c r="AN229" s="351"/>
      <c r="AO229" s="337">
        <f t="shared" si="137"/>
        <v>40.159504020656023</v>
      </c>
      <c r="AP229" s="730">
        <f t="shared" si="138"/>
        <v>-92.39398118959771</v>
      </c>
      <c r="AS229" s="351"/>
      <c r="AT229" s="351"/>
      <c r="AV229" s="405">
        <f t="shared" si="139"/>
        <v>0</v>
      </c>
      <c r="AW229" s="405">
        <f t="shared" si="164"/>
        <v>0</v>
      </c>
      <c r="AX229" s="405">
        <f t="shared" si="140"/>
        <v>0</v>
      </c>
      <c r="AY229" s="405">
        <f t="shared" si="141"/>
        <v>0</v>
      </c>
    </row>
    <row r="230" spans="2:51" ht="13.5" thickBot="1" x14ac:dyDescent="0.25">
      <c r="B230" s="345">
        <v>13490</v>
      </c>
      <c r="C230" s="728" t="str">
        <f t="shared" si="124"/>
        <v>2.2271548443541</v>
      </c>
      <c r="D230" s="728" t="str">
        <f t="shared" si="125"/>
        <v>1+10.3124873249187i</v>
      </c>
      <c r="E230" s="337">
        <f t="shared" si="143"/>
        <v>10.360858788083585</v>
      </c>
      <c r="F230" s="338">
        <f t="shared" si="144"/>
        <v>1.4741287476979597</v>
      </c>
      <c r="G230" s="338" t="str">
        <f t="shared" si="126"/>
        <v>1+0.0423800848969263i</v>
      </c>
      <c r="H230" s="337">
        <f t="shared" si="145"/>
        <v>1.0008976329255008</v>
      </c>
      <c r="I230" s="338">
        <f t="shared" si="146"/>
        <v>4.2354739648881749E-2</v>
      </c>
      <c r="J230" s="340">
        <f t="shared" si="127"/>
        <v>1</v>
      </c>
      <c r="K230" s="338">
        <f t="shared" si="147"/>
        <v>1</v>
      </c>
      <c r="L230" s="339">
        <f t="shared" si="148"/>
        <v>0</v>
      </c>
      <c r="M230" s="731" t="str">
        <f t="shared" si="128"/>
        <v>0.991911995555556+0.182695952916432i</v>
      </c>
      <c r="N230" s="338">
        <f t="shared" si="149"/>
        <v>1.0085966578068004</v>
      </c>
      <c r="O230" s="339">
        <f t="shared" si="150"/>
        <v>0.18214424782691882</v>
      </c>
      <c r="P230" s="732" t="str">
        <f t="shared" si="142"/>
        <v>-0.0091958181220029-0.21311935096981i</v>
      </c>
      <c r="Q230" s="337">
        <f t="shared" si="151"/>
        <v>0.21331765240768522</v>
      </c>
      <c r="R230" s="339">
        <f t="shared" si="152"/>
        <v>-1.6139182558759968</v>
      </c>
      <c r="S230" s="731" t="str">
        <f t="shared" si="129"/>
        <v>6000</v>
      </c>
      <c r="T230" s="337" t="str">
        <f t="shared" si="130"/>
        <v>1+85607.7714917911i</v>
      </c>
      <c r="U230" s="346">
        <f t="shared" si="153"/>
        <v>85607.771497631693</v>
      </c>
      <c r="V230" s="347">
        <f t="shared" si="154"/>
        <v>1.570784645612423</v>
      </c>
      <c r="W230" s="340" t="str">
        <f t="shared" si="131"/>
        <v>1+847.601697938526i</v>
      </c>
      <c r="X230" s="337">
        <f t="shared" si="155"/>
        <v>847.60228783803552</v>
      </c>
      <c r="Y230" s="339">
        <f t="shared" si="156"/>
        <v>1.5696165279124061</v>
      </c>
      <c r="Z230" s="337" t="str">
        <f t="shared" si="132"/>
        <v>1+8.5382785178468i</v>
      </c>
      <c r="AA230" s="346">
        <f t="shared" si="157"/>
        <v>8.5966388808838641</v>
      </c>
      <c r="AB230" s="347">
        <f t="shared" si="158"/>
        <v>1.4542078448613693</v>
      </c>
      <c r="AC230" s="732" t="str">
        <f t="shared" si="159"/>
        <v>0.79582804316424-6.86439464805252i</v>
      </c>
      <c r="AD230" s="337">
        <f t="shared" si="160"/>
        <v>6.9103730838861877</v>
      </c>
      <c r="AE230" s="339">
        <f t="shared" si="161"/>
        <v>-1.455375962561386</v>
      </c>
      <c r="AF230" s="736" t="str">
        <f t="shared" si="133"/>
        <v>-1.47025362213492-0.106482631341596i</v>
      </c>
      <c r="AG230" s="337">
        <f t="shared" si="162"/>
        <v>3.3705658135720915</v>
      </c>
      <c r="AH230" s="730">
        <f t="shared" si="163"/>
        <v>-175.8576048003666</v>
      </c>
      <c r="AI230" s="360">
        <f t="shared" si="134"/>
        <v>4.1423951996333983</v>
      </c>
      <c r="AL230" s="337">
        <f t="shared" si="135"/>
        <v>16.79002990232944</v>
      </c>
      <c r="AM230" s="730">
        <f t="shared" si="136"/>
        <v>-83.386900259557123</v>
      </c>
      <c r="AN230" s="351"/>
      <c r="AO230" s="337">
        <f t="shared" si="137"/>
        <v>40.10965839628475</v>
      </c>
      <c r="AP230" s="730">
        <f t="shared" si="138"/>
        <v>-92.470704540809507</v>
      </c>
      <c r="AS230" s="351"/>
      <c r="AT230" s="351"/>
      <c r="AV230" s="405">
        <f t="shared" si="139"/>
        <v>0</v>
      </c>
      <c r="AW230" s="405">
        <f t="shared" si="164"/>
        <v>0</v>
      </c>
      <c r="AX230" s="405">
        <f t="shared" si="140"/>
        <v>0</v>
      </c>
      <c r="AY230" s="405">
        <f t="shared" si="141"/>
        <v>0</v>
      </c>
    </row>
    <row r="231" spans="2:51" ht="13.5" thickBot="1" x14ac:dyDescent="0.25">
      <c r="B231" s="345">
        <v>13568.5</v>
      </c>
      <c r="C231" s="728" t="str">
        <f t="shared" si="124"/>
        <v>2.2271548443541</v>
      </c>
      <c r="D231" s="728" t="str">
        <f t="shared" si="125"/>
        <v>1+10.3724969805901i</v>
      </c>
      <c r="E231" s="337">
        <f t="shared" si="143"/>
        <v>10.420589887926246</v>
      </c>
      <c r="F231" s="338">
        <f t="shared" si="144"/>
        <v>1.4746845663267134</v>
      </c>
      <c r="G231" s="338" t="str">
        <f t="shared" si="126"/>
        <v>1+0.0426266999202331i</v>
      </c>
      <c r="H231" s="337">
        <f t="shared" si="145"/>
        <v>1.0009081054452948</v>
      </c>
      <c r="I231" s="338">
        <f t="shared" si="146"/>
        <v>4.2600909954847541E-2</v>
      </c>
      <c r="J231" s="340">
        <f t="shared" si="127"/>
        <v>1</v>
      </c>
      <c r="K231" s="338">
        <f t="shared" si="147"/>
        <v>1</v>
      </c>
      <c r="L231" s="339">
        <f t="shared" si="148"/>
        <v>0</v>
      </c>
      <c r="M231" s="731" t="str">
        <f t="shared" si="128"/>
        <v>0.991817591455556+0.183759083554233i</v>
      </c>
      <c r="N231" s="338">
        <f t="shared" si="149"/>
        <v>1.008696949291209</v>
      </c>
      <c r="O231" s="339">
        <f t="shared" si="150"/>
        <v>0.18319773003400081</v>
      </c>
      <c r="P231" s="732" t="str">
        <f t="shared" si="142"/>
        <v>-0.00943110403845441-0.211866234750502i</v>
      </c>
      <c r="Q231" s="337">
        <f t="shared" si="151"/>
        <v>0.21207604096346899</v>
      </c>
      <c r="R231" s="339">
        <f t="shared" si="152"/>
        <v>-1.6152813864058668</v>
      </c>
      <c r="S231" s="731" t="str">
        <f t="shared" si="129"/>
        <v>6000</v>
      </c>
      <c r="T231" s="337" t="str">
        <f t="shared" si="130"/>
        <v>1+86105.9338388709i</v>
      </c>
      <c r="U231" s="346">
        <f t="shared" si="153"/>
        <v>86105.933844677696</v>
      </c>
      <c r="V231" s="347">
        <f t="shared" si="154"/>
        <v>1.5707847131934249</v>
      </c>
      <c r="W231" s="340" t="str">
        <f t="shared" si="131"/>
        <v>1+852.533998404662i</v>
      </c>
      <c r="X231" s="337">
        <f t="shared" si="155"/>
        <v>852.53458489133459</v>
      </c>
      <c r="Y231" s="339">
        <f t="shared" si="156"/>
        <v>1.5696233535841517</v>
      </c>
      <c r="Z231" s="337" t="str">
        <f t="shared" si="132"/>
        <v>1+8.58796383020047i</v>
      </c>
      <c r="AA231" s="346">
        <f t="shared" si="157"/>
        <v>8.6459888242370262</v>
      </c>
      <c r="AB231" s="347">
        <f t="shared" si="158"/>
        <v>1.4548763191430287</v>
      </c>
      <c r="AC231" s="732" t="str">
        <f t="shared" si="159"/>
        <v>0.786769048274388-6.82573582120674i</v>
      </c>
      <c r="AD231" s="337">
        <f t="shared" si="160"/>
        <v>6.8709297068320696</v>
      </c>
      <c r="AE231" s="339">
        <f t="shared" si="161"/>
        <v>-1.4560376787523024</v>
      </c>
      <c r="AF231" s="736" t="str">
        <f t="shared" si="133"/>
        <v>-1.45356304858921-0.102315571207325i</v>
      </c>
      <c r="AG231" s="337">
        <f t="shared" si="162"/>
        <v>3.270142257910662</v>
      </c>
      <c r="AH231" s="730">
        <f t="shared" si="163"/>
        <v>-175.97361997162858</v>
      </c>
      <c r="AI231" s="360">
        <f t="shared" si="134"/>
        <v>4.0263800283714204</v>
      </c>
      <c r="AL231" s="337">
        <f t="shared" si="135"/>
        <v>16.740310110125094</v>
      </c>
      <c r="AM231" s="730">
        <f t="shared" si="136"/>
        <v>-83.424813804532107</v>
      </c>
      <c r="AN231" s="351"/>
      <c r="AO231" s="337">
        <f t="shared" si="137"/>
        <v>40.058954632827692</v>
      </c>
      <c r="AP231" s="730">
        <f t="shared" si="138"/>
        <v>-92.548806167096473</v>
      </c>
      <c r="AS231" s="351"/>
      <c r="AT231" s="351"/>
      <c r="AV231" s="405">
        <f t="shared" si="139"/>
        <v>0</v>
      </c>
      <c r="AW231" s="405">
        <f t="shared" si="164"/>
        <v>0</v>
      </c>
      <c r="AX231" s="405">
        <f t="shared" si="140"/>
        <v>0</v>
      </c>
      <c r="AY231" s="405">
        <f t="shared" si="141"/>
        <v>0</v>
      </c>
    </row>
    <row r="232" spans="2:51" ht="13.5" thickBot="1" x14ac:dyDescent="0.25">
      <c r="B232" s="345">
        <v>13647</v>
      </c>
      <c r="C232" s="728" t="str">
        <f t="shared" si="124"/>
        <v>2.2271548443541</v>
      </c>
      <c r="D232" s="728" t="str">
        <f t="shared" si="125"/>
        <v>1+10.4325066362614i</v>
      </c>
      <c r="E232" s="337">
        <f t="shared" si="143"/>
        <v>10.48032417035075</v>
      </c>
      <c r="F232" s="338">
        <f t="shared" si="144"/>
        <v>1.4752340491694163</v>
      </c>
      <c r="G232" s="338" t="str">
        <f t="shared" si="126"/>
        <v>1+0.0428733149435399i</v>
      </c>
      <c r="H232" s="337">
        <f t="shared" si="145"/>
        <v>1.0009186386186681</v>
      </c>
      <c r="I232" s="338">
        <f t="shared" si="146"/>
        <v>4.2847075094581209E-2</v>
      </c>
      <c r="J232" s="340">
        <f t="shared" si="127"/>
        <v>1</v>
      </c>
      <c r="K232" s="338">
        <f t="shared" si="147"/>
        <v>1</v>
      </c>
      <c r="L232" s="339">
        <f t="shared" si="148"/>
        <v>0</v>
      </c>
      <c r="M232" s="731" t="str">
        <f t="shared" si="128"/>
        <v>0.9917226396+0.184822214192034i</v>
      </c>
      <c r="N232" s="338">
        <f t="shared" si="149"/>
        <v>1.0087978215450493</v>
      </c>
      <c r="O232" s="339">
        <f t="shared" si="150"/>
        <v>0.18425110108379744</v>
      </c>
      <c r="P232" s="732" t="str">
        <f t="shared" si="142"/>
        <v>-0.00966227492264403-0.210626906807376i</v>
      </c>
      <c r="Q232" s="337">
        <f t="shared" si="151"/>
        <v>0.21084841338725743</v>
      </c>
      <c r="R232" s="339">
        <f t="shared" si="152"/>
        <v>-1.6166380751586324</v>
      </c>
      <c r="S232" s="731" t="str">
        <f t="shared" si="129"/>
        <v>6000</v>
      </c>
      <c r="T232" s="337" t="str">
        <f t="shared" si="130"/>
        <v>1+86604.0961859506i</v>
      </c>
      <c r="U232" s="346">
        <f t="shared" si="153"/>
        <v>86604.096191724006</v>
      </c>
      <c r="V232" s="347">
        <f t="shared" si="154"/>
        <v>1.5707847799969505</v>
      </c>
      <c r="W232" s="340" t="str">
        <f t="shared" si="131"/>
        <v>1+857.466298870798i</v>
      </c>
      <c r="X232" s="337">
        <f t="shared" si="155"/>
        <v>857.46688198389597</v>
      </c>
      <c r="Y232" s="339">
        <f t="shared" si="156"/>
        <v>1.5696301007310201</v>
      </c>
      <c r="Z232" s="337" t="str">
        <f t="shared" si="132"/>
        <v>1+8.63764914255414i</v>
      </c>
      <c r="AA232" s="346">
        <f t="shared" si="157"/>
        <v>8.6953425872628092</v>
      </c>
      <c r="AB232" s="347">
        <f t="shared" si="158"/>
        <v>1.4555372053511626</v>
      </c>
      <c r="AC232" s="732" t="str">
        <f t="shared" si="159"/>
        <v>0.777863173442352-6.78750401238588i</v>
      </c>
      <c r="AD232" s="337">
        <f t="shared" si="160"/>
        <v>6.8319310472773518</v>
      </c>
      <c r="AE232" s="339">
        <f t="shared" si="161"/>
        <v>-1.4566918846170933</v>
      </c>
      <c r="AF232" s="736" t="str">
        <f t="shared" si="133"/>
        <v>-1.43714690290549-0.0982561843353102i</v>
      </c>
      <c r="AG232" s="337">
        <f t="shared" si="162"/>
        <v>3.1702762366983501</v>
      </c>
      <c r="AH232" s="730">
        <f t="shared" si="163"/>
        <v>-176.08883574626014</v>
      </c>
      <c r="AI232" s="360">
        <f t="shared" si="134"/>
        <v>3.9111642537398552</v>
      </c>
      <c r="AL232" s="337">
        <f t="shared" si="135"/>
        <v>16.690869489865825</v>
      </c>
      <c r="AM232" s="730">
        <f t="shared" si="136"/>
        <v>-83.462297039517338</v>
      </c>
      <c r="AN232" s="351"/>
      <c r="AO232" s="337">
        <f t="shared" si="137"/>
        <v>40.008529231874668</v>
      </c>
      <c r="AP232" s="730">
        <f t="shared" si="138"/>
        <v>-92.626538706742807</v>
      </c>
      <c r="AS232" s="351"/>
      <c r="AT232" s="351"/>
      <c r="AV232" s="405">
        <f t="shared" si="139"/>
        <v>0</v>
      </c>
      <c r="AW232" s="405">
        <f t="shared" si="164"/>
        <v>0</v>
      </c>
      <c r="AX232" s="405">
        <f t="shared" si="140"/>
        <v>0</v>
      </c>
      <c r="AY232" s="405">
        <f t="shared" si="141"/>
        <v>0</v>
      </c>
    </row>
    <row r="233" spans="2:51" ht="13.5" thickBot="1" x14ac:dyDescent="0.25">
      <c r="B233" s="345">
        <v>13725.5</v>
      </c>
      <c r="C233" s="728" t="str">
        <f t="shared" si="124"/>
        <v>2.2271548443541</v>
      </c>
      <c r="D233" s="728" t="str">
        <f t="shared" si="125"/>
        <v>1+10.4925162919327i</v>
      </c>
      <c r="E233" s="337">
        <f t="shared" si="143"/>
        <v>10.540061581246722</v>
      </c>
      <c r="F233" s="338">
        <f t="shared" si="144"/>
        <v>1.4757773036185127</v>
      </c>
      <c r="G233" s="338" t="str">
        <f t="shared" si="126"/>
        <v>1+0.0431199299668467i</v>
      </c>
      <c r="H233" s="337">
        <f t="shared" si="145"/>
        <v>1.0009292324437058</v>
      </c>
      <c r="I233" s="338">
        <f t="shared" si="146"/>
        <v>4.3093235038412468E-2</v>
      </c>
      <c r="J233" s="340">
        <f t="shared" si="127"/>
        <v>1</v>
      </c>
      <c r="K233" s="338">
        <f t="shared" si="147"/>
        <v>1</v>
      </c>
      <c r="L233" s="339">
        <f t="shared" si="148"/>
        <v>0</v>
      </c>
      <c r="M233" s="731" t="str">
        <f t="shared" si="128"/>
        <v>0.991627139988889+0.185885344829836i</v>
      </c>
      <c r="N233" s="338">
        <f t="shared" si="149"/>
        <v>1.0088992745487779</v>
      </c>
      <c r="O233" s="339">
        <f t="shared" si="150"/>
        <v>0.18530436035920747</v>
      </c>
      <c r="P233" s="732" t="str">
        <f t="shared" si="142"/>
        <v>-0.00988942261622923-0.209401139541251i</v>
      </c>
      <c r="Q233" s="337">
        <f t="shared" si="151"/>
        <v>0.20963453417997915</v>
      </c>
      <c r="R233" s="339">
        <f t="shared" si="152"/>
        <v>-1.6179884289393074</v>
      </c>
      <c r="S233" s="731" t="str">
        <f t="shared" si="129"/>
        <v>6000</v>
      </c>
      <c r="T233" s="337" t="str">
        <f t="shared" si="130"/>
        <v>1+87102.2585330303i</v>
      </c>
      <c r="U233" s="346">
        <f t="shared" si="153"/>
        <v>87102.258538770679</v>
      </c>
      <c r="V233" s="347">
        <f t="shared" si="154"/>
        <v>1.5707848460363401</v>
      </c>
      <c r="W233" s="340" t="str">
        <f t="shared" si="131"/>
        <v>1+862.398599336934i</v>
      </c>
      <c r="X233" s="337">
        <f t="shared" si="155"/>
        <v>862.39917911504619</v>
      </c>
      <c r="Y233" s="339">
        <f t="shared" si="156"/>
        <v>1.5696367707003265</v>
      </c>
      <c r="Z233" s="337" t="str">
        <f t="shared" si="132"/>
        <v>1+8.6873344549078i</v>
      </c>
      <c r="AA233" s="346">
        <f t="shared" si="157"/>
        <v>8.7447001052882438</v>
      </c>
      <c r="AB233" s="347">
        <f t="shared" si="158"/>
        <v>1.4561906313911048</v>
      </c>
      <c r="AC233" s="732" t="str">
        <f t="shared" si="159"/>
        <v>0.769107002467494-6.74969228811978i</v>
      </c>
      <c r="AD233" s="337">
        <f t="shared" si="160"/>
        <v>6.7933696767913458</v>
      </c>
      <c r="AE233" s="339">
        <f t="shared" si="161"/>
        <v>-1.457338706727118</v>
      </c>
      <c r="AF233" s="736" t="str">
        <f t="shared" si="133"/>
        <v>-1.42099928086958-0.0943013231791292i</v>
      </c>
      <c r="AG233" s="337">
        <f t="shared" si="162"/>
        <v>3.0709615228644811</v>
      </c>
      <c r="AH233" s="730">
        <f t="shared" si="163"/>
        <v>-176.20326549574253</v>
      </c>
      <c r="AI233" s="360">
        <f t="shared" si="134"/>
        <v>3.7967345042574721</v>
      </c>
      <c r="AL233" s="337">
        <f t="shared" si="135"/>
        <v>16.64170496728099</v>
      </c>
      <c r="AM233" s="730">
        <f t="shared" si="136"/>
        <v>-83.499357216517495</v>
      </c>
      <c r="AN233" s="351"/>
      <c r="AO233" s="337">
        <f t="shared" si="137"/>
        <v>39.958379040625616</v>
      </c>
      <c r="AP233" s="730">
        <f t="shared" si="138"/>
        <v>-92.703908279225018</v>
      </c>
      <c r="AS233" s="351"/>
      <c r="AT233" s="351"/>
      <c r="AV233" s="405">
        <f t="shared" si="139"/>
        <v>0</v>
      </c>
      <c r="AW233" s="405">
        <f t="shared" si="164"/>
        <v>0</v>
      </c>
      <c r="AX233" s="405">
        <f t="shared" si="140"/>
        <v>0</v>
      </c>
      <c r="AY233" s="405">
        <f t="shared" si="141"/>
        <v>0</v>
      </c>
    </row>
    <row r="234" spans="2:51" ht="13.5" thickBot="1" x14ac:dyDescent="0.25">
      <c r="B234" s="345">
        <v>13804</v>
      </c>
      <c r="C234" s="728" t="str">
        <f t="shared" si="124"/>
        <v>2.2271548443541</v>
      </c>
      <c r="D234" s="728" t="str">
        <f t="shared" si="125"/>
        <v>1+10.552525947604i</v>
      </c>
      <c r="E234" s="337">
        <f t="shared" si="143"/>
        <v>10.599802067720683</v>
      </c>
      <c r="F234" s="338">
        <f t="shared" si="144"/>
        <v>1.4763144346602872</v>
      </c>
      <c r="G234" s="338" t="str">
        <f t="shared" si="126"/>
        <v>1+0.0433665449901535i</v>
      </c>
      <c r="H234" s="337">
        <f t="shared" si="145"/>
        <v>1.0009398869184818</v>
      </c>
      <c r="I234" s="338">
        <f t="shared" si="146"/>
        <v>4.333938975667477E-2</v>
      </c>
      <c r="J234" s="340">
        <f t="shared" si="127"/>
        <v>1</v>
      </c>
      <c r="K234" s="338">
        <f t="shared" si="147"/>
        <v>1</v>
      </c>
      <c r="L234" s="339">
        <f t="shared" si="148"/>
        <v>0</v>
      </c>
      <c r="M234" s="731" t="str">
        <f t="shared" si="128"/>
        <v>0.991531092622222+0.186948475467637i</v>
      </c>
      <c r="N234" s="338">
        <f t="shared" si="149"/>
        <v>1.0090013082827449</v>
      </c>
      <c r="O234" s="339">
        <f t="shared" si="150"/>
        <v>0.18635750724356717</v>
      </c>
      <c r="P234" s="732" t="str">
        <f t="shared" si="142"/>
        <v>-0.0101126364046898-0.208188710289043i</v>
      </c>
      <c r="Q234" s="337">
        <f t="shared" si="151"/>
        <v>0.20843417307838114</v>
      </c>
      <c r="R234" s="339">
        <f t="shared" si="152"/>
        <v>-1.6193325521471793</v>
      </c>
      <c r="S234" s="731" t="str">
        <f t="shared" si="129"/>
        <v>6000</v>
      </c>
      <c r="T234" s="337" t="str">
        <f t="shared" si="130"/>
        <v>1+87600.4208801101i</v>
      </c>
      <c r="U234" s="346">
        <f t="shared" si="153"/>
        <v>87600.420885817832</v>
      </c>
      <c r="V234" s="347">
        <f t="shared" si="154"/>
        <v>1.5707849113246293</v>
      </c>
      <c r="W234" s="340" t="str">
        <f t="shared" si="131"/>
        <v>1+867.33089980307i</v>
      </c>
      <c r="X234" s="337">
        <f t="shared" si="155"/>
        <v>867.33147628412689</v>
      </c>
      <c r="Y234" s="339">
        <f t="shared" si="156"/>
        <v>1.5696433648087389</v>
      </c>
      <c r="Z234" s="337" t="str">
        <f t="shared" si="132"/>
        <v>1+8.73701976726147i</v>
      </c>
      <c r="AA234" s="346">
        <f t="shared" si="157"/>
        <v>8.794061315087454</v>
      </c>
      <c r="AB234" s="347">
        <f t="shared" si="158"/>
        <v>1.4568367223222611</v>
      </c>
      <c r="AC234" s="732" t="str">
        <f t="shared" si="159"/>
        <v>0.760497213467148-6.71229386185884i</v>
      </c>
      <c r="AD234" s="337">
        <f t="shared" si="160"/>
        <v>6.7552383303358852</v>
      </c>
      <c r="AE234" s="339">
        <f t="shared" si="161"/>
        <v>-1.4579782688381511</v>
      </c>
      <c r="AF234" s="736" t="str">
        <f t="shared" si="133"/>
        <v>-1.40511443398802-0.090447946783727i</v>
      </c>
      <c r="AG234" s="337">
        <f t="shared" si="162"/>
        <v>2.9721919910906722</v>
      </c>
      <c r="AH234" s="730">
        <f t="shared" si="163"/>
        <v>-176.31692229239783</v>
      </c>
      <c r="AI234" s="360">
        <f t="shared" si="134"/>
        <v>3.6830777076021661</v>
      </c>
      <c r="AL234" s="337">
        <f t="shared" si="135"/>
        <v>16.592813517860748</v>
      </c>
      <c r="AM234" s="730">
        <f t="shared" si="136"/>
        <v>-83.536001426216174</v>
      </c>
      <c r="AN234" s="351"/>
      <c r="AO234" s="337">
        <f t="shared" si="137"/>
        <v>39.908500958272093</v>
      </c>
      <c r="AP234" s="730">
        <f t="shared" si="138"/>
        <v>-92.780920866181674</v>
      </c>
      <c r="AS234" s="351"/>
      <c r="AT234" s="351"/>
      <c r="AV234" s="405">
        <f t="shared" si="139"/>
        <v>0</v>
      </c>
      <c r="AW234" s="405">
        <f t="shared" si="164"/>
        <v>0</v>
      </c>
      <c r="AX234" s="405">
        <f t="shared" si="140"/>
        <v>0</v>
      </c>
      <c r="AY234" s="405">
        <f t="shared" si="141"/>
        <v>0</v>
      </c>
    </row>
    <row r="235" spans="2:51" ht="13.5" thickBot="1" x14ac:dyDescent="0.25">
      <c r="B235" s="345">
        <v>13884.25</v>
      </c>
      <c r="C235" s="728" t="str">
        <f t="shared" si="124"/>
        <v>2.2271548443541</v>
      </c>
      <c r="D235" s="728" t="str">
        <f t="shared" si="125"/>
        <v>1+10.613873398147i</v>
      </c>
      <c r="E235" s="337">
        <f t="shared" si="143"/>
        <v>10.660877473824213</v>
      </c>
      <c r="F235" s="338">
        <f t="shared" si="144"/>
        <v>1.4768573171485095</v>
      </c>
      <c r="G235" s="338" t="str">
        <f t="shared" si="126"/>
        <v>1+0.0436186578006041i</v>
      </c>
      <c r="H235" s="337">
        <f t="shared" si="145"/>
        <v>1.0009508416042849</v>
      </c>
      <c r="I235" s="338">
        <f t="shared" si="146"/>
        <v>4.35910265680058E-2</v>
      </c>
      <c r="J235" s="340">
        <f t="shared" si="127"/>
        <v>1</v>
      </c>
      <c r="K235" s="338">
        <f t="shared" si="147"/>
        <v>1</v>
      </c>
      <c r="L235" s="339">
        <f t="shared" si="148"/>
        <v>0</v>
      </c>
      <c r="M235" s="731" t="str">
        <f t="shared" si="128"/>
        <v>0.991432337863889+0.188035306469975i</v>
      </c>
      <c r="N235" s="338">
        <f t="shared" si="149"/>
        <v>1.0091062169273926</v>
      </c>
      <c r="O235" s="339">
        <f t="shared" si="150"/>
        <v>0.1874340151057256</v>
      </c>
      <c r="P235" s="732" t="str">
        <f t="shared" si="142"/>
        <v>-0.010336850257725-0.206962812859952i</v>
      </c>
      <c r="Q235" s="337">
        <f t="shared" si="151"/>
        <v>0.2072207913800016</v>
      </c>
      <c r="R235" s="339">
        <f t="shared" si="152"/>
        <v>-1.6207003056862292</v>
      </c>
      <c r="S235" s="731" t="str">
        <f t="shared" si="129"/>
        <v>6000</v>
      </c>
      <c r="T235" s="337" t="str">
        <f t="shared" si="130"/>
        <v>1+88109.6887572203i</v>
      </c>
      <c r="U235" s="346">
        <f t="shared" si="153"/>
        <v>88109.688762895035</v>
      </c>
      <c r="V235" s="347">
        <f t="shared" si="154"/>
        <v>1.570784977305254</v>
      </c>
      <c r="W235" s="340" t="str">
        <f t="shared" si="131"/>
        <v>1+872.373156012082i</v>
      </c>
      <c r="X235" s="337">
        <f t="shared" si="155"/>
        <v>872.37372916112065</v>
      </c>
      <c r="Y235" s="339">
        <f t="shared" si="156"/>
        <v>1.5696500288430297</v>
      </c>
      <c r="Z235" s="337" t="str">
        <f t="shared" si="132"/>
        <v>1+8.78781271396698i</v>
      </c>
      <c r="AA235" s="346">
        <f t="shared" si="157"/>
        <v>8.8445266857961204</v>
      </c>
      <c r="AB235" s="347">
        <f t="shared" si="158"/>
        <v>1.4574897616759168</v>
      </c>
      <c r="AC235" s="732" t="str">
        <f t="shared" si="159"/>
        <v>0.75184343599002-6.67448201644764i</v>
      </c>
      <c r="AD235" s="337">
        <f t="shared" si="160"/>
        <v>6.7166940335349672</v>
      </c>
      <c r="AE235" s="339">
        <f t="shared" si="161"/>
        <v>-1.4586247101381409</v>
      </c>
      <c r="AF235" s="736" t="str">
        <f t="shared" si="133"/>
        <v>-1.38914126552225-0.0866105111908882i</v>
      </c>
      <c r="AG235" s="337">
        <f t="shared" si="162"/>
        <v>2.8717778644625258</v>
      </c>
      <c r="AH235" s="730">
        <f t="shared" si="163"/>
        <v>-176.43232715579185</v>
      </c>
      <c r="AI235" s="360">
        <f t="shared" si="134"/>
        <v>3.5676728442081469</v>
      </c>
      <c r="AL235" s="337">
        <f t="shared" si="135"/>
        <v>16.5431113054888</v>
      </c>
      <c r="AM235" s="730">
        <f t="shared" si="136"/>
        <v>-83.573039784408536</v>
      </c>
      <c r="AN235" s="351"/>
      <c r="AO235" s="337">
        <f t="shared" si="137"/>
        <v>39.85778904401586</v>
      </c>
      <c r="AP235" s="730">
        <f t="shared" si="138"/>
        <v>-92.859287371383317</v>
      </c>
      <c r="AS235" s="351"/>
      <c r="AT235" s="351"/>
      <c r="AV235" s="405">
        <f t="shared" si="139"/>
        <v>0</v>
      </c>
      <c r="AW235" s="405">
        <f t="shared" si="164"/>
        <v>0</v>
      </c>
      <c r="AX235" s="405">
        <f t="shared" si="140"/>
        <v>0</v>
      </c>
      <c r="AY235" s="405">
        <f t="shared" si="141"/>
        <v>0</v>
      </c>
    </row>
    <row r="236" spans="2:51" ht="13.5" thickBot="1" x14ac:dyDescent="0.25">
      <c r="B236" s="345">
        <v>13964.5</v>
      </c>
      <c r="C236" s="728" t="str">
        <f t="shared" si="124"/>
        <v>2.2271548443541</v>
      </c>
      <c r="D236" s="728" t="str">
        <f t="shared" si="125"/>
        <v>1+10.67522084869i</v>
      </c>
      <c r="E236" s="337">
        <f t="shared" si="143"/>
        <v>10.72195598612052</v>
      </c>
      <c r="F236" s="338">
        <f t="shared" si="144"/>
        <v>1.4773940146430928</v>
      </c>
      <c r="G236" s="338" t="str">
        <f t="shared" si="126"/>
        <v>1+0.0438707706110546i</v>
      </c>
      <c r="H236" s="337">
        <f t="shared" si="145"/>
        <v>1.0009618596699914</v>
      </c>
      <c r="I236" s="338">
        <f t="shared" si="146"/>
        <v>4.3842657855496639E-2</v>
      </c>
      <c r="J236" s="340">
        <f t="shared" si="127"/>
        <v>1</v>
      </c>
      <c r="K236" s="338">
        <f t="shared" si="147"/>
        <v>1</v>
      </c>
      <c r="L236" s="339">
        <f t="shared" si="148"/>
        <v>0</v>
      </c>
      <c r="M236" s="731" t="str">
        <f t="shared" si="128"/>
        <v>0.991333010655556+0.189122137472313i</v>
      </c>
      <c r="N236" s="338">
        <f t="shared" si="149"/>
        <v>1.009211732441466</v>
      </c>
      <c r="O236" s="339">
        <f t="shared" si="150"/>
        <v>0.18851040420803694</v>
      </c>
      <c r="P236" s="732" t="str">
        <f t="shared" si="142"/>
        <v>-0.0105571337413308-0.205750399395222i</v>
      </c>
      <c r="Q236" s="337">
        <f t="shared" si="151"/>
        <v>0.20602106669980549</v>
      </c>
      <c r="R236" s="339">
        <f t="shared" si="152"/>
        <v>-1.6220617609956336</v>
      </c>
      <c r="S236" s="731" t="str">
        <f t="shared" si="129"/>
        <v>6000</v>
      </c>
      <c r="T236" s="337" t="str">
        <f t="shared" si="130"/>
        <v>1+88618.9566343304i</v>
      </c>
      <c r="U236" s="346">
        <f t="shared" si="153"/>
        <v>88618.95663997253</v>
      </c>
      <c r="V236" s="347">
        <f t="shared" si="154"/>
        <v>1.5707850425275351</v>
      </c>
      <c r="W236" s="340" t="str">
        <f t="shared" si="131"/>
        <v>1+877.415412221093i</v>
      </c>
      <c r="X236" s="337">
        <f t="shared" si="155"/>
        <v>877.41598207640982</v>
      </c>
      <c r="Y236" s="339">
        <f t="shared" si="156"/>
        <v>1.5696566162848105</v>
      </c>
      <c r="Z236" s="337" t="str">
        <f t="shared" si="132"/>
        <v>1+8.83860566067247i</v>
      </c>
      <c r="AA236" s="346">
        <f t="shared" si="157"/>
        <v>8.8949957855454578</v>
      </c>
      <c r="AB236" s="347">
        <f t="shared" si="158"/>
        <v>1.4581353907741716</v>
      </c>
      <c r="AC236" s="732" t="str">
        <f t="shared" si="159"/>
        <v>0.743335907586378-6.63708821222076i</v>
      </c>
      <c r="AD236" s="337">
        <f t="shared" si="160"/>
        <v>6.6785842967134155</v>
      </c>
      <c r="AE236" s="339">
        <f t="shared" si="161"/>
        <v>-1.4592638170168961</v>
      </c>
      <c r="AF236" s="736" t="str">
        <f t="shared" si="133"/>
        <v>-1.37343104707686-0.0828730319612824i</v>
      </c>
      <c r="AG236" s="337">
        <f t="shared" si="162"/>
        <v>2.771920868773595</v>
      </c>
      <c r="AH236" s="730">
        <f t="shared" si="163"/>
        <v>-176.54695092582682</v>
      </c>
      <c r="AI236" s="360">
        <f t="shared" si="134"/>
        <v>3.4530490741731796</v>
      </c>
      <c r="AL236" s="337">
        <f t="shared" si="135"/>
        <v>16.493688239673279</v>
      </c>
      <c r="AM236" s="730">
        <f t="shared" si="136"/>
        <v>-83.609657911218989</v>
      </c>
      <c r="AN236" s="351"/>
      <c r="AO236" s="337">
        <f t="shared" si="137"/>
        <v>39.807355114142467</v>
      </c>
      <c r="AP236" s="730">
        <f t="shared" si="138"/>
        <v>-92.93729301460786</v>
      </c>
      <c r="AS236" s="351"/>
      <c r="AT236" s="351"/>
      <c r="AV236" s="405">
        <f t="shared" si="139"/>
        <v>0</v>
      </c>
      <c r="AW236" s="405">
        <f t="shared" si="164"/>
        <v>0</v>
      </c>
      <c r="AX236" s="405">
        <f t="shared" si="140"/>
        <v>0</v>
      </c>
      <c r="AY236" s="405">
        <f t="shared" si="141"/>
        <v>0</v>
      </c>
    </row>
    <row r="237" spans="2:51" ht="13.5" thickBot="1" x14ac:dyDescent="0.25">
      <c r="B237" s="345">
        <v>14044.75</v>
      </c>
      <c r="C237" s="728" t="str">
        <f t="shared" si="124"/>
        <v>2.2271548443541</v>
      </c>
      <c r="D237" s="728" t="str">
        <f t="shared" si="125"/>
        <v>1+10.7365682992329i</v>
      </c>
      <c r="E237" s="337">
        <f t="shared" si="143"/>
        <v>10.783037551826148</v>
      </c>
      <c r="F237" s="338">
        <f t="shared" si="144"/>
        <v>1.4779246319386889</v>
      </c>
      <c r="G237" s="338" t="str">
        <f t="shared" si="126"/>
        <v>1+0.0441228834215052i</v>
      </c>
      <c r="H237" s="337">
        <f t="shared" si="145"/>
        <v>1.0009729411135087</v>
      </c>
      <c r="I237" s="338">
        <f t="shared" si="146"/>
        <v>4.40942835874647E-2</v>
      </c>
      <c r="J237" s="340">
        <f t="shared" si="127"/>
        <v>1</v>
      </c>
      <c r="K237" s="338">
        <f t="shared" si="147"/>
        <v>1</v>
      </c>
      <c r="L237" s="339">
        <f t="shared" si="148"/>
        <v>0</v>
      </c>
      <c r="M237" s="731" t="str">
        <f t="shared" si="128"/>
        <v>0.991233110997222+0.190208968474652i</v>
      </c>
      <c r="N237" s="338">
        <f t="shared" si="149"/>
        <v>1.0093178548036403</v>
      </c>
      <c r="O237" s="339">
        <f t="shared" si="150"/>
        <v>0.18958667389311351</v>
      </c>
      <c r="P237" s="732" t="str">
        <f t="shared" si="142"/>
        <v>-0.01077357450184-0.204551247160516i</v>
      </c>
      <c r="Q237" s="337">
        <f t="shared" si="151"/>
        <v>0.20483476907612438</v>
      </c>
      <c r="R237" s="339">
        <f t="shared" si="152"/>
        <v>-1.6234170222443383</v>
      </c>
      <c r="S237" s="731" t="str">
        <f t="shared" si="129"/>
        <v>6000</v>
      </c>
      <c r="T237" s="337" t="str">
        <f t="shared" si="130"/>
        <v>1+89128.2245114406i</v>
      </c>
      <c r="U237" s="346">
        <f t="shared" si="153"/>
        <v>89128.22451705049</v>
      </c>
      <c r="V237" s="347">
        <f t="shared" si="154"/>
        <v>1.5707851070044718</v>
      </c>
      <c r="W237" s="340" t="str">
        <f t="shared" si="131"/>
        <v>1+882.457668430105i</v>
      </c>
      <c r="X237" s="337">
        <f t="shared" si="155"/>
        <v>882.45823502933968</v>
      </c>
      <c r="Y237" s="339">
        <f t="shared" si="156"/>
        <v>1.569663128447</v>
      </c>
      <c r="Z237" s="337" t="str">
        <f t="shared" si="132"/>
        <v>1+8.88939860737798i</v>
      </c>
      <c r="AA237" s="346">
        <f t="shared" si="157"/>
        <v>8.9454685512193031</v>
      </c>
      <c r="AB237" s="347">
        <f t="shared" si="158"/>
        <v>1.4587737345062013</v>
      </c>
      <c r="AC237" s="732" t="str">
        <f t="shared" si="159"/>
        <v>0.734971365169866-6.60010565034378i</v>
      </c>
      <c r="AD237" s="337">
        <f t="shared" si="160"/>
        <v>6.6409018591844546</v>
      </c>
      <c r="AE237" s="339">
        <f t="shared" si="161"/>
        <v>-1.4598957130636727</v>
      </c>
      <c r="AF237" s="736" t="str">
        <f t="shared" si="133"/>
        <v>-1.35797811092837-0.0792325794287693i</v>
      </c>
      <c r="AG237" s="337">
        <f t="shared" si="162"/>
        <v>2.6726147756378626</v>
      </c>
      <c r="AH237" s="730">
        <f t="shared" si="163"/>
        <v>-176.66080665208656</v>
      </c>
      <c r="AI237" s="360">
        <f t="shared" si="134"/>
        <v>3.3391933479134366</v>
      </c>
      <c r="AL237" s="337">
        <f t="shared" si="135"/>
        <v>16.444541243597605</v>
      </c>
      <c r="AM237" s="730">
        <f t="shared" si="136"/>
        <v>-83.645862887790287</v>
      </c>
      <c r="AN237" s="351"/>
      <c r="AO237" s="337">
        <f t="shared" si="137"/>
        <v>39.757196017082364</v>
      </c>
      <c r="AP237" s="730">
        <f t="shared" si="138"/>
        <v>-93.014943764296262</v>
      </c>
      <c r="AS237" s="351"/>
      <c r="AT237" s="351"/>
      <c r="AV237" s="405">
        <f t="shared" si="139"/>
        <v>0</v>
      </c>
      <c r="AW237" s="405">
        <f t="shared" si="164"/>
        <v>0</v>
      </c>
      <c r="AX237" s="405">
        <f t="shared" si="140"/>
        <v>0</v>
      </c>
      <c r="AY237" s="405">
        <f t="shared" si="141"/>
        <v>0</v>
      </c>
    </row>
    <row r="238" spans="2:51" ht="13.5" thickBot="1" x14ac:dyDescent="0.25">
      <c r="B238" s="345">
        <v>14125</v>
      </c>
      <c r="C238" s="728" t="str">
        <f t="shared" si="124"/>
        <v>2.2271548443541</v>
      </c>
      <c r="D238" s="728" t="str">
        <f t="shared" si="125"/>
        <v>1+10.7979157497759i</v>
      </c>
      <c r="E238" s="337">
        <f t="shared" si="143"/>
        <v>10.844122119344581</v>
      </c>
      <c r="F238" s="338">
        <f t="shared" si="144"/>
        <v>1.4784492714826072</v>
      </c>
      <c r="G238" s="338" t="str">
        <f t="shared" si="126"/>
        <v>1+0.0443749962319559i</v>
      </c>
      <c r="H238" s="337">
        <f t="shared" si="145"/>
        <v>1.0009840859327315</v>
      </c>
      <c r="I238" s="338">
        <f t="shared" si="146"/>
        <v>4.43459037322314E-2</v>
      </c>
      <c r="J238" s="340">
        <f t="shared" si="127"/>
        <v>1</v>
      </c>
      <c r="K238" s="338">
        <f t="shared" si="147"/>
        <v>1</v>
      </c>
      <c r="L238" s="339">
        <f t="shared" si="148"/>
        <v>0</v>
      </c>
      <c r="M238" s="731" t="str">
        <f t="shared" si="128"/>
        <v>0.991132638888889+0.19129579947699i</v>
      </c>
      <c r="N238" s="338">
        <f t="shared" si="149"/>
        <v>1.0094245839924814</v>
      </c>
      <c r="O238" s="339">
        <f t="shared" si="150"/>
        <v>0.19066282350405456</v>
      </c>
      <c r="P238" s="732" t="str">
        <f t="shared" si="142"/>
        <v>-0.0109862577465732-0.203365138258592i</v>
      </c>
      <c r="Q238" s="337">
        <f t="shared" si="151"/>
        <v>0.20366167366053534</v>
      </c>
      <c r="R238" s="339">
        <f t="shared" si="152"/>
        <v>-1.6247661912544296</v>
      </c>
      <c r="S238" s="731" t="str">
        <f t="shared" si="129"/>
        <v>6000</v>
      </c>
      <c r="T238" s="337" t="str">
        <f t="shared" si="130"/>
        <v>1+89637.4923885508i</v>
      </c>
      <c r="U238" s="346">
        <f t="shared" si="153"/>
        <v>89637.492394128829</v>
      </c>
      <c r="V238" s="347">
        <f t="shared" si="154"/>
        <v>1.5707851707487679</v>
      </c>
      <c r="W238" s="340" t="str">
        <f t="shared" si="131"/>
        <v>1+887.499924639117i</v>
      </c>
      <c r="X238" s="337">
        <f t="shared" si="155"/>
        <v>887.50048801926778</v>
      </c>
      <c r="Y238" s="339">
        <f t="shared" si="156"/>
        <v>1.5696695666126799</v>
      </c>
      <c r="Z238" s="337" t="str">
        <f t="shared" si="132"/>
        <v>1+8.94019155408348i</v>
      </c>
      <c r="AA238" s="346">
        <f t="shared" si="157"/>
        <v>8.9959449211133791</v>
      </c>
      <c r="AB238" s="347">
        <f t="shared" si="158"/>
        <v>1.4594049149822177</v>
      </c>
      <c r="AC238" s="732" t="str">
        <f t="shared" si="159"/>
        <v>0.726746635768602-6.56352767641086i</v>
      </c>
      <c r="AD238" s="337">
        <f t="shared" si="160"/>
        <v>6.6036396200589511</v>
      </c>
      <c r="AE238" s="339">
        <f t="shared" si="161"/>
        <v>-1.4605205191183055</v>
      </c>
      <c r="AF238" s="736" t="str">
        <f t="shared" si="133"/>
        <v>-1.3427769392344-0.0756863232822319i</v>
      </c>
      <c r="AG238" s="337">
        <f t="shared" si="162"/>
        <v>2.5738534585694968</v>
      </c>
      <c r="AH238" s="730">
        <f t="shared" si="163"/>
        <v>-176.77390709215933</v>
      </c>
      <c r="AI238" s="360">
        <f t="shared" si="134"/>
        <v>3.2260929078406662</v>
      </c>
      <c r="AL238" s="337">
        <f t="shared" si="135"/>
        <v>16.395667290330142</v>
      </c>
      <c r="AM238" s="730">
        <f t="shared" si="136"/>
        <v>-83.681661637734962</v>
      </c>
      <c r="AN238" s="351"/>
      <c r="AO238" s="337">
        <f t="shared" si="137"/>
        <v>39.70730865328148</v>
      </c>
      <c r="AP238" s="730">
        <f t="shared" si="138"/>
        <v>-93.092245454424344</v>
      </c>
      <c r="AS238" s="351"/>
      <c r="AT238" s="351"/>
      <c r="AV238" s="405">
        <f t="shared" si="139"/>
        <v>0</v>
      </c>
      <c r="AW238" s="405">
        <f t="shared" si="164"/>
        <v>0</v>
      </c>
      <c r="AX238" s="405">
        <f t="shared" si="140"/>
        <v>0</v>
      </c>
      <c r="AY238" s="405">
        <f t="shared" si="141"/>
        <v>0</v>
      </c>
    </row>
    <row r="239" spans="2:51" ht="13.5" thickBot="1" x14ac:dyDescent="0.25">
      <c r="B239" s="345">
        <v>14207.25</v>
      </c>
      <c r="C239" s="728" t="str">
        <f t="shared" si="124"/>
        <v>2.2271548443541</v>
      </c>
      <c r="D239" s="728" t="str">
        <f t="shared" si="125"/>
        <v>1+10.8607921087436i</v>
      </c>
      <c r="E239" s="337">
        <f t="shared" si="143"/>
        <v>10.906732105876044</v>
      </c>
      <c r="F239" s="338">
        <f t="shared" si="144"/>
        <v>1.478980887869545</v>
      </c>
      <c r="G239" s="338" t="str">
        <f t="shared" si="126"/>
        <v>1+0.0446333922277136i</v>
      </c>
      <c r="H239" s="337">
        <f t="shared" si="145"/>
        <v>1.000995574266816</v>
      </c>
      <c r="I239" s="338">
        <f t="shared" si="146"/>
        <v>4.4603788953087364E-2</v>
      </c>
      <c r="J239" s="340">
        <f t="shared" si="127"/>
        <v>1</v>
      </c>
      <c r="K239" s="338">
        <f t="shared" si="147"/>
        <v>1</v>
      </c>
      <c r="L239" s="339">
        <f t="shared" si="148"/>
        <v>0</v>
      </c>
      <c r="M239" s="731" t="str">
        <f t="shared" si="128"/>
        <v>0.991029068775+0.192409716610228i</v>
      </c>
      <c r="N239" s="338">
        <f t="shared" si="149"/>
        <v>1.0095346027764833</v>
      </c>
      <c r="O239" s="339">
        <f t="shared" si="150"/>
        <v>0.19176566775601503</v>
      </c>
      <c r="P239" s="732" t="str">
        <f t="shared" si="142"/>
        <v>-0.0112004290289694-0.202162780961894i</v>
      </c>
      <c r="Q239" s="337">
        <f t="shared" si="151"/>
        <v>0.20247281204319684</v>
      </c>
      <c r="R239" s="339">
        <f t="shared" si="152"/>
        <v>-1.6261427666724728</v>
      </c>
      <c r="S239" s="731" t="str">
        <f t="shared" si="129"/>
        <v>6000</v>
      </c>
      <c r="T239" s="337" t="str">
        <f t="shared" si="130"/>
        <v>1+90159.4522999815i</v>
      </c>
      <c r="U239" s="346">
        <f t="shared" si="153"/>
        <v>90159.452305527229</v>
      </c>
      <c r="V239" s="347">
        <f t="shared" si="154"/>
        <v>1.5707852353344403</v>
      </c>
      <c r="W239" s="340" t="str">
        <f t="shared" si="131"/>
        <v>1+892.667844554272i</v>
      </c>
      <c r="X239" s="337">
        <f t="shared" si="155"/>
        <v>892.66840467284931</v>
      </c>
      <c r="Y239" s="339">
        <f t="shared" si="156"/>
        <v>1.5696760897573578</v>
      </c>
      <c r="Z239" s="337" t="str">
        <f t="shared" si="132"/>
        <v>1+8.99225036861965i</v>
      </c>
      <c r="AA239" s="346">
        <f t="shared" si="157"/>
        <v>9.0476829460332127</v>
      </c>
      <c r="AB239" s="347">
        <f t="shared" si="158"/>
        <v>1.4600445174677434</v>
      </c>
      <c r="AC239" s="732" t="str">
        <f t="shared" si="159"/>
        <v>0.718458783598836-6.52645112574684i</v>
      </c>
      <c r="AD239" s="337">
        <f t="shared" si="160"/>
        <v>6.5658774981332479</v>
      </c>
      <c r="AE239" s="339">
        <f t="shared" si="161"/>
        <v>-1.461153663044825</v>
      </c>
      <c r="AF239" s="736" t="str">
        <f t="shared" si="133"/>
        <v>-1.3274525560088-0.0721465730538754i</v>
      </c>
      <c r="AG239" s="337">
        <f t="shared" si="162"/>
        <v>2.473189805722956</v>
      </c>
      <c r="AH239" s="730">
        <f t="shared" si="163"/>
        <v>-176.88905552860854</v>
      </c>
      <c r="AI239" s="360">
        <f t="shared" si="134"/>
        <v>3.1109444713914627</v>
      </c>
      <c r="AL239" s="337">
        <f t="shared" si="135"/>
        <v>16.345855513705438</v>
      </c>
      <c r="AM239" s="730">
        <f t="shared" si="136"/>
        <v>-83.717938112548879</v>
      </c>
      <c r="AN239" s="351"/>
      <c r="AO239" s="337">
        <f t="shared" si="137"/>
        <v>39.656456777059674</v>
      </c>
      <c r="AP239" s="730">
        <f t="shared" si="138"/>
        <v>-93.171117416059673</v>
      </c>
      <c r="AS239" s="351"/>
      <c r="AT239" s="351"/>
      <c r="AV239" s="405">
        <f t="shared" si="139"/>
        <v>0</v>
      </c>
      <c r="AW239" s="405">
        <f t="shared" si="164"/>
        <v>0</v>
      </c>
      <c r="AX239" s="405">
        <f t="shared" si="140"/>
        <v>0</v>
      </c>
      <c r="AY239" s="405">
        <f t="shared" si="141"/>
        <v>0</v>
      </c>
    </row>
    <row r="240" spans="2:51" ht="13.5" thickBot="1" x14ac:dyDescent="0.25">
      <c r="B240" s="345">
        <v>14289.5</v>
      </c>
      <c r="C240" s="728" t="str">
        <f t="shared" si="124"/>
        <v>2.2271548443541</v>
      </c>
      <c r="D240" s="728" t="str">
        <f t="shared" si="125"/>
        <v>1+10.9236684677114i</v>
      </c>
      <c r="E240" s="337">
        <f t="shared" si="143"/>
        <v>10.969345139636747</v>
      </c>
      <c r="F240" s="338">
        <f t="shared" si="144"/>
        <v>1.4795064354697944</v>
      </c>
      <c r="G240" s="338" t="str">
        <f t="shared" si="126"/>
        <v>1+0.0448917882234713i</v>
      </c>
      <c r="H240" s="337">
        <f t="shared" si="145"/>
        <v>1.0010071291703675</v>
      </c>
      <c r="I240" s="338">
        <f t="shared" si="146"/>
        <v>4.4861668237411625E-2</v>
      </c>
      <c r="J240" s="340">
        <f t="shared" si="127"/>
        <v>1</v>
      </c>
      <c r="K240" s="338">
        <f t="shared" si="147"/>
        <v>1</v>
      </c>
      <c r="L240" s="339">
        <f t="shared" si="148"/>
        <v>0</v>
      </c>
      <c r="M240" s="731" t="str">
        <f t="shared" si="128"/>
        <v>0.990924897322222+0.193523633743465i</v>
      </c>
      <c r="N240" s="338">
        <f t="shared" si="149"/>
        <v>1.0096452589649152</v>
      </c>
      <c r="O240" s="339">
        <f t="shared" si="150"/>
        <v>0.19286838447855292</v>
      </c>
      <c r="P240" s="732" t="str">
        <f t="shared" si="142"/>
        <v>-0.0114108269054878-0.200973676771145i</v>
      </c>
      <c r="Q240" s="337">
        <f t="shared" si="151"/>
        <v>0.20129735647936278</v>
      </c>
      <c r="R240" s="339">
        <f t="shared" si="152"/>
        <v>-1.6275131517109358</v>
      </c>
      <c r="S240" s="731" t="str">
        <f t="shared" si="129"/>
        <v>6000</v>
      </c>
      <c r="T240" s="337" t="str">
        <f t="shared" si="130"/>
        <v>1+90681.4122114121i</v>
      </c>
      <c r="U240" s="346">
        <f t="shared" si="153"/>
        <v>90681.412216925921</v>
      </c>
      <c r="V240" s="347">
        <f t="shared" si="154"/>
        <v>1.5707852991766056</v>
      </c>
      <c r="W240" s="340" t="str">
        <f t="shared" si="131"/>
        <v>1+897.835764469427i</v>
      </c>
      <c r="X240" s="337">
        <f t="shared" si="155"/>
        <v>897.83632136397807</v>
      </c>
      <c r="Y240" s="339">
        <f t="shared" si="156"/>
        <v>1.5696825378080186</v>
      </c>
      <c r="Z240" s="337" t="str">
        <f t="shared" si="132"/>
        <v>1+9.04430918315581i</v>
      </c>
      <c r="AA240" s="346">
        <f t="shared" si="157"/>
        <v>9.0994246301904447</v>
      </c>
      <c r="AB240" s="347">
        <f t="shared" si="158"/>
        <v>1.4606768463188702</v>
      </c>
      <c r="AC240" s="732" t="str">
        <f t="shared" si="159"/>
        <v>0.71031132852906-6.48978587521878i</v>
      </c>
      <c r="AD240" s="337">
        <f t="shared" si="160"/>
        <v>6.5285421718501517</v>
      </c>
      <c r="AE240" s="339">
        <f t="shared" si="161"/>
        <v>-1.461779607687457</v>
      </c>
      <c r="AF240" s="736" t="str">
        <f t="shared" si="133"/>
        <v>-1.31238136841901-0.0687000560708807i</v>
      </c>
      <c r="AG240" s="337">
        <f t="shared" si="162"/>
        <v>2.3730857084413768</v>
      </c>
      <c r="AH240" s="730">
        <f t="shared" si="163"/>
        <v>-177.00343679385199</v>
      </c>
      <c r="AI240" s="360">
        <f t="shared" si="134"/>
        <v>2.9965632061480107</v>
      </c>
      <c r="AL240" s="337">
        <f t="shared" si="135"/>
        <v>16.296324276635914</v>
      </c>
      <c r="AM240" s="730">
        <f t="shared" si="136"/>
        <v>-83.753802098780511</v>
      </c>
      <c r="AN240" s="351"/>
      <c r="AO240" s="337">
        <f t="shared" si="137"/>
        <v>39.605883916847617</v>
      </c>
      <c r="AP240" s="730">
        <f t="shared" si="138"/>
        <v>-93.249634695071478</v>
      </c>
      <c r="AS240" s="351"/>
      <c r="AT240" s="351"/>
      <c r="AV240" s="405">
        <f t="shared" si="139"/>
        <v>0</v>
      </c>
      <c r="AW240" s="405">
        <f t="shared" si="164"/>
        <v>0</v>
      </c>
      <c r="AX240" s="405">
        <f t="shared" si="140"/>
        <v>0</v>
      </c>
      <c r="AY240" s="405">
        <f t="shared" si="141"/>
        <v>0</v>
      </c>
    </row>
    <row r="241" spans="2:51" ht="13.5" thickBot="1" x14ac:dyDescent="0.25">
      <c r="B241" s="345">
        <v>14371.75</v>
      </c>
      <c r="C241" s="728" t="str">
        <f t="shared" si="124"/>
        <v>2.2271548443541</v>
      </c>
      <c r="D241" s="728" t="str">
        <f t="shared" si="125"/>
        <v>1+10.9865448266791i</v>
      </c>
      <c r="E241" s="337">
        <f t="shared" si="143"/>
        <v>11.031961168741908</v>
      </c>
      <c r="F241" s="338">
        <f t="shared" si="144"/>
        <v>1.4800260173275588</v>
      </c>
      <c r="G241" s="338" t="str">
        <f t="shared" si="126"/>
        <v>1+0.0451501842192291i</v>
      </c>
      <c r="H241" s="337">
        <f t="shared" si="145"/>
        <v>1.0010187506410808</v>
      </c>
      <c r="I241" s="338">
        <f t="shared" si="146"/>
        <v>4.5119541551111628E-2</v>
      </c>
      <c r="J241" s="340">
        <f t="shared" si="127"/>
        <v>1</v>
      </c>
      <c r="K241" s="338">
        <f t="shared" si="147"/>
        <v>1</v>
      </c>
      <c r="L241" s="339">
        <f t="shared" si="148"/>
        <v>0</v>
      </c>
      <c r="M241" s="731" t="str">
        <f t="shared" si="128"/>
        <v>0.990820124530556+0.194637550876703i</v>
      </c>
      <c r="N241" s="338">
        <f t="shared" si="149"/>
        <v>1.0097565525343362</v>
      </c>
      <c r="O241" s="339">
        <f t="shared" si="150"/>
        <v>0.19397097296604418</v>
      </c>
      <c r="P241" s="732" t="str">
        <f t="shared" si="142"/>
        <v>-0.0116175356582899-0.19979760607095i</v>
      </c>
      <c r="Q241" s="337">
        <f t="shared" si="151"/>
        <v>0.20013508069914718</v>
      </c>
      <c r="R241" s="339">
        <f t="shared" si="152"/>
        <v>-1.6288774487424922</v>
      </c>
      <c r="S241" s="731" t="str">
        <f t="shared" si="129"/>
        <v>6000</v>
      </c>
      <c r="T241" s="337" t="str">
        <f t="shared" si="130"/>
        <v>1+91203.3721228428i</v>
      </c>
      <c r="U241" s="346">
        <f t="shared" si="153"/>
        <v>91203.372128325049</v>
      </c>
      <c r="V241" s="347">
        <f t="shared" si="154"/>
        <v>1.5707853622880292</v>
      </c>
      <c r="W241" s="340" t="str">
        <f t="shared" si="131"/>
        <v>1+903.003684384582i</v>
      </c>
      <c r="X241" s="337">
        <f t="shared" si="155"/>
        <v>903.00423809200913</v>
      </c>
      <c r="Y241" s="339">
        <f t="shared" si="156"/>
        <v>1.5696889120539563</v>
      </c>
      <c r="Z241" s="337" t="str">
        <f t="shared" si="132"/>
        <v>1+9.09636799769198i</v>
      </c>
      <c r="AA241" s="346">
        <f t="shared" si="157"/>
        <v>9.1511699115159484</v>
      </c>
      <c r="AB241" s="347">
        <f t="shared" si="158"/>
        <v>1.4613020244118757</v>
      </c>
      <c r="AC241" s="732" t="str">
        <f t="shared" si="159"/>
        <v>0.702301130043222-6.45352520842296i</v>
      </c>
      <c r="AD241" s="337">
        <f t="shared" si="160"/>
        <v>6.4916264905654106</v>
      </c>
      <c r="AE241" s="339">
        <f t="shared" si="161"/>
        <v>-1.4623984746459491</v>
      </c>
      <c r="AF241" s="736" t="str">
        <f t="shared" si="133"/>
        <v>-1.29755789578257-0.0653440252930322i</v>
      </c>
      <c r="AG241" s="337">
        <f t="shared" si="162"/>
        <v>2.2735348897393597</v>
      </c>
      <c r="AH241" s="730">
        <f t="shared" si="163"/>
        <v>-177.11706372056409</v>
      </c>
      <c r="AI241" s="360">
        <f t="shared" si="134"/>
        <v>2.8829362794359099</v>
      </c>
      <c r="AL241" s="337">
        <f t="shared" si="135"/>
        <v>16.247070476463652</v>
      </c>
      <c r="AM241" s="730">
        <f t="shared" si="136"/>
        <v>-83.789260563582204</v>
      </c>
      <c r="AN241" s="351"/>
      <c r="AO241" s="337">
        <f t="shared" si="137"/>
        <v>39.555586898317841</v>
      </c>
      <c r="AP241" s="730">
        <f t="shared" si="138"/>
        <v>-93.327803156981886</v>
      </c>
      <c r="AS241" s="351"/>
      <c r="AT241" s="351"/>
      <c r="AV241" s="405">
        <f t="shared" si="139"/>
        <v>0</v>
      </c>
      <c r="AW241" s="405">
        <f t="shared" si="164"/>
        <v>0</v>
      </c>
      <c r="AX241" s="405">
        <f t="shared" si="140"/>
        <v>0</v>
      </c>
      <c r="AY241" s="405">
        <f t="shared" si="141"/>
        <v>0</v>
      </c>
    </row>
    <row r="242" spans="2:51" ht="13.5" thickBot="1" x14ac:dyDescent="0.25">
      <c r="B242" s="345">
        <v>14454</v>
      </c>
      <c r="C242" s="728" t="str">
        <f t="shared" si="124"/>
        <v>2.2271548443541</v>
      </c>
      <c r="D242" s="728" t="str">
        <f t="shared" si="125"/>
        <v>1+11.0494211856468i</v>
      </c>
      <c r="E242" s="337">
        <f t="shared" si="143"/>
        <v>11.094580142475889</v>
      </c>
      <c r="F242" s="338">
        <f t="shared" si="144"/>
        <v>1.4805397341737272</v>
      </c>
      <c r="G242" s="338" t="str">
        <f t="shared" si="126"/>
        <v>1+0.0454085802149868i</v>
      </c>
      <c r="H242" s="337">
        <f t="shared" si="145"/>
        <v>1.0010304386766373</v>
      </c>
      <c r="I242" s="338">
        <f t="shared" si="146"/>
        <v>4.5377408860099257E-2</v>
      </c>
      <c r="J242" s="340">
        <f t="shared" si="127"/>
        <v>1</v>
      </c>
      <c r="K242" s="338">
        <f t="shared" si="147"/>
        <v>1</v>
      </c>
      <c r="L242" s="339">
        <f t="shared" si="148"/>
        <v>0</v>
      </c>
      <c r="M242" s="731" t="str">
        <f t="shared" si="128"/>
        <v>0.9907147504+0.195751468009941i</v>
      </c>
      <c r="N242" s="338">
        <f t="shared" si="149"/>
        <v>1.0098684834611789</v>
      </c>
      <c r="O242" s="339">
        <f t="shared" si="150"/>
        <v>0.19507343251341502</v>
      </c>
      <c r="P242" s="732" t="str">
        <f t="shared" si="142"/>
        <v>-0.0118206372186994-0.19863435403328i</v>
      </c>
      <c r="Q242" s="337">
        <f t="shared" si="151"/>
        <v>0.19898576347687419</v>
      </c>
      <c r="R242" s="339">
        <f t="shared" si="152"/>
        <v>-1.6302357578270421</v>
      </c>
      <c r="S242" s="731" t="str">
        <f t="shared" si="129"/>
        <v>6000</v>
      </c>
      <c r="T242" s="337" t="str">
        <f t="shared" si="130"/>
        <v>1+91725.3320342734i</v>
      </c>
      <c r="U242" s="346">
        <f t="shared" si="153"/>
        <v>91725.332039724453</v>
      </c>
      <c r="V242" s="347">
        <f t="shared" si="154"/>
        <v>1.5707854246811863</v>
      </c>
      <c r="W242" s="340" t="str">
        <f t="shared" si="131"/>
        <v>1+908.171604299737i</v>
      </c>
      <c r="X242" s="337">
        <f t="shared" si="155"/>
        <v>908.17215485631243</v>
      </c>
      <c r="Y242" s="339">
        <f t="shared" si="156"/>
        <v>1.5696952137551192</v>
      </c>
      <c r="Z242" s="337" t="str">
        <f t="shared" si="132"/>
        <v>1+9.14842681222814i</v>
      </c>
      <c r="AA242" s="346">
        <f t="shared" si="157"/>
        <v>9.2029187293322714</v>
      </c>
      <c r="AB242" s="347">
        <f t="shared" si="158"/>
        <v>1.4619201718819093</v>
      </c>
      <c r="AC242" s="732" t="str">
        <f t="shared" si="159"/>
        <v>0.694425134592318-6.41766255232722i</v>
      </c>
      <c r="AD242" s="337">
        <f t="shared" si="160"/>
        <v>6.4551234614913993</v>
      </c>
      <c r="AE242" s="339">
        <f t="shared" si="161"/>
        <v>-1.4630103828079759</v>
      </c>
      <c r="AF242" s="736" t="str">
        <f t="shared" si="133"/>
        <v>-1.28297680307665-0.0620758272111261i</v>
      </c>
      <c r="AG242" s="337">
        <f t="shared" si="162"/>
        <v>2.1745311757050709</v>
      </c>
      <c r="AH242" s="730">
        <f t="shared" si="163"/>
        <v>-177.22994885351682</v>
      </c>
      <c r="AI242" s="360">
        <f t="shared" si="134"/>
        <v>2.7700511464831834</v>
      </c>
      <c r="AL242" s="337">
        <f t="shared" si="135"/>
        <v>16.198091061039271</v>
      </c>
      <c r="AM242" s="730">
        <f t="shared" si="136"/>
        <v>-83.824320318715948</v>
      </c>
      <c r="AN242" s="351"/>
      <c r="AO242" s="337">
        <f t="shared" si="137"/>
        <v>39.505562599707943</v>
      </c>
      <c r="AP242" s="730">
        <f t="shared" si="138"/>
        <v>-93.405628534800869</v>
      </c>
      <c r="AS242" s="351"/>
      <c r="AT242" s="351"/>
      <c r="AV242" s="405">
        <f t="shared" si="139"/>
        <v>0</v>
      </c>
      <c r="AW242" s="405">
        <f t="shared" si="164"/>
        <v>0</v>
      </c>
      <c r="AX242" s="405">
        <f t="shared" si="140"/>
        <v>0</v>
      </c>
      <c r="AY242" s="405">
        <f t="shared" si="141"/>
        <v>0</v>
      </c>
    </row>
    <row r="243" spans="2:51" ht="13.5" thickBot="1" x14ac:dyDescent="0.25">
      <c r="B243" s="345">
        <v>14622.5</v>
      </c>
      <c r="C243" s="728" t="str">
        <f t="shared" si="124"/>
        <v>2.2271548443541</v>
      </c>
      <c r="D243" s="728" t="str">
        <f t="shared" si="125"/>
        <v>1+11.1782317204317i</v>
      </c>
      <c r="E243" s="337">
        <f t="shared" si="143"/>
        <v>11.222872377233266</v>
      </c>
      <c r="F243" s="338">
        <f t="shared" si="144"/>
        <v>1.481574248632257</v>
      </c>
      <c r="G243" s="338" t="str">
        <f t="shared" si="126"/>
        <v>1+0.0459379385771167i</v>
      </c>
      <c r="H243" s="337">
        <f t="shared" si="145"/>
        <v>1.0010545910192485</v>
      </c>
      <c r="I243" s="338">
        <f t="shared" si="146"/>
        <v>4.5905665242553038E-2</v>
      </c>
      <c r="J243" s="340">
        <f t="shared" si="127"/>
        <v>1</v>
      </c>
      <c r="K243" s="338">
        <f t="shared" si="147"/>
        <v>1</v>
      </c>
      <c r="L243" s="339">
        <f t="shared" si="148"/>
        <v>0</v>
      </c>
      <c r="M243" s="731" t="str">
        <f t="shared" si="128"/>
        <v>0.990496999722222+0.198033474538215i</v>
      </c>
      <c r="N243" s="338">
        <f t="shared" si="149"/>
        <v>1.0100997789804735</v>
      </c>
      <c r="O243" s="339">
        <f t="shared" si="150"/>
        <v>0.19733156104424293</v>
      </c>
      <c r="P243" s="732" t="str">
        <f t="shared" si="142"/>
        <v>-0.0122257864900778-0.196290427368233i</v>
      </c>
      <c r="Q243" s="337">
        <f t="shared" si="151"/>
        <v>0.19667079531975387</v>
      </c>
      <c r="R243" s="339">
        <f t="shared" si="152"/>
        <v>-1.6330001444339466</v>
      </c>
      <c r="S243" s="731" t="str">
        <f t="shared" si="129"/>
        <v>6000</v>
      </c>
      <c r="T243" s="337" t="str">
        <f t="shared" si="130"/>
        <v>1+92794.6359257758i</v>
      </c>
      <c r="U243" s="346">
        <f t="shared" si="153"/>
        <v>92794.635931164055</v>
      </c>
      <c r="V243" s="347">
        <f t="shared" si="154"/>
        <v>1.57078555030992</v>
      </c>
      <c r="W243" s="340" t="str">
        <f t="shared" si="131"/>
        <v>1+918.758771542335i</v>
      </c>
      <c r="X243" s="337">
        <f t="shared" si="155"/>
        <v>918.75931575466518</v>
      </c>
      <c r="Y243" s="339">
        <f t="shared" si="156"/>
        <v>1.5697079022420275</v>
      </c>
      <c r="Z243" s="337" t="str">
        <f t="shared" si="132"/>
        <v>1+9.25507617696181i</v>
      </c>
      <c r="AA243" s="346">
        <f t="shared" si="157"/>
        <v>9.3089438198630265</v>
      </c>
      <c r="AB243" s="347">
        <f t="shared" si="158"/>
        <v>1.4631650659253563</v>
      </c>
      <c r="AC243" s="732" t="str">
        <f t="shared" si="159"/>
        <v>0.678696776542974-6.3454090905918i</v>
      </c>
      <c r="AD243" s="337">
        <f t="shared" si="160"/>
        <v>6.3816021375086427</v>
      </c>
      <c r="AE243" s="339">
        <f t="shared" si="161"/>
        <v>-1.4642427139932481</v>
      </c>
      <c r="AF243" s="736" t="str">
        <f t="shared" si="133"/>
        <v>-1.25384066410005-0.0556440635872884i</v>
      </c>
      <c r="AG243" s="337">
        <f t="shared" si="162"/>
        <v>1.9733919709213574</v>
      </c>
      <c r="AH243" s="730">
        <f t="shared" si="163"/>
        <v>-177.45894391491339</v>
      </c>
      <c r="AI243" s="360">
        <f t="shared" si="134"/>
        <v>2.5410560850866091</v>
      </c>
      <c r="AL243" s="337">
        <f t="shared" si="135"/>
        <v>16.098594490190443</v>
      </c>
      <c r="AM243" s="730">
        <f t="shared" si="136"/>
        <v>-83.894927694594401</v>
      </c>
      <c r="AN243" s="351"/>
      <c r="AO243" s="337">
        <f t="shared" si="137"/>
        <v>39.403919965773078</v>
      </c>
      <c r="AP243" s="730">
        <f t="shared" si="138"/>
        <v>-93.56401622031899</v>
      </c>
      <c r="AS243" s="351"/>
      <c r="AT243" s="351"/>
      <c r="AV243" s="405">
        <f t="shared" si="139"/>
        <v>0</v>
      </c>
      <c r="AW243" s="405">
        <f t="shared" si="164"/>
        <v>0</v>
      </c>
      <c r="AX243" s="405">
        <f t="shared" si="140"/>
        <v>0</v>
      </c>
      <c r="AY243" s="405">
        <f t="shared" si="141"/>
        <v>0</v>
      </c>
    </row>
    <row r="244" spans="2:51" ht="13.5" thickBot="1" x14ac:dyDescent="0.25">
      <c r="B244" s="345">
        <v>14706.75</v>
      </c>
      <c r="C244" s="728" t="str">
        <f t="shared" si="124"/>
        <v>2.2271548443541</v>
      </c>
      <c r="D244" s="728" t="str">
        <f t="shared" si="125"/>
        <v>1+11.2426369878242i</v>
      </c>
      <c r="E244" s="337">
        <f t="shared" si="143"/>
        <v>11.287022921922008</v>
      </c>
      <c r="F244" s="338">
        <f t="shared" si="144"/>
        <v>1.4820826866010364</v>
      </c>
      <c r="G244" s="338" t="str">
        <f t="shared" si="126"/>
        <v>1+0.0462026177581817i</v>
      </c>
      <c r="H244" s="337">
        <f t="shared" si="145"/>
        <v>1.0010667719426656</v>
      </c>
      <c r="I244" s="338">
        <f t="shared" si="146"/>
        <v>4.6169783838153497E-2</v>
      </c>
      <c r="J244" s="340">
        <f t="shared" si="127"/>
        <v>1</v>
      </c>
      <c r="K244" s="338">
        <f t="shared" si="147"/>
        <v>1</v>
      </c>
      <c r="L244" s="339">
        <f t="shared" si="148"/>
        <v>0</v>
      </c>
      <c r="M244" s="731" t="str">
        <f t="shared" si="128"/>
        <v>0.990387177975+0.199174477802352i</v>
      </c>
      <c r="N244" s="338">
        <f t="shared" si="149"/>
        <v>1.0102164297343041</v>
      </c>
      <c r="O244" s="339">
        <f t="shared" si="150"/>
        <v>0.19846041937956679</v>
      </c>
      <c r="P244" s="732" t="str">
        <f t="shared" si="142"/>
        <v>-0.0124230150721437-0.195137760249492i</v>
      </c>
      <c r="Q244" s="337">
        <f t="shared" si="151"/>
        <v>0.19553280230864317</v>
      </c>
      <c r="R244" s="339">
        <f t="shared" si="152"/>
        <v>-1.6343733221424497</v>
      </c>
      <c r="S244" s="731" t="str">
        <f t="shared" si="129"/>
        <v>6000</v>
      </c>
      <c r="T244" s="337" t="str">
        <f t="shared" si="130"/>
        <v>1+93329.287871527i</v>
      </c>
      <c r="U244" s="346">
        <f t="shared" si="153"/>
        <v>93329.28787688438</v>
      </c>
      <c r="V244" s="347">
        <f t="shared" si="154"/>
        <v>1.5707856120447601</v>
      </c>
      <c r="W244" s="340" t="str">
        <f t="shared" si="131"/>
        <v>1+924.052355163634i</v>
      </c>
      <c r="X244" s="337">
        <f t="shared" si="155"/>
        <v>924.05289625835746</v>
      </c>
      <c r="Y244" s="339">
        <f t="shared" si="156"/>
        <v>1.5697141374535308</v>
      </c>
      <c r="Z244" s="337" t="str">
        <f t="shared" si="132"/>
        <v>1+9.30840085932865i</v>
      </c>
      <c r="AA244" s="346">
        <f t="shared" si="157"/>
        <v>9.3619616832131047</v>
      </c>
      <c r="AB244" s="347">
        <f t="shared" si="158"/>
        <v>1.4637769385676418</v>
      </c>
      <c r="AC244" s="732" t="str">
        <f t="shared" si="159"/>
        <v>0.671031467388558-6.30988186868028i</v>
      </c>
      <c r="AD244" s="337">
        <f t="shared" si="160"/>
        <v>6.3454623493427</v>
      </c>
      <c r="AE244" s="339">
        <f t="shared" si="161"/>
        <v>-1.4648484131588704</v>
      </c>
      <c r="AF244" s="736" t="str">
        <f t="shared" si="133"/>
        <v>-1.2396324493264-0.0525558200450719i</v>
      </c>
      <c r="AG244" s="337">
        <f t="shared" si="162"/>
        <v>1.8736579210756248</v>
      </c>
      <c r="AH244" s="730">
        <f t="shared" si="163"/>
        <v>-177.57232520797683</v>
      </c>
      <c r="AI244" s="360">
        <f t="shared" si="134"/>
        <v>2.4276747920231685</v>
      </c>
      <c r="AL244" s="337">
        <f t="shared" si="135"/>
        <v>16.049265431538913</v>
      </c>
      <c r="AM244" s="730">
        <f t="shared" si="136"/>
        <v>-83.92963170043916</v>
      </c>
      <c r="AN244" s="351"/>
      <c r="AO244" s="337">
        <f t="shared" si="137"/>
        <v>39.353514974578843</v>
      </c>
      <c r="AP244" s="730">
        <f t="shared" si="138"/>
        <v>-93.642693507537658</v>
      </c>
      <c r="AS244" s="351"/>
      <c r="AT244" s="351"/>
      <c r="AV244" s="405">
        <f t="shared" si="139"/>
        <v>0</v>
      </c>
      <c r="AW244" s="405">
        <f t="shared" si="164"/>
        <v>0</v>
      </c>
      <c r="AX244" s="405">
        <f t="shared" si="140"/>
        <v>0</v>
      </c>
      <c r="AY244" s="405">
        <f t="shared" si="141"/>
        <v>0</v>
      </c>
    </row>
    <row r="245" spans="2:51" ht="13.5" thickBot="1" x14ac:dyDescent="0.25">
      <c r="B245" s="345">
        <v>14791</v>
      </c>
      <c r="C245" s="728" t="str">
        <f t="shared" si="124"/>
        <v>2.2271548443541</v>
      </c>
      <c r="D245" s="728" t="str">
        <f t="shared" si="125"/>
        <v>1+11.3070422552167i</v>
      </c>
      <c r="E245" s="337">
        <f t="shared" si="143"/>
        <v>11.351176351429659</v>
      </c>
      <c r="F245" s="338">
        <f t="shared" si="144"/>
        <v>1.4825853776220519</v>
      </c>
      <c r="G245" s="338" t="str">
        <f t="shared" si="126"/>
        <v>1+0.0464672969392467i</v>
      </c>
      <c r="H245" s="337">
        <f t="shared" si="145"/>
        <v>1.0010790226974293</v>
      </c>
      <c r="I245" s="338">
        <f t="shared" si="146"/>
        <v>4.6433895987848549E-2</v>
      </c>
      <c r="J245" s="340">
        <f t="shared" si="127"/>
        <v>1</v>
      </c>
      <c r="K245" s="338">
        <f t="shared" si="147"/>
        <v>1</v>
      </c>
      <c r="L245" s="339">
        <f t="shared" si="148"/>
        <v>0</v>
      </c>
      <c r="M245" s="731" t="str">
        <f t="shared" si="128"/>
        <v>0.990276725288889+0.200315481066489i</v>
      </c>
      <c r="N245" s="338">
        <f t="shared" si="149"/>
        <v>1.0103337491164912</v>
      </c>
      <c r="O245" s="339">
        <f t="shared" si="150"/>
        <v>0.19958913942085563</v>
      </c>
      <c r="P245" s="732" t="str">
        <f t="shared" si="142"/>
        <v>-0.0126167852042862-0.193997673879576i</v>
      </c>
      <c r="Q245" s="337">
        <f t="shared" si="151"/>
        <v>0.19440751204513015</v>
      </c>
      <c r="R245" s="339">
        <f t="shared" si="152"/>
        <v>-1.635740621055058</v>
      </c>
      <c r="S245" s="731" t="str">
        <f t="shared" si="129"/>
        <v>6000</v>
      </c>
      <c r="T245" s="337" t="str">
        <f t="shared" si="130"/>
        <v>1+93863.9398172782i</v>
      </c>
      <c r="U245" s="346">
        <f t="shared" si="153"/>
        <v>93863.939822605054</v>
      </c>
      <c r="V245" s="347">
        <f t="shared" si="154"/>
        <v>1.570785673076313</v>
      </c>
      <c r="W245" s="340" t="str">
        <f t="shared" si="131"/>
        <v>1+929.345938784933i</v>
      </c>
      <c r="X245" s="337">
        <f t="shared" si="155"/>
        <v>929.34647679756574</v>
      </c>
      <c r="Y245" s="339">
        <f t="shared" si="156"/>
        <v>1.5697203016331962</v>
      </c>
      <c r="Z245" s="337" t="str">
        <f t="shared" si="132"/>
        <v>1+9.36172554169549i</v>
      </c>
      <c r="AA245" s="346">
        <f t="shared" si="157"/>
        <v>9.4149830120948028</v>
      </c>
      <c r="AB245" s="347">
        <f t="shared" si="158"/>
        <v>1.4643819198019858</v>
      </c>
      <c r="AC245" s="732" t="str">
        <f t="shared" si="159"/>
        <v>0.663494800064766-6.27474563387208i</v>
      </c>
      <c r="AD245" s="337">
        <f t="shared" si="160"/>
        <v>6.3097272618956932</v>
      </c>
      <c r="AE245" s="339">
        <f t="shared" si="161"/>
        <v>-1.4654472912451031</v>
      </c>
      <c r="AF245" s="736" t="str">
        <f t="shared" si="133"/>
        <v>-1.22565722853379-0.0495493299696623i</v>
      </c>
      <c r="AG245" s="337">
        <f t="shared" si="162"/>
        <v>1.7744725924894935</v>
      </c>
      <c r="AH245" s="730">
        <f t="shared" si="163"/>
        <v>-177.6849788517861</v>
      </c>
      <c r="AI245" s="360">
        <f t="shared" si="134"/>
        <v>2.3150211482139014</v>
      </c>
      <c r="AL245" s="337">
        <f t="shared" si="135"/>
        <v>16.000211745219801</v>
      </c>
      <c r="AM245" s="730">
        <f t="shared" si="136"/>
        <v>-83.963944887223164</v>
      </c>
      <c r="AN245" s="351"/>
      <c r="AO245" s="337">
        <f t="shared" si="137"/>
        <v>39.30338333231181</v>
      </c>
      <c r="AP245" s="730">
        <f t="shared" si="138"/>
        <v>-93.721033964562949</v>
      </c>
      <c r="AS245" s="351"/>
      <c r="AT245" s="351"/>
      <c r="AV245" s="405">
        <f t="shared" si="139"/>
        <v>0</v>
      </c>
      <c r="AW245" s="405">
        <f t="shared" si="164"/>
        <v>0</v>
      </c>
      <c r="AX245" s="405">
        <f t="shared" si="140"/>
        <v>0</v>
      </c>
      <c r="AY245" s="405">
        <f t="shared" si="141"/>
        <v>0</v>
      </c>
    </row>
    <row r="246" spans="2:51" ht="13.5" thickBot="1" x14ac:dyDescent="0.25">
      <c r="B246" s="345">
        <v>14877.25</v>
      </c>
      <c r="C246" s="728" t="str">
        <f t="shared" si="124"/>
        <v>2.2271548443541</v>
      </c>
      <c r="D246" s="728" t="str">
        <f t="shared" si="125"/>
        <v>1+11.3729764310339i</v>
      </c>
      <c r="E246" s="337">
        <f t="shared" si="143"/>
        <v>11.41685564859487</v>
      </c>
      <c r="F246" s="338">
        <f t="shared" si="144"/>
        <v>1.4830941496426022</v>
      </c>
      <c r="G246" s="338" t="str">
        <f t="shared" si="126"/>
        <v>1+0.0467382593056187i</v>
      </c>
      <c r="H246" s="337">
        <f t="shared" si="145"/>
        <v>1.0010916366062197</v>
      </c>
      <c r="I246" s="338">
        <f t="shared" si="146"/>
        <v>4.6704271146692795E-2</v>
      </c>
      <c r="J246" s="340">
        <f t="shared" si="127"/>
        <v>1</v>
      </c>
      <c r="K246" s="338">
        <f t="shared" si="147"/>
        <v>1</v>
      </c>
      <c r="L246" s="339">
        <f t="shared" si="148"/>
        <v>0</v>
      </c>
      <c r="M246" s="731" t="str">
        <f t="shared" si="128"/>
        <v>0.990162996997222+0.201483570461526i</v>
      </c>
      <c r="N246" s="338">
        <f t="shared" si="149"/>
        <v>1.0104545461268635</v>
      </c>
      <c r="O246" s="339">
        <f t="shared" si="150"/>
        <v>0.20074450995779525</v>
      </c>
      <c r="P246" s="732" t="str">
        <f t="shared" si="142"/>
        <v>-0.0128116524435344-0.192843339563454i</v>
      </c>
      <c r="Q246" s="337">
        <f t="shared" si="151"/>
        <v>0.19326844556812564</v>
      </c>
      <c r="R246" s="339">
        <f t="shared" si="152"/>
        <v>-1.6371343884537046</v>
      </c>
      <c r="S246" s="731" t="str">
        <f t="shared" si="129"/>
        <v>6000</v>
      </c>
      <c r="T246" s="337" t="str">
        <f t="shared" si="130"/>
        <v>1+94411.2837973499i</v>
      </c>
      <c r="U246" s="346">
        <f t="shared" si="153"/>
        <v>94411.283802645863</v>
      </c>
      <c r="V246" s="347">
        <f t="shared" si="154"/>
        <v>1.5707857348406329</v>
      </c>
      <c r="W246" s="340" t="str">
        <f t="shared" si="131"/>
        <v>1+934.765186112375i</v>
      </c>
      <c r="X246" s="337">
        <f t="shared" si="155"/>
        <v>934.76572100591227</v>
      </c>
      <c r="Y246" s="339">
        <f t="shared" si="156"/>
        <v>1.5697265398223228</v>
      </c>
      <c r="Z246" s="337" t="str">
        <f t="shared" si="132"/>
        <v>1+9.41631609189298i</v>
      </c>
      <c r="AA246" s="346">
        <f t="shared" si="157"/>
        <v>9.4692665366670656</v>
      </c>
      <c r="AB246" s="347">
        <f t="shared" si="158"/>
        <v>1.4649942442741113</v>
      </c>
      <c r="AC246" s="732" t="str">
        <f t="shared" si="159"/>
        <v>0.655909502621952-6.23917370493654i</v>
      </c>
      <c r="AD246" s="337">
        <f t="shared" si="160"/>
        <v>6.2735560725956168</v>
      </c>
      <c r="AE246" s="339">
        <f t="shared" si="161"/>
        <v>-1.4660534392924207</v>
      </c>
      <c r="AF246" s="736" t="str">
        <f t="shared" si="133"/>
        <v>-1.21158637795845-0.0465536538945355i</v>
      </c>
      <c r="AG246" s="337">
        <f t="shared" si="162"/>
        <v>1.6734947547050187</v>
      </c>
      <c r="AH246" s="730">
        <f t="shared" si="163"/>
        <v>-177.79956556622287</v>
      </c>
      <c r="AI246" s="360">
        <f t="shared" si="134"/>
        <v>2.2004344337771329</v>
      </c>
      <c r="AL246" s="337">
        <f t="shared" si="135"/>
        <v>15.950275680785095</v>
      </c>
      <c r="AM246" s="730">
        <f t="shared" si="136"/>
        <v>-83.998674612094561</v>
      </c>
      <c r="AN246" s="351"/>
      <c r="AO246" s="337">
        <f t="shared" si="137"/>
        <v>39.252341558962094</v>
      </c>
      <c r="AP246" s="730">
        <f t="shared" si="138"/>
        <v>-93.80089095412832</v>
      </c>
      <c r="AS246" s="351"/>
      <c r="AT246" s="351"/>
      <c r="AV246" s="405">
        <f t="shared" si="139"/>
        <v>0</v>
      </c>
      <c r="AW246" s="405">
        <f t="shared" si="164"/>
        <v>0</v>
      </c>
      <c r="AX246" s="405">
        <f t="shared" si="140"/>
        <v>0</v>
      </c>
      <c r="AY246" s="405">
        <f t="shared" si="141"/>
        <v>0</v>
      </c>
    </row>
    <row r="247" spans="2:51" ht="13.5" thickBot="1" x14ac:dyDescent="0.25">
      <c r="B247" s="345">
        <v>14963.5</v>
      </c>
      <c r="C247" s="728" t="str">
        <f t="shared" si="124"/>
        <v>2.2271548443541</v>
      </c>
      <c r="D247" s="728" t="str">
        <f t="shared" si="125"/>
        <v>1+11.4389106068511i</v>
      </c>
      <c r="E247" s="337">
        <f t="shared" si="143"/>
        <v>11.482537867193411</v>
      </c>
      <c r="F247" s="338">
        <f t="shared" si="144"/>
        <v>1.4835971012539158</v>
      </c>
      <c r="G247" s="338" t="str">
        <f t="shared" si="126"/>
        <v>1+0.0470092216719908i</v>
      </c>
      <c r="H247" s="337">
        <f t="shared" si="145"/>
        <v>1.0011043236956907</v>
      </c>
      <c r="I247" s="338">
        <f t="shared" si="146"/>
        <v>4.6974639472321632E-2</v>
      </c>
      <c r="J247" s="340">
        <f t="shared" si="127"/>
        <v>1</v>
      </c>
      <c r="K247" s="338">
        <f t="shared" si="147"/>
        <v>1</v>
      </c>
      <c r="L247" s="339">
        <f t="shared" si="148"/>
        <v>0</v>
      </c>
      <c r="M247" s="731" t="str">
        <f t="shared" si="128"/>
        <v>0.990048607455556+0.202651659856562i</v>
      </c>
      <c r="N247" s="338">
        <f t="shared" si="149"/>
        <v>1.0105760438320837</v>
      </c>
      <c r="O247" s="339">
        <f t="shared" si="150"/>
        <v>0.20189973395686478</v>
      </c>
      <c r="P247" s="732" t="str">
        <f t="shared" si="142"/>
        <v>-0.0130030549091407-0.191701756722911i</v>
      </c>
      <c r="Q247" s="337">
        <f t="shared" si="151"/>
        <v>0.19214224670181279</v>
      </c>
      <c r="R247" s="339">
        <f t="shared" si="152"/>
        <v>-1.6385221957384581</v>
      </c>
      <c r="S247" s="731" t="str">
        <f t="shared" si="129"/>
        <v>6000</v>
      </c>
      <c r="T247" s="337" t="str">
        <f t="shared" si="130"/>
        <v>1+94958.6277774215i</v>
      </c>
      <c r="U247" s="346">
        <f t="shared" si="153"/>
        <v>94958.627782686948</v>
      </c>
      <c r="V247" s="347">
        <f t="shared" si="154"/>
        <v>1.5707857958929305</v>
      </c>
      <c r="W247" s="340" t="str">
        <f t="shared" si="131"/>
        <v>1+940.184433439817i</v>
      </c>
      <c r="X247" s="337">
        <f t="shared" si="155"/>
        <v>940.18496525021601</v>
      </c>
      <c r="Y247" s="339">
        <f t="shared" si="156"/>
        <v>1.5697327060973649</v>
      </c>
      <c r="Z247" s="337" t="str">
        <f t="shared" si="132"/>
        <v>1+9.47090664209048i</v>
      </c>
      <c r="AA247" s="346">
        <f t="shared" si="157"/>
        <v>9.5235535711830579</v>
      </c>
      <c r="AB247" s="347">
        <f t="shared" si="158"/>
        <v>1.465599588114695</v>
      </c>
      <c r="AC247" s="732" t="str">
        <f t="shared" si="159"/>
        <v>0.648453064074834-6.2039982452859i</v>
      </c>
      <c r="AD247" s="337">
        <f t="shared" si="160"/>
        <v>6.2377949312091499</v>
      </c>
      <c r="AE247" s="339">
        <f t="shared" si="161"/>
        <v>-1.4666526779102611</v>
      </c>
      <c r="AF247" s="736" t="str">
        <f t="shared" si="133"/>
        <v>-1.19774923312533-0.0436386616958349i</v>
      </c>
      <c r="AG247" s="337">
        <f t="shared" si="162"/>
        <v>1.5730791539326008</v>
      </c>
      <c r="AH247" s="730">
        <f t="shared" si="163"/>
        <v>-177.91341491014026</v>
      </c>
      <c r="AI247" s="360">
        <f t="shared" si="134"/>
        <v>2.0865850898597387</v>
      </c>
      <c r="AL247" s="337">
        <f t="shared" si="135"/>
        <v>15.900621862708494</v>
      </c>
      <c r="AM247" s="730">
        <f t="shared" si="136"/>
        <v>-84.033008455818063</v>
      </c>
      <c r="AN247" s="351"/>
      <c r="AO247" s="337">
        <f t="shared" si="137"/>
        <v>39.201579776266236</v>
      </c>
      <c r="AP247" s="730">
        <f t="shared" si="138"/>
        <v>-93.880406454322213</v>
      </c>
      <c r="AS247" s="351"/>
      <c r="AT247" s="351"/>
      <c r="AV247" s="405">
        <f t="shared" si="139"/>
        <v>0</v>
      </c>
      <c r="AW247" s="405">
        <f t="shared" si="164"/>
        <v>0</v>
      </c>
      <c r="AX247" s="405">
        <f t="shared" si="140"/>
        <v>0</v>
      </c>
      <c r="AY247" s="405">
        <f t="shared" si="141"/>
        <v>0</v>
      </c>
    </row>
    <row r="248" spans="2:51" ht="13.5" thickBot="1" x14ac:dyDescent="0.25">
      <c r="B248" s="345">
        <v>15049.75</v>
      </c>
      <c r="C248" s="728" t="str">
        <f t="shared" si="124"/>
        <v>2.2271548443541</v>
      </c>
      <c r="D248" s="728" t="str">
        <f t="shared" si="125"/>
        <v>1+11.5048447826683i</v>
      </c>
      <c r="E248" s="337">
        <f t="shared" si="143"/>
        <v>11.548222957377037</v>
      </c>
      <c r="F248" s="338">
        <f t="shared" si="144"/>
        <v>1.4840943315169881</v>
      </c>
      <c r="G248" s="338" t="str">
        <f t="shared" si="126"/>
        <v>1+0.047280184038363i</v>
      </c>
      <c r="H248" s="337">
        <f t="shared" si="145"/>
        <v>1.0011170839630603</v>
      </c>
      <c r="I248" s="338">
        <f t="shared" si="146"/>
        <v>4.7245000925468281E-2</v>
      </c>
      <c r="J248" s="340">
        <f t="shared" si="127"/>
        <v>1</v>
      </c>
      <c r="K248" s="338">
        <f t="shared" si="147"/>
        <v>1</v>
      </c>
      <c r="L248" s="339">
        <f t="shared" si="148"/>
        <v>0</v>
      </c>
      <c r="M248" s="731" t="str">
        <f t="shared" si="128"/>
        <v>0.989933556663889+0.203819749251599i</v>
      </c>
      <c r="N248" s="338">
        <f t="shared" si="149"/>
        <v>1.0106982422039736</v>
      </c>
      <c r="O248" s="339">
        <f t="shared" si="150"/>
        <v>0.2030548106097036</v>
      </c>
      <c r="P248" s="732" t="str">
        <f t="shared" si="142"/>
        <v>-0.0131910700804999-0.190572713151129i</v>
      </c>
      <c r="Q248" s="337">
        <f t="shared" si="151"/>
        <v>0.19102869765470096</v>
      </c>
      <c r="R248" s="339">
        <f t="shared" si="152"/>
        <v>-1.6399041412012232</v>
      </c>
      <c r="S248" s="731" t="str">
        <f t="shared" si="129"/>
        <v>6000</v>
      </c>
      <c r="T248" s="337" t="str">
        <f t="shared" si="130"/>
        <v>1+95505.9717574933i</v>
      </c>
      <c r="U248" s="346">
        <f t="shared" si="153"/>
        <v>95505.971762728572</v>
      </c>
      <c r="V248" s="347">
        <f t="shared" si="154"/>
        <v>1.5707858562454475</v>
      </c>
      <c r="W248" s="340" t="str">
        <f t="shared" si="131"/>
        <v>1+945.60368076726i</v>
      </c>
      <c r="X248" s="337">
        <f t="shared" si="155"/>
        <v>945.6042095298593</v>
      </c>
      <c r="Y248" s="339">
        <f t="shared" si="156"/>
        <v>1.5697388016947382</v>
      </c>
      <c r="Z248" s="337" t="str">
        <f t="shared" si="132"/>
        <v>1+9.52549719228799i</v>
      </c>
      <c r="AA248" s="346">
        <f t="shared" si="157"/>
        <v>9.5778440559598987</v>
      </c>
      <c r="AB248" s="347">
        <f t="shared" si="158"/>
        <v>1.4661980695820729</v>
      </c>
      <c r="AC248" s="732" t="str">
        <f t="shared" si="159"/>
        <v>0.641122592853936-6.16921274199354i</v>
      </c>
      <c r="AD248" s="337">
        <f t="shared" si="160"/>
        <v>6.2024369432540958</v>
      </c>
      <c r="AE248" s="339">
        <f t="shared" si="161"/>
        <v>-1.4672451241327817</v>
      </c>
      <c r="AF248" s="736" t="str">
        <f t="shared" si="133"/>
        <v>-1.18414070330075-0.0408019543615115i</v>
      </c>
      <c r="AG248" s="337">
        <f t="shared" si="162"/>
        <v>1.4732194522049826</v>
      </c>
      <c r="AH248" s="730">
        <f t="shared" si="163"/>
        <v>-178.02653922081285</v>
      </c>
      <c r="AI248" s="360">
        <f t="shared" si="134"/>
        <v>1.9734607791871497</v>
      </c>
      <c r="AL248" s="337">
        <f t="shared" si="135"/>
        <v>15.851247154697921</v>
      </c>
      <c r="AM248" s="730">
        <f t="shared" si="136"/>
        <v>-84.066953123956964</v>
      </c>
      <c r="AN248" s="351"/>
      <c r="AO248" s="337">
        <f t="shared" si="137"/>
        <v>39.151094782549222</v>
      </c>
      <c r="AP248" s="730">
        <f t="shared" si="138"/>
        <v>-93.959586096855901</v>
      </c>
      <c r="AS248" s="351"/>
      <c r="AT248" s="351"/>
      <c r="AV248" s="405">
        <f t="shared" si="139"/>
        <v>0</v>
      </c>
      <c r="AW248" s="405">
        <f t="shared" si="164"/>
        <v>0</v>
      </c>
      <c r="AX248" s="405">
        <f t="shared" si="140"/>
        <v>0</v>
      </c>
      <c r="AY248" s="405">
        <f t="shared" si="141"/>
        <v>0</v>
      </c>
    </row>
    <row r="249" spans="2:51" ht="13.5" thickBot="1" x14ac:dyDescent="0.25">
      <c r="B249" s="345">
        <v>15136</v>
      </c>
      <c r="C249" s="728" t="str">
        <f t="shared" si="124"/>
        <v>2.2271548443541</v>
      </c>
      <c r="D249" s="728" t="str">
        <f t="shared" si="125"/>
        <v>1+11.5707789584855i</v>
      </c>
      <c r="E249" s="337">
        <f t="shared" si="143"/>
        <v>11.613910870423055</v>
      </c>
      <c r="F249" s="338">
        <f t="shared" si="144"/>
        <v>1.4845859372631363</v>
      </c>
      <c r="G249" s="338" t="str">
        <f t="shared" si="126"/>
        <v>1+0.0475511464047351i</v>
      </c>
      <c r="H249" s="337">
        <f t="shared" si="145"/>
        <v>1.0011299174055306</v>
      </c>
      <c r="I249" s="338">
        <f t="shared" si="146"/>
        <v>4.7515355466871773E-2</v>
      </c>
      <c r="J249" s="340">
        <f t="shared" si="127"/>
        <v>1</v>
      </c>
      <c r="K249" s="338">
        <f t="shared" si="147"/>
        <v>1</v>
      </c>
      <c r="L249" s="339">
        <f t="shared" si="148"/>
        <v>0</v>
      </c>
      <c r="M249" s="731" t="str">
        <f t="shared" si="128"/>
        <v>0.989817844622222+0.204987838646635i</v>
      </c>
      <c r="N249" s="338">
        <f t="shared" si="149"/>
        <v>1.0108211412142112</v>
      </c>
      <c r="O249" s="339">
        <f t="shared" si="150"/>
        <v>0.20420973910864212</v>
      </c>
      <c r="P249" s="732" t="str">
        <f t="shared" si="142"/>
        <v>-0.013375773270045-0.189456001292345i</v>
      </c>
      <c r="Q249" s="337">
        <f t="shared" si="151"/>
        <v>0.18992758550630995</v>
      </c>
      <c r="R249" s="339">
        <f t="shared" si="152"/>
        <v>-1.6412803209049063</v>
      </c>
      <c r="S249" s="731" t="str">
        <f t="shared" si="129"/>
        <v>6000</v>
      </c>
      <c r="T249" s="337" t="str">
        <f t="shared" si="130"/>
        <v>1+96053.3157375649i</v>
      </c>
      <c r="U249" s="346">
        <f t="shared" si="153"/>
        <v>96053.315742770326</v>
      </c>
      <c r="V249" s="347">
        <f t="shared" si="154"/>
        <v>1.5707859159101469</v>
      </c>
      <c r="W249" s="340" t="str">
        <f t="shared" si="131"/>
        <v>1+951.022928094702i</v>
      </c>
      <c r="X249" s="337">
        <f t="shared" si="155"/>
        <v>951.02345384423643</v>
      </c>
      <c r="Y249" s="339">
        <f t="shared" si="156"/>
        <v>1.5697448278226758</v>
      </c>
      <c r="Z249" s="337" t="str">
        <f t="shared" si="132"/>
        <v>1+9.58008774248548i</v>
      </c>
      <c r="AA249" s="346">
        <f t="shared" si="157"/>
        <v>9.632137932656514</v>
      </c>
      <c r="AB249" s="347">
        <f t="shared" si="158"/>
        <v>1.466789804288132</v>
      </c>
      <c r="AC249" s="732" t="str">
        <f t="shared" si="159"/>
        <v>0.633915277745544-6.13481082219672i</v>
      </c>
      <c r="AD249" s="337">
        <f t="shared" si="160"/>
        <v>6.1674753670769702</v>
      </c>
      <c r="AE249" s="339">
        <f t="shared" si="161"/>
        <v>-1.4678308923756032</v>
      </c>
      <c r="AF249" s="736" t="str">
        <f t="shared" si="133"/>
        <v>-1.17075583408594-0.0380412150674753i</v>
      </c>
      <c r="AG249" s="337">
        <f t="shared" si="162"/>
        <v>1.3739094161814538</v>
      </c>
      <c r="AH249" s="730">
        <f t="shared" si="163"/>
        <v>-178.13895055777195</v>
      </c>
      <c r="AI249" s="360">
        <f t="shared" si="134"/>
        <v>1.861049442228051</v>
      </c>
      <c r="AL249" s="337">
        <f t="shared" si="135"/>
        <v>15.802148471824339</v>
      </c>
      <c r="AM249" s="730">
        <f t="shared" si="136"/>
        <v>-84.10051517204343</v>
      </c>
      <c r="AN249" s="351"/>
      <c r="AO249" s="337">
        <f t="shared" si="137"/>
        <v>39.100883429399218</v>
      </c>
      <c r="AP249" s="730">
        <f t="shared" si="138"/>
        <v>-94.038435385728505</v>
      </c>
      <c r="AS249" s="351"/>
      <c r="AT249" s="351"/>
      <c r="AV249" s="405">
        <f t="shared" si="139"/>
        <v>0</v>
      </c>
      <c r="AW249" s="405">
        <f t="shared" si="164"/>
        <v>0</v>
      </c>
      <c r="AX249" s="405">
        <f t="shared" si="140"/>
        <v>0</v>
      </c>
      <c r="AY249" s="405">
        <f t="shared" si="141"/>
        <v>0</v>
      </c>
    </row>
    <row r="250" spans="2:51" ht="13.5" thickBot="1" x14ac:dyDescent="0.25">
      <c r="B250" s="345">
        <v>15224</v>
      </c>
      <c r="C250" s="728" t="str">
        <f t="shared" si="124"/>
        <v>2.2271548443541</v>
      </c>
      <c r="D250" s="728" t="str">
        <f t="shared" si="125"/>
        <v>1+11.6380509291744i</v>
      </c>
      <c r="E250" s="337">
        <f t="shared" si="143"/>
        <v>11.680934441647086</v>
      </c>
      <c r="F250" s="338">
        <f t="shared" si="144"/>
        <v>1.4850818189761328</v>
      </c>
      <c r="G250" s="338" t="str">
        <f t="shared" si="126"/>
        <v>1+0.047827606558251i</v>
      </c>
      <c r="H250" s="337">
        <f t="shared" si="145"/>
        <v>1.0011430866509996</v>
      </c>
      <c r="I250" s="338">
        <f t="shared" si="146"/>
        <v>4.7791188298484291E-2</v>
      </c>
      <c r="J250" s="340">
        <f t="shared" si="127"/>
        <v>1</v>
      </c>
      <c r="K250" s="338">
        <f t="shared" si="147"/>
        <v>1</v>
      </c>
      <c r="L250" s="339">
        <f t="shared" si="148"/>
        <v>0</v>
      </c>
      <c r="M250" s="731" t="str">
        <f t="shared" si="128"/>
        <v>0.989699103288889+0.206179628406209i</v>
      </c>
      <c r="N250" s="338">
        <f t="shared" si="149"/>
        <v>1.0109472559043589</v>
      </c>
      <c r="O250" s="339">
        <f t="shared" si="150"/>
        <v>0.20538794740870131</v>
      </c>
      <c r="P250" s="732" t="str">
        <f t="shared" si="142"/>
        <v>-0.0135608865582712-0.188329130432974i</v>
      </c>
      <c r="Q250" s="337">
        <f t="shared" si="151"/>
        <v>0.18881673393501552</v>
      </c>
      <c r="R250" s="339">
        <f t="shared" si="152"/>
        <v>-1.6426785780863498</v>
      </c>
      <c r="S250" s="731" t="str">
        <f t="shared" si="129"/>
        <v>6000</v>
      </c>
      <c r="T250" s="337" t="str">
        <f t="shared" si="130"/>
        <v>1+96611.765247667i</v>
      </c>
      <c r="U250" s="346">
        <f t="shared" si="153"/>
        <v>96611.765252842379</v>
      </c>
      <c r="V250" s="347">
        <f t="shared" si="154"/>
        <v>1.5707859760886715</v>
      </c>
      <c r="W250" s="340" t="str">
        <f t="shared" si="131"/>
        <v>1+956.55213116502i</v>
      </c>
      <c r="X250" s="337">
        <f t="shared" si="155"/>
        <v>956.55265387554152</v>
      </c>
      <c r="Y250" s="339">
        <f t="shared" si="156"/>
        <v>1.5697509058469756</v>
      </c>
      <c r="Z250" s="337" t="str">
        <f t="shared" si="132"/>
        <v>1+9.63578592703482i</v>
      </c>
      <c r="AA250" s="346">
        <f t="shared" si="157"/>
        <v>9.6875368609178611</v>
      </c>
      <c r="AB250" s="347">
        <f t="shared" si="158"/>
        <v>1.4673867089964012</v>
      </c>
      <c r="AC250" s="732" t="str">
        <f t="shared" si="159"/>
        <v>0.626685821025258-6.10009975881438i</v>
      </c>
      <c r="AD250" s="337">
        <f t="shared" si="160"/>
        <v>6.1322061434496282</v>
      </c>
      <c r="AE250" s="339">
        <f t="shared" si="161"/>
        <v>-1.4684217792380971</v>
      </c>
      <c r="AF250" s="736" t="str">
        <f t="shared" si="133"/>
        <v>-1.15732489845851-0.0353004349049419i</v>
      </c>
      <c r="AG250" s="337">
        <f t="shared" si="162"/>
        <v>1.2731445406789161</v>
      </c>
      <c r="AH250" s="730">
        <f t="shared" si="163"/>
        <v>-178.25292011633314</v>
      </c>
      <c r="AI250" s="360">
        <f t="shared" si="134"/>
        <v>1.7470798836668564</v>
      </c>
      <c r="AL250" s="337">
        <f t="shared" si="135"/>
        <v>15.752334917964575</v>
      </c>
      <c r="AM250" s="730">
        <f t="shared" si="136"/>
        <v>-84.134370495434055</v>
      </c>
      <c r="AN250" s="351"/>
      <c r="AO250" s="337">
        <f t="shared" si="137"/>
        <v>39.049932107756447</v>
      </c>
      <c r="AP250" s="730">
        <f t="shared" si="138"/>
        <v>-94.118549620899074</v>
      </c>
      <c r="AS250" s="351"/>
      <c r="AT250" s="351"/>
      <c r="AV250" s="405">
        <f t="shared" si="139"/>
        <v>0</v>
      </c>
      <c r="AW250" s="405">
        <f t="shared" si="164"/>
        <v>0</v>
      </c>
      <c r="AX250" s="405">
        <f t="shared" si="140"/>
        <v>0</v>
      </c>
      <c r="AY250" s="405">
        <f t="shared" si="141"/>
        <v>0</v>
      </c>
    </row>
    <row r="251" spans="2:51" ht="13.5" thickBot="1" x14ac:dyDescent="0.25">
      <c r="B251" s="345">
        <v>15312</v>
      </c>
      <c r="C251" s="728" t="str">
        <f t="shared" si="124"/>
        <v>2.2271548443541</v>
      </c>
      <c r="D251" s="728" t="str">
        <f t="shared" si="125"/>
        <v>1+11.7053228998633i</v>
      </c>
      <c r="E251" s="337">
        <f t="shared" si="143"/>
        <v>11.747960852423036</v>
      </c>
      <c r="F251" s="338">
        <f t="shared" si="144"/>
        <v>1.4855720424356764</v>
      </c>
      <c r="G251" s="338" t="str">
        <f t="shared" si="126"/>
        <v>1+0.0481040667117669i</v>
      </c>
      <c r="H251" s="337">
        <f t="shared" si="145"/>
        <v>1.0011563320651826</v>
      </c>
      <c r="I251" s="338">
        <f t="shared" si="146"/>
        <v>4.8067013852481591E-2</v>
      </c>
      <c r="J251" s="340">
        <f t="shared" si="127"/>
        <v>1</v>
      </c>
      <c r="K251" s="338">
        <f t="shared" si="147"/>
        <v>1</v>
      </c>
      <c r="L251" s="339">
        <f t="shared" si="148"/>
        <v>0</v>
      </c>
      <c r="M251" s="731" t="str">
        <f t="shared" si="128"/>
        <v>0.9895796736+0.207371418165782i</v>
      </c>
      <c r="N251" s="338">
        <f t="shared" si="149"/>
        <v>1.0110740998929655</v>
      </c>
      <c r="O251" s="339">
        <f t="shared" si="150"/>
        <v>0.20656599978544365</v>
      </c>
      <c r="P251" s="732" t="str">
        <f t="shared" si="142"/>
        <v>-0.0137427039068616-0.187214674526102i</v>
      </c>
      <c r="Q251" s="337">
        <f t="shared" si="151"/>
        <v>0.18771839619117239</v>
      </c>
      <c r="R251" s="339">
        <f t="shared" si="152"/>
        <v>-1.6440710283686391</v>
      </c>
      <c r="S251" s="731" t="str">
        <f t="shared" si="129"/>
        <v>6000</v>
      </c>
      <c r="T251" s="337" t="str">
        <f t="shared" si="130"/>
        <v>1+97170.2147577692i</v>
      </c>
      <c r="U251" s="346">
        <f t="shared" si="153"/>
        <v>97170.214762914795</v>
      </c>
      <c r="V251" s="347">
        <f t="shared" si="154"/>
        <v>1.570786035575489</v>
      </c>
      <c r="W251" s="340" t="str">
        <f t="shared" si="131"/>
        <v>1+962.081334235338i</v>
      </c>
      <c r="X251" s="337">
        <f t="shared" si="155"/>
        <v>962.08185394177781</v>
      </c>
      <c r="Y251" s="339">
        <f t="shared" si="156"/>
        <v>1.5697569140090031</v>
      </c>
      <c r="Z251" s="337" t="str">
        <f t="shared" si="132"/>
        <v>1+9.69148411158415i</v>
      </c>
      <c r="AA251" s="346">
        <f t="shared" si="157"/>
        <v>9.7429392015493992</v>
      </c>
      <c r="AB251" s="347">
        <f t="shared" si="158"/>
        <v>1.4679768254239021</v>
      </c>
      <c r="AC251" s="732" t="str">
        <f t="shared" si="159"/>
        <v>0.619578900759936-6.06577502946078i</v>
      </c>
      <c r="AD251" s="337">
        <f t="shared" si="160"/>
        <v>6.0973358708781014</v>
      </c>
      <c r="AE251" s="339">
        <f t="shared" si="161"/>
        <v>-1.4690059469903884</v>
      </c>
      <c r="AF251" s="736" t="str">
        <f t="shared" si="133"/>
        <v>-1.14411678726914-0.0326341120534973i</v>
      </c>
      <c r="AG251" s="337">
        <f t="shared" si="162"/>
        <v>1.1729390761400278</v>
      </c>
      <c r="AH251" s="730">
        <f t="shared" si="163"/>
        <v>-178.36617198742405</v>
      </c>
      <c r="AI251" s="360">
        <f t="shared" si="134"/>
        <v>1.6338280125759468</v>
      </c>
      <c r="AL251" s="337">
        <f t="shared" si="135"/>
        <v>15.702802374610583</v>
      </c>
      <c r="AM251" s="730">
        <f t="shared" si="136"/>
        <v>-84.16784084216799</v>
      </c>
      <c r="AN251" s="351"/>
      <c r="AO251" s="337">
        <f t="shared" si="137"/>
        <v>38.999259186571571</v>
      </c>
      <c r="AP251" s="730">
        <f t="shared" si="138"/>
        <v>-94.198331145256063</v>
      </c>
      <c r="AS251" s="351"/>
      <c r="AT251" s="351"/>
      <c r="AV251" s="405">
        <f t="shared" si="139"/>
        <v>0</v>
      </c>
      <c r="AW251" s="405">
        <f t="shared" si="164"/>
        <v>0</v>
      </c>
      <c r="AX251" s="405">
        <f t="shared" si="140"/>
        <v>0</v>
      </c>
      <c r="AY251" s="405">
        <f t="shared" si="141"/>
        <v>0</v>
      </c>
    </row>
    <row r="252" spans="2:51" ht="13.5" thickBot="1" x14ac:dyDescent="0.25">
      <c r="B252" s="345">
        <v>15400</v>
      </c>
      <c r="C252" s="728" t="str">
        <f t="shared" si="124"/>
        <v>2.2271548443541</v>
      </c>
      <c r="D252" s="728" t="str">
        <f t="shared" si="125"/>
        <v>1+11.7725948705521i</v>
      </c>
      <c r="E252" s="337">
        <f t="shared" si="143"/>
        <v>11.814990054424491</v>
      </c>
      <c r="F252" s="338">
        <f t="shared" si="144"/>
        <v>1.4860567037059038</v>
      </c>
      <c r="G252" s="338" t="str">
        <f t="shared" si="126"/>
        <v>1+0.0483805268652828i</v>
      </c>
      <c r="H252" s="337">
        <f t="shared" si="145"/>
        <v>1.0011696536450565</v>
      </c>
      <c r="I252" s="338">
        <f t="shared" si="146"/>
        <v>4.8342832087183887E-2</v>
      </c>
      <c r="J252" s="340">
        <f t="shared" si="127"/>
        <v>1</v>
      </c>
      <c r="K252" s="338">
        <f t="shared" si="147"/>
        <v>1</v>
      </c>
      <c r="L252" s="339">
        <f t="shared" si="148"/>
        <v>0</v>
      </c>
      <c r="M252" s="731" t="str">
        <f t="shared" si="128"/>
        <v>0.989459555555556+0.208563207925355i</v>
      </c>
      <c r="N252" s="338">
        <f t="shared" si="149"/>
        <v>1.0112016731494826</v>
      </c>
      <c r="O252" s="339">
        <f t="shared" si="150"/>
        <v>0.2077438953832971</v>
      </c>
      <c r="P252" s="732" t="str">
        <f t="shared" si="142"/>
        <v>-0.0139212987879004-0.186112427296609i</v>
      </c>
      <c r="Q252" s="337">
        <f t="shared" si="151"/>
        <v>0.18663236095108904</v>
      </c>
      <c r="R252" s="339">
        <f t="shared" si="152"/>
        <v>-1.6454577670020167</v>
      </c>
      <c r="S252" s="731" t="str">
        <f t="shared" si="129"/>
        <v>6000</v>
      </c>
      <c r="T252" s="337" t="str">
        <f t="shared" si="130"/>
        <v>1+97728.6642678713i</v>
      </c>
      <c r="U252" s="346">
        <f t="shared" si="153"/>
        <v>97728.664272987487</v>
      </c>
      <c r="V252" s="347">
        <f t="shared" si="154"/>
        <v>1.570786094382457</v>
      </c>
      <c r="W252" s="340" t="str">
        <f t="shared" si="131"/>
        <v>1+967.610537305656i</v>
      </c>
      <c r="X252" s="337">
        <f t="shared" si="155"/>
        <v>967.61105404234627</v>
      </c>
      <c r="Y252" s="339">
        <f t="shared" si="156"/>
        <v>1.5697628535063954</v>
      </c>
      <c r="Z252" s="337" t="str">
        <f t="shared" si="132"/>
        <v>1+9.74718229613349i</v>
      </c>
      <c r="AA252" s="346">
        <f t="shared" si="157"/>
        <v>9.7983448966679134</v>
      </c>
      <c r="AB252" s="347">
        <f t="shared" si="158"/>
        <v>1.4685602683110914</v>
      </c>
      <c r="AC252" s="732" t="str">
        <f t="shared" si="159"/>
        <v>0.612591772968306-6.03183029278182i</v>
      </c>
      <c r="AD252" s="337">
        <f t="shared" si="160"/>
        <v>6.0628578542819946</v>
      </c>
      <c r="AE252" s="339">
        <f t="shared" si="161"/>
        <v>-1.4695835091871525</v>
      </c>
      <c r="AF252" s="736" t="str">
        <f t="shared" si="133"/>
        <v>-1.13112664993734-0.0300400300653402i</v>
      </c>
      <c r="AG252" s="337">
        <f t="shared" si="162"/>
        <v>1.0732867243690738</v>
      </c>
      <c r="AH252" s="730">
        <f t="shared" si="163"/>
        <v>-178.47871813468521</v>
      </c>
      <c r="AI252" s="360">
        <f t="shared" si="134"/>
        <v>1.5212818653147906</v>
      </c>
      <c r="AL252" s="337">
        <f t="shared" si="135"/>
        <v>15.653547723516327</v>
      </c>
      <c r="AM252" s="730">
        <f t="shared" si="136"/>
        <v>-84.200932718448882</v>
      </c>
      <c r="AN252" s="351"/>
      <c r="AO252" s="337">
        <f t="shared" si="137"/>
        <v>38.948861485894902</v>
      </c>
      <c r="AP252" s="730">
        <f t="shared" si="138"/>
        <v>-94.277785416236341</v>
      </c>
      <c r="AS252" s="351"/>
      <c r="AT252" s="351"/>
      <c r="AV252" s="405">
        <f t="shared" si="139"/>
        <v>0</v>
      </c>
      <c r="AW252" s="405">
        <f t="shared" si="164"/>
        <v>0</v>
      </c>
      <c r="AX252" s="405">
        <f t="shared" si="140"/>
        <v>0</v>
      </c>
      <c r="AY252" s="405">
        <f t="shared" si="141"/>
        <v>0</v>
      </c>
    </row>
    <row r="253" spans="2:51" ht="13.5" thickBot="1" x14ac:dyDescent="0.25">
      <c r="B253" s="345">
        <v>15488</v>
      </c>
      <c r="C253" s="728" t="str">
        <f t="shared" si="124"/>
        <v>2.2271548443541</v>
      </c>
      <c r="D253" s="728" t="str">
        <f t="shared" si="125"/>
        <v>1+11.839866841241i</v>
      </c>
      <c r="E253" s="337">
        <f t="shared" si="143"/>
        <v>11.882022000413825</v>
      </c>
      <c r="F253" s="338">
        <f t="shared" si="144"/>
        <v>1.4865358966937747</v>
      </c>
      <c r="G253" s="338" t="str">
        <f t="shared" si="126"/>
        <v>1+0.0486569870187987i</v>
      </c>
      <c r="H253" s="337">
        <f t="shared" si="145"/>
        <v>1.0011830513875808</v>
      </c>
      <c r="I253" s="338">
        <f t="shared" si="146"/>
        <v>4.8618642960918071E-2</v>
      </c>
      <c r="J253" s="340">
        <f t="shared" si="127"/>
        <v>1</v>
      </c>
      <c r="K253" s="338">
        <f t="shared" si="147"/>
        <v>1</v>
      </c>
      <c r="L253" s="339">
        <f t="shared" si="148"/>
        <v>0</v>
      </c>
      <c r="M253" s="731" t="str">
        <f t="shared" si="128"/>
        <v>0.989338749155556+0.209754997684929i</v>
      </c>
      <c r="N253" s="338">
        <f t="shared" si="149"/>
        <v>1.0113299756432046</v>
      </c>
      <c r="O253" s="339">
        <f t="shared" si="150"/>
        <v>0.208921633347459</v>
      </c>
      <c r="P253" s="732" t="str">
        <f t="shared" si="142"/>
        <v>-0.0140967426232952-0.18502218698579i</v>
      </c>
      <c r="Q253" s="337">
        <f t="shared" si="151"/>
        <v>0.18555842160783775</v>
      </c>
      <c r="R253" s="339">
        <f t="shared" si="152"/>
        <v>-1.6468388870803159</v>
      </c>
      <c r="S253" s="731" t="str">
        <f t="shared" si="129"/>
        <v>6000</v>
      </c>
      <c r="T253" s="337" t="str">
        <f t="shared" si="130"/>
        <v>1+98287.1137779734i</v>
      </c>
      <c r="U253" s="346">
        <f t="shared" si="153"/>
        <v>98287.113783060529</v>
      </c>
      <c r="V253" s="347">
        <f t="shared" si="154"/>
        <v>1.5707861525211639</v>
      </c>
      <c r="W253" s="340" t="str">
        <f t="shared" si="131"/>
        <v>1+973.139740375974i</v>
      </c>
      <c r="X253" s="337">
        <f t="shared" si="155"/>
        <v>973.14025417666187</v>
      </c>
      <c r="Y253" s="339">
        <f t="shared" si="156"/>
        <v>1.5697687255095709</v>
      </c>
      <c r="Z253" s="337" t="str">
        <f t="shared" si="132"/>
        <v>1+9.80288048068282i</v>
      </c>
      <c r="AA253" s="346">
        <f t="shared" si="157"/>
        <v>9.8537538896885497</v>
      </c>
      <c r="AB253" s="347">
        <f t="shared" si="158"/>
        <v>1.4691371498360293</v>
      </c>
      <c r="AC253" s="732" t="str">
        <f t="shared" si="159"/>
        <v>0.60572176977894-5.9982593437812i</v>
      </c>
      <c r="AD253" s="337">
        <f t="shared" si="160"/>
        <v>6.0287655467469126</v>
      </c>
      <c r="AE253" s="339">
        <f t="shared" si="161"/>
        <v>-1.4701545768476227</v>
      </c>
      <c r="AF253" s="736" t="str">
        <f t="shared" si="133"/>
        <v>-1.11834976578425-0.0275160483923435i</v>
      </c>
      <c r="AG253" s="337">
        <f t="shared" si="162"/>
        <v>0.97418129102603856</v>
      </c>
      <c r="AH253" s="730">
        <f t="shared" si="163"/>
        <v>-178.5905702529339</v>
      </c>
      <c r="AI253" s="360">
        <f t="shared" si="134"/>
        <v>1.409429747066099</v>
      </c>
      <c r="AL253" s="337">
        <f t="shared" si="135"/>
        <v>15.604567897463188</v>
      </c>
      <c r="AM253" s="730">
        <f t="shared" si="136"/>
        <v>-84.233652485210229</v>
      </c>
      <c r="AN253" s="351"/>
      <c r="AO253" s="337">
        <f t="shared" si="137"/>
        <v>38.898735878604967</v>
      </c>
      <c r="AP253" s="730">
        <f t="shared" si="138"/>
        <v>-94.356917767723658</v>
      </c>
      <c r="AS253" s="351"/>
      <c r="AT253" s="351"/>
      <c r="AV253" s="405">
        <f t="shared" si="139"/>
        <v>0</v>
      </c>
      <c r="AW253" s="405">
        <f t="shared" si="164"/>
        <v>0</v>
      </c>
      <c r="AX253" s="405">
        <f t="shared" si="140"/>
        <v>0</v>
      </c>
      <c r="AY253" s="405">
        <f t="shared" si="141"/>
        <v>0</v>
      </c>
    </row>
    <row r="254" spans="2:51" ht="13.5" thickBot="1" x14ac:dyDescent="0.25">
      <c r="B254" s="345">
        <v>15578.25</v>
      </c>
      <c r="C254" s="728" t="str">
        <f t="shared" si="124"/>
        <v>2.2271548443541</v>
      </c>
      <c r="D254" s="728" t="str">
        <f t="shared" si="125"/>
        <v>1+11.9088588339077i</v>
      </c>
      <c r="E254" s="337">
        <f t="shared" si="143"/>
        <v>11.95077063314084</v>
      </c>
      <c r="F254" s="338">
        <f t="shared" si="144"/>
        <v>1.4870217581442575</v>
      </c>
      <c r="G254" s="338" t="str">
        <f t="shared" si="126"/>
        <v>1+0.0489405157557852i</v>
      </c>
      <c r="H254" s="337">
        <f t="shared" si="145"/>
        <v>1.0011968707913754</v>
      </c>
      <c r="I254" s="338">
        <f t="shared" si="146"/>
        <v>4.8901498127888486E-2</v>
      </c>
      <c r="J254" s="340">
        <f t="shared" si="127"/>
        <v>1</v>
      </c>
      <c r="K254" s="338">
        <f t="shared" si="147"/>
        <v>1</v>
      </c>
      <c r="L254" s="339">
        <f t="shared" si="148"/>
        <v>0</v>
      </c>
      <c r="M254" s="731" t="str">
        <f t="shared" si="128"/>
        <v>0.989214138975+0.210977259341764i</v>
      </c>
      <c r="N254" s="338">
        <f t="shared" si="149"/>
        <v>1.0114623160095548</v>
      </c>
      <c r="O254" s="339">
        <f t="shared" si="150"/>
        <v>0.2101293193045746</v>
      </c>
      <c r="P254" s="732" t="str">
        <f t="shared" si="142"/>
        <v>-0.014273472040745-0.183916335832037i</v>
      </c>
      <c r="Q254" s="337">
        <f t="shared" si="151"/>
        <v>0.18446937575104588</v>
      </c>
      <c r="R254" s="339">
        <f t="shared" si="152"/>
        <v>-1.6482495793209431</v>
      </c>
      <c r="S254" s="731" t="str">
        <f t="shared" si="129"/>
        <v>6000</v>
      </c>
      <c r="T254" s="337" t="str">
        <f t="shared" si="130"/>
        <v>1+98859.8418266861i</v>
      </c>
      <c r="U254" s="346">
        <f t="shared" si="153"/>
        <v>98859.841831743761</v>
      </c>
      <c r="V254" s="347">
        <f t="shared" si="154"/>
        <v>1.5707862114641264</v>
      </c>
      <c r="W254" s="340" t="str">
        <f t="shared" si="131"/>
        <v>1+978.810315115704i</v>
      </c>
      <c r="X254" s="337">
        <f t="shared" si="155"/>
        <v>978.81082593977476</v>
      </c>
      <c r="Y254" s="339">
        <f t="shared" si="156"/>
        <v>1.5697746787425257</v>
      </c>
      <c r="Z254" s="337" t="str">
        <f t="shared" si="132"/>
        <v>1+9.86000276654166i</v>
      </c>
      <c r="AA254" s="346">
        <f t="shared" si="157"/>
        <v>9.9105829574354107</v>
      </c>
      <c r="AB254" s="347">
        <f t="shared" si="158"/>
        <v>1.4697220809063969</v>
      </c>
      <c r="AC254" s="732" t="str">
        <f t="shared" si="159"/>
        <v>0.59879505087812-5.96421193212795i</v>
      </c>
      <c r="AD254" s="337">
        <f t="shared" si="160"/>
        <v>5.9941954826559956</v>
      </c>
      <c r="AE254" s="339">
        <f t="shared" si="161"/>
        <v>-1.4707336136279976</v>
      </c>
      <c r="AF254" s="736" t="str">
        <f t="shared" si="133"/>
        <v>-1.10546288909953-0.024998179413556i</v>
      </c>
      <c r="AG254" s="337">
        <f t="shared" si="162"/>
        <v>0.87310360304560863</v>
      </c>
      <c r="AH254" s="730">
        <f t="shared" si="163"/>
        <v>-178.70457332821198</v>
      </c>
      <c r="AI254" s="360">
        <f t="shared" si="134"/>
        <v>1.2954266717880216</v>
      </c>
      <c r="AL254" s="337">
        <f t="shared" si="135"/>
        <v>15.554618040976171</v>
      </c>
      <c r="AM254" s="730">
        <f t="shared" si="136"/>
        <v>-84.26682884890856</v>
      </c>
      <c r="AN254" s="351"/>
      <c r="AO254" s="337">
        <f t="shared" si="137"/>
        <v>38.847608047111585</v>
      </c>
      <c r="AP254" s="730">
        <f t="shared" si="138"/>
        <v>-94.437744479303447</v>
      </c>
      <c r="AS254" s="351"/>
      <c r="AT254" s="351"/>
      <c r="AV254" s="405">
        <f t="shared" si="139"/>
        <v>0</v>
      </c>
      <c r="AW254" s="405">
        <f t="shared" si="164"/>
        <v>0</v>
      </c>
      <c r="AX254" s="405">
        <f t="shared" si="140"/>
        <v>0</v>
      </c>
      <c r="AY254" s="405">
        <f t="shared" si="141"/>
        <v>0</v>
      </c>
    </row>
    <row r="255" spans="2:51" ht="13.5" thickBot="1" x14ac:dyDescent="0.25">
      <c r="B255" s="345">
        <v>15668.5</v>
      </c>
      <c r="C255" s="728" t="str">
        <f t="shared" si="124"/>
        <v>2.2271548443541</v>
      </c>
      <c r="D255" s="728" t="str">
        <f t="shared" si="125"/>
        <v>1+11.9778508265744i</v>
      </c>
      <c r="E255" s="337">
        <f t="shared" si="143"/>
        <v>12.019522054710373</v>
      </c>
      <c r="F255" s="338">
        <f t="shared" si="144"/>
        <v>1.4875020614718231</v>
      </c>
      <c r="G255" s="338" t="str">
        <f t="shared" si="126"/>
        <v>1+0.0492240444927717i</v>
      </c>
      <c r="H255" s="337">
        <f t="shared" si="145"/>
        <v>1.0012107702957587</v>
      </c>
      <c r="I255" s="338">
        <f t="shared" si="146"/>
        <v>4.9184345463903767E-2</v>
      </c>
      <c r="J255" s="340">
        <f t="shared" si="127"/>
        <v>1</v>
      </c>
      <c r="K255" s="338">
        <f t="shared" si="147"/>
        <v>1</v>
      </c>
      <c r="L255" s="339">
        <f t="shared" si="148"/>
        <v>0</v>
      </c>
      <c r="M255" s="731" t="str">
        <f t="shared" si="128"/>
        <v>0.989088804788889+0.212199520998599i</v>
      </c>
      <c r="N255" s="338">
        <f t="shared" si="149"/>
        <v>1.0115954233144533</v>
      </c>
      <c r="O255" s="339">
        <f t="shared" si="150"/>
        <v>0.21133683764549549</v>
      </c>
      <c r="P255" s="732" t="str">
        <f t="shared" si="142"/>
        <v>-0.0144470330578309-0.182822697647364i</v>
      </c>
      <c r="Q255" s="337">
        <f t="shared" si="151"/>
        <v>0.18339262673082998</v>
      </c>
      <c r="R255" s="339">
        <f t="shared" si="152"/>
        <v>-1.6496545536534142</v>
      </c>
      <c r="S255" s="731" t="str">
        <f t="shared" si="129"/>
        <v>6000</v>
      </c>
      <c r="T255" s="337" t="str">
        <f t="shared" si="130"/>
        <v>1+99432.5698753988i</v>
      </c>
      <c r="U255" s="346">
        <f t="shared" si="153"/>
        <v>99432.569880427342</v>
      </c>
      <c r="V255" s="347">
        <f t="shared" si="154"/>
        <v>1.5707862697280701</v>
      </c>
      <c r="W255" s="340" t="str">
        <f t="shared" si="131"/>
        <v>1+984.480889855433i</v>
      </c>
      <c r="X255" s="337">
        <f t="shared" si="155"/>
        <v>984.48139773717685</v>
      </c>
      <c r="Y255" s="339">
        <f t="shared" si="156"/>
        <v>1.5697805633947337</v>
      </c>
      <c r="Z255" s="337" t="str">
        <f t="shared" si="132"/>
        <v>1+9.91712505240049i</v>
      </c>
      <c r="AA255" s="346">
        <f t="shared" si="157"/>
        <v>9.9674153773658603</v>
      </c>
      <c r="AB255" s="347">
        <f t="shared" si="158"/>
        <v>1.4703003418280267</v>
      </c>
      <c r="AC255" s="732" t="str">
        <f t="shared" si="159"/>
        <v>0.591986073506999-5.93054487168891i</v>
      </c>
      <c r="AD255" s="337">
        <f t="shared" si="160"/>
        <v>5.9600176162778125</v>
      </c>
      <c r="AE255" s="339">
        <f t="shared" si="161"/>
        <v>-1.4713060481613629</v>
      </c>
      <c r="AF255" s="736" t="str">
        <f t="shared" si="133"/>
        <v>-1.09279065433464-0.0225497131159811i</v>
      </c>
      <c r="AG255" s="337">
        <f t="shared" si="162"/>
        <v>0.77258828709009753</v>
      </c>
      <c r="AH255" s="730">
        <f t="shared" si="163"/>
        <v>-178.81787051059621</v>
      </c>
      <c r="AI255" s="360">
        <f t="shared" si="134"/>
        <v>1.1821294894037919</v>
      </c>
      <c r="AL255" s="337">
        <f t="shared" si="135"/>
        <v>15.50495086809647</v>
      </c>
      <c r="AM255" s="730">
        <f t="shared" si="136"/>
        <v>-84.299626931717924</v>
      </c>
      <c r="AN255" s="351"/>
      <c r="AO255" s="337">
        <f t="shared" si="137"/>
        <v>38.796759904035746</v>
      </c>
      <c r="AP255" s="730">
        <f t="shared" si="138"/>
        <v>-94.518243578878256</v>
      </c>
      <c r="AS255" s="351"/>
      <c r="AT255" s="351"/>
      <c r="AV255" s="405">
        <f t="shared" si="139"/>
        <v>0</v>
      </c>
      <c r="AW255" s="405">
        <f t="shared" si="164"/>
        <v>0</v>
      </c>
      <c r="AX255" s="405">
        <f t="shared" si="140"/>
        <v>0</v>
      </c>
      <c r="AY255" s="405">
        <f t="shared" si="141"/>
        <v>0</v>
      </c>
    </row>
    <row r="256" spans="2:51" ht="13.5" thickBot="1" x14ac:dyDescent="0.25">
      <c r="B256" s="345">
        <v>15758.75</v>
      </c>
      <c r="C256" s="728" t="str">
        <f t="shared" si="124"/>
        <v>2.2271548443541</v>
      </c>
      <c r="D256" s="728" t="str">
        <f t="shared" si="125"/>
        <v>1+12.0468428192412i</v>
      </c>
      <c r="E256" s="337">
        <f t="shared" si="143"/>
        <v>12.088276217538349</v>
      </c>
      <c r="F256" s="338">
        <f t="shared" si="144"/>
        <v>1.4879769012913133</v>
      </c>
      <c r="G256" s="338" t="str">
        <f t="shared" si="126"/>
        <v>1+0.0495075732297581i</v>
      </c>
      <c r="H256" s="337">
        <f t="shared" si="145"/>
        <v>1.0012247498973943</v>
      </c>
      <c r="I256" s="338">
        <f t="shared" si="146"/>
        <v>4.9467184924033861E-2</v>
      </c>
      <c r="J256" s="340">
        <f t="shared" si="127"/>
        <v>1</v>
      </c>
      <c r="K256" s="338">
        <f t="shared" si="147"/>
        <v>1</v>
      </c>
      <c r="L256" s="339">
        <f t="shared" si="148"/>
        <v>0</v>
      </c>
      <c r="M256" s="731" t="str">
        <f t="shared" si="128"/>
        <v>0.988962746597222+0.213421782655435i</v>
      </c>
      <c r="N256" s="338">
        <f t="shared" si="149"/>
        <v>1.011729297524266</v>
      </c>
      <c r="O256" s="339">
        <f t="shared" si="150"/>
        <v>0.21254418745070622</v>
      </c>
      <c r="P256" s="732" t="str">
        <f t="shared" si="142"/>
        <v>-0.0146174964366092-0.181741068810467i</v>
      </c>
      <c r="Q256" s="337">
        <f t="shared" si="151"/>
        <v>0.1823279662982209</v>
      </c>
      <c r="R256" s="339">
        <f t="shared" si="152"/>
        <v>-1.6510539038179857</v>
      </c>
      <c r="S256" s="731" t="str">
        <f t="shared" si="129"/>
        <v>6000</v>
      </c>
      <c r="T256" s="337" t="str">
        <f t="shared" si="130"/>
        <v>1+100005.297924111i</v>
      </c>
      <c r="U256" s="346">
        <f t="shared" si="153"/>
        <v>100005.29792911073</v>
      </c>
      <c r="V256" s="347">
        <f t="shared" si="154"/>
        <v>1.5707863273246614</v>
      </c>
      <c r="W256" s="340" t="str">
        <f t="shared" si="131"/>
        <v>1+990.151464595163i</v>
      </c>
      <c r="X256" s="337">
        <f t="shared" si="155"/>
        <v>990.15196956828106</v>
      </c>
      <c r="Y256" s="339">
        <f t="shared" si="156"/>
        <v>1.5697863806444743</v>
      </c>
      <c r="Z256" s="337" t="str">
        <f t="shared" si="132"/>
        <v>1+9.97424733825932i</v>
      </c>
      <c r="AA256" s="346">
        <f t="shared" si="157"/>
        <v>10.024251092464372</v>
      </c>
      <c r="AB256" s="347">
        <f t="shared" si="158"/>
        <v>1.4708720456665267</v>
      </c>
      <c r="AC256" s="732" t="str">
        <f t="shared" si="159"/>
        <v>0.585292193120874-5.89725189281305i</v>
      </c>
      <c r="AD256" s="337">
        <f t="shared" si="160"/>
        <v>5.9262253449067686</v>
      </c>
      <c r="AE256" s="339">
        <f t="shared" si="161"/>
        <v>-1.4718719923467141</v>
      </c>
      <c r="AF256" s="736" t="str">
        <f t="shared" si="133"/>
        <v>-1.08032836859171-0.0201685702152283i</v>
      </c>
      <c r="AG256" s="337">
        <f t="shared" si="162"/>
        <v>0.67262898719422703</v>
      </c>
      <c r="AH256" s="730">
        <f t="shared" si="163"/>
        <v>-178.93047358234764</v>
      </c>
      <c r="AI256" s="360">
        <f t="shared" si="134"/>
        <v>1.0695264176523551</v>
      </c>
      <c r="AL256" s="337">
        <f t="shared" si="135"/>
        <v>15.455563230389357</v>
      </c>
      <c r="AM256" s="730">
        <f t="shared" si="136"/>
        <v>-84.332053144978516</v>
      </c>
      <c r="AN256" s="351"/>
      <c r="AO256" s="337">
        <f t="shared" si="137"/>
        <v>38.74618824184703</v>
      </c>
      <c r="AP256" s="730">
        <f t="shared" si="138"/>
        <v>-94.598420437369128</v>
      </c>
      <c r="AS256" s="351"/>
      <c r="AT256" s="351"/>
      <c r="AV256" s="405">
        <f t="shared" si="139"/>
        <v>0</v>
      </c>
      <c r="AW256" s="405">
        <f t="shared" si="164"/>
        <v>0</v>
      </c>
      <c r="AX256" s="405">
        <f t="shared" si="140"/>
        <v>0</v>
      </c>
      <c r="AY256" s="405">
        <f t="shared" si="141"/>
        <v>0</v>
      </c>
    </row>
    <row r="257" spans="2:51" ht="13.5" thickBot="1" x14ac:dyDescent="0.25">
      <c r="B257" s="345">
        <v>15849</v>
      </c>
      <c r="C257" s="728" t="str">
        <f t="shared" si="124"/>
        <v>2.2271548443541</v>
      </c>
      <c r="D257" s="728" t="str">
        <f t="shared" si="125"/>
        <v>1+12.1158348119079i</v>
      </c>
      <c r="E257" s="337">
        <f t="shared" si="143"/>
        <v>12.15703307511497</v>
      </c>
      <c r="F257" s="338">
        <f t="shared" si="144"/>
        <v>1.4884463700870896</v>
      </c>
      <c r="G257" s="338" t="str">
        <f t="shared" si="126"/>
        <v>1+0.0497911019667447i</v>
      </c>
      <c r="H257" s="337">
        <f t="shared" si="145"/>
        <v>1.0012388095929277</v>
      </c>
      <c r="I257" s="338">
        <f t="shared" si="146"/>
        <v>4.9750016463356646E-2</v>
      </c>
      <c r="J257" s="340">
        <f t="shared" si="127"/>
        <v>1</v>
      </c>
      <c r="K257" s="338">
        <f t="shared" si="147"/>
        <v>1</v>
      </c>
      <c r="L257" s="339">
        <f t="shared" si="148"/>
        <v>0</v>
      </c>
      <c r="M257" s="731" t="str">
        <f t="shared" si="128"/>
        <v>0.9888359644+0.21464404431227i</v>
      </c>
      <c r="N257" s="338">
        <f t="shared" si="149"/>
        <v>1.0118639386051889</v>
      </c>
      <c r="O257" s="339">
        <f t="shared" si="150"/>
        <v>0.21375136780155574</v>
      </c>
      <c r="P257" s="732" t="str">
        <f t="shared" si="142"/>
        <v>-0.0147849309591192-0.180671250176202i</v>
      </c>
      <c r="Q257" s="337">
        <f t="shared" si="151"/>
        <v>0.18127519086653224</v>
      </c>
      <c r="R257" s="339">
        <f t="shared" si="152"/>
        <v>-1.6524477214252886</v>
      </c>
      <c r="S257" s="731" t="str">
        <f t="shared" si="129"/>
        <v>6000</v>
      </c>
      <c r="T257" s="337" t="str">
        <f t="shared" si="130"/>
        <v>1+100578.025972824i</v>
      </c>
      <c r="U257" s="346">
        <f t="shared" si="153"/>
        <v>100578.02597779526</v>
      </c>
      <c r="V257" s="347">
        <f t="shared" si="154"/>
        <v>1.5707863842653003</v>
      </c>
      <c r="W257" s="340" t="str">
        <f t="shared" si="131"/>
        <v>1+995.822039334893i</v>
      </c>
      <c r="X257" s="337">
        <f t="shared" si="155"/>
        <v>995.82254143251112</v>
      </c>
      <c r="Y257" s="339">
        <f t="shared" si="156"/>
        <v>1.5697921316431886</v>
      </c>
      <c r="Z257" s="337" t="str">
        <f t="shared" si="132"/>
        <v>1+10.0313696241182i</v>
      </c>
      <c r="AA257" s="346">
        <f t="shared" si="157"/>
        <v>10.081090046997961</v>
      </c>
      <c r="AB257" s="347">
        <f t="shared" si="158"/>
        <v>1.4714373029549395</v>
      </c>
      <c r="AC257" s="732" t="str">
        <f t="shared" si="159"/>
        <v>0.578710838758454-5.86432686132059i</v>
      </c>
      <c r="AD257" s="337">
        <f t="shared" si="160"/>
        <v>5.8928122124587263</v>
      </c>
      <c r="AE257" s="339">
        <f t="shared" si="161"/>
        <v>-1.4724315555770515</v>
      </c>
      <c r="AF257" s="736" t="str">
        <f t="shared" si="133"/>
        <v>-1.06807146527301-0.0178527429626752i</v>
      </c>
      <c r="AG257" s="337">
        <f t="shared" si="162"/>
        <v>0.5732194526153449</v>
      </c>
      <c r="AH257" s="730">
        <f t="shared" si="163"/>
        <v>-179.04239406012618</v>
      </c>
      <c r="AI257" s="360">
        <f t="shared" si="134"/>
        <v>0.95760593987381526</v>
      </c>
      <c r="AL257" s="337">
        <f t="shared" si="135"/>
        <v>15.406452031160073</v>
      </c>
      <c r="AM257" s="730">
        <f t="shared" si="136"/>
        <v>-84.364113756447566</v>
      </c>
      <c r="AN257" s="351"/>
      <c r="AO257" s="337">
        <f t="shared" si="137"/>
        <v>38.695889906497428</v>
      </c>
      <c r="AP257" s="730">
        <f t="shared" si="138"/>
        <v>-94.678280303678619</v>
      </c>
      <c r="AS257" s="351"/>
      <c r="AT257" s="351"/>
      <c r="AV257" s="405">
        <f t="shared" si="139"/>
        <v>0</v>
      </c>
      <c r="AW257" s="405">
        <f t="shared" si="164"/>
        <v>0</v>
      </c>
      <c r="AX257" s="405">
        <f t="shared" si="140"/>
        <v>0</v>
      </c>
      <c r="AY257" s="405">
        <f t="shared" si="141"/>
        <v>0</v>
      </c>
    </row>
    <row r="258" spans="2:51" ht="13.5" thickBot="1" x14ac:dyDescent="0.25">
      <c r="B258" s="345">
        <v>15941.25</v>
      </c>
      <c r="C258" s="728" t="str">
        <f t="shared" si="124"/>
        <v>2.2271548443541</v>
      </c>
      <c r="D258" s="728" t="str">
        <f t="shared" si="125"/>
        <v>1+12.1863557129994i</v>
      </c>
      <c r="E258" s="337">
        <f t="shared" si="143"/>
        <v>12.227316368024226</v>
      </c>
      <c r="F258" s="338">
        <f t="shared" si="144"/>
        <v>1.4889207858623235</v>
      </c>
      <c r="G258" s="338" t="str">
        <f t="shared" si="126"/>
        <v>1+0.0500809138890385i</v>
      </c>
      <c r="H258" s="337">
        <f t="shared" si="145"/>
        <v>1.0012532636331135</v>
      </c>
      <c r="I258" s="338">
        <f t="shared" si="146"/>
        <v>5.003910750481317E-2</v>
      </c>
      <c r="J258" s="340">
        <f t="shared" si="127"/>
        <v>1</v>
      </c>
      <c r="K258" s="338">
        <f t="shared" si="147"/>
        <v>1</v>
      </c>
      <c r="L258" s="339">
        <f t="shared" si="148"/>
        <v>0</v>
      </c>
      <c r="M258" s="731" t="str">
        <f t="shared" si="128"/>
        <v>0.988705624375+0.215893392100006i</v>
      </c>
      <c r="N258" s="338">
        <f t="shared" si="149"/>
        <v>1.0120023559375766</v>
      </c>
      <c r="O258" s="339">
        <f t="shared" si="150"/>
        <v>0.21498512398722636</v>
      </c>
      <c r="P258" s="732" t="str">
        <f t="shared" si="142"/>
        <v>-0.0149530152667275-0.179589726559618i</v>
      </c>
      <c r="Q258" s="337">
        <f t="shared" si="151"/>
        <v>0.18021116100654075</v>
      </c>
      <c r="R258" s="339">
        <f t="shared" si="152"/>
        <v>-1.6538668023447367</v>
      </c>
      <c r="S258" s="731" t="str">
        <f t="shared" si="129"/>
        <v>6000</v>
      </c>
      <c r="T258" s="337" t="str">
        <f t="shared" si="130"/>
        <v>1+101163.446055858i</v>
      </c>
      <c r="U258" s="346">
        <f t="shared" si="153"/>
        <v>101163.44606080049</v>
      </c>
      <c r="V258" s="347">
        <f t="shared" si="154"/>
        <v>1.5707864418014632</v>
      </c>
      <c r="W258" s="340" t="str">
        <f t="shared" si="131"/>
        <v>1+1001.61827778077i</v>
      </c>
      <c r="X258" s="337">
        <f t="shared" si="155"/>
        <v>1001.618776972814</v>
      </c>
      <c r="Y258" s="339">
        <f t="shared" si="156"/>
        <v>1.5697979427898057</v>
      </c>
      <c r="Z258" s="337" t="str">
        <f t="shared" si="132"/>
        <v>1+10.0897577778077i</v>
      </c>
      <c r="AA258" s="346">
        <f t="shared" si="157"/>
        <v>10.13919188174437</v>
      </c>
      <c r="AB258" s="347">
        <f t="shared" si="158"/>
        <v>1.4720085367987026</v>
      </c>
      <c r="AC258" s="732" t="str">
        <f t="shared" si="159"/>
        <v>0.572097329131722-5.83104620953397i</v>
      </c>
      <c r="AD258" s="337">
        <f t="shared" si="160"/>
        <v>5.8590438854577744</v>
      </c>
      <c r="AE258" s="339">
        <f t="shared" si="161"/>
        <v>-1.4729970358103595</v>
      </c>
      <c r="AF258" s="736" t="str">
        <f t="shared" si="133"/>
        <v>-1.05575057442326-0.0155510799120987i</v>
      </c>
      <c r="AG258" s="337">
        <f t="shared" si="162"/>
        <v>0.4721687116929596</v>
      </c>
      <c r="AH258" s="730">
        <f t="shared" si="163"/>
        <v>-179.15610103836471</v>
      </c>
      <c r="AI258" s="360">
        <f t="shared" si="134"/>
        <v>0.84389896163528988</v>
      </c>
      <c r="AL258" s="337">
        <f t="shared" si="135"/>
        <v>15.356535019514626</v>
      </c>
      <c r="AM258" s="730">
        <f t="shared" si="136"/>
        <v>-84.396513387214185</v>
      </c>
      <c r="AN258" s="351"/>
      <c r="AO258" s="337">
        <f t="shared" si="137"/>
        <v>38.644756177220501</v>
      </c>
      <c r="AP258" s="730">
        <f t="shared" si="138"/>
        <v>-94.75958765115054</v>
      </c>
      <c r="AS258" s="351"/>
      <c r="AT258" s="351"/>
      <c r="AV258" s="405">
        <f t="shared" si="139"/>
        <v>0</v>
      </c>
      <c r="AW258" s="405">
        <f t="shared" si="164"/>
        <v>0</v>
      </c>
      <c r="AX258" s="405">
        <f t="shared" si="140"/>
        <v>0</v>
      </c>
      <c r="AY258" s="405">
        <f t="shared" si="141"/>
        <v>0</v>
      </c>
    </row>
    <row r="259" spans="2:51" ht="13.5" thickBot="1" x14ac:dyDescent="0.25">
      <c r="B259" s="345">
        <v>16033.5</v>
      </c>
      <c r="C259" s="728" t="str">
        <f t="shared" si="124"/>
        <v>2.2271548443541</v>
      </c>
      <c r="D259" s="728" t="str">
        <f t="shared" si="125"/>
        <v>1+12.2568766140908i</v>
      </c>
      <c r="E259" s="337">
        <f t="shared" si="143"/>
        <v>12.297602381482578</v>
      </c>
      <c r="F259" s="338">
        <f t="shared" si="144"/>
        <v>1.489389778767366</v>
      </c>
      <c r="G259" s="338" t="str">
        <f t="shared" si="126"/>
        <v>1+0.050370725811332i</v>
      </c>
      <c r="H259" s="337">
        <f t="shared" si="145"/>
        <v>1.0012678013492495</v>
      </c>
      <c r="I259" s="338">
        <f t="shared" si="146"/>
        <v>5.0328190175624447E-2</v>
      </c>
      <c r="J259" s="340">
        <f t="shared" si="127"/>
        <v>1</v>
      </c>
      <c r="K259" s="338">
        <f t="shared" si="147"/>
        <v>1</v>
      </c>
      <c r="L259" s="339">
        <f t="shared" si="148"/>
        <v>0</v>
      </c>
      <c r="M259" s="731" t="str">
        <f t="shared" si="128"/>
        <v>0.9885745279+0.21714273988774i</v>
      </c>
      <c r="N259" s="338">
        <f t="shared" si="149"/>
        <v>1.0121415744344575</v>
      </c>
      <c r="O259" s="339">
        <f t="shared" si="150"/>
        <v>0.21621870118676403</v>
      </c>
      <c r="P259" s="732" t="str">
        <f t="shared" si="142"/>
        <v>-0.0151180742603524-0.178520135431452i</v>
      </c>
      <c r="Q259" s="337">
        <f t="shared" si="151"/>
        <v>0.17915913296230671</v>
      </c>
      <c r="R259" s="339">
        <f t="shared" si="152"/>
        <v>-1.6552802897785055</v>
      </c>
      <c r="S259" s="731" t="str">
        <f t="shared" si="129"/>
        <v>6000</v>
      </c>
      <c r="T259" s="337" t="str">
        <f t="shared" si="130"/>
        <v>1+101748.866138891i</v>
      </c>
      <c r="U259" s="346">
        <f t="shared" si="153"/>
        <v>101748.86614380506</v>
      </c>
      <c r="V259" s="347">
        <f t="shared" si="154"/>
        <v>1.5707864986755482</v>
      </c>
      <c r="W259" s="340" t="str">
        <f t="shared" si="131"/>
        <v>1+1007.41451622664i</v>
      </c>
      <c r="X259" s="337">
        <f t="shared" si="155"/>
        <v>1007.4150125465447</v>
      </c>
      <c r="Y259" s="339">
        <f t="shared" si="156"/>
        <v>1.5698036870667129</v>
      </c>
      <c r="Z259" s="337" t="str">
        <f t="shared" si="132"/>
        <v>1+10.1481459314972i</v>
      </c>
      <c r="AA259" s="346">
        <f t="shared" si="157"/>
        <v>10.197296987288503</v>
      </c>
      <c r="AB259" s="347">
        <f t="shared" si="158"/>
        <v>1.4725732609424584</v>
      </c>
      <c r="AC259" s="732" t="str">
        <f t="shared" si="159"/>
        <v>0.565596181080256-5.7981374513119i</v>
      </c>
      <c r="AD259" s="337">
        <f t="shared" si="160"/>
        <v>5.8256584987757591</v>
      </c>
      <c r="AE259" s="339">
        <f t="shared" si="161"/>
        <v>-1.4735560725512942</v>
      </c>
      <c r="AF259" s="736" t="str">
        <f t="shared" si="133"/>
        <v>-1.04363500812532-0.0133136342852957i</v>
      </c>
      <c r="AG259" s="337">
        <f t="shared" si="162"/>
        <v>0.37167949256507882</v>
      </c>
      <c r="AH259" s="730">
        <f t="shared" si="163"/>
        <v>-179.26911834856276</v>
      </c>
      <c r="AI259" s="360">
        <f t="shared" si="134"/>
        <v>0.73088165143724382</v>
      </c>
      <c r="AL259" s="337">
        <f t="shared" si="135"/>
        <v>15.306900452231158</v>
      </c>
      <c r="AM259" s="730">
        <f t="shared" si="136"/>
        <v>-84.428543833062491</v>
      </c>
      <c r="AN259" s="351"/>
      <c r="AO259" s="337">
        <f t="shared" si="137"/>
        <v>38.593901525376033</v>
      </c>
      <c r="AP259" s="730">
        <f t="shared" si="138"/>
        <v>-94.840574515500279</v>
      </c>
      <c r="AS259" s="351"/>
      <c r="AT259" s="351"/>
      <c r="AV259" s="405">
        <f t="shared" si="139"/>
        <v>0</v>
      </c>
      <c r="AW259" s="405">
        <f t="shared" si="164"/>
        <v>0</v>
      </c>
      <c r="AX259" s="405">
        <f t="shared" si="140"/>
        <v>0</v>
      </c>
      <c r="AY259" s="405">
        <f t="shared" si="141"/>
        <v>0</v>
      </c>
    </row>
    <row r="260" spans="2:51" ht="13.5" thickBot="1" x14ac:dyDescent="0.25">
      <c r="B260" s="345">
        <v>16125.75</v>
      </c>
      <c r="C260" s="728" t="str">
        <f t="shared" si="124"/>
        <v>2.2271548443541</v>
      </c>
      <c r="D260" s="728" t="str">
        <f t="shared" si="125"/>
        <v>1+12.3273975151822i</v>
      </c>
      <c r="E260" s="337">
        <f t="shared" si="143"/>
        <v>12.367891069107953</v>
      </c>
      <c r="F260" s="338">
        <f t="shared" si="144"/>
        <v>1.4898534410512201</v>
      </c>
      <c r="G260" s="338" t="str">
        <f t="shared" si="126"/>
        <v>1+0.0506605377336255i</v>
      </c>
      <c r="H260" s="337">
        <f t="shared" si="145"/>
        <v>1.0012824227376911</v>
      </c>
      <c r="I260" s="338">
        <f t="shared" si="146"/>
        <v>5.0617264427839863E-2</v>
      </c>
      <c r="J260" s="340">
        <f t="shared" si="127"/>
        <v>1</v>
      </c>
      <c r="K260" s="338">
        <f t="shared" si="147"/>
        <v>1</v>
      </c>
      <c r="L260" s="339">
        <f t="shared" si="148"/>
        <v>0</v>
      </c>
      <c r="M260" s="731" t="str">
        <f t="shared" si="128"/>
        <v>0.988442674975+0.218392087675474i</v>
      </c>
      <c r="N260" s="338">
        <f t="shared" si="149"/>
        <v>1.0122815940591756</v>
      </c>
      <c r="O260" s="339">
        <f t="shared" si="150"/>
        <v>0.21745209842192328</v>
      </c>
      <c r="P260" s="732" t="str">
        <f t="shared" si="142"/>
        <v>-0.0152801754032859-0.177462277835415i</v>
      </c>
      <c r="Q260" s="337">
        <f t="shared" si="151"/>
        <v>0.17811890358659074</v>
      </c>
      <c r="R260" s="339">
        <f t="shared" si="152"/>
        <v>-1.6566882750453034</v>
      </c>
      <c r="S260" s="731" t="str">
        <f t="shared" si="129"/>
        <v>6000</v>
      </c>
      <c r="T260" s="337" t="str">
        <f t="shared" si="130"/>
        <v>1+102334.286221924i</v>
      </c>
      <c r="U260" s="346">
        <f t="shared" si="153"/>
        <v>102334.28622680994</v>
      </c>
      <c r="V260" s="347">
        <f t="shared" si="154"/>
        <v>1.5707865548989184</v>
      </c>
      <c r="W260" s="340" t="str">
        <f t="shared" si="131"/>
        <v>1+1013.21075467251i</v>
      </c>
      <c r="X260" s="337">
        <f t="shared" si="155"/>
        <v>1013.2112481531368</v>
      </c>
      <c r="Y260" s="339">
        <f t="shared" si="156"/>
        <v>1.5698093656215268</v>
      </c>
      <c r="Z260" s="337" t="str">
        <f t="shared" si="132"/>
        <v>1+10.2065340851866i</v>
      </c>
      <c r="AA260" s="346">
        <f t="shared" si="157"/>
        <v>10.255405308035169</v>
      </c>
      <c r="AB260" s="347">
        <f t="shared" si="158"/>
        <v>1.4731315856770684</v>
      </c>
      <c r="AC260" s="732" t="str">
        <f t="shared" si="159"/>
        <v>0.559204871758478-5.7655944513991i</v>
      </c>
      <c r="AD260" s="337">
        <f t="shared" si="160"/>
        <v>5.7926496067518629</v>
      </c>
      <c r="AE260" s="339">
        <f t="shared" si="161"/>
        <v>-1.4741087749544604</v>
      </c>
      <c r="AF260" s="736" t="str">
        <f t="shared" si="133"/>
        <v>-1.03172027294736-0.0111384757973304i</v>
      </c>
      <c r="AG260" s="337">
        <f t="shared" si="162"/>
        <v>0.27174544582740051</v>
      </c>
      <c r="AH260" s="730">
        <f t="shared" si="163"/>
        <v>-179.38145747699502</v>
      </c>
      <c r="AI260" s="360">
        <f t="shared" si="134"/>
        <v>0.61854252300497592</v>
      </c>
      <c r="AL260" s="337">
        <f t="shared" si="135"/>
        <v>15.257545182594596</v>
      </c>
      <c r="AM260" s="730">
        <f t="shared" si="136"/>
        <v>-84.460211348090652</v>
      </c>
      <c r="AN260" s="351"/>
      <c r="AO260" s="337">
        <f t="shared" si="137"/>
        <v>38.543322748274903</v>
      </c>
      <c r="AP260" s="730">
        <f t="shared" si="138"/>
        <v>-94.921246128904386</v>
      </c>
      <c r="AS260" s="351"/>
      <c r="AT260" s="351"/>
      <c r="AV260" s="405">
        <f t="shared" si="139"/>
        <v>0</v>
      </c>
      <c r="AW260" s="405">
        <f t="shared" si="164"/>
        <v>0</v>
      </c>
      <c r="AX260" s="405">
        <f t="shared" si="140"/>
        <v>0</v>
      </c>
      <c r="AY260" s="405">
        <f t="shared" si="141"/>
        <v>0</v>
      </c>
    </row>
    <row r="261" spans="2:51" ht="13.5" thickBot="1" x14ac:dyDescent="0.25">
      <c r="B261" s="345">
        <v>16218</v>
      </c>
      <c r="C261" s="728" t="str">
        <f t="shared" si="124"/>
        <v>2.2271548443541</v>
      </c>
      <c r="D261" s="728" t="str">
        <f t="shared" si="125"/>
        <v>1+12.3979184162737i</v>
      </c>
      <c r="E261" s="337">
        <f t="shared" si="143"/>
        <v>12.438182385564966</v>
      </c>
      <c r="F261" s="338">
        <f t="shared" si="144"/>
        <v>1.4903118628868866</v>
      </c>
      <c r="G261" s="338" t="str">
        <f t="shared" si="126"/>
        <v>1+0.0509503496559195i</v>
      </c>
      <c r="H261" s="337">
        <f t="shared" si="145"/>
        <v>1.0012971277947722</v>
      </c>
      <c r="I261" s="338">
        <f t="shared" si="146"/>
        <v>5.0906330213517412E-2</v>
      </c>
      <c r="J261" s="340">
        <f t="shared" si="127"/>
        <v>1</v>
      </c>
      <c r="K261" s="338">
        <f t="shared" si="147"/>
        <v>1</v>
      </c>
      <c r="L261" s="339">
        <f t="shared" si="148"/>
        <v>0</v>
      </c>
      <c r="M261" s="731" t="str">
        <f t="shared" si="128"/>
        <v>0.9883100656+0.21964143546321i</v>
      </c>
      <c r="N261" s="338">
        <f t="shared" si="149"/>
        <v>1.0124224147748881</v>
      </c>
      <c r="O261" s="339">
        <f t="shared" si="150"/>
        <v>0.21868531471542466</v>
      </c>
      <c r="P261" s="732" t="str">
        <f t="shared" si="142"/>
        <v>-0.0154393842721919-0.176415959191481i</v>
      </c>
      <c r="Q261" s="337">
        <f t="shared" si="151"/>
        <v>0.17709027427883975</v>
      </c>
      <c r="R261" s="339">
        <f t="shared" si="152"/>
        <v>-1.6580908473887939</v>
      </c>
      <c r="S261" s="731" t="str">
        <f t="shared" si="129"/>
        <v>6000</v>
      </c>
      <c r="T261" s="337" t="str">
        <f t="shared" si="130"/>
        <v>1+102919.706304957i</v>
      </c>
      <c r="U261" s="346">
        <f t="shared" si="153"/>
        <v>102919.70630981516</v>
      </c>
      <c r="V261" s="347">
        <f t="shared" si="154"/>
        <v>1.5707866104826773</v>
      </c>
      <c r="W261" s="340" t="str">
        <f t="shared" si="131"/>
        <v>1+1019.00699311839i</v>
      </c>
      <c r="X261" s="337">
        <f t="shared" si="155"/>
        <v>1019.0074837920389</v>
      </c>
      <c r="Y261" s="339">
        <f t="shared" si="156"/>
        <v>1.5698149795757519</v>
      </c>
      <c r="Z261" s="337" t="str">
        <f t="shared" si="132"/>
        <v>1+10.2649222388762i</v>
      </c>
      <c r="AA261" s="346">
        <f t="shared" si="157"/>
        <v>10.313516789639467</v>
      </c>
      <c r="AB261" s="347">
        <f t="shared" si="158"/>
        <v>1.4736836188238296</v>
      </c>
      <c r="AC261" s="732" t="str">
        <f t="shared" si="159"/>
        <v>0.552920948505055-5.73341120729521i</v>
      </c>
      <c r="AD261" s="337">
        <f t="shared" si="160"/>
        <v>5.7600109068676293</v>
      </c>
      <c r="AE261" s="339">
        <f t="shared" si="161"/>
        <v>-1.474655249730755</v>
      </c>
      <c r="AF261" s="736" t="str">
        <f t="shared" si="133"/>
        <v>-1.02000199657029-0.00902374066766033i</v>
      </c>
      <c r="AG261" s="337">
        <f t="shared" si="162"/>
        <v>0.17236032724785386</v>
      </c>
      <c r="AH261" s="730">
        <f t="shared" si="163"/>
        <v>-179.49312965103084</v>
      </c>
      <c r="AI261" s="360">
        <f t="shared" si="134"/>
        <v>0.50687034896915861</v>
      </c>
      <c r="AL261" s="337">
        <f t="shared" si="135"/>
        <v>15.208466115644594</v>
      </c>
      <c r="AM261" s="730">
        <f t="shared" si="136"/>
        <v>-84.491522046382684</v>
      </c>
      <c r="AN261" s="351"/>
      <c r="AO261" s="337">
        <f t="shared" si="137"/>
        <v>38.493016696645356</v>
      </c>
      <c r="AP261" s="730">
        <f t="shared" si="138"/>
        <v>-95.001607604648171</v>
      </c>
      <c r="AS261" s="351"/>
      <c r="AT261" s="351"/>
      <c r="AV261" s="405">
        <f t="shared" si="139"/>
        <v>0</v>
      </c>
      <c r="AW261" s="405">
        <f t="shared" si="164"/>
        <v>0</v>
      </c>
      <c r="AX261" s="405">
        <f t="shared" si="140"/>
        <v>0</v>
      </c>
      <c r="AY261" s="405">
        <f t="shared" si="141"/>
        <v>0</v>
      </c>
    </row>
    <row r="262" spans="2:51" ht="13.5" thickBot="1" x14ac:dyDescent="0.25">
      <c r="B262" s="345">
        <v>16312.5</v>
      </c>
      <c r="C262" s="728" t="str">
        <f t="shared" si="124"/>
        <v>2.2271548443541</v>
      </c>
      <c r="D262" s="728" t="str">
        <f t="shared" si="125"/>
        <v>1+12.470159339343i</v>
      </c>
      <c r="E262" s="337">
        <f t="shared" si="143"/>
        <v>12.51019080384482</v>
      </c>
      <c r="F262" s="338">
        <f t="shared" si="144"/>
        <v>1.490776124149215</v>
      </c>
      <c r="G262" s="338" t="str">
        <f t="shared" si="126"/>
        <v>1+0.0512472301616835i</v>
      </c>
      <c r="H262" s="337">
        <f t="shared" si="145"/>
        <v>1.0013122782625032</v>
      </c>
      <c r="I262" s="338">
        <f t="shared" si="146"/>
        <v>5.1202437555296833E-2</v>
      </c>
      <c r="J262" s="340">
        <f t="shared" si="127"/>
        <v>1</v>
      </c>
      <c r="K262" s="338">
        <f t="shared" si="147"/>
        <v>1</v>
      </c>
      <c r="L262" s="339">
        <f t="shared" si="148"/>
        <v>0</v>
      </c>
      <c r="M262" s="731" t="str">
        <f t="shared" si="128"/>
        <v>0.9881734375+0.220921255148205i</v>
      </c>
      <c r="N262" s="338">
        <f t="shared" si="149"/>
        <v>1.0125675007409751</v>
      </c>
      <c r="O262" s="339">
        <f t="shared" si="150"/>
        <v>0.2199484208192661</v>
      </c>
      <c r="P262" s="732" t="str">
        <f t="shared" si="142"/>
        <v>-0.0155995439654516-0.17535588620172i</v>
      </c>
      <c r="Q262" s="337">
        <f t="shared" si="151"/>
        <v>0.17604838141124909</v>
      </c>
      <c r="R262" s="339">
        <f t="shared" si="152"/>
        <v>-1.6595221074131843</v>
      </c>
      <c r="S262" s="731" t="str">
        <f t="shared" si="129"/>
        <v>6000</v>
      </c>
      <c r="T262" s="337" t="str">
        <f t="shared" si="130"/>
        <v>1+103519.404926601i</v>
      </c>
      <c r="U262" s="346">
        <f t="shared" si="153"/>
        <v>103519.40493143101</v>
      </c>
      <c r="V262" s="347">
        <f t="shared" si="154"/>
        <v>1.5707866667702792</v>
      </c>
      <c r="W262" s="340" t="str">
        <f t="shared" si="131"/>
        <v>1+1024.94460323367i</v>
      </c>
      <c r="X262" s="337">
        <f t="shared" si="155"/>
        <v>1024.945091064797</v>
      </c>
      <c r="Y262" s="339">
        <f t="shared" si="156"/>
        <v>1.5698206646180928</v>
      </c>
      <c r="Z262" s="337" t="str">
        <f t="shared" si="132"/>
        <v>1+10.3247344938752i</v>
      </c>
      <c r="AA262" s="346">
        <f t="shared" si="157"/>
        <v>10.373048846362209</v>
      </c>
      <c r="AB262" s="347">
        <f t="shared" si="158"/>
        <v>1.4742427027365659</v>
      </c>
      <c r="AC262" s="732" t="str">
        <f t="shared" si="159"/>
        <v>0.546592613158648-5.70080989202869i</v>
      </c>
      <c r="AD262" s="337">
        <f t="shared" si="160"/>
        <v>5.7269535452814493</v>
      </c>
      <c r="AE262" s="339">
        <f t="shared" si="161"/>
        <v>-1.4752087048887521</v>
      </c>
      <c r="AF262" s="736" t="str">
        <f t="shared" si="133"/>
        <v>-1.00819716618438-0.00691819752236571i</v>
      </c>
      <c r="AG262" s="337">
        <f t="shared" si="162"/>
        <v>7.1113936572484604E-2</v>
      </c>
      <c r="AH262" s="730">
        <f t="shared" si="163"/>
        <v>-179.60684545451721</v>
      </c>
      <c r="AI262" s="360">
        <f t="shared" si="134"/>
        <v>0.39315454548278694</v>
      </c>
      <c r="AL262" s="337">
        <f t="shared" si="135"/>
        <v>15.158473206147322</v>
      </c>
      <c r="AM262" s="730">
        <f t="shared" si="136"/>
        <v>-84.523232691085667</v>
      </c>
      <c r="AN262" s="351"/>
      <c r="AO262" s="337">
        <f t="shared" si="137"/>
        <v>38.441763215467319</v>
      </c>
      <c r="AP262" s="730">
        <f t="shared" si="138"/>
        <v>-95.083612763431532</v>
      </c>
      <c r="AS262" s="351"/>
      <c r="AT262" s="351"/>
      <c r="AV262" s="405">
        <f t="shared" si="139"/>
        <v>16312.5</v>
      </c>
      <c r="AW262" s="405">
        <f t="shared" si="164"/>
        <v>0.39315454548278694</v>
      </c>
      <c r="AX262" s="405">
        <f t="shared" si="140"/>
        <v>0</v>
      </c>
      <c r="AY262" s="405">
        <f t="shared" si="141"/>
        <v>0</v>
      </c>
    </row>
    <row r="263" spans="2:51" ht="13.5" thickBot="1" x14ac:dyDescent="0.25">
      <c r="B263" s="345">
        <v>16407</v>
      </c>
      <c r="C263" s="728" t="str">
        <f t="shared" si="124"/>
        <v>2.2271548443541</v>
      </c>
      <c r="D263" s="728" t="str">
        <f t="shared" si="125"/>
        <v>1+12.5424002624122i</v>
      </c>
      <c r="E263" s="337">
        <f t="shared" si="143"/>
        <v>12.582201887688722</v>
      </c>
      <c r="F263" s="338">
        <f t="shared" si="144"/>
        <v>1.4912350713432123</v>
      </c>
      <c r="G263" s="338" t="str">
        <f t="shared" si="126"/>
        <v>1+0.0515441106674475i</v>
      </c>
      <c r="H263" s="337">
        <f t="shared" si="145"/>
        <v>1.0013275165221907</v>
      </c>
      <c r="I263" s="338">
        <f t="shared" si="146"/>
        <v>5.1498535910680279E-2</v>
      </c>
      <c r="J263" s="340">
        <f t="shared" si="127"/>
        <v>1</v>
      </c>
      <c r="K263" s="338">
        <f t="shared" si="147"/>
        <v>1</v>
      </c>
      <c r="L263" s="339">
        <f t="shared" si="148"/>
        <v>0</v>
      </c>
      <c r="M263" s="731" t="str">
        <f t="shared" si="128"/>
        <v>0.9880360156+0.222201074833201i</v>
      </c>
      <c r="N263" s="338">
        <f t="shared" si="149"/>
        <v>1.0127134272733591</v>
      </c>
      <c r="O263" s="339">
        <f t="shared" si="150"/>
        <v>0.22121133497443152</v>
      </c>
      <c r="P263" s="732" t="str">
        <f t="shared" si="142"/>
        <v>-0.0157568020853483-0.174307522117391i</v>
      </c>
      <c r="Q263" s="337">
        <f t="shared" si="151"/>
        <v>0.17501825355848341</v>
      </c>
      <c r="R263" s="339">
        <f t="shared" si="152"/>
        <v>-1.6609478704069636</v>
      </c>
      <c r="S263" s="731" t="str">
        <f t="shared" si="129"/>
        <v>6000</v>
      </c>
      <c r="T263" s="337" t="str">
        <f t="shared" si="130"/>
        <v>1+104119.103548244i</v>
      </c>
      <c r="U263" s="346">
        <f t="shared" si="153"/>
        <v>104119.10355304621</v>
      </c>
      <c r="V263" s="347">
        <f t="shared" si="154"/>
        <v>1.5707867224094776</v>
      </c>
      <c r="W263" s="340" t="str">
        <f t="shared" si="131"/>
        <v>1+1030.88221334895i</v>
      </c>
      <c r="X263" s="337">
        <f t="shared" si="155"/>
        <v>1030.8826983702995</v>
      </c>
      <c r="Y263" s="339">
        <f t="shared" si="156"/>
        <v>1.5698262841718016</v>
      </c>
      <c r="Z263" s="337" t="str">
        <f t="shared" si="132"/>
        <v>1+10.3845467488741i</v>
      </c>
      <c r="AA263" s="346">
        <f t="shared" si="157"/>
        <v>10.432584108434098</v>
      </c>
      <c r="AB263" s="347">
        <f t="shared" si="158"/>
        <v>1.4747954058112851</v>
      </c>
      <c r="AC263" s="732" t="str">
        <f t="shared" si="159"/>
        <v>0.540371971633636-5.66857375617223i</v>
      </c>
      <c r="AD263" s="337">
        <f t="shared" si="160"/>
        <v>5.6942717090855242</v>
      </c>
      <c r="AE263" s="339">
        <f t="shared" si="161"/>
        <v>-1.4757558440489609</v>
      </c>
      <c r="AF263" s="736" t="str">
        <f t="shared" si="133"/>
        <v>-0.996589579587554-0.00487230461494295i</v>
      </c>
      <c r="AG263" s="337">
        <f t="shared" si="162"/>
        <v>-2.9569358822296499E-2</v>
      </c>
      <c r="AH263" s="730">
        <f t="shared" si="163"/>
        <v>-179.71988442133298</v>
      </c>
      <c r="AI263" s="360">
        <f t="shared" si="134"/>
        <v>0.28011557866702219</v>
      </c>
      <c r="AL263" s="337">
        <f t="shared" si="135"/>
        <v>15.108763723873038</v>
      </c>
      <c r="AM263" s="730">
        <f t="shared" si="136"/>
        <v>-84.554581455771967</v>
      </c>
      <c r="AN263" s="351"/>
      <c r="AO263" s="337">
        <f t="shared" si="137"/>
        <v>38.390789402346797</v>
      </c>
      <c r="AP263" s="730">
        <f t="shared" si="138"/>
        <v>-95.165302965561011</v>
      </c>
      <c r="AS263" s="351"/>
      <c r="AT263" s="351"/>
      <c r="AV263" s="405">
        <f t="shared" si="139"/>
        <v>0</v>
      </c>
      <c r="AW263" s="405">
        <f t="shared" si="164"/>
        <v>0</v>
      </c>
      <c r="AX263" s="405">
        <f t="shared" si="140"/>
        <v>0</v>
      </c>
      <c r="AY263" s="405">
        <f t="shared" si="141"/>
        <v>0</v>
      </c>
    </row>
    <row r="264" spans="2:51" ht="13.5" thickBot="1" x14ac:dyDescent="0.25">
      <c r="B264" s="345">
        <v>16501.5</v>
      </c>
      <c r="C264" s="728" t="str">
        <f t="shared" si="124"/>
        <v>2.2271548443541</v>
      </c>
      <c r="D264" s="728" t="str">
        <f t="shared" si="125"/>
        <v>1+12.6146411854816i</v>
      </c>
      <c r="E264" s="337">
        <f t="shared" si="143"/>
        <v>12.654215591590361</v>
      </c>
      <c r="F264" s="338">
        <f t="shared" si="144"/>
        <v>1.4916887949991509</v>
      </c>
      <c r="G264" s="338" t="str">
        <f t="shared" si="126"/>
        <v>1+0.051840991173212i</v>
      </c>
      <c r="H264" s="337">
        <f t="shared" si="145"/>
        <v>1.0013428425698268</v>
      </c>
      <c r="I264" s="338">
        <f t="shared" si="146"/>
        <v>5.1794625228159322E-2</v>
      </c>
      <c r="J264" s="340">
        <f t="shared" si="127"/>
        <v>1</v>
      </c>
      <c r="K264" s="338">
        <f t="shared" si="147"/>
        <v>1</v>
      </c>
      <c r="L264" s="339">
        <f t="shared" si="148"/>
        <v>0</v>
      </c>
      <c r="M264" s="731" t="str">
        <f t="shared" si="128"/>
        <v>0.9878977999+0.223480894518198i</v>
      </c>
      <c r="N264" s="338">
        <f t="shared" si="149"/>
        <v>1.0128601943318312</v>
      </c>
      <c r="O264" s="339">
        <f t="shared" si="150"/>
        <v>0.22247405613355703</v>
      </c>
      <c r="P264" s="732" t="str">
        <f t="shared" si="142"/>
        <v>-0.0159112233703341-0.173270671290018i</v>
      </c>
      <c r="Q264" s="337">
        <f t="shared" si="151"/>
        <v>0.17399969125959427</v>
      </c>
      <c r="R264" s="339">
        <f t="shared" si="152"/>
        <v>-1.6623682259045487</v>
      </c>
      <c r="S264" s="731" t="str">
        <f t="shared" si="129"/>
        <v>6000</v>
      </c>
      <c r="T264" s="337" t="str">
        <f t="shared" si="130"/>
        <v>1+104718.802169888i</v>
      </c>
      <c r="U264" s="346">
        <f t="shared" si="153"/>
        <v>104718.80217466272</v>
      </c>
      <c r="V264" s="347">
        <f t="shared" si="154"/>
        <v>1.5707867774114119</v>
      </c>
      <c r="W264" s="340" t="str">
        <f t="shared" si="131"/>
        <v>1+1036.81982346424i</v>
      </c>
      <c r="X264" s="337">
        <f t="shared" si="155"/>
        <v>1036.8203057079938</v>
      </c>
      <c r="Y264" s="339">
        <f t="shared" si="156"/>
        <v>1.5698318393619886</v>
      </c>
      <c r="Z264" s="337" t="str">
        <f t="shared" si="132"/>
        <v>1+10.4443590038732i</v>
      </c>
      <c r="AA264" s="346">
        <f t="shared" si="157"/>
        <v>10.492122521291256</v>
      </c>
      <c r="AB264" s="347">
        <f t="shared" si="158"/>
        <v>1.4753418363331736</v>
      </c>
      <c r="AC264" s="732" t="str">
        <f t="shared" si="159"/>
        <v>0.534256601569702-5.63669675777945i</v>
      </c>
      <c r="AD264" s="337">
        <f t="shared" si="160"/>
        <v>5.66195906515423</v>
      </c>
      <c r="AE264" s="339">
        <f t="shared" si="161"/>
        <v>-1.4762967743825972</v>
      </c>
      <c r="AF264" s="736" t="str">
        <f t="shared" si="133"/>
        <v>-0.985174907203364-0.00288425881123912i</v>
      </c>
      <c r="AG264" s="337">
        <f t="shared" si="162"/>
        <v>-0.12969594280284022</v>
      </c>
      <c r="AH264" s="730">
        <f t="shared" si="163"/>
        <v>-179.83225782188077</v>
      </c>
      <c r="AI264" s="360">
        <f t="shared" si="134"/>
        <v>0.16774217811922654</v>
      </c>
      <c r="AL264" s="337">
        <f t="shared" si="135"/>
        <v>15.059334503542122</v>
      </c>
      <c r="AM264" s="730">
        <f t="shared" si="136"/>
        <v>-84.585574480899936</v>
      </c>
      <c r="AN264" s="351"/>
      <c r="AO264" s="337">
        <f t="shared" si="137"/>
        <v>38.340092038697179</v>
      </c>
      <c r="AP264" s="730">
        <f t="shared" si="138"/>
        <v>-95.246683340980852</v>
      </c>
      <c r="AS264" s="351"/>
      <c r="AT264" s="351"/>
      <c r="AV264" s="405">
        <f t="shared" si="139"/>
        <v>0</v>
      </c>
      <c r="AW264" s="405">
        <f t="shared" si="164"/>
        <v>0</v>
      </c>
      <c r="AX264" s="405">
        <f t="shared" si="140"/>
        <v>0</v>
      </c>
      <c r="AY264" s="405">
        <f t="shared" si="141"/>
        <v>0</v>
      </c>
    </row>
    <row r="265" spans="2:51" ht="13.5" thickBot="1" x14ac:dyDescent="0.25">
      <c r="B265" s="345">
        <v>16596</v>
      </c>
      <c r="C265" s="728" t="str">
        <f t="shared" si="124"/>
        <v>2.2271548443541</v>
      </c>
      <c r="D265" s="728" t="str">
        <f t="shared" si="125"/>
        <v>1+12.6868821085508i</v>
      </c>
      <c r="E265" s="337">
        <f t="shared" si="143"/>
        <v>12.726231871071121</v>
      </c>
      <c r="F265" s="338">
        <f t="shared" si="144"/>
        <v>1.4921373836068119</v>
      </c>
      <c r="G265" s="338" t="str">
        <f t="shared" si="126"/>
        <v>1+0.052137871678976i</v>
      </c>
      <c r="H265" s="337">
        <f t="shared" si="145"/>
        <v>1.0013582564013808</v>
      </c>
      <c r="I265" s="338">
        <f t="shared" si="146"/>
        <v>5.2090705456233483E-2</v>
      </c>
      <c r="J265" s="340">
        <f t="shared" si="127"/>
        <v>1</v>
      </c>
      <c r="K265" s="338">
        <f t="shared" si="147"/>
        <v>1</v>
      </c>
      <c r="L265" s="339">
        <f t="shared" si="148"/>
        <v>0</v>
      </c>
      <c r="M265" s="731" t="str">
        <f t="shared" si="128"/>
        <v>0.9877587904+0.224760714203194i</v>
      </c>
      <c r="N265" s="338">
        <f t="shared" si="149"/>
        <v>1.0130078018759781</v>
      </c>
      <c r="O265" s="339">
        <f t="shared" si="150"/>
        <v>0.22373658325036158</v>
      </c>
      <c r="P265" s="732" t="str">
        <f t="shared" si="142"/>
        <v>-0.0160628707456601-0.172245142386214i</v>
      </c>
      <c r="Q265" s="337">
        <f t="shared" si="151"/>
        <v>0.17299249952595896</v>
      </c>
      <c r="R265" s="339">
        <f t="shared" si="152"/>
        <v>-1.6637832614009398</v>
      </c>
      <c r="S265" s="731" t="str">
        <f t="shared" si="129"/>
        <v>6000</v>
      </c>
      <c r="T265" s="337" t="str">
        <f t="shared" si="130"/>
        <v>1+105318.500791532i</v>
      </c>
      <c r="U265" s="346">
        <f t="shared" si="153"/>
        <v>105318.50079627952</v>
      </c>
      <c r="V265" s="347">
        <f t="shared" si="154"/>
        <v>1.5707868317869687</v>
      </c>
      <c r="W265" s="340" t="str">
        <f t="shared" si="131"/>
        <v>1+1042.75743357952i</v>
      </c>
      <c r="X265" s="337">
        <f t="shared" si="155"/>
        <v>1042.7579130773101</v>
      </c>
      <c r="Y265" s="339">
        <f t="shared" si="156"/>
        <v>1.5698373312881375</v>
      </c>
      <c r="Z265" s="337" t="str">
        <f t="shared" si="132"/>
        <v>1+10.5041712588721i</v>
      </c>
      <c r="AA265" s="346">
        <f t="shared" si="157"/>
        <v>10.551664031597799</v>
      </c>
      <c r="AB265" s="347">
        <f t="shared" si="158"/>
        <v>1.4758821001584397</v>
      </c>
      <c r="AC265" s="732" t="str">
        <f t="shared" si="159"/>
        <v>0.528244148125234-5.60517298609155i</v>
      </c>
      <c r="AD265" s="337">
        <f t="shared" si="160"/>
        <v>5.6300094213099694</v>
      </c>
      <c r="AE265" s="339">
        <f t="shared" si="161"/>
        <v>-1.4768316006572708</v>
      </c>
      <c r="AF265" s="736" t="str">
        <f t="shared" si="133"/>
        <v>-0.973948936562186-0.000952319325861026i</v>
      </c>
      <c r="AG265" s="337">
        <f t="shared" si="162"/>
        <v>-0.22927209320991371</v>
      </c>
      <c r="AH265" s="730">
        <f t="shared" si="163"/>
        <v>-179.94397667199667</v>
      </c>
      <c r="AI265" s="360">
        <f t="shared" si="134"/>
        <v>5.6023328003334427E-2</v>
      </c>
      <c r="AL265" s="337">
        <f t="shared" si="135"/>
        <v>15.010182432087348</v>
      </c>
      <c r="AM265" s="730">
        <f t="shared" si="136"/>
        <v>-84.616217769211431</v>
      </c>
      <c r="AN265" s="351"/>
      <c r="AO265" s="337">
        <f t="shared" si="137"/>
        <v>38.289667959744882</v>
      </c>
      <c r="AP265" s="730">
        <f t="shared" si="138"/>
        <v>-95.327758902785249</v>
      </c>
      <c r="AS265" s="351"/>
      <c r="AT265" s="351"/>
      <c r="AV265" s="405">
        <f t="shared" si="139"/>
        <v>0</v>
      </c>
      <c r="AW265" s="405">
        <f t="shared" si="164"/>
        <v>0</v>
      </c>
      <c r="AX265" s="405">
        <f t="shared" si="140"/>
        <v>0</v>
      </c>
      <c r="AY265" s="405">
        <f t="shared" si="141"/>
        <v>0</v>
      </c>
    </row>
    <row r="266" spans="2:51" ht="13.5" thickBot="1" x14ac:dyDescent="0.25">
      <c r="B266" s="345">
        <v>16692.5</v>
      </c>
      <c r="C266" s="728" t="str">
        <f t="shared" si="124"/>
        <v>2.2271548443541</v>
      </c>
      <c r="D266" s="728" t="str">
        <f t="shared" si="125"/>
        <v>1+12.7606519400449i</v>
      </c>
      <c r="E266" s="337">
        <f t="shared" si="143"/>
        <v>12.79977491735584</v>
      </c>
      <c r="F266" s="338">
        <f t="shared" si="144"/>
        <v>1.4925902568286196</v>
      </c>
      <c r="G266" s="338" t="str">
        <f t="shared" si="126"/>
        <v>1+0.0524410353700475i</v>
      </c>
      <c r="H266" s="337">
        <f t="shared" si="145"/>
        <v>1.0013740870377477</v>
      </c>
      <c r="I266" s="338">
        <f t="shared" si="146"/>
        <v>5.2393042499017779E-2</v>
      </c>
      <c r="J266" s="340">
        <f t="shared" si="127"/>
        <v>1</v>
      </c>
      <c r="K266" s="338">
        <f t="shared" si="147"/>
        <v>1</v>
      </c>
      <c r="L266" s="339">
        <f t="shared" si="148"/>
        <v>0</v>
      </c>
      <c r="M266" s="731" t="str">
        <f t="shared" si="128"/>
        <v>0.987616019722222+0.22606762001909i</v>
      </c>
      <c r="N266" s="338">
        <f t="shared" si="149"/>
        <v>1.0131594007030975</v>
      </c>
      <c r="O266" s="339">
        <f t="shared" si="150"/>
        <v>0.22502562918572902</v>
      </c>
      <c r="P266" s="732" t="str">
        <f t="shared" si="142"/>
        <v>-0.0162149285619716-0.171209398594046i</v>
      </c>
      <c r="Q266" s="337">
        <f t="shared" si="151"/>
        <v>0.17197552754739481</v>
      </c>
      <c r="R266" s="339">
        <f t="shared" si="152"/>
        <v>-1.6652228435153307</v>
      </c>
      <c r="S266" s="731" t="str">
        <f t="shared" si="129"/>
        <v>6000</v>
      </c>
      <c r="T266" s="337" t="str">
        <f t="shared" si="130"/>
        <v>1+105930.891447496i</v>
      </c>
      <c r="U266" s="346">
        <f t="shared" si="153"/>
        <v>105930.89145221606</v>
      </c>
      <c r="V266" s="347">
        <f t="shared" si="154"/>
        <v>1.5707868866779835</v>
      </c>
      <c r="W266" s="340" t="str">
        <f t="shared" si="131"/>
        <v>1+1048.82070740095i</v>
      </c>
      <c r="X266" s="337">
        <f t="shared" si="155"/>
        <v>1048.8211841267457</v>
      </c>
      <c r="Y266" s="339">
        <f t="shared" si="156"/>
        <v>1.5698428752755662</v>
      </c>
      <c r="Z266" s="337" t="str">
        <f t="shared" si="132"/>
        <v>1+10.5652493817018i</v>
      </c>
      <c r="AA266" s="346">
        <f t="shared" si="157"/>
        <v>10.612468821982484</v>
      </c>
      <c r="AB266" s="347">
        <f t="shared" si="158"/>
        <v>1.4764275418371451</v>
      </c>
      <c r="AC266" s="732" t="str">
        <f t="shared" si="159"/>
        <v>0.522208274773191-5.57334055461757i</v>
      </c>
      <c r="AD266" s="337">
        <f t="shared" si="160"/>
        <v>5.5977519076845903</v>
      </c>
      <c r="AE266" s="339">
        <f t="shared" si="161"/>
        <v>-1.4773715532395624</v>
      </c>
      <c r="AF266" s="736" t="str">
        <f t="shared" si="133"/>
        <v>-0.962675854385799+0.000964354279910734i</v>
      </c>
      <c r="AG266" s="337">
        <f t="shared" si="162"/>
        <v>-0.33039406034957952</v>
      </c>
      <c r="AH266" s="730">
        <f t="shared" si="163"/>
        <v>179.9426043444837</v>
      </c>
      <c r="AI266" s="360">
        <f t="shared" si="134"/>
        <v>-5.7395655516302213E-2</v>
      </c>
      <c r="AL266" s="337">
        <f t="shared" si="135"/>
        <v>14.960272932580787</v>
      </c>
      <c r="AM266" s="730">
        <f t="shared" si="136"/>
        <v>-84.647154773313929</v>
      </c>
      <c r="AN266" s="351"/>
      <c r="AO266" s="337">
        <f t="shared" si="137"/>
        <v>38.238455492111768</v>
      </c>
      <c r="AP266" s="730">
        <f t="shared" si="138"/>
        <v>-95.410240882202373</v>
      </c>
      <c r="AS266" s="351"/>
      <c r="AT266" s="351"/>
      <c r="AV266" s="405">
        <f t="shared" si="139"/>
        <v>0</v>
      </c>
      <c r="AW266" s="405">
        <f t="shared" si="164"/>
        <v>0</v>
      </c>
      <c r="AX266" s="405">
        <f t="shared" si="140"/>
        <v>0</v>
      </c>
      <c r="AY266" s="405">
        <f t="shared" si="141"/>
        <v>0</v>
      </c>
    </row>
    <row r="267" spans="2:51" ht="13.5" thickBot="1" x14ac:dyDescent="0.25">
      <c r="B267" s="345">
        <v>16789</v>
      </c>
      <c r="C267" s="728" t="str">
        <f t="shared" si="124"/>
        <v>2.2271548443541</v>
      </c>
      <c r="D267" s="728" t="str">
        <f t="shared" si="125"/>
        <v>1+12.834421771539i</v>
      </c>
      <c r="E267" s="337">
        <f t="shared" si="143"/>
        <v>12.873320558805109</v>
      </c>
      <c r="F267" s="338">
        <f t="shared" si="144"/>
        <v>1.4930379555865365</v>
      </c>
      <c r="G267" s="338" t="str">
        <f t="shared" si="126"/>
        <v>1+0.052744199061119i</v>
      </c>
      <c r="H267" s="337">
        <f t="shared" si="145"/>
        <v>1.0013900092045052</v>
      </c>
      <c r="I267" s="338">
        <f t="shared" si="146"/>
        <v>5.2695369955078827E-2</v>
      </c>
      <c r="J267" s="340">
        <f t="shared" si="127"/>
        <v>1</v>
      </c>
      <c r="K267" s="338">
        <f t="shared" si="147"/>
        <v>1</v>
      </c>
      <c r="L267" s="339">
        <f t="shared" si="148"/>
        <v>0</v>
      </c>
      <c r="M267" s="731" t="str">
        <f t="shared" si="128"/>
        <v>0.987472421288889+0.227374525834986i</v>
      </c>
      <c r="N267" s="338">
        <f t="shared" si="149"/>
        <v>1.0133118758826551</v>
      </c>
      <c r="O267" s="339">
        <f t="shared" si="150"/>
        <v>0.22631447057674992</v>
      </c>
      <c r="P267" s="732" t="str">
        <f t="shared" si="142"/>
        <v>-0.0163642209115399-0.170185071029103i</v>
      </c>
      <c r="Q267" s="337">
        <f t="shared" si="151"/>
        <v>0.1709700152869576</v>
      </c>
      <c r="R267" s="339">
        <f t="shared" si="152"/>
        <v>-1.6666570562082077</v>
      </c>
      <c r="S267" s="731" t="str">
        <f t="shared" si="129"/>
        <v>6000</v>
      </c>
      <c r="T267" s="337" t="str">
        <f t="shared" si="130"/>
        <v>1+106543.28210346i</v>
      </c>
      <c r="U267" s="346">
        <f t="shared" si="153"/>
        <v>106543.28210815294</v>
      </c>
      <c r="V267" s="347">
        <f t="shared" si="154"/>
        <v>1.570786940937992</v>
      </c>
      <c r="W267" s="340" t="str">
        <f t="shared" si="131"/>
        <v>1+1054.88398122238i</v>
      </c>
      <c r="X267" s="337">
        <f t="shared" si="155"/>
        <v>1054.8844552080473</v>
      </c>
      <c r="Y267" s="339">
        <f t="shared" si="156"/>
        <v>1.569848355531468</v>
      </c>
      <c r="Z267" s="337" t="str">
        <f t="shared" si="132"/>
        <v>1+10.6263275045315i</v>
      </c>
      <c r="AA267" s="346">
        <f t="shared" si="157"/>
        <v>10.673276733672873</v>
      </c>
      <c r="AB267" s="347">
        <f t="shared" si="158"/>
        <v>1.4769667686818784</v>
      </c>
      <c r="AC267" s="732" t="str">
        <f t="shared" si="159"/>
        <v>0.516274963010657-5.54186440510781i</v>
      </c>
      <c r="AD267" s="337">
        <f t="shared" si="160"/>
        <v>5.5658603038553354</v>
      </c>
      <c r="AE267" s="339">
        <f t="shared" si="161"/>
        <v>-1.4779053540884024</v>
      </c>
      <c r="AF267" s="736" t="str">
        <f t="shared" si="133"/>
        <v>-0.951591024962734+0.00282600213646766i</v>
      </c>
      <c r="AG267" s="337">
        <f t="shared" si="162"/>
        <v>-0.4309549517872025</v>
      </c>
      <c r="AH267" s="730">
        <f t="shared" si="163"/>
        <v>179.82984547451872</v>
      </c>
      <c r="AI267" s="360">
        <f t="shared" si="134"/>
        <v>-0.17015452548127996</v>
      </c>
      <c r="AL267" s="337">
        <f t="shared" si="135"/>
        <v>14.910646037710659</v>
      </c>
      <c r="AM267" s="730">
        <f t="shared" si="136"/>
        <v>-84.677739309052967</v>
      </c>
      <c r="AN267" s="351"/>
      <c r="AO267" s="337">
        <f t="shared" si="137"/>
        <v>38.187521495544274</v>
      </c>
      <c r="AP267" s="730">
        <f t="shared" si="138"/>
        <v>-95.492415216428327</v>
      </c>
      <c r="AS267" s="351"/>
      <c r="AT267" s="351"/>
      <c r="AV267" s="405">
        <f t="shared" si="139"/>
        <v>0</v>
      </c>
      <c r="AW267" s="405">
        <f t="shared" si="164"/>
        <v>0</v>
      </c>
      <c r="AX267" s="405">
        <f t="shared" si="140"/>
        <v>0</v>
      </c>
      <c r="AY267" s="405">
        <f t="shared" si="141"/>
        <v>0</v>
      </c>
    </row>
    <row r="268" spans="2:51" ht="13.5" thickBot="1" x14ac:dyDescent="0.25">
      <c r="B268" s="345">
        <v>16885.5</v>
      </c>
      <c r="C268" s="728" t="str">
        <f t="shared" si="124"/>
        <v>2.2271548443541</v>
      </c>
      <c r="D268" s="728" t="str">
        <f t="shared" si="125"/>
        <v>1+12.908191603033i</v>
      </c>
      <c r="E268" s="337">
        <f t="shared" si="143"/>
        <v>12.946868751192762</v>
      </c>
      <c r="F268" s="338">
        <f t="shared" si="144"/>
        <v>1.4934805678843757</v>
      </c>
      <c r="G268" s="338" t="str">
        <f t="shared" si="126"/>
        <v>1+0.0530473627521905i</v>
      </c>
      <c r="H268" s="337">
        <f t="shared" si="145"/>
        <v>1.0014060228972874</v>
      </c>
      <c r="I268" s="338">
        <f t="shared" si="146"/>
        <v>5.2997687769608622E-2</v>
      </c>
      <c r="J268" s="340">
        <f t="shared" si="127"/>
        <v>1</v>
      </c>
      <c r="K268" s="338">
        <f t="shared" si="147"/>
        <v>1</v>
      </c>
      <c r="L268" s="339">
        <f t="shared" si="148"/>
        <v>0</v>
      </c>
      <c r="M268" s="731" t="str">
        <f t="shared" si="128"/>
        <v>0.9873279951+0.228681431650883i</v>
      </c>
      <c r="N268" s="338">
        <f t="shared" si="149"/>
        <v>1.0134652273709657</v>
      </c>
      <c r="O268" s="339">
        <f t="shared" si="150"/>
        <v>0.22760310631283603</v>
      </c>
      <c r="P268" s="732" t="str">
        <f t="shared" si="142"/>
        <v>-0.0165108093304884-0.169171969133206i</v>
      </c>
      <c r="Q268" s="337">
        <f t="shared" si="151"/>
        <v>0.16997576875882675</v>
      </c>
      <c r="R268" s="339">
        <f t="shared" si="152"/>
        <v>-1.6680859864276028</v>
      </c>
      <c r="S268" s="731" t="str">
        <f t="shared" si="129"/>
        <v>6000</v>
      </c>
      <c r="T268" s="337" t="str">
        <f t="shared" si="130"/>
        <v>1+107155.672759425i</v>
      </c>
      <c r="U268" s="346">
        <f t="shared" si="153"/>
        <v>107155.67276409111</v>
      </c>
      <c r="V268" s="347">
        <f t="shared" si="154"/>
        <v>1.5707869945778126</v>
      </c>
      <c r="W268" s="340" t="str">
        <f t="shared" si="131"/>
        <v>1+1060.94725504381i</v>
      </c>
      <c r="X268" s="337">
        <f t="shared" si="155"/>
        <v>1060.9477263206679</v>
      </c>
      <c r="Y268" s="339">
        <f t="shared" si="156"/>
        <v>1.5698537731485112</v>
      </c>
      <c r="Z268" s="337" t="str">
        <f t="shared" si="132"/>
        <v>1+10.6874056273612i</v>
      </c>
      <c r="AA268" s="346">
        <f t="shared" si="157"/>
        <v>10.73408771362298</v>
      </c>
      <c r="AB268" s="347">
        <f t="shared" si="158"/>
        <v>1.4774998860015924</v>
      </c>
      <c r="AC268" s="732" t="str">
        <f t="shared" si="159"/>
        <v>0.510441909061117-5.51073864470774i</v>
      </c>
      <c r="AD268" s="337">
        <f t="shared" si="160"/>
        <v>5.5343284464152696</v>
      </c>
      <c r="AE268" s="339">
        <f t="shared" si="161"/>
        <v>-1.4784331074308938</v>
      </c>
      <c r="AF268" s="736" t="str">
        <f t="shared" si="133"/>
        <v>-0.940690316938462+0.00463429214894152i</v>
      </c>
      <c r="AG268" s="337">
        <f t="shared" si="162"/>
        <v>-0.53096112496522285</v>
      </c>
      <c r="AH268" s="730">
        <f t="shared" si="163"/>
        <v>179.71773576458</v>
      </c>
      <c r="AI268" s="360">
        <f t="shared" si="134"/>
        <v>-0.28226423542000134</v>
      </c>
      <c r="AL268" s="337">
        <f t="shared" si="135"/>
        <v>14.861298593868666</v>
      </c>
      <c r="AM268" s="730">
        <f t="shared" si="136"/>
        <v>-84.707977348201638</v>
      </c>
      <c r="AN268" s="351"/>
      <c r="AO268" s="337">
        <f t="shared" si="137"/>
        <v>38.136862766208253</v>
      </c>
      <c r="AP268" s="730">
        <f t="shared" si="138"/>
        <v>-95.574286887218364</v>
      </c>
      <c r="AS268" s="351"/>
      <c r="AT268" s="351"/>
      <c r="AV268" s="405">
        <f t="shared" si="139"/>
        <v>0</v>
      </c>
      <c r="AW268" s="405">
        <f t="shared" si="164"/>
        <v>0</v>
      </c>
      <c r="AX268" s="405">
        <f t="shared" si="140"/>
        <v>0</v>
      </c>
      <c r="AY268" s="405">
        <f t="shared" si="141"/>
        <v>0</v>
      </c>
    </row>
    <row r="269" spans="2:51" ht="13.5" thickBot="1" x14ac:dyDescent="0.25">
      <c r="B269" s="345">
        <v>16982</v>
      </c>
      <c r="C269" s="728" t="str">
        <f t="shared" ref="C269:C332" si="165">COMPLEX(Am*Afb,0)</f>
        <v>2.2271548443541</v>
      </c>
      <c r="D269" s="728" t="str">
        <f t="shared" ref="D269:D332" si="166">IMSUM(COMPLEX(1,0),IMDIV(COMPLEX(0,2*PI()*B269),COMPLEX(2*PI()*PS_Pole1,0)))</f>
        <v>1+12.9819614345271i</v>
      </c>
      <c r="E269" s="337">
        <f t="shared" si="143"/>
        <v>13.020419451290691</v>
      </c>
      <c r="F269" s="338">
        <f t="shared" si="144"/>
        <v>1.4939181797455368</v>
      </c>
      <c r="G269" s="338" t="str">
        <f t="shared" ref="G269:G332" si="167">IMSUM(COMPLEX(1,0),IMDIV(COMPLEX(0,2*PI()*B269),COMPLEX(2*PI()*PS_Zero1,0)))</f>
        <v>1+0.053350526443262i</v>
      </c>
      <c r="H269" s="337">
        <f t="shared" si="145"/>
        <v>1.0014221281117035</v>
      </c>
      <c r="I269" s="338">
        <f t="shared" si="146"/>
        <v>5.329999588780971E-2</v>
      </c>
      <c r="J269" s="340">
        <f t="shared" ref="J269:J332" si="168">IF(VIN_nom&gt;Vout, 1,IMSUB(COMPLEX(1,0),IMDIV(COMPLEX(0,2*PI()*B269),COMPLEX(2*PI()*PS_RHPZ,0))))</f>
        <v>1</v>
      </c>
      <c r="K269" s="338">
        <f t="shared" si="147"/>
        <v>1</v>
      </c>
      <c r="L269" s="339">
        <f t="shared" si="148"/>
        <v>0</v>
      </c>
      <c r="M269" s="731" t="str">
        <f t="shared" ref="M269:M332" si="169">IMSUM(COMPLEX(1,0),IMDIV(COMPLEX(0,2*PI()*B269),COMPLEX(Q*(2*PI()*PS_Pole2/2),0)),IMDIV(IMPOWER(COMPLEX(0,2*PI()*B269),2),IMPOWER(COMPLEX(2*PI()*PS_Pole2/2,0),2)))</f>
        <v>0.987182741155555+0.229988337466779i</v>
      </c>
      <c r="N269" s="338">
        <f t="shared" si="149"/>
        <v>1.0136194551241253</v>
      </c>
      <c r="O269" s="339">
        <f t="shared" si="150"/>
        <v>0.22889153528459852</v>
      </c>
      <c r="P269" s="732" t="str">
        <f t="shared" si="142"/>
        <v>-0.0166547536342038-0.168169906548885i</v>
      </c>
      <c r="Q269" s="337">
        <f t="shared" si="151"/>
        <v>0.1689925983209819</v>
      </c>
      <c r="R269" s="339">
        <f t="shared" si="152"/>
        <v>-1.669509719142326</v>
      </c>
      <c r="S269" s="731" t="str">
        <f t="shared" ref="S269:S332" si="170">COMPLEX(AEA,0)</f>
        <v>6000</v>
      </c>
      <c r="T269" s="337" t="str">
        <f t="shared" ref="T269:T332" si="171">IMSUM(COMPLEX(1,0),IMDIV(COMPLEX(0,2*PI()*B269),COMPLEX(2*PI()*EA_Pole1,0)))</f>
        <v>1+107768.063415389i</v>
      </c>
      <c r="U269" s="346">
        <f t="shared" si="153"/>
        <v>107768.0634200286</v>
      </c>
      <c r="V269" s="347">
        <f t="shared" si="154"/>
        <v>1.5707870476080181</v>
      </c>
      <c r="W269" s="340" t="str">
        <f t="shared" ref="W269:W332" si="172">IMSUM(COMPLEX(1,0),IMDIV(COMPLEX(0,2*PI()*B269),COMPLEX(2*PI()*EA_Zero1,0)))</f>
        <v>1+1067.01052886524i</v>
      </c>
      <c r="X269" s="337">
        <f t="shared" si="155"/>
        <v>1067.0109974640745</v>
      </c>
      <c r="Y269" s="339">
        <f t="shared" si="156"/>
        <v>1.5698591291945283</v>
      </c>
      <c r="Z269" s="337" t="str">
        <f t="shared" ref="Z269:Z332" si="173">IMSUM(COMPLEX(1,0),IMDIV(COMPLEX(0,2*PI()*B269),COMPLEX(2*PI()*EA_Pole2,0)))</f>
        <v>1+10.7484837501909i</v>
      </c>
      <c r="AA269" s="346">
        <f t="shared" si="157"/>
        <v>10.794901709979477</v>
      </c>
      <c r="AB269" s="347">
        <f t="shared" si="158"/>
        <v>1.4780269967462434</v>
      </c>
      <c r="AC269" s="732" t="str">
        <f t="shared" si="159"/>
        <v>0.50470687328342-5.4799575085402i</v>
      </c>
      <c r="AD269" s="337">
        <f t="shared" si="160"/>
        <v>5.5031503089908105</v>
      </c>
      <c r="AE269" s="339">
        <f t="shared" si="161"/>
        <v>-1.4789549151597332</v>
      </c>
      <c r="AF269" s="736" t="str">
        <f t="shared" ref="AF269:AF332" si="174">IMPRODUCT(P269,AC269)</f>
        <v>-0.929969710735091+0.0063908345159896i</v>
      </c>
      <c r="AG269" s="337">
        <f t="shared" si="162"/>
        <v>-0.63041883179741509</v>
      </c>
      <c r="AH269" s="730">
        <f t="shared" si="163"/>
        <v>179.60626450829184</v>
      </c>
      <c r="AI269" s="360">
        <f t="shared" ref="AI269:AI332" si="175">IF(AH269&gt;0,AH269-180,AH269+180)</f>
        <v>-0.39373549170815636</v>
      </c>
      <c r="AL269" s="337">
        <f t="shared" ref="AL269:AL332" si="176">20*LOG10(IMABS(AC269))</f>
        <v>14.812227499449728</v>
      </c>
      <c r="AM269" s="730">
        <f t="shared" ref="AM269:AM332" si="177">(180/PI())*IMARGUMENT(AC269)</f>
        <v>-84.737874728781449</v>
      </c>
      <c r="AN269" s="351"/>
      <c r="AO269" s="337">
        <f t="shared" ref="AO269:AO332" si="178">20*LOG10(IMABS(IMPRODUCT(COMPLEX(Am/Afb,0),P269)))</f>
        <v>38.08647615379499</v>
      </c>
      <c r="AP269" s="730">
        <f t="shared" ref="AP269:AP332" si="179">180/PI()*IMARGUMENT(IMPRODUCT(COMPLEX(Am/Afb,0),P269))</f>
        <v>-95.655860762926707</v>
      </c>
      <c r="AS269" s="351"/>
      <c r="AT269" s="351"/>
      <c r="AV269" s="405">
        <f t="shared" ref="AV269:AV332" si="180">SUM((AG270&lt;0)*(AG269&gt;0))*B269</f>
        <v>0</v>
      </c>
      <c r="AW269" s="405">
        <f t="shared" si="164"/>
        <v>0</v>
      </c>
      <c r="AX269" s="405">
        <f t="shared" ref="AX269:AX332" si="181">SUM((AL270&lt;0)*(AL269&gt;0))*B269</f>
        <v>0</v>
      </c>
      <c r="AY269" s="405">
        <f t="shared" ref="AY269:AY332" si="182">IF(AX269&gt;0,AM269,0)</f>
        <v>0</v>
      </c>
    </row>
    <row r="270" spans="2:51" ht="13.5" thickBot="1" x14ac:dyDescent="0.25">
      <c r="B270" s="345">
        <v>17081</v>
      </c>
      <c r="C270" s="728" t="str">
        <f t="shared" si="165"/>
        <v>2.2271548443541</v>
      </c>
      <c r="D270" s="728" t="str">
        <f t="shared" si="166"/>
        <v>1+13.0576424015521i</v>
      </c>
      <c r="E270" s="337">
        <f t="shared" si="143"/>
        <v>13.095878171654288</v>
      </c>
      <c r="F270" s="338">
        <f t="shared" si="144"/>
        <v>1.4943620204058252</v>
      </c>
      <c r="G270" s="338" t="str">
        <f t="shared" si="167"/>
        <v>1+0.0536615441159675i</v>
      </c>
      <c r="H270" s="337">
        <f t="shared" si="145"/>
        <v>1.0014387456639122</v>
      </c>
      <c r="I270" s="338">
        <f t="shared" si="146"/>
        <v>5.3610125688735757E-2</v>
      </c>
      <c r="J270" s="340">
        <f t="shared" si="168"/>
        <v>1</v>
      </c>
      <c r="K270" s="338">
        <f t="shared" si="147"/>
        <v>1</v>
      </c>
      <c r="L270" s="339">
        <f t="shared" si="148"/>
        <v>0</v>
      </c>
      <c r="M270" s="731" t="str">
        <f t="shared" si="169"/>
        <v>0.987032863955555+0.2313291009463i</v>
      </c>
      <c r="N270" s="338">
        <f t="shared" si="149"/>
        <v>1.0137785889793336</v>
      </c>
      <c r="O270" s="339">
        <f t="shared" si="150"/>
        <v>0.2302131272151246</v>
      </c>
      <c r="P270" s="732" t="str">
        <f t="shared" ref="P270:P333" si="183">(IMDIV(IMPRODUCT(C270,G270,J270),IMPRODUCT(D270,M270)))</f>
        <v>-0.0167997402540262-0.167153164775052i</v>
      </c>
      <c r="Q270" s="337">
        <f t="shared" si="151"/>
        <v>0.16799527304932846</v>
      </c>
      <c r="R270" s="339">
        <f t="shared" si="152"/>
        <v>-1.6709650219322139</v>
      </c>
      <c r="S270" s="731" t="str">
        <f t="shared" si="170"/>
        <v>6000</v>
      </c>
      <c r="T270" s="337" t="str">
        <f t="shared" si="171"/>
        <v>1+108396.319114254i</v>
      </c>
      <c r="U270" s="346">
        <f t="shared" si="153"/>
        <v>108396.3191188667</v>
      </c>
      <c r="V270" s="347">
        <f t="shared" si="154"/>
        <v>1.5707871013893835</v>
      </c>
      <c r="W270" s="340" t="str">
        <f t="shared" si="172"/>
        <v>1+1073.23088231935i</v>
      </c>
      <c r="X270" s="337">
        <f t="shared" si="155"/>
        <v>1073.2313482022273</v>
      </c>
      <c r="Y270" s="339">
        <f t="shared" si="156"/>
        <v>1.569864561107682</v>
      </c>
      <c r="Z270" s="337" t="str">
        <f t="shared" si="173"/>
        <v>1+10.8111442078089i</v>
      </c>
      <c r="AA270" s="346">
        <f t="shared" si="157"/>
        <v>10.857294279977859</v>
      </c>
      <c r="AB270" s="347">
        <f t="shared" si="158"/>
        <v>1.47856162669262</v>
      </c>
      <c r="AC270" s="732" t="str">
        <f t="shared" si="159"/>
        <v>0.498922839394-5.44873115444245i</v>
      </c>
      <c r="AD270" s="337">
        <f t="shared" si="160"/>
        <v>5.4715258560168323</v>
      </c>
      <c r="AE270" s="339">
        <f t="shared" si="161"/>
        <v>-1.4794841669743211</v>
      </c>
      <c r="AF270" s="736" t="str">
        <f t="shared" si="174"/>
        <v>-0.919154430582099+0.00814073652539139i</v>
      </c>
      <c r="AG270" s="337">
        <f t="shared" si="162"/>
        <v>-0.73188964347916874</v>
      </c>
      <c r="AH270" s="730">
        <f t="shared" si="163"/>
        <v>179.49255790524214</v>
      </c>
      <c r="AI270" s="360">
        <f t="shared" si="175"/>
        <v>-0.50744209475786306</v>
      </c>
      <c r="AL270" s="337">
        <f t="shared" si="176"/>
        <v>14.76216911694096</v>
      </c>
      <c r="AM270" s="730">
        <f t="shared" si="177"/>
        <v>-84.768198624056964</v>
      </c>
      <c r="AN270" s="351"/>
      <c r="AO270" s="337">
        <f t="shared" si="178"/>
        <v>38.035063724622006</v>
      </c>
      <c r="AP270" s="730">
        <f t="shared" si="179"/>
        <v>-95.739243470700885</v>
      </c>
      <c r="AS270" s="351"/>
      <c r="AT270" s="351"/>
      <c r="AV270" s="405">
        <f t="shared" si="180"/>
        <v>0</v>
      </c>
      <c r="AW270" s="405">
        <f t="shared" si="164"/>
        <v>0</v>
      </c>
      <c r="AX270" s="405">
        <f t="shared" si="181"/>
        <v>0</v>
      </c>
      <c r="AY270" s="405">
        <f t="shared" si="182"/>
        <v>0</v>
      </c>
    </row>
    <row r="271" spans="2:51" ht="13.5" thickBot="1" x14ac:dyDescent="0.25">
      <c r="B271" s="345">
        <v>17180</v>
      </c>
      <c r="C271" s="728" t="str">
        <f t="shared" si="165"/>
        <v>2.2271548443541</v>
      </c>
      <c r="D271" s="728" t="str">
        <f t="shared" si="166"/>
        <v>1+13.133323368577i</v>
      </c>
      <c r="E271" s="337">
        <f t="shared" si="143"/>
        <v>13.171339442274302</v>
      </c>
      <c r="F271" s="338">
        <f t="shared" si="144"/>
        <v>1.4948007754456969</v>
      </c>
      <c r="G271" s="338" t="str">
        <f t="shared" si="167"/>
        <v>1+0.0539725617886725i</v>
      </c>
      <c r="H271" s="337">
        <f t="shared" si="145"/>
        <v>1.0014554595317917</v>
      </c>
      <c r="I271" s="338">
        <f t="shared" si="146"/>
        <v>5.3920245167617613E-2</v>
      </c>
      <c r="J271" s="340">
        <f t="shared" si="168"/>
        <v>1</v>
      </c>
      <c r="K271" s="338">
        <f t="shared" si="147"/>
        <v>1</v>
      </c>
      <c r="L271" s="339">
        <f t="shared" si="148"/>
        <v>0</v>
      </c>
      <c r="M271" s="731" t="str">
        <f t="shared" si="169"/>
        <v>0.986882115555556+0.232669864425818i</v>
      </c>
      <c r="N271" s="338">
        <f t="shared" si="149"/>
        <v>1.0139386449955137</v>
      </c>
      <c r="O271" s="339">
        <f t="shared" si="150"/>
        <v>0.23153449916781119</v>
      </c>
      <c r="P271" s="732" t="str">
        <f t="shared" si="183"/>
        <v>-0.0169420662114302-0.166147657427411i</v>
      </c>
      <c r="Q271" s="337">
        <f t="shared" si="151"/>
        <v>0.167009214344984</v>
      </c>
      <c r="R271" s="339">
        <f t="shared" si="152"/>
        <v>-1.6724150294458902</v>
      </c>
      <c r="S271" s="731" t="str">
        <f t="shared" si="170"/>
        <v>6000</v>
      </c>
      <c r="T271" s="337" t="str">
        <f t="shared" si="171"/>
        <v>1+109024.574813118i</v>
      </c>
      <c r="U271" s="346">
        <f t="shared" si="153"/>
        <v>109024.57481770412</v>
      </c>
      <c r="V271" s="347">
        <f t="shared" si="154"/>
        <v>1.5707871545509169</v>
      </c>
      <c r="W271" s="340" t="str">
        <f t="shared" si="172"/>
        <v>1+1079.45123577345i</v>
      </c>
      <c r="X271" s="337">
        <f t="shared" si="155"/>
        <v>1079.4516989716717</v>
      </c>
      <c r="Y271" s="339">
        <f t="shared" si="156"/>
        <v>1.5698699304179327</v>
      </c>
      <c r="Z271" s="337" t="str">
        <f t="shared" si="173"/>
        <v>1+10.8738046654268i</v>
      </c>
      <c r="AA271" s="346">
        <f t="shared" si="157"/>
        <v>10.919689917843712</v>
      </c>
      <c r="AB271" s="347">
        <f t="shared" si="158"/>
        <v>1.479090146985734</v>
      </c>
      <c r="AC271" s="732" t="str">
        <f t="shared" si="159"/>
        <v>0.493237390740219-5.41785561868831i</v>
      </c>
      <c r="AD271" s="337">
        <f t="shared" si="160"/>
        <v>5.4402612647350592</v>
      </c>
      <c r="AE271" s="339">
        <f t="shared" si="161"/>
        <v>-1.4800073711187192</v>
      </c>
      <c r="AF271" s="736" t="str">
        <f t="shared" si="174"/>
        <v>-0.908520479856873+0.00983943158869049i</v>
      </c>
      <c r="AG271" s="337">
        <f t="shared" si="162"/>
        <v>-0.83279620232446949</v>
      </c>
      <c r="AH271" s="730">
        <f t="shared" si="163"/>
        <v>179.37950120514847</v>
      </c>
      <c r="AI271" s="360">
        <f t="shared" si="175"/>
        <v>-0.62049879485152815</v>
      </c>
      <c r="AL271" s="337">
        <f t="shared" si="176"/>
        <v>14.712395137743561</v>
      </c>
      <c r="AM271" s="730">
        <f t="shared" si="177"/>
        <v>-84.798176013354734</v>
      </c>
      <c r="AN271" s="351"/>
      <c r="AO271" s="337">
        <f t="shared" si="178"/>
        <v>37.9839311449741</v>
      </c>
      <c r="AP271" s="730">
        <f t="shared" si="179"/>
        <v>-95.822322781496808</v>
      </c>
      <c r="AS271" s="351"/>
      <c r="AT271" s="351"/>
      <c r="AV271" s="405">
        <f t="shared" si="180"/>
        <v>0</v>
      </c>
      <c r="AW271" s="405">
        <f t="shared" si="164"/>
        <v>0</v>
      </c>
      <c r="AX271" s="405">
        <f t="shared" si="181"/>
        <v>0</v>
      </c>
      <c r="AY271" s="405">
        <f t="shared" si="182"/>
        <v>0</v>
      </c>
    </row>
    <row r="272" spans="2:51" ht="13.5" thickBot="1" x14ac:dyDescent="0.25">
      <c r="B272" s="345">
        <v>17279</v>
      </c>
      <c r="C272" s="728" t="str">
        <f t="shared" si="165"/>
        <v>2.2271548443541</v>
      </c>
      <c r="D272" s="728" t="str">
        <f t="shared" si="166"/>
        <v>1+13.209004335602i</v>
      </c>
      <c r="E272" s="337">
        <f t="shared" si="143"/>
        <v>13.246803219567823</v>
      </c>
      <c r="F272" s="338">
        <f t="shared" si="144"/>
        <v>1.4952345316093505</v>
      </c>
      <c r="G272" s="338" t="str">
        <f t="shared" si="167"/>
        <v>1+0.054283579461378i</v>
      </c>
      <c r="H272" s="337">
        <f t="shared" si="145"/>
        <v>1.0014722697105196</v>
      </c>
      <c r="I272" s="338">
        <f t="shared" si="146"/>
        <v>5.4230354265323667E-2</v>
      </c>
      <c r="J272" s="340">
        <f t="shared" si="168"/>
        <v>1</v>
      </c>
      <c r="K272" s="338">
        <f t="shared" si="147"/>
        <v>1</v>
      </c>
      <c r="L272" s="339">
        <f t="shared" si="148"/>
        <v>0</v>
      </c>
      <c r="M272" s="731" t="str">
        <f t="shared" si="169"/>
        <v>0.986730495955556+0.234010627905339i</v>
      </c>
      <c r="N272" s="338">
        <f t="shared" si="149"/>
        <v>1.0140996231245472</v>
      </c>
      <c r="O272" s="339">
        <f t="shared" si="150"/>
        <v>0.2328556499487866</v>
      </c>
      <c r="P272" s="732" t="str">
        <f t="shared" si="183"/>
        <v>-0.0170817908167159-0.16515319632808i</v>
      </c>
      <c r="Q272" s="337">
        <f t="shared" si="151"/>
        <v>0.16603423091304811</v>
      </c>
      <c r="R272" s="339">
        <f t="shared" si="152"/>
        <v>-1.6738598272928129</v>
      </c>
      <c r="S272" s="731" t="str">
        <f t="shared" si="170"/>
        <v>6000</v>
      </c>
      <c r="T272" s="337" t="str">
        <f t="shared" si="171"/>
        <v>1+109652.830511984i</v>
      </c>
      <c r="U272" s="346">
        <f t="shared" si="153"/>
        <v>109652.83051654385</v>
      </c>
      <c r="V272" s="347">
        <f t="shared" si="154"/>
        <v>1.5707872071032727</v>
      </c>
      <c r="W272" s="340" t="str">
        <f t="shared" si="172"/>
        <v>1+1085.67158922756i</v>
      </c>
      <c r="X272" s="337">
        <f t="shared" si="155"/>
        <v>1085.6720497718891</v>
      </c>
      <c r="Y272" s="339">
        <f t="shared" si="156"/>
        <v>1.5698752382013283</v>
      </c>
      <c r="Z272" s="337" t="str">
        <f t="shared" si="173"/>
        <v>1+10.9364651230448i</v>
      </c>
      <c r="AA272" s="346">
        <f t="shared" si="157"/>
        <v>10.982088571286216</v>
      </c>
      <c r="AB272" s="347">
        <f t="shared" si="158"/>
        <v>1.4796126614702971</v>
      </c>
      <c r="AC272" s="732" t="str">
        <f t="shared" si="159"/>
        <v>0.487648305781145-5.38732507436977i</v>
      </c>
      <c r="AD272" s="337">
        <f t="shared" si="160"/>
        <v>5.4093504533413688</v>
      </c>
      <c r="AE272" s="339">
        <f t="shared" si="161"/>
        <v>-1.4805246303722417</v>
      </c>
      <c r="AF272" s="736" t="str">
        <f t="shared" si="174"/>
        <v>-0.898063862042058+0.0114884835983038i</v>
      </c>
      <c r="AG272" s="337">
        <f t="shared" si="162"/>
        <v>-0.93314492757371226</v>
      </c>
      <c r="AH272" s="730">
        <f t="shared" si="163"/>
        <v>179.26708361412926</v>
      </c>
      <c r="AI272" s="360">
        <f t="shared" si="175"/>
        <v>-0.73291638587073749</v>
      </c>
      <c r="AL272" s="337">
        <f t="shared" si="176"/>
        <v>14.662902376195539</v>
      </c>
      <c r="AM272" s="730">
        <f t="shared" si="177"/>
        <v>-84.827812785495667</v>
      </c>
      <c r="AN272" s="351"/>
      <c r="AO272" s="337">
        <f t="shared" si="178"/>
        <v>37.933075181272883</v>
      </c>
      <c r="AP272" s="730">
        <f t="shared" si="179"/>
        <v>-95.905103600375071</v>
      </c>
      <c r="AS272" s="351"/>
      <c r="AT272" s="351"/>
      <c r="AV272" s="405">
        <f t="shared" si="180"/>
        <v>0</v>
      </c>
      <c r="AW272" s="405">
        <f t="shared" si="164"/>
        <v>0</v>
      </c>
      <c r="AX272" s="405">
        <f t="shared" si="181"/>
        <v>0</v>
      </c>
      <c r="AY272" s="405">
        <f t="shared" si="182"/>
        <v>0</v>
      </c>
    </row>
    <row r="273" spans="2:51" ht="13.5" thickBot="1" x14ac:dyDescent="0.25">
      <c r="B273" s="345">
        <v>17378</v>
      </c>
      <c r="C273" s="728" t="str">
        <f t="shared" si="165"/>
        <v>2.2271548443541</v>
      </c>
      <c r="D273" s="728" t="str">
        <f t="shared" si="166"/>
        <v>1+13.284685302627i</v>
      </c>
      <c r="E273" s="337">
        <f t="shared" ref="E273:E336" si="184">IMABS(D273)</f>
        <v>13.322269460937722</v>
      </c>
      <c r="F273" s="338">
        <f t="shared" ref="F273:F336" si="185">IMARGUMENT(D273)</f>
        <v>1.4956633736830958</v>
      </c>
      <c r="G273" s="338" t="str">
        <f t="shared" si="167"/>
        <v>1+0.0545945971340835i</v>
      </c>
      <c r="H273" s="337">
        <f t="shared" ref="H273:H336" si="186">IMABS(G273)</f>
        <v>1.0014891761952462</v>
      </c>
      <c r="I273" s="338">
        <f t="shared" ref="I273:I336" si="187">IMARGUMENT(G273)</f>
        <v>5.4540452922732748E-2</v>
      </c>
      <c r="J273" s="340">
        <f t="shared" si="168"/>
        <v>1</v>
      </c>
      <c r="K273" s="338">
        <f t="shared" ref="K273:K336" si="188">IMABS(J273)</f>
        <v>1</v>
      </c>
      <c r="L273" s="339">
        <f t="shared" ref="L273:L336" si="189">IMARGUMENT(J273)</f>
        <v>0</v>
      </c>
      <c r="M273" s="731" t="str">
        <f t="shared" si="169"/>
        <v>0.986578005155555+0.235351391384859i</v>
      </c>
      <c r="N273" s="338">
        <f t="shared" ref="N273:N336" si="190">IMABS(M273)</f>
        <v>1.0142615233180758</v>
      </c>
      <c r="O273" s="339">
        <f t="shared" ref="O273:O336" si="191">IMARGUMENT(M273)</f>
        <v>0.23417657836552705</v>
      </c>
      <c r="P273" s="732" t="str">
        <f t="shared" si="183"/>
        <v>-0.0172189717168563-0.164169597464072i</v>
      </c>
      <c r="Q273" s="337">
        <f t="shared" ref="Q273:Q336" si="192">IMABS(P273)</f>
        <v>0.16507013575599111</v>
      </c>
      <c r="R273" s="339">
        <f t="shared" ref="R273:R336" si="193">IMARGUMENT(P273)</f>
        <v>-1.6752994991258898</v>
      </c>
      <c r="S273" s="731" t="str">
        <f t="shared" si="170"/>
        <v>6000</v>
      </c>
      <c r="T273" s="337" t="str">
        <f t="shared" si="171"/>
        <v>1+110281.086210849i</v>
      </c>
      <c r="U273" s="346">
        <f t="shared" ref="U273:U336" si="194">IMABS(T273)</f>
        <v>110281.08621538288</v>
      </c>
      <c r="V273" s="347">
        <f t="shared" ref="V273:V336" si="195">IMARGUMENT(T273)</f>
        <v>1.5707872590568617</v>
      </c>
      <c r="W273" s="340" t="str">
        <f t="shared" si="172"/>
        <v>1+1091.89194268167i</v>
      </c>
      <c r="X273" s="337">
        <f t="shared" ref="X273:X336" si="196">IMABS(W273)</f>
        <v>1091.8924006023447</v>
      </c>
      <c r="Y273" s="339">
        <f t="shared" ref="Y273:Y336" si="197">IMARGUMENT(W273)</f>
        <v>1.5698804855093977</v>
      </c>
      <c r="Z273" s="337" t="str">
        <f t="shared" si="173"/>
        <v>1+10.9991255806629i</v>
      </c>
      <c r="AA273" s="346">
        <f t="shared" ref="AA273:AA336" si="198">IMABS(Z273)</f>
        <v>11.044490189193569</v>
      </c>
      <c r="AB273" s="347">
        <f t="shared" ref="AB273:AB336" si="199">IMARGUMENT(Z273)</f>
        <v>1.4801292716574082</v>
      </c>
      <c r="AC273" s="732" t="str">
        <f t="shared" ref="AC273:AC336" si="200">IMPRODUCT(S273,IMDIV(W273,IMPRODUCT(T273,Z273)))</f>
        <v>0.482153425026932-5.35713382171783i</v>
      </c>
      <c r="AD273" s="337">
        <f t="shared" ref="AD273:AD336" si="201">IMABS(AC273)</f>
        <v>5.3787874757289194</v>
      </c>
      <c r="AE273" s="339">
        <f t="shared" ref="AE273:AE336" si="202">IMARGUMENT(AC273)</f>
        <v>-1.4810360452048721</v>
      </c>
      <c r="AF273" s="736" t="str">
        <f t="shared" si="174"/>
        <v>-0.887780689261306+0.0130894020569786i</v>
      </c>
      <c r="AG273" s="337">
        <f t="shared" ref="AG273:AG336" si="203">20*LOG10(IMABS(AF273))</f>
        <v>-1.0329421314860507</v>
      </c>
      <c r="AH273" s="730">
        <f t="shared" ref="AH273:AH336" si="204">(180/PI())*IMARGUMENT(AF273)</f>
        <v>179.15529458271999</v>
      </c>
      <c r="AI273" s="360">
        <f t="shared" si="175"/>
        <v>-0.84470541728001081</v>
      </c>
      <c r="AL273" s="337">
        <f t="shared" si="176"/>
        <v>14.613687699388167</v>
      </c>
      <c r="AM273" s="730">
        <f t="shared" si="177"/>
        <v>-84.857114696985775</v>
      </c>
      <c r="AN273" s="351"/>
      <c r="AO273" s="337">
        <f t="shared" si="178"/>
        <v>37.882492654167912</v>
      </c>
      <c r="AP273" s="730">
        <f t="shared" si="179"/>
        <v>-95.987590720294236</v>
      </c>
      <c r="AS273" s="351"/>
      <c r="AT273" s="351"/>
      <c r="AV273" s="405">
        <f t="shared" si="180"/>
        <v>0</v>
      </c>
      <c r="AW273" s="405">
        <f t="shared" si="164"/>
        <v>0</v>
      </c>
      <c r="AX273" s="405">
        <f t="shared" si="181"/>
        <v>0</v>
      </c>
      <c r="AY273" s="405">
        <f t="shared" si="182"/>
        <v>0</v>
      </c>
    </row>
    <row r="274" spans="2:51" ht="13.5" thickBot="1" x14ac:dyDescent="0.25">
      <c r="B274" s="345">
        <v>17479.25</v>
      </c>
      <c r="C274" s="728" t="str">
        <f t="shared" si="165"/>
        <v>2.2271548443541</v>
      </c>
      <c r="D274" s="728" t="str">
        <f t="shared" si="166"/>
        <v>1+13.3620862916298i</v>
      </c>
      <c r="E274" s="337">
        <f t="shared" si="184"/>
        <v>13.399453349482622</v>
      </c>
      <c r="F274" s="338">
        <f t="shared" si="185"/>
        <v>1.4960969656514493</v>
      </c>
      <c r="G274" s="338" t="str">
        <f t="shared" si="167"/>
        <v>1+0.0549126833902595i</v>
      </c>
      <c r="H274" s="337">
        <f t="shared" si="186"/>
        <v>1.0015065665272089</v>
      </c>
      <c r="I274" s="338">
        <f t="shared" si="187"/>
        <v>5.4857588416386396E-2</v>
      </c>
      <c r="J274" s="340">
        <f t="shared" si="168"/>
        <v>1</v>
      </c>
      <c r="K274" s="338">
        <f t="shared" si="188"/>
        <v>1</v>
      </c>
      <c r="L274" s="339">
        <f t="shared" si="189"/>
        <v>0</v>
      </c>
      <c r="M274" s="731" t="str">
        <f t="shared" si="169"/>
        <v>0.986421147530556+0.236722626761641i</v>
      </c>
      <c r="N274" s="338">
        <f t="shared" si="190"/>
        <v>1.0144280567474611</v>
      </c>
      <c r="O274" s="339">
        <f t="shared" si="191"/>
        <v>0.23552729663898914</v>
      </c>
      <c r="P274" s="732" t="str">
        <f t="shared" si="183"/>
        <v>-0.0173566976794568-0.163174691894385i</v>
      </c>
      <c r="Q274" s="337">
        <f t="shared" si="192"/>
        <v>0.16409520111558271</v>
      </c>
      <c r="R274" s="339">
        <f t="shared" si="193"/>
        <v>-1.6767666738740516</v>
      </c>
      <c r="S274" s="731" t="str">
        <f t="shared" si="170"/>
        <v>6000</v>
      </c>
      <c r="T274" s="337" t="str">
        <f t="shared" si="171"/>
        <v>1+110923.620448324i</v>
      </c>
      <c r="U274" s="346">
        <f t="shared" si="194"/>
        <v>110923.62045283162</v>
      </c>
      <c r="V274" s="347">
        <f t="shared" si="195"/>
        <v>1.5707873115824835</v>
      </c>
      <c r="W274" s="340" t="str">
        <f t="shared" si="172"/>
        <v>1+1098.25366780519i</v>
      </c>
      <c r="X274" s="337">
        <f t="shared" si="196"/>
        <v>1098.2541230733225</v>
      </c>
      <c r="Y274" s="339">
        <f t="shared" si="197"/>
        <v>1.5698857905927825</v>
      </c>
      <c r="Z274" s="337" t="str">
        <f t="shared" si="173"/>
        <v>1+11.0632101395904i</v>
      </c>
      <c r="AA274" s="346">
        <f t="shared" si="198"/>
        <v>11.10831303991456</v>
      </c>
      <c r="AB274" s="347">
        <f t="shared" si="199"/>
        <v>1.4806516192958625</v>
      </c>
      <c r="AC274" s="732" t="str">
        <f t="shared" si="200"/>
        <v>0.476628912937387-5.32660153973355i</v>
      </c>
      <c r="AD274" s="337">
        <f t="shared" si="201"/>
        <v>5.3478836079088063</v>
      </c>
      <c r="AE274" s="339">
        <f t="shared" si="202"/>
        <v>-1.4815531402855635</v>
      </c>
      <c r="AF274" s="736" t="str">
        <f t="shared" si="174"/>
        <v>-0.877439269037321+0.0146784365675706i</v>
      </c>
      <c r="AG274" s="337">
        <f t="shared" si="203"/>
        <v>-1.1344434569136159</v>
      </c>
      <c r="AH274" s="730">
        <f t="shared" si="204"/>
        <v>179.04160429611156</v>
      </c>
      <c r="AI274" s="360">
        <f t="shared" si="175"/>
        <v>-0.95839570388844209</v>
      </c>
      <c r="AL274" s="337">
        <f t="shared" si="176"/>
        <v>14.563638932932029</v>
      </c>
      <c r="AM274" s="730">
        <f t="shared" si="177"/>
        <v>-84.886742062716365</v>
      </c>
      <c r="AN274" s="351"/>
      <c r="AO274" s="337">
        <f t="shared" si="178"/>
        <v>37.831040095196499</v>
      </c>
      <c r="AP274" s="730">
        <f t="shared" si="179"/>
        <v>-96.071653641172063</v>
      </c>
      <c r="AS274" s="351"/>
      <c r="AT274" s="351"/>
      <c r="AV274" s="405">
        <f t="shared" si="180"/>
        <v>0</v>
      </c>
      <c r="AW274" s="405">
        <f t="shared" si="164"/>
        <v>0</v>
      </c>
      <c r="AX274" s="405">
        <f t="shared" si="181"/>
        <v>0</v>
      </c>
      <c r="AY274" s="405">
        <f t="shared" si="182"/>
        <v>0</v>
      </c>
    </row>
    <row r="275" spans="2:51" ht="13.5" thickBot="1" x14ac:dyDescent="0.25">
      <c r="B275" s="345">
        <v>17580.5</v>
      </c>
      <c r="C275" s="728" t="str">
        <f t="shared" si="165"/>
        <v>2.2271548443541</v>
      </c>
      <c r="D275" s="728" t="str">
        <f t="shared" si="166"/>
        <v>1+13.4394872806326i</v>
      </c>
      <c r="E275" s="337">
        <f t="shared" si="184"/>
        <v>13.476639728295977</v>
      </c>
      <c r="F275" s="338">
        <f t="shared" si="185"/>
        <v>1.4965255909728086</v>
      </c>
      <c r="G275" s="338" t="str">
        <f t="shared" si="167"/>
        <v>1+0.0552307696464355i</v>
      </c>
      <c r="H275" s="337">
        <f t="shared" si="186"/>
        <v>1.001524057582112</v>
      </c>
      <c r="I275" s="338">
        <f t="shared" si="187"/>
        <v>5.5174712864747497E-2</v>
      </c>
      <c r="J275" s="340">
        <f t="shared" si="168"/>
        <v>1</v>
      </c>
      <c r="K275" s="338">
        <f t="shared" si="188"/>
        <v>1</v>
      </c>
      <c r="L275" s="339">
        <f t="shared" si="189"/>
        <v>0</v>
      </c>
      <c r="M275" s="731" t="str">
        <f t="shared" si="169"/>
        <v>0.986263378655555+0.238093862138424i</v>
      </c>
      <c r="N275" s="338">
        <f t="shared" si="190"/>
        <v>1.0145955545265619</v>
      </c>
      <c r="O275" s="339">
        <f t="shared" si="191"/>
        <v>0.23687777980723929</v>
      </c>
      <c r="P275" s="732" t="str">
        <f t="shared" si="183"/>
        <v>-0.0174918798760713-0.16219077143887i</v>
      </c>
      <c r="Q275" s="337">
        <f t="shared" si="192"/>
        <v>0.16313127291091267</v>
      </c>
      <c r="R275" s="339">
        <f t="shared" si="193"/>
        <v>-1.6782286579153003</v>
      </c>
      <c r="S275" s="731" t="str">
        <f t="shared" si="170"/>
        <v>6000</v>
      </c>
      <c r="T275" s="337" t="str">
        <f t="shared" si="171"/>
        <v>1+111566.1546858i</v>
      </c>
      <c r="U275" s="346">
        <f t="shared" si="194"/>
        <v>111566.15469028163</v>
      </c>
      <c r="V275" s="347">
        <f t="shared" si="195"/>
        <v>1.570787363503092</v>
      </c>
      <c r="W275" s="340" t="str">
        <f t="shared" si="172"/>
        <v>1+1104.61539292871i</v>
      </c>
      <c r="X275" s="337">
        <f t="shared" si="196"/>
        <v>1104.6158455748534</v>
      </c>
      <c r="Y275" s="339">
        <f t="shared" si="197"/>
        <v>1.5698910345699133</v>
      </c>
      <c r="Z275" s="337" t="str">
        <f t="shared" si="173"/>
        <v>1+11.1272946985179i</v>
      </c>
      <c r="AA275" s="346">
        <f t="shared" si="198"/>
        <v>11.172138886876789</v>
      </c>
      <c r="AB275" s="347">
        <f t="shared" si="199"/>
        <v>1.481167998784223</v>
      </c>
      <c r="AC275" s="732" t="str">
        <f t="shared" si="200"/>
        <v>0.471198556741555-5.29641248042423i</v>
      </c>
      <c r="AD275" s="337">
        <f t="shared" si="201"/>
        <v>5.317331402373644</v>
      </c>
      <c r="AE275" s="339">
        <f t="shared" si="202"/>
        <v>-1.4820643277174013</v>
      </c>
      <c r="AF275" s="736" t="str">
        <f t="shared" si="174"/>
        <v>-0.867271374610766+0.0162201534629105i</v>
      </c>
      <c r="AG275" s="337">
        <f t="shared" si="203"/>
        <v>-1.235380929409071</v>
      </c>
      <c r="AH275" s="730">
        <f t="shared" si="204"/>
        <v>178.92854989844807</v>
      </c>
      <c r="AI275" s="360">
        <f t="shared" si="175"/>
        <v>-1.0714501015519318</v>
      </c>
      <c r="AL275" s="337">
        <f t="shared" si="176"/>
        <v>14.513874570725827</v>
      </c>
      <c r="AM275" s="730">
        <f t="shared" si="177"/>
        <v>-84.9160309451008</v>
      </c>
      <c r="AN275" s="351"/>
      <c r="AO275" s="337">
        <f t="shared" si="178"/>
        <v>37.779866984907237</v>
      </c>
      <c r="AP275" s="730">
        <f t="shared" si="179"/>
        <v>-96.155419156451103</v>
      </c>
      <c r="AS275" s="351"/>
      <c r="AT275" s="351"/>
      <c r="AV275" s="405">
        <f t="shared" si="180"/>
        <v>0</v>
      </c>
      <c r="AW275" s="405">
        <f t="shared" si="164"/>
        <v>0</v>
      </c>
      <c r="AX275" s="405">
        <f t="shared" si="181"/>
        <v>0</v>
      </c>
      <c r="AY275" s="405">
        <f t="shared" si="182"/>
        <v>0</v>
      </c>
    </row>
    <row r="276" spans="2:51" ht="13.5" thickBot="1" x14ac:dyDescent="0.25">
      <c r="B276" s="345">
        <v>17681.75</v>
      </c>
      <c r="C276" s="728" t="str">
        <f t="shared" si="165"/>
        <v>2.2271548443541</v>
      </c>
      <c r="D276" s="728" t="str">
        <f t="shared" si="166"/>
        <v>1+13.5168882696355i</v>
      </c>
      <c r="E276" s="337">
        <f t="shared" si="184"/>
        <v>13.553828554833125</v>
      </c>
      <c r="F276" s="338">
        <f t="shared" si="185"/>
        <v>1.4969493343432334</v>
      </c>
      <c r="G276" s="338" t="str">
        <f t="shared" si="167"/>
        <v>1+0.0555488559026115i</v>
      </c>
      <c r="H276" s="337">
        <f t="shared" si="186"/>
        <v>1.0015416493546783</v>
      </c>
      <c r="I276" s="338">
        <f t="shared" si="187"/>
        <v>5.5491826204611322E-2</v>
      </c>
      <c r="J276" s="340">
        <f t="shared" si="168"/>
        <v>1</v>
      </c>
      <c r="K276" s="338">
        <f t="shared" si="188"/>
        <v>1</v>
      </c>
      <c r="L276" s="339">
        <f t="shared" si="189"/>
        <v>0</v>
      </c>
      <c r="M276" s="731" t="str">
        <f t="shared" si="169"/>
        <v>0.986104698530555+0.239465097515206i</v>
      </c>
      <c r="N276" s="338">
        <f t="shared" si="190"/>
        <v>1.0147640166028769</v>
      </c>
      <c r="O276" s="339">
        <f t="shared" si="191"/>
        <v>0.23822802659903428</v>
      </c>
      <c r="P276" s="732" t="str">
        <f t="shared" si="183"/>
        <v>-0.0176245749305772-0.161217652039369i</v>
      </c>
      <c r="Q276" s="337">
        <f t="shared" si="192"/>
        <v>0.16217816428413101</v>
      </c>
      <c r="R276" s="339">
        <f t="shared" si="193"/>
        <v>-1.6796855347376556</v>
      </c>
      <c r="S276" s="731" t="str">
        <f t="shared" si="170"/>
        <v>6000</v>
      </c>
      <c r="T276" s="337" t="str">
        <f t="shared" si="171"/>
        <v>1+112208.688923275i</v>
      </c>
      <c r="U276" s="346">
        <f t="shared" si="194"/>
        <v>112208.68892773098</v>
      </c>
      <c r="V276" s="347">
        <f t="shared" si="195"/>
        <v>1.5707874148290804</v>
      </c>
      <c r="W276" s="340" t="str">
        <f t="shared" si="172"/>
        <v>1+1110.97711805223i</v>
      </c>
      <c r="X276" s="337">
        <f t="shared" si="196"/>
        <v>1110.9775681064125</v>
      </c>
      <c r="Y276" s="339">
        <f t="shared" si="197"/>
        <v>1.5698962184905165</v>
      </c>
      <c r="Z276" s="337" t="str">
        <f t="shared" si="173"/>
        <v>1+11.1913792574454i</v>
      </c>
      <c r="AA276" s="346">
        <f t="shared" si="198"/>
        <v>11.235967679019868</v>
      </c>
      <c r="AB276" s="347">
        <f t="shared" si="199"/>
        <v>1.4816785115555484</v>
      </c>
      <c r="AC276" s="732" t="str">
        <f t="shared" si="200"/>
        <v>0.465860234573585-5.26656093725848i</v>
      </c>
      <c r="AD276" s="337">
        <f t="shared" si="201"/>
        <v>5.2871249147352168</v>
      </c>
      <c r="AE276" s="339">
        <f t="shared" si="202"/>
        <v>-1.4825697078941122</v>
      </c>
      <c r="AF276" s="736" t="str">
        <f t="shared" si="174"/>
        <v>-0.857273177238489+0.0177160046686999i</v>
      </c>
      <c r="AG276" s="337">
        <f t="shared" si="203"/>
        <v>-1.3357609693195893</v>
      </c>
      <c r="AH276" s="730">
        <f t="shared" si="204"/>
        <v>178.81612085408156</v>
      </c>
      <c r="AI276" s="360">
        <f t="shared" si="175"/>
        <v>-1.1838791459184392</v>
      </c>
      <c r="AL276" s="337">
        <f t="shared" si="176"/>
        <v>14.464391425198313</v>
      </c>
      <c r="AM276" s="730">
        <f t="shared" si="177"/>
        <v>-84.944987096275923</v>
      </c>
      <c r="AN276" s="351"/>
      <c r="AO276" s="337">
        <f t="shared" si="178"/>
        <v>37.728970090524236</v>
      </c>
      <c r="AP276" s="730">
        <f t="shared" si="179"/>
        <v>-96.238892049642487</v>
      </c>
      <c r="AS276" s="351"/>
      <c r="AT276" s="351"/>
      <c r="AV276" s="405">
        <f t="shared" si="180"/>
        <v>0</v>
      </c>
      <c r="AW276" s="405">
        <f t="shared" si="164"/>
        <v>0</v>
      </c>
      <c r="AX276" s="405">
        <f t="shared" si="181"/>
        <v>0</v>
      </c>
      <c r="AY276" s="405">
        <f t="shared" si="182"/>
        <v>0</v>
      </c>
    </row>
    <row r="277" spans="2:51" ht="13.5" thickBot="1" x14ac:dyDescent="0.25">
      <c r="B277" s="345">
        <v>17783</v>
      </c>
      <c r="C277" s="728" t="str">
        <f t="shared" si="165"/>
        <v>2.2271548443541</v>
      </c>
      <c r="D277" s="728" t="str">
        <f t="shared" si="166"/>
        <v>1+13.5942892586383i</v>
      </c>
      <c r="E277" s="337">
        <f t="shared" si="184"/>
        <v>13.631019787511448</v>
      </c>
      <c r="F277" s="338">
        <f t="shared" si="185"/>
        <v>1.4973682785473819</v>
      </c>
      <c r="G277" s="338" t="str">
        <f t="shared" si="167"/>
        <v>1+0.0558669421587875i</v>
      </c>
      <c r="H277" s="337">
        <f t="shared" si="186"/>
        <v>1.0015593418396003</v>
      </c>
      <c r="I277" s="338">
        <f t="shared" si="187"/>
        <v>5.5808928372786518E-2</v>
      </c>
      <c r="J277" s="340">
        <f t="shared" si="168"/>
        <v>1</v>
      </c>
      <c r="K277" s="338">
        <f t="shared" si="188"/>
        <v>1</v>
      </c>
      <c r="L277" s="339">
        <f t="shared" si="189"/>
        <v>0</v>
      </c>
      <c r="M277" s="731" t="str">
        <f t="shared" si="169"/>
        <v>0.985945107155556+0.240836332891988i</v>
      </c>
      <c r="N277" s="338">
        <f t="shared" si="190"/>
        <v>1.0149334429236438</v>
      </c>
      <c r="O277" s="339">
        <f t="shared" si="191"/>
        <v>0.23957803574464859</v>
      </c>
      <c r="P277" s="732" t="str">
        <f t="shared" si="183"/>
        <v>-0.0177548378792141-0.160255153714885i</v>
      </c>
      <c r="Q277" s="337">
        <f t="shared" si="192"/>
        <v>0.16123569257549211</v>
      </c>
      <c r="R277" s="339">
        <f t="shared" si="193"/>
        <v>-1.6811373859192429</v>
      </c>
      <c r="S277" s="731" t="str">
        <f t="shared" si="170"/>
        <v>6000</v>
      </c>
      <c r="T277" s="337" t="str">
        <f t="shared" si="171"/>
        <v>1+112851.223160751i</v>
      </c>
      <c r="U277" s="346">
        <f t="shared" si="194"/>
        <v>112851.22316518161</v>
      </c>
      <c r="V277" s="347">
        <f t="shared" si="195"/>
        <v>1.5707874655706053</v>
      </c>
      <c r="W277" s="340" t="str">
        <f t="shared" si="172"/>
        <v>1+1117.33884317575i</v>
      </c>
      <c r="X277" s="337">
        <f t="shared" si="196"/>
        <v>1117.3392906674871</v>
      </c>
      <c r="Y277" s="339">
        <f t="shared" si="197"/>
        <v>1.5699013433804121</v>
      </c>
      <c r="Z277" s="337" t="str">
        <f t="shared" si="173"/>
        <v>1+11.2554638163729i</v>
      </c>
      <c r="AA277" s="346">
        <f t="shared" si="198"/>
        <v>11.299799366434769</v>
      </c>
      <c r="AB277" s="347">
        <f t="shared" si="199"/>
        <v>1.4821832567633393</v>
      </c>
      <c r="AC277" s="732" t="str">
        <f t="shared" si="200"/>
        <v>0.460611883846057-5.23704132840182i</v>
      </c>
      <c r="AD277" s="337">
        <f t="shared" si="201"/>
        <v>5.2572583332882656</v>
      </c>
      <c r="AE277" s="339">
        <f t="shared" si="202"/>
        <v>-1.4830693789535327</v>
      </c>
      <c r="AF277" s="736" t="str">
        <f t="shared" si="174"/>
        <v>-0.847440952417165+0.0191673915038657i</v>
      </c>
      <c r="AG277" s="337">
        <f t="shared" si="203"/>
        <v>-1.4355898899046391</v>
      </c>
      <c r="AH277" s="730">
        <f t="shared" si="204"/>
        <v>178.70430686604593</v>
      </c>
      <c r="AI277" s="360">
        <f t="shared" si="175"/>
        <v>-1.2956931339540745</v>
      </c>
      <c r="AL277" s="337">
        <f t="shared" si="176"/>
        <v>14.415186361616572</v>
      </c>
      <c r="AM277" s="730">
        <f t="shared" si="177"/>
        <v>-84.973616139125539</v>
      </c>
      <c r="AN277" s="351"/>
      <c r="AO277" s="337">
        <f t="shared" si="178"/>
        <v>37.678346233520926</v>
      </c>
      <c r="AP277" s="730">
        <f t="shared" si="179"/>
        <v>-96.322076994828521</v>
      </c>
      <c r="AS277" s="351"/>
      <c r="AT277" s="351"/>
      <c r="AV277" s="405">
        <f t="shared" si="180"/>
        <v>0</v>
      </c>
      <c r="AW277" s="405">
        <f t="shared" si="164"/>
        <v>0</v>
      </c>
      <c r="AX277" s="405">
        <f t="shared" si="181"/>
        <v>0</v>
      </c>
      <c r="AY277" s="405">
        <f t="shared" si="182"/>
        <v>0</v>
      </c>
    </row>
    <row r="278" spans="2:51" ht="13.5" thickBot="1" x14ac:dyDescent="0.25">
      <c r="B278" s="345">
        <v>17886.5</v>
      </c>
      <c r="C278" s="728" t="str">
        <f t="shared" si="165"/>
        <v>2.2271548443541</v>
      </c>
      <c r="D278" s="728" t="str">
        <f t="shared" si="166"/>
        <v>1+13.6734102696189i</v>
      </c>
      <c r="E278" s="337">
        <f t="shared" si="184"/>
        <v>13.709928825538068</v>
      </c>
      <c r="F278" s="338">
        <f t="shared" si="185"/>
        <v>1.4977916565526728</v>
      </c>
      <c r="G278" s="338" t="str">
        <f t="shared" si="167"/>
        <v>1+0.056192096998434i</v>
      </c>
      <c r="H278" s="337">
        <f t="shared" si="186"/>
        <v>1.0015775315795985</v>
      </c>
      <c r="I278" s="338">
        <f t="shared" si="187"/>
        <v>5.6133065643190212E-2</v>
      </c>
      <c r="J278" s="340">
        <f t="shared" si="168"/>
        <v>1</v>
      </c>
      <c r="K278" s="338">
        <f t="shared" si="188"/>
        <v>1</v>
      </c>
      <c r="L278" s="339">
        <f t="shared" si="189"/>
        <v>0</v>
      </c>
      <c r="M278" s="731" t="str">
        <f t="shared" si="169"/>
        <v>0.985781027455555+0.242238040166031i</v>
      </c>
      <c r="N278" s="338">
        <f t="shared" si="190"/>
        <v>1.0151076308425671</v>
      </c>
      <c r="O278" s="339">
        <f t="shared" si="191"/>
        <v>0.24095779814660795</v>
      </c>
      <c r="P278" s="732" t="str">
        <f t="shared" si="183"/>
        <v>-0.0178855374827466-0.159282061020908i</v>
      </c>
      <c r="Q278" s="337">
        <f t="shared" si="192"/>
        <v>0.16028308524019308</v>
      </c>
      <c r="R278" s="339">
        <f t="shared" si="193"/>
        <v>-1.6826163890560899</v>
      </c>
      <c r="S278" s="731" t="str">
        <f t="shared" si="170"/>
        <v>6000</v>
      </c>
      <c r="T278" s="337" t="str">
        <f t="shared" si="171"/>
        <v>1+113508.035936837i</v>
      </c>
      <c r="U278" s="346">
        <f t="shared" si="194"/>
        <v>113508.03594124198</v>
      </c>
      <c r="V278" s="347">
        <f t="shared" si="195"/>
        <v>1.5707875168459646</v>
      </c>
      <c r="W278" s="340" t="str">
        <f t="shared" si="172"/>
        <v>1+1123.84193996868i</v>
      </c>
      <c r="X278" s="337">
        <f t="shared" si="196"/>
        <v>1123.8423848710131</v>
      </c>
      <c r="Y278" s="339">
        <f t="shared" si="197"/>
        <v>1.5699065221875774</v>
      </c>
      <c r="Z278" s="337" t="str">
        <f t="shared" si="173"/>
        <v>1+11.3209724766099i</v>
      </c>
      <c r="AA278" s="346">
        <f t="shared" si="198"/>
        <v>11.365052477492521</v>
      </c>
      <c r="AB278" s="347">
        <f t="shared" si="199"/>
        <v>1.4826933582138329</v>
      </c>
      <c r="AC278" s="732" t="str">
        <f t="shared" si="200"/>
        <v>0.455337808158212-5.20720312400533i</v>
      </c>
      <c r="AD278" s="337">
        <f t="shared" si="201"/>
        <v>5.2270734540648274</v>
      </c>
      <c r="AE278" s="339">
        <f t="shared" si="202"/>
        <v>-1.4835743528722196</v>
      </c>
      <c r="AF278" s="736" t="str">
        <f t="shared" si="174"/>
        <v>-0.837558007181205+0.0206064821104897i</v>
      </c>
      <c r="AG278" s="337">
        <f t="shared" si="203"/>
        <v>-1.5370740688397877</v>
      </c>
      <c r="AH278" s="730">
        <f t="shared" si="204"/>
        <v>178.59063335411304</v>
      </c>
      <c r="AI278" s="360">
        <f t="shared" si="175"/>
        <v>-1.409366645886962</v>
      </c>
      <c r="AL278" s="337">
        <f t="shared" si="176"/>
        <v>14.365172062298928</v>
      </c>
      <c r="AM278" s="730">
        <f t="shared" si="177"/>
        <v>-85.002549013430482</v>
      </c>
      <c r="AN278" s="351"/>
      <c r="AO278" s="337">
        <f t="shared" si="178"/>
        <v>37.62687635390342</v>
      </c>
      <c r="AP278" s="730">
        <f t="shared" si="179"/>
        <v>-96.406817632456466</v>
      </c>
      <c r="AS278" s="351"/>
      <c r="AT278" s="351"/>
      <c r="AV278" s="405">
        <f t="shared" si="180"/>
        <v>0</v>
      </c>
      <c r="AW278" s="405">
        <f t="shared" si="164"/>
        <v>0</v>
      </c>
      <c r="AX278" s="405">
        <f t="shared" si="181"/>
        <v>0</v>
      </c>
      <c r="AY278" s="405">
        <f t="shared" si="182"/>
        <v>0</v>
      </c>
    </row>
    <row r="279" spans="2:51" ht="13.5" thickBot="1" x14ac:dyDescent="0.25">
      <c r="B279" s="345">
        <v>17990</v>
      </c>
      <c r="C279" s="728" t="str">
        <f t="shared" si="165"/>
        <v>2.2271548443541</v>
      </c>
      <c r="D279" s="728" t="str">
        <f t="shared" si="166"/>
        <v>1+13.7525312805996i</v>
      </c>
      <c r="E279" s="337">
        <f t="shared" si="184"/>
        <v>13.788840292927846</v>
      </c>
      <c r="F279" s="338">
        <f t="shared" si="185"/>
        <v>1.4982101887744697</v>
      </c>
      <c r="G279" s="338" t="str">
        <f t="shared" si="167"/>
        <v>1+0.0565172518380805i</v>
      </c>
      <c r="H279" s="337">
        <f t="shared" si="186"/>
        <v>1.0015958265464813</v>
      </c>
      <c r="I279" s="338">
        <f t="shared" si="187"/>
        <v>5.6457191106382448E-2</v>
      </c>
      <c r="J279" s="340">
        <f t="shared" si="168"/>
        <v>1</v>
      </c>
      <c r="K279" s="338">
        <f t="shared" si="188"/>
        <v>1</v>
      </c>
      <c r="L279" s="339">
        <f t="shared" si="189"/>
        <v>0</v>
      </c>
      <c r="M279" s="731" t="str">
        <f t="shared" si="169"/>
        <v>0.985615995555555+0.243639747440075i</v>
      </c>
      <c r="N279" s="338">
        <f t="shared" si="190"/>
        <v>1.0152828262251024</v>
      </c>
      <c r="O279" s="339">
        <f t="shared" si="191"/>
        <v>0.24233730954479435</v>
      </c>
      <c r="P279" s="732" t="str">
        <f t="shared" si="183"/>
        <v>-0.0180138071326832-0.158319698937338i</v>
      </c>
      <c r="Q279" s="337">
        <f t="shared" si="192"/>
        <v>0.15934121977386409</v>
      </c>
      <c r="R279" s="339">
        <f t="shared" si="193"/>
        <v>-1.6840903072128808</v>
      </c>
      <c r="S279" s="731" t="str">
        <f t="shared" si="170"/>
        <v>6000</v>
      </c>
      <c r="T279" s="337" t="str">
        <f t="shared" si="171"/>
        <v>1+114164.848712923i</v>
      </c>
      <c r="U279" s="346">
        <f t="shared" si="194"/>
        <v>114164.84871730262</v>
      </c>
      <c r="V279" s="347">
        <f t="shared" si="195"/>
        <v>1.5707875675313294</v>
      </c>
      <c r="W279" s="340" t="str">
        <f t="shared" si="172"/>
        <v>1+1130.34503676161i</v>
      </c>
      <c r="X279" s="337">
        <f t="shared" si="196"/>
        <v>1130.3454791043334</v>
      </c>
      <c r="Y279" s="339">
        <f t="shared" si="197"/>
        <v>1.5699116414054022</v>
      </c>
      <c r="Z279" s="337" t="str">
        <f t="shared" si="173"/>
        <v>1+11.3864811368469i</v>
      </c>
      <c r="AA279" s="346">
        <f t="shared" si="198"/>
        <v>11.430308512011838</v>
      </c>
      <c r="AB279" s="347">
        <f t="shared" si="199"/>
        <v>1.4831976354199443</v>
      </c>
      <c r="AC279" s="732" t="str">
        <f t="shared" si="200"/>
        <v>0.450153569761815-5.17770035988602i</v>
      </c>
      <c r="AD279" s="337">
        <f t="shared" si="201"/>
        <v>5.1972318837178237</v>
      </c>
      <c r="AE279" s="339">
        <f t="shared" si="202"/>
        <v>-1.4840735615458718</v>
      </c>
      <c r="AF279" s="736" t="str">
        <f t="shared" si="174"/>
        <v>-0.827840941750679+0.0220019180335526i</v>
      </c>
      <c r="AG279" s="337">
        <f t="shared" si="203"/>
        <v>-1.6379953702786554</v>
      </c>
      <c r="AH279" s="730">
        <f t="shared" si="204"/>
        <v>178.47758151428462</v>
      </c>
      <c r="AI279" s="360">
        <f t="shared" si="175"/>
        <v>-1.5224184857153773</v>
      </c>
      <c r="AL279" s="337">
        <f t="shared" si="176"/>
        <v>14.315441881473454</v>
      </c>
      <c r="AM279" s="730">
        <f t="shared" si="177"/>
        <v>-85.031151563527075</v>
      </c>
      <c r="AN279" s="351"/>
      <c r="AO279" s="337">
        <f t="shared" si="178"/>
        <v>37.575685233290031</v>
      </c>
      <c r="AP279" s="730">
        <f t="shared" si="179"/>
        <v>-96.491266922188288</v>
      </c>
      <c r="AS279" s="351"/>
      <c r="AT279" s="351"/>
      <c r="AV279" s="405">
        <f t="shared" si="180"/>
        <v>0</v>
      </c>
      <c r="AW279" s="405">
        <f t="shared" si="164"/>
        <v>0</v>
      </c>
      <c r="AX279" s="405">
        <f t="shared" si="181"/>
        <v>0</v>
      </c>
      <c r="AY279" s="405">
        <f t="shared" si="182"/>
        <v>0</v>
      </c>
    </row>
    <row r="280" spans="2:51" ht="13.5" thickBot="1" x14ac:dyDescent="0.25">
      <c r="B280" s="345">
        <v>18093.5</v>
      </c>
      <c r="C280" s="728" t="str">
        <f t="shared" si="165"/>
        <v>2.2271548443541</v>
      </c>
      <c r="D280" s="728" t="str">
        <f t="shared" si="166"/>
        <v>1+13.8316522915802i</v>
      </c>
      <c r="E280" s="337">
        <f t="shared" si="184"/>
        <v>13.867754148209283</v>
      </c>
      <c r="F280" s="338">
        <f t="shared" si="185"/>
        <v>1.4986239577890414</v>
      </c>
      <c r="G280" s="338" t="str">
        <f t="shared" si="167"/>
        <v>1+0.056842406677727i</v>
      </c>
      <c r="H280" s="337">
        <f t="shared" si="186"/>
        <v>1.0016142267344827</v>
      </c>
      <c r="I280" s="338">
        <f t="shared" si="187"/>
        <v>5.6781304694908608E-2</v>
      </c>
      <c r="J280" s="340">
        <f t="shared" si="168"/>
        <v>1</v>
      </c>
      <c r="K280" s="338">
        <f t="shared" si="188"/>
        <v>1</v>
      </c>
      <c r="L280" s="339">
        <f t="shared" si="189"/>
        <v>0</v>
      </c>
      <c r="M280" s="731" t="str">
        <f t="shared" si="169"/>
        <v>0.985450011455556+0.245041454714119i</v>
      </c>
      <c r="N280" s="338">
        <f t="shared" si="190"/>
        <v>1.015459029014055</v>
      </c>
      <c r="O280" s="339">
        <f t="shared" si="191"/>
        <v>0.24371656858788932</v>
      </c>
      <c r="P280" s="732" t="str">
        <f t="shared" si="183"/>
        <v>-0.0181397008106922-0.157367887712636i</v>
      </c>
      <c r="Q280" s="337">
        <f t="shared" si="192"/>
        <v>0.15840991392156689</v>
      </c>
      <c r="R280" s="339">
        <f t="shared" si="193"/>
        <v>-1.6855592216820217</v>
      </c>
      <c r="S280" s="731" t="str">
        <f t="shared" si="170"/>
        <v>6000</v>
      </c>
      <c r="T280" s="337" t="str">
        <f t="shared" si="171"/>
        <v>1+114821.661489009i</v>
      </c>
      <c r="U280" s="346">
        <f t="shared" si="194"/>
        <v>114821.66149336359</v>
      </c>
      <c r="V280" s="347">
        <f t="shared" si="195"/>
        <v>1.5707876176368247</v>
      </c>
      <c r="W280" s="340" t="str">
        <f t="shared" si="172"/>
        <v>1+1136.84813355454i</v>
      </c>
      <c r="X280" s="337">
        <f t="shared" si="196"/>
        <v>1136.8485733669377</v>
      </c>
      <c r="Y280" s="339">
        <f t="shared" si="197"/>
        <v>1.5699167020564893</v>
      </c>
      <c r="Z280" s="337" t="str">
        <f t="shared" si="173"/>
        <v>1+11.4519897970839i</v>
      </c>
      <c r="AA280" s="346">
        <f t="shared" si="198"/>
        <v>11.495567420206527</v>
      </c>
      <c r="AB280" s="347">
        <f t="shared" si="199"/>
        <v>1.4836961873135293</v>
      </c>
      <c r="AC280" s="732" t="str">
        <f t="shared" si="200"/>
        <v>0.445057144995489-5.14852745630878i</v>
      </c>
      <c r="AD280" s="337">
        <f t="shared" si="201"/>
        <v>5.1677278208780395</v>
      </c>
      <c r="AE280" s="339">
        <f t="shared" si="202"/>
        <v>-1.4845671028938645</v>
      </c>
      <c r="AF280" s="736" t="str">
        <f t="shared" si="174"/>
        <v>-0.818286094083703+0.0233550448537189i</v>
      </c>
      <c r="AG280" s="337">
        <f t="shared" si="203"/>
        <v>-1.7383602058920522</v>
      </c>
      <c r="AH280" s="730">
        <f t="shared" si="204"/>
        <v>178.365141078482</v>
      </c>
      <c r="AI280" s="360">
        <f t="shared" si="175"/>
        <v>-1.6348589215180027</v>
      </c>
      <c r="AL280" s="337">
        <f t="shared" si="176"/>
        <v>14.265992634556358</v>
      </c>
      <c r="AM280" s="730">
        <f t="shared" si="177"/>
        <v>-85.05942939978226</v>
      </c>
      <c r="AN280" s="351"/>
      <c r="AO280" s="337">
        <f t="shared" si="178"/>
        <v>37.524769644593718</v>
      </c>
      <c r="AP280" s="730">
        <f t="shared" si="179"/>
        <v>-96.575429521735757</v>
      </c>
      <c r="AS280" s="351"/>
      <c r="AT280" s="351"/>
      <c r="AV280" s="405">
        <f t="shared" si="180"/>
        <v>0</v>
      </c>
      <c r="AW280" s="405">
        <f t="shared" si="164"/>
        <v>0</v>
      </c>
      <c r="AX280" s="405">
        <f t="shared" si="181"/>
        <v>0</v>
      </c>
      <c r="AY280" s="405">
        <f t="shared" si="182"/>
        <v>0</v>
      </c>
    </row>
    <row r="281" spans="2:51" ht="13.5" thickBot="1" x14ac:dyDescent="0.25">
      <c r="B281" s="345">
        <v>18197</v>
      </c>
      <c r="C281" s="728" t="str">
        <f t="shared" si="165"/>
        <v>2.2271548443541</v>
      </c>
      <c r="D281" s="728" t="str">
        <f t="shared" si="166"/>
        <v>1+13.9107733025609i</v>
      </c>
      <c r="E281" s="337">
        <f t="shared" si="184"/>
        <v>13.94667035084866</v>
      </c>
      <c r="F281" s="338">
        <f t="shared" si="185"/>
        <v>1.499033044310262</v>
      </c>
      <c r="G281" s="338" t="str">
        <f t="shared" si="167"/>
        <v>1+0.0571675615173735i</v>
      </c>
      <c r="H281" s="337">
        <f t="shared" si="186"/>
        <v>1.0016327321378045</v>
      </c>
      <c r="I281" s="338">
        <f t="shared" si="187"/>
        <v>5.7105406341328963E-2</v>
      </c>
      <c r="J281" s="340">
        <f t="shared" si="168"/>
        <v>1</v>
      </c>
      <c r="K281" s="338">
        <f t="shared" si="188"/>
        <v>1</v>
      </c>
      <c r="L281" s="339">
        <f t="shared" si="189"/>
        <v>0</v>
      </c>
      <c r="M281" s="731" t="str">
        <f t="shared" si="169"/>
        <v>0.985283075155556+0.246443161988162i</v>
      </c>
      <c r="N281" s="338">
        <f t="shared" si="190"/>
        <v>1.0156362391519478</v>
      </c>
      <c r="O281" s="339">
        <f t="shared" si="191"/>
        <v>0.24509557392625933</v>
      </c>
      <c r="P281" s="732" t="str">
        <f t="shared" si="183"/>
        <v>-0.0182632709859986-0.156426451578267i</v>
      </c>
      <c r="Q281" s="337">
        <f t="shared" si="192"/>
        <v>0.15748898952141363</v>
      </c>
      <c r="R281" s="339">
        <f t="shared" si="193"/>
        <v>-1.687023211895192</v>
      </c>
      <c r="S281" s="731" t="str">
        <f t="shared" si="170"/>
        <v>6000</v>
      </c>
      <c r="T281" s="337" t="str">
        <f t="shared" si="171"/>
        <v>1+115478.474265094i</v>
      </c>
      <c r="U281" s="346">
        <f t="shared" si="194"/>
        <v>115478.47426942381</v>
      </c>
      <c r="V281" s="347">
        <f t="shared" si="195"/>
        <v>1.5707876671723451</v>
      </c>
      <c r="W281" s="340" t="str">
        <f t="shared" si="172"/>
        <v>1+1143.35123034747i</v>
      </c>
      <c r="X281" s="337">
        <f t="shared" si="196"/>
        <v>1143.3516676583254</v>
      </c>
      <c r="Y281" s="339">
        <f t="shared" si="197"/>
        <v>1.5699217051401768</v>
      </c>
      <c r="Z281" s="337" t="str">
        <f t="shared" si="173"/>
        <v>1+11.5174984573209i</v>
      </c>
      <c r="AA281" s="346">
        <f t="shared" si="198"/>
        <v>11.560829153412365</v>
      </c>
      <c r="AB281" s="347">
        <f t="shared" si="199"/>
        <v>1.484189110604065</v>
      </c>
      <c r="AC281" s="732" t="str">
        <f t="shared" si="200"/>
        <v>0.440046566715187-5.11967895557593i</v>
      </c>
      <c r="AD281" s="337">
        <f t="shared" si="201"/>
        <v>5.1385555936512812</v>
      </c>
      <c r="AE281" s="339">
        <f t="shared" si="202"/>
        <v>-1.485055072636233</v>
      </c>
      <c r="AF281" s="736" t="str">
        <f t="shared" si="174"/>
        <v>-0.808889901935049+0.0246671611665416i</v>
      </c>
      <c r="AG281" s="337">
        <f t="shared" si="203"/>
        <v>-1.8381748803753937</v>
      </c>
      <c r="AH281" s="730">
        <f t="shared" si="204"/>
        <v>178.25330201125107</v>
      </c>
      <c r="AI281" s="360">
        <f t="shared" si="175"/>
        <v>-1.7466979887489344</v>
      </c>
      <c r="AL281" s="337">
        <f t="shared" si="176"/>
        <v>14.216821189778017</v>
      </c>
      <c r="AM281" s="730">
        <f t="shared" si="177"/>
        <v>-85.087388006550057</v>
      </c>
      <c r="AN281" s="351"/>
      <c r="AO281" s="337">
        <f t="shared" si="178"/>
        <v>37.474126414888715</v>
      </c>
      <c r="AP281" s="730">
        <f t="shared" si="179"/>
        <v>-96.659309982198877</v>
      </c>
      <c r="AS281" s="351"/>
      <c r="AT281" s="351"/>
      <c r="AV281" s="405">
        <f t="shared" si="180"/>
        <v>0</v>
      </c>
      <c r="AW281" s="405">
        <f t="shared" si="164"/>
        <v>0</v>
      </c>
      <c r="AX281" s="405">
        <f t="shared" si="181"/>
        <v>0</v>
      </c>
      <c r="AY281" s="405">
        <f t="shared" si="182"/>
        <v>0</v>
      </c>
    </row>
    <row r="282" spans="2:51" ht="13.5" thickBot="1" x14ac:dyDescent="0.25">
      <c r="B282" s="345">
        <v>18303</v>
      </c>
      <c r="C282" s="728" t="str">
        <f t="shared" si="165"/>
        <v>2.2271548443541</v>
      </c>
      <c r="D282" s="728" t="str">
        <f t="shared" si="166"/>
        <v>1+13.9918054490725i</v>
      </c>
      <c r="E282" s="337">
        <f t="shared" si="184"/>
        <v>14.027495133654293</v>
      </c>
      <c r="F282" s="338">
        <f t="shared" si="185"/>
        <v>1.4994472410662971</v>
      </c>
      <c r="G282" s="338" t="str">
        <f t="shared" si="167"/>
        <v>1+0.057500570338654i</v>
      </c>
      <c r="H282" s="337">
        <f t="shared" si="186"/>
        <v>1.0016517935836138</v>
      </c>
      <c r="I282" s="338">
        <f t="shared" si="187"/>
        <v>5.743732408120894E-2</v>
      </c>
      <c r="J282" s="340">
        <f t="shared" si="168"/>
        <v>1</v>
      </c>
      <c r="K282" s="338">
        <f t="shared" si="188"/>
        <v>1</v>
      </c>
      <c r="L282" s="339">
        <f t="shared" si="189"/>
        <v>0</v>
      </c>
      <c r="M282" s="731" t="str">
        <f t="shared" si="169"/>
        <v>0.9851111196+0.24787872692583i</v>
      </c>
      <c r="N282" s="338">
        <f t="shared" si="190"/>
        <v>1.0158187738085644</v>
      </c>
      <c r="O282" s="339">
        <f t="shared" si="191"/>
        <v>0.2465076241929739</v>
      </c>
      <c r="P282" s="732" t="str">
        <f t="shared" si="183"/>
        <v>-0.018387470869785-0.155472849883286i</v>
      </c>
      <c r="Q282" s="337">
        <f t="shared" si="192"/>
        <v>0.15655639921708078</v>
      </c>
      <c r="R282" s="339">
        <f t="shared" si="193"/>
        <v>-1.6885175411780617</v>
      </c>
      <c r="S282" s="731" t="str">
        <f t="shared" si="170"/>
        <v>6000</v>
      </c>
      <c r="T282" s="337" t="str">
        <f t="shared" si="171"/>
        <v>1+116151.152084081i</v>
      </c>
      <c r="U282" s="346">
        <f t="shared" si="194"/>
        <v>116151.15208838573</v>
      </c>
      <c r="V282" s="347">
        <f t="shared" si="195"/>
        <v>1.5707877173236857</v>
      </c>
      <c r="W282" s="340" t="str">
        <f t="shared" si="172"/>
        <v>1+1150.01140677308i</v>
      </c>
      <c r="X282" s="337">
        <f t="shared" si="196"/>
        <v>1150.0118415512939</v>
      </c>
      <c r="Y282" s="339">
        <f t="shared" si="197"/>
        <v>1.5699267704217446</v>
      </c>
      <c r="Z282" s="337" t="str">
        <f t="shared" si="173"/>
        <v>1+11.5845894523462i</v>
      </c>
      <c r="AA282" s="346">
        <f t="shared" si="198"/>
        <v>11.627670135474725</v>
      </c>
      <c r="AB282" s="347">
        <f t="shared" si="199"/>
        <v>1.4846882048523553</v>
      </c>
      <c r="AC282" s="732" t="str">
        <f t="shared" si="200"/>
        <v>0.435001943900714-5.0904643045896i</v>
      </c>
      <c r="AD282" s="337">
        <f t="shared" si="201"/>
        <v>5.1090168846362483</v>
      </c>
      <c r="AE282" s="339">
        <f t="shared" si="202"/>
        <v>-1.4855491517542967</v>
      </c>
      <c r="AF282" s="736" t="str">
        <f t="shared" si="174"/>
        <v>-0.799427578235459+0.0259697721913083i</v>
      </c>
      <c r="AG282" s="337">
        <f t="shared" si="203"/>
        <v>-1.9398367599459634</v>
      </c>
      <c r="AH282" s="730">
        <f t="shared" si="204"/>
        <v>178.13937460192921</v>
      </c>
      <c r="AI282" s="360">
        <f t="shared" si="175"/>
        <v>-1.8606253980707947</v>
      </c>
      <c r="AL282" s="337">
        <f t="shared" si="176"/>
        <v>14.16674675942814</v>
      </c>
      <c r="AM282" s="730">
        <f t="shared" si="177"/>
        <v>-85.115696654760654</v>
      </c>
      <c r="AN282" s="351"/>
      <c r="AO282" s="337">
        <f t="shared" si="178"/>
        <v>37.422538965668032</v>
      </c>
      <c r="AP282" s="730">
        <f t="shared" si="179"/>
        <v>-96.744928743310126</v>
      </c>
      <c r="AS282" s="351"/>
      <c r="AT282" s="351"/>
      <c r="AV282" s="405">
        <f t="shared" si="180"/>
        <v>0</v>
      </c>
      <c r="AW282" s="405">
        <f t="shared" ref="AW282:AW345" si="205">IF(AV282&gt;0,AI282,0)</f>
        <v>0</v>
      </c>
      <c r="AX282" s="405">
        <f t="shared" si="181"/>
        <v>0</v>
      </c>
      <c r="AY282" s="405">
        <f t="shared" si="182"/>
        <v>0</v>
      </c>
    </row>
    <row r="283" spans="2:51" ht="13.5" thickBot="1" x14ac:dyDescent="0.25">
      <c r="B283" s="345">
        <v>18409</v>
      </c>
      <c r="C283" s="728" t="str">
        <f t="shared" si="165"/>
        <v>2.2271548443541</v>
      </c>
      <c r="D283" s="728" t="str">
        <f t="shared" si="166"/>
        <v>1+14.0728375955841i</v>
      </c>
      <c r="E283" s="337">
        <f t="shared" si="184"/>
        <v>14.108322295428513</v>
      </c>
      <c r="F283" s="338">
        <f t="shared" si="185"/>
        <v>1.4998566919912253</v>
      </c>
      <c r="G283" s="338" t="str">
        <f t="shared" si="167"/>
        <v>1+0.0578335791599345i</v>
      </c>
      <c r="H283" s="337">
        <f t="shared" si="186"/>
        <v>1.0016709653765794</v>
      </c>
      <c r="I283" s="338">
        <f t="shared" si="187"/>
        <v>5.7769229151967909E-2</v>
      </c>
      <c r="J283" s="340">
        <f t="shared" si="168"/>
        <v>1</v>
      </c>
      <c r="K283" s="338">
        <f t="shared" si="188"/>
        <v>1</v>
      </c>
      <c r="L283" s="339">
        <f t="shared" si="189"/>
        <v>0</v>
      </c>
      <c r="M283" s="731" t="str">
        <f t="shared" si="169"/>
        <v>0.984938165288889+0.249314291863498i</v>
      </c>
      <c r="N283" s="338">
        <f t="shared" si="190"/>
        <v>1.0160023649431336</v>
      </c>
      <c r="O283" s="339">
        <f t="shared" si="191"/>
        <v>0.24791940549069014</v>
      </c>
      <c r="P283" s="732" t="str">
        <f t="shared" si="183"/>
        <v>-0.0185093404015781-0.154529769703002i</v>
      </c>
      <c r="Q283" s="337">
        <f t="shared" si="192"/>
        <v>0.15563433235171578</v>
      </c>
      <c r="R283" s="339">
        <f t="shared" si="193"/>
        <v>-1.690006868329947</v>
      </c>
      <c r="S283" s="731" t="str">
        <f t="shared" si="170"/>
        <v>6000</v>
      </c>
      <c r="T283" s="337" t="str">
        <f t="shared" si="171"/>
        <v>1+116823.829903068i</v>
      </c>
      <c r="U283" s="346">
        <f t="shared" si="194"/>
        <v>116823.82990734797</v>
      </c>
      <c r="V283" s="347">
        <f t="shared" si="195"/>
        <v>1.5707877668974783</v>
      </c>
      <c r="W283" s="340" t="str">
        <f t="shared" si="172"/>
        <v>1+1156.67158319869i</v>
      </c>
      <c r="X283" s="337">
        <f t="shared" si="196"/>
        <v>1156.6720154734289</v>
      </c>
      <c r="Y283" s="339">
        <f t="shared" si="197"/>
        <v>1.5699317773710351</v>
      </c>
      <c r="Z283" s="337" t="str">
        <f t="shared" si="173"/>
        <v>1+11.6516804473715i</v>
      </c>
      <c r="AA283" s="346">
        <f t="shared" si="198"/>
        <v>11.694513980822775</v>
      </c>
      <c r="AB283" s="347">
        <f t="shared" si="199"/>
        <v>1.4851815937473494</v>
      </c>
      <c r="AC283" s="732" t="str">
        <f t="shared" si="200"/>
        <v>0.430043361993868-5.06157870821527i</v>
      </c>
      <c r="AD283" s="337">
        <f t="shared" si="201"/>
        <v>5.0798145943186892</v>
      </c>
      <c r="AE283" s="339">
        <f t="shared" si="202"/>
        <v>-1.4860375832737927</v>
      </c>
      <c r="AF283" s="736" t="str">
        <f t="shared" si="174"/>
        <v>-0.790124411088708+0.0272319815885192i</v>
      </c>
      <c r="AG283" s="337">
        <f t="shared" si="203"/>
        <v>-2.0409346313792747</v>
      </c>
      <c r="AH283" s="730">
        <f t="shared" si="204"/>
        <v>178.02605737716365</v>
      </c>
      <c r="AI283" s="360">
        <f t="shared" si="175"/>
        <v>-1.973942622836347</v>
      </c>
      <c r="AL283" s="337">
        <f t="shared" si="176"/>
        <v>14.116957229403852</v>
      </c>
      <c r="AM283" s="730">
        <f t="shared" si="177"/>
        <v>-85.143681719408931</v>
      </c>
      <c r="AN283" s="351"/>
      <c r="AO283" s="337">
        <f t="shared" si="178"/>
        <v>37.371230624258999</v>
      </c>
      <c r="AP283" s="730">
        <f t="shared" si="179"/>
        <v>-96.830260903427387</v>
      </c>
      <c r="AS283" s="351"/>
      <c r="AT283" s="351"/>
      <c r="AV283" s="405">
        <f t="shared" si="180"/>
        <v>0</v>
      </c>
      <c r="AW283" s="405">
        <f t="shared" si="205"/>
        <v>0</v>
      </c>
      <c r="AX283" s="405">
        <f t="shared" si="181"/>
        <v>0</v>
      </c>
      <c r="AY283" s="405">
        <f t="shared" si="182"/>
        <v>0</v>
      </c>
    </row>
    <row r="284" spans="2:51" ht="13.5" thickBot="1" x14ac:dyDescent="0.25">
      <c r="B284" s="345">
        <v>18515</v>
      </c>
      <c r="C284" s="728" t="str">
        <f t="shared" si="165"/>
        <v>2.2271548443541</v>
      </c>
      <c r="D284" s="728" t="str">
        <f t="shared" si="166"/>
        <v>1+14.1538697420957i</v>
      </c>
      <c r="E284" s="337">
        <f t="shared" si="184"/>
        <v>14.18915179551661</v>
      </c>
      <c r="F284" s="338">
        <f t="shared" si="185"/>
        <v>1.5002614780514518</v>
      </c>
      <c r="G284" s="338" t="str">
        <f t="shared" si="167"/>
        <v>1+0.058166587981215i</v>
      </c>
      <c r="H284" s="337">
        <f t="shared" si="186"/>
        <v>1.0016902475103651</v>
      </c>
      <c r="I284" s="338">
        <f t="shared" si="187"/>
        <v>5.8101121481209446E-2</v>
      </c>
      <c r="J284" s="340">
        <f t="shared" si="168"/>
        <v>1</v>
      </c>
      <c r="K284" s="338">
        <f t="shared" si="188"/>
        <v>1</v>
      </c>
      <c r="L284" s="339">
        <f t="shared" si="189"/>
        <v>0</v>
      </c>
      <c r="M284" s="731" t="str">
        <f t="shared" si="169"/>
        <v>0.984764212222222+0.250749856801166i</v>
      </c>
      <c r="N284" s="338">
        <f t="shared" si="190"/>
        <v>1.016187012493005</v>
      </c>
      <c r="O284" s="339">
        <f t="shared" si="191"/>
        <v>0.24933091637514077</v>
      </c>
      <c r="P284" s="732" t="str">
        <f t="shared" si="183"/>
        <v>-0.0186289313368201-0.153597034510283i</v>
      </c>
      <c r="Q284" s="337">
        <f t="shared" si="192"/>
        <v>0.15472261015477029</v>
      </c>
      <c r="R284" s="339">
        <f t="shared" si="193"/>
        <v>-1.6914912729453824</v>
      </c>
      <c r="S284" s="731" t="str">
        <f t="shared" si="170"/>
        <v>6000</v>
      </c>
      <c r="T284" s="337" t="str">
        <f t="shared" si="171"/>
        <v>1+117496.507722054i</v>
      </c>
      <c r="U284" s="346">
        <f t="shared" si="194"/>
        <v>117496.50772630944</v>
      </c>
      <c r="V284" s="347">
        <f t="shared" si="195"/>
        <v>1.5707878159036424</v>
      </c>
      <c r="W284" s="340" t="str">
        <f t="shared" si="172"/>
        <v>1+1163.3317596243i</v>
      </c>
      <c r="X284" s="337">
        <f t="shared" si="196"/>
        <v>1163.3321894242292</v>
      </c>
      <c r="Y284" s="339">
        <f t="shared" si="197"/>
        <v>1.56993672698992</v>
      </c>
      <c r="Z284" s="337" t="str">
        <f t="shared" si="173"/>
        <v>1+11.7187714423969i</v>
      </c>
      <c r="AA284" s="346">
        <f t="shared" si="198"/>
        <v>11.761360640637507</v>
      </c>
      <c r="AB284" s="347">
        <f t="shared" si="199"/>
        <v>1.4856693743272953</v>
      </c>
      <c r="AC284" s="732" t="str">
        <f t="shared" si="200"/>
        <v>0.425168880111977-5.03301668047488i</v>
      </c>
      <c r="AD284" s="337">
        <f t="shared" si="201"/>
        <v>5.0509430290346824</v>
      </c>
      <c r="AE284" s="339">
        <f t="shared" si="202"/>
        <v>-1.4865204632410176</v>
      </c>
      <c r="AF284" s="736" t="str">
        <f t="shared" si="174"/>
        <v>-0.780976878635889+0.0284550430063791i</v>
      </c>
      <c r="AG284" s="337">
        <f t="shared" si="203"/>
        <v>-2.1414749336275305</v>
      </c>
      <c r="AH284" s="730">
        <f t="shared" si="204"/>
        <v>177.91334027347608</v>
      </c>
      <c r="AI284" s="360">
        <f t="shared" si="175"/>
        <v>-2.0866597265239193</v>
      </c>
      <c r="AL284" s="337">
        <f t="shared" si="176"/>
        <v>14.067449400279052</v>
      </c>
      <c r="AM284" s="730">
        <f t="shared" si="177"/>
        <v>-85.171348703542336</v>
      </c>
      <c r="AN284" s="351"/>
      <c r="AO284" s="337">
        <f t="shared" si="178"/>
        <v>37.32019815113555</v>
      </c>
      <c r="AP284" s="730">
        <f t="shared" si="179"/>
        <v>-96.915311022981584</v>
      </c>
      <c r="AS284" s="351"/>
      <c r="AT284" s="351"/>
      <c r="AV284" s="405">
        <f t="shared" si="180"/>
        <v>0</v>
      </c>
      <c r="AW284" s="405">
        <f t="shared" si="205"/>
        <v>0</v>
      </c>
      <c r="AX284" s="405">
        <f t="shared" si="181"/>
        <v>0</v>
      </c>
      <c r="AY284" s="405">
        <f t="shared" si="182"/>
        <v>0</v>
      </c>
    </row>
    <row r="285" spans="2:51" ht="13.5" thickBot="1" x14ac:dyDescent="0.25">
      <c r="B285" s="345">
        <v>18621</v>
      </c>
      <c r="C285" s="728" t="str">
        <f t="shared" si="165"/>
        <v>2.2271548443541</v>
      </c>
      <c r="D285" s="728" t="str">
        <f t="shared" si="166"/>
        <v>1+14.2349018886072i</v>
      </c>
      <c r="E285" s="337">
        <f t="shared" si="184"/>
        <v>14.269983594183731</v>
      </c>
      <c r="F285" s="338">
        <f t="shared" si="185"/>
        <v>1.5006616783850513</v>
      </c>
      <c r="G285" s="338" t="str">
        <f t="shared" si="167"/>
        <v>1+0.0584995968024955i</v>
      </c>
      <c r="H285" s="337">
        <f t="shared" si="186"/>
        <v>1.001709639978599</v>
      </c>
      <c r="I285" s="338">
        <f t="shared" si="187"/>
        <v>5.8433000996553922E-2</v>
      </c>
      <c r="J285" s="340">
        <f t="shared" si="168"/>
        <v>1</v>
      </c>
      <c r="K285" s="338">
        <f t="shared" si="188"/>
        <v>1</v>
      </c>
      <c r="L285" s="339">
        <f t="shared" si="189"/>
        <v>0</v>
      </c>
      <c r="M285" s="731" t="str">
        <f t="shared" si="169"/>
        <v>0.9845892604+0.252185421738834i</v>
      </c>
      <c r="N285" s="338">
        <f t="shared" si="190"/>
        <v>1.016372716395227</v>
      </c>
      <c r="O285" s="339">
        <f t="shared" si="191"/>
        <v>0.25074215540394612</v>
      </c>
      <c r="P285" s="732" t="str">
        <f t="shared" si="183"/>
        <v>-0.0187462939793182-0.152674471697873i</v>
      </c>
      <c r="Q285" s="337">
        <f t="shared" si="192"/>
        <v>0.15382105787629874</v>
      </c>
      <c r="R285" s="339">
        <f t="shared" si="193"/>
        <v>-1.6929708327924429</v>
      </c>
      <c r="S285" s="731" t="str">
        <f t="shared" si="170"/>
        <v>6000</v>
      </c>
      <c r="T285" s="337" t="str">
        <f t="shared" si="171"/>
        <v>1+118169.185541041i</v>
      </c>
      <c r="U285" s="346">
        <f t="shared" si="194"/>
        <v>118169.18554527222</v>
      </c>
      <c r="V285" s="347">
        <f t="shared" si="195"/>
        <v>1.5707878643518713</v>
      </c>
      <c r="W285" s="340" t="str">
        <f t="shared" si="172"/>
        <v>1+1169.99193604991i</v>
      </c>
      <c r="X285" s="337">
        <f t="shared" si="196"/>
        <v>1169.9923634032048</v>
      </c>
      <c r="Y285" s="339">
        <f t="shared" si="197"/>
        <v>1.5699416202574581</v>
      </c>
      <c r="Z285" s="337" t="str">
        <f t="shared" si="173"/>
        <v>1+11.7858624374222i</v>
      </c>
      <c r="AA285" s="346">
        <f t="shared" si="198"/>
        <v>11.828210067201189</v>
      </c>
      <c r="AB285" s="347">
        <f t="shared" si="199"/>
        <v>1.4861516414475315</v>
      </c>
      <c r="AC285" s="732" t="str">
        <f t="shared" si="200"/>
        <v>0.420376611660353-5.00477285569979i</v>
      </c>
      <c r="AD285" s="337">
        <f t="shared" si="201"/>
        <v>5.0223966224085164</v>
      </c>
      <c r="AE285" s="339">
        <f t="shared" si="202"/>
        <v>-1.486997885541945</v>
      </c>
      <c r="AF285" s="736" t="str">
        <f t="shared" si="174"/>
        <v>-0.771981555256035+0.0296401661532738i</v>
      </c>
      <c r="AG285" s="337">
        <f t="shared" si="203"/>
        <v>-2.2414639979830575</v>
      </c>
      <c r="AH285" s="730">
        <f t="shared" si="204"/>
        <v>177.80121345581392</v>
      </c>
      <c r="AI285" s="360">
        <f t="shared" si="175"/>
        <v>-2.1987865441860777</v>
      </c>
      <c r="AL285" s="337">
        <f t="shared" si="176"/>
        <v>14.018220125809066</v>
      </c>
      <c r="AM285" s="730">
        <f t="shared" si="177"/>
        <v>-85.198702986430902</v>
      </c>
      <c r="AN285" s="351"/>
      <c r="AO285" s="337">
        <f t="shared" si="178"/>
        <v>37.269438361250018</v>
      </c>
      <c r="AP285" s="730">
        <f t="shared" si="179"/>
        <v>-97.000083557755161</v>
      </c>
      <c r="AS285" s="351"/>
      <c r="AT285" s="351"/>
      <c r="AV285" s="405">
        <f t="shared" si="180"/>
        <v>0</v>
      </c>
      <c r="AW285" s="405">
        <f t="shared" si="205"/>
        <v>0</v>
      </c>
      <c r="AX285" s="405">
        <f t="shared" si="181"/>
        <v>0</v>
      </c>
      <c r="AY285" s="405">
        <f t="shared" si="182"/>
        <v>0</v>
      </c>
    </row>
    <row r="286" spans="2:51" ht="13.5" thickBot="1" x14ac:dyDescent="0.25">
      <c r="B286" s="345">
        <v>18729.5</v>
      </c>
      <c r="C286" s="728" t="str">
        <f t="shared" si="165"/>
        <v>2.2271548443541</v>
      </c>
      <c r="D286" s="728" t="str">
        <f t="shared" si="166"/>
        <v>1+14.3178451706498i</v>
      </c>
      <c r="E286" s="337">
        <f t="shared" si="184"/>
        <v>14.352724143196644</v>
      </c>
      <c r="F286" s="338">
        <f t="shared" si="185"/>
        <v>1.5010666489113431</v>
      </c>
      <c r="G286" s="338" t="str">
        <f t="shared" si="167"/>
        <v>1+0.05884045960541i</v>
      </c>
      <c r="H286" s="337">
        <f t="shared" si="186"/>
        <v>1.0017296040781543</v>
      </c>
      <c r="I286" s="338">
        <f t="shared" si="187"/>
        <v>5.8772694512643719E-2</v>
      </c>
      <c r="J286" s="340">
        <f t="shared" si="168"/>
        <v>1</v>
      </c>
      <c r="K286" s="338">
        <f t="shared" si="188"/>
        <v>1</v>
      </c>
      <c r="L286" s="339">
        <f t="shared" si="189"/>
        <v>0</v>
      </c>
      <c r="M286" s="731" t="str">
        <f t="shared" si="169"/>
        <v>0.984409147988889+0.253654844340126i</v>
      </c>
      <c r="N286" s="338">
        <f t="shared" si="190"/>
        <v>1.0165638940575374</v>
      </c>
      <c r="O286" s="339">
        <f t="shared" si="191"/>
        <v>0.2521863953197605</v>
      </c>
      <c r="P286" s="732" t="str">
        <f t="shared" si="183"/>
        <v>-0.0188641678991742-0.151740509245226i</v>
      </c>
      <c r="Q286" s="337">
        <f t="shared" si="192"/>
        <v>0.15290859680387087</v>
      </c>
      <c r="R286" s="339">
        <f t="shared" si="193"/>
        <v>-1.6944803497184593</v>
      </c>
      <c r="S286" s="731" t="str">
        <f t="shared" si="170"/>
        <v>6000</v>
      </c>
      <c r="T286" s="337" t="str">
        <f t="shared" si="171"/>
        <v>1+118857.728402928i</v>
      </c>
      <c r="U286" s="346">
        <f t="shared" si="194"/>
        <v>118857.72840713471</v>
      </c>
      <c r="V286" s="347">
        <f t="shared" si="195"/>
        <v>1.5707879133748068</v>
      </c>
      <c r="W286" s="340" t="str">
        <f t="shared" si="172"/>
        <v>1+1176.8091921082i</v>
      </c>
      <c r="X286" s="337">
        <f t="shared" si="196"/>
        <v>1176.8096169858377</v>
      </c>
      <c r="Y286" s="339">
        <f t="shared" si="197"/>
        <v>1.5699465715703356</v>
      </c>
      <c r="Z286" s="337" t="str">
        <f t="shared" si="173"/>
        <v>1+11.8545357672358i</v>
      </c>
      <c r="AA286" s="346">
        <f t="shared" si="198"/>
        <v>11.89663894789923</v>
      </c>
      <c r="AB286" s="347">
        <f t="shared" si="199"/>
        <v>1.4866396695295641</v>
      </c>
      <c r="AC286" s="732" t="str">
        <f t="shared" si="200"/>
        <v>0.415554548669695-4.976186973845i</v>
      </c>
      <c r="AD286" s="337">
        <f t="shared" si="201"/>
        <v>4.9935080235826934</v>
      </c>
      <c r="AE286" s="339">
        <f t="shared" si="202"/>
        <v>-1.4874810113340355</v>
      </c>
      <c r="AF286" s="736" t="str">
        <f t="shared" si="174"/>
        <v>-0.762928236288071+0.0308151677379861i</v>
      </c>
      <c r="AG286" s="337">
        <f t="shared" si="203"/>
        <v>-2.3432469004894383</v>
      </c>
      <c r="AH286" s="730">
        <f t="shared" si="204"/>
        <v>177.68704343798893</v>
      </c>
      <c r="AI286" s="360">
        <f t="shared" si="175"/>
        <v>-2.3129565620110668</v>
      </c>
      <c r="AL286" s="337">
        <f t="shared" si="176"/>
        <v>13.968115040770011</v>
      </c>
      <c r="AM286" s="730">
        <f t="shared" si="177"/>
        <v>-85.226384055291604</v>
      </c>
      <c r="AN286" s="351"/>
      <c r="AO286" s="337">
        <f t="shared" si="178"/>
        <v>37.217760543782688</v>
      </c>
      <c r="AP286" s="730">
        <f t="shared" si="179"/>
        <v>-97.086572506719463</v>
      </c>
      <c r="AS286" s="351"/>
      <c r="AT286" s="351"/>
      <c r="AV286" s="405">
        <f t="shared" si="180"/>
        <v>0</v>
      </c>
      <c r="AW286" s="405">
        <f t="shared" si="205"/>
        <v>0</v>
      </c>
      <c r="AX286" s="405">
        <f t="shared" si="181"/>
        <v>0</v>
      </c>
      <c r="AY286" s="405">
        <f t="shared" si="182"/>
        <v>0</v>
      </c>
    </row>
    <row r="287" spans="2:51" ht="13.5" thickBot="1" x14ac:dyDescent="0.25">
      <c r="B287" s="345">
        <v>18838</v>
      </c>
      <c r="C287" s="728" t="str">
        <f t="shared" si="165"/>
        <v>2.2271548443541</v>
      </c>
      <c r="D287" s="728" t="str">
        <f t="shared" si="166"/>
        <v>1+14.4007884526923i</v>
      </c>
      <c r="E287" s="337">
        <f t="shared" si="184"/>
        <v>14.435467019088641</v>
      </c>
      <c r="F287" s="338">
        <f t="shared" si="185"/>
        <v>1.5014669769890607</v>
      </c>
      <c r="G287" s="338" t="str">
        <f t="shared" si="167"/>
        <v>1+0.0591813224083245i</v>
      </c>
      <c r="H287" s="337">
        <f t="shared" si="186"/>
        <v>1.0017496837643614</v>
      </c>
      <c r="I287" s="338">
        <f t="shared" si="187"/>
        <v>5.9112374449877325E-2</v>
      </c>
      <c r="J287" s="340">
        <f t="shared" si="168"/>
        <v>1</v>
      </c>
      <c r="K287" s="338">
        <f t="shared" si="188"/>
        <v>1</v>
      </c>
      <c r="L287" s="339">
        <f t="shared" si="189"/>
        <v>0</v>
      </c>
      <c r="M287" s="731" t="str">
        <f t="shared" si="169"/>
        <v>0.984227989155556+0.255124266941419i</v>
      </c>
      <c r="N287" s="338">
        <f t="shared" si="190"/>
        <v>1.0167561783532892</v>
      </c>
      <c r="O287" s="339">
        <f t="shared" si="191"/>
        <v>0.25363034735335083</v>
      </c>
      <c r="P287" s="732" t="str">
        <f t="shared" si="183"/>
        <v>-0.0189798093794731-0.150816850825729i</v>
      </c>
      <c r="Q287" s="337">
        <f t="shared" si="192"/>
        <v>0.15200643294634383</v>
      </c>
      <c r="R287" s="339">
        <f t="shared" si="193"/>
        <v>-1.6959849498925339</v>
      </c>
      <c r="S287" s="731" t="str">
        <f t="shared" si="170"/>
        <v>6000</v>
      </c>
      <c r="T287" s="337" t="str">
        <f t="shared" si="171"/>
        <v>1+119546.271264815i</v>
      </c>
      <c r="U287" s="346">
        <f t="shared" si="194"/>
        <v>119546.27126899747</v>
      </c>
      <c r="V287" s="347">
        <f t="shared" si="195"/>
        <v>1.5707879618330338</v>
      </c>
      <c r="W287" s="340" t="str">
        <f t="shared" si="172"/>
        <v>1+1183.62644816649i</v>
      </c>
      <c r="X287" s="337">
        <f t="shared" si="196"/>
        <v>1183.6268705969887</v>
      </c>
      <c r="Y287" s="339">
        <f t="shared" si="197"/>
        <v>1.5699514658477465</v>
      </c>
      <c r="Z287" s="337" t="str">
        <f t="shared" si="173"/>
        <v>1+11.9232090970495i</v>
      </c>
      <c r="AA287" s="346">
        <f t="shared" si="198"/>
        <v>11.965070629627055</v>
      </c>
      <c r="AB287" s="347">
        <f t="shared" si="199"/>
        <v>1.4871221153793595</v>
      </c>
      <c r="AC287" s="732" t="str">
        <f t="shared" si="200"/>
        <v>0.410814789461293-4.94792347765468i</v>
      </c>
      <c r="AD287" s="337">
        <f t="shared" si="201"/>
        <v>4.9649486937899479</v>
      </c>
      <c r="AE287" s="339">
        <f t="shared" si="202"/>
        <v>-1.4879586113646468</v>
      </c>
      <c r="AF287" s="736" t="str">
        <f t="shared" si="174"/>
        <v>-0.754027423420812+0.0319528516109183i</v>
      </c>
      <c r="AG287" s="337">
        <f t="shared" si="203"/>
        <v>-2.4444653446735849</v>
      </c>
      <c r="AH287" s="730">
        <f t="shared" si="204"/>
        <v>177.57347173211048</v>
      </c>
      <c r="AI287" s="360">
        <f t="shared" si="175"/>
        <v>-2.4265282678895232</v>
      </c>
      <c r="AL287" s="337">
        <f t="shared" si="176"/>
        <v>13.918295299854424</v>
      </c>
      <c r="AM287" s="730">
        <f t="shared" si="177"/>
        <v>-85.253748521340952</v>
      </c>
      <c r="AN287" s="351"/>
      <c r="AO287" s="337">
        <f t="shared" si="178"/>
        <v>37.166361840514128</v>
      </c>
      <c r="AP287" s="730">
        <f t="shared" si="179"/>
        <v>-97.172779746548599</v>
      </c>
      <c r="AS287" s="351"/>
      <c r="AT287" s="351"/>
      <c r="AV287" s="405">
        <f t="shared" si="180"/>
        <v>0</v>
      </c>
      <c r="AW287" s="405">
        <f t="shared" si="205"/>
        <v>0</v>
      </c>
      <c r="AX287" s="405">
        <f t="shared" si="181"/>
        <v>0</v>
      </c>
      <c r="AY287" s="405">
        <f t="shared" si="182"/>
        <v>0</v>
      </c>
    </row>
    <row r="288" spans="2:51" ht="13.5" thickBot="1" x14ac:dyDescent="0.25">
      <c r="B288" s="345">
        <v>18946.5</v>
      </c>
      <c r="C288" s="728" t="str">
        <f t="shared" si="165"/>
        <v>2.2271548443541</v>
      </c>
      <c r="D288" s="728" t="str">
        <f t="shared" si="166"/>
        <v>1+14.4837317347348i</v>
      </c>
      <c r="E288" s="337">
        <f t="shared" si="184"/>
        <v>14.518212182075448</v>
      </c>
      <c r="F288" s="338">
        <f t="shared" si="185"/>
        <v>1.5018627418663553</v>
      </c>
      <c r="G288" s="338" t="str">
        <f t="shared" si="167"/>
        <v>1+0.059522185211239i</v>
      </c>
      <c r="H288" s="337">
        <f t="shared" si="186"/>
        <v>1.0017698790302696</v>
      </c>
      <c r="I288" s="338">
        <f t="shared" si="187"/>
        <v>5.9452040730687404E-2</v>
      </c>
      <c r="J288" s="340">
        <f t="shared" si="168"/>
        <v>1</v>
      </c>
      <c r="K288" s="338">
        <f t="shared" si="188"/>
        <v>1</v>
      </c>
      <c r="L288" s="339">
        <f t="shared" si="189"/>
        <v>0</v>
      </c>
      <c r="M288" s="731" t="str">
        <f t="shared" si="169"/>
        <v>0.9840457839+0.256593689542711i</v>
      </c>
      <c r="N288" s="338">
        <f t="shared" si="190"/>
        <v>1.0169495692139834</v>
      </c>
      <c r="O288" s="339">
        <f t="shared" si="191"/>
        <v>0.25507400996405893</v>
      </c>
      <c r="P288" s="732" t="str">
        <f t="shared" si="183"/>
        <v>-0.0190932679536363-0.149903323397623i</v>
      </c>
      <c r="Q288" s="337">
        <f t="shared" si="192"/>
        <v>0.15111439126304846</v>
      </c>
      <c r="R288" s="339">
        <f t="shared" si="193"/>
        <v>-1.6974847110997273</v>
      </c>
      <c r="S288" s="731" t="str">
        <f t="shared" si="170"/>
        <v>6000</v>
      </c>
      <c r="T288" s="337" t="str">
        <f t="shared" si="171"/>
        <v>1+120234.814126703i</v>
      </c>
      <c r="U288" s="346">
        <f t="shared" si="194"/>
        <v>120234.81413086153</v>
      </c>
      <c r="V288" s="347">
        <f t="shared" si="195"/>
        <v>1.5707880097362541</v>
      </c>
      <c r="W288" s="340" t="str">
        <f t="shared" si="172"/>
        <v>1+1190.44370422478i</v>
      </c>
      <c r="X288" s="337">
        <f t="shared" si="196"/>
        <v>1190.4441242361672</v>
      </c>
      <c r="Y288" s="339">
        <f t="shared" si="197"/>
        <v>1.5699563040695561</v>
      </c>
      <c r="Z288" s="337" t="str">
        <f t="shared" si="173"/>
        <v>1+11.9918824268632i</v>
      </c>
      <c r="AA288" s="346">
        <f t="shared" si="198"/>
        <v>12.033505064598195</v>
      </c>
      <c r="AB288" s="347">
        <f t="shared" si="199"/>
        <v>1.4875990740087097</v>
      </c>
      <c r="AC288" s="732" t="str">
        <f t="shared" si="200"/>
        <v>0.406155475926986-4.9199769835049i</v>
      </c>
      <c r="AD288" s="337">
        <f t="shared" si="201"/>
        <v>4.936713055145443</v>
      </c>
      <c r="AE288" s="339">
        <f t="shared" si="202"/>
        <v>-1.4884307796754073</v>
      </c>
      <c r="AF288" s="736" t="str">
        <f t="shared" si="174"/>
        <v>-0.745275736199907+0.0330543832141838i</v>
      </c>
      <c r="AG288" s="337">
        <f t="shared" si="203"/>
        <v>-2.5451257852684432</v>
      </c>
      <c r="AH288" s="730">
        <f t="shared" si="204"/>
        <v>177.46048849323441</v>
      </c>
      <c r="AI288" s="360">
        <f t="shared" si="175"/>
        <v>-2.5395115067655922</v>
      </c>
      <c r="AL288" s="337">
        <f t="shared" si="176"/>
        <v>13.868757694528028</v>
      </c>
      <c r="AM288" s="730">
        <f t="shared" si="177"/>
        <v>-85.280801772767347</v>
      </c>
      <c r="AN288" s="351"/>
      <c r="AO288" s="337">
        <f t="shared" si="178"/>
        <v>37.115239005245662</v>
      </c>
      <c r="AP288" s="730">
        <f t="shared" si="179"/>
        <v>-97.258709733998217</v>
      </c>
      <c r="AS288" s="351"/>
      <c r="AT288" s="351"/>
      <c r="AV288" s="405">
        <f t="shared" si="180"/>
        <v>0</v>
      </c>
      <c r="AW288" s="405">
        <f t="shared" si="205"/>
        <v>0</v>
      </c>
      <c r="AX288" s="405">
        <f t="shared" si="181"/>
        <v>0</v>
      </c>
      <c r="AY288" s="405">
        <f t="shared" si="182"/>
        <v>0</v>
      </c>
    </row>
    <row r="289" spans="2:51" ht="13.5" thickBot="1" x14ac:dyDescent="0.25">
      <c r="B289" s="345">
        <v>19055</v>
      </c>
      <c r="C289" s="728" t="str">
        <f t="shared" si="165"/>
        <v>2.2271548443541</v>
      </c>
      <c r="D289" s="728" t="str">
        <f t="shared" si="166"/>
        <v>1+14.5666750167774i</v>
      </c>
      <c r="E289" s="337">
        <f t="shared" si="184"/>
        <v>14.600959593273547</v>
      </c>
      <c r="F289" s="338">
        <f t="shared" si="185"/>
        <v>1.5022540210006923</v>
      </c>
      <c r="G289" s="338" t="str">
        <f t="shared" si="167"/>
        <v>1+0.0598630480141535i</v>
      </c>
      <c r="H289" s="337">
        <f t="shared" si="186"/>
        <v>1.0017901898688892</v>
      </c>
      <c r="I289" s="338">
        <f t="shared" si="187"/>
        <v>5.9791693277525509E-2</v>
      </c>
      <c r="J289" s="340">
        <f t="shared" si="168"/>
        <v>1</v>
      </c>
      <c r="K289" s="338">
        <f t="shared" si="188"/>
        <v>1</v>
      </c>
      <c r="L289" s="339">
        <f t="shared" si="189"/>
        <v>0</v>
      </c>
      <c r="M289" s="731" t="str">
        <f t="shared" si="169"/>
        <v>0.983862532222222+0.258063112144003i</v>
      </c>
      <c r="N289" s="338">
        <f t="shared" si="190"/>
        <v>1.0171440665707936</v>
      </c>
      <c r="O289" s="339">
        <f t="shared" si="191"/>
        <v>0.25651738161334009</v>
      </c>
      <c r="P289" s="732" t="str">
        <f t="shared" si="183"/>
        <v>-0.019204591765125-0.148999757767409i</v>
      </c>
      <c r="Q289" s="337">
        <f t="shared" si="192"/>
        <v>0.15023230065339369</v>
      </c>
      <c r="R289" s="339">
        <f t="shared" si="193"/>
        <v>-1.6989797093365067</v>
      </c>
      <c r="S289" s="731" t="str">
        <f t="shared" si="170"/>
        <v>6000</v>
      </c>
      <c r="T289" s="337" t="str">
        <f t="shared" si="171"/>
        <v>1+120923.35698859i</v>
      </c>
      <c r="U289" s="346">
        <f t="shared" si="194"/>
        <v>120923.35699272486</v>
      </c>
      <c r="V289" s="347">
        <f t="shared" si="195"/>
        <v>1.5707880570939481</v>
      </c>
      <c r="W289" s="340" t="str">
        <f t="shared" si="172"/>
        <v>1+1197.26096028307i</v>
      </c>
      <c r="X289" s="337">
        <f t="shared" si="196"/>
        <v>1197.261377902895</v>
      </c>
      <c r="Y289" s="339">
        <f t="shared" si="197"/>
        <v>1.5699610871933132</v>
      </c>
      <c r="Z289" s="337" t="str">
        <f t="shared" si="173"/>
        <v>1+12.0605557566769i</v>
      </c>
      <c r="AA289" s="346">
        <f t="shared" si="198"/>
        <v>12.10194220610528</v>
      </c>
      <c r="AB289" s="347">
        <f t="shared" si="199"/>
        <v>1.4880706382903373</v>
      </c>
      <c r="AC289" s="732" t="str">
        <f t="shared" si="200"/>
        <v>0.401574801979622-4.89234222607685i</v>
      </c>
      <c r="AD289" s="337">
        <f t="shared" si="201"/>
        <v>4.9087956546020086</v>
      </c>
      <c r="AE289" s="339">
        <f t="shared" si="202"/>
        <v>-1.4888976081909724</v>
      </c>
      <c r="AF289" s="736" t="str">
        <f t="shared" si="174"/>
        <v>-0.736669886735897+0.0341208870066299i</v>
      </c>
      <c r="AG289" s="337">
        <f t="shared" si="203"/>
        <v>-2.6452345689195016</v>
      </c>
      <c r="AH289" s="730">
        <f t="shared" si="204"/>
        <v>177.34808410018925</v>
      </c>
      <c r="AI289" s="360">
        <f t="shared" si="175"/>
        <v>-2.6519158998107457</v>
      </c>
      <c r="AL289" s="337">
        <f t="shared" si="176"/>
        <v>13.819499069677551</v>
      </c>
      <c r="AM289" s="730">
        <f t="shared" si="177"/>
        <v>-85.307549076465591</v>
      </c>
      <c r="AN289" s="351"/>
      <c r="AO289" s="337">
        <f t="shared" si="178"/>
        <v>37.064388846445084</v>
      </c>
      <c r="AP289" s="730">
        <f t="shared" si="179"/>
        <v>-97.344366823345169</v>
      </c>
      <c r="AS289" s="351"/>
      <c r="AT289" s="351"/>
      <c r="AV289" s="405">
        <f t="shared" si="180"/>
        <v>0</v>
      </c>
      <c r="AW289" s="405">
        <f t="shared" si="205"/>
        <v>0</v>
      </c>
      <c r="AX289" s="405">
        <f t="shared" si="181"/>
        <v>0</v>
      </c>
      <c r="AY289" s="405">
        <f t="shared" si="182"/>
        <v>0</v>
      </c>
    </row>
    <row r="290" spans="2:51" ht="13.5" thickBot="1" x14ac:dyDescent="0.25">
      <c r="B290" s="345">
        <v>19165.75</v>
      </c>
      <c r="C290" s="728" t="str">
        <f t="shared" si="165"/>
        <v>2.2271548443541</v>
      </c>
      <c r="D290" s="728" t="str">
        <f t="shared" si="166"/>
        <v>1+14.6513383207977i</v>
      </c>
      <c r="E290" s="337">
        <f t="shared" si="184"/>
        <v>14.68542524377402</v>
      </c>
      <c r="F290" s="338">
        <f t="shared" si="185"/>
        <v>1.5026488665966544</v>
      </c>
      <c r="G290" s="338" t="str">
        <f t="shared" si="167"/>
        <v>1+0.0602109794005385i</v>
      </c>
      <c r="H290" s="337">
        <f t="shared" si="186"/>
        <v>1.0018110410852799</v>
      </c>
      <c r="I290" s="338">
        <f t="shared" si="187"/>
        <v>6.0138375065713595E-2</v>
      </c>
      <c r="J290" s="340">
        <f t="shared" si="168"/>
        <v>1</v>
      </c>
      <c r="K290" s="338">
        <f t="shared" si="188"/>
        <v>1</v>
      </c>
      <c r="L290" s="339">
        <f t="shared" si="189"/>
        <v>0</v>
      </c>
      <c r="M290" s="731" t="str">
        <f t="shared" si="169"/>
        <v>0.983674401197222+0.259563006642557i</v>
      </c>
      <c r="N290" s="338">
        <f t="shared" si="190"/>
        <v>1.0173437383638027</v>
      </c>
      <c r="O290" s="339">
        <f t="shared" si="191"/>
        <v>0.25799038326264695</v>
      </c>
      <c r="P290" s="732" t="str">
        <f t="shared" si="183"/>
        <v>-0.0193160711018243-0.14808755661965i</v>
      </c>
      <c r="Q290" s="337">
        <f t="shared" si="192"/>
        <v>0.1493420069116147</v>
      </c>
      <c r="R290" s="339">
        <f t="shared" si="193"/>
        <v>-1.7005008747935886</v>
      </c>
      <c r="S290" s="731" t="str">
        <f t="shared" si="170"/>
        <v>6000</v>
      </c>
      <c r="T290" s="337" t="str">
        <f t="shared" si="171"/>
        <v>1+121626.178389088i</v>
      </c>
      <c r="U290" s="346">
        <f t="shared" si="194"/>
        <v>121626.17839319898</v>
      </c>
      <c r="V290" s="347">
        <f t="shared" si="195"/>
        <v>1.5707881048807231</v>
      </c>
      <c r="W290" s="340" t="str">
        <f t="shared" si="172"/>
        <v>1+1204.21958801077i</v>
      </c>
      <c r="X290" s="337">
        <f t="shared" si="196"/>
        <v>1204.2200032173641</v>
      </c>
      <c r="Y290" s="339">
        <f t="shared" si="197"/>
        <v>1.5699659136542252</v>
      </c>
      <c r="Z290" s="337" t="str">
        <f t="shared" si="173"/>
        <v>1+12.1306531878i</v>
      </c>
      <c r="AA290" s="346">
        <f t="shared" si="198"/>
        <v>12.171801294906286</v>
      </c>
      <c r="AB290" s="347">
        <f t="shared" si="199"/>
        <v>1.4885465125240582</v>
      </c>
      <c r="AC290" s="732" t="str">
        <f t="shared" si="200"/>
        <v>0.396978416708996-4.86445055063317i</v>
      </c>
      <c r="AD290" s="337">
        <f t="shared" si="201"/>
        <v>4.8806219913949631</v>
      </c>
      <c r="AE290" s="339">
        <f t="shared" si="202"/>
        <v>-1.4893687037505559</v>
      </c>
      <c r="AF290" s="736" t="str">
        <f t="shared" si="174"/>
        <v>-0.728032659663418+0.0351745089461662i</v>
      </c>
      <c r="AG290" s="337">
        <f t="shared" si="203"/>
        <v>-2.7468568861200096</v>
      </c>
      <c r="AH290" s="730">
        <f t="shared" si="204"/>
        <v>177.23393595224587</v>
      </c>
      <c r="AI290" s="360">
        <f t="shared" si="175"/>
        <v>-2.7660640477541278</v>
      </c>
      <c r="AL290" s="337">
        <f t="shared" si="176"/>
        <v>13.769503449141247</v>
      </c>
      <c r="AM290" s="730">
        <f t="shared" si="177"/>
        <v>-85.334540863777079</v>
      </c>
      <c r="AN290" s="351"/>
      <c r="AO290" s="337">
        <f t="shared" si="178"/>
        <v>37.012762149780876</v>
      </c>
      <c r="AP290" s="730">
        <f t="shared" si="179"/>
        <v>-97.431523183977063</v>
      </c>
      <c r="AS290" s="351"/>
      <c r="AT290" s="351"/>
      <c r="AV290" s="405">
        <f t="shared" si="180"/>
        <v>0</v>
      </c>
      <c r="AW290" s="405">
        <f t="shared" si="205"/>
        <v>0</v>
      </c>
      <c r="AX290" s="405">
        <f t="shared" si="181"/>
        <v>0</v>
      </c>
      <c r="AY290" s="405">
        <f t="shared" si="182"/>
        <v>0</v>
      </c>
    </row>
    <row r="291" spans="2:51" ht="13.5" thickBot="1" x14ac:dyDescent="0.25">
      <c r="B291" s="345">
        <v>19276.5</v>
      </c>
      <c r="C291" s="728" t="str">
        <f t="shared" si="165"/>
        <v>2.2271548443541</v>
      </c>
      <c r="D291" s="728" t="str">
        <f t="shared" si="166"/>
        <v>1+14.7360016248181i</v>
      </c>
      <c r="E291" s="337">
        <f t="shared" si="184"/>
        <v>14.769893157590602</v>
      </c>
      <c r="F291" s="338">
        <f t="shared" si="185"/>
        <v>1.5030391960680536</v>
      </c>
      <c r="G291" s="338" t="str">
        <f t="shared" si="167"/>
        <v>1+0.0605589107869235i</v>
      </c>
      <c r="H291" s="337">
        <f t="shared" si="186"/>
        <v>1.0018320127025779</v>
      </c>
      <c r="I291" s="338">
        <f t="shared" si="187"/>
        <v>6.0485042381200498E-2</v>
      </c>
      <c r="J291" s="340">
        <f t="shared" si="168"/>
        <v>1</v>
      </c>
      <c r="K291" s="338">
        <f t="shared" si="188"/>
        <v>1</v>
      </c>
      <c r="L291" s="339">
        <f t="shared" si="189"/>
        <v>0</v>
      </c>
      <c r="M291" s="731" t="str">
        <f t="shared" si="169"/>
        <v>0.9834851799+0.261062901141111i</v>
      </c>
      <c r="N291" s="338">
        <f t="shared" si="190"/>
        <v>1.0175445628743485</v>
      </c>
      <c r="O291" s="339">
        <f t="shared" si="191"/>
        <v>0.25946307852536349</v>
      </c>
      <c r="P291" s="732" t="str">
        <f t="shared" si="183"/>
        <v>-0.0194254233532501-0.14718539029632i</v>
      </c>
      <c r="Q291" s="337">
        <f t="shared" si="192"/>
        <v>0.14846173308005348</v>
      </c>
      <c r="R291" s="339">
        <f t="shared" si="193"/>
        <v>-1.7020172322122176</v>
      </c>
      <c r="S291" s="731" t="str">
        <f t="shared" si="170"/>
        <v>6000</v>
      </c>
      <c r="T291" s="337" t="str">
        <f t="shared" si="171"/>
        <v>1+122328.999789585i</v>
      </c>
      <c r="U291" s="346">
        <f t="shared" si="194"/>
        <v>122328.99979367235</v>
      </c>
      <c r="V291" s="347">
        <f t="shared" si="195"/>
        <v>1.5707881521183955</v>
      </c>
      <c r="W291" s="340" t="str">
        <f t="shared" si="172"/>
        <v>1+1211.17821573847i</v>
      </c>
      <c r="X291" s="337">
        <f t="shared" si="196"/>
        <v>1211.1786285595631</v>
      </c>
      <c r="Y291" s="339">
        <f t="shared" si="197"/>
        <v>1.5699706846558807</v>
      </c>
      <c r="Z291" s="337" t="str">
        <f t="shared" si="173"/>
        <v>1+12.2007506189232i</v>
      </c>
      <c r="AA291" s="346">
        <f t="shared" si="198"/>
        <v>12.241663108628455</v>
      </c>
      <c r="AB291" s="347">
        <f t="shared" si="199"/>
        <v>1.4890169553403518</v>
      </c>
      <c r="AC291" s="732" t="str">
        <f t="shared" si="200"/>
        <v>0.392460322106849-4.83687295250554i</v>
      </c>
      <c r="AD291" s="337">
        <f t="shared" si="201"/>
        <v>4.8527688037972583</v>
      </c>
      <c r="AE291" s="339">
        <f t="shared" si="202"/>
        <v>-1.489834422802867</v>
      </c>
      <c r="AF291" s="736" t="str">
        <f t="shared" si="174"/>
        <v>-0.71954074123452+0.0361938791231888i</v>
      </c>
      <c r="AG291" s="337">
        <f t="shared" si="203"/>
        <v>-2.8479174576891348</v>
      </c>
      <c r="AH291" s="730">
        <f t="shared" si="204"/>
        <v>177.12037133578883</v>
      </c>
      <c r="AI291" s="360">
        <f t="shared" si="175"/>
        <v>-2.8796286642111681</v>
      </c>
      <c r="AL291" s="337">
        <f t="shared" si="176"/>
        <v>13.719792021950234</v>
      </c>
      <c r="AM291" s="730">
        <f t="shared" si="177"/>
        <v>-85.361224599913342</v>
      </c>
      <c r="AN291" s="351"/>
      <c r="AO291" s="337">
        <f t="shared" si="178"/>
        <v>36.961413005402768</v>
      </c>
      <c r="AP291" s="730">
        <f t="shared" si="179"/>
        <v>-97.518404064297854</v>
      </c>
      <c r="AS291" s="351"/>
      <c r="AT291" s="351"/>
      <c r="AV291" s="405">
        <f t="shared" si="180"/>
        <v>0</v>
      </c>
      <c r="AW291" s="405">
        <f t="shared" si="205"/>
        <v>0</v>
      </c>
      <c r="AX291" s="405">
        <f t="shared" si="181"/>
        <v>0</v>
      </c>
      <c r="AY291" s="405">
        <f t="shared" si="182"/>
        <v>0</v>
      </c>
    </row>
    <row r="292" spans="2:51" ht="13.5" thickBot="1" x14ac:dyDescent="0.25">
      <c r="B292" s="345">
        <v>19387.25</v>
      </c>
      <c r="C292" s="728" t="str">
        <f t="shared" si="165"/>
        <v>2.2271548443541</v>
      </c>
      <c r="D292" s="728" t="str">
        <f t="shared" si="166"/>
        <v>1+14.8206649288384i</v>
      </c>
      <c r="E292" s="337">
        <f t="shared" si="184"/>
        <v>14.854363296112712</v>
      </c>
      <c r="F292" s="338">
        <f t="shared" si="185"/>
        <v>1.5034250863384819</v>
      </c>
      <c r="G292" s="338" t="str">
        <f t="shared" si="167"/>
        <v>1+0.0609068421733085i</v>
      </c>
      <c r="H292" s="337">
        <f t="shared" si="186"/>
        <v>1.0018531047132231</v>
      </c>
      <c r="I292" s="338">
        <f t="shared" si="187"/>
        <v>6.0831695141573994E-2</v>
      </c>
      <c r="J292" s="340">
        <f t="shared" si="168"/>
        <v>1</v>
      </c>
      <c r="K292" s="338">
        <f t="shared" si="188"/>
        <v>1</v>
      </c>
      <c r="L292" s="339">
        <f t="shared" si="189"/>
        <v>0</v>
      </c>
      <c r="M292" s="731" t="str">
        <f t="shared" si="169"/>
        <v>0.983294868330556+0.262562795639665i</v>
      </c>
      <c r="N292" s="338">
        <f t="shared" si="190"/>
        <v>1.0177465400281751</v>
      </c>
      <c r="O292" s="339">
        <f t="shared" si="191"/>
        <v>0.26093546577209809</v>
      </c>
      <c r="P292" s="732" t="str">
        <f t="shared" si="183"/>
        <v>-0.0195326955348102-0.146293090590834i</v>
      </c>
      <c r="Q292" s="337">
        <f t="shared" si="192"/>
        <v>0.14759130919357533</v>
      </c>
      <c r="R292" s="339">
        <f t="shared" si="193"/>
        <v>-1.7035288569690057</v>
      </c>
      <c r="S292" s="731" t="str">
        <f t="shared" si="170"/>
        <v>6000</v>
      </c>
      <c r="T292" s="337" t="str">
        <f t="shared" si="171"/>
        <v>1+123031.821190083i</v>
      </c>
      <c r="U292" s="346">
        <f t="shared" si="194"/>
        <v>123031.82119414699</v>
      </c>
      <c r="V292" s="347">
        <f t="shared" si="195"/>
        <v>1.5707881988163761</v>
      </c>
      <c r="W292" s="340" t="str">
        <f t="shared" si="172"/>
        <v>1+1218.13684346617i</v>
      </c>
      <c r="X292" s="337">
        <f t="shared" si="196"/>
        <v>1218.1372539290162</v>
      </c>
      <c r="Y292" s="339">
        <f t="shared" si="197"/>
        <v>1.5699754011487148</v>
      </c>
      <c r="Z292" s="337" t="str">
        <f t="shared" si="173"/>
        <v>1+12.2708480500463i</v>
      </c>
      <c r="AA292" s="346">
        <f t="shared" si="198"/>
        <v>12.311527600883858</v>
      </c>
      <c r="AB292" s="347">
        <f t="shared" si="199"/>
        <v>1.4894820589945366</v>
      </c>
      <c r="AC292" s="732" t="str">
        <f t="shared" si="200"/>
        <v>0.388018754091697-4.80960419293958i</v>
      </c>
      <c r="AD292" s="337">
        <f t="shared" si="201"/>
        <v>4.8252306728558443</v>
      </c>
      <c r="AE292" s="339">
        <f t="shared" si="202"/>
        <v>-1.4902948566621979</v>
      </c>
      <c r="AF292" s="736" t="str">
        <f t="shared" si="174"/>
        <v>-0.711190914089235+0.0371800716003562i</v>
      </c>
      <c r="AG292" s="337">
        <f t="shared" si="203"/>
        <v>-2.9484227001252306</v>
      </c>
      <c r="AH292" s="730">
        <f t="shared" si="204"/>
        <v>177.00738070013279</v>
      </c>
      <c r="AI292" s="360">
        <f t="shared" si="175"/>
        <v>-2.992619299867215</v>
      </c>
      <c r="AL292" s="337">
        <f t="shared" si="176"/>
        <v>13.67036159734255</v>
      </c>
      <c r="AM292" s="730">
        <f t="shared" si="177"/>
        <v>-85.387605516797919</v>
      </c>
      <c r="AN292" s="351"/>
      <c r="AO292" s="337">
        <f t="shared" si="178"/>
        <v>36.910338187574347</v>
      </c>
      <c r="AP292" s="730">
        <f t="shared" si="179"/>
        <v>-97.605013783069296</v>
      </c>
      <c r="AS292" s="351"/>
      <c r="AT292" s="351"/>
      <c r="AV292" s="405">
        <f t="shared" si="180"/>
        <v>0</v>
      </c>
      <c r="AW292" s="405">
        <f t="shared" si="205"/>
        <v>0</v>
      </c>
      <c r="AX292" s="405">
        <f t="shared" si="181"/>
        <v>0</v>
      </c>
      <c r="AY292" s="405">
        <f t="shared" si="182"/>
        <v>0</v>
      </c>
    </row>
    <row r="293" spans="2:51" ht="13.5" thickBot="1" x14ac:dyDescent="0.25">
      <c r="B293" s="345">
        <v>19498</v>
      </c>
      <c r="C293" s="728" t="str">
        <f t="shared" si="165"/>
        <v>2.2271548443541</v>
      </c>
      <c r="D293" s="728" t="str">
        <f t="shared" si="166"/>
        <v>1+14.9053282328589i</v>
      </c>
      <c r="E293" s="337">
        <f t="shared" si="184"/>
        <v>14.938835621602527</v>
      </c>
      <c r="F293" s="338">
        <f t="shared" si="185"/>
        <v>1.5038066125970191</v>
      </c>
      <c r="G293" s="338" t="str">
        <f t="shared" si="167"/>
        <v>1+0.061254773559694i</v>
      </c>
      <c r="H293" s="337">
        <f t="shared" si="186"/>
        <v>1.0018743171096109</v>
      </c>
      <c r="I293" s="338">
        <f t="shared" si="187"/>
        <v>6.117833326444324E-2</v>
      </c>
      <c r="J293" s="340">
        <f t="shared" si="168"/>
        <v>1</v>
      </c>
      <c r="K293" s="338">
        <f t="shared" si="188"/>
        <v>1</v>
      </c>
      <c r="L293" s="339">
        <f t="shared" si="189"/>
        <v>0</v>
      </c>
      <c r="M293" s="731" t="str">
        <f t="shared" si="169"/>
        <v>0.983103466488889+0.264062690138221i</v>
      </c>
      <c r="N293" s="338">
        <f t="shared" si="190"/>
        <v>1.0179496697506731</v>
      </c>
      <c r="O293" s="339">
        <f t="shared" si="191"/>
        <v>0.26240754337579558</v>
      </c>
      <c r="P293" s="732" t="str">
        <f t="shared" si="183"/>
        <v>-0.0196379333456546-0.145410493032542i</v>
      </c>
      <c r="Q293" s="337">
        <f t="shared" si="192"/>
        <v>0.14673056910560703</v>
      </c>
      <c r="R293" s="339">
        <f t="shared" si="193"/>
        <v>-1.7050358227083717</v>
      </c>
      <c r="S293" s="731" t="str">
        <f t="shared" si="170"/>
        <v>6000</v>
      </c>
      <c r="T293" s="337" t="str">
        <f t="shared" si="171"/>
        <v>1+123734.642590582i</v>
      </c>
      <c r="U293" s="346">
        <f t="shared" si="194"/>
        <v>123734.64259462291</v>
      </c>
      <c r="V293" s="347">
        <f t="shared" si="195"/>
        <v>1.570788244983861</v>
      </c>
      <c r="W293" s="340" t="str">
        <f t="shared" si="172"/>
        <v>1+1225.09547119388i</v>
      </c>
      <c r="X293" s="337">
        <f t="shared" si="196"/>
        <v>1225.0958793252694</v>
      </c>
      <c r="Y293" s="339">
        <f t="shared" si="197"/>
        <v>1.5699800640615682</v>
      </c>
      <c r="Z293" s="337" t="str">
        <f t="shared" si="173"/>
        <v>1+12.3409454811696i</v>
      </c>
      <c r="AA293" s="346">
        <f t="shared" si="198"/>
        <v>12.381394726330326</v>
      </c>
      <c r="AB293" s="347">
        <f t="shared" si="199"/>
        <v>1.4899419136689394</v>
      </c>
      <c r="AC293" s="732" t="str">
        <f t="shared" si="200"/>
        <v>0.38365199788063-4.78263914821207i</v>
      </c>
      <c r="AD293" s="337">
        <f t="shared" si="201"/>
        <v>4.7980023006964547</v>
      </c>
      <c r="AE293" s="339">
        <f t="shared" si="202"/>
        <v>-1.4907500945912324</v>
      </c>
      <c r="AF293" s="736" t="str">
        <f t="shared" si="174"/>
        <v>-0.702980048900561+0.0381341226441647i</v>
      </c>
      <c r="AG293" s="337">
        <f t="shared" si="203"/>
        <v>-3.0483789226163331</v>
      </c>
      <c r="AH293" s="730">
        <f t="shared" si="204"/>
        <v>176.89495471138838</v>
      </c>
      <c r="AI293" s="360">
        <f t="shared" si="175"/>
        <v>-3.1050452886116204</v>
      </c>
      <c r="AL293" s="337">
        <f t="shared" si="176"/>
        <v>13.62120903761971</v>
      </c>
      <c r="AM293" s="730">
        <f t="shared" si="177"/>
        <v>-85.413688728805866</v>
      </c>
      <c r="AN293" s="351"/>
      <c r="AO293" s="337">
        <f t="shared" si="178"/>
        <v>36.859534524806094</v>
      </c>
      <c r="AP293" s="730">
        <f t="shared" si="179"/>
        <v>-97.691356559805783</v>
      </c>
      <c r="AS293" s="351"/>
      <c r="AT293" s="351"/>
      <c r="AV293" s="405">
        <f t="shared" si="180"/>
        <v>0</v>
      </c>
      <c r="AW293" s="405">
        <f t="shared" si="205"/>
        <v>0</v>
      </c>
      <c r="AX293" s="405">
        <f t="shared" si="181"/>
        <v>0</v>
      </c>
      <c r="AY293" s="405">
        <f t="shared" si="182"/>
        <v>0</v>
      </c>
    </row>
    <row r="294" spans="2:51" ht="13.5" thickBot="1" x14ac:dyDescent="0.25">
      <c r="B294" s="345">
        <v>19611.75</v>
      </c>
      <c r="C294" s="728" t="str">
        <f t="shared" si="165"/>
        <v>2.2271548443541</v>
      </c>
      <c r="D294" s="728" t="str">
        <f t="shared" si="166"/>
        <v>1+14.9922848995163i</v>
      </c>
      <c r="E294" s="337">
        <f t="shared" si="184"/>
        <v>15.025598374383112</v>
      </c>
      <c r="F294" s="338">
        <f t="shared" si="185"/>
        <v>1.5041940079167215</v>
      </c>
      <c r="G294" s="338" t="str">
        <f t="shared" si="167"/>
        <v>1+0.0616121297240395i</v>
      </c>
      <c r="H294" s="337">
        <f t="shared" si="186"/>
        <v>1.0018962294215563</v>
      </c>
      <c r="I294" s="338">
        <f t="shared" si="187"/>
        <v>6.1534345809155337E-2</v>
      </c>
      <c r="J294" s="340">
        <f t="shared" si="168"/>
        <v>1</v>
      </c>
      <c r="K294" s="338">
        <f t="shared" si="188"/>
        <v>1</v>
      </c>
      <c r="L294" s="339">
        <f t="shared" si="189"/>
        <v>0</v>
      </c>
      <c r="M294" s="731" t="str">
        <f t="shared" si="169"/>
        <v>0.982905744975+0.265603213833122i</v>
      </c>
      <c r="N294" s="338">
        <f t="shared" si="190"/>
        <v>1.0181595016024467</v>
      </c>
      <c r="O294" s="339">
        <f t="shared" si="191"/>
        <v>0.26391917262613251</v>
      </c>
      <c r="P294" s="732" t="str">
        <f t="shared" si="183"/>
        <v>-0.0197439507215293-0.144513918646651i</v>
      </c>
      <c r="Q294" s="337">
        <f t="shared" si="192"/>
        <v>0.14585642348798025</v>
      </c>
      <c r="R294" s="339">
        <f t="shared" si="193"/>
        <v>-1.7065788347336992</v>
      </c>
      <c r="S294" s="731" t="str">
        <f t="shared" si="170"/>
        <v>6000</v>
      </c>
      <c r="T294" s="337" t="str">
        <f t="shared" si="171"/>
        <v>1+124456.50204256i</v>
      </c>
      <c r="U294" s="346">
        <f t="shared" si="194"/>
        <v>124456.50204657744</v>
      </c>
      <c r="V294" s="347">
        <f t="shared" si="195"/>
        <v>1.5707882918591274</v>
      </c>
      <c r="W294" s="340" t="str">
        <f t="shared" si="172"/>
        <v>1+1232.24259448079i</v>
      </c>
      <c r="X294" s="337">
        <f t="shared" si="196"/>
        <v>1232.2430002449796</v>
      </c>
      <c r="Y294" s="339">
        <f t="shared" si="197"/>
        <v>1.5699847984603359</v>
      </c>
      <c r="Z294" s="337" t="str">
        <f t="shared" si="173"/>
        <v>1+12.4129417140387i</v>
      </c>
      <c r="AA294" s="346">
        <f t="shared" si="198"/>
        <v>12.453157109589602</v>
      </c>
      <c r="AB294" s="347">
        <f t="shared" si="199"/>
        <v>1.4904088533175834</v>
      </c>
      <c r="AC294" s="732" t="str">
        <f t="shared" si="200"/>
        <v>0.379243083012704-4.75525457658556i</v>
      </c>
      <c r="AD294" s="337">
        <f t="shared" si="201"/>
        <v>4.7703533835713783</v>
      </c>
      <c r="AE294" s="339">
        <f t="shared" si="202"/>
        <v>-1.4912123467163754</v>
      </c>
      <c r="AF294" s="736" t="str">
        <f t="shared" si="174"/>
        <v>-0.694688229767284+0.039081607982629i</v>
      </c>
      <c r="AG294" s="337">
        <f t="shared" si="203"/>
        <v>-3.1504777498834793</v>
      </c>
      <c r="AH294" s="730">
        <f t="shared" si="204"/>
        <v>176.78006153875751</v>
      </c>
      <c r="AI294" s="360">
        <f t="shared" si="175"/>
        <v>-3.2199384612424922</v>
      </c>
      <c r="AL294" s="337">
        <f t="shared" si="176"/>
        <v>13.571011047680056</v>
      </c>
      <c r="AM294" s="730">
        <f t="shared" si="177"/>
        <v>-85.440173824647516</v>
      </c>
      <c r="AN294" s="351"/>
      <c r="AO294" s="337">
        <f t="shared" si="178"/>
        <v>36.807633687478599</v>
      </c>
      <c r="AP294" s="730">
        <f t="shared" si="179"/>
        <v>-97.77976463659499</v>
      </c>
      <c r="AS294" s="351"/>
      <c r="AT294" s="351"/>
      <c r="AV294" s="405">
        <f t="shared" si="180"/>
        <v>0</v>
      </c>
      <c r="AW294" s="405">
        <f t="shared" si="205"/>
        <v>0</v>
      </c>
      <c r="AX294" s="405">
        <f t="shared" si="181"/>
        <v>0</v>
      </c>
      <c r="AY294" s="405">
        <f t="shared" si="182"/>
        <v>0</v>
      </c>
    </row>
    <row r="295" spans="2:51" ht="13.5" thickBot="1" x14ac:dyDescent="0.25">
      <c r="B295" s="345">
        <v>19725.5</v>
      </c>
      <c r="C295" s="728" t="str">
        <f t="shared" si="165"/>
        <v>2.2271548443541</v>
      </c>
      <c r="D295" s="728" t="str">
        <f t="shared" si="166"/>
        <v>1+15.0792415661738i</v>
      </c>
      <c r="E295" s="337">
        <f t="shared" si="184"/>
        <v>15.112363356239939</v>
      </c>
      <c r="F295" s="338">
        <f t="shared" si="185"/>
        <v>1.504576954968873</v>
      </c>
      <c r="G295" s="338" t="str">
        <f t="shared" si="167"/>
        <v>1+0.0619694858883855i</v>
      </c>
      <c r="H295" s="337">
        <f t="shared" si="186"/>
        <v>1.0019182687132073</v>
      </c>
      <c r="I295" s="338">
        <f t="shared" si="187"/>
        <v>6.1890342736503338E-2</v>
      </c>
      <c r="J295" s="340">
        <f t="shared" si="168"/>
        <v>1</v>
      </c>
      <c r="K295" s="338">
        <f t="shared" si="188"/>
        <v>1</v>
      </c>
      <c r="L295" s="339">
        <f t="shared" si="189"/>
        <v>0</v>
      </c>
      <c r="M295" s="731" t="str">
        <f t="shared" si="169"/>
        <v>0.982706873322222+0.267143737528026i</v>
      </c>
      <c r="N295" s="338">
        <f t="shared" si="190"/>
        <v>1.0183705491495618</v>
      </c>
      <c r="O295" s="339">
        <f t="shared" si="191"/>
        <v>0.26543047175930495</v>
      </c>
      <c r="P295" s="732" t="str">
        <f t="shared" si="183"/>
        <v>-0.019847915666057-0.143627239114246i</v>
      </c>
      <c r="Q295" s="337">
        <f t="shared" si="192"/>
        <v>0.1449921500353302</v>
      </c>
      <c r="R295" s="339">
        <f t="shared" si="193"/>
        <v>-1.7081170839916737</v>
      </c>
      <c r="S295" s="731" t="str">
        <f t="shared" si="170"/>
        <v>6000</v>
      </c>
      <c r="T295" s="337" t="str">
        <f t="shared" si="171"/>
        <v>1+125178.361494539i</v>
      </c>
      <c r="U295" s="346">
        <f t="shared" si="194"/>
        <v>125178.36149853331</v>
      </c>
      <c r="V295" s="347">
        <f t="shared" si="195"/>
        <v>1.5707883381937675</v>
      </c>
      <c r="W295" s="340" t="str">
        <f t="shared" si="172"/>
        <v>1+1239.38971776771i</v>
      </c>
      <c r="X295" s="337">
        <f t="shared" si="196"/>
        <v>1239.3901211920013</v>
      </c>
      <c r="Y295" s="339">
        <f t="shared" si="197"/>
        <v>1.5699894782559241</v>
      </c>
      <c r="Z295" s="337" t="str">
        <f t="shared" si="173"/>
        <v>1+12.4849379469079i</v>
      </c>
      <c r="AA295" s="346">
        <f t="shared" si="198"/>
        <v>12.524922176929516</v>
      </c>
      <c r="AB295" s="347">
        <f t="shared" si="199"/>
        <v>1.4908704421415928</v>
      </c>
      <c r="AC295" s="732" t="str">
        <f t="shared" si="200"/>
        <v>0.374909573685414-4.72817979957276i</v>
      </c>
      <c r="AD295" s="337">
        <f t="shared" si="201"/>
        <v>4.743020283061087</v>
      </c>
      <c r="AE295" s="339">
        <f t="shared" si="202"/>
        <v>-1.4916693020794358</v>
      </c>
      <c r="AF295" s="736" t="str">
        <f t="shared" si="174"/>
        <v>-0.68653658424929+0.0399972869299394i</v>
      </c>
      <c r="AG295" s="337">
        <f t="shared" si="203"/>
        <v>-3.2520105645354196</v>
      </c>
      <c r="AH295" s="730">
        <f t="shared" si="204"/>
        <v>176.66574473470718</v>
      </c>
      <c r="AI295" s="360">
        <f t="shared" si="175"/>
        <v>-3.3342552652928248</v>
      </c>
      <c r="AL295" s="337">
        <f t="shared" si="176"/>
        <v>13.521099637472053</v>
      </c>
      <c r="AM295" s="730">
        <f t="shared" si="177"/>
        <v>-85.466355438376752</v>
      </c>
      <c r="AN295" s="351"/>
      <c r="AO295" s="337">
        <f t="shared" si="178"/>
        <v>36.756012283034664</v>
      </c>
      <c r="AP295" s="730">
        <f t="shared" si="179"/>
        <v>-97.867899826916059</v>
      </c>
      <c r="AS295" s="351"/>
      <c r="AT295" s="351"/>
      <c r="AV295" s="405">
        <f t="shared" si="180"/>
        <v>0</v>
      </c>
      <c r="AW295" s="405">
        <f t="shared" si="205"/>
        <v>0</v>
      </c>
      <c r="AX295" s="405">
        <f t="shared" si="181"/>
        <v>0</v>
      </c>
      <c r="AY295" s="405">
        <f t="shared" si="182"/>
        <v>0</v>
      </c>
    </row>
    <row r="296" spans="2:51" ht="13.5" thickBot="1" x14ac:dyDescent="0.25">
      <c r="B296" s="345">
        <v>19839.25</v>
      </c>
      <c r="C296" s="728" t="str">
        <f t="shared" si="165"/>
        <v>2.2271548443541</v>
      </c>
      <c r="D296" s="728" t="str">
        <f t="shared" si="166"/>
        <v>1+15.1661982328313i</v>
      </c>
      <c r="E296" s="337">
        <f t="shared" si="184"/>
        <v>15.199130528998536</v>
      </c>
      <c r="F296" s="338">
        <f t="shared" si="185"/>
        <v>1.5049555298215667</v>
      </c>
      <c r="G296" s="338" t="str">
        <f t="shared" si="167"/>
        <v>1+0.0623268420527315i</v>
      </c>
      <c r="H296" s="337">
        <f t="shared" si="186"/>
        <v>1.0019404349761847</v>
      </c>
      <c r="I296" s="338">
        <f t="shared" si="187"/>
        <v>6.2246323957286617E-2</v>
      </c>
      <c r="J296" s="340">
        <f t="shared" si="168"/>
        <v>1</v>
      </c>
      <c r="K296" s="338">
        <f t="shared" si="188"/>
        <v>1</v>
      </c>
      <c r="L296" s="339">
        <f t="shared" si="189"/>
        <v>0</v>
      </c>
      <c r="M296" s="731" t="str">
        <f t="shared" si="169"/>
        <v>0.982506851530555+0.26868426122293i</v>
      </c>
      <c r="N296" s="338">
        <f t="shared" si="190"/>
        <v>1.0185828123100229</v>
      </c>
      <c r="O296" s="339">
        <f t="shared" si="191"/>
        <v>0.26694143902017653</v>
      </c>
      <c r="P296" s="732" t="str">
        <f t="shared" si="183"/>
        <v>-0.0199498736428834-0.142750287873334i</v>
      </c>
      <c r="Q296" s="337">
        <f t="shared" si="192"/>
        <v>0.14413758061757084</v>
      </c>
      <c r="R296" s="339">
        <f t="shared" si="193"/>
        <v>-1.7096506448844557</v>
      </c>
      <c r="S296" s="731" t="str">
        <f t="shared" si="170"/>
        <v>6000</v>
      </c>
      <c r="T296" s="337" t="str">
        <f t="shared" si="171"/>
        <v>1+125900.220946518i</v>
      </c>
      <c r="U296" s="346">
        <f t="shared" si="194"/>
        <v>125900.22095048941</v>
      </c>
      <c r="V296" s="347">
        <f t="shared" si="195"/>
        <v>1.5707883839970804</v>
      </c>
      <c r="W296" s="340" t="str">
        <f t="shared" si="172"/>
        <v>1+1246.53684105463i</v>
      </c>
      <c r="X296" s="337">
        <f t="shared" si="196"/>
        <v>1246.5372421658551</v>
      </c>
      <c r="Y296" s="339">
        <f t="shared" si="197"/>
        <v>1.5699941043875478</v>
      </c>
      <c r="Z296" s="337" t="str">
        <f t="shared" si="173"/>
        <v>1+12.5569341797771i</v>
      </c>
      <c r="AA296" s="346">
        <f t="shared" si="198"/>
        <v>12.596689882475252</v>
      </c>
      <c r="AB296" s="347">
        <f t="shared" si="199"/>
        <v>1.4913267713990743</v>
      </c>
      <c r="AC296" s="732" t="str">
        <f t="shared" si="200"/>
        <v>0.370649763723767-4.7014096243486i</v>
      </c>
      <c r="AD296" s="337">
        <f t="shared" si="201"/>
        <v>4.7159976360539169</v>
      </c>
      <c r="AE296" s="339">
        <f t="shared" si="202"/>
        <v>-1.4921210510086069</v>
      </c>
      <c r="AF296" s="736" t="str">
        <f t="shared" si="174"/>
        <v>-0.678521993238279+0.0408821674774395i</v>
      </c>
      <c r="AG296" s="337">
        <f t="shared" si="203"/>
        <v>-3.3529838643988166</v>
      </c>
      <c r="AH296" s="730">
        <f t="shared" si="204"/>
        <v>176.55199486088341</v>
      </c>
      <c r="AI296" s="360">
        <f t="shared" si="175"/>
        <v>-3.4480051391165887</v>
      </c>
      <c r="AL296" s="337">
        <f t="shared" si="176"/>
        <v>13.471471574563674</v>
      </c>
      <c r="AM296" s="730">
        <f t="shared" si="177"/>
        <v>-85.492238745417808</v>
      </c>
      <c r="AN296" s="351"/>
      <c r="AO296" s="337">
        <f t="shared" si="178"/>
        <v>36.704667046079656</v>
      </c>
      <c r="AP296" s="730">
        <f t="shared" si="179"/>
        <v>-97.955766393698781</v>
      </c>
      <c r="AS296" s="351"/>
      <c r="AT296" s="351"/>
      <c r="AV296" s="405">
        <f t="shared" si="180"/>
        <v>0</v>
      </c>
      <c r="AW296" s="405">
        <f t="shared" si="205"/>
        <v>0</v>
      </c>
      <c r="AX296" s="405">
        <f t="shared" si="181"/>
        <v>0</v>
      </c>
      <c r="AY296" s="405">
        <f t="shared" si="182"/>
        <v>0</v>
      </c>
    </row>
    <row r="297" spans="2:51" ht="13.5" thickBot="1" x14ac:dyDescent="0.25">
      <c r="B297" s="345">
        <v>19953</v>
      </c>
      <c r="C297" s="728" t="str">
        <f t="shared" si="165"/>
        <v>2.2271548443541</v>
      </c>
      <c r="D297" s="728" t="str">
        <f t="shared" si="166"/>
        <v>1+15.2531548994887i</v>
      </c>
      <c r="E297" s="337">
        <f t="shared" si="184"/>
        <v>15.28589985535023</v>
      </c>
      <c r="F297" s="338">
        <f t="shared" si="185"/>
        <v>1.5053298068207941</v>
      </c>
      <c r="G297" s="338" t="str">
        <f t="shared" si="167"/>
        <v>1+0.062684198217077i</v>
      </c>
      <c r="H297" s="337">
        <f t="shared" si="186"/>
        <v>1.0019627282020613</v>
      </c>
      <c r="I297" s="338">
        <f t="shared" si="187"/>
        <v>6.2602289382328355E-2</v>
      </c>
      <c r="J297" s="340">
        <f t="shared" si="168"/>
        <v>1</v>
      </c>
      <c r="K297" s="338">
        <f t="shared" si="188"/>
        <v>1</v>
      </c>
      <c r="L297" s="339">
        <f t="shared" si="189"/>
        <v>0</v>
      </c>
      <c r="M297" s="731" t="str">
        <f t="shared" si="169"/>
        <v>0.9823056796+0.270224784917832i</v>
      </c>
      <c r="N297" s="338">
        <f t="shared" si="190"/>
        <v>1.0187962910014476</v>
      </c>
      <c r="O297" s="339">
        <f t="shared" si="191"/>
        <v>0.26845207265625592</v>
      </c>
      <c r="P297" s="732" t="str">
        <f t="shared" si="183"/>
        <v>-0.0200498688380799-0.141882902079088i</v>
      </c>
      <c r="Q297" s="337">
        <f t="shared" si="192"/>
        <v>0.14329255089783377</v>
      </c>
      <c r="R297" s="339">
        <f t="shared" si="193"/>
        <v>-1.7111795900947209</v>
      </c>
      <c r="S297" s="731" t="str">
        <f t="shared" si="170"/>
        <v>6000</v>
      </c>
      <c r="T297" s="337" t="str">
        <f t="shared" si="171"/>
        <v>1+126622.080398496i</v>
      </c>
      <c r="U297" s="346">
        <f t="shared" si="194"/>
        <v>126622.08040244474</v>
      </c>
      <c r="V297" s="347">
        <f t="shared" si="195"/>
        <v>1.5707884292781535</v>
      </c>
      <c r="W297" s="340" t="str">
        <f t="shared" si="172"/>
        <v>1+1253.68396434154i</v>
      </c>
      <c r="X297" s="337">
        <f t="shared" si="196"/>
        <v>1253.6843631660722</v>
      </c>
      <c r="Y297" s="339">
        <f t="shared" si="197"/>
        <v>1.5699986777730046</v>
      </c>
      <c r="Z297" s="337" t="str">
        <f t="shared" si="173"/>
        <v>1+12.6289304126462i</v>
      </c>
      <c r="AA297" s="346">
        <f t="shared" si="198"/>
        <v>12.668460181389849</v>
      </c>
      <c r="AB297" s="347">
        <f t="shared" si="199"/>
        <v>1.4917779302890024</v>
      </c>
      <c r="AC297" s="732" t="str">
        <f t="shared" si="200"/>
        <v>0.366461994836216-4.67493897271159i</v>
      </c>
      <c r="AD297" s="337">
        <f t="shared" si="201"/>
        <v>4.6892801998000753</v>
      </c>
      <c r="AE297" s="339">
        <f t="shared" si="202"/>
        <v>-1.4925676817941513</v>
      </c>
      <c r="AF297" s="736" t="str">
        <f t="shared" si="174"/>
        <v>-0.670641423421558+0.0417372218998413i</v>
      </c>
      <c r="AG297" s="337">
        <f t="shared" si="203"/>
        <v>-3.4534040381033231</v>
      </c>
      <c r="AH297" s="730">
        <f t="shared" si="204"/>
        <v>176.43880269421618</v>
      </c>
      <c r="AI297" s="360">
        <f t="shared" si="175"/>
        <v>-3.5611973057838213</v>
      </c>
      <c r="AL297" s="337">
        <f t="shared" si="176"/>
        <v>13.422123680544811</v>
      </c>
      <c r="AM297" s="730">
        <f t="shared" si="177"/>
        <v>-85.51782880443011</v>
      </c>
      <c r="AN297" s="351"/>
      <c r="AO297" s="337">
        <f t="shared" si="178"/>
        <v>36.653594766394001</v>
      </c>
      <c r="AP297" s="730">
        <f t="shared" si="179"/>
        <v>-98.043368501353712</v>
      </c>
      <c r="AS297" s="351"/>
      <c r="AT297" s="351"/>
      <c r="AV297" s="405">
        <f t="shared" si="180"/>
        <v>0</v>
      </c>
      <c r="AW297" s="405">
        <f t="shared" si="205"/>
        <v>0</v>
      </c>
      <c r="AX297" s="405">
        <f t="shared" si="181"/>
        <v>0</v>
      </c>
      <c r="AY297" s="405">
        <f t="shared" si="182"/>
        <v>0</v>
      </c>
    </row>
    <row r="298" spans="2:51" ht="13.5" thickBot="1" x14ac:dyDescent="0.25">
      <c r="B298" s="345">
        <v>20069</v>
      </c>
      <c r="C298" s="728" t="str">
        <f t="shared" si="165"/>
        <v>2.2271548443541</v>
      </c>
      <c r="D298" s="728" t="str">
        <f t="shared" si="166"/>
        <v>1+15.3418315881241i</v>
      </c>
      <c r="E298" s="337">
        <f t="shared" si="184"/>
        <v>15.374387678160145</v>
      </c>
      <c r="F298" s="338">
        <f t="shared" si="185"/>
        <v>1.5057071362161367</v>
      </c>
      <c r="G298" s="338" t="str">
        <f t="shared" si="167"/>
        <v>1+0.0630486229648935i</v>
      </c>
      <c r="H298" s="337">
        <f t="shared" si="186"/>
        <v>1.0019855931388282</v>
      </c>
      <c r="I298" s="338">
        <f t="shared" si="187"/>
        <v>6.2965279521795758E-2</v>
      </c>
      <c r="J298" s="340">
        <f t="shared" si="168"/>
        <v>1</v>
      </c>
      <c r="K298" s="338">
        <f t="shared" si="188"/>
        <v>1</v>
      </c>
      <c r="L298" s="339">
        <f t="shared" si="189"/>
        <v>0</v>
      </c>
      <c r="M298" s="731" t="str">
        <f t="shared" si="169"/>
        <v>0.982099343955556+0.271795780509997i</v>
      </c>
      <c r="N298" s="338">
        <f t="shared" si="190"/>
        <v>1.0190152440964619</v>
      </c>
      <c r="O298" s="339">
        <f t="shared" si="191"/>
        <v>0.26999224155489016</v>
      </c>
      <c r="P298" s="732" t="str">
        <f t="shared" si="183"/>
        <v>-0.0201498650779167-0.141008045282189i</v>
      </c>
      <c r="Q298" s="337">
        <f t="shared" si="192"/>
        <v>0.14244046439464492</v>
      </c>
      <c r="R298" s="339">
        <f t="shared" si="193"/>
        <v>-1.7127340982492307</v>
      </c>
      <c r="S298" s="731" t="str">
        <f t="shared" si="170"/>
        <v>6000</v>
      </c>
      <c r="T298" s="337" t="str">
        <f t="shared" si="171"/>
        <v>1+127358.218389085i</v>
      </c>
      <c r="U298" s="346">
        <f t="shared" si="194"/>
        <v>127358.21839301095</v>
      </c>
      <c r="V298" s="347">
        <f t="shared" si="195"/>
        <v>1.5707884749262648</v>
      </c>
      <c r="W298" s="340" t="str">
        <f t="shared" si="172"/>
        <v>1+1260.97245929787i</v>
      </c>
      <c r="X298" s="337">
        <f t="shared" si="196"/>
        <v>1260.9728558171737</v>
      </c>
      <c r="Y298" s="339">
        <f t="shared" si="197"/>
        <v>1.570003288229312</v>
      </c>
      <c r="Z298" s="337" t="str">
        <f t="shared" si="173"/>
        <v>1+12.7023507468249i</v>
      </c>
      <c r="AA298" s="346">
        <f t="shared" si="198"/>
        <v>12.741652737983525</v>
      </c>
      <c r="AB298" s="347">
        <f t="shared" si="199"/>
        <v>1.4922327787991745</v>
      </c>
      <c r="AC298" s="732" t="str">
        <f t="shared" si="200"/>
        <v>0.362263912741774-4.64824804671095i</v>
      </c>
      <c r="AD298" s="337">
        <f t="shared" si="201"/>
        <v>4.6623432999112309</v>
      </c>
      <c r="AE298" s="339">
        <f t="shared" si="202"/>
        <v>-1.4930179654961271</v>
      </c>
      <c r="AF298" s="736" t="str">
        <f t="shared" si="174"/>
        <v>-0.662739940017809+0.0425794447779205i</v>
      </c>
      <c r="AG298" s="337">
        <f t="shared" si="203"/>
        <v>-3.5552474106924929</v>
      </c>
      <c r="AH298" s="730">
        <f t="shared" si="204"/>
        <v>176.32393658203736</v>
      </c>
      <c r="AI298" s="360">
        <f t="shared" si="175"/>
        <v>-3.6760634179626379</v>
      </c>
      <c r="AL298" s="337">
        <f t="shared" si="176"/>
        <v>13.372084970855024</v>
      </c>
      <c r="AM298" s="730">
        <f t="shared" si="177"/>
        <v>-85.543628160136848</v>
      </c>
      <c r="AN298" s="351"/>
      <c r="AO298" s="337">
        <f t="shared" si="178"/>
        <v>36.601790103494615</v>
      </c>
      <c r="AP298" s="730">
        <f t="shared" si="179"/>
        <v>-98.132435257825804</v>
      </c>
      <c r="AS298" s="351"/>
      <c r="AT298" s="351"/>
      <c r="AV298" s="405">
        <f t="shared" si="180"/>
        <v>0</v>
      </c>
      <c r="AW298" s="405">
        <f t="shared" si="205"/>
        <v>0</v>
      </c>
      <c r="AX298" s="405">
        <f t="shared" si="181"/>
        <v>0</v>
      </c>
      <c r="AY298" s="405">
        <f t="shared" si="182"/>
        <v>0</v>
      </c>
    </row>
    <row r="299" spans="2:51" ht="13.5" thickBot="1" x14ac:dyDescent="0.25">
      <c r="B299" s="345">
        <v>20185</v>
      </c>
      <c r="C299" s="728" t="str">
        <f t="shared" si="165"/>
        <v>2.2271548443541</v>
      </c>
      <c r="D299" s="728" t="str">
        <f t="shared" si="166"/>
        <v>1+15.4305082767594i</v>
      </c>
      <c r="E299" s="337">
        <f t="shared" si="184"/>
        <v>15.462877664883093</v>
      </c>
      <c r="F299" s="338">
        <f t="shared" si="185"/>
        <v>1.5060801469500742</v>
      </c>
      <c r="G299" s="338" t="str">
        <f t="shared" si="167"/>
        <v>1+0.06341304771271i</v>
      </c>
      <c r="H299" s="337">
        <f t="shared" si="186"/>
        <v>1.0020085900930265</v>
      </c>
      <c r="I299" s="338">
        <f t="shared" si="187"/>
        <v>6.3328253047219035E-2</v>
      </c>
      <c r="J299" s="340">
        <f t="shared" si="168"/>
        <v>1</v>
      </c>
      <c r="K299" s="338">
        <f t="shared" si="188"/>
        <v>1</v>
      </c>
      <c r="L299" s="339">
        <f t="shared" si="189"/>
        <v>0</v>
      </c>
      <c r="M299" s="731" t="str">
        <f t="shared" si="169"/>
        <v>0.981891812222222+0.273366776102163i</v>
      </c>
      <c r="N299" s="338">
        <f t="shared" si="190"/>
        <v>1.0192354611106942</v>
      </c>
      <c r="O299" s="339">
        <f t="shared" si="191"/>
        <v>0.27153205982724804</v>
      </c>
      <c r="P299" s="732" t="str">
        <f t="shared" si="183"/>
        <v>-0.0202479090560882-0.140142805404992i</v>
      </c>
      <c r="Q299" s="337">
        <f t="shared" si="192"/>
        <v>0.14159796512635722</v>
      </c>
      <c r="R299" s="339">
        <f t="shared" si="193"/>
        <v>-1.714283953730104</v>
      </c>
      <c r="S299" s="731" t="str">
        <f t="shared" si="170"/>
        <v>6000</v>
      </c>
      <c r="T299" s="337" t="str">
        <f t="shared" si="171"/>
        <v>1+128094.356379674i</v>
      </c>
      <c r="U299" s="346">
        <f t="shared" si="194"/>
        <v>128094.35638357737</v>
      </c>
      <c r="V299" s="347">
        <f t="shared" si="195"/>
        <v>1.5707885200497109</v>
      </c>
      <c r="W299" s="340" t="str">
        <f t="shared" si="172"/>
        <v>1+1268.2609542542i</v>
      </c>
      <c r="X299" s="337">
        <f t="shared" si="196"/>
        <v>1268.2613484947706</v>
      </c>
      <c r="Y299" s="339">
        <f t="shared" si="197"/>
        <v>1.5700078456945272</v>
      </c>
      <c r="Z299" s="337" t="str">
        <f t="shared" si="173"/>
        <v>1+12.7757710810035i</v>
      </c>
      <c r="AA299" s="346">
        <f t="shared" si="198"/>
        <v>12.814847900549006</v>
      </c>
      <c r="AB299" s="347">
        <f t="shared" si="199"/>
        <v>1.4926824314427236</v>
      </c>
      <c r="AC299" s="732" t="str">
        <f t="shared" si="200"/>
        <v>0.358137411964571-4.62185829487388i</v>
      </c>
      <c r="AD299" s="337">
        <f t="shared" si="201"/>
        <v>4.6357131602098898</v>
      </c>
      <c r="AE299" s="339">
        <f t="shared" si="202"/>
        <v>-1.4934631057979075</v>
      </c>
      <c r="AF299" s="736" t="str">
        <f t="shared" si="174"/>
        <v>-0.654971721375+0.0433925847915349i</v>
      </c>
      <c r="AG299" s="337">
        <f t="shared" si="203"/>
        <v>-3.6565286414675398</v>
      </c>
      <c r="AH299" s="730">
        <f t="shared" si="204"/>
        <v>176.20963174354489</v>
      </c>
      <c r="AI299" s="360">
        <f t="shared" si="175"/>
        <v>-3.7903682564551104</v>
      </c>
      <c r="AL299" s="337">
        <f t="shared" si="176"/>
        <v>13.322331113596489</v>
      </c>
      <c r="AM299" s="730">
        <f t="shared" si="177"/>
        <v>-85.569132820720043</v>
      </c>
      <c r="AN299" s="351"/>
      <c r="AO299" s="337">
        <f t="shared" si="178"/>
        <v>36.550262729978101</v>
      </c>
      <c r="AP299" s="730">
        <f t="shared" si="179"/>
        <v>-98.221235435735053</v>
      </c>
      <c r="AS299" s="351"/>
      <c r="AT299" s="351"/>
      <c r="AV299" s="405">
        <f t="shared" si="180"/>
        <v>0</v>
      </c>
      <c r="AW299" s="405">
        <f t="shared" si="205"/>
        <v>0</v>
      </c>
      <c r="AX299" s="405">
        <f t="shared" si="181"/>
        <v>0</v>
      </c>
      <c r="AY299" s="405">
        <f t="shared" si="182"/>
        <v>0</v>
      </c>
    </row>
    <row r="300" spans="2:51" ht="13.5" thickBot="1" x14ac:dyDescent="0.25">
      <c r="B300" s="345">
        <v>20301</v>
      </c>
      <c r="C300" s="728" t="str">
        <f t="shared" si="165"/>
        <v>2.2271548443541</v>
      </c>
      <c r="D300" s="728" t="str">
        <f t="shared" si="166"/>
        <v>1+15.5191849653948i</v>
      </c>
      <c r="E300" s="337">
        <f t="shared" si="184"/>
        <v>15.551369778580151</v>
      </c>
      <c r="F300" s="338">
        <f t="shared" si="185"/>
        <v>1.5064489126414775</v>
      </c>
      <c r="G300" s="338" t="str">
        <f t="shared" si="167"/>
        <v>1+0.0637774724605265i</v>
      </c>
      <c r="H300" s="337">
        <f t="shared" si="186"/>
        <v>1.0020317190555663</v>
      </c>
      <c r="I300" s="338">
        <f t="shared" si="187"/>
        <v>6.3691209864102025E-2</v>
      </c>
      <c r="J300" s="340">
        <f t="shared" si="168"/>
        <v>1</v>
      </c>
      <c r="K300" s="338">
        <f t="shared" si="188"/>
        <v>1</v>
      </c>
      <c r="L300" s="339">
        <f t="shared" si="189"/>
        <v>0</v>
      </c>
      <c r="M300" s="731" t="str">
        <f t="shared" si="169"/>
        <v>0.9816830844+0.274937771694328i</v>
      </c>
      <c r="N300" s="338">
        <f t="shared" si="190"/>
        <v>1.0194569419555395</v>
      </c>
      <c r="O300" s="339">
        <f t="shared" si="191"/>
        <v>0.27307152562334669</v>
      </c>
      <c r="P300" s="732" t="str">
        <f t="shared" si="183"/>
        <v>-0.0203440437987601-0.139287021040375i</v>
      </c>
      <c r="Q300" s="337">
        <f t="shared" si="192"/>
        <v>0.14076489032563388</v>
      </c>
      <c r="R300" s="339">
        <f t="shared" si="193"/>
        <v>-1.7158292284007224</v>
      </c>
      <c r="S300" s="731" t="str">
        <f t="shared" si="170"/>
        <v>6000</v>
      </c>
      <c r="T300" s="337" t="str">
        <f t="shared" si="171"/>
        <v>1+128830.494370264i</v>
      </c>
      <c r="U300" s="346">
        <f t="shared" si="194"/>
        <v>128830.49437414506</v>
      </c>
      <c r="V300" s="347">
        <f t="shared" si="195"/>
        <v>1.570788564657486</v>
      </c>
      <c r="W300" s="340" t="str">
        <f t="shared" si="172"/>
        <v>1+1275.54944921053i</v>
      </c>
      <c r="X300" s="337">
        <f t="shared" si="196"/>
        <v>1275.5498411984088</v>
      </c>
      <c r="Y300" s="339">
        <f t="shared" si="197"/>
        <v>1.5700123510770236</v>
      </c>
      <c r="Z300" s="337" t="str">
        <f t="shared" si="173"/>
        <v>1+12.8491914151822i</v>
      </c>
      <c r="AA300" s="346">
        <f t="shared" si="198"/>
        <v>12.888045624686155</v>
      </c>
      <c r="AB300" s="347">
        <f t="shared" si="199"/>
        <v>1.4931269765661122</v>
      </c>
      <c r="AC300" s="732" t="str">
        <f t="shared" si="200"/>
        <v>0.354080877601871-4.59576468015013i</v>
      </c>
      <c r="AD300" s="337">
        <f t="shared" si="201"/>
        <v>4.609384586167522</v>
      </c>
      <c r="AE300" s="339">
        <f t="shared" si="202"/>
        <v>-1.4939031901465749</v>
      </c>
      <c r="AF300" s="736" t="str">
        <f t="shared" si="174"/>
        <v>-0.647333808582919+0.0441775672932427i</v>
      </c>
      <c r="AG300" s="337">
        <f t="shared" si="203"/>
        <v>-3.7572541702207434</v>
      </c>
      <c r="AH300" s="730">
        <f t="shared" si="204"/>
        <v>176.09587905092158</v>
      </c>
      <c r="AI300" s="360">
        <f t="shared" si="175"/>
        <v>-3.9041209490784183</v>
      </c>
      <c r="AL300" s="337">
        <f t="shared" si="176"/>
        <v>13.272858904006263</v>
      </c>
      <c r="AM300" s="730">
        <f t="shared" si="177"/>
        <v>-85.594347796528453</v>
      </c>
      <c r="AN300" s="351"/>
      <c r="AO300" s="337">
        <f t="shared" si="178"/>
        <v>36.499009410815134</v>
      </c>
      <c r="AP300" s="730">
        <f t="shared" si="179"/>
        <v>-98.309773152549965</v>
      </c>
      <c r="AS300" s="351"/>
      <c r="AT300" s="351"/>
      <c r="AV300" s="405">
        <f t="shared" si="180"/>
        <v>0</v>
      </c>
      <c r="AW300" s="405">
        <f t="shared" si="205"/>
        <v>0</v>
      </c>
      <c r="AX300" s="405">
        <f t="shared" si="181"/>
        <v>0</v>
      </c>
      <c r="AY300" s="405">
        <f t="shared" si="182"/>
        <v>0</v>
      </c>
    </row>
    <row r="301" spans="2:51" ht="13.5" thickBot="1" x14ac:dyDescent="0.25">
      <c r="B301" s="345">
        <v>20417</v>
      </c>
      <c r="C301" s="728" t="str">
        <f t="shared" si="165"/>
        <v>2.2271548443541</v>
      </c>
      <c r="D301" s="728" t="str">
        <f t="shared" si="166"/>
        <v>1+15.6078616540301i</v>
      </c>
      <c r="E301" s="337">
        <f t="shared" si="184"/>
        <v>15.639863983147142</v>
      </c>
      <c r="F301" s="338">
        <f t="shared" si="185"/>
        <v>1.5068135052476797</v>
      </c>
      <c r="G301" s="338" t="str">
        <f t="shared" si="167"/>
        <v>1+0.064141897208343i</v>
      </c>
      <c r="H301" s="337">
        <f t="shared" si="186"/>
        <v>1.0020549800173071</v>
      </c>
      <c r="I301" s="338">
        <f t="shared" si="187"/>
        <v>6.4054149877974878E-2</v>
      </c>
      <c r="J301" s="340">
        <f t="shared" si="168"/>
        <v>1</v>
      </c>
      <c r="K301" s="338">
        <f t="shared" si="188"/>
        <v>1</v>
      </c>
      <c r="L301" s="339">
        <f t="shared" si="189"/>
        <v>0</v>
      </c>
      <c r="M301" s="731" t="str">
        <f t="shared" si="169"/>
        <v>0.981473160488889+0.276508767286493i</v>
      </c>
      <c r="N301" s="338">
        <f t="shared" si="190"/>
        <v>1.019679686541977</v>
      </c>
      <c r="O301" s="339">
        <f t="shared" si="191"/>
        <v>0.27461063709611805</v>
      </c>
      <c r="P301" s="732" t="str">
        <f t="shared" si="183"/>
        <v>-0.0204383111270923-0.138440534374982i</v>
      </c>
      <c r="Q301" s="337">
        <f t="shared" si="192"/>
        <v>0.13994108088677318</v>
      </c>
      <c r="R301" s="339">
        <f t="shared" si="193"/>
        <v>-1.7173699924658219</v>
      </c>
      <c r="S301" s="731" t="str">
        <f t="shared" si="170"/>
        <v>6000</v>
      </c>
      <c r="T301" s="337" t="str">
        <f t="shared" si="171"/>
        <v>1+129566.632360853i</v>
      </c>
      <c r="U301" s="346">
        <f t="shared" si="194"/>
        <v>129566.63236471203</v>
      </c>
      <c r="V301" s="347">
        <f t="shared" si="195"/>
        <v>1.5707886087583793</v>
      </c>
      <c r="W301" s="340" t="str">
        <f t="shared" si="172"/>
        <v>1+1282.83794416686i</v>
      </c>
      <c r="X301" s="337">
        <f t="shared" si="196"/>
        <v>1282.8383339276452</v>
      </c>
      <c r="Y301" s="339">
        <f t="shared" si="197"/>
        <v>1.5700168052645305</v>
      </c>
      <c r="Z301" s="337" t="str">
        <f t="shared" si="173"/>
        <v>1+12.9226117493609i</v>
      </c>
      <c r="AA301" s="346">
        <f t="shared" si="198"/>
        <v>12.961245866995979</v>
      </c>
      <c r="AB301" s="347">
        <f t="shared" si="199"/>
        <v>1.4935665005281911</v>
      </c>
      <c r="AC301" s="732" t="str">
        <f t="shared" si="200"/>
        <v>0.35009273994523-4.56996227646511i</v>
      </c>
      <c r="AD301" s="337">
        <f t="shared" si="201"/>
        <v>4.5833524995222144</v>
      </c>
      <c r="AE301" s="339">
        <f t="shared" si="202"/>
        <v>-1.4943383040220399</v>
      </c>
      <c r="AF301" s="736" t="str">
        <f t="shared" si="174"/>
        <v>-0.639823323969676+0.0449352848466497i</v>
      </c>
      <c r="AG301" s="337">
        <f t="shared" si="203"/>
        <v>-3.8574303287703509</v>
      </c>
      <c r="AH301" s="730">
        <f t="shared" si="204"/>
        <v>175.98266958409423</v>
      </c>
      <c r="AI301" s="360">
        <f t="shared" si="175"/>
        <v>-4.017330415905775</v>
      </c>
      <c r="AL301" s="337">
        <f t="shared" si="176"/>
        <v>13.223665190762198</v>
      </c>
      <c r="AM301" s="730">
        <f t="shared" si="177"/>
        <v>-85.619277985200185</v>
      </c>
      <c r="AN301" s="351"/>
      <c r="AO301" s="337">
        <f t="shared" si="178"/>
        <v>36.448026965509584</v>
      </c>
      <c r="AP301" s="730">
        <f t="shared" si="179"/>
        <v>-98.398052430705562</v>
      </c>
      <c r="AS301" s="351"/>
      <c r="AT301" s="351"/>
      <c r="AV301" s="405">
        <f t="shared" si="180"/>
        <v>0</v>
      </c>
      <c r="AW301" s="405">
        <f t="shared" si="205"/>
        <v>0</v>
      </c>
      <c r="AX301" s="405">
        <f t="shared" si="181"/>
        <v>0</v>
      </c>
      <c r="AY301" s="405">
        <f t="shared" si="182"/>
        <v>0</v>
      </c>
    </row>
    <row r="302" spans="2:51" ht="13.5" thickBot="1" x14ac:dyDescent="0.25">
      <c r="B302" s="345">
        <v>20536</v>
      </c>
      <c r="C302" s="728" t="str">
        <f t="shared" si="165"/>
        <v>2.2271548443541</v>
      </c>
      <c r="D302" s="728" t="str">
        <f t="shared" si="166"/>
        <v>1+15.6988317053025i</v>
      </c>
      <c r="E302" s="337">
        <f t="shared" si="184"/>
        <v>15.730648966632337</v>
      </c>
      <c r="F302" s="338">
        <f t="shared" si="185"/>
        <v>1.5071832643194008</v>
      </c>
      <c r="G302" s="338" t="str">
        <f t="shared" si="167"/>
        <v>1+0.06451574673412i</v>
      </c>
      <c r="H302" s="337">
        <f t="shared" si="186"/>
        <v>1.0020789797100131</v>
      </c>
      <c r="I302" s="338">
        <f t="shared" si="187"/>
        <v>6.4426458712061624E-2</v>
      </c>
      <c r="J302" s="340">
        <f t="shared" si="168"/>
        <v>1</v>
      </c>
      <c r="K302" s="338">
        <f t="shared" si="188"/>
        <v>1</v>
      </c>
      <c r="L302" s="339">
        <f t="shared" si="189"/>
        <v>0</v>
      </c>
      <c r="M302" s="731" t="str">
        <f t="shared" si="169"/>
        <v>0.981256564622222+0.278120392075007i</v>
      </c>
      <c r="N302" s="338">
        <f t="shared" si="190"/>
        <v>1.0199095048592106</v>
      </c>
      <c r="O302" s="339">
        <f t="shared" si="191"/>
        <v>0.27618918305601897</v>
      </c>
      <c r="P302" s="732" t="str">
        <f t="shared" si="183"/>
        <v>-0.0205331185257422-0.137581655592379i</v>
      </c>
      <c r="Q302" s="337">
        <f t="shared" si="192"/>
        <v>0.13910543092177302</v>
      </c>
      <c r="R302" s="339">
        <f t="shared" si="193"/>
        <v>-1.7189459886633571</v>
      </c>
      <c r="S302" s="731" t="str">
        <f t="shared" si="170"/>
        <v>6000</v>
      </c>
      <c r="T302" s="337" t="str">
        <f t="shared" si="171"/>
        <v>1+130321.808402922i</v>
      </c>
      <c r="U302" s="346">
        <f t="shared" si="194"/>
        <v>130321.80840675868</v>
      </c>
      <c r="V302" s="347">
        <f t="shared" si="195"/>
        <v>1.5707886534821009</v>
      </c>
      <c r="W302" s="340" t="str">
        <f t="shared" si="172"/>
        <v>1+1290.3149346824i</v>
      </c>
      <c r="X302" s="337">
        <f t="shared" si="196"/>
        <v>1290.315322184638</v>
      </c>
      <c r="Y302" s="339">
        <f t="shared" si="197"/>
        <v>1.5700213223576771</v>
      </c>
      <c r="Z302" s="337" t="str">
        <f t="shared" si="173"/>
        <v>1+12.9979308852855i</v>
      </c>
      <c r="AA302" s="346">
        <f t="shared" si="198"/>
        <v>13.036341791264093</v>
      </c>
      <c r="AB302" s="347">
        <f t="shared" si="199"/>
        <v>1.4940122623359726</v>
      </c>
      <c r="AC302" s="732" t="str">
        <f t="shared" si="200"/>
        <v>0.346070934585632-4.54379012555869i</v>
      </c>
      <c r="AD302" s="337">
        <f t="shared" si="201"/>
        <v>4.5569500542456716</v>
      </c>
      <c r="AE302" s="339">
        <f t="shared" si="202"/>
        <v>-1.4947795934603967</v>
      </c>
      <c r="AF302" s="736" t="str">
        <f t="shared" si="174"/>
        <v>-0.632248083656829+0.0456851690715005i</v>
      </c>
      <c r="AG302" s="337">
        <f t="shared" si="203"/>
        <v>-3.9596329092574294</v>
      </c>
      <c r="AH302" s="730">
        <f t="shared" si="204"/>
        <v>175.86708763108527</v>
      </c>
      <c r="AI302" s="360">
        <f t="shared" si="175"/>
        <v>-4.1329123689147309</v>
      </c>
      <c r="AL302" s="337">
        <f t="shared" si="176"/>
        <v>13.173485371805349</v>
      </c>
      <c r="AM302" s="730">
        <f t="shared" si="177"/>
        <v>-85.644562007561717</v>
      </c>
      <c r="AN302" s="351"/>
      <c r="AO302" s="337">
        <f t="shared" si="178"/>
        <v>36.396004203979359</v>
      </c>
      <c r="AP302" s="730">
        <f t="shared" si="179"/>
        <v>-98.488350361353014</v>
      </c>
      <c r="AS302" s="351"/>
      <c r="AT302" s="351"/>
      <c r="AV302" s="405">
        <f t="shared" si="180"/>
        <v>0</v>
      </c>
      <c r="AW302" s="405">
        <f t="shared" si="205"/>
        <v>0</v>
      </c>
      <c r="AX302" s="405">
        <f t="shared" si="181"/>
        <v>0</v>
      </c>
      <c r="AY302" s="405">
        <f t="shared" si="182"/>
        <v>0</v>
      </c>
    </row>
    <row r="303" spans="2:51" ht="13.5" thickBot="1" x14ac:dyDescent="0.25">
      <c r="B303" s="345">
        <v>20655</v>
      </c>
      <c r="C303" s="728" t="str">
        <f t="shared" si="165"/>
        <v>2.2271548443541</v>
      </c>
      <c r="D303" s="728" t="str">
        <f t="shared" si="166"/>
        <v>1+15.7898017565749i</v>
      </c>
      <c r="E303" s="337">
        <f t="shared" si="184"/>
        <v>15.821436076157429</v>
      </c>
      <c r="F303" s="338">
        <f t="shared" si="185"/>
        <v>1.5075487799121328</v>
      </c>
      <c r="G303" s="338" t="str">
        <f t="shared" si="167"/>
        <v>1+0.064889596259897i</v>
      </c>
      <c r="H303" s="337">
        <f t="shared" si="186"/>
        <v>1.0021031182980984</v>
      </c>
      <c r="I303" s="338">
        <f t="shared" si="187"/>
        <v>6.4798749661453992E-2</v>
      </c>
      <c r="J303" s="340">
        <f t="shared" si="168"/>
        <v>1</v>
      </c>
      <c r="K303" s="338">
        <f t="shared" si="188"/>
        <v>1</v>
      </c>
      <c r="L303" s="339">
        <f t="shared" si="189"/>
        <v>0</v>
      </c>
      <c r="M303" s="731" t="str">
        <f t="shared" si="169"/>
        <v>0.98103871+0.27973201686352i</v>
      </c>
      <c r="N303" s="338">
        <f t="shared" si="190"/>
        <v>1.0201406529381116</v>
      </c>
      <c r="O303" s="339">
        <f t="shared" si="191"/>
        <v>0.27776735220003673</v>
      </c>
      <c r="P303" s="732" t="str">
        <f t="shared" si="183"/>
        <v>-0.0206260461145788-0.136732236367014i</v>
      </c>
      <c r="Q303" s="337">
        <f t="shared" si="192"/>
        <v>0.13827920393264387</v>
      </c>
      <c r="R303" s="339">
        <f t="shared" si="193"/>
        <v>-1.7205173824507149</v>
      </c>
      <c r="S303" s="731" t="str">
        <f t="shared" si="170"/>
        <v>6000</v>
      </c>
      <c r="T303" s="337" t="str">
        <f t="shared" si="171"/>
        <v>1+131076.984444992i</v>
      </c>
      <c r="U303" s="346">
        <f t="shared" si="194"/>
        <v>131076.98444880656</v>
      </c>
      <c r="V303" s="347">
        <f t="shared" si="195"/>
        <v>1.5707886976904875</v>
      </c>
      <c r="W303" s="340" t="str">
        <f t="shared" si="172"/>
        <v>1+1297.79192519794i</v>
      </c>
      <c r="X303" s="337">
        <f t="shared" si="196"/>
        <v>1297.7923104676554</v>
      </c>
      <c r="Y303" s="339">
        <f t="shared" si="197"/>
        <v>1.5700257874020451</v>
      </c>
      <c r="Z303" s="337" t="str">
        <f t="shared" si="173"/>
        <v>1+13.0732500212102i</v>
      </c>
      <c r="AA303" s="346">
        <f t="shared" si="198"/>
        <v>13.11144027622719</v>
      </c>
      <c r="AB303" s="347">
        <f t="shared" si="199"/>
        <v>1.4944529178446506</v>
      </c>
      <c r="AC303" s="732" t="str">
        <f t="shared" si="200"/>
        <v>0.34211790232597-4.5179142861698i</v>
      </c>
      <c r="AD303" s="337">
        <f t="shared" si="201"/>
        <v>4.5308491650317713</v>
      </c>
      <c r="AE303" s="339">
        <f t="shared" si="202"/>
        <v>-1.495215828133093</v>
      </c>
      <c r="AF303" s="736" t="str">
        <f t="shared" si="174"/>
        <v>-0.624801063692477+0.0464081625220311i</v>
      </c>
      <c r="AG303" s="337">
        <f t="shared" si="203"/>
        <v>-4.0612704973566762</v>
      </c>
      <c r="AH303" s="730">
        <f t="shared" si="204"/>
        <v>175.75205899349382</v>
      </c>
      <c r="AI303" s="360">
        <f t="shared" si="175"/>
        <v>-4.2479410065061813</v>
      </c>
      <c r="AL303" s="337">
        <f t="shared" si="176"/>
        <v>13.123592089380448</v>
      </c>
      <c r="AM303" s="730">
        <f t="shared" si="177"/>
        <v>-85.66955641318448</v>
      </c>
      <c r="AN303" s="351"/>
      <c r="AO303" s="337">
        <f t="shared" si="178"/>
        <v>36.344259898305012</v>
      </c>
      <c r="AP303" s="730">
        <f t="shared" si="179"/>
        <v>-98.578384593321701</v>
      </c>
      <c r="AS303" s="351"/>
      <c r="AT303" s="351"/>
      <c r="AV303" s="405">
        <f t="shared" si="180"/>
        <v>0</v>
      </c>
      <c r="AW303" s="405">
        <f t="shared" si="205"/>
        <v>0</v>
      </c>
      <c r="AX303" s="405">
        <f t="shared" si="181"/>
        <v>0</v>
      </c>
      <c r="AY303" s="405">
        <f t="shared" si="182"/>
        <v>0</v>
      </c>
    </row>
    <row r="304" spans="2:51" ht="13.5" thickBot="1" x14ac:dyDescent="0.25">
      <c r="B304" s="345">
        <v>20774</v>
      </c>
      <c r="C304" s="728" t="str">
        <f t="shared" si="165"/>
        <v>2.2271548443541</v>
      </c>
      <c r="D304" s="728" t="str">
        <f t="shared" si="166"/>
        <v>1+15.8807718078475i</v>
      </c>
      <c r="E304" s="337">
        <f t="shared" si="184"/>
        <v>15.912225275332299</v>
      </c>
      <c r="F304" s="338">
        <f t="shared" si="185"/>
        <v>1.5079101245624702</v>
      </c>
      <c r="G304" s="338" t="str">
        <f t="shared" si="167"/>
        <v>1+0.0652634457856745i</v>
      </c>
      <c r="H304" s="337">
        <f t="shared" si="186"/>
        <v>1.0021273957715255</v>
      </c>
      <c r="I304" s="338">
        <f t="shared" si="187"/>
        <v>6.517102262424912E-2</v>
      </c>
      <c r="J304" s="340">
        <f t="shared" si="168"/>
        <v>1</v>
      </c>
      <c r="K304" s="338">
        <f t="shared" si="188"/>
        <v>1</v>
      </c>
      <c r="L304" s="339">
        <f t="shared" si="189"/>
        <v>0</v>
      </c>
      <c r="M304" s="731" t="str">
        <f t="shared" si="169"/>
        <v>0.980819596622222+0.281343641652035i</v>
      </c>
      <c r="N304" s="338">
        <f t="shared" si="190"/>
        <v>1.0203731306812263</v>
      </c>
      <c r="O304" s="339">
        <f t="shared" si="191"/>
        <v>0.27934514254369508</v>
      </c>
      <c r="P304" s="732" t="str">
        <f t="shared" si="183"/>
        <v>-0.020717135351494-0.135892117470276i</v>
      </c>
      <c r="Q304" s="337">
        <f t="shared" si="192"/>
        <v>0.13746223949771591</v>
      </c>
      <c r="R304" s="339">
        <f t="shared" si="193"/>
        <v>-1.7220842444819149</v>
      </c>
      <c r="S304" s="731" t="str">
        <f t="shared" si="170"/>
        <v>6000</v>
      </c>
      <c r="T304" s="337" t="str">
        <f t="shared" si="171"/>
        <v>1+131832.160487063i</v>
      </c>
      <c r="U304" s="346">
        <f t="shared" si="194"/>
        <v>131832.16049085569</v>
      </c>
      <c r="V304" s="347">
        <f t="shared" si="195"/>
        <v>1.5707887413923949</v>
      </c>
      <c r="W304" s="340" t="str">
        <f t="shared" si="172"/>
        <v>1+1305.26891571349i</v>
      </c>
      <c r="X304" s="337">
        <f t="shared" si="196"/>
        <v>1305.2692987762605</v>
      </c>
      <c r="Y304" s="339">
        <f t="shared" si="197"/>
        <v>1.5700302012920886</v>
      </c>
      <c r="Z304" s="337" t="str">
        <f t="shared" si="173"/>
        <v>1+13.1485691571349i</v>
      </c>
      <c r="AA304" s="346">
        <f t="shared" si="198"/>
        <v>13.186541278135037</v>
      </c>
      <c r="AB304" s="347">
        <f t="shared" si="199"/>
        <v>1.4948885541269747</v>
      </c>
      <c r="AC304" s="732" t="str">
        <f t="shared" si="200"/>
        <v>0.338232087032819-4.49232978455196i</v>
      </c>
      <c r="AD304" s="337">
        <f t="shared" si="201"/>
        <v>4.5050447098637356</v>
      </c>
      <c r="AE304" s="339">
        <f t="shared" si="202"/>
        <v>-1.4956470942272808</v>
      </c>
      <c r="AF304" s="736" t="str">
        <f t="shared" si="174"/>
        <v>-0.617479406724832+0.0471051296868304i</v>
      </c>
      <c r="AG304" s="337">
        <f t="shared" si="203"/>
        <v>-4.1623495902473993</v>
      </c>
      <c r="AH304" s="730">
        <f t="shared" si="204"/>
        <v>175.63757468498272</v>
      </c>
      <c r="AI304" s="360">
        <f t="shared" si="175"/>
        <v>-4.3624253150172763</v>
      </c>
      <c r="AL304" s="337">
        <f t="shared" si="176"/>
        <v>13.073982108968691</v>
      </c>
      <c r="AM304" s="730">
        <f t="shared" si="177"/>
        <v>-85.694266140228549</v>
      </c>
      <c r="AN304" s="351"/>
      <c r="AO304" s="337">
        <f t="shared" si="178"/>
        <v>36.292790785826043</v>
      </c>
      <c r="AP304" s="730">
        <f t="shared" si="179"/>
        <v>-98.668159174788755</v>
      </c>
      <c r="AS304" s="351"/>
      <c r="AT304" s="351"/>
      <c r="AV304" s="405">
        <f t="shared" si="180"/>
        <v>0</v>
      </c>
      <c r="AW304" s="405">
        <f t="shared" si="205"/>
        <v>0</v>
      </c>
      <c r="AX304" s="405">
        <f t="shared" si="181"/>
        <v>0</v>
      </c>
      <c r="AY304" s="405">
        <f t="shared" si="182"/>
        <v>0</v>
      </c>
    </row>
    <row r="305" spans="2:51" ht="13.5" thickBot="1" x14ac:dyDescent="0.25">
      <c r="B305" s="345">
        <v>20893</v>
      </c>
      <c r="C305" s="728" t="str">
        <f t="shared" si="165"/>
        <v>2.2271548443541</v>
      </c>
      <c r="D305" s="728" t="str">
        <f t="shared" si="166"/>
        <v>1+15.9717418591199i</v>
      </c>
      <c r="E305" s="337">
        <f t="shared" si="184"/>
        <v>16.003016528591189</v>
      </c>
      <c r="F305" s="338">
        <f t="shared" si="185"/>
        <v>1.5082673691653075</v>
      </c>
      <c r="G305" s="338" t="str">
        <f t="shared" si="167"/>
        <v>1+0.0656372953114515i</v>
      </c>
      <c r="H305" s="337">
        <f t="shared" si="186"/>
        <v>1.0021518121202011</v>
      </c>
      <c r="I305" s="338">
        <f t="shared" si="187"/>
        <v>6.5543277498572472E-2</v>
      </c>
      <c r="J305" s="340">
        <f t="shared" si="168"/>
        <v>1</v>
      </c>
      <c r="K305" s="338">
        <f t="shared" si="188"/>
        <v>1</v>
      </c>
      <c r="L305" s="339">
        <f t="shared" si="189"/>
        <v>0</v>
      </c>
      <c r="M305" s="731" t="str">
        <f t="shared" si="169"/>
        <v>0.980599224488889+0.282955266440549i</v>
      </c>
      <c r="N305" s="338">
        <f t="shared" si="190"/>
        <v>1.0206069379906511</v>
      </c>
      <c r="O305" s="339">
        <f t="shared" si="191"/>
        <v>0.28092255210579281</v>
      </c>
      <c r="P305" s="732" t="str">
        <f t="shared" si="183"/>
        <v>-0.0208064265304677-0.135061143231315i</v>
      </c>
      <c r="Q305" s="337">
        <f t="shared" si="192"/>
        <v>0.13665438081495057</v>
      </c>
      <c r="R305" s="339">
        <f t="shared" si="193"/>
        <v>-1.723646643772528</v>
      </c>
      <c r="S305" s="731" t="str">
        <f t="shared" si="170"/>
        <v>6000</v>
      </c>
      <c r="T305" s="337" t="str">
        <f t="shared" si="171"/>
        <v>1+132587.336529132i</v>
      </c>
      <c r="U305" s="346">
        <f t="shared" si="194"/>
        <v>132587.33653290311</v>
      </c>
      <c r="V305" s="347">
        <f t="shared" si="195"/>
        <v>1.5707887845964774</v>
      </c>
      <c r="W305" s="340" t="str">
        <f t="shared" si="172"/>
        <v>1+1312.74590622903i</v>
      </c>
      <c r="X305" s="337">
        <f t="shared" si="196"/>
        <v>1312.7462871099947</v>
      </c>
      <c r="Y305" s="339">
        <f t="shared" si="197"/>
        <v>1.5700345649018845</v>
      </c>
      <c r="Z305" s="337" t="str">
        <f t="shared" si="173"/>
        <v>1+13.2238882930595i</v>
      </c>
      <c r="AA305" s="346">
        <f t="shared" si="198"/>
        <v>13.261644754226987</v>
      </c>
      <c r="AB305" s="347">
        <f t="shared" si="199"/>
        <v>1.4953192562909692</v>
      </c>
      <c r="AC305" s="732" t="str">
        <f t="shared" si="200"/>
        <v>0.334411976254331-4.46703175697104i</v>
      </c>
      <c r="AD305" s="337">
        <f t="shared" si="201"/>
        <v>4.4795316817330466</v>
      </c>
      <c r="AE305" s="339">
        <f t="shared" si="202"/>
        <v>-1.4960734759855623</v>
      </c>
      <c r="AF305" s="736" t="str">
        <f t="shared" si="174"/>
        <v>-0.610280334161943+0.0477769042375307i</v>
      </c>
      <c r="AG305" s="337">
        <f t="shared" si="203"/>
        <v>-4.2628765757827516</v>
      </c>
      <c r="AH305" s="730">
        <f t="shared" si="204"/>
        <v>175.52362592450544</v>
      </c>
      <c r="AI305" s="360">
        <f t="shared" si="175"/>
        <v>-4.4763740754945616</v>
      </c>
      <c r="AL305" s="337">
        <f t="shared" si="176"/>
        <v>13.024652250183992</v>
      </c>
      <c r="AM305" s="730">
        <f t="shared" si="177"/>
        <v>-85.718696015439434</v>
      </c>
      <c r="AN305" s="351"/>
      <c r="AO305" s="337">
        <f t="shared" si="178"/>
        <v>36.241593659075384</v>
      </c>
      <c r="AP305" s="730">
        <f t="shared" si="179"/>
        <v>-98.757678060055099</v>
      </c>
      <c r="AS305" s="351"/>
      <c r="AT305" s="351"/>
      <c r="AV305" s="405">
        <f t="shared" si="180"/>
        <v>0</v>
      </c>
      <c r="AW305" s="405">
        <f t="shared" si="205"/>
        <v>0</v>
      </c>
      <c r="AX305" s="405">
        <f t="shared" si="181"/>
        <v>0</v>
      </c>
      <c r="AY305" s="405">
        <f t="shared" si="182"/>
        <v>0</v>
      </c>
    </row>
    <row r="306" spans="2:51" ht="13.5" thickBot="1" x14ac:dyDescent="0.25">
      <c r="B306" s="345">
        <v>21014.75</v>
      </c>
      <c r="C306" s="728" t="str">
        <f t="shared" si="165"/>
        <v>2.2271548443541</v>
      </c>
      <c r="D306" s="728" t="str">
        <f t="shared" si="166"/>
        <v>1+16.0648141594763i</v>
      </c>
      <c r="E306" s="337">
        <f t="shared" si="184"/>
        <v>16.095907988632085</v>
      </c>
      <c r="F306" s="338">
        <f t="shared" si="185"/>
        <v>1.5086286984180246</v>
      </c>
      <c r="G306" s="338" t="str">
        <f t="shared" si="167"/>
        <v>1+0.066019784217026i</v>
      </c>
      <c r="H306" s="337">
        <f t="shared" si="186"/>
        <v>1.0021769364279258</v>
      </c>
      <c r="I306" s="338">
        <f t="shared" si="187"/>
        <v>6.5924116074973907E-2</v>
      </c>
      <c r="J306" s="340">
        <f t="shared" si="168"/>
        <v>1</v>
      </c>
      <c r="K306" s="338">
        <f t="shared" si="188"/>
        <v>1</v>
      </c>
      <c r="L306" s="339">
        <f t="shared" si="189"/>
        <v>0</v>
      </c>
      <c r="M306" s="731" t="str">
        <f t="shared" si="169"/>
        <v>0.980372456997222+0.284604134659049i</v>
      </c>
      <c r="N306" s="338">
        <f t="shared" si="190"/>
        <v>1.0208475243168276</v>
      </c>
      <c r="O306" s="339">
        <f t="shared" si="191"/>
        <v>0.28253601826453445</v>
      </c>
      <c r="P306" s="732" t="str">
        <f t="shared" si="183"/>
        <v>-0.0208959611384006-0.13422027117353i</v>
      </c>
      <c r="Q306" s="337">
        <f t="shared" si="192"/>
        <v>0.13583711711381935</v>
      </c>
      <c r="R306" s="339">
        <f t="shared" si="193"/>
        <v>-1.7252406006075849</v>
      </c>
      <c r="S306" s="731" t="str">
        <f t="shared" si="170"/>
        <v>6000</v>
      </c>
      <c r="T306" s="337" t="str">
        <f t="shared" si="171"/>
        <v>1+133359.964118393i</v>
      </c>
      <c r="U306" s="346">
        <f t="shared" si="194"/>
        <v>133359.96412214224</v>
      </c>
      <c r="V306" s="347">
        <f t="shared" si="195"/>
        <v>1.5707888282925793</v>
      </c>
      <c r="W306" s="340" t="str">
        <f t="shared" si="172"/>
        <v>1+1320.39568434052i</v>
      </c>
      <c r="X306" s="337">
        <f t="shared" si="196"/>
        <v>1320.3960630148326</v>
      </c>
      <c r="Y306" s="339">
        <f t="shared" si="197"/>
        <v>1.570038978205631</v>
      </c>
      <c r="Z306" s="337" t="str">
        <f t="shared" si="173"/>
        <v>1+13.3009479972514i</v>
      </c>
      <c r="AA306" s="346">
        <f t="shared" si="198"/>
        <v>13.338486331873868</v>
      </c>
      <c r="AB306" s="347">
        <f t="shared" si="199"/>
        <v>1.4957548919413008</v>
      </c>
      <c r="AC306" s="732" t="str">
        <f t="shared" si="200"/>
        <v>0.330570052175878-4.44144063175918i</v>
      </c>
      <c r="AD306" s="337">
        <f t="shared" si="201"/>
        <v>4.4537255690979594</v>
      </c>
      <c r="AE306" s="339">
        <f t="shared" si="202"/>
        <v>-1.4965047420282496</v>
      </c>
      <c r="AF306" s="736" t="str">
        <f t="shared" si="174"/>
        <v>-0.603038944959638+0.0484389687948589i</v>
      </c>
      <c r="AG306" s="337">
        <f t="shared" si="203"/>
        <v>-4.3651618207609122</v>
      </c>
      <c r="AH306" s="730">
        <f t="shared" si="204"/>
        <v>175.40758920103738</v>
      </c>
      <c r="AI306" s="360">
        <f t="shared" si="175"/>
        <v>-4.5924107989626179</v>
      </c>
      <c r="AL306" s="337">
        <f t="shared" si="176"/>
        <v>12.974469060883173</v>
      </c>
      <c r="AM306" s="730">
        <f t="shared" si="177"/>
        <v>-85.743405739532733</v>
      </c>
      <c r="AN306" s="351"/>
      <c r="AO306" s="337">
        <f t="shared" si="178"/>
        <v>36.189491603398046</v>
      </c>
      <c r="AP306" s="730">
        <f t="shared" si="179"/>
        <v>-98.849005059429885</v>
      </c>
      <c r="AS306" s="351"/>
      <c r="AT306" s="351"/>
      <c r="AV306" s="405">
        <f t="shared" si="180"/>
        <v>0</v>
      </c>
      <c r="AW306" s="405">
        <f t="shared" si="205"/>
        <v>0</v>
      </c>
      <c r="AX306" s="405">
        <f t="shared" si="181"/>
        <v>0</v>
      </c>
      <c r="AY306" s="405">
        <f t="shared" si="182"/>
        <v>0</v>
      </c>
    </row>
    <row r="307" spans="2:51" ht="13.5" thickBot="1" x14ac:dyDescent="0.25">
      <c r="B307" s="345">
        <v>21136.5</v>
      </c>
      <c r="C307" s="728" t="str">
        <f t="shared" si="165"/>
        <v>2.2271548443541</v>
      </c>
      <c r="D307" s="728" t="str">
        <f t="shared" si="166"/>
        <v>1+16.1578864598328i</v>
      </c>
      <c r="E307" s="337">
        <f t="shared" si="184"/>
        <v>16.1888015260194</v>
      </c>
      <c r="F307" s="338">
        <f t="shared" si="185"/>
        <v>1.5089858810044774</v>
      </c>
      <c r="G307" s="338" t="str">
        <f t="shared" si="167"/>
        <v>1+0.0664022731226005i</v>
      </c>
      <c r="H307" s="337">
        <f t="shared" si="186"/>
        <v>1.0022022060821101</v>
      </c>
      <c r="I307" s="338">
        <f t="shared" si="187"/>
        <v>6.6304935501581494E-2</v>
      </c>
      <c r="J307" s="340">
        <f t="shared" si="168"/>
        <v>1</v>
      </c>
      <c r="K307" s="338">
        <f t="shared" si="188"/>
        <v>1</v>
      </c>
      <c r="L307" s="339">
        <f t="shared" si="189"/>
        <v>0</v>
      </c>
      <c r="M307" s="731" t="str">
        <f t="shared" si="169"/>
        <v>0.9801443719+0.28625300287755i</v>
      </c>
      <c r="N307" s="338">
        <f t="shared" si="190"/>
        <v>1.0210895021611279</v>
      </c>
      <c r="O307" s="339">
        <f t="shared" si="191"/>
        <v>0.28414908165422298</v>
      </c>
      <c r="P307" s="732" t="str">
        <f t="shared" si="183"/>
        <v>-0.0209836953911485-0.133388652629201i</v>
      </c>
      <c r="Q307" s="337">
        <f t="shared" si="192"/>
        <v>0.13502906399180201</v>
      </c>
      <c r="R307" s="339">
        <f t="shared" si="193"/>
        <v>-1.726830027157118</v>
      </c>
      <c r="S307" s="731" t="str">
        <f t="shared" si="170"/>
        <v>6000</v>
      </c>
      <c r="T307" s="337" t="str">
        <f t="shared" si="171"/>
        <v>1+134132.591707653i</v>
      </c>
      <c r="U307" s="346">
        <f t="shared" si="194"/>
        <v>134132.59171138061</v>
      </c>
      <c r="V307" s="347">
        <f t="shared" si="195"/>
        <v>1.5707888714852865</v>
      </c>
      <c r="W307" s="340" t="str">
        <f t="shared" si="172"/>
        <v>1+1328.04546245201i</v>
      </c>
      <c r="X307" s="337">
        <f t="shared" si="196"/>
        <v>1328.0458389450921</v>
      </c>
      <c r="Y307" s="339">
        <f t="shared" si="197"/>
        <v>1.5700433406665772</v>
      </c>
      <c r="Z307" s="337" t="str">
        <f t="shared" si="173"/>
        <v>1+13.3780077014432i</v>
      </c>
      <c r="AA307" s="346">
        <f t="shared" si="198"/>
        <v>13.415330411878552</v>
      </c>
      <c r="AB307" s="347">
        <f t="shared" si="199"/>
        <v>1.4961855369612469</v>
      </c>
      <c r="AC307" s="732" t="str">
        <f t="shared" si="200"/>
        <v>0.326793835331937-4.4161394138338i</v>
      </c>
      <c r="AD307" s="337">
        <f t="shared" si="201"/>
        <v>4.4282142600858085</v>
      </c>
      <c r="AE307" s="339">
        <f t="shared" si="202"/>
        <v>-1.4969310677799565</v>
      </c>
      <c r="AF307" s="736" t="str">
        <f t="shared" si="174"/>
        <v>-0.595920228530311+0.0490763348822775i</v>
      </c>
      <c r="AG307" s="337">
        <f t="shared" si="203"/>
        <v>-4.4668823334485435</v>
      </c>
      <c r="AH307" s="730">
        <f t="shared" si="204"/>
        <v>175.29209510163253</v>
      </c>
      <c r="AI307" s="360">
        <f t="shared" si="175"/>
        <v>-4.7079048983674738</v>
      </c>
      <c r="AL307" s="337">
        <f t="shared" si="176"/>
        <v>12.924572522913076</v>
      </c>
      <c r="AM307" s="730">
        <f t="shared" si="177"/>
        <v>-85.767832405803276</v>
      </c>
      <c r="AN307" s="351"/>
      <c r="AO307" s="337">
        <f t="shared" si="178"/>
        <v>36.137667628680518</v>
      </c>
      <c r="AP307" s="730">
        <f t="shared" si="179"/>
        <v>-98.940072492564198</v>
      </c>
      <c r="AS307" s="351"/>
      <c r="AT307" s="351"/>
      <c r="AV307" s="405">
        <f t="shared" si="180"/>
        <v>0</v>
      </c>
      <c r="AW307" s="405">
        <f t="shared" si="205"/>
        <v>0</v>
      </c>
      <c r="AX307" s="405">
        <f t="shared" si="181"/>
        <v>0</v>
      </c>
      <c r="AY307" s="405">
        <f t="shared" si="182"/>
        <v>0</v>
      </c>
    </row>
    <row r="308" spans="2:51" ht="13.5" thickBot="1" x14ac:dyDescent="0.25">
      <c r="B308" s="345">
        <v>21258.25</v>
      </c>
      <c r="C308" s="728" t="str">
        <f t="shared" si="165"/>
        <v>2.2271548443541</v>
      </c>
      <c r="D308" s="728" t="str">
        <f t="shared" si="166"/>
        <v>1+16.2509587601893i</v>
      </c>
      <c r="E308" s="337">
        <f t="shared" si="184"/>
        <v>16.281697105196784</v>
      </c>
      <c r="F308" s="338">
        <f t="shared" si="185"/>
        <v>1.509338987809423</v>
      </c>
      <c r="G308" s="338" t="str">
        <f t="shared" si="167"/>
        <v>1+0.066784762028175i</v>
      </c>
      <c r="H308" s="337">
        <f t="shared" si="186"/>
        <v>1.0022276210717602</v>
      </c>
      <c r="I308" s="338">
        <f t="shared" si="187"/>
        <v>6.668573566939244E-2</v>
      </c>
      <c r="J308" s="340">
        <f t="shared" si="168"/>
        <v>1</v>
      </c>
      <c r="K308" s="338">
        <f t="shared" si="188"/>
        <v>1</v>
      </c>
      <c r="L308" s="339">
        <f t="shared" si="189"/>
        <v>0</v>
      </c>
      <c r="M308" s="731" t="str">
        <f t="shared" si="169"/>
        <v>0.979914969197222+0.28790187109605i</v>
      </c>
      <c r="N308" s="338">
        <f t="shared" si="190"/>
        <v>1.0213328714172472</v>
      </c>
      <c r="O308" s="339">
        <f t="shared" si="191"/>
        <v>0.28576174016386469</v>
      </c>
      <c r="P308" s="732" t="str">
        <f t="shared" si="183"/>
        <v>-0.021069668908402-0.132566131815345i</v>
      </c>
      <c r="Q308" s="337">
        <f t="shared" si="192"/>
        <v>0.13423006463677614</v>
      </c>
      <c r="R308" s="339">
        <f t="shared" si="193"/>
        <v>-1.7284149923038938</v>
      </c>
      <c r="S308" s="731" t="str">
        <f t="shared" si="170"/>
        <v>6000</v>
      </c>
      <c r="T308" s="337" t="str">
        <f t="shared" si="171"/>
        <v>1+134905.219296914i</v>
      </c>
      <c r="U308" s="346">
        <f t="shared" si="194"/>
        <v>134905.21930062029</v>
      </c>
      <c r="V308" s="347">
        <f t="shared" si="195"/>
        <v>1.5707889141832483</v>
      </c>
      <c r="W308" s="340" t="str">
        <f t="shared" si="172"/>
        <v>1+1335.6952405635i</v>
      </c>
      <c r="X308" s="337">
        <f t="shared" si="196"/>
        <v>1335.6956149003356</v>
      </c>
      <c r="Y308" s="339">
        <f t="shared" si="197"/>
        <v>1.5700476531582812</v>
      </c>
      <c r="Z308" s="337" t="str">
        <f t="shared" si="173"/>
        <v>1+13.455067405635i</v>
      </c>
      <c r="AA308" s="346">
        <f t="shared" si="198"/>
        <v>13.492176951484938</v>
      </c>
      <c r="AB308" s="347">
        <f t="shared" si="199"/>
        <v>1.4966112764641508</v>
      </c>
      <c r="AC308" s="732" t="str">
        <f t="shared" si="200"/>
        <v>0.32308183860283-4.39112323265873i</v>
      </c>
      <c r="AD308" s="337">
        <f t="shared" si="201"/>
        <v>4.4029927457162854</v>
      </c>
      <c r="AE308" s="339">
        <f t="shared" si="202"/>
        <v>-1.4973525374891177</v>
      </c>
      <c r="AF308" s="736" t="str">
        <f t="shared" si="174"/>
        <v>-0.58892144864774+0.0496898030447445i</v>
      </c>
      <c r="AG308" s="337">
        <f t="shared" si="203"/>
        <v>-4.5680446151644007</v>
      </c>
      <c r="AH308" s="730">
        <f t="shared" si="204"/>
        <v>175.1771348525194</v>
      </c>
      <c r="AI308" s="360">
        <f t="shared" si="175"/>
        <v>-4.8228651474805986</v>
      </c>
      <c r="AL308" s="337">
        <f t="shared" si="176"/>
        <v>12.874959398502426</v>
      </c>
      <c r="AM308" s="730">
        <f t="shared" si="177"/>
        <v>-85.791980841330826</v>
      </c>
      <c r="AN308" s="351"/>
      <c r="AO308" s="337">
        <f t="shared" si="178"/>
        <v>36.086118471375322</v>
      </c>
      <c r="AP308" s="730">
        <f t="shared" si="179"/>
        <v>-99.03088430614973</v>
      </c>
      <c r="AS308" s="351"/>
      <c r="AT308" s="351"/>
      <c r="AV308" s="405">
        <f t="shared" si="180"/>
        <v>0</v>
      </c>
      <c r="AW308" s="405">
        <f t="shared" si="205"/>
        <v>0</v>
      </c>
      <c r="AX308" s="405">
        <f t="shared" si="181"/>
        <v>0</v>
      </c>
      <c r="AY308" s="405">
        <f t="shared" si="182"/>
        <v>0</v>
      </c>
    </row>
    <row r="309" spans="2:51" ht="13.5" thickBot="1" x14ac:dyDescent="0.25">
      <c r="B309" s="345">
        <v>21380</v>
      </c>
      <c r="C309" s="728" t="str">
        <f t="shared" si="165"/>
        <v>2.2271548443541</v>
      </c>
      <c r="D309" s="728" t="str">
        <f t="shared" si="166"/>
        <v>1+16.3440310605458i</v>
      </c>
      <c r="E309" s="337">
        <f t="shared" si="184"/>
        <v>16.374594691414071</v>
      </c>
      <c r="F309" s="338">
        <f t="shared" si="185"/>
        <v>1.5096880881131436</v>
      </c>
      <c r="G309" s="338" t="str">
        <f t="shared" si="167"/>
        <v>1+0.06716725093375i</v>
      </c>
      <c r="H309" s="337">
        <f t="shared" si="186"/>
        <v>1.00225318138582</v>
      </c>
      <c r="I309" s="338">
        <f t="shared" si="187"/>
        <v>6.7066516469437842E-2</v>
      </c>
      <c r="J309" s="340">
        <f t="shared" si="168"/>
        <v>1</v>
      </c>
      <c r="K309" s="338">
        <f t="shared" si="188"/>
        <v>1</v>
      </c>
      <c r="L309" s="339">
        <f t="shared" si="189"/>
        <v>0</v>
      </c>
      <c r="M309" s="731" t="str">
        <f t="shared" si="169"/>
        <v>0.979684248888889+0.289550739314553i</v>
      </c>
      <c r="N309" s="338">
        <f t="shared" si="190"/>
        <v>1.0215776319783978</v>
      </c>
      <c r="O309" s="339">
        <f t="shared" si="191"/>
        <v>0.28737399168612893</v>
      </c>
      <c r="P309" s="732" t="str">
        <f t="shared" si="183"/>
        <v>-0.0211539201978985-0.131752556432506i</v>
      </c>
      <c r="Q309" s="337">
        <f t="shared" si="192"/>
        <v>0.13343996577577402</v>
      </c>
      <c r="R309" s="339">
        <f t="shared" si="193"/>
        <v>-1.7299955633298338</v>
      </c>
      <c r="S309" s="731" t="str">
        <f t="shared" si="170"/>
        <v>6000</v>
      </c>
      <c r="T309" s="337" t="str">
        <f t="shared" si="171"/>
        <v>1+135677.846886175i</v>
      </c>
      <c r="U309" s="346">
        <f t="shared" si="194"/>
        <v>135677.84688986017</v>
      </c>
      <c r="V309" s="347">
        <f t="shared" si="195"/>
        <v>1.5707889563949167</v>
      </c>
      <c r="W309" s="340" t="str">
        <f t="shared" si="172"/>
        <v>1+1343.345018675i</v>
      </c>
      <c r="X309" s="337">
        <f t="shared" si="196"/>
        <v>1343.3453908801475</v>
      </c>
      <c r="Y309" s="339">
        <f t="shared" si="197"/>
        <v>1.5700519165344031</v>
      </c>
      <c r="Z309" s="337" t="str">
        <f t="shared" si="173"/>
        <v>1+13.5321271098269i</v>
      </c>
      <c r="AA309" s="346">
        <f t="shared" si="198"/>
        <v>13.569025908904152</v>
      </c>
      <c r="AB309" s="347">
        <f t="shared" si="199"/>
        <v>1.4970321936423852</v>
      </c>
      <c r="AC309" s="732" t="str">
        <f t="shared" si="200"/>
        <v>0.319432616626865-4.36638732555462i</v>
      </c>
      <c r="AD309" s="337">
        <f t="shared" si="201"/>
        <v>4.378056129531589</v>
      </c>
      <c r="AE309" s="339">
        <f t="shared" si="202"/>
        <v>-1.4977692335028983</v>
      </c>
      <c r="AF309" s="736" t="str">
        <f t="shared" si="174"/>
        <v>-0.582039944597045+0.0502801451893838i</v>
      </c>
      <c r="AG309" s="337">
        <f t="shared" si="203"/>
        <v>-4.668655057738162</v>
      </c>
      <c r="AH309" s="730">
        <f t="shared" si="204"/>
        <v>175.06269988058284</v>
      </c>
      <c r="AI309" s="360">
        <f t="shared" si="175"/>
        <v>-4.9373001194171593</v>
      </c>
      <c r="AL309" s="337">
        <f t="shared" si="176"/>
        <v>12.825626504115542</v>
      </c>
      <c r="AM309" s="730">
        <f t="shared" si="177"/>
        <v>-85.815855764260377</v>
      </c>
      <c r="AN309" s="351"/>
      <c r="AO309" s="337">
        <f t="shared" si="178"/>
        <v>36.034840923188426</v>
      </c>
      <c r="AP309" s="730">
        <f t="shared" si="179"/>
        <v>-99.121444355156825</v>
      </c>
      <c r="AS309" s="351"/>
      <c r="AT309" s="351"/>
      <c r="AV309" s="405">
        <f t="shared" si="180"/>
        <v>0</v>
      </c>
      <c r="AW309" s="405">
        <f t="shared" si="205"/>
        <v>0</v>
      </c>
      <c r="AX309" s="405">
        <f t="shared" si="181"/>
        <v>0</v>
      </c>
      <c r="AY309" s="405">
        <f t="shared" si="182"/>
        <v>0</v>
      </c>
    </row>
    <row r="310" spans="2:51" ht="13.5" thickBot="1" x14ac:dyDescent="0.25">
      <c r="B310" s="345">
        <v>21504.5</v>
      </c>
      <c r="C310" s="728" t="str">
        <f t="shared" si="165"/>
        <v>2.2271548443541</v>
      </c>
      <c r="D310" s="728" t="str">
        <f t="shared" si="166"/>
        <v>1+16.4392056099862i</v>
      </c>
      <c r="E310" s="337">
        <f t="shared" si="184"/>
        <v>16.469592620565994</v>
      </c>
      <c r="F310" s="338">
        <f t="shared" si="185"/>
        <v>1.51004100092312</v>
      </c>
      <c r="G310" s="338" t="str">
        <f t="shared" si="167"/>
        <v>1+0.0675583792191215i</v>
      </c>
      <c r="H310" s="337">
        <f t="shared" si="186"/>
        <v>1.0022794693111869</v>
      </c>
      <c r="I310" s="338">
        <f t="shared" si="187"/>
        <v>6.745587792543413E-2</v>
      </c>
      <c r="J310" s="340">
        <f t="shared" si="168"/>
        <v>1</v>
      </c>
      <c r="K310" s="338">
        <f t="shared" si="188"/>
        <v>1</v>
      </c>
      <c r="L310" s="339">
        <f t="shared" si="189"/>
        <v>0</v>
      </c>
      <c r="M310" s="731" t="str">
        <f t="shared" si="169"/>
        <v>0.979446954655556+0.291236850963039i</v>
      </c>
      <c r="N310" s="338">
        <f t="shared" si="190"/>
        <v>1.0218293596990204</v>
      </c>
      <c r="O310" s="339">
        <f t="shared" si="191"/>
        <v>0.28902223649507991</v>
      </c>
      <c r="P310" s="732" t="str">
        <f t="shared" si="183"/>
        <v>-0.0212383324724798-0.130929700260328i</v>
      </c>
      <c r="Q310" s="337">
        <f t="shared" si="192"/>
        <v>0.13264106896610461</v>
      </c>
      <c r="R310" s="339">
        <f t="shared" si="193"/>
        <v>-1.7316073594927657</v>
      </c>
      <c r="S310" s="731" t="str">
        <f t="shared" si="170"/>
        <v>6000</v>
      </c>
      <c r="T310" s="337" t="str">
        <f t="shared" si="171"/>
        <v>1+136467.926022625i</v>
      </c>
      <c r="U310" s="346">
        <f t="shared" si="194"/>
        <v>136467.92602628889</v>
      </c>
      <c r="V310" s="347">
        <f t="shared" si="195"/>
        <v>1.5707889990657435</v>
      </c>
      <c r="W310" s="340" t="str">
        <f t="shared" si="172"/>
        <v>1+1351.16758438243i</v>
      </c>
      <c r="X310" s="337">
        <f t="shared" si="196"/>
        <v>1351.1679544327017</v>
      </c>
      <c r="Y310" s="339">
        <f t="shared" si="197"/>
        <v>1.5700562262855478</v>
      </c>
      <c r="Z310" s="337" t="str">
        <f t="shared" si="173"/>
        <v>1+13.6109273822858i</v>
      </c>
      <c r="AA310" s="346">
        <f t="shared" si="198"/>
        <v>13.647613132187525</v>
      </c>
      <c r="AB310" s="347">
        <f t="shared" si="199"/>
        <v>1.4974577159744002</v>
      </c>
      <c r="AC310" s="732" t="str">
        <f t="shared" si="200"/>
        <v>0.315764422654541-4.34137769093478i</v>
      </c>
      <c r="AD310" s="337">
        <f t="shared" si="201"/>
        <v>4.3528458996340031</v>
      </c>
      <c r="AE310" s="339">
        <f t="shared" si="202"/>
        <v>-1.498190488754596</v>
      </c>
      <c r="AF310" s="736" t="str">
        <f t="shared" si="174"/>
        <v>-0.575121589582283+0.0508606815776449i</v>
      </c>
      <c r="AG310" s="337">
        <f t="shared" si="203"/>
        <v>-4.7709738863420519</v>
      </c>
      <c r="AH310" s="730">
        <f t="shared" si="204"/>
        <v>174.94621461499145</v>
      </c>
      <c r="AI310" s="360">
        <f t="shared" si="175"/>
        <v>-5.0537853850085526</v>
      </c>
      <c r="AL310" s="337">
        <f t="shared" si="176"/>
        <v>12.775465848899204</v>
      </c>
      <c r="AM310" s="730">
        <f t="shared" si="177"/>
        <v>-85.839991912280382</v>
      </c>
      <c r="AN310" s="351"/>
      <c r="AO310" s="337">
        <f t="shared" si="178"/>
        <v>35.982682749800887</v>
      </c>
      <c r="AP310" s="730">
        <f t="shared" si="179"/>
        <v>-99.213793472728213</v>
      </c>
      <c r="AS310" s="351"/>
      <c r="AT310" s="351"/>
      <c r="AV310" s="405">
        <f t="shared" si="180"/>
        <v>0</v>
      </c>
      <c r="AW310" s="405">
        <f t="shared" si="205"/>
        <v>0</v>
      </c>
      <c r="AX310" s="405">
        <f t="shared" si="181"/>
        <v>0</v>
      </c>
      <c r="AY310" s="405">
        <f t="shared" si="182"/>
        <v>0</v>
      </c>
    </row>
    <row r="311" spans="2:51" ht="13.5" thickBot="1" x14ac:dyDescent="0.25">
      <c r="B311" s="345">
        <v>21629</v>
      </c>
      <c r="C311" s="728" t="str">
        <f t="shared" si="165"/>
        <v>2.2271548443541</v>
      </c>
      <c r="D311" s="728" t="str">
        <f t="shared" si="166"/>
        <v>1+16.5343801594268i</v>
      </c>
      <c r="E311" s="337">
        <f t="shared" si="184"/>
        <v>16.564592577435963</v>
      </c>
      <c r="F311" s="338">
        <f t="shared" si="185"/>
        <v>1.5103898657801962</v>
      </c>
      <c r="G311" s="338" t="str">
        <f t="shared" si="167"/>
        <v>1+0.0679495075044935i</v>
      </c>
      <c r="H311" s="337">
        <f t="shared" si="186"/>
        <v>1.0023059091764865</v>
      </c>
      <c r="I311" s="338">
        <f t="shared" si="187"/>
        <v>6.7845218898492335E-2</v>
      </c>
      <c r="J311" s="340">
        <f t="shared" si="168"/>
        <v>1</v>
      </c>
      <c r="K311" s="338">
        <f t="shared" si="188"/>
        <v>1</v>
      </c>
      <c r="L311" s="339">
        <f t="shared" si="189"/>
        <v>0</v>
      </c>
      <c r="M311" s="731" t="str">
        <f t="shared" si="169"/>
        <v>0.979208282622222+0.292922962611526i</v>
      </c>
      <c r="N311" s="338">
        <f t="shared" si="190"/>
        <v>1.0220825420586515</v>
      </c>
      <c r="O311" s="339">
        <f t="shared" si="191"/>
        <v>0.29067005127833118</v>
      </c>
      <c r="P311" s="732" t="str">
        <f t="shared" si="183"/>
        <v>-0.0213210218835345-0.130115886814901i</v>
      </c>
      <c r="Q311" s="337">
        <f t="shared" si="192"/>
        <v>0.1318511660008598</v>
      </c>
      <c r="R311" s="339">
        <f t="shared" si="193"/>
        <v>-1.7332146981600345</v>
      </c>
      <c r="S311" s="731" t="str">
        <f t="shared" si="170"/>
        <v>6000</v>
      </c>
      <c r="T311" s="337" t="str">
        <f t="shared" si="171"/>
        <v>1+137258.005159077i</v>
      </c>
      <c r="U311" s="346">
        <f t="shared" si="194"/>
        <v>137258.00516271978</v>
      </c>
      <c r="V311" s="347">
        <f t="shared" si="195"/>
        <v>1.57078904124533</v>
      </c>
      <c r="W311" s="340" t="str">
        <f t="shared" si="172"/>
        <v>1+1358.99015008987i</v>
      </c>
      <c r="X311" s="337">
        <f t="shared" si="196"/>
        <v>1358.9905180100732</v>
      </c>
      <c r="Y311" s="339">
        <f t="shared" si="197"/>
        <v>1.5700604864214791</v>
      </c>
      <c r="Z311" s="337" t="str">
        <f t="shared" si="173"/>
        <v>1+13.6897276547449i</v>
      </c>
      <c r="AA311" s="346">
        <f t="shared" si="198"/>
        <v>13.726202798337466</v>
      </c>
      <c r="AB311" s="347">
        <f t="shared" si="199"/>
        <v>1.4978783657075276</v>
      </c>
      <c r="AC311" s="732" t="str">
        <f t="shared" si="200"/>
        <v>0.312158942056433-4.31665139421844i</v>
      </c>
      <c r="AD311" s="337">
        <f t="shared" si="201"/>
        <v>4.3279235742228392</v>
      </c>
      <c r="AE311" s="339">
        <f t="shared" si="202"/>
        <v>-1.4986069205313786</v>
      </c>
      <c r="AF311" s="736" t="str">
        <f t="shared" si="174"/>
        <v>-0.568320471864237+0.051418581266847i</v>
      </c>
      <c r="AG311" s="337">
        <f t="shared" si="203"/>
        <v>-4.8727288437913927</v>
      </c>
      <c r="AH311" s="730">
        <f t="shared" si="204"/>
        <v>174.83026110984397</v>
      </c>
      <c r="AI311" s="360">
        <f t="shared" si="175"/>
        <v>-5.1697388901560259</v>
      </c>
      <c r="AL311" s="337">
        <f t="shared" si="176"/>
        <v>12.725591661256985</v>
      </c>
      <c r="AM311" s="730">
        <f t="shared" si="177"/>
        <v>-85.863851695545151</v>
      </c>
      <c r="AN311" s="351"/>
      <c r="AO311" s="337">
        <f t="shared" si="178"/>
        <v>35.930801979993767</v>
      </c>
      <c r="AP311" s="730">
        <f t="shared" si="179"/>
        <v>-99.305887194610875</v>
      </c>
      <c r="AS311" s="351"/>
      <c r="AT311" s="351"/>
      <c r="AV311" s="405">
        <f t="shared" si="180"/>
        <v>0</v>
      </c>
      <c r="AW311" s="405">
        <f t="shared" si="205"/>
        <v>0</v>
      </c>
      <c r="AX311" s="405">
        <f t="shared" si="181"/>
        <v>0</v>
      </c>
      <c r="AY311" s="405">
        <f t="shared" si="182"/>
        <v>0</v>
      </c>
    </row>
    <row r="312" spans="2:51" ht="13.5" thickBot="1" x14ac:dyDescent="0.25">
      <c r="B312" s="345">
        <v>21753.5</v>
      </c>
      <c r="C312" s="728" t="str">
        <f t="shared" si="165"/>
        <v>2.2271548443541</v>
      </c>
      <c r="D312" s="728" t="str">
        <f t="shared" si="166"/>
        <v>1+16.6295547088673i</v>
      </c>
      <c r="E312" s="337">
        <f t="shared" si="184"/>
        <v>16.659594527335006</v>
      </c>
      <c r="F312" s="338">
        <f t="shared" si="185"/>
        <v>1.5107347518495178</v>
      </c>
      <c r="G312" s="338" t="str">
        <f t="shared" si="167"/>
        <v>1+0.0683406357898655i</v>
      </c>
      <c r="H312" s="337">
        <f t="shared" si="186"/>
        <v>1.0023325009696948</v>
      </c>
      <c r="I312" s="338">
        <f t="shared" si="187"/>
        <v>6.8234539272199995E-2</v>
      </c>
      <c r="J312" s="340">
        <f t="shared" si="168"/>
        <v>1</v>
      </c>
      <c r="K312" s="338">
        <f t="shared" si="188"/>
        <v>1</v>
      </c>
      <c r="L312" s="339">
        <f t="shared" si="189"/>
        <v>0</v>
      </c>
      <c r="M312" s="731" t="str">
        <f t="shared" si="169"/>
        <v>0.978968232788889+0.294609074260014i</v>
      </c>
      <c r="N312" s="338">
        <f t="shared" si="190"/>
        <v>1.0223371789415383</v>
      </c>
      <c r="O312" s="339">
        <f t="shared" si="191"/>
        <v>0.29231743379446962</v>
      </c>
      <c r="P312" s="732" t="str">
        <f t="shared" si="183"/>
        <v>-0.0214020262384588-0.129310963925673i</v>
      </c>
      <c r="Q312" s="337">
        <f t="shared" si="192"/>
        <v>0.13107010383187459</v>
      </c>
      <c r="R312" s="339">
        <f t="shared" si="193"/>
        <v>-1.7348176463717861</v>
      </c>
      <c r="S312" s="731" t="str">
        <f t="shared" si="170"/>
        <v>6000</v>
      </c>
      <c r="T312" s="337" t="str">
        <f t="shared" si="171"/>
        <v>1+138048.084295528i</v>
      </c>
      <c r="U312" s="346">
        <f t="shared" si="194"/>
        <v>138048.08429914995</v>
      </c>
      <c r="V312" s="347">
        <f t="shared" si="195"/>
        <v>1.5707890829421109</v>
      </c>
      <c r="W312" s="340" t="str">
        <f t="shared" si="172"/>
        <v>1+1366.81271579731i</v>
      </c>
      <c r="X312" s="337">
        <f t="shared" si="196"/>
        <v>1366.8130816118266</v>
      </c>
      <c r="Y312" s="339">
        <f t="shared" si="197"/>
        <v>1.5700646977940722</v>
      </c>
      <c r="Z312" s="337" t="str">
        <f t="shared" si="173"/>
        <v>1+13.7685279272039i</v>
      </c>
      <c r="AA312" s="346">
        <f t="shared" si="198"/>
        <v>13.804794865632511</v>
      </c>
      <c r="AB312" s="347">
        <f t="shared" si="199"/>
        <v>1.4982942259121828</v>
      </c>
      <c r="AC312" s="732" t="str">
        <f t="shared" si="200"/>
        <v>0.30861475586158-4.29220367365173i</v>
      </c>
      <c r="AD312" s="337">
        <f t="shared" si="201"/>
        <v>4.3032842624726646</v>
      </c>
      <c r="AE312" s="339">
        <f t="shared" si="202"/>
        <v>-1.4990186110602217</v>
      </c>
      <c r="AF312" s="736" t="str">
        <f t="shared" si="174"/>
        <v>-0.561633975507745+0.0519545840821564i</v>
      </c>
      <c r="AG312" s="337">
        <f t="shared" si="203"/>
        <v>-4.973926425303782</v>
      </c>
      <c r="AH312" s="730">
        <f t="shared" si="204"/>
        <v>174.71483081276435</v>
      </c>
      <c r="AI312" s="360">
        <f t="shared" si="175"/>
        <v>-5.2851691872356525</v>
      </c>
      <c r="AL312" s="337">
        <f t="shared" si="176"/>
        <v>12.676000705270475</v>
      </c>
      <c r="AM312" s="730">
        <f t="shared" si="177"/>
        <v>-85.887439825313365</v>
      </c>
      <c r="AN312" s="351"/>
      <c r="AO312" s="337">
        <f t="shared" si="178"/>
        <v>35.879195354467875</v>
      </c>
      <c r="AP312" s="730">
        <f t="shared" si="179"/>
        <v>-99.397729361922288</v>
      </c>
      <c r="AS312" s="351"/>
      <c r="AT312" s="351"/>
      <c r="AV312" s="405">
        <f t="shared" si="180"/>
        <v>0</v>
      </c>
      <c r="AW312" s="405">
        <f t="shared" si="205"/>
        <v>0</v>
      </c>
      <c r="AX312" s="405">
        <f t="shared" si="181"/>
        <v>0</v>
      </c>
      <c r="AY312" s="405">
        <f t="shared" si="182"/>
        <v>0</v>
      </c>
    </row>
    <row r="313" spans="2:51" ht="13.5" thickBot="1" x14ac:dyDescent="0.25">
      <c r="B313" s="345">
        <v>21878</v>
      </c>
      <c r="C313" s="728" t="str">
        <f t="shared" si="165"/>
        <v>2.2271548443541</v>
      </c>
      <c r="D313" s="728" t="str">
        <f t="shared" si="166"/>
        <v>1+16.7247292583078i</v>
      </c>
      <c r="E313" s="337">
        <f t="shared" si="184"/>
        <v>16.754598436360599</v>
      </c>
      <c r="F313" s="338">
        <f t="shared" si="185"/>
        <v>1.5110757267313146</v>
      </c>
      <c r="G313" s="338" t="str">
        <f t="shared" si="167"/>
        <v>1+0.0687317640752375i</v>
      </c>
      <c r="H313" s="337">
        <f t="shared" si="186"/>
        <v>1.00235924467872</v>
      </c>
      <c r="I313" s="338">
        <f t="shared" si="187"/>
        <v>6.8623838930182396E-2</v>
      </c>
      <c r="J313" s="340">
        <f t="shared" si="168"/>
        <v>1</v>
      </c>
      <c r="K313" s="338">
        <f t="shared" si="188"/>
        <v>1</v>
      </c>
      <c r="L313" s="339">
        <f t="shared" si="189"/>
        <v>0</v>
      </c>
      <c r="M313" s="731" t="str">
        <f t="shared" si="169"/>
        <v>0.978726805155556+0.296295185908502i</v>
      </c>
      <c r="N313" s="338">
        <f t="shared" si="190"/>
        <v>1.0225932702314031</v>
      </c>
      <c r="O313" s="339">
        <f t="shared" si="191"/>
        <v>0.29396438180614992</v>
      </c>
      <c r="P313" s="732" t="str">
        <f t="shared" si="183"/>
        <v>-0.0214813822845016-0.128514782825714i</v>
      </c>
      <c r="Q313" s="337">
        <f t="shared" si="192"/>
        <v>0.13029773286436463</v>
      </c>
      <c r="R313" s="339">
        <f t="shared" si="193"/>
        <v>-1.7364162696072825</v>
      </c>
      <c r="S313" s="731" t="str">
        <f t="shared" si="170"/>
        <v>6000</v>
      </c>
      <c r="T313" s="337" t="str">
        <f t="shared" si="171"/>
        <v>1+138838.16343198i</v>
      </c>
      <c r="U313" s="346">
        <f t="shared" si="194"/>
        <v>138838.16343558131</v>
      </c>
      <c r="V313" s="347">
        <f t="shared" si="195"/>
        <v>1.5707891241643284</v>
      </c>
      <c r="W313" s="340" t="str">
        <f t="shared" si="172"/>
        <v>1+1374.63528150475i</v>
      </c>
      <c r="X313" s="337">
        <f t="shared" si="196"/>
        <v>1374.6356452375455</v>
      </c>
      <c r="Y313" s="339">
        <f t="shared" si="197"/>
        <v>1.5700688612358116</v>
      </c>
      <c r="Z313" s="337" t="str">
        <f t="shared" si="173"/>
        <v>1+13.8473281996629i</v>
      </c>
      <c r="AA313" s="346">
        <f t="shared" si="198"/>
        <v>13.883389293295041</v>
      </c>
      <c r="AB313" s="347">
        <f t="shared" si="199"/>
        <v>1.498705377784435</v>
      </c>
      <c r="AC313" s="732" t="str">
        <f t="shared" si="200"/>
        <v>0.305130484935849-4.26802987299368i</v>
      </c>
      <c r="AD313" s="337">
        <f t="shared" si="201"/>
        <v>4.2789231834193568</v>
      </c>
      <c r="AE313" s="339">
        <f t="shared" si="202"/>
        <v>-1.4994256407129516</v>
      </c>
      <c r="AF313" s="736" t="str">
        <f t="shared" si="174"/>
        <v>-0.555059556815005+0.0524694032984146i</v>
      </c>
      <c r="AG313" s="337">
        <f t="shared" si="203"/>
        <v>-5.0745730166752185</v>
      </c>
      <c r="AH313" s="730">
        <f t="shared" si="204"/>
        <v>174.59991536710078</v>
      </c>
      <c r="AI313" s="360">
        <f t="shared" si="175"/>
        <v>-5.4000846328992225</v>
      </c>
      <c r="AL313" s="337">
        <f t="shared" si="176"/>
        <v>12.626689799243769</v>
      </c>
      <c r="AM313" s="730">
        <f t="shared" si="177"/>
        <v>-85.910760906551474</v>
      </c>
      <c r="AN313" s="351"/>
      <c r="AO313" s="337">
        <f t="shared" si="178"/>
        <v>35.827859669123143</v>
      </c>
      <c r="AP313" s="730">
        <f t="shared" si="179"/>
        <v>-99.489323726347735</v>
      </c>
      <c r="AS313" s="351"/>
      <c r="AT313" s="351"/>
      <c r="AV313" s="405">
        <f t="shared" si="180"/>
        <v>0</v>
      </c>
      <c r="AW313" s="405">
        <f t="shared" si="205"/>
        <v>0</v>
      </c>
      <c r="AX313" s="405">
        <f t="shared" si="181"/>
        <v>0</v>
      </c>
      <c r="AY313" s="405">
        <f t="shared" si="182"/>
        <v>0</v>
      </c>
    </row>
    <row r="314" spans="2:51" ht="13.5" thickBot="1" x14ac:dyDescent="0.25">
      <c r="B314" s="345">
        <v>22005.25</v>
      </c>
      <c r="C314" s="728" t="str">
        <f t="shared" si="165"/>
        <v>2.2271548443541</v>
      </c>
      <c r="D314" s="728" t="str">
        <f t="shared" si="166"/>
        <v>1+16.8220060568324i</v>
      </c>
      <c r="E314" s="337">
        <f t="shared" si="184"/>
        <v>16.851702815327176</v>
      </c>
      <c r="F314" s="338">
        <f t="shared" si="185"/>
        <v>1.5114202602366007</v>
      </c>
      <c r="G314" s="338" t="str">
        <f t="shared" si="167"/>
        <v>1+0.069131531740407i</v>
      </c>
      <c r="H314" s="337">
        <f t="shared" si="186"/>
        <v>1.0023867360858159</v>
      </c>
      <c r="I314" s="338">
        <f t="shared" si="187"/>
        <v>6.9021716048346018E-2</v>
      </c>
      <c r="J314" s="340">
        <f t="shared" si="168"/>
        <v>1</v>
      </c>
      <c r="K314" s="338">
        <f t="shared" si="188"/>
        <v>1</v>
      </c>
      <c r="L314" s="339">
        <f t="shared" si="189"/>
        <v>0</v>
      </c>
      <c r="M314" s="731" t="str">
        <f t="shared" si="169"/>
        <v>0.978478620997222+0.298018540986977i</v>
      </c>
      <c r="N314" s="338">
        <f t="shared" si="190"/>
        <v>1.022856520984557</v>
      </c>
      <c r="O314" s="339">
        <f t="shared" si="191"/>
        <v>0.29564725685611409</v>
      </c>
      <c r="P314" s="732" t="str">
        <f t="shared" si="183"/>
        <v>-0.021560825032381-0.127709897555153i</v>
      </c>
      <c r="Q314" s="337">
        <f t="shared" si="192"/>
        <v>0.12951713056435671</v>
      </c>
      <c r="R314" s="339">
        <f t="shared" si="193"/>
        <v>-1.7380458010443685</v>
      </c>
      <c r="S314" s="731" t="str">
        <f t="shared" si="170"/>
        <v>6000</v>
      </c>
      <c r="T314" s="337" t="str">
        <f t="shared" si="171"/>
        <v>1+139645.694115622i</v>
      </c>
      <c r="U314" s="346">
        <f t="shared" si="194"/>
        <v>139645.6941192025</v>
      </c>
      <c r="V314" s="347">
        <f t="shared" si="195"/>
        <v>1.570789165815059</v>
      </c>
      <c r="W314" s="340" t="str">
        <f t="shared" si="172"/>
        <v>1+1382.63063480814i</v>
      </c>
      <c r="X314" s="337">
        <f t="shared" si="196"/>
        <v>1382.6309964375746</v>
      </c>
      <c r="Y314" s="339">
        <f t="shared" si="197"/>
        <v>1.5700730679573902</v>
      </c>
      <c r="Z314" s="337" t="str">
        <f t="shared" si="173"/>
        <v>1+13.9278690403891i</v>
      </c>
      <c r="AA314" s="346">
        <f t="shared" si="198"/>
        <v>13.963722140111107</v>
      </c>
      <c r="AB314" s="347">
        <f t="shared" si="199"/>
        <v>1.4991208284617081</v>
      </c>
      <c r="AC314" s="732" t="str">
        <f t="shared" si="200"/>
        <v>0.3016297718724-4.24360043560313i</v>
      </c>
      <c r="AD314" s="337">
        <f t="shared" si="201"/>
        <v>4.254306662234268</v>
      </c>
      <c r="AE314" s="339">
        <f t="shared" si="202"/>
        <v>-1.4998369263193774</v>
      </c>
      <c r="AF314" s="736" t="str">
        <f t="shared" si="174"/>
        <v>-0.548453163631776+0.0529744192339665i</v>
      </c>
      <c r="AG314" s="337">
        <f t="shared" si="203"/>
        <v>-5.1768798808098886</v>
      </c>
      <c r="AH314" s="730">
        <f t="shared" si="204"/>
        <v>174.48298516374916</v>
      </c>
      <c r="AI314" s="360">
        <f t="shared" si="175"/>
        <v>-5.5170148362508371</v>
      </c>
      <c r="AL314" s="337">
        <f t="shared" si="176"/>
        <v>12.576575836938254</v>
      </c>
      <c r="AM314" s="730">
        <f t="shared" si="177"/>
        <v>-85.93432583597415</v>
      </c>
      <c r="AN314" s="351"/>
      <c r="AO314" s="337">
        <f t="shared" si="178"/>
        <v>35.775666767293991</v>
      </c>
      <c r="AP314" s="730">
        <f t="shared" si="179"/>
        <v>-99.582689000276702</v>
      </c>
      <c r="AS314" s="351"/>
      <c r="AT314" s="351"/>
      <c r="AV314" s="405">
        <f t="shared" si="180"/>
        <v>0</v>
      </c>
      <c r="AW314" s="405">
        <f t="shared" si="205"/>
        <v>0</v>
      </c>
      <c r="AX314" s="405">
        <f t="shared" si="181"/>
        <v>0</v>
      </c>
      <c r="AY314" s="405">
        <f t="shared" si="182"/>
        <v>0</v>
      </c>
    </row>
    <row r="315" spans="2:51" ht="13.5" thickBot="1" x14ac:dyDescent="0.25">
      <c r="B315" s="345">
        <v>22132.5</v>
      </c>
      <c r="C315" s="728" t="str">
        <f t="shared" si="165"/>
        <v>2.2271548443541</v>
      </c>
      <c r="D315" s="728" t="str">
        <f t="shared" si="166"/>
        <v>1+16.9192828553568i</v>
      </c>
      <c r="E315" s="337">
        <f t="shared" si="184"/>
        <v>16.948809171725621</v>
      </c>
      <c r="F315" s="338">
        <f t="shared" si="185"/>
        <v>1.5117608458475331</v>
      </c>
      <c r="G315" s="338" t="str">
        <f t="shared" si="167"/>
        <v>1+0.069531299405576i</v>
      </c>
      <c r="H315" s="337">
        <f t="shared" si="186"/>
        <v>1.0024143861682293</v>
      </c>
      <c r="I315" s="338">
        <f t="shared" si="187"/>
        <v>6.9419571279813977E-2</v>
      </c>
      <c r="J315" s="340">
        <f t="shared" si="168"/>
        <v>1</v>
      </c>
      <c r="K315" s="338">
        <f t="shared" si="188"/>
        <v>1</v>
      </c>
      <c r="L315" s="339">
        <f t="shared" si="189"/>
        <v>0</v>
      </c>
      <c r="M315" s="731" t="str">
        <f t="shared" si="169"/>
        <v>0.9782289975+0.29974189606545i</v>
      </c>
      <c r="N315" s="338">
        <f t="shared" si="190"/>
        <v>1.023121290857915</v>
      </c>
      <c r="O315" s="339">
        <f t="shared" si="191"/>
        <v>0.29732967328154719</v>
      </c>
      <c r="P315" s="732" t="str">
        <f t="shared" si="183"/>
        <v>-0.0216386202385786-0.126913840743092i</v>
      </c>
      <c r="Q315" s="337">
        <f t="shared" si="192"/>
        <v>0.12874530227543193</v>
      </c>
      <c r="R315" s="339">
        <f t="shared" si="193"/>
        <v>-1.7396709478492653</v>
      </c>
      <c r="S315" s="731" t="str">
        <f t="shared" si="170"/>
        <v>6000</v>
      </c>
      <c r="T315" s="337" t="str">
        <f t="shared" si="171"/>
        <v>1+140453.224799264i</v>
      </c>
      <c r="U315" s="346">
        <f t="shared" si="194"/>
        <v>140453.22480282391</v>
      </c>
      <c r="V315" s="347">
        <f t="shared" si="195"/>
        <v>1.5707892069868508</v>
      </c>
      <c r="W315" s="340" t="str">
        <f t="shared" si="172"/>
        <v>1+1390.62598811152i</v>
      </c>
      <c r="X315" s="337">
        <f t="shared" si="196"/>
        <v>1390.6263476617796</v>
      </c>
      <c r="Y315" s="339">
        <f t="shared" si="197"/>
        <v>1.5700772263062099</v>
      </c>
      <c r="Z315" s="337" t="str">
        <f t="shared" si="173"/>
        <v>1+14.0084098811152i</v>
      </c>
      <c r="AA315" s="346">
        <f t="shared" si="198"/>
        <v>14.044057369482864</v>
      </c>
      <c r="AB315" s="347">
        <f t="shared" si="199"/>
        <v>1.4995315262628648</v>
      </c>
      <c r="AC315" s="732" t="str">
        <f t="shared" si="200"/>
        <v>0.298188858532714-4.21944764168763i</v>
      </c>
      <c r="AD315" s="337">
        <f t="shared" si="201"/>
        <v>4.2299710396522041</v>
      </c>
      <c r="AE315" s="339">
        <f t="shared" si="202"/>
        <v>-1.5002435069435056</v>
      </c>
      <c r="AF315" s="736" t="str">
        <f t="shared" si="174"/>
        <v>-0.541958701490124+0.0534587318318594i</v>
      </c>
      <c r="AG315" s="337">
        <f t="shared" si="203"/>
        <v>-5.2786242950789033</v>
      </c>
      <c r="AH315" s="730">
        <f t="shared" si="204"/>
        <v>174.36657575694508</v>
      </c>
      <c r="AI315" s="360">
        <f t="shared" si="175"/>
        <v>-5.6334242430549182</v>
      </c>
      <c r="AL315" s="337">
        <f t="shared" si="176"/>
        <v>12.52674788006682</v>
      </c>
      <c r="AM315" s="730">
        <f t="shared" si="177"/>
        <v>-85.957621189768489</v>
      </c>
      <c r="AN315" s="351"/>
      <c r="AO315" s="337">
        <f t="shared" si="178"/>
        <v>35.723750309896403</v>
      </c>
      <c r="AP315" s="730">
        <f t="shared" si="179"/>
        <v>-99.675803053286444</v>
      </c>
      <c r="AS315" s="351"/>
      <c r="AT315" s="351"/>
      <c r="AV315" s="405">
        <f t="shared" si="180"/>
        <v>0</v>
      </c>
      <c r="AW315" s="405">
        <f t="shared" si="205"/>
        <v>0</v>
      </c>
      <c r="AX315" s="405">
        <f t="shared" si="181"/>
        <v>0</v>
      </c>
      <c r="AY315" s="405">
        <f t="shared" si="182"/>
        <v>0</v>
      </c>
    </row>
    <row r="316" spans="2:51" ht="13.5" thickBot="1" x14ac:dyDescent="0.25">
      <c r="B316" s="345">
        <v>22259.75</v>
      </c>
      <c r="C316" s="728" t="str">
        <f t="shared" si="165"/>
        <v>2.2271548443541</v>
      </c>
      <c r="D316" s="728" t="str">
        <f t="shared" si="166"/>
        <v>1+17.0165596538814i</v>
      </c>
      <c r="E316" s="337">
        <f t="shared" si="184"/>
        <v>17.045917471761513</v>
      </c>
      <c r="F316" s="338">
        <f t="shared" si="185"/>
        <v>1.5120975509562851</v>
      </c>
      <c r="G316" s="338" t="str">
        <f t="shared" si="167"/>
        <v>1+0.0699310670707455i</v>
      </c>
      <c r="H316" s="337">
        <f t="shared" si="186"/>
        <v>1.0024421949128304</v>
      </c>
      <c r="I316" s="338">
        <f t="shared" si="187"/>
        <v>6.9817404500451569E-2</v>
      </c>
      <c r="J316" s="340">
        <f t="shared" si="168"/>
        <v>1</v>
      </c>
      <c r="K316" s="338">
        <f t="shared" si="188"/>
        <v>1</v>
      </c>
      <c r="L316" s="339">
        <f t="shared" si="189"/>
        <v>0</v>
      </c>
      <c r="M316" s="731" t="str">
        <f t="shared" si="169"/>
        <v>0.977977934663889+0.301465251143925i</v>
      </c>
      <c r="N316" s="338">
        <f t="shared" si="190"/>
        <v>1.0233875797256462</v>
      </c>
      <c r="O316" s="339">
        <f t="shared" si="191"/>
        <v>0.29901162870683801</v>
      </c>
      <c r="P316" s="732" t="str">
        <f t="shared" si="183"/>
        <v>-0.021714803932866-0.126126463966002i</v>
      </c>
      <c r="Q316" s="337">
        <f t="shared" si="192"/>
        <v>0.12798209883577472</v>
      </c>
      <c r="R316" s="339">
        <f t="shared" si="193"/>
        <v>-1.7412917751626718</v>
      </c>
      <c r="S316" s="731" t="str">
        <f t="shared" si="170"/>
        <v>6000</v>
      </c>
      <c r="T316" s="337" t="str">
        <f t="shared" si="171"/>
        <v>1+141260.755482906i</v>
      </c>
      <c r="U316" s="346">
        <f t="shared" si="194"/>
        <v>141260.75548644556</v>
      </c>
      <c r="V316" s="347">
        <f t="shared" si="195"/>
        <v>1.5707892476879177</v>
      </c>
      <c r="W316" s="340" t="str">
        <f t="shared" si="172"/>
        <v>1+1398.62134141491i</v>
      </c>
      <c r="X316" s="337">
        <f t="shared" si="196"/>
        <v>1398.6216989097668</v>
      </c>
      <c r="Y316" s="339">
        <f t="shared" si="197"/>
        <v>1.5700813371118527</v>
      </c>
      <c r="Z316" s="337" t="str">
        <f t="shared" si="173"/>
        <v>1+14.0889507218414i</v>
      </c>
      <c r="AA316" s="346">
        <f t="shared" si="198"/>
        <v>14.124394940756764</v>
      </c>
      <c r="AB316" s="347">
        <f t="shared" si="199"/>
        <v>1.4999375521492351</v>
      </c>
      <c r="AC316" s="732" t="str">
        <f t="shared" si="200"/>
        <v>0.294806392894187-4.19556684283334i</v>
      </c>
      <c r="AD316" s="337">
        <f t="shared" si="201"/>
        <v>4.2059115470934243</v>
      </c>
      <c r="AE316" s="339">
        <f t="shared" si="202"/>
        <v>-1.5006454627253001</v>
      </c>
      <c r="AF316" s="736" t="str">
        <f t="shared" si="174"/>
        <v>-0.535573673239425+0.0539230234890439i</v>
      </c>
      <c r="AG316" s="337">
        <f t="shared" si="203"/>
        <v>-5.3798127390493686</v>
      </c>
      <c r="AH316" s="730">
        <f t="shared" si="204"/>
        <v>174.25067882271966</v>
      </c>
      <c r="AI316" s="360">
        <f t="shared" si="175"/>
        <v>-5.7493211772803363</v>
      </c>
      <c r="AL316" s="337">
        <f t="shared" si="176"/>
        <v>12.477202699325717</v>
      </c>
      <c r="AM316" s="730">
        <f t="shared" si="177"/>
        <v>-85.980651559616192</v>
      </c>
      <c r="AN316" s="351"/>
      <c r="AO316" s="337">
        <f t="shared" si="178"/>
        <v>35.672107046667044</v>
      </c>
      <c r="AP316" s="730">
        <f t="shared" si="179"/>
        <v>-99.768669617664159</v>
      </c>
      <c r="AS316" s="351"/>
      <c r="AT316" s="351"/>
      <c r="AV316" s="405">
        <f t="shared" si="180"/>
        <v>0</v>
      </c>
      <c r="AW316" s="405">
        <f t="shared" si="205"/>
        <v>0</v>
      </c>
      <c r="AX316" s="405">
        <f t="shared" si="181"/>
        <v>0</v>
      </c>
      <c r="AY316" s="405">
        <f t="shared" si="182"/>
        <v>0</v>
      </c>
    </row>
    <row r="317" spans="2:51" ht="13.5" thickBot="1" x14ac:dyDescent="0.25">
      <c r="B317" s="345">
        <v>22387</v>
      </c>
      <c r="C317" s="728" t="str">
        <f t="shared" si="165"/>
        <v>2.2271548443541</v>
      </c>
      <c r="D317" s="728" t="str">
        <f t="shared" si="166"/>
        <v>1+17.1138364524059i</v>
      </c>
      <c r="E317" s="337">
        <f t="shared" si="184"/>
        <v>17.143027682404789</v>
      </c>
      <c r="F317" s="338">
        <f t="shared" si="185"/>
        <v>1.5124304414315659</v>
      </c>
      <c r="G317" s="338" t="str">
        <f t="shared" si="167"/>
        <v>1+0.0703308347359145i</v>
      </c>
      <c r="H317" s="337">
        <f t="shared" si="186"/>
        <v>1.0024701623064152</v>
      </c>
      <c r="I317" s="338">
        <f t="shared" si="187"/>
        <v>7.0215215586163643E-2</v>
      </c>
      <c r="J317" s="340">
        <f t="shared" si="168"/>
        <v>1</v>
      </c>
      <c r="K317" s="338">
        <f t="shared" si="188"/>
        <v>1</v>
      </c>
      <c r="L317" s="339">
        <f t="shared" si="189"/>
        <v>0</v>
      </c>
      <c r="M317" s="731" t="str">
        <f t="shared" si="169"/>
        <v>0.977725432488889+0.303188606222397i</v>
      </c>
      <c r="N317" s="338">
        <f t="shared" si="190"/>
        <v>1.023655387461359</v>
      </c>
      <c r="O317" s="339">
        <f t="shared" si="191"/>
        <v>0.30069312076088095</v>
      </c>
      <c r="P317" s="732" t="str">
        <f t="shared" si="183"/>
        <v>-0.0217894111361627-0.125347622119362i</v>
      </c>
      <c r="Q317" s="337">
        <f t="shared" si="192"/>
        <v>0.12722737444685048</v>
      </c>
      <c r="R317" s="339">
        <f t="shared" si="193"/>
        <v>-1.7429083466062829</v>
      </c>
      <c r="S317" s="731" t="str">
        <f t="shared" si="170"/>
        <v>6000</v>
      </c>
      <c r="T317" s="337" t="str">
        <f t="shared" si="171"/>
        <v>1+142068.286166547i</v>
      </c>
      <c r="U317" s="346">
        <f t="shared" si="194"/>
        <v>142068.28617006645</v>
      </c>
      <c r="V317" s="347">
        <f t="shared" si="195"/>
        <v>1.5707892879262866</v>
      </c>
      <c r="W317" s="340" t="str">
        <f t="shared" si="172"/>
        <v>1+1406.61669471829i</v>
      </c>
      <c r="X317" s="337">
        <f t="shared" si="196"/>
        <v>1406.61705018111</v>
      </c>
      <c r="Y317" s="339">
        <f t="shared" si="197"/>
        <v>1.5700854011850391</v>
      </c>
      <c r="Z317" s="337" t="str">
        <f t="shared" si="173"/>
        <v>1+14.1694915625675i</v>
      </c>
      <c r="AA317" s="346">
        <f t="shared" si="198"/>
        <v>14.204734814197398</v>
      </c>
      <c r="AB317" s="347">
        <f t="shared" si="199"/>
        <v>1.5003389852567683</v>
      </c>
      <c r="AC317" s="732" t="str">
        <f t="shared" si="200"/>
        <v>0.291481060866019-4.17195349363777i</v>
      </c>
      <c r="AD317" s="337">
        <f t="shared" si="201"/>
        <v>4.1821235230346767</v>
      </c>
      <c r="AE317" s="339">
        <f t="shared" si="202"/>
        <v>-1.5010428719980153</v>
      </c>
      <c r="AF317" s="736" t="str">
        <f t="shared" si="174"/>
        <v>-0.529295650693674+0.0543679520414392i</v>
      </c>
      <c r="AG317" s="337">
        <f t="shared" si="203"/>
        <v>-5.4804515831471265</v>
      </c>
      <c r="AH317" s="730">
        <f t="shared" si="204"/>
        <v>174.13528622765341</v>
      </c>
      <c r="AI317" s="360">
        <f t="shared" si="175"/>
        <v>-5.8647137723465903</v>
      </c>
      <c r="AL317" s="337">
        <f t="shared" si="176"/>
        <v>12.427937119514009</v>
      </c>
      <c r="AM317" s="730">
        <f t="shared" si="177"/>
        <v>-86.003421433682135</v>
      </c>
      <c r="AN317" s="351"/>
      <c r="AO317" s="337">
        <f t="shared" si="178"/>
        <v>35.620733782381002</v>
      </c>
      <c r="AP317" s="730">
        <f t="shared" si="179"/>
        <v>-99.861292338664455</v>
      </c>
      <c r="AS317" s="351"/>
      <c r="AT317" s="351"/>
      <c r="AV317" s="405">
        <f t="shared" si="180"/>
        <v>0</v>
      </c>
      <c r="AW317" s="405">
        <f t="shared" si="205"/>
        <v>0</v>
      </c>
      <c r="AX317" s="405">
        <f t="shared" si="181"/>
        <v>0</v>
      </c>
      <c r="AY317" s="405">
        <f t="shared" si="182"/>
        <v>0</v>
      </c>
    </row>
    <row r="318" spans="2:51" ht="13.5" thickBot="1" x14ac:dyDescent="0.25">
      <c r="B318" s="345">
        <v>22517.5</v>
      </c>
      <c r="C318" s="728" t="str">
        <f t="shared" si="165"/>
        <v>2.2271548443541</v>
      </c>
      <c r="D318" s="728" t="str">
        <f t="shared" si="166"/>
        <v>1+17.2135977271206i</v>
      </c>
      <c r="E318" s="337">
        <f t="shared" si="184"/>
        <v>17.242620065150525</v>
      </c>
      <c r="F318" s="338">
        <f t="shared" si="185"/>
        <v>1.5127679394387405</v>
      </c>
      <c r="G318" s="338" t="str">
        <f t="shared" si="167"/>
        <v>1+0.070740812577208i</v>
      </c>
      <c r="H318" s="337">
        <f t="shared" si="186"/>
        <v>1.0024990087596515</v>
      </c>
      <c r="I318" s="338">
        <f t="shared" si="187"/>
        <v>7.0623163756338384E-2</v>
      </c>
      <c r="J318" s="340">
        <f t="shared" si="168"/>
        <v>1</v>
      </c>
      <c r="K318" s="338">
        <f t="shared" si="188"/>
        <v>1</v>
      </c>
      <c r="L318" s="339">
        <f t="shared" si="189"/>
        <v>0</v>
      </c>
      <c r="M318" s="731" t="str">
        <f t="shared" si="169"/>
        <v>0.977464986388889+0.304955976263583i</v>
      </c>
      <c r="N318" s="338">
        <f t="shared" si="190"/>
        <v>1.0239316124991482</v>
      </c>
      <c r="O318" s="339">
        <f t="shared" si="191"/>
        <v>0.30241707483126107</v>
      </c>
      <c r="P318" s="732" t="str">
        <f t="shared" si="183"/>
        <v>-0.0218643220828127-0.124557604536128i</v>
      </c>
      <c r="Q318" s="337">
        <f t="shared" si="192"/>
        <v>0.12646203156647226</v>
      </c>
      <c r="R318" s="339">
        <f t="shared" si="193"/>
        <v>-1.744561850513664</v>
      </c>
      <c r="S318" s="731" t="str">
        <f t="shared" si="170"/>
        <v>6000</v>
      </c>
      <c r="T318" s="337" t="str">
        <f t="shared" si="171"/>
        <v>1+142896.44140596i</v>
      </c>
      <c r="U318" s="346">
        <f t="shared" si="194"/>
        <v>142896.44140945908</v>
      </c>
      <c r="V318" s="347">
        <f t="shared" si="195"/>
        <v>1.5707893287199961</v>
      </c>
      <c r="W318" s="340" t="str">
        <f t="shared" si="172"/>
        <v>1+1414.81625154416i</v>
      </c>
      <c r="X318" s="337">
        <f t="shared" si="196"/>
        <v>1414.8166049468985</v>
      </c>
      <c r="Y318" s="339">
        <f t="shared" si="197"/>
        <v>1.5700895213476282</v>
      </c>
      <c r="Z318" s="337" t="str">
        <f t="shared" si="173"/>
        <v>1+14.2520894385185i</v>
      </c>
      <c r="AA318" s="346">
        <f t="shared" si="198"/>
        <v>14.287128940537023</v>
      </c>
      <c r="AB318" s="347">
        <f t="shared" si="199"/>
        <v>1.5007459818713353</v>
      </c>
      <c r="AC318" s="732" t="str">
        <f t="shared" si="200"/>
        <v>0.288128802160978-4.14801018039168i</v>
      </c>
      <c r="AD318" s="337">
        <f t="shared" si="201"/>
        <v>4.1580051302599106</v>
      </c>
      <c r="AE318" s="339">
        <f t="shared" si="202"/>
        <v>-1.501445789243703</v>
      </c>
      <c r="AF318" s="736" t="str">
        <f t="shared" si="174"/>
        <v>-0.522965952592843+0.0548047971918343i</v>
      </c>
      <c r="AG318" s="337">
        <f t="shared" si="203"/>
        <v>-5.5830964968793833</v>
      </c>
      <c r="AH318" s="730">
        <f t="shared" si="204"/>
        <v>174.01746197468117</v>
      </c>
      <c r="AI318" s="360">
        <f t="shared" si="175"/>
        <v>-5.9825380253188314</v>
      </c>
      <c r="AL318" s="337">
        <f t="shared" si="176"/>
        <v>12.377700416802684</v>
      </c>
      <c r="AM318" s="730">
        <f t="shared" si="177"/>
        <v>-86.02650689135308</v>
      </c>
      <c r="AN318" s="351"/>
      <c r="AO318" s="337">
        <f t="shared" si="178"/>
        <v>35.568325571360056</v>
      </c>
      <c r="AP318" s="730">
        <f t="shared" si="179"/>
        <v>-99.95603113396578</v>
      </c>
      <c r="AS318" s="351"/>
      <c r="AT318" s="351"/>
      <c r="AV318" s="405">
        <f t="shared" si="180"/>
        <v>0</v>
      </c>
      <c r="AW318" s="405">
        <f t="shared" si="205"/>
        <v>0</v>
      </c>
      <c r="AX318" s="405">
        <f t="shared" si="181"/>
        <v>0</v>
      </c>
      <c r="AY318" s="405">
        <f t="shared" si="182"/>
        <v>0</v>
      </c>
    </row>
    <row r="319" spans="2:51" ht="13.5" thickBot="1" x14ac:dyDescent="0.25">
      <c r="B319" s="345">
        <v>22648</v>
      </c>
      <c r="C319" s="728" t="str">
        <f t="shared" si="165"/>
        <v>2.2271548443541</v>
      </c>
      <c r="D319" s="728" t="str">
        <f t="shared" si="166"/>
        <v>1+17.3133590018354i</v>
      </c>
      <c r="E319" s="337">
        <f t="shared" si="184"/>
        <v>17.342214389357402</v>
      </c>
      <c r="F319" s="338">
        <f t="shared" si="185"/>
        <v>1.5131015610597949</v>
      </c>
      <c r="G319" s="338" t="str">
        <f t="shared" si="167"/>
        <v>1+0.0711507904185015i</v>
      </c>
      <c r="H319" s="337">
        <f t="shared" si="186"/>
        <v>1.0025280220408692</v>
      </c>
      <c r="I319" s="338">
        <f t="shared" si="187"/>
        <v>7.1031088382259397E-2</v>
      </c>
      <c r="J319" s="340">
        <f t="shared" si="168"/>
        <v>1</v>
      </c>
      <c r="K319" s="338">
        <f t="shared" si="188"/>
        <v>1</v>
      </c>
      <c r="L319" s="339">
        <f t="shared" si="189"/>
        <v>0</v>
      </c>
      <c r="M319" s="731" t="str">
        <f t="shared" si="169"/>
        <v>0.977203026488889+0.306723346304769i</v>
      </c>
      <c r="N319" s="338">
        <f t="shared" si="190"/>
        <v>1.0242094347092492</v>
      </c>
      <c r="O319" s="339">
        <f t="shared" si="191"/>
        <v>0.30414053652230644</v>
      </c>
      <c r="P319" s="732" t="str">
        <f t="shared" si="183"/>
        <v>-0.0219376464777251-0.12377626461564i</v>
      </c>
      <c r="Q319" s="337">
        <f t="shared" si="192"/>
        <v>0.12570530623319995</v>
      </c>
      <c r="R319" s="339">
        <f t="shared" si="193"/>
        <v>-1.7462110091998408</v>
      </c>
      <c r="S319" s="731" t="str">
        <f t="shared" si="170"/>
        <v>6000</v>
      </c>
      <c r="T319" s="337" t="str">
        <f t="shared" si="171"/>
        <v>1+143724.596645373i</v>
      </c>
      <c r="U319" s="346">
        <f t="shared" si="194"/>
        <v>143724.59664885188</v>
      </c>
      <c r="V319" s="347">
        <f t="shared" si="195"/>
        <v>1.5707893690435908</v>
      </c>
      <c r="W319" s="340" t="str">
        <f t="shared" si="172"/>
        <v>1+1423.01580837003i</v>
      </c>
      <c r="X319" s="337">
        <f t="shared" si="196"/>
        <v>1423.0161597364274</v>
      </c>
      <c r="Y319" s="339">
        <f t="shared" si="197"/>
        <v>1.5700935940286778</v>
      </c>
      <c r="Z319" s="337" t="str">
        <f t="shared" si="173"/>
        <v>1+14.3346873144695i</v>
      </c>
      <c r="AA319" s="346">
        <f t="shared" si="198"/>
        <v>14.369525406345639</v>
      </c>
      <c r="AB319" s="347">
        <f t="shared" si="199"/>
        <v>1.5011483110236961</v>
      </c>
      <c r="AC319" s="732" t="str">
        <f t="shared" si="200"/>
        <v>0.284833950277456-4.12433878984517i</v>
      </c>
      <c r="AD319" s="337">
        <f t="shared" si="201"/>
        <v>4.1341626519347523</v>
      </c>
      <c r="AE319" s="339">
        <f t="shared" si="202"/>
        <v>-1.5018440860386091</v>
      </c>
      <c r="AF319" s="736" t="str">
        <f t="shared" si="174"/>
        <v>-0.516743835922465+0.0552226039249315i</v>
      </c>
      <c r="AG319" s="337">
        <f t="shared" si="203"/>
        <v>-5.6851766076664942</v>
      </c>
      <c r="AH319" s="730">
        <f t="shared" si="204"/>
        <v>173.90015141687417</v>
      </c>
      <c r="AI319" s="360">
        <f t="shared" si="175"/>
        <v>-6.0998485831258336</v>
      </c>
      <c r="AL319" s="337">
        <f t="shared" si="176"/>
        <v>12.327751184810054</v>
      </c>
      <c r="AM319" s="730">
        <f t="shared" si="177"/>
        <v>-86.049327616694782</v>
      </c>
      <c r="AN319" s="351"/>
      <c r="AO319" s="337">
        <f t="shared" si="178"/>
        <v>35.516194692565584</v>
      </c>
      <c r="AP319" s="730">
        <f t="shared" si="179"/>
        <v>-100.05052096643104</v>
      </c>
      <c r="AS319" s="351"/>
      <c r="AT319" s="351"/>
      <c r="AV319" s="405">
        <f t="shared" si="180"/>
        <v>0</v>
      </c>
      <c r="AW319" s="405">
        <f t="shared" si="205"/>
        <v>0</v>
      </c>
      <c r="AX319" s="405">
        <f t="shared" si="181"/>
        <v>0</v>
      </c>
      <c r="AY319" s="405">
        <f t="shared" si="182"/>
        <v>0</v>
      </c>
    </row>
    <row r="320" spans="2:51" ht="13.5" thickBot="1" x14ac:dyDescent="0.25">
      <c r="B320" s="345">
        <v>22778.5</v>
      </c>
      <c r="C320" s="728" t="str">
        <f t="shared" si="165"/>
        <v>2.2271548443541</v>
      </c>
      <c r="D320" s="728" t="str">
        <f t="shared" si="166"/>
        <v>1+17.4131202765501i</v>
      </c>
      <c r="E320" s="337">
        <f t="shared" si="184"/>
        <v>17.441810621767459</v>
      </c>
      <c r="F320" s="338">
        <f t="shared" si="185"/>
        <v>1.5134313726246418</v>
      </c>
      <c r="G320" s="338" t="str">
        <f t="shared" si="167"/>
        <v>1+0.071560768259795i</v>
      </c>
      <c r="H320" s="337">
        <f t="shared" si="186"/>
        <v>1.0025572021355849</v>
      </c>
      <c r="I320" s="338">
        <f t="shared" si="187"/>
        <v>7.1438989330217334E-2</v>
      </c>
      <c r="J320" s="340">
        <f t="shared" si="168"/>
        <v>1</v>
      </c>
      <c r="K320" s="338">
        <f t="shared" si="188"/>
        <v>1</v>
      </c>
      <c r="L320" s="339">
        <f t="shared" si="189"/>
        <v>0</v>
      </c>
      <c r="M320" s="731" t="str">
        <f t="shared" si="169"/>
        <v>0.976939552788889+0.308490716345955i</v>
      </c>
      <c r="N320" s="338">
        <f t="shared" si="190"/>
        <v>1.0244888539535191</v>
      </c>
      <c r="O320" s="339">
        <f t="shared" si="191"/>
        <v>0.30586350329147749</v>
      </c>
      <c r="P320" s="732" t="str">
        <f t="shared" si="183"/>
        <v>-0.0220094190065655-0.123003456130764i</v>
      </c>
      <c r="Q320" s="337">
        <f t="shared" si="192"/>
        <v>0.12495705160221789</v>
      </c>
      <c r="R320" s="339">
        <f t="shared" si="193"/>
        <v>-1.7478558865859031</v>
      </c>
      <c r="S320" s="731" t="str">
        <f t="shared" si="170"/>
        <v>6000</v>
      </c>
      <c r="T320" s="337" t="str">
        <f t="shared" si="171"/>
        <v>1+144552.751884786i</v>
      </c>
      <c r="U320" s="346">
        <f t="shared" si="194"/>
        <v>144552.75188824497</v>
      </c>
      <c r="V320" s="347">
        <f t="shared" si="195"/>
        <v>1.5707894089051508</v>
      </c>
      <c r="W320" s="340" t="str">
        <f t="shared" si="172"/>
        <v>1+1431.2153651959i</v>
      </c>
      <c r="X320" s="337">
        <f t="shared" si="196"/>
        <v>1431.2157145492895</v>
      </c>
      <c r="Y320" s="339">
        <f t="shared" si="197"/>
        <v>1.5700976200442653</v>
      </c>
      <c r="Z320" s="337" t="str">
        <f t="shared" si="173"/>
        <v>1+14.4172851904205i</v>
      </c>
      <c r="AA320" s="346">
        <f t="shared" si="198"/>
        <v>14.451924171608372</v>
      </c>
      <c r="AB320" s="347">
        <f t="shared" si="199"/>
        <v>1.5015460524181665</v>
      </c>
      <c r="AC320" s="732" t="str">
        <f t="shared" si="200"/>
        <v>0.2815952039722-4.10093473864777i</v>
      </c>
      <c r="AD320" s="337">
        <f t="shared" si="201"/>
        <v>4.1105913917036556</v>
      </c>
      <c r="AE320" s="339">
        <f t="shared" si="202"/>
        <v>-1.5022378412790522</v>
      </c>
      <c r="AF320" s="736" t="str">
        <f t="shared" si="174"/>
        <v>-0.510626893054851+0.0556220076630509i</v>
      </c>
      <c r="AG320" s="337">
        <f t="shared" si="203"/>
        <v>-5.7866984446868699</v>
      </c>
      <c r="AH320" s="730">
        <f t="shared" si="204"/>
        <v>173.78334637139776</v>
      </c>
      <c r="AI320" s="360">
        <f t="shared" si="175"/>
        <v>-6.2166536286022449</v>
      </c>
      <c r="AL320" s="337">
        <f t="shared" si="176"/>
        <v>12.278086168309576</v>
      </c>
      <c r="AM320" s="730">
        <f t="shared" si="177"/>
        <v>-86.071888130133331</v>
      </c>
      <c r="AN320" s="351"/>
      <c r="AO320" s="337">
        <f t="shared" si="178"/>
        <v>35.464337872045675</v>
      </c>
      <c r="AP320" s="730">
        <f t="shared" si="179"/>
        <v>-100.14476549846891</v>
      </c>
      <c r="AS320" s="351"/>
      <c r="AT320" s="351"/>
      <c r="AV320" s="405">
        <f t="shared" si="180"/>
        <v>0</v>
      </c>
      <c r="AW320" s="405">
        <f t="shared" si="205"/>
        <v>0</v>
      </c>
      <c r="AX320" s="405">
        <f t="shared" si="181"/>
        <v>0</v>
      </c>
      <c r="AY320" s="405">
        <f t="shared" si="182"/>
        <v>0</v>
      </c>
    </row>
    <row r="321" spans="2:51" ht="13.5" thickBot="1" x14ac:dyDescent="0.25">
      <c r="B321" s="345">
        <v>22909</v>
      </c>
      <c r="C321" s="728" t="str">
        <f t="shared" si="165"/>
        <v>2.2271548443541</v>
      </c>
      <c r="D321" s="728" t="str">
        <f t="shared" si="166"/>
        <v>1+17.5128815512649i</v>
      </c>
      <c r="E321" s="337">
        <f t="shared" si="184"/>
        <v>17.54140872987784</v>
      </c>
      <c r="F321" s="338">
        <f t="shared" si="185"/>
        <v>1.5137574389601003</v>
      </c>
      <c r="G321" s="338" t="str">
        <f t="shared" si="167"/>
        <v>1+0.0719707461010885i</v>
      </c>
      <c r="H321" s="337">
        <f t="shared" si="186"/>
        <v>1.0025865490292334</v>
      </c>
      <c r="I321" s="338">
        <f t="shared" si="187"/>
        <v>7.184686646654985E-2</v>
      </c>
      <c r="J321" s="340">
        <f t="shared" si="168"/>
        <v>1</v>
      </c>
      <c r="K321" s="338">
        <f t="shared" si="188"/>
        <v>1</v>
      </c>
      <c r="L321" s="339">
        <f t="shared" si="189"/>
        <v>0</v>
      </c>
      <c r="M321" s="731" t="str">
        <f t="shared" si="169"/>
        <v>0.976674565288889+0.310258086387141i</v>
      </c>
      <c r="N321" s="338">
        <f t="shared" si="190"/>
        <v>1.0247698700932082</v>
      </c>
      <c r="O321" s="339">
        <f t="shared" si="191"/>
        <v>0.30758597260131049</v>
      </c>
      <c r="P321" s="732" t="str">
        <f t="shared" si="183"/>
        <v>-0.02207967338205-0.122239036134199i</v>
      </c>
      <c r="Q321" s="337">
        <f t="shared" si="192"/>
        <v>0.12421712414830742</v>
      </c>
      <c r="R321" s="339">
        <f t="shared" si="193"/>
        <v>-1.7494965450948599</v>
      </c>
      <c r="S321" s="731" t="str">
        <f t="shared" si="170"/>
        <v>6000</v>
      </c>
      <c r="T321" s="337" t="str">
        <f t="shared" si="171"/>
        <v>1+145380.907124199i</v>
      </c>
      <c r="U321" s="346">
        <f t="shared" si="194"/>
        <v>145380.90712763823</v>
      </c>
      <c r="V321" s="347">
        <f t="shared" si="195"/>
        <v>1.5707894483125719</v>
      </c>
      <c r="W321" s="340" t="str">
        <f t="shared" si="172"/>
        <v>1+1439.41492202177i</v>
      </c>
      <c r="X321" s="337">
        <f t="shared" si="196"/>
        <v>1439.4152693850856</v>
      </c>
      <c r="Y321" s="339">
        <f t="shared" si="197"/>
        <v>1.5701016001918726</v>
      </c>
      <c r="Z321" s="337" t="str">
        <f t="shared" si="173"/>
        <v>1+14.4998830663716i</v>
      </c>
      <c r="AA321" s="346">
        <f t="shared" si="198"/>
        <v>14.534325197216756</v>
      </c>
      <c r="AB321" s="347">
        <f t="shared" si="199"/>
        <v>1.5019392839574404</v>
      </c>
      <c r="AC321" s="732" t="str">
        <f t="shared" si="200"/>
        <v>0.278411298604794-4.07779354535999i</v>
      </c>
      <c r="AD321" s="337">
        <f t="shared" si="201"/>
        <v>4.0872867589356146</v>
      </c>
      <c r="AE321" s="339">
        <f t="shared" si="202"/>
        <v>-1.5026271320781401</v>
      </c>
      <c r="AF321" s="736" t="str">
        <f t="shared" si="174"/>
        <v>-0.50461278307813+0.0560036208106596i</v>
      </c>
      <c r="AG321" s="337">
        <f t="shared" si="203"/>
        <v>-5.887668426796858</v>
      </c>
      <c r="AH321" s="730">
        <f t="shared" si="204"/>
        <v>173.66703884342127</v>
      </c>
      <c r="AI321" s="360">
        <f t="shared" si="175"/>
        <v>-6.3329611565787332</v>
      </c>
      <c r="AL321" s="337">
        <f t="shared" si="176"/>
        <v>12.228702166781723</v>
      </c>
      <c r="AM321" s="730">
        <f t="shared" si="177"/>
        <v>-86.09419284992434</v>
      </c>
      <c r="AN321" s="351"/>
      <c r="AO321" s="337">
        <f t="shared" si="178"/>
        <v>35.41275189146355</v>
      </c>
      <c r="AP321" s="730">
        <f t="shared" si="179"/>
        <v>-100.23876830665438</v>
      </c>
      <c r="AS321" s="351"/>
      <c r="AT321" s="351"/>
      <c r="AV321" s="405">
        <f t="shared" si="180"/>
        <v>0</v>
      </c>
      <c r="AW321" s="405">
        <f t="shared" si="205"/>
        <v>0</v>
      </c>
      <c r="AX321" s="405">
        <f t="shared" si="181"/>
        <v>0</v>
      </c>
      <c r="AY321" s="405">
        <f t="shared" si="182"/>
        <v>0</v>
      </c>
    </row>
    <row r="322" spans="2:51" ht="13.5" thickBot="1" x14ac:dyDescent="0.25">
      <c r="B322" s="345">
        <v>23042.25</v>
      </c>
      <c r="C322" s="728" t="str">
        <f t="shared" si="165"/>
        <v>2.2271548443541</v>
      </c>
      <c r="D322" s="728" t="str">
        <f t="shared" si="166"/>
        <v>1+17.6147450750637i</v>
      </c>
      <c r="E322" s="337">
        <f t="shared" si="184"/>
        <v>17.643107551094303</v>
      </c>
      <c r="F322" s="338">
        <f t="shared" si="185"/>
        <v>1.514086577815082</v>
      </c>
      <c r="G322" s="338" t="str">
        <f t="shared" si="167"/>
        <v>1+0.0723893633221795i</v>
      </c>
      <c r="H322" s="337">
        <f t="shared" si="186"/>
        <v>1.0026166864371402</v>
      </c>
      <c r="I322" s="338">
        <f t="shared" si="187"/>
        <v>7.2263314006535795E-2</v>
      </c>
      <c r="J322" s="340">
        <f t="shared" si="168"/>
        <v>1</v>
      </c>
      <c r="K322" s="338">
        <f t="shared" si="188"/>
        <v>1</v>
      </c>
      <c r="L322" s="339">
        <f t="shared" si="189"/>
        <v>0</v>
      </c>
      <c r="M322" s="731" t="str">
        <f t="shared" si="169"/>
        <v>0.976402431775+0.312062699858314i</v>
      </c>
      <c r="N322" s="338">
        <f t="shared" si="190"/>
        <v>1.0250584556107001</v>
      </c>
      <c r="O322" s="339">
        <f t="shared" si="191"/>
        <v>0.30934422323175592</v>
      </c>
      <c r="P322" s="732" t="str">
        <f t="shared" si="183"/>
        <v>-0.0221498757839052-0.121467017971369i</v>
      </c>
      <c r="Q322" s="337">
        <f t="shared" si="192"/>
        <v>0.12347005083055287</v>
      </c>
      <c r="R322" s="339">
        <f t="shared" si="193"/>
        <v>-1.7511674870403025</v>
      </c>
      <c r="S322" s="731" t="str">
        <f t="shared" si="170"/>
        <v>6000</v>
      </c>
      <c r="T322" s="337" t="str">
        <f t="shared" si="171"/>
        <v>1+146226.513910803i</v>
      </c>
      <c r="U322" s="346">
        <f t="shared" si="194"/>
        <v>146226.51391422236</v>
      </c>
      <c r="V322" s="347">
        <f t="shared" si="195"/>
        <v>1.5707894880898408</v>
      </c>
      <c r="W322" s="340" t="str">
        <f t="shared" si="172"/>
        <v>1+1447.78726644359i</v>
      </c>
      <c r="X322" s="337">
        <f t="shared" si="196"/>
        <v>1447.7876117981539</v>
      </c>
      <c r="Y322" s="339">
        <f t="shared" si="197"/>
        <v>1.5701056176940837</v>
      </c>
      <c r="Z322" s="337" t="str">
        <f t="shared" si="173"/>
        <v>1+14.5842215105898i</v>
      </c>
      <c r="AA322" s="346">
        <f t="shared" si="198"/>
        <v>14.618464935483145</v>
      </c>
      <c r="AB322" s="347">
        <f t="shared" si="199"/>
        <v>1.5023362276938426</v>
      </c>
      <c r="AC322" s="732" t="str">
        <f t="shared" si="200"/>
        <v>0.275215608924003-4.05443137434718i</v>
      </c>
      <c r="AD322" s="337">
        <f t="shared" si="201"/>
        <v>4.0637614842269185</v>
      </c>
      <c r="AE322" s="339">
        <f t="shared" si="202"/>
        <v>-1.5030200980895994</v>
      </c>
      <c r="AF322" s="736" t="str">
        <f t="shared" si="174"/>
        <v>-0.49857568016297+0.056375532000985i</v>
      </c>
      <c r="AG322" s="337">
        <f t="shared" si="203"/>
        <v>-5.9902032647429877</v>
      </c>
      <c r="AH322" s="730">
        <f t="shared" si="204"/>
        <v>173.54878562818735</v>
      </c>
      <c r="AI322" s="360">
        <f t="shared" si="175"/>
        <v>-6.4512143718126538</v>
      </c>
      <c r="AL322" s="337">
        <f t="shared" si="176"/>
        <v>12.178564196521471</v>
      </c>
      <c r="AM322" s="730">
        <f t="shared" si="177"/>
        <v>-86.116708143873055</v>
      </c>
      <c r="AN322" s="351"/>
      <c r="AO322" s="337">
        <f t="shared" si="178"/>
        <v>35.360355023777679</v>
      </c>
      <c r="AP322" s="730">
        <f t="shared" si="179"/>
        <v>-100.33450622793958</v>
      </c>
      <c r="AS322" s="351"/>
      <c r="AT322" s="351"/>
      <c r="AV322" s="405">
        <f t="shared" si="180"/>
        <v>0</v>
      </c>
      <c r="AW322" s="405">
        <f t="shared" si="205"/>
        <v>0</v>
      </c>
      <c r="AX322" s="405">
        <f t="shared" si="181"/>
        <v>0</v>
      </c>
      <c r="AY322" s="405">
        <f t="shared" si="182"/>
        <v>0</v>
      </c>
    </row>
    <row r="323" spans="2:51" ht="13.5" thickBot="1" x14ac:dyDescent="0.25">
      <c r="B323" s="345">
        <v>23175.5</v>
      </c>
      <c r="C323" s="728" t="str">
        <f t="shared" si="165"/>
        <v>2.2271548443541</v>
      </c>
      <c r="D323" s="728" t="str">
        <f t="shared" si="166"/>
        <v>1+17.7166085988625i</v>
      </c>
      <c r="E323" s="337">
        <f t="shared" si="184"/>
        <v>17.744808261722319</v>
      </c>
      <c r="F323" s="338">
        <f t="shared" si="185"/>
        <v>1.5144119439219785</v>
      </c>
      <c r="G323" s="338" t="str">
        <f t="shared" si="167"/>
        <v>1+0.0728079805432705i</v>
      </c>
      <c r="H323" s="337">
        <f t="shared" si="186"/>
        <v>1.0026469977169379</v>
      </c>
      <c r="I323" s="338">
        <f t="shared" si="187"/>
        <v>7.2679736439271836E-2</v>
      </c>
      <c r="J323" s="340">
        <f t="shared" si="168"/>
        <v>1</v>
      </c>
      <c r="K323" s="338">
        <f t="shared" si="188"/>
        <v>1</v>
      </c>
      <c r="L323" s="339">
        <f t="shared" si="189"/>
        <v>0</v>
      </c>
      <c r="M323" s="731" t="str">
        <f t="shared" si="169"/>
        <v>0.976128719988889+0.313867313329487i</v>
      </c>
      <c r="N323" s="338">
        <f t="shared" si="190"/>
        <v>1.0253487057405479</v>
      </c>
      <c r="O323" s="339">
        <f t="shared" si="191"/>
        <v>0.31110194988568884</v>
      </c>
      <c r="P323" s="732" t="str">
        <f t="shared" si="183"/>
        <v>-0.0222185634507283-0.120703454413772i</v>
      </c>
      <c r="Q323" s="337">
        <f t="shared" si="192"/>
        <v>0.12273136709591226</v>
      </c>
      <c r="R323" s="339">
        <f t="shared" si="193"/>
        <v>-1.7528341573683943</v>
      </c>
      <c r="S323" s="731" t="str">
        <f t="shared" si="170"/>
        <v>6000</v>
      </c>
      <c r="T323" s="337" t="str">
        <f t="shared" si="171"/>
        <v>1+147072.120697406i</v>
      </c>
      <c r="U323" s="346">
        <f t="shared" si="194"/>
        <v>147072.12070080568</v>
      </c>
      <c r="V323" s="347">
        <f t="shared" si="195"/>
        <v>1.5707895274097021</v>
      </c>
      <c r="W323" s="340" t="str">
        <f t="shared" si="172"/>
        <v>1+1456.15961086541i</v>
      </c>
      <c r="X323" s="337">
        <f t="shared" si="196"/>
        <v>1456.159954234322</v>
      </c>
      <c r="Y323" s="339">
        <f t="shared" si="197"/>
        <v>1.5701095889982051</v>
      </c>
      <c r="Z323" s="337" t="str">
        <f t="shared" si="173"/>
        <v>1+14.668559954808i</v>
      </c>
      <c r="AA323" s="346">
        <f t="shared" si="198"/>
        <v>14.702606950734854</v>
      </c>
      <c r="AB323" s="347">
        <f t="shared" si="199"/>
        <v>1.5027286281277079</v>
      </c>
      <c r="AC323" s="732" t="str">
        <f t="shared" si="200"/>
        <v>0.272074542496262-4.03133412607582i</v>
      </c>
      <c r="AD323" s="337">
        <f t="shared" si="201"/>
        <v>4.0405048437958895</v>
      </c>
      <c r="AE323" s="339">
        <f t="shared" si="202"/>
        <v>-1.503408566539205</v>
      </c>
      <c r="AF323" s="736" t="str">
        <f t="shared" si="174"/>
        <v>-0.492641060399257+0.0567301159339565i</v>
      </c>
      <c r="AG323" s="337">
        <f t="shared" si="203"/>
        <v>-6.0921759288261335</v>
      </c>
      <c r="AH323" s="730">
        <f t="shared" si="204"/>
        <v>173.43103484991158</v>
      </c>
      <c r="AI323" s="360">
        <f t="shared" si="175"/>
        <v>-6.5689651500884167</v>
      </c>
      <c r="AL323" s="337">
        <f t="shared" si="176"/>
        <v>12.128712634771396</v>
      </c>
      <c r="AM323" s="730">
        <f t="shared" si="177"/>
        <v>-86.138965746509442</v>
      </c>
      <c r="AN323" s="351"/>
      <c r="AO323" s="337">
        <f t="shared" si="178"/>
        <v>35.308233921444611</v>
      </c>
      <c r="AP323" s="730">
        <f t="shared" si="179"/>
        <v>-100.429999403579</v>
      </c>
      <c r="AS323" s="351"/>
      <c r="AT323" s="351"/>
      <c r="AV323" s="405">
        <f t="shared" si="180"/>
        <v>0</v>
      </c>
      <c r="AW323" s="405">
        <f t="shared" si="205"/>
        <v>0</v>
      </c>
      <c r="AX323" s="405">
        <f t="shared" si="181"/>
        <v>0</v>
      </c>
      <c r="AY323" s="405">
        <f t="shared" si="182"/>
        <v>0</v>
      </c>
    </row>
    <row r="324" spans="2:51" ht="13.5" thickBot="1" x14ac:dyDescent="0.25">
      <c r="B324" s="345">
        <v>23308.75</v>
      </c>
      <c r="C324" s="728" t="str">
        <f t="shared" si="165"/>
        <v>2.2271548443541</v>
      </c>
      <c r="D324" s="728" t="str">
        <f t="shared" si="166"/>
        <v>1+17.8184721226612i</v>
      </c>
      <c r="E324" s="337">
        <f t="shared" si="184"/>
        <v>17.846510829460595</v>
      </c>
      <c r="F324" s="338">
        <f t="shared" si="185"/>
        <v>1.514733601711</v>
      </c>
      <c r="G324" s="338" t="str">
        <f t="shared" si="167"/>
        <v>1+0.073226597764361i</v>
      </c>
      <c r="H324" s="337">
        <f t="shared" si="186"/>
        <v>1.0026774828528582</v>
      </c>
      <c r="I324" s="338">
        <f t="shared" si="187"/>
        <v>7.3096133622619366E-2</v>
      </c>
      <c r="J324" s="340">
        <f t="shared" si="168"/>
        <v>1</v>
      </c>
      <c r="K324" s="338">
        <f t="shared" si="188"/>
        <v>1</v>
      </c>
      <c r="L324" s="339">
        <f t="shared" si="189"/>
        <v>0</v>
      </c>
      <c r="M324" s="731" t="str">
        <f t="shared" si="169"/>
        <v>0.975853429930556+0.315671926800657i</v>
      </c>
      <c r="N324" s="338">
        <f t="shared" si="190"/>
        <v>1.0256406203331019</v>
      </c>
      <c r="O324" s="339">
        <f t="shared" si="191"/>
        <v>0.31285914987833985</v>
      </c>
      <c r="P324" s="732" t="str">
        <f t="shared" si="183"/>
        <v>-0.0222857693392995-0.119948203290811i</v>
      </c>
      <c r="Q324" s="337">
        <f t="shared" si="192"/>
        <v>0.12200093027406876</v>
      </c>
      <c r="R324" s="339">
        <f t="shared" si="193"/>
        <v>-1.7544966179667203</v>
      </c>
      <c r="S324" s="731" t="str">
        <f t="shared" si="170"/>
        <v>6000</v>
      </c>
      <c r="T324" s="337" t="str">
        <f t="shared" si="171"/>
        <v>1+147917.727484009i</v>
      </c>
      <c r="U324" s="346">
        <f t="shared" si="194"/>
        <v>147917.72748738926</v>
      </c>
      <c r="V324" s="347">
        <f t="shared" si="195"/>
        <v>1.5707895662800009</v>
      </c>
      <c r="W324" s="340" t="str">
        <f t="shared" si="172"/>
        <v>1+1464.53195528722i</v>
      </c>
      <c r="X324" s="337">
        <f t="shared" si="196"/>
        <v>1464.5322966931824</v>
      </c>
      <c r="Y324" s="339">
        <f t="shared" si="197"/>
        <v>1.5701135148965428</v>
      </c>
      <c r="Z324" s="337" t="str">
        <f t="shared" si="173"/>
        <v>1+14.752898399026i</v>
      </c>
      <c r="AA324" s="346">
        <f t="shared" si="198"/>
        <v>14.786751204101053</v>
      </c>
      <c r="AB324" s="347">
        <f t="shared" si="199"/>
        <v>1.5031165626983654</v>
      </c>
      <c r="AC324" s="732" t="str">
        <f t="shared" si="200"/>
        <v>0.268986863386528-4.00849734084046i</v>
      </c>
      <c r="AD324" s="337">
        <f t="shared" si="201"/>
        <v>4.017512273061473</v>
      </c>
      <c r="AE324" s="339">
        <f t="shared" si="202"/>
        <v>-1.5037926140818232</v>
      </c>
      <c r="AF324" s="736" t="str">
        <f t="shared" si="174"/>
        <v>-0.486806633122541+0.057067956163121i</v>
      </c>
      <c r="AG324" s="337">
        <f t="shared" si="203"/>
        <v>-6.1935929119425275</v>
      </c>
      <c r="AH324" s="730">
        <f t="shared" si="204"/>
        <v>173.31377857069631</v>
      </c>
      <c r="AI324" s="360">
        <f t="shared" si="175"/>
        <v>-6.6862214293036857</v>
      </c>
      <c r="AL324" s="337">
        <f t="shared" si="176"/>
        <v>12.079144243192932</v>
      </c>
      <c r="AM324" s="730">
        <f t="shared" si="177"/>
        <v>-86.160970049833836</v>
      </c>
      <c r="AN324" s="351"/>
      <c r="AO324" s="337">
        <f t="shared" si="178"/>
        <v>35.256385329906678</v>
      </c>
      <c r="AP324" s="730">
        <f t="shared" si="179"/>
        <v>-100.52525137946982</v>
      </c>
      <c r="AS324" s="351"/>
      <c r="AT324" s="351"/>
      <c r="AV324" s="405">
        <f t="shared" si="180"/>
        <v>0</v>
      </c>
      <c r="AW324" s="405">
        <f t="shared" si="205"/>
        <v>0</v>
      </c>
      <c r="AX324" s="405">
        <f t="shared" si="181"/>
        <v>0</v>
      </c>
      <c r="AY324" s="405">
        <f t="shared" si="182"/>
        <v>0</v>
      </c>
    </row>
    <row r="325" spans="2:51" ht="13.5" thickBot="1" x14ac:dyDescent="0.25">
      <c r="B325" s="345">
        <v>23442</v>
      </c>
      <c r="C325" s="728" t="str">
        <f t="shared" si="165"/>
        <v>2.2271548443541</v>
      </c>
      <c r="D325" s="728" t="str">
        <f t="shared" si="166"/>
        <v>1+17.92033564646i</v>
      </c>
      <c r="E325" s="337">
        <f t="shared" si="184"/>
        <v>17.948215222739694</v>
      </c>
      <c r="F325" s="338">
        <f t="shared" si="185"/>
        <v>1.5150516141550805</v>
      </c>
      <c r="G325" s="338" t="str">
        <f t="shared" si="167"/>
        <v>1+0.073645214985452i</v>
      </c>
      <c r="H325" s="337">
        <f t="shared" si="186"/>
        <v>1.0027081418290436</v>
      </c>
      <c r="I325" s="338">
        <f t="shared" si="187"/>
        <v>7.3512505414493598E-2</v>
      </c>
      <c r="J325" s="340">
        <f t="shared" si="168"/>
        <v>1</v>
      </c>
      <c r="K325" s="338">
        <f t="shared" si="188"/>
        <v>1</v>
      </c>
      <c r="L325" s="339">
        <f t="shared" si="189"/>
        <v>0</v>
      </c>
      <c r="M325" s="731" t="str">
        <f t="shared" si="169"/>
        <v>0.9755765616+0.31747654027183i</v>
      </c>
      <c r="N325" s="338">
        <f t="shared" si="190"/>
        <v>1.0259341992380648</v>
      </c>
      <c r="O325" s="339">
        <f t="shared" si="191"/>
        <v>0.31461582053055565</v>
      </c>
      <c r="P325" s="732" t="str">
        <f t="shared" si="183"/>
        <v>-0.0223515254843743-0.119201125616554i</v>
      </c>
      <c r="Q325" s="337">
        <f t="shared" si="192"/>
        <v>0.12127860091430852</v>
      </c>
      <c r="R325" s="339">
        <f t="shared" si="193"/>
        <v>-1.7561549292711411</v>
      </c>
      <c r="S325" s="731" t="str">
        <f t="shared" si="170"/>
        <v>6000</v>
      </c>
      <c r="T325" s="337" t="str">
        <f t="shared" si="171"/>
        <v>1+148763.334270613i</v>
      </c>
      <c r="U325" s="346">
        <f t="shared" si="194"/>
        <v>148763.33427397406</v>
      </c>
      <c r="V325" s="347">
        <f t="shared" si="195"/>
        <v>1.5707896047084033</v>
      </c>
      <c r="W325" s="340" t="str">
        <f t="shared" si="172"/>
        <v>1+1472.90429970904i</v>
      </c>
      <c r="X325" s="337">
        <f t="shared" si="196"/>
        <v>1472.9046391743689</v>
      </c>
      <c r="Y325" s="339">
        <f t="shared" si="197"/>
        <v>1.5701173961633894</v>
      </c>
      <c r="Z325" s="337" t="str">
        <f t="shared" si="173"/>
        <v>1+14.8372368432443i</v>
      </c>
      <c r="AA325" s="346">
        <f t="shared" si="198"/>
        <v>14.87089765759035</v>
      </c>
      <c r="AB325" s="347">
        <f t="shared" si="199"/>
        <v>1.5035001070978435</v>
      </c>
      <c r="AC325" s="732" t="str">
        <f t="shared" si="200"/>
        <v>0.265951370366246-3.98591665799654i</v>
      </c>
      <c r="AD325" s="337">
        <f t="shared" si="201"/>
        <v>3.9947793100362867</v>
      </c>
      <c r="AE325" s="339">
        <f t="shared" si="202"/>
        <v>-1.5041723156428575</v>
      </c>
      <c r="AF325" s="736" t="str">
        <f t="shared" si="174"/>
        <v>-0.481070171079306+0.0573896150528801i</v>
      </c>
      <c r="AG325" s="337">
        <f t="shared" si="203"/>
        <v>-6.2944605974114607</v>
      </c>
      <c r="AH325" s="730">
        <f t="shared" si="204"/>
        <v>173.19700903491238</v>
      </c>
      <c r="AI325" s="360">
        <f t="shared" si="175"/>
        <v>-6.8029909650876164</v>
      </c>
      <c r="AL325" s="337">
        <f t="shared" si="176"/>
        <v>12.029855837801973</v>
      </c>
      <c r="AM325" s="730">
        <f t="shared" si="177"/>
        <v>-86.182725346755632</v>
      </c>
      <c r="AN325" s="351"/>
      <c r="AO325" s="337">
        <f t="shared" si="178"/>
        <v>35.204806049828704</v>
      </c>
      <c r="AP325" s="730">
        <f t="shared" si="179"/>
        <v>-100.62026561833204</v>
      </c>
      <c r="AS325" s="351"/>
      <c r="AT325" s="351"/>
      <c r="AV325" s="405">
        <f t="shared" si="180"/>
        <v>0</v>
      </c>
      <c r="AW325" s="405">
        <f t="shared" si="205"/>
        <v>0</v>
      </c>
      <c r="AX325" s="405">
        <f t="shared" si="181"/>
        <v>0</v>
      </c>
      <c r="AY325" s="405">
        <f t="shared" si="182"/>
        <v>0</v>
      </c>
    </row>
    <row r="326" spans="2:51" ht="13.5" thickBot="1" x14ac:dyDescent="0.25">
      <c r="B326" s="345">
        <v>23578.5</v>
      </c>
      <c r="C326" s="728" t="str">
        <f t="shared" si="165"/>
        <v>2.2271548443541</v>
      </c>
      <c r="D326" s="728" t="str">
        <f t="shared" si="166"/>
        <v>1+18.024683646449i</v>
      </c>
      <c r="E326" s="337">
        <f t="shared" si="184"/>
        <v>18.052402071596067</v>
      </c>
      <c r="F326" s="338">
        <f t="shared" si="185"/>
        <v>1.5153736675417941</v>
      </c>
      <c r="G326" s="338" t="str">
        <f t="shared" si="167"/>
        <v>1+0.074074042382667i</v>
      </c>
      <c r="H326" s="337">
        <f t="shared" si="186"/>
        <v>1.0027397288204498</v>
      </c>
      <c r="I326" s="338">
        <f t="shared" si="187"/>
        <v>7.3939006139474031E-2</v>
      </c>
      <c r="J326" s="340">
        <f t="shared" si="168"/>
        <v>1</v>
      </c>
      <c r="K326" s="338">
        <f t="shared" si="188"/>
        <v>1</v>
      </c>
      <c r="L326" s="339">
        <f t="shared" si="189"/>
        <v>0</v>
      </c>
      <c r="M326" s="731" t="str">
        <f t="shared" si="169"/>
        <v>0.9752913039+0.319325168705714i</v>
      </c>
      <c r="N326" s="338">
        <f t="shared" si="190"/>
        <v>1.0262366641432643</v>
      </c>
      <c r="O326" s="339">
        <f t="shared" si="191"/>
        <v>0.31641478514979571</v>
      </c>
      <c r="P326" s="732" t="str">
        <f t="shared" si="183"/>
        <v>-0.0224174147731414-0.118444159416234i</v>
      </c>
      <c r="Q326" s="337">
        <f t="shared" si="192"/>
        <v>0.12054691777448859</v>
      </c>
      <c r="R326" s="339">
        <f t="shared" si="193"/>
        <v>-1.7578494465521153</v>
      </c>
      <c r="S326" s="731" t="str">
        <f t="shared" si="170"/>
        <v>6000</v>
      </c>
      <c r="T326" s="337" t="str">
        <f t="shared" si="171"/>
        <v>1+149629.565612987i</v>
      </c>
      <c r="U326" s="346">
        <f t="shared" si="194"/>
        <v>149629.56561632859</v>
      </c>
      <c r="V326" s="347">
        <f t="shared" si="195"/>
        <v>1.5707896436237205</v>
      </c>
      <c r="W326" s="340" t="str">
        <f t="shared" si="172"/>
        <v>1+1481.48084765334i</v>
      </c>
      <c r="X326" s="337">
        <f t="shared" si="196"/>
        <v>1481.4811851534459</v>
      </c>
      <c r="Y326" s="339">
        <f t="shared" si="197"/>
        <v>1.5701213266086242</v>
      </c>
      <c r="Z326" s="337" t="str">
        <f t="shared" si="173"/>
        <v>1+14.9236323226873i</v>
      </c>
      <c r="AA326" s="346">
        <f t="shared" si="198"/>
        <v>14.95709870605784</v>
      </c>
      <c r="AB326" s="347">
        <f t="shared" si="199"/>
        <v>1.5038885314816783</v>
      </c>
      <c r="AC326" s="732" t="str">
        <f t="shared" si="200"/>
        <v>0.262894731403694-3.96304631802543i</v>
      </c>
      <c r="AD326" s="337">
        <f t="shared" si="201"/>
        <v>3.9717565079715977</v>
      </c>
      <c r="AE326" s="339">
        <f t="shared" si="202"/>
        <v>-1.5045568484967744</v>
      </c>
      <c r="AF326" s="736" t="str">
        <f t="shared" si="174"/>
        <v>-0.475293110101673+0.0577029076002798i</v>
      </c>
      <c r="AG326" s="337">
        <f t="shared" si="203"/>
        <v>-6.3972254729403835</v>
      </c>
      <c r="AH326" s="730">
        <f t="shared" si="204"/>
        <v>173.07788823678703</v>
      </c>
      <c r="AI326" s="360">
        <f t="shared" si="175"/>
        <v>-6.9221117632129676</v>
      </c>
      <c r="AL326" s="337">
        <f t="shared" si="176"/>
        <v>11.979652316679761</v>
      </c>
      <c r="AM326" s="730">
        <f t="shared" si="177"/>
        <v>-86.204757456369194</v>
      </c>
      <c r="AN326" s="351"/>
      <c r="AO326" s="337">
        <f t="shared" si="178"/>
        <v>35.152244695421999</v>
      </c>
      <c r="AP326" s="730">
        <f t="shared" si="179"/>
        <v>-100.7173543068438</v>
      </c>
      <c r="AS326" s="351"/>
      <c r="AT326" s="351"/>
      <c r="AV326" s="405">
        <f t="shared" si="180"/>
        <v>0</v>
      </c>
      <c r="AW326" s="405">
        <f t="shared" si="205"/>
        <v>0</v>
      </c>
      <c r="AX326" s="405">
        <f t="shared" si="181"/>
        <v>0</v>
      </c>
      <c r="AY326" s="405">
        <f t="shared" si="182"/>
        <v>0</v>
      </c>
    </row>
    <row r="327" spans="2:51" ht="13.5" thickBot="1" x14ac:dyDescent="0.25">
      <c r="B327" s="345">
        <v>23715</v>
      </c>
      <c r="C327" s="728" t="str">
        <f t="shared" si="165"/>
        <v>2.2271548443541</v>
      </c>
      <c r="D327" s="728" t="str">
        <f t="shared" si="166"/>
        <v>1+18.129031646438i</v>
      </c>
      <c r="E327" s="337">
        <f t="shared" si="184"/>
        <v>18.156590771330134</v>
      </c>
      <c r="F327" s="338">
        <f t="shared" si="185"/>
        <v>1.5156920248572434</v>
      </c>
      <c r="G327" s="338" t="str">
        <f t="shared" si="167"/>
        <v>1+0.074502869779882i</v>
      </c>
      <c r="H327" s="337">
        <f t="shared" si="186"/>
        <v>1.0027714982015783</v>
      </c>
      <c r="I327" s="338">
        <f t="shared" si="187"/>
        <v>7.4365479917597177E-2</v>
      </c>
      <c r="J327" s="340">
        <f t="shared" si="168"/>
        <v>1</v>
      </c>
      <c r="K327" s="338">
        <f t="shared" si="188"/>
        <v>1</v>
      </c>
      <c r="L327" s="339">
        <f t="shared" si="189"/>
        <v>0</v>
      </c>
      <c r="M327" s="731" t="str">
        <f t="shared" si="169"/>
        <v>0.97500439+0.321173797139598i</v>
      </c>
      <c r="N327" s="338">
        <f t="shared" si="190"/>
        <v>1.0265408752155658</v>
      </c>
      <c r="O327" s="339">
        <f t="shared" si="191"/>
        <v>0.31821318861888992</v>
      </c>
      <c r="P327" s="732" t="str">
        <f t="shared" si="183"/>
        <v>-0.0224818479562794-0.117695484843356i</v>
      </c>
      <c r="Q327" s="337">
        <f t="shared" si="192"/>
        <v>0.11982345613460622</v>
      </c>
      <c r="R327" s="339">
        <f t="shared" si="193"/>
        <v>-1.7595397335585345</v>
      </c>
      <c r="S327" s="731" t="str">
        <f t="shared" si="170"/>
        <v>6000</v>
      </c>
      <c r="T327" s="337" t="str">
        <f t="shared" si="171"/>
        <v>1+150495.796955362i</v>
      </c>
      <c r="U327" s="346">
        <f t="shared" si="194"/>
        <v>150495.79695868437</v>
      </c>
      <c r="V327" s="347">
        <f t="shared" si="195"/>
        <v>1.5707896820910563</v>
      </c>
      <c r="W327" s="340" t="str">
        <f t="shared" si="172"/>
        <v>1+1490.05739559764i</v>
      </c>
      <c r="X327" s="337">
        <f t="shared" si="196"/>
        <v>1490.057731155146</v>
      </c>
      <c r="Y327" s="339">
        <f t="shared" si="197"/>
        <v>1.5701252118077675</v>
      </c>
      <c r="Z327" s="337" t="str">
        <f t="shared" si="173"/>
        <v>1+15.0100278021303i</v>
      </c>
      <c r="AA327" s="346">
        <f t="shared" si="198"/>
        <v>15.043301985293143</v>
      </c>
      <c r="AB327" s="347">
        <f t="shared" si="199"/>
        <v>1.5042725043130458</v>
      </c>
      <c r="AC327" s="732" t="str">
        <f t="shared" si="200"/>
        <v>0.259890410086907-3.94043576907084i</v>
      </c>
      <c r="AD327" s="337">
        <f t="shared" si="201"/>
        <v>3.9489969708051236</v>
      </c>
      <c r="AE327" s="339">
        <f t="shared" si="202"/>
        <v>-1.5049369745963348</v>
      </c>
      <c r="AF327" s="736" t="str">
        <f t="shared" si="174"/>
        <v>-0.469614315019764+0.0580003500204184i</v>
      </c>
      <c r="AG327" s="337">
        <f t="shared" si="203"/>
        <v>-6.499427147387868</v>
      </c>
      <c r="AH327" s="730">
        <f t="shared" si="204"/>
        <v>172.95926230396583</v>
      </c>
      <c r="AI327" s="360">
        <f t="shared" si="175"/>
        <v>-7.0407376960341708</v>
      </c>
      <c r="AL327" s="337">
        <f t="shared" si="176"/>
        <v>11.929736011965</v>
      </c>
      <c r="AM327" s="730">
        <f t="shared" si="177"/>
        <v>-86.22653707755677</v>
      </c>
      <c r="AN327" s="351"/>
      <c r="AO327" s="337">
        <f t="shared" si="178"/>
        <v>35.099959325689262</v>
      </c>
      <c r="AP327" s="730">
        <f t="shared" si="179"/>
        <v>-100.81420061847737</v>
      </c>
      <c r="AS327" s="351"/>
      <c r="AT327" s="351"/>
      <c r="AV327" s="405">
        <f t="shared" si="180"/>
        <v>0</v>
      </c>
      <c r="AW327" s="405">
        <f t="shared" si="205"/>
        <v>0</v>
      </c>
      <c r="AX327" s="405">
        <f t="shared" si="181"/>
        <v>0</v>
      </c>
      <c r="AY327" s="405">
        <f t="shared" si="182"/>
        <v>0</v>
      </c>
    </row>
    <row r="328" spans="2:51" ht="13.5" thickBot="1" x14ac:dyDescent="0.25">
      <c r="B328" s="345">
        <v>23851.5</v>
      </c>
      <c r="C328" s="728" t="str">
        <f t="shared" si="165"/>
        <v>2.2271548443541</v>
      </c>
      <c r="D328" s="728" t="str">
        <f t="shared" si="166"/>
        <v>1+18.2333796464269i</v>
      </c>
      <c r="E328" s="337">
        <f t="shared" si="184"/>
        <v>18.260781290260685</v>
      </c>
      <c r="F328" s="338">
        <f t="shared" si="185"/>
        <v>1.5160067493023457</v>
      </c>
      <c r="G328" s="338" t="str">
        <f t="shared" si="167"/>
        <v>1+0.074931697177097i</v>
      </c>
      <c r="H328" s="337">
        <f t="shared" si="186"/>
        <v>1.0028034499550946</v>
      </c>
      <c r="I328" s="338">
        <f t="shared" si="187"/>
        <v>7.4791926596297492E-2</v>
      </c>
      <c r="J328" s="340">
        <f t="shared" si="168"/>
        <v>1</v>
      </c>
      <c r="K328" s="338">
        <f t="shared" si="188"/>
        <v>1</v>
      </c>
      <c r="L328" s="339">
        <f t="shared" si="189"/>
        <v>0</v>
      </c>
      <c r="M328" s="731" t="str">
        <f t="shared" si="169"/>
        <v>0.9747158199+0.323022425573482i</v>
      </c>
      <c r="N328" s="338">
        <f t="shared" si="190"/>
        <v>1.0268468322913136</v>
      </c>
      <c r="O328" s="339">
        <f t="shared" si="191"/>
        <v>0.32001102807627207</v>
      </c>
      <c r="P328" s="732" t="str">
        <f t="shared" si="183"/>
        <v>-0.0225448566593774-0.116954962318276i</v>
      </c>
      <c r="Q328" s="337">
        <f t="shared" si="192"/>
        <v>0.11910807601779667</v>
      </c>
      <c r="R328" s="339">
        <f t="shared" si="193"/>
        <v>-1.7612258507823209</v>
      </c>
      <c r="S328" s="731" t="str">
        <f t="shared" si="170"/>
        <v>6000</v>
      </c>
      <c r="T328" s="337" t="str">
        <f t="shared" si="171"/>
        <v>1+151362.028297736i</v>
      </c>
      <c r="U328" s="346">
        <f t="shared" si="194"/>
        <v>151362.02830103933</v>
      </c>
      <c r="V328" s="347">
        <f t="shared" si="195"/>
        <v>1.5707897201181018</v>
      </c>
      <c r="W328" s="340" t="str">
        <f t="shared" si="172"/>
        <v>1+1498.63394354194i</v>
      </c>
      <c r="X328" s="337">
        <f t="shared" si="196"/>
        <v>1498.6342771790808</v>
      </c>
      <c r="Y328" s="339">
        <f t="shared" si="197"/>
        <v>1.5701290525376366</v>
      </c>
      <c r="Z328" s="337" t="str">
        <f t="shared" si="173"/>
        <v>1+15.0964232815732i</v>
      </c>
      <c r="AA328" s="346">
        <f t="shared" si="198"/>
        <v>15.129507457165461</v>
      </c>
      <c r="AB328" s="347">
        <f t="shared" si="199"/>
        <v>1.5046521015704095</v>
      </c>
      <c r="AC328" s="732" t="str">
        <f t="shared" si="200"/>
        <v>0.256937220963549-3.91808062937595i</v>
      </c>
      <c r="AD328" s="337">
        <f t="shared" si="201"/>
        <v>3.9264962184888845</v>
      </c>
      <c r="AE328" s="339">
        <f t="shared" si="202"/>
        <v>-1.5053127691508745</v>
      </c>
      <c r="AF328" s="736" t="str">
        <f t="shared" si="174"/>
        <v>-0.464031585185713+0.0582824831732096i</v>
      </c>
      <c r="AG328" s="337">
        <f t="shared" si="203"/>
        <v>-6.6010721407031809</v>
      </c>
      <c r="AH328" s="730">
        <f t="shared" si="204"/>
        <v>172.84112346133941</v>
      </c>
      <c r="AI328" s="360">
        <f t="shared" si="175"/>
        <v>-7.1588765386605928</v>
      </c>
      <c r="AL328" s="337">
        <f t="shared" si="176"/>
        <v>11.88010367060599</v>
      </c>
      <c r="AM328" s="730">
        <f t="shared" si="177"/>
        <v>-86.248068519495902</v>
      </c>
      <c r="AN328" s="351"/>
      <c r="AO328" s="337">
        <f t="shared" si="178"/>
        <v>35.047946673732973</v>
      </c>
      <c r="AP328" s="730">
        <f t="shared" si="179"/>
        <v>-100.91080801916465</v>
      </c>
      <c r="AS328" s="351"/>
      <c r="AT328" s="351"/>
      <c r="AV328" s="405">
        <f t="shared" si="180"/>
        <v>0</v>
      </c>
      <c r="AW328" s="405">
        <f t="shared" si="205"/>
        <v>0</v>
      </c>
      <c r="AX328" s="405">
        <f t="shared" si="181"/>
        <v>0</v>
      </c>
      <c r="AY328" s="405">
        <f t="shared" si="182"/>
        <v>0</v>
      </c>
    </row>
    <row r="329" spans="2:51" ht="13.5" thickBot="1" x14ac:dyDescent="0.25">
      <c r="B329" s="345">
        <v>23988</v>
      </c>
      <c r="C329" s="728" t="str">
        <f t="shared" si="165"/>
        <v>2.2271548443541</v>
      </c>
      <c r="D329" s="728" t="str">
        <f t="shared" si="166"/>
        <v>1+18.3377276464159i</v>
      </c>
      <c r="E329" s="337">
        <f t="shared" si="184"/>
        <v>18.364973597425234</v>
      </c>
      <c r="F329" s="338">
        <f t="shared" si="185"/>
        <v>1.5163179026466738</v>
      </c>
      <c r="G329" s="338" t="str">
        <f t="shared" si="167"/>
        <v>1+0.075360524574312i</v>
      </c>
      <c r="H329" s="337">
        <f t="shared" si="186"/>
        <v>1.002835584063567</v>
      </c>
      <c r="I329" s="338">
        <f t="shared" si="187"/>
        <v>7.5218346023068317E-2</v>
      </c>
      <c r="J329" s="340">
        <f t="shared" si="168"/>
        <v>1</v>
      </c>
      <c r="K329" s="338">
        <f t="shared" si="188"/>
        <v>1</v>
      </c>
      <c r="L329" s="339">
        <f t="shared" si="189"/>
        <v>0</v>
      </c>
      <c r="M329" s="731" t="str">
        <f t="shared" si="169"/>
        <v>0.9744255936+0.324871054007366i</v>
      </c>
      <c r="N329" s="338">
        <f t="shared" si="190"/>
        <v>1.0271545352061535</v>
      </c>
      <c r="O329" s="339">
        <f t="shared" si="191"/>
        <v>0.32180830066664862</v>
      </c>
      <c r="P329" s="732" t="str">
        <f t="shared" si="183"/>
        <v>-0.0226064716228284-0.116222455393832i</v>
      </c>
      <c r="Q329" s="337">
        <f t="shared" si="192"/>
        <v>0.11840064061061922</v>
      </c>
      <c r="R329" s="339">
        <f t="shared" si="193"/>
        <v>-1.7629078572902555</v>
      </c>
      <c r="S329" s="731" t="str">
        <f t="shared" si="170"/>
        <v>6000</v>
      </c>
      <c r="T329" s="337" t="str">
        <f t="shared" si="171"/>
        <v>1+152228.25964011i</v>
      </c>
      <c r="U329" s="346">
        <f t="shared" si="194"/>
        <v>152228.25964339453</v>
      </c>
      <c r="V329" s="347">
        <f t="shared" si="195"/>
        <v>1.5707897577123731</v>
      </c>
      <c r="W329" s="340" t="str">
        <f t="shared" si="172"/>
        <v>1+1507.21049148624i</v>
      </c>
      <c r="X329" s="337">
        <f t="shared" si="196"/>
        <v>1507.2108232248709</v>
      </c>
      <c r="Y329" s="339">
        <f t="shared" si="197"/>
        <v>1.5701328495573676</v>
      </c>
      <c r="Z329" s="337" t="str">
        <f t="shared" si="173"/>
        <v>1+15.1828187610163i</v>
      </c>
      <c r="AA329" s="346">
        <f t="shared" si="198"/>
        <v>15.215715084407586</v>
      </c>
      <c r="AB329" s="347">
        <f t="shared" si="199"/>
        <v>1.5050273975154609</v>
      </c>
      <c r="AC329" s="732" t="str">
        <f t="shared" si="200"/>
        <v>0.25403401191959-3.89597661472276i</v>
      </c>
      <c r="AD329" s="337">
        <f t="shared" si="201"/>
        <v>3.9042498718292324</v>
      </c>
      <c r="AE329" s="339">
        <f t="shared" si="202"/>
        <v>-1.5056843056704663</v>
      </c>
      <c r="AF329" s="736" t="str">
        <f t="shared" si="174"/>
        <v>-0.458542781001722+0.0585498281650924i</v>
      </c>
      <c r="AG329" s="337">
        <f t="shared" si="203"/>
        <v>-6.7021668625812545</v>
      </c>
      <c r="AH329" s="730">
        <f t="shared" si="204"/>
        <v>172.72346411281364</v>
      </c>
      <c r="AI329" s="360">
        <f t="shared" si="175"/>
        <v>-7.2765358871863555</v>
      </c>
      <c r="AL329" s="337">
        <f t="shared" si="176"/>
        <v>11.830752094257697</v>
      </c>
      <c r="AM329" s="730">
        <f t="shared" si="177"/>
        <v>-86.26935599400349</v>
      </c>
      <c r="AN329" s="351"/>
      <c r="AO329" s="337">
        <f t="shared" si="178"/>
        <v>34.996203528203182</v>
      </c>
      <c r="AP329" s="730">
        <f t="shared" si="179"/>
        <v>-101.00717989318287</v>
      </c>
      <c r="AS329" s="351"/>
      <c r="AT329" s="351"/>
      <c r="AV329" s="405">
        <f t="shared" si="180"/>
        <v>0</v>
      </c>
      <c r="AW329" s="405">
        <f t="shared" si="205"/>
        <v>0</v>
      </c>
      <c r="AX329" s="405">
        <f t="shared" si="181"/>
        <v>0</v>
      </c>
      <c r="AY329" s="405">
        <f t="shared" si="182"/>
        <v>0</v>
      </c>
    </row>
    <row r="330" spans="2:51" ht="13.5" thickBot="1" x14ac:dyDescent="0.25">
      <c r="B330" s="345">
        <v>24127.75</v>
      </c>
      <c r="C330" s="728" t="str">
        <f t="shared" si="165"/>
        <v>2.2271548443541</v>
      </c>
      <c r="D330" s="728" t="str">
        <f t="shared" si="166"/>
        <v>1+18.4445601225951i</v>
      </c>
      <c r="E330" s="337">
        <f t="shared" si="184"/>
        <v>18.471648494815653</v>
      </c>
      <c r="F330" s="338">
        <f t="shared" si="185"/>
        <v>1.516632827791617</v>
      </c>
      <c r="G330" s="338" t="str">
        <f t="shared" si="167"/>
        <v>1+0.075799562147651i</v>
      </c>
      <c r="H330" s="337">
        <f t="shared" si="186"/>
        <v>1.0028686721708757</v>
      </c>
      <c r="I330" s="338">
        <f t="shared" si="187"/>
        <v>7.5654889901207903E-2</v>
      </c>
      <c r="J330" s="340">
        <f t="shared" si="168"/>
        <v>1</v>
      </c>
      <c r="K330" s="338">
        <f t="shared" si="188"/>
        <v>1</v>
      </c>
      <c r="L330" s="339">
        <f t="shared" si="189"/>
        <v>0</v>
      </c>
      <c r="M330" s="731" t="str">
        <f t="shared" si="169"/>
        <v>0.974126741330556+0.32676369740396i</v>
      </c>
      <c r="N330" s="338">
        <f t="shared" si="190"/>
        <v>1.0274713728938607</v>
      </c>
      <c r="O330" s="339">
        <f t="shared" si="191"/>
        <v>0.32364777521368437</v>
      </c>
      <c r="P330" s="732" t="str">
        <f t="shared" si="183"/>
        <v>-0.02266814089942-0.115480672690189i</v>
      </c>
      <c r="Q330" s="337">
        <f t="shared" si="192"/>
        <v>0.11768445257048409</v>
      </c>
      <c r="R330" s="339">
        <f t="shared" si="193"/>
        <v>-1.7646257131040934</v>
      </c>
      <c r="S330" s="731" t="str">
        <f t="shared" si="170"/>
        <v>6000</v>
      </c>
      <c r="T330" s="337" t="str">
        <f t="shared" si="171"/>
        <v>1+153115.115538255i</v>
      </c>
      <c r="U330" s="346">
        <f t="shared" si="194"/>
        <v>153115.1155415205</v>
      </c>
      <c r="V330" s="347">
        <f t="shared" si="195"/>
        <v>1.5707897957610633</v>
      </c>
      <c r="W330" s="340" t="str">
        <f t="shared" si="172"/>
        <v>1+1515.99124295302i</v>
      </c>
      <c r="X330" s="337">
        <f t="shared" si="196"/>
        <v>1515.9915727701928</v>
      </c>
      <c r="Y330" s="339">
        <f t="shared" si="197"/>
        <v>1.5701366924733864</v>
      </c>
      <c r="Z330" s="337" t="str">
        <f t="shared" si="173"/>
        <v>1+15.2712712756841i</v>
      </c>
      <c r="AA330" s="346">
        <f t="shared" si="198"/>
        <v>15.303977469126588</v>
      </c>
      <c r="AB330" s="347">
        <f t="shared" si="199"/>
        <v>1.5054072487214347</v>
      </c>
      <c r="AC330" s="732" t="str">
        <f t="shared" si="200"/>
        <v>0.251112288880153-3.87360210493816i</v>
      </c>
      <c r="AD330" s="337">
        <f t="shared" si="201"/>
        <v>3.8817329440609352</v>
      </c>
      <c r="AE330" s="339">
        <f t="shared" si="202"/>
        <v>-1.5060603520091116</v>
      </c>
      <c r="AF330" s="736" t="str">
        <f t="shared" si="174"/>
        <v>-0.453018425558302+0.058808742262375i</v>
      </c>
      <c r="AG330" s="337">
        <f t="shared" si="203"/>
        <v>-6.8051051015912236</v>
      </c>
      <c r="AH330" s="730">
        <f t="shared" si="204"/>
        <v>172.60349235676298</v>
      </c>
      <c r="AI330" s="360">
        <f t="shared" si="175"/>
        <v>-7.3965076432370154</v>
      </c>
      <c r="AL330" s="337">
        <f t="shared" si="176"/>
        <v>11.780513068701499</v>
      </c>
      <c r="AM330" s="730">
        <f t="shared" si="177"/>
        <v>-86.290901862109209</v>
      </c>
      <c r="AN330" s="351"/>
      <c r="AO330" s="337">
        <f t="shared" si="178"/>
        <v>34.943504314749418</v>
      </c>
      <c r="AP330" s="730">
        <f t="shared" si="179"/>
        <v>-101.10560578112782</v>
      </c>
      <c r="AS330" s="351"/>
      <c r="AT330" s="351"/>
      <c r="AV330" s="405">
        <f t="shared" si="180"/>
        <v>0</v>
      </c>
      <c r="AW330" s="405">
        <f t="shared" si="205"/>
        <v>0</v>
      </c>
      <c r="AX330" s="405">
        <f t="shared" si="181"/>
        <v>0</v>
      </c>
      <c r="AY330" s="405">
        <f t="shared" si="182"/>
        <v>0</v>
      </c>
    </row>
    <row r="331" spans="2:51" ht="13.5" thickBot="1" x14ac:dyDescent="0.25">
      <c r="B331" s="345">
        <v>24267.5</v>
      </c>
      <c r="C331" s="728" t="str">
        <f t="shared" si="165"/>
        <v>2.2271548443541</v>
      </c>
      <c r="D331" s="728" t="str">
        <f t="shared" si="166"/>
        <v>1+18.5513925987744i</v>
      </c>
      <c r="E331" s="337">
        <f t="shared" si="184"/>
        <v>18.578325203146317</v>
      </c>
      <c r="F331" s="338">
        <f t="shared" si="185"/>
        <v>1.5169441363679621</v>
      </c>
      <c r="G331" s="338" t="str">
        <f t="shared" si="167"/>
        <v>1+0.0762385997209905i</v>
      </c>
      <c r="H331" s="337">
        <f t="shared" si="186"/>
        <v>1.0029019513827946</v>
      </c>
      <c r="I331" s="338">
        <f t="shared" si="187"/>
        <v>7.6091404890931996E-2</v>
      </c>
      <c r="J331" s="340">
        <f t="shared" si="168"/>
        <v>1</v>
      </c>
      <c r="K331" s="338">
        <f t="shared" si="188"/>
        <v>1</v>
      </c>
      <c r="L331" s="339">
        <f t="shared" si="189"/>
        <v>0</v>
      </c>
      <c r="M331" s="731" t="str">
        <f t="shared" si="169"/>
        <v>0.973826153055555+0.328656340800557i</v>
      </c>
      <c r="N331" s="338">
        <f t="shared" si="190"/>
        <v>1.0277900401946853</v>
      </c>
      <c r="O331" s="339">
        <f t="shared" si="191"/>
        <v>0.32548664954193135</v>
      </c>
      <c r="P331" s="732" t="str">
        <f t="shared" si="183"/>
        <v>-0.0227284117726054-0.114747012064663i</v>
      </c>
      <c r="Q331" s="337">
        <f t="shared" si="192"/>
        <v>0.11697631161680996</v>
      </c>
      <c r="R331" s="339">
        <f t="shared" si="193"/>
        <v>-1.7663393810189614</v>
      </c>
      <c r="S331" s="731" t="str">
        <f t="shared" si="170"/>
        <v>6000</v>
      </c>
      <c r="T331" s="337" t="str">
        <f t="shared" si="171"/>
        <v>1+154001.971436401i</v>
      </c>
      <c r="U331" s="346">
        <f t="shared" si="194"/>
        <v>154001.97143964772</v>
      </c>
      <c r="V331" s="347">
        <f t="shared" si="195"/>
        <v>1.5707898333715289</v>
      </c>
      <c r="W331" s="340" t="str">
        <f t="shared" si="172"/>
        <v>1+1524.77199441981i</v>
      </c>
      <c r="X331" s="337">
        <f t="shared" si="196"/>
        <v>1524.7723223376547</v>
      </c>
      <c r="Y331" s="339">
        <f t="shared" si="197"/>
        <v>1.5701404911287864</v>
      </c>
      <c r="Z331" s="337" t="str">
        <f t="shared" si="173"/>
        <v>1+15.359723790352i</v>
      </c>
      <c r="AA331" s="346">
        <f t="shared" si="198"/>
        <v>15.392242036685401</v>
      </c>
      <c r="AB331" s="347">
        <f t="shared" si="199"/>
        <v>1.5057827435783651</v>
      </c>
      <c r="AC331" s="732" t="str">
        <f t="shared" si="200"/>
        <v>0.248240612537628-3.85148203440763i</v>
      </c>
      <c r="AD331" s="337">
        <f t="shared" si="201"/>
        <v>3.8594737028612842</v>
      </c>
      <c r="AE331" s="339">
        <f t="shared" si="202"/>
        <v>-1.5064320858211078</v>
      </c>
      <c r="AF331" s="736" t="str">
        <f t="shared" si="174"/>
        <v>-0.447588170329444+0.059053201051014i</v>
      </c>
      <c r="AG331" s="337">
        <f t="shared" si="203"/>
        <v>-6.9074798073233765</v>
      </c>
      <c r="AH331" s="730">
        <f t="shared" si="204"/>
        <v>172.48400763922436</v>
      </c>
      <c r="AI331" s="360">
        <f t="shared" si="175"/>
        <v>-7.5159923607756411</v>
      </c>
      <c r="AL331" s="337">
        <f t="shared" si="176"/>
        <v>11.73056172282986</v>
      </c>
      <c r="AM331" s="730">
        <f t="shared" si="177"/>
        <v>-86.312200640638892</v>
      </c>
      <c r="AN331" s="351"/>
      <c r="AO331" s="337">
        <f t="shared" si="178"/>
        <v>34.891080954888906</v>
      </c>
      <c r="AP331" s="730">
        <f t="shared" si="179"/>
        <v>-101.20379172013668</v>
      </c>
      <c r="AS331" s="351"/>
      <c r="AT331" s="351"/>
      <c r="AV331" s="405">
        <f t="shared" si="180"/>
        <v>0</v>
      </c>
      <c r="AW331" s="405">
        <f t="shared" si="205"/>
        <v>0</v>
      </c>
      <c r="AX331" s="405">
        <f t="shared" si="181"/>
        <v>0</v>
      </c>
      <c r="AY331" s="405">
        <f t="shared" si="182"/>
        <v>0</v>
      </c>
    </row>
    <row r="332" spans="2:51" ht="13.5" thickBot="1" x14ac:dyDescent="0.25">
      <c r="B332" s="345">
        <v>24407.25</v>
      </c>
      <c r="C332" s="728" t="str">
        <f t="shared" si="165"/>
        <v>2.2271548443541</v>
      </c>
      <c r="D332" s="728" t="str">
        <f t="shared" si="166"/>
        <v>1+18.6582250749535i</v>
      </c>
      <c r="E332" s="337">
        <f t="shared" si="184"/>
        <v>18.685003691399782</v>
      </c>
      <c r="F332" s="338">
        <f t="shared" si="185"/>
        <v>1.5172518902591856</v>
      </c>
      <c r="G332" s="338" t="str">
        <f t="shared" si="167"/>
        <v>1+0.0766776372943295i</v>
      </c>
      <c r="H332" s="337">
        <f t="shared" si="186"/>
        <v>1.0029354216802997</v>
      </c>
      <c r="I332" s="338">
        <f t="shared" si="187"/>
        <v>7.6527890828771858E-2</v>
      </c>
      <c r="J332" s="340">
        <f t="shared" si="168"/>
        <v>1</v>
      </c>
      <c r="K332" s="338">
        <f t="shared" si="188"/>
        <v>1</v>
      </c>
      <c r="L332" s="339">
        <f t="shared" si="189"/>
        <v>0</v>
      </c>
      <c r="M332" s="731" t="str">
        <f t="shared" si="169"/>
        <v>0.973523828775+0.330548984197152i</v>
      </c>
      <c r="N332" s="338">
        <f t="shared" si="190"/>
        <v>1.0281105369300056</v>
      </c>
      <c r="O332" s="339">
        <f t="shared" si="191"/>
        <v>0.32732492060784146</v>
      </c>
      <c r="P332" s="732" t="str">
        <f t="shared" si="183"/>
        <v>-0.0227873145382657-0.114021336734858i</v>
      </c>
      <c r="Q332" s="337">
        <f t="shared" si="192"/>
        <v>0.11627608066438141</v>
      </c>
      <c r="R332" s="339">
        <f t="shared" si="193"/>
        <v>-1.7680489200382548</v>
      </c>
      <c r="S332" s="731" t="str">
        <f t="shared" si="170"/>
        <v>6000</v>
      </c>
      <c r="T332" s="337" t="str">
        <f t="shared" si="171"/>
        <v>1+154888.827334546i</v>
      </c>
      <c r="U332" s="346">
        <f t="shared" si="194"/>
        <v>154888.8273377741</v>
      </c>
      <c r="V332" s="347">
        <f t="shared" si="195"/>
        <v>1.5707898705512979</v>
      </c>
      <c r="W332" s="340" t="str">
        <f t="shared" si="172"/>
        <v>1+1533.55274588659i</v>
      </c>
      <c r="X332" s="337">
        <f t="shared" si="196"/>
        <v>1533.5530719268572</v>
      </c>
      <c r="Y332" s="339">
        <f t="shared" si="197"/>
        <v>1.5701442462838442</v>
      </c>
      <c r="Z332" s="337" t="str">
        <f t="shared" si="173"/>
        <v>1+15.4481763050198i</v>
      </c>
      <c r="AA332" s="346">
        <f t="shared" si="198"/>
        <v>15.480508749746409</v>
      </c>
      <c r="AB332" s="347">
        <f t="shared" si="199"/>
        <v>1.5061539564964974</v>
      </c>
      <c r="AC332" s="732" t="str">
        <f t="shared" si="200"/>
        <v>0.245417847958299-3.8296121060257i</v>
      </c>
      <c r="AD332" s="337">
        <f t="shared" si="201"/>
        <v>3.8374677591759752</v>
      </c>
      <c r="AE332" s="339">
        <f t="shared" si="202"/>
        <v>-1.5067995807639512</v>
      </c>
      <c r="AF332" s="736" t="str">
        <f t="shared" si="174"/>
        <v>-0.442249905199775+0.0592837045367604i</v>
      </c>
      <c r="AG332" s="337">
        <f t="shared" si="203"/>
        <v>-7.0092975149641497</v>
      </c>
      <c r="AH332" s="730">
        <f t="shared" si="204"/>
        <v>172.36500235928858</v>
      </c>
      <c r="AI332" s="360">
        <f t="shared" si="175"/>
        <v>-7.6349976407114184</v>
      </c>
      <c r="AL332" s="337">
        <f t="shared" si="176"/>
        <v>11.680894794743111</v>
      </c>
      <c r="AM332" s="730">
        <f t="shared" si="177"/>
        <v>-86.33325654985623</v>
      </c>
      <c r="AN332" s="351"/>
      <c r="AO332" s="337">
        <f t="shared" si="178"/>
        <v>34.838930175334873</v>
      </c>
      <c r="AP332" s="730">
        <f t="shared" si="179"/>
        <v>-101.30174109085519</v>
      </c>
      <c r="AS332" s="351"/>
      <c r="AT332" s="351"/>
      <c r="AV332" s="405">
        <f t="shared" si="180"/>
        <v>0</v>
      </c>
      <c r="AW332" s="405">
        <f t="shared" si="205"/>
        <v>0</v>
      </c>
      <c r="AX332" s="405">
        <f t="shared" si="181"/>
        <v>0</v>
      </c>
      <c r="AY332" s="405">
        <f t="shared" si="182"/>
        <v>0</v>
      </c>
    </row>
    <row r="333" spans="2:51" ht="13.5" thickBot="1" x14ac:dyDescent="0.25">
      <c r="B333" s="345">
        <v>24547</v>
      </c>
      <c r="C333" s="728" t="str">
        <f t="shared" ref="C333:C396" si="206">COMPLEX(Am*Afb,0)</f>
        <v>2.2271548443541</v>
      </c>
      <c r="D333" s="728" t="str">
        <f t="shared" ref="D333:D396" si="207">IMSUM(COMPLEX(1,0),IMDIV(COMPLEX(0,2*PI()*B333),COMPLEX(2*PI()*PS_Pole1,0)))</f>
        <v>1+18.7650575511327i</v>
      </c>
      <c r="E333" s="337">
        <f t="shared" si="184"/>
        <v>18.791683929263026</v>
      </c>
      <c r="F333" s="338">
        <f t="shared" si="185"/>
        <v>1.5175561499462455</v>
      </c>
      <c r="G333" s="338" t="str">
        <f t="shared" ref="G333:G396" si="208">IMSUM(COMPLEX(1,0),IMDIV(COMPLEX(0,2*PI()*B333),COMPLEX(2*PI()*PS_Zero1,0)))</f>
        <v>1+0.0771166748676685i</v>
      </c>
      <c r="H333" s="337">
        <f t="shared" si="186"/>
        <v>1.002969083044261</v>
      </c>
      <c r="I333" s="338">
        <f t="shared" si="187"/>
        <v>7.6964347551326265E-2</v>
      </c>
      <c r="J333" s="340">
        <f t="shared" ref="J333:J396" si="209">IF(VIN_nom&gt;Vout, 1,IMSUB(COMPLEX(1,0),IMDIV(COMPLEX(0,2*PI()*B333),COMPLEX(2*PI()*PS_RHPZ,0))))</f>
        <v>1</v>
      </c>
      <c r="K333" s="338">
        <f t="shared" si="188"/>
        <v>1</v>
      </c>
      <c r="L333" s="339">
        <f t="shared" si="189"/>
        <v>0</v>
      </c>
      <c r="M333" s="731" t="str">
        <f t="shared" ref="M333:M396" si="210">IMSUM(COMPLEX(1,0),IMDIV(COMPLEX(0,2*PI()*B333),COMPLEX(Q*(2*PI()*PS_Pole2/2),0)),IMDIV(IMPOWER(COMPLEX(0,2*PI()*B333),2),IMPOWER(COMPLEX(2*PI()*PS_Pole2/2,0),2)))</f>
        <v>0.973219768488889+0.332441627593746i</v>
      </c>
      <c r="N333" s="338">
        <f t="shared" si="190"/>
        <v>1.0284328629204464</v>
      </c>
      <c r="O333" s="339">
        <f t="shared" si="191"/>
        <v>0.32916258537487281</v>
      </c>
      <c r="P333" s="732" t="str">
        <f t="shared" si="183"/>
        <v>-0.0228448786445076-0.11330351299195i</v>
      </c>
      <c r="Q333" s="337">
        <f t="shared" si="192"/>
        <v>0.11558362572873056</v>
      </c>
      <c r="R333" s="339">
        <f t="shared" si="193"/>
        <v>-1.769754387769791</v>
      </c>
      <c r="S333" s="731" t="str">
        <f t="shared" ref="S333:S396" si="211">COMPLEX(AEA,0)</f>
        <v>6000</v>
      </c>
      <c r="T333" s="337" t="str">
        <f t="shared" ref="T333:T396" si="212">IMSUM(COMPLEX(1,0),IMDIV(COMPLEX(0,2*PI()*B333),COMPLEX(2*PI()*EA_Pole1,0)))</f>
        <v>1+155775.68323269i</v>
      </c>
      <c r="U333" s="346">
        <f t="shared" si="194"/>
        <v>155775.68323589975</v>
      </c>
      <c r="V333" s="347">
        <f t="shared" si="195"/>
        <v>1.5707899073077261</v>
      </c>
      <c r="W333" s="340" t="str">
        <f t="shared" ref="W333:W396" si="213">IMSUM(COMPLEX(1,0),IMDIV(COMPLEX(0,2*PI()*B333),COMPLEX(2*PI()*EA_Zero1,0)))</f>
        <v>1+1542.33349735337i</v>
      </c>
      <c r="X333" s="337">
        <f t="shared" si="196"/>
        <v>1542.3338215374379</v>
      </c>
      <c r="Y333" s="339">
        <f t="shared" si="197"/>
        <v>1.5701479586815223</v>
      </c>
      <c r="Z333" s="337" t="str">
        <f t="shared" ref="Z333:Z396" si="214">IMSUM(COMPLEX(1,0),IMDIV(COMPLEX(0,2*PI()*B333),COMPLEX(2*PI()*EA_Pole2,0)))</f>
        <v>1+15.5366288196876i</v>
      </c>
      <c r="AA333" s="346">
        <f t="shared" si="198"/>
        <v>15.568777571818131</v>
      </c>
      <c r="AB333" s="347">
        <f t="shared" si="199"/>
        <v>1.5065209602033536</v>
      </c>
      <c r="AC333" s="732" t="str">
        <f t="shared" si="200"/>
        <v>0.242642892154426-3.80798811848718i</v>
      </c>
      <c r="AD333" s="337">
        <f t="shared" si="201"/>
        <v>3.8157108228549759</v>
      </c>
      <c r="AE333" s="339">
        <f t="shared" si="202"/>
        <v>-1.5071629088295571</v>
      </c>
      <c r="AF333" s="736" t="str">
        <f t="shared" ref="AF333:AF396" si="215">IMPRODUCT(P333,AC333)</f>
        <v>-0.437001578681424+0.0595007343629431i</v>
      </c>
      <c r="AG333" s="337">
        <f t="shared" si="203"/>
        <v>-7.1105646490315646</v>
      </c>
      <c r="AH333" s="730">
        <f t="shared" si="204"/>
        <v>172.24646909143797</v>
      </c>
      <c r="AI333" s="360">
        <f t="shared" ref="AI333:AI396" si="216">IF(AH333&gt;0,AH333-180,AH333+180)</f>
        <v>-7.753530908562027</v>
      </c>
      <c r="AL333" s="337">
        <f t="shared" ref="AL333:AL396" si="217">20*LOG10(IMABS(AC333))</f>
        <v>11.63150907746946</v>
      </c>
      <c r="AM333" s="730">
        <f t="shared" ref="AM333:AM396" si="218">(180/PI())*IMARGUMENT(AC333)</f>
        <v>-86.354073714594094</v>
      </c>
      <c r="AN333" s="351"/>
      <c r="AO333" s="337">
        <f t="shared" ref="AO333:AO396" si="219">20*LOG10(IMABS(IMPRODUCT(COMPLEX(Am/Afb,0),P333)))</f>
        <v>34.787048758541104</v>
      </c>
      <c r="AP333" s="730">
        <f t="shared" ref="AP333:AP396" si="220">180/PI()*IMARGUMENT(IMPRODUCT(COMPLEX(Am/Afb,0),P333))</f>
        <v>-101.39945719396795</v>
      </c>
      <c r="AS333" s="351"/>
      <c r="AT333" s="351"/>
      <c r="AV333" s="405">
        <f t="shared" ref="AV333:AV396" si="221">SUM((AG334&lt;0)*(AG333&gt;0))*B333</f>
        <v>0</v>
      </c>
      <c r="AW333" s="405">
        <f t="shared" si="205"/>
        <v>0</v>
      </c>
      <c r="AX333" s="405">
        <f t="shared" ref="AX333:AX396" si="222">SUM((AL334&lt;0)*(AL333&gt;0))*B333</f>
        <v>0</v>
      </c>
      <c r="AY333" s="405">
        <f t="shared" ref="AY333:AY396" si="223">IF(AX333&gt;0,AM333,0)</f>
        <v>0</v>
      </c>
    </row>
    <row r="334" spans="2:51" ht="13.5" thickBot="1" x14ac:dyDescent="0.25">
      <c r="B334" s="345">
        <v>24690</v>
      </c>
      <c r="C334" s="728" t="str">
        <f t="shared" si="206"/>
        <v>2.2271548443541</v>
      </c>
      <c r="D334" s="728" t="str">
        <f t="shared" si="207"/>
        <v>1+18.8743745035021i</v>
      </c>
      <c r="E334" s="337">
        <f t="shared" si="184"/>
        <v>18.900846883101565</v>
      </c>
      <c r="F334" s="338">
        <f t="shared" si="185"/>
        <v>1.5178639300625432</v>
      </c>
      <c r="G334" s="338" t="str">
        <f t="shared" si="208"/>
        <v>1+0.077565922617132i</v>
      </c>
      <c r="H334" s="337">
        <f t="shared" si="186"/>
        <v>1.0030037249938042</v>
      </c>
      <c r="I334" s="338">
        <f t="shared" si="187"/>
        <v>7.741092401750832E-2</v>
      </c>
      <c r="J334" s="340">
        <f t="shared" si="209"/>
        <v>1</v>
      </c>
      <c r="K334" s="338">
        <f t="shared" si="188"/>
        <v>1</v>
      </c>
      <c r="L334" s="339">
        <f t="shared" si="189"/>
        <v>0</v>
      </c>
      <c r="M334" s="731" t="str">
        <f t="shared" si="210"/>
        <v>0.97290684+0.334378285953054i</v>
      </c>
      <c r="N334" s="338">
        <f t="shared" si="190"/>
        <v>1.0287645782372603</v>
      </c>
      <c r="O334" s="339">
        <f t="shared" si="191"/>
        <v>0.33104235575876045</v>
      </c>
      <c r="P334" s="732" t="str">
        <f t="shared" ref="P334:P397" si="224">(IMDIV(IMPRODUCT(C334,G334,J334),IMPRODUCT(D334,M334)))</f>
        <v>-0.0229024255922541-0.112576986928892i</v>
      </c>
      <c r="Q334" s="337">
        <f t="shared" si="192"/>
        <v>0.11488297995785388</v>
      </c>
      <c r="R334" s="339">
        <f t="shared" si="193"/>
        <v>-1.7714953618037954</v>
      </c>
      <c r="S334" s="731" t="str">
        <f t="shared" si="211"/>
        <v>6000</v>
      </c>
      <c r="T334" s="337" t="str">
        <f t="shared" si="212"/>
        <v>1+156683.163686607i</v>
      </c>
      <c r="U334" s="346">
        <f t="shared" si="194"/>
        <v>156683.16368979815</v>
      </c>
      <c r="V334" s="347">
        <f t="shared" si="195"/>
        <v>1.5707899444882309</v>
      </c>
      <c r="W334" s="340" t="str">
        <f t="shared" si="213"/>
        <v>1+1551.31845234264i</v>
      </c>
      <c r="X334" s="337">
        <f t="shared" si="196"/>
        <v>1551.3187746490933</v>
      </c>
      <c r="Y334" s="339">
        <f t="shared" si="197"/>
        <v>1.5701517139109453</v>
      </c>
      <c r="Z334" s="337" t="str">
        <f t="shared" si="214"/>
        <v>1+15.6271383695803i</v>
      </c>
      <c r="AA334" s="346">
        <f t="shared" si="198"/>
        <v>15.659101303140254</v>
      </c>
      <c r="AB334" s="347">
        <f t="shared" si="199"/>
        <v>1.5068922158496587</v>
      </c>
      <c r="AC334" s="732" t="str">
        <f t="shared" si="200"/>
        <v>0.239851773722931-3.78611154921952i</v>
      </c>
      <c r="AD334" s="337">
        <f t="shared" si="201"/>
        <v>3.7937012977422815</v>
      </c>
      <c r="AE334" s="339">
        <f t="shared" si="202"/>
        <v>-1.5075304464269443</v>
      </c>
      <c r="AF334" s="736" t="str">
        <f t="shared" si="215"/>
        <v>-0.431722217788673+0.059709348044696i</v>
      </c>
      <c r="AG334" s="337">
        <f t="shared" si="203"/>
        <v>-7.2136234926184777</v>
      </c>
      <c r="AH334" s="730">
        <f t="shared" si="204"/>
        <v>172.125660273905</v>
      </c>
      <c r="AI334" s="360">
        <f t="shared" si="216"/>
        <v>-7.8743397260950019</v>
      </c>
      <c r="AL334" s="337">
        <f t="shared" si="217"/>
        <v>11.5812626625808</v>
      </c>
      <c r="AM334" s="730">
        <f t="shared" si="218"/>
        <v>-86.375132067736772</v>
      </c>
      <c r="AN334" s="351"/>
      <c r="AO334" s="337">
        <f t="shared" si="219"/>
        <v>34.734236329842851</v>
      </c>
      <c r="AP334" s="730">
        <f t="shared" si="220"/>
        <v>-101.49920765835826</v>
      </c>
      <c r="AS334" s="351"/>
      <c r="AT334" s="351"/>
      <c r="AV334" s="405">
        <f t="shared" si="221"/>
        <v>0</v>
      </c>
      <c r="AW334" s="405">
        <f t="shared" si="205"/>
        <v>0</v>
      </c>
      <c r="AX334" s="405">
        <f t="shared" si="222"/>
        <v>0</v>
      </c>
      <c r="AY334" s="405">
        <f t="shared" si="223"/>
        <v>0</v>
      </c>
    </row>
    <row r="335" spans="2:51" ht="13.5" thickBot="1" x14ac:dyDescent="0.25">
      <c r="B335" s="345">
        <v>24833</v>
      </c>
      <c r="C335" s="728" t="str">
        <f t="shared" si="206"/>
        <v>2.2271548443541</v>
      </c>
      <c r="D335" s="728" t="str">
        <f t="shared" si="207"/>
        <v>1+18.9836914558716i</v>
      </c>
      <c r="E335" s="337">
        <f t="shared" si="184"/>
        <v>19.010011606827923</v>
      </c>
      <c r="F335" s="338">
        <f t="shared" si="185"/>
        <v>1.5181681753614267</v>
      </c>
      <c r="G335" s="338" t="str">
        <f t="shared" si="208"/>
        <v>1+0.0780151703665955i</v>
      </c>
      <c r="H335" s="337">
        <f t="shared" si="186"/>
        <v>1.003038566959082</v>
      </c>
      <c r="I335" s="338">
        <f t="shared" si="187"/>
        <v>7.785746954780795E-2</v>
      </c>
      <c r="J335" s="340">
        <f t="shared" si="209"/>
        <v>1</v>
      </c>
      <c r="K335" s="338">
        <f t="shared" si="188"/>
        <v>1</v>
      </c>
      <c r="L335" s="339">
        <f t="shared" si="189"/>
        <v>0</v>
      </c>
      <c r="M335" s="731" t="str">
        <f t="shared" si="210"/>
        <v>0.972592093822222+0.336314944312361i</v>
      </c>
      <c r="N335" s="338">
        <f t="shared" si="190"/>
        <v>1.0290982084977705</v>
      </c>
      <c r="O335" s="339">
        <f t="shared" si="191"/>
        <v>0.33292148490569151</v>
      </c>
      <c r="P335" s="732" t="str">
        <f t="shared" si="224"/>
        <v>-0.0229586306812244-0.11185840812307i</v>
      </c>
      <c r="Q335" s="337">
        <f t="shared" si="192"/>
        <v>0.11419020181514765</v>
      </c>
      <c r="R335" s="339">
        <f t="shared" si="193"/>
        <v>-1.7732321907193112</v>
      </c>
      <c r="S335" s="731" t="str">
        <f t="shared" si="211"/>
        <v>6000</v>
      </c>
      <c r="T335" s="337" t="str">
        <f t="shared" si="212"/>
        <v>1+157590.644140523i</v>
      </c>
      <c r="U335" s="346">
        <f t="shared" si="194"/>
        <v>157590.6441436958</v>
      </c>
      <c r="V335" s="347">
        <f t="shared" si="195"/>
        <v>1.5707899812405306</v>
      </c>
      <c r="W335" s="340" t="str">
        <f t="shared" si="213"/>
        <v>1+1560.30340733191i</v>
      </c>
      <c r="X335" s="337">
        <f t="shared" si="196"/>
        <v>1560.3037277823728</v>
      </c>
      <c r="Y335" s="339">
        <f t="shared" si="197"/>
        <v>1.5701554258916601</v>
      </c>
      <c r="Z335" s="337" t="str">
        <f t="shared" si="214"/>
        <v>1+15.717647919473i</v>
      </c>
      <c r="AA335" s="346">
        <f t="shared" si="198"/>
        <v>15.749427168011984</v>
      </c>
      <c r="AB335" s="347">
        <f t="shared" si="199"/>
        <v>1.5072592131070777</v>
      </c>
      <c r="AC335" s="732" t="str">
        <f t="shared" si="200"/>
        <v>0.237108474821014-3.76448388852997i</v>
      </c>
      <c r="AD335" s="337">
        <f t="shared" si="201"/>
        <v>3.7719437132377345</v>
      </c>
      <c r="AE335" s="339">
        <f t="shared" si="202"/>
        <v>-1.5078937684559481</v>
      </c>
      <c r="AF335" s="736" t="str">
        <f t="shared" si="215"/>
        <v>-0.426532861080711+0.0599048187562115i</v>
      </c>
      <c r="AG335" s="337">
        <f t="shared" si="203"/>
        <v>-7.3161191225438751</v>
      </c>
      <c r="AH335" s="730">
        <f t="shared" si="204"/>
        <v>172.0053304884436</v>
      </c>
      <c r="AI335" s="360">
        <f t="shared" si="216"/>
        <v>-7.9946695115563955</v>
      </c>
      <c r="AL335" s="337">
        <f t="shared" si="217"/>
        <v>11.531304067240885</v>
      </c>
      <c r="AM335" s="730">
        <f t="shared" si="218"/>
        <v>-86.39594888660281</v>
      </c>
      <c r="AN335" s="351"/>
      <c r="AO335" s="337">
        <f t="shared" si="219"/>
        <v>34.681699295257367</v>
      </c>
      <c r="AP335" s="730">
        <f t="shared" si="220"/>
        <v>-101.59872062495359</v>
      </c>
      <c r="AS335" s="351"/>
      <c r="AT335" s="351"/>
      <c r="AV335" s="405">
        <f t="shared" si="221"/>
        <v>0</v>
      </c>
      <c r="AW335" s="405">
        <f t="shared" si="205"/>
        <v>0</v>
      </c>
      <c r="AX335" s="405">
        <f t="shared" si="222"/>
        <v>0</v>
      </c>
      <c r="AY335" s="405">
        <f t="shared" si="223"/>
        <v>0</v>
      </c>
    </row>
    <row r="336" spans="2:51" ht="13.5" thickBot="1" x14ac:dyDescent="0.25">
      <c r="B336" s="345">
        <v>24976</v>
      </c>
      <c r="C336" s="728" t="str">
        <f t="shared" si="206"/>
        <v>2.2271548443541</v>
      </c>
      <c r="D336" s="728" t="str">
        <f t="shared" si="207"/>
        <v>1+19.0930084082409i</v>
      </c>
      <c r="E336" s="337">
        <f t="shared" si="184"/>
        <v>19.119178070125237</v>
      </c>
      <c r="F336" s="338">
        <f t="shared" si="185"/>
        <v>1.5184689463352616</v>
      </c>
      <c r="G336" s="338" t="str">
        <f t="shared" si="208"/>
        <v>1+0.0784644181160585i</v>
      </c>
      <c r="H336" s="337">
        <f t="shared" si="186"/>
        <v>1.0030736089192516</v>
      </c>
      <c r="I336" s="338">
        <f t="shared" si="187"/>
        <v>7.8303983967372676E-2</v>
      </c>
      <c r="J336" s="340">
        <f t="shared" si="209"/>
        <v>1</v>
      </c>
      <c r="K336" s="338">
        <f t="shared" si="188"/>
        <v>1</v>
      </c>
      <c r="L336" s="339">
        <f t="shared" si="189"/>
        <v>0</v>
      </c>
      <c r="M336" s="731" t="str">
        <f t="shared" si="210"/>
        <v>0.972275529955556+0.338251602671667i</v>
      </c>
      <c r="N336" s="338">
        <f t="shared" si="190"/>
        <v>1.0294337535073874</v>
      </c>
      <c r="O336" s="339">
        <f t="shared" si="191"/>
        <v>0.33479996958523828</v>
      </c>
      <c r="P336" s="732" t="str">
        <f t="shared" si="224"/>
        <v>-0.0230135228880834-0.111147642763462i</v>
      </c>
      <c r="Q336" s="337">
        <f t="shared" si="192"/>
        <v>0.11350515727311472</v>
      </c>
      <c r="R336" s="339">
        <f t="shared" si="193"/>
        <v>-1.7749649319531267</v>
      </c>
      <c r="S336" s="731" t="str">
        <f t="shared" si="211"/>
        <v>6000</v>
      </c>
      <c r="T336" s="337" t="str">
        <f t="shared" si="212"/>
        <v>1+158498.124594438i</v>
      </c>
      <c r="U336" s="346">
        <f t="shared" si="194"/>
        <v>158498.12459759263</v>
      </c>
      <c r="V336" s="347">
        <f t="shared" si="195"/>
        <v>1.5707900175719796</v>
      </c>
      <c r="W336" s="340" t="str">
        <f t="shared" si="213"/>
        <v>1+1569.28836232117i</v>
      </c>
      <c r="X336" s="337">
        <f t="shared" si="196"/>
        <v>1569.2886809368952</v>
      </c>
      <c r="Y336" s="339">
        <f t="shared" si="197"/>
        <v>1.5701590953665272</v>
      </c>
      <c r="Z336" s="337" t="str">
        <f t="shared" si="214"/>
        <v>1+15.8081574693656i</v>
      </c>
      <c r="AA336" s="346">
        <f t="shared" si="198"/>
        <v>15.839755129933652</v>
      </c>
      <c r="AB336" s="347">
        <f t="shared" si="199"/>
        <v>1.5076220247277006</v>
      </c>
      <c r="AC336" s="732" t="str">
        <f t="shared" si="200"/>
        <v>0.234411910727911-3.74310092966068i</v>
      </c>
      <c r="AD336" s="337">
        <f t="shared" si="201"/>
        <v>3.7504337767140692</v>
      </c>
      <c r="AE336" s="339">
        <f t="shared" si="202"/>
        <v>-1.5082529469331534</v>
      </c>
      <c r="AF336" s="736" t="str">
        <f t="shared" si="215"/>
        <v>-0.421431488830284+0.0600876076040659i</v>
      </c>
      <c r="AG336" s="337">
        <f t="shared" si="203"/>
        <v>-7.4180580781037904</v>
      </c>
      <c r="AH336" s="730">
        <f t="shared" si="204"/>
        <v>171.88547231792188</v>
      </c>
      <c r="AI336" s="360">
        <f t="shared" si="216"/>
        <v>-8.1145276820781191</v>
      </c>
      <c r="AL336" s="337">
        <f t="shared" si="217"/>
        <v>11.481630026225996</v>
      </c>
      <c r="AM336" s="730">
        <f t="shared" si="218"/>
        <v>-86.416528297438603</v>
      </c>
      <c r="AN336" s="351"/>
      <c r="AO336" s="337">
        <f t="shared" si="219"/>
        <v>34.62943438071234</v>
      </c>
      <c r="AP336" s="730">
        <f t="shared" si="220"/>
        <v>-101.69799938463956</v>
      </c>
      <c r="AS336" s="351"/>
      <c r="AT336" s="351"/>
      <c r="AV336" s="405">
        <f t="shared" si="221"/>
        <v>0</v>
      </c>
      <c r="AW336" s="405">
        <f t="shared" si="205"/>
        <v>0</v>
      </c>
      <c r="AX336" s="405">
        <f t="shared" si="222"/>
        <v>0</v>
      </c>
      <c r="AY336" s="405">
        <f t="shared" si="223"/>
        <v>0</v>
      </c>
    </row>
    <row r="337" spans="2:51" ht="13.5" thickBot="1" x14ac:dyDescent="0.25">
      <c r="B337" s="345">
        <v>25119</v>
      </c>
      <c r="C337" s="728" t="str">
        <f t="shared" si="206"/>
        <v>2.2271548443541</v>
      </c>
      <c r="D337" s="728" t="str">
        <f t="shared" si="207"/>
        <v>1+19.2023253606104i</v>
      </c>
      <c r="E337" s="337">
        <f t="shared" ref="E337:E400" si="225">IMABS(D337)</f>
        <v>19.228346243365323</v>
      </c>
      <c r="F337" s="338">
        <f t="shared" ref="F337:F400" si="226">IMARGUMENT(D337)</f>
        <v>1.5187663021051909</v>
      </c>
      <c r="G337" s="338" t="str">
        <f t="shared" si="208"/>
        <v>1+0.078913665865522i</v>
      </c>
      <c r="H337" s="337">
        <f t="shared" ref="H337:H400" si="227">IMABS(G337)</f>
        <v>1.0031088508533534</v>
      </c>
      <c r="I337" s="338">
        <f t="shared" ref="I337:I400" si="228">IMARGUMENT(G337)</f>
        <v>7.8750467101425553E-2</v>
      </c>
      <c r="J337" s="340">
        <f t="shared" si="209"/>
        <v>1</v>
      </c>
      <c r="K337" s="338">
        <f t="shared" ref="K337:K400" si="229">IMABS(J337)</f>
        <v>1</v>
      </c>
      <c r="L337" s="339">
        <f t="shared" ref="L337:L400" si="230">IMARGUMENT(J337)</f>
        <v>0</v>
      </c>
      <c r="M337" s="731" t="str">
        <f t="shared" si="210"/>
        <v>0.9719571484+0.340188261030974i</v>
      </c>
      <c r="N337" s="338">
        <f t="shared" ref="N337:N400" si="231">IMABS(M337)</f>
        <v>1.0297712130707177</v>
      </c>
      <c r="O337" s="339">
        <f t="shared" ref="O337:O400" si="232">IMARGUMENT(M337)</f>
        <v>0.33667780657476559</v>
      </c>
      <c r="P337" s="732" t="str">
        <f t="shared" si="224"/>
        <v>-0.0230671303793814-0.110444560047921i</v>
      </c>
      <c r="Q337" s="337">
        <f t="shared" ref="Q337:Q400" si="233">IMABS(P337)</f>
        <v>0.1128277153367833</v>
      </c>
      <c r="R337" s="339">
        <f t="shared" ref="R337:R400" si="234">IMARGUMENT(P337)</f>
        <v>-1.776693641578529</v>
      </c>
      <c r="S337" s="731" t="str">
        <f t="shared" si="211"/>
        <v>6000</v>
      </c>
      <c r="T337" s="337" t="str">
        <f t="shared" si="212"/>
        <v>1+159405.605048354i</v>
      </c>
      <c r="U337" s="346">
        <f t="shared" ref="U337:U400" si="235">IMABS(T337)</f>
        <v>159405.60505149062</v>
      </c>
      <c r="V337" s="347">
        <f t="shared" ref="V337:V400" si="236">IMARGUMENT(T337)</f>
        <v>1.5707900534897661</v>
      </c>
      <c r="W337" s="340" t="str">
        <f t="shared" si="213"/>
        <v>1+1578.27331731044i</v>
      </c>
      <c r="X337" s="337">
        <f t="shared" ref="X337:X400" si="237">IMABS(W337)</f>
        <v>1578.2736341123175</v>
      </c>
      <c r="Y337" s="339">
        <f t="shared" ref="Y337:Y400" si="238">IMARGUMENT(W337)</f>
        <v>1.5701627230614912</v>
      </c>
      <c r="Z337" s="337" t="str">
        <f t="shared" si="214"/>
        <v>1+15.8986670192582i</v>
      </c>
      <c r="AA337" s="346">
        <f t="shared" ref="AA337:AA400" si="239">IMABS(Z337)</f>
        <v>15.93008515323281</v>
      </c>
      <c r="AB337" s="347">
        <f t="shared" ref="AB337:AB400" si="240">IMARGUMENT(Z337)</f>
        <v>1.5079807218179497</v>
      </c>
      <c r="AC337" s="732" t="str">
        <f t="shared" ref="AC337:AC400" si="241">IMPRODUCT(S337,IMDIV(W337,IMPRODUCT(T337,Z337)))</f>
        <v>0.231761027265597-3.72195855972731i</v>
      </c>
      <c r="AD337" s="337">
        <f t="shared" ref="AD337:AD400" si="242">IMABS(AC337)</f>
        <v>3.7291672923169585</v>
      </c>
      <c r="AE337" s="339">
        <f t="shared" ref="AE337:AE400" si="243">IMARGUMENT(AC337)</f>
        <v>-1.5086080522462249</v>
      </c>
      <c r="AF337" s="736" t="str">
        <f t="shared" si="215"/>
        <v>-0.416416137478471+0.0602581586712814i</v>
      </c>
      <c r="AG337" s="337">
        <f t="shared" ref="AG337:AG400" si="244">20*LOG10(IMABS(AF337))</f>
        <v>-7.5194467877610585</v>
      </c>
      <c r="AH337" s="730">
        <f t="shared" ref="AH337:AH400" si="245">(180/PI())*IMARGUMENT(AF337)</f>
        <v>171.766078516661</v>
      </c>
      <c r="AI337" s="360">
        <f t="shared" si="216"/>
        <v>-8.2339214833390031</v>
      </c>
      <c r="AL337" s="337">
        <f t="shared" si="217"/>
        <v>11.432237329336335</v>
      </c>
      <c r="AM337" s="730">
        <f t="shared" si="218"/>
        <v>-86.436874333160276</v>
      </c>
      <c r="AN337" s="351"/>
      <c r="AO337" s="337">
        <f t="shared" si="219"/>
        <v>34.577438367944737</v>
      </c>
      <c r="AP337" s="730">
        <f t="shared" si="220"/>
        <v>-101.79704715017873</v>
      </c>
      <c r="AS337" s="351"/>
      <c r="AT337" s="351"/>
      <c r="AV337" s="405">
        <f t="shared" si="221"/>
        <v>0</v>
      </c>
      <c r="AW337" s="405">
        <f t="shared" si="205"/>
        <v>0</v>
      </c>
      <c r="AX337" s="405">
        <f t="shared" si="222"/>
        <v>0</v>
      </c>
      <c r="AY337" s="405">
        <f t="shared" si="223"/>
        <v>0</v>
      </c>
    </row>
    <row r="338" spans="2:51" ht="13.5" thickBot="1" x14ac:dyDescent="0.25">
      <c r="B338" s="345">
        <v>25265.25</v>
      </c>
      <c r="C338" s="728" t="str">
        <f t="shared" si="206"/>
        <v>2.2271548443541</v>
      </c>
      <c r="D338" s="728" t="str">
        <f t="shared" si="207"/>
        <v>1+19.31412678917i</v>
      </c>
      <c r="E338" s="337">
        <f t="shared" si="225"/>
        <v>19.339997249951569</v>
      </c>
      <c r="F338" s="338">
        <f t="shared" si="226"/>
        <v>1.5190669436660837</v>
      </c>
      <c r="G338" s="338" t="str">
        <f t="shared" si="208"/>
        <v>1+0.0793731237911095i</v>
      </c>
      <c r="H338" s="337">
        <f t="shared" si="227"/>
        <v>1.0031451005614087</v>
      </c>
      <c r="I338" s="338">
        <f t="shared" si="228"/>
        <v>7.9207065037217139E-2</v>
      </c>
      <c r="J338" s="340">
        <f t="shared" si="209"/>
        <v>1</v>
      </c>
      <c r="K338" s="338">
        <f t="shared" si="229"/>
        <v>1</v>
      </c>
      <c r="L338" s="339">
        <f t="shared" si="230"/>
        <v>0</v>
      </c>
      <c r="M338" s="731" t="str">
        <f t="shared" si="210"/>
        <v>0.971629650775+0.342168934352993i</v>
      </c>
      <c r="N338" s="338">
        <f t="shared" si="231"/>
        <v>1.0301183222821597</v>
      </c>
      <c r="O338" s="339">
        <f t="shared" si="232"/>
        <v>0.33859764838966444</v>
      </c>
      <c r="P338" s="732" t="str">
        <f t="shared" si="224"/>
        <v>-0.0231206559126699-0.109733311461652i</v>
      </c>
      <c r="Q338" s="337">
        <f t="shared" si="233"/>
        <v>0.11214260730949678</v>
      </c>
      <c r="R338" s="339">
        <f t="shared" si="234"/>
        <v>-1.7784575270185321</v>
      </c>
      <c r="S338" s="731" t="str">
        <f t="shared" si="211"/>
        <v>6000</v>
      </c>
      <c r="T338" s="337" t="str">
        <f t="shared" si="212"/>
        <v>1+160333.710058041i</v>
      </c>
      <c r="U338" s="346">
        <f t="shared" si="235"/>
        <v>160333.71006115951</v>
      </c>
      <c r="V338" s="347">
        <f t="shared" si="236"/>
        <v>1.5707900898033142</v>
      </c>
      <c r="W338" s="340" t="str">
        <f t="shared" si="213"/>
        <v>1+1587.46247582219i</v>
      </c>
      <c r="X338" s="337">
        <f t="shared" si="237"/>
        <v>1587.4627907902336</v>
      </c>
      <c r="Y338" s="339">
        <f t="shared" si="238"/>
        <v>1.5701663907284023</v>
      </c>
      <c r="Z338" s="337" t="str">
        <f t="shared" si="214"/>
        <v>1+15.9912336043758i</v>
      </c>
      <c r="AA338" s="346">
        <f t="shared" si="239"/>
        <v>16.022470227456122</v>
      </c>
      <c r="AB338" s="347">
        <f t="shared" si="240"/>
        <v>1.5083433876835695</v>
      </c>
      <c r="AC338" s="732" t="str">
        <f t="shared" si="241"/>
        <v>0.229096078459049-3.70058034362633i</v>
      </c>
      <c r="AD338" s="337">
        <f t="shared" si="242"/>
        <v>3.7076650189571985</v>
      </c>
      <c r="AE338" s="339">
        <f t="shared" si="243"/>
        <v>-1.5089670867584815</v>
      </c>
      <c r="AF338" s="736" t="str">
        <f t="shared" si="215"/>
        <v>-0.411373787037009+0.0604203734699842i</v>
      </c>
      <c r="AG338" s="337">
        <f t="shared" si="244"/>
        <v>-7.622577225966217</v>
      </c>
      <c r="AH338" s="730">
        <f t="shared" si="245"/>
        <v>171.6444441631524</v>
      </c>
      <c r="AI338" s="360">
        <f t="shared" si="216"/>
        <v>-8.3555558368475999</v>
      </c>
      <c r="AL338" s="337">
        <f t="shared" si="217"/>
        <v>11.382009789976786</v>
      </c>
      <c r="AM338" s="730">
        <f t="shared" si="218"/>
        <v>-86.457445495412117</v>
      </c>
      <c r="AN338" s="351"/>
      <c r="AO338" s="337">
        <f t="shared" si="219"/>
        <v>34.524535469099135</v>
      </c>
      <c r="AP338" s="730">
        <f t="shared" si="220"/>
        <v>-101.89811034143544</v>
      </c>
      <c r="AS338" s="351"/>
      <c r="AT338" s="351"/>
      <c r="AV338" s="405">
        <f t="shared" si="221"/>
        <v>0</v>
      </c>
      <c r="AW338" s="405">
        <f t="shared" si="205"/>
        <v>0</v>
      </c>
      <c r="AX338" s="405">
        <f t="shared" si="222"/>
        <v>0</v>
      </c>
      <c r="AY338" s="405">
        <f t="shared" si="223"/>
        <v>0</v>
      </c>
    </row>
    <row r="339" spans="2:51" ht="13.5" thickBot="1" x14ac:dyDescent="0.25">
      <c r="B339" s="345">
        <v>25411.5</v>
      </c>
      <c r="C339" s="728" t="str">
        <f t="shared" si="206"/>
        <v>2.2271548443541</v>
      </c>
      <c r="D339" s="728" t="str">
        <f t="shared" si="207"/>
        <v>1+19.4259282177296i</v>
      </c>
      <c r="E339" s="337">
        <f t="shared" si="225"/>
        <v>19.451649984522728</v>
      </c>
      <c r="F339" s="338">
        <f t="shared" si="226"/>
        <v>1.5193641338803128</v>
      </c>
      <c r="G339" s="338" t="str">
        <f t="shared" si="208"/>
        <v>1+0.079832581716697i</v>
      </c>
      <c r="H339" s="337">
        <f t="shared" si="227"/>
        <v>1.0031815593916951</v>
      </c>
      <c r="I339" s="338">
        <f t="shared" si="228"/>
        <v>7.9663629879726139E-2</v>
      </c>
      <c r="J339" s="340">
        <f t="shared" si="209"/>
        <v>1</v>
      </c>
      <c r="K339" s="338">
        <f t="shared" si="229"/>
        <v>1</v>
      </c>
      <c r="L339" s="339">
        <f t="shared" si="230"/>
        <v>0</v>
      </c>
      <c r="M339" s="731" t="str">
        <f t="shared" si="210"/>
        <v>0.9713002519+0.344149607675011i</v>
      </c>
      <c r="N339" s="338">
        <f t="shared" si="231"/>
        <v>1.0304674336454636</v>
      </c>
      <c r="O339" s="339">
        <f t="shared" si="232"/>
        <v>0.34051680594642125</v>
      </c>
      <c r="P339" s="732" t="str">
        <f t="shared" si="224"/>
        <v>-0.0231728947854634-0.109029831234957i</v>
      </c>
      <c r="Q339" s="337">
        <f t="shared" si="233"/>
        <v>0.11146518358600303</v>
      </c>
      <c r="R339" s="339">
        <f t="shared" si="234"/>
        <v>-1.7802173099470073</v>
      </c>
      <c r="S339" s="731" t="str">
        <f t="shared" si="211"/>
        <v>6000</v>
      </c>
      <c r="T339" s="337" t="str">
        <f t="shared" si="212"/>
        <v>1+161261.815067728i</v>
      </c>
      <c r="U339" s="346">
        <f t="shared" si="235"/>
        <v>161261.81507082854</v>
      </c>
      <c r="V339" s="347">
        <f t="shared" si="236"/>
        <v>1.5707901256988741</v>
      </c>
      <c r="W339" s="340" t="str">
        <f t="shared" si="213"/>
        <v>1+1596.65163433394i</v>
      </c>
      <c r="X339" s="337">
        <f t="shared" si="237"/>
        <v>1596.6519474892584</v>
      </c>
      <c r="Y339" s="339">
        <f t="shared" si="238"/>
        <v>1.5701700161785159</v>
      </c>
      <c r="Z339" s="337" t="str">
        <f t="shared" si="214"/>
        <v>1+16.0838001894932i</v>
      </c>
      <c r="AA339" s="346">
        <f t="shared" si="239"/>
        <v>16.114857384896137</v>
      </c>
      <c r="AB339" s="347">
        <f t="shared" si="240"/>
        <v>1.5087018952384676</v>
      </c>
      <c r="AC339" s="732" t="str">
        <f t="shared" si="241"/>
        <v>0.226476773355232-3.67944536439843i</v>
      </c>
      <c r="AD339" s="337">
        <f t="shared" si="242"/>
        <v>3.6864088105448225</v>
      </c>
      <c r="AE339" s="339">
        <f t="shared" si="243"/>
        <v>-1.5093220047588261</v>
      </c>
      <c r="AF339" s="736" t="str">
        <f t="shared" si="215"/>
        <v>-0.406417429558918+0.0605706759205073i</v>
      </c>
      <c r="AG339" s="337">
        <f t="shared" si="244"/>
        <v>-7.7251453793741707</v>
      </c>
      <c r="AH339" s="730">
        <f t="shared" si="245"/>
        <v>171.52328072499864</v>
      </c>
      <c r="AI339" s="360">
        <f t="shared" si="216"/>
        <v>-8.4767192750013578</v>
      </c>
      <c r="AL339" s="337">
        <f t="shared" si="217"/>
        <v>11.332069907508446</v>
      </c>
      <c r="AM339" s="730">
        <f t="shared" si="218"/>
        <v>-86.477780798905087</v>
      </c>
      <c r="AN339" s="351"/>
      <c r="AO339" s="337">
        <f t="shared" si="219"/>
        <v>34.471907198159506</v>
      </c>
      <c r="AP339" s="730">
        <f t="shared" si="220"/>
        <v>-101.99893847609627</v>
      </c>
      <c r="AS339" s="351"/>
      <c r="AT339" s="351"/>
      <c r="AV339" s="405">
        <f t="shared" si="221"/>
        <v>0</v>
      </c>
      <c r="AW339" s="405">
        <f t="shared" si="205"/>
        <v>0</v>
      </c>
      <c r="AX339" s="405">
        <f t="shared" si="222"/>
        <v>0</v>
      </c>
      <c r="AY339" s="405">
        <f t="shared" si="223"/>
        <v>0</v>
      </c>
    </row>
    <row r="340" spans="2:51" ht="13.5" thickBot="1" x14ac:dyDescent="0.25">
      <c r="B340" s="345">
        <v>25557.75</v>
      </c>
      <c r="C340" s="728" t="str">
        <f t="shared" si="206"/>
        <v>2.2271548443541</v>
      </c>
      <c r="D340" s="728" t="str">
        <f t="shared" si="207"/>
        <v>1+19.5377296462892i</v>
      </c>
      <c r="E340" s="337">
        <f t="shared" si="225"/>
        <v>19.563304417492663</v>
      </c>
      <c r="F340" s="338">
        <f t="shared" si="226"/>
        <v>1.5196579317889543</v>
      </c>
      <c r="G340" s="338" t="str">
        <f t="shared" si="208"/>
        <v>1+0.0802920396422845i</v>
      </c>
      <c r="H340" s="337">
        <f t="shared" si="227"/>
        <v>1.003218227321413</v>
      </c>
      <c r="I340" s="338">
        <f t="shared" si="228"/>
        <v>8.0120161442227791E-2</v>
      </c>
      <c r="J340" s="340">
        <f t="shared" si="209"/>
        <v>1</v>
      </c>
      <c r="K340" s="338">
        <f t="shared" si="229"/>
        <v>1</v>
      </c>
      <c r="L340" s="339">
        <f t="shared" si="230"/>
        <v>0</v>
      </c>
      <c r="M340" s="731" t="str">
        <f t="shared" si="210"/>
        <v>0.970968951775+0.346130280997029i</v>
      </c>
      <c r="N340" s="338">
        <f t="shared" si="231"/>
        <v>1.0308185469490374</v>
      </c>
      <c r="O340" s="339">
        <f t="shared" si="232"/>
        <v>0.34243527582311606</v>
      </c>
      <c r="P340" s="732" t="str">
        <f t="shared" si="224"/>
        <v>-0.0232238746734384-0.108333988672213i</v>
      </c>
      <c r="Q340" s="337">
        <f t="shared" si="233"/>
        <v>0.11079531333264393</v>
      </c>
      <c r="R340" s="339">
        <f t="shared" si="234"/>
        <v>-1.7819730461698415</v>
      </c>
      <c r="S340" s="731" t="str">
        <f t="shared" si="211"/>
        <v>6000</v>
      </c>
      <c r="T340" s="337" t="str">
        <f t="shared" si="212"/>
        <v>1+162189.920077415i</v>
      </c>
      <c r="U340" s="346">
        <f t="shared" si="235"/>
        <v>162189.92008049783</v>
      </c>
      <c r="V340" s="347">
        <f t="shared" si="236"/>
        <v>1.5707901611836212</v>
      </c>
      <c r="W340" s="340" t="str">
        <f t="shared" si="213"/>
        <v>1+1605.84079284569i</v>
      </c>
      <c r="X340" s="337">
        <f t="shared" si="237"/>
        <v>1605.8411042090293</v>
      </c>
      <c r="Y340" s="339">
        <f t="shared" si="238"/>
        <v>1.5701736001365676</v>
      </c>
      <c r="Z340" s="337" t="str">
        <f t="shared" si="214"/>
        <v>1+16.1763667746107i</v>
      </c>
      <c r="AA340" s="346">
        <f t="shared" si="239"/>
        <v>16.207246589927884</v>
      </c>
      <c r="AB340" s="347">
        <f t="shared" si="240"/>
        <v>1.5090563155028858</v>
      </c>
      <c r="AC340" s="732" t="str">
        <f t="shared" si="241"/>
        <v>0.223902076846717-3.65854951038393i</v>
      </c>
      <c r="AD340" s="337">
        <f t="shared" si="242"/>
        <v>3.6653944753527918</v>
      </c>
      <c r="AE340" s="339">
        <f t="shared" si="243"/>
        <v>-1.509672876549939</v>
      </c>
      <c r="AF340" s="736" t="str">
        <f t="shared" si="215"/>
        <v>-0.401545134986474+0.0607094902589286i</v>
      </c>
      <c r="AG340" s="337">
        <f t="shared" si="244"/>
        <v>-7.8271577809600279</v>
      </c>
      <c r="AH340" s="730">
        <f t="shared" si="245"/>
        <v>171.40258097671105</v>
      </c>
      <c r="AI340" s="360">
        <f t="shared" si="216"/>
        <v>-8.5974190232889498</v>
      </c>
      <c r="AL340" s="337">
        <f t="shared" si="217"/>
        <v>11.282414418559885</v>
      </c>
      <c r="AM340" s="730">
        <f t="shared" si="218"/>
        <v>-86.497884271686047</v>
      </c>
      <c r="AN340" s="351"/>
      <c r="AO340" s="337">
        <f t="shared" si="219"/>
        <v>34.41955028552222</v>
      </c>
      <c r="AP340" s="730">
        <f t="shared" si="220"/>
        <v>-102.09953475160286</v>
      </c>
      <c r="AS340" s="351"/>
      <c r="AT340" s="351"/>
      <c r="AV340" s="405">
        <f t="shared" si="221"/>
        <v>0</v>
      </c>
      <c r="AW340" s="405">
        <f t="shared" si="205"/>
        <v>0</v>
      </c>
      <c r="AX340" s="405">
        <f t="shared" si="222"/>
        <v>0</v>
      </c>
      <c r="AY340" s="405">
        <f t="shared" si="223"/>
        <v>0</v>
      </c>
    </row>
    <row r="341" spans="2:51" ht="13.5" thickBot="1" x14ac:dyDescent="0.25">
      <c r="B341" s="345">
        <v>25704</v>
      </c>
      <c r="C341" s="728" t="str">
        <f t="shared" si="206"/>
        <v>2.2271548443541</v>
      </c>
      <c r="D341" s="728" t="str">
        <f t="shared" si="207"/>
        <v>1+19.6495310748489i</v>
      </c>
      <c r="E341" s="337">
        <f t="shared" si="225"/>
        <v>19.674960519946477</v>
      </c>
      <c r="F341" s="338">
        <f t="shared" si="226"/>
        <v>1.519948395095218</v>
      </c>
      <c r="G341" s="338" t="str">
        <f t="shared" si="208"/>
        <v>1+0.080751497567872i</v>
      </c>
      <c r="H341" s="337">
        <f t="shared" si="227"/>
        <v>1.0032551043276352</v>
      </c>
      <c r="I341" s="338">
        <f t="shared" si="228"/>
        <v>8.0576659538080034E-2</v>
      </c>
      <c r="J341" s="340">
        <f t="shared" si="209"/>
        <v>1</v>
      </c>
      <c r="K341" s="338">
        <f t="shared" si="229"/>
        <v>1</v>
      </c>
      <c r="L341" s="339">
        <f t="shared" si="230"/>
        <v>0</v>
      </c>
      <c r="M341" s="731" t="str">
        <f t="shared" si="210"/>
        <v>0.9706357504+0.348110954319048i</v>
      </c>
      <c r="N341" s="338">
        <f t="shared" si="231"/>
        <v>1.0311716619804334</v>
      </c>
      <c r="O341" s="339">
        <f t="shared" si="232"/>
        <v>0.34435305460647814</v>
      </c>
      <c r="P341" s="732" t="str">
        <f t="shared" si="224"/>
        <v>-0.0232736224797454-0.107645656017064i</v>
      </c>
      <c r="Q341" s="337">
        <f t="shared" si="233"/>
        <v>0.11013286867540398</v>
      </c>
      <c r="R341" s="339">
        <f t="shared" si="234"/>
        <v>-1.7837247901636171</v>
      </c>
      <c r="S341" s="731" t="str">
        <f t="shared" si="211"/>
        <v>6000</v>
      </c>
      <c r="T341" s="337" t="str">
        <f t="shared" si="212"/>
        <v>1+163118.025087101i</v>
      </c>
      <c r="U341" s="346">
        <f t="shared" si="235"/>
        <v>163118.02509016625</v>
      </c>
      <c r="V341" s="347">
        <f t="shared" si="236"/>
        <v>1.5707901962645676</v>
      </c>
      <c r="W341" s="340" t="str">
        <f t="shared" si="213"/>
        <v>1+1615.02995135744i</v>
      </c>
      <c r="X341" s="337">
        <f t="shared" si="237"/>
        <v>1615.0302609491921</v>
      </c>
      <c r="Y341" s="339">
        <f t="shared" si="238"/>
        <v>1.5701771433107987</v>
      </c>
      <c r="Z341" s="337" t="str">
        <f t="shared" si="214"/>
        <v>1+16.2689333597283i</v>
      </c>
      <c r="AA341" s="346">
        <f t="shared" si="239"/>
        <v>16.299637807733038</v>
      </c>
      <c r="AB341" s="347">
        <f t="shared" si="240"/>
        <v>1.5094067178909694</v>
      </c>
      <c r="AC341" s="732" t="str">
        <f t="shared" si="241"/>
        <v>0.221370982966393-3.63788876170977i</v>
      </c>
      <c r="AD341" s="337">
        <f t="shared" si="242"/>
        <v>3.64461791614344</v>
      </c>
      <c r="AE341" s="339">
        <f t="shared" si="243"/>
        <v>-1.510019770844738</v>
      </c>
      <c r="AF341" s="736" t="str">
        <f t="shared" si="215"/>
        <v>-0.396755026956883+0.060837224978782i</v>
      </c>
      <c r="AG341" s="337">
        <f t="shared" si="244"/>
        <v>-7.9286208529345039</v>
      </c>
      <c r="AH341" s="730">
        <f t="shared" si="245"/>
        <v>171.28233786005114</v>
      </c>
      <c r="AI341" s="360">
        <f t="shared" si="216"/>
        <v>-8.7176621399488567</v>
      </c>
      <c r="AL341" s="337">
        <f t="shared" si="217"/>
        <v>11.233040114763106</v>
      </c>
      <c r="AM341" s="730">
        <f t="shared" si="218"/>
        <v>-86.517759850715208</v>
      </c>
      <c r="AN341" s="351"/>
      <c r="AO341" s="337">
        <f t="shared" si="219"/>
        <v>34.367461517344523</v>
      </c>
      <c r="AP341" s="730">
        <f t="shared" si="220"/>
        <v>-102.19990228923366</v>
      </c>
      <c r="AS341" s="351"/>
      <c r="AT341" s="351"/>
      <c r="AV341" s="405">
        <f t="shared" si="221"/>
        <v>0</v>
      </c>
      <c r="AW341" s="405">
        <f t="shared" si="205"/>
        <v>0</v>
      </c>
      <c r="AX341" s="405">
        <f t="shared" si="222"/>
        <v>0</v>
      </c>
      <c r="AY341" s="405">
        <f t="shared" si="223"/>
        <v>0</v>
      </c>
    </row>
    <row r="342" spans="2:51" ht="13.5" thickBot="1" x14ac:dyDescent="0.25">
      <c r="B342" s="345">
        <v>25853.75</v>
      </c>
      <c r="C342" s="728" t="str">
        <f t="shared" si="206"/>
        <v>2.2271548443541</v>
      </c>
      <c r="D342" s="728" t="str">
        <f t="shared" si="207"/>
        <v>1+19.7640080931518i</v>
      </c>
      <c r="E342" s="337">
        <f t="shared" si="225"/>
        <v>19.7892904346308</v>
      </c>
      <c r="F342" s="338">
        <f t="shared" si="226"/>
        <v>1.5202424133012813</v>
      </c>
      <c r="G342" s="338" t="str">
        <f t="shared" si="208"/>
        <v>1+0.081221951067747i</v>
      </c>
      <c r="H342" s="337">
        <f t="shared" si="227"/>
        <v>1.0032930804781082</v>
      </c>
      <c r="I342" s="338">
        <f t="shared" si="228"/>
        <v>8.1044047502236913E-2</v>
      </c>
      <c r="J342" s="340">
        <f t="shared" si="209"/>
        <v>1</v>
      </c>
      <c r="K342" s="338">
        <f t="shared" si="229"/>
        <v>1</v>
      </c>
      <c r="L342" s="339">
        <f t="shared" si="230"/>
        <v>0</v>
      </c>
      <c r="M342" s="731" t="str">
        <f t="shared" si="210"/>
        <v>0.970292604930556+0.35013902837014i</v>
      </c>
      <c r="N342" s="338">
        <f t="shared" si="231"/>
        <v>1.0315353015631166</v>
      </c>
      <c r="O342" s="339">
        <f t="shared" si="232"/>
        <v>0.3463160092948831</v>
      </c>
      <c r="P342" s="732" t="str">
        <f t="shared" si="224"/>
        <v>-0.0233233114835345-0.10694850165502i</v>
      </c>
      <c r="Q342" s="337">
        <f t="shared" si="233"/>
        <v>0.10946213438816085</v>
      </c>
      <c r="R342" s="339">
        <f t="shared" si="234"/>
        <v>-1.7855143750939284</v>
      </c>
      <c r="S342" s="731" t="str">
        <f t="shared" si="211"/>
        <v>6000</v>
      </c>
      <c r="T342" s="337" t="str">
        <f t="shared" si="212"/>
        <v>1+164068.341156849i</v>
      </c>
      <c r="U342" s="346">
        <f t="shared" si="235"/>
        <v>164068.34115989649</v>
      </c>
      <c r="V342" s="347">
        <f t="shared" si="236"/>
        <v>1.5707902317738041</v>
      </c>
      <c r="W342" s="340" t="str">
        <f t="shared" si="213"/>
        <v>1+1624.43902135494i</v>
      </c>
      <c r="X342" s="337">
        <f t="shared" si="237"/>
        <v>1624.4393291534761</v>
      </c>
      <c r="Y342" s="339">
        <f t="shared" si="238"/>
        <v>1.5701807297422932</v>
      </c>
      <c r="Z342" s="337" t="str">
        <f t="shared" si="214"/>
        <v>1+16.3637152135494i</v>
      </c>
      <c r="AA342" s="346">
        <f t="shared" si="239"/>
        <v>16.394242147478124</v>
      </c>
      <c r="AB342" s="347">
        <f t="shared" si="240"/>
        <v>1.5097614135785256</v>
      </c>
      <c r="AC342" s="732" t="str">
        <f t="shared" si="241"/>
        <v>0.218823475139727-3.61697307531976i</v>
      </c>
      <c r="AD342" s="337">
        <f t="shared" si="242"/>
        <v>3.6235863368850905</v>
      </c>
      <c r="AE342" s="339">
        <f t="shared" si="243"/>
        <v>-1.5103709156100362</v>
      </c>
      <c r="AF342" s="736" t="str">
        <f t="shared" si="215"/>
        <v>-0.391933539002591+0.0609569468701021i</v>
      </c>
      <c r="AG342" s="337">
        <f t="shared" si="244"/>
        <v>-8.0319494884527742</v>
      </c>
      <c r="AH342" s="730">
        <f t="shared" si="245"/>
        <v>171.15968308341439</v>
      </c>
      <c r="AI342" s="360">
        <f t="shared" si="216"/>
        <v>-8.840316916585607</v>
      </c>
      <c r="AL342" s="337">
        <f t="shared" si="217"/>
        <v>11.182772268714938</v>
      </c>
      <c r="AM342" s="730">
        <f t="shared" si="218"/>
        <v>-86.537878963764896</v>
      </c>
      <c r="AN342" s="351"/>
      <c r="AO342" s="337">
        <f t="shared" si="219"/>
        <v>34.314400727874428</v>
      </c>
      <c r="AP342" s="730">
        <f t="shared" si="220"/>
        <v>-102.30243795282072</v>
      </c>
      <c r="AS342" s="351"/>
      <c r="AT342" s="351"/>
      <c r="AV342" s="405">
        <f t="shared" si="221"/>
        <v>0</v>
      </c>
      <c r="AW342" s="405">
        <f t="shared" si="205"/>
        <v>0</v>
      </c>
      <c r="AX342" s="405">
        <f t="shared" si="222"/>
        <v>0</v>
      </c>
      <c r="AY342" s="405">
        <f t="shared" si="223"/>
        <v>0</v>
      </c>
    </row>
    <row r="343" spans="2:51" ht="13.5" thickBot="1" x14ac:dyDescent="0.25">
      <c r="B343" s="345">
        <v>26003.5</v>
      </c>
      <c r="C343" s="728" t="str">
        <f t="shared" si="206"/>
        <v>2.2271548443541</v>
      </c>
      <c r="D343" s="728" t="str">
        <f t="shared" si="207"/>
        <v>1+19.8784851114547i</v>
      </c>
      <c r="E343" s="337">
        <f t="shared" si="225"/>
        <v>19.903622040380647</v>
      </c>
      <c r="F343" s="338">
        <f t="shared" si="226"/>
        <v>1.5205330536974264</v>
      </c>
      <c r="G343" s="338" t="str">
        <f t="shared" si="208"/>
        <v>1+0.081692404567622i</v>
      </c>
      <c r="H343" s="337">
        <f t="shared" si="227"/>
        <v>1.0033312757828492</v>
      </c>
      <c r="I343" s="338">
        <f t="shared" si="228"/>
        <v>8.1511399982974866E-2</v>
      </c>
      <c r="J343" s="340">
        <f t="shared" si="209"/>
        <v>1</v>
      </c>
      <c r="K343" s="338">
        <f t="shared" si="229"/>
        <v>1</v>
      </c>
      <c r="L343" s="339">
        <f t="shared" si="230"/>
        <v>0</v>
      </c>
      <c r="M343" s="731" t="str">
        <f t="shared" si="210"/>
        <v>0.969947466122222+0.352167102421232i</v>
      </c>
      <c r="N343" s="338">
        <f t="shared" si="231"/>
        <v>1.0319010393757173</v>
      </c>
      <c r="O343" s="339">
        <f t="shared" si="232"/>
        <v>0.34827823220126597</v>
      </c>
      <c r="P343" s="732" t="str">
        <f t="shared" si="224"/>
        <v>-0.0233717634454177-0.106258958948241i</v>
      </c>
      <c r="Q343" s="337">
        <f t="shared" si="233"/>
        <v>0.10879892317165886</v>
      </c>
      <c r="R343" s="339">
        <f t="shared" si="234"/>
        <v>-1.7872998859157188</v>
      </c>
      <c r="S343" s="731" t="str">
        <f t="shared" si="211"/>
        <v>6000</v>
      </c>
      <c r="T343" s="337" t="str">
        <f t="shared" si="212"/>
        <v>1+165018.657226596i</v>
      </c>
      <c r="U343" s="346">
        <f t="shared" si="235"/>
        <v>165018.65722962597</v>
      </c>
      <c r="V343" s="347">
        <f t="shared" si="236"/>
        <v>1.5707902668740561</v>
      </c>
      <c r="W343" s="340" t="str">
        <f t="shared" si="213"/>
        <v>1+1633.84809135244i</v>
      </c>
      <c r="X343" s="337">
        <f t="shared" si="237"/>
        <v>1633.8483973784139</v>
      </c>
      <c r="Y343" s="339">
        <f t="shared" si="238"/>
        <v>1.5701842748664319</v>
      </c>
      <c r="Z343" s="337" t="str">
        <f t="shared" si="214"/>
        <v>1+16.4584970673706i</v>
      </c>
      <c r="AA343" s="346">
        <f t="shared" si="239"/>
        <v>16.488848526099289</v>
      </c>
      <c r="AB343" s="347">
        <f t="shared" si="240"/>
        <v>1.5101120391074838</v>
      </c>
      <c r="AC343" s="732" t="str">
        <f t="shared" si="241"/>
        <v>0.216319636689857-3.59629563581896i</v>
      </c>
      <c r="AD343" s="337">
        <f t="shared" si="242"/>
        <v>3.6027956485801593</v>
      </c>
      <c r="AE343" s="339">
        <f t="shared" si="243"/>
        <v>-1.5107180311151083</v>
      </c>
      <c r="AF343" s="736" t="str">
        <f t="shared" si="215"/>
        <v>-0.387194401709539+0.0610658714854228i</v>
      </c>
      <c r="AG343" s="337">
        <f t="shared" si="244"/>
        <v>-8.1347154694936528</v>
      </c>
      <c r="AH343" s="730">
        <f t="shared" si="245"/>
        <v>171.03749259560669</v>
      </c>
      <c r="AI343" s="360">
        <f t="shared" si="216"/>
        <v>-8.9625074043933068</v>
      </c>
      <c r="AL343" s="337">
        <f t="shared" si="217"/>
        <v>11.132792590711809</v>
      </c>
      <c r="AM343" s="730">
        <f t="shared" si="218"/>
        <v>-86.55776721720909</v>
      </c>
      <c r="AN343" s="351"/>
      <c r="AO343" s="337">
        <f t="shared" si="219"/>
        <v>34.261614424836679</v>
      </c>
      <c r="AP343" s="730">
        <f t="shared" si="220"/>
        <v>-102.40474018718422</v>
      </c>
      <c r="AS343" s="351"/>
      <c r="AT343" s="351"/>
      <c r="AV343" s="405">
        <f t="shared" si="221"/>
        <v>0</v>
      </c>
      <c r="AW343" s="405">
        <f t="shared" si="205"/>
        <v>0</v>
      </c>
      <c r="AX343" s="405">
        <f t="shared" si="222"/>
        <v>0</v>
      </c>
      <c r="AY343" s="405">
        <f t="shared" si="223"/>
        <v>0</v>
      </c>
    </row>
    <row r="344" spans="2:51" ht="13.5" thickBot="1" x14ac:dyDescent="0.25">
      <c r="B344" s="345">
        <v>26153.25</v>
      </c>
      <c r="C344" s="728" t="str">
        <f t="shared" si="206"/>
        <v>2.2271548443541</v>
      </c>
      <c r="D344" s="728" t="str">
        <f t="shared" si="207"/>
        <v>1+19.9929621297577i</v>
      </c>
      <c r="E344" s="337">
        <f t="shared" si="225"/>
        <v>20.017955308220806</v>
      </c>
      <c r="F344" s="338">
        <f t="shared" si="226"/>
        <v>1.5208203741115727</v>
      </c>
      <c r="G344" s="338" t="str">
        <f t="shared" si="208"/>
        <v>1+0.0821628580674975i</v>
      </c>
      <c r="H344" s="337">
        <f t="shared" si="227"/>
        <v>1.0033696902168312</v>
      </c>
      <c r="I344" s="338">
        <f t="shared" si="228"/>
        <v>8.1978716780201646E-2</v>
      </c>
      <c r="J344" s="340">
        <f t="shared" si="209"/>
        <v>1</v>
      </c>
      <c r="K344" s="338">
        <f t="shared" si="229"/>
        <v>1</v>
      </c>
      <c r="L344" s="339">
        <f t="shared" si="230"/>
        <v>0</v>
      </c>
      <c r="M344" s="731" t="str">
        <f t="shared" si="210"/>
        <v>0.969600333975+0.354195176472326i</v>
      </c>
      <c r="N344" s="338">
        <f t="shared" si="231"/>
        <v>1.0322688751874165</v>
      </c>
      <c r="O344" s="339">
        <f t="shared" si="232"/>
        <v>0.35023971968978451</v>
      </c>
      <c r="P344" s="732" t="str">
        <f t="shared" si="224"/>
        <v>-0.0234190048956402-0.105576899799314i</v>
      </c>
      <c r="Q344" s="337">
        <f t="shared" si="233"/>
        <v>0.10814310686093873</v>
      </c>
      <c r="R344" s="339">
        <f t="shared" si="234"/>
        <v>-1.7890813770211567</v>
      </c>
      <c r="S344" s="731" t="str">
        <f t="shared" si="211"/>
        <v>6000</v>
      </c>
      <c r="T344" s="337" t="str">
        <f t="shared" si="212"/>
        <v>1+165968.973296345i</v>
      </c>
      <c r="U344" s="346">
        <f t="shared" si="235"/>
        <v>165968.97329935763</v>
      </c>
      <c r="V344" s="347">
        <f t="shared" si="236"/>
        <v>1.5707903015723497</v>
      </c>
      <c r="W344" s="340" t="str">
        <f t="shared" si="213"/>
        <v>1+1643.25716134995i</v>
      </c>
      <c r="X344" s="337">
        <f t="shared" si="237"/>
        <v>1643.2574656236604</v>
      </c>
      <c r="Y344" s="339">
        <f t="shared" si="238"/>
        <v>1.5701877793927754</v>
      </c>
      <c r="Z344" s="337" t="str">
        <f t="shared" si="214"/>
        <v>1+16.5532789211918i</v>
      </c>
      <c r="AA344" s="346">
        <f t="shared" si="239"/>
        <v>16.583456908701901</v>
      </c>
      <c r="AB344" s="347">
        <f t="shared" si="240"/>
        <v>1.5104586640514746</v>
      </c>
      <c r="AC344" s="732" t="str">
        <f t="shared" si="241"/>
        <v>0.213858476387991-3.57585241057927i</v>
      </c>
      <c r="AD344" s="337">
        <f t="shared" si="242"/>
        <v>3.5822417436807035</v>
      </c>
      <c r="AE344" s="339">
        <f t="shared" si="243"/>
        <v>-1.511061186231049</v>
      </c>
      <c r="AF344" s="736" t="str">
        <f t="shared" si="215"/>
        <v>-0.382535764354368+0.0611643901765938i</v>
      </c>
      <c r="AG344" s="337">
        <f t="shared" si="244"/>
        <v>-8.236925345447581</v>
      </c>
      <c r="AH344" s="730">
        <f t="shared" si="245"/>
        <v>170.91575933416331</v>
      </c>
      <c r="AI344" s="360">
        <f t="shared" si="216"/>
        <v>-9.0842406658366883</v>
      </c>
      <c r="AL344" s="337">
        <f t="shared" si="217"/>
        <v>11.08309780783695</v>
      </c>
      <c r="AM344" s="730">
        <f t="shared" si="218"/>
        <v>-86.577428557070817</v>
      </c>
      <c r="AN344" s="351"/>
      <c r="AO344" s="337">
        <f t="shared" si="219"/>
        <v>34.209099331757592</v>
      </c>
      <c r="AP344" s="730">
        <f t="shared" si="220"/>
        <v>-102.50681210876584</v>
      </c>
      <c r="AS344" s="351"/>
      <c r="AT344" s="351"/>
      <c r="AV344" s="405">
        <f t="shared" si="221"/>
        <v>0</v>
      </c>
      <c r="AW344" s="405">
        <f t="shared" si="205"/>
        <v>0</v>
      </c>
      <c r="AX344" s="405">
        <f t="shared" si="222"/>
        <v>0</v>
      </c>
      <c r="AY344" s="405">
        <f t="shared" si="223"/>
        <v>0</v>
      </c>
    </row>
    <row r="345" spans="2:51" ht="13.5" thickBot="1" x14ac:dyDescent="0.25">
      <c r="B345" s="345">
        <v>26303</v>
      </c>
      <c r="C345" s="728" t="str">
        <f t="shared" si="206"/>
        <v>2.2271548443541</v>
      </c>
      <c r="D345" s="728" t="str">
        <f t="shared" si="207"/>
        <v>1+20.1074391480606i</v>
      </c>
      <c r="E345" s="337">
        <f t="shared" si="225"/>
        <v>20.132290209833556</v>
      </c>
      <c r="F345" s="338">
        <f t="shared" si="226"/>
        <v>1.5211044310601991</v>
      </c>
      <c r="G345" s="338" t="str">
        <f t="shared" si="208"/>
        <v>1+0.0826333115673725i</v>
      </c>
      <c r="H345" s="337">
        <f t="shared" si="227"/>
        <v>1.0034083237548861</v>
      </c>
      <c r="I345" s="338">
        <f t="shared" si="228"/>
        <v>8.2445997693916417E-2</v>
      </c>
      <c r="J345" s="340">
        <f t="shared" si="209"/>
        <v>1</v>
      </c>
      <c r="K345" s="338">
        <f t="shared" si="229"/>
        <v>1</v>
      </c>
      <c r="L345" s="339">
        <f t="shared" si="230"/>
        <v>0</v>
      </c>
      <c r="M345" s="731" t="str">
        <f t="shared" si="210"/>
        <v>0.969251208488889+0.356223250523418i</v>
      </c>
      <c r="N345" s="338">
        <f t="shared" si="231"/>
        <v>1.0326388087664737</v>
      </c>
      <c r="O345" s="339">
        <f t="shared" si="232"/>
        <v>0.35220046813423733</v>
      </c>
      <c r="P345" s="732" t="str">
        <f t="shared" si="224"/>
        <v>-0.0234650616243294-0.104902198995365i</v>
      </c>
      <c r="Q345" s="337">
        <f t="shared" si="233"/>
        <v>0.10749456019304759</v>
      </c>
      <c r="R345" s="339">
        <f t="shared" si="234"/>
        <v>-1.7908589015005187</v>
      </c>
      <c r="S345" s="731" t="str">
        <f t="shared" si="211"/>
        <v>6000</v>
      </c>
      <c r="T345" s="337" t="str">
        <f t="shared" si="212"/>
        <v>1+166919.289366092i</v>
      </c>
      <c r="U345" s="346">
        <f t="shared" si="235"/>
        <v>166919.28936908749</v>
      </c>
      <c r="V345" s="347">
        <f t="shared" si="236"/>
        <v>1.5707903358755499</v>
      </c>
      <c r="W345" s="340" t="str">
        <f t="shared" si="213"/>
        <v>1+1652.66623134745i</v>
      </c>
      <c r="X345" s="337">
        <f t="shared" si="237"/>
        <v>1652.6665338888497</v>
      </c>
      <c r="Y345" s="339">
        <f t="shared" si="238"/>
        <v>1.5701912440147257</v>
      </c>
      <c r="Z345" s="337" t="str">
        <f t="shared" si="214"/>
        <v>1+16.648060775013i</v>
      </c>
      <c r="AA345" s="346">
        <f t="shared" si="239"/>
        <v>16.67806726118247</v>
      </c>
      <c r="AB345" s="347">
        <f t="shared" si="240"/>
        <v>1.5108013564093328</v>
      </c>
      <c r="AC345" s="732" t="str">
        <f t="shared" si="241"/>
        <v>0.211439030937063-3.55563945713015i</v>
      </c>
      <c r="AD345" s="337">
        <f t="shared" si="242"/>
        <v>3.5619206073275116</v>
      </c>
      <c r="AE345" s="339">
        <f t="shared" si="243"/>
        <v>-1.5114004482701568</v>
      </c>
      <c r="AF345" s="736" t="str">
        <f t="shared" si="215"/>
        <v>-0.377955827778365+0.0612528796767092i</v>
      </c>
      <c r="AG345" s="337">
        <f t="shared" si="244"/>
        <v>-8.3385855544950722</v>
      </c>
      <c r="AH345" s="730">
        <f t="shared" si="245"/>
        <v>170.79447640052476</v>
      </c>
      <c r="AI345" s="360">
        <f t="shared" si="216"/>
        <v>-9.2055235994752422</v>
      </c>
      <c r="AL345" s="337">
        <f t="shared" si="217"/>
        <v>11.033684702410707</v>
      </c>
      <c r="AM345" s="730">
        <f t="shared" si="218"/>
        <v>-86.596866840060699</v>
      </c>
      <c r="AN345" s="351"/>
      <c r="AO345" s="337">
        <f t="shared" si="219"/>
        <v>34.156852228136366</v>
      </c>
      <c r="AP345" s="730">
        <f t="shared" si="220"/>
        <v>-102.60865675941452</v>
      </c>
      <c r="AS345" s="351"/>
      <c r="AT345" s="351"/>
      <c r="AV345" s="405">
        <f t="shared" si="221"/>
        <v>0</v>
      </c>
      <c r="AW345" s="405">
        <f t="shared" si="205"/>
        <v>0</v>
      </c>
      <c r="AX345" s="405">
        <f t="shared" si="222"/>
        <v>0</v>
      </c>
      <c r="AY345" s="405">
        <f t="shared" si="223"/>
        <v>0</v>
      </c>
    </row>
    <row r="346" spans="2:51" ht="13.5" thickBot="1" x14ac:dyDescent="0.25">
      <c r="B346" s="345">
        <v>26456</v>
      </c>
      <c r="C346" s="728" t="str">
        <f t="shared" si="206"/>
        <v>2.2271548443541</v>
      </c>
      <c r="D346" s="728" t="str">
        <f t="shared" si="207"/>
        <v>1+20.2244006425537i</v>
      </c>
      <c r="E346" s="337">
        <f t="shared" si="225"/>
        <v>20.249108161855588</v>
      </c>
      <c r="F346" s="338">
        <f t="shared" si="226"/>
        <v>1.5213913398360575</v>
      </c>
      <c r="G346" s="338" t="str">
        <f t="shared" si="208"/>
        <v>1+0.0831139752433715i</v>
      </c>
      <c r="H346" s="337">
        <f t="shared" si="227"/>
        <v>1.0034480220124786</v>
      </c>
      <c r="I346" s="338">
        <f t="shared" si="228"/>
        <v>8.2923382661553705E-2</v>
      </c>
      <c r="J346" s="340">
        <f t="shared" si="209"/>
        <v>1</v>
      </c>
      <c r="K346" s="338">
        <f t="shared" si="229"/>
        <v>1</v>
      </c>
      <c r="L346" s="339">
        <f t="shared" si="230"/>
        <v>0</v>
      </c>
      <c r="M346" s="731" t="str">
        <f t="shared" si="210"/>
        <v>0.968892447288889+0.358295339537221i</v>
      </c>
      <c r="N346" s="338">
        <f t="shared" si="231"/>
        <v>1.0330189372647265</v>
      </c>
      <c r="O346" s="339">
        <f t="shared" si="232"/>
        <v>0.35420300334544896</v>
      </c>
      <c r="P346" s="732" t="str">
        <f t="shared" si="224"/>
        <v>-0.023510920427046-0.10422032757083i</v>
      </c>
      <c r="Q346" s="337">
        <f t="shared" si="233"/>
        <v>0.10683931887792059</v>
      </c>
      <c r="R346" s="339">
        <f t="shared" si="234"/>
        <v>-1.7926709605199513</v>
      </c>
      <c r="S346" s="731" t="str">
        <f t="shared" si="211"/>
        <v>6000</v>
      </c>
      <c r="T346" s="337" t="str">
        <f t="shared" si="212"/>
        <v>1+167890.22999161i</v>
      </c>
      <c r="U346" s="346">
        <f t="shared" si="235"/>
        <v>167890.22999458815</v>
      </c>
      <c r="V346" s="347">
        <f t="shared" si="236"/>
        <v>1.570790370522158</v>
      </c>
      <c r="W346" s="340" t="str">
        <f t="shared" si="213"/>
        <v>1+1662.27950486743i</v>
      </c>
      <c r="X346" s="337">
        <f t="shared" si="237"/>
        <v>1662.2798056591762</v>
      </c>
      <c r="Y346" s="339">
        <f t="shared" si="238"/>
        <v>1.5701947433208554</v>
      </c>
      <c r="Z346" s="337" t="str">
        <f t="shared" si="214"/>
        <v>1+16.7448996640589i</v>
      </c>
      <c r="AA346" s="346">
        <f t="shared" si="239"/>
        <v>16.774732926619123</v>
      </c>
      <c r="AB346" s="347">
        <f t="shared" si="240"/>
        <v>1.5111474937651794</v>
      </c>
      <c r="AC346" s="732" t="str">
        <f t="shared" si="241"/>
        <v>0.209009185472425-3.53522163804914i</v>
      </c>
      <c r="AD346" s="337">
        <f t="shared" si="242"/>
        <v>3.5413947633302181</v>
      </c>
      <c r="AE346" s="339">
        <f t="shared" si="243"/>
        <v>-1.511743120966482</v>
      </c>
      <c r="AF346" s="736" t="str">
        <f t="shared" si="215"/>
        <v>-0.373355955481131+0.0613333088488961i</v>
      </c>
      <c r="AG346" s="337">
        <f t="shared" si="244"/>
        <v>-8.4418909719280357</v>
      </c>
      <c r="AH346" s="730">
        <f t="shared" si="245"/>
        <v>170.67101936722884</v>
      </c>
      <c r="AI346" s="360">
        <f t="shared" si="216"/>
        <v>-9.3289806327711631</v>
      </c>
      <c r="AL346" s="337">
        <f t="shared" si="217"/>
        <v>10.983486815196745</v>
      </c>
      <c r="AM346" s="730">
        <f t="shared" si="218"/>
        <v>-86.616500539314487</v>
      </c>
      <c r="AN346" s="351"/>
      <c r="AO346" s="337">
        <f t="shared" si="219"/>
        <v>34.103744697917364</v>
      </c>
      <c r="AP346" s="730">
        <f t="shared" si="220"/>
        <v>-102.71248009345661</v>
      </c>
      <c r="AS346" s="351"/>
      <c r="AT346" s="351"/>
      <c r="AV346" s="405">
        <f t="shared" si="221"/>
        <v>0</v>
      </c>
      <c r="AW346" s="405">
        <f t="shared" ref="AW346:AW409" si="246">IF(AV346&gt;0,AI346,0)</f>
        <v>0</v>
      </c>
      <c r="AX346" s="405">
        <f t="shared" si="222"/>
        <v>0</v>
      </c>
      <c r="AY346" s="405">
        <f t="shared" si="223"/>
        <v>0</v>
      </c>
    </row>
    <row r="347" spans="2:51" ht="13.5" thickBot="1" x14ac:dyDescent="0.25">
      <c r="B347" s="345">
        <v>26609</v>
      </c>
      <c r="C347" s="728" t="str">
        <f t="shared" si="206"/>
        <v>2.2271548443541</v>
      </c>
      <c r="D347" s="728" t="str">
        <f t="shared" si="207"/>
        <v>1+20.3413621370469i</v>
      </c>
      <c r="E347" s="337">
        <f t="shared" si="225"/>
        <v>20.365927761594492</v>
      </c>
      <c r="F347" s="338">
        <f t="shared" si="226"/>
        <v>1.5216749571995847</v>
      </c>
      <c r="G347" s="338" t="str">
        <f t="shared" si="208"/>
        <v>1+0.083594638919371i</v>
      </c>
      <c r="H347" s="337">
        <f t="shared" si="227"/>
        <v>1.0034879489341464</v>
      </c>
      <c r="I347" s="338">
        <f t="shared" si="228"/>
        <v>8.3400729749447594E-2</v>
      </c>
      <c r="J347" s="340">
        <f t="shared" si="209"/>
        <v>1</v>
      </c>
      <c r="K347" s="338">
        <f t="shared" si="229"/>
        <v>1</v>
      </c>
      <c r="L347" s="339">
        <f t="shared" si="230"/>
        <v>0</v>
      </c>
      <c r="M347" s="731" t="str">
        <f t="shared" si="210"/>
        <v>0.968531605288889+0.360367428551026i</v>
      </c>
      <c r="N347" s="338">
        <f t="shared" si="231"/>
        <v>1.0334012550814671</v>
      </c>
      <c r="O347" s="339">
        <f t="shared" si="232"/>
        <v>0.3562047594639689</v>
      </c>
      <c r="P347" s="732" t="str">
        <f t="shared" si="224"/>
        <v>-0.0235555946974062-0.103545881967242i</v>
      </c>
      <c r="Q347" s="337">
        <f t="shared" si="233"/>
        <v>0.10619141073515544</v>
      </c>
      <c r="R347" s="339">
        <f t="shared" si="234"/>
        <v>-1.7944789869141045</v>
      </c>
      <c r="S347" s="731" t="str">
        <f t="shared" si="211"/>
        <v>6000</v>
      </c>
      <c r="T347" s="337" t="str">
        <f t="shared" si="212"/>
        <v>1+168861.170617129i</v>
      </c>
      <c r="U347" s="346">
        <f t="shared" si="235"/>
        <v>168861.17062009004</v>
      </c>
      <c r="V347" s="347">
        <f t="shared" si="236"/>
        <v>1.5707904047703345</v>
      </c>
      <c r="W347" s="340" t="str">
        <f t="shared" si="213"/>
        <v>1+1671.89277838742i</v>
      </c>
      <c r="X347" s="337">
        <f t="shared" si="237"/>
        <v>1671.8930774496337</v>
      </c>
      <c r="Y347" s="339">
        <f t="shared" si="238"/>
        <v>1.5701982023854393</v>
      </c>
      <c r="Z347" s="337" t="str">
        <f t="shared" si="214"/>
        <v>1+16.841738553105i</v>
      </c>
      <c r="AA347" s="346">
        <f t="shared" si="239"/>
        <v>16.871400578824012</v>
      </c>
      <c r="AB347" s="347">
        <f t="shared" si="240"/>
        <v>1.5114896646521094</v>
      </c>
      <c r="AC347" s="732" t="str">
        <f t="shared" si="241"/>
        <v>0.206620937404994-3.51503615130514i</v>
      </c>
      <c r="AD347" s="337">
        <f t="shared" si="242"/>
        <v>3.5211037128656364</v>
      </c>
      <c r="AE347" s="339">
        <f t="shared" si="243"/>
        <v>-1.5120818670370049</v>
      </c>
      <c r="AF347" s="736" t="str">
        <f t="shared" si="215"/>
        <v>-0.368834597491141+0.061404019730376i</v>
      </c>
      <c r="AG347" s="337">
        <f t="shared" si="244"/>
        <v>-8.5446358476390376</v>
      </c>
      <c r="AH347" s="730">
        <f t="shared" si="245"/>
        <v>170.54801836542805</v>
      </c>
      <c r="AI347" s="360">
        <f t="shared" si="216"/>
        <v>-9.4519816345719505</v>
      </c>
      <c r="AL347" s="337">
        <f t="shared" si="217"/>
        <v>10.933576344981615</v>
      </c>
      <c r="AM347" s="730">
        <f t="shared" si="218"/>
        <v>-86.635909259482091</v>
      </c>
      <c r="AN347" s="351"/>
      <c r="AO347" s="337">
        <f t="shared" si="219"/>
        <v>34.050910292421477</v>
      </c>
      <c r="AP347" s="730">
        <f t="shared" si="220"/>
        <v>-102.81607237508982</v>
      </c>
      <c r="AS347" s="351"/>
      <c r="AT347" s="351"/>
      <c r="AV347" s="405">
        <f t="shared" si="221"/>
        <v>0</v>
      </c>
      <c r="AW347" s="405">
        <f t="shared" si="246"/>
        <v>0</v>
      </c>
      <c r="AX347" s="405">
        <f t="shared" si="222"/>
        <v>0</v>
      </c>
      <c r="AY347" s="405">
        <f t="shared" si="223"/>
        <v>0</v>
      </c>
    </row>
    <row r="348" spans="2:51" ht="13.5" thickBot="1" x14ac:dyDescent="0.25">
      <c r="B348" s="345">
        <v>26762</v>
      </c>
      <c r="C348" s="728" t="str">
        <f t="shared" si="206"/>
        <v>2.2271548443541</v>
      </c>
      <c r="D348" s="728" t="str">
        <f t="shared" si="207"/>
        <v>1+20.45832363154i</v>
      </c>
      <c r="E348" s="337">
        <f t="shared" si="225"/>
        <v>20.482748980857725</v>
      </c>
      <c r="F348" s="338">
        <f t="shared" si="226"/>
        <v>1.5219553394214369</v>
      </c>
      <c r="G348" s="338" t="str">
        <f t="shared" si="208"/>
        <v>1+0.08407530259537i</v>
      </c>
      <c r="H348" s="337">
        <f t="shared" si="227"/>
        <v>1.0035281044925961</v>
      </c>
      <c r="I348" s="338">
        <f t="shared" si="228"/>
        <v>8.3878038744594596E-2</v>
      </c>
      <c r="J348" s="340">
        <f t="shared" si="209"/>
        <v>1</v>
      </c>
      <c r="K348" s="338">
        <f t="shared" si="229"/>
        <v>1</v>
      </c>
      <c r="L348" s="339">
        <f t="shared" si="230"/>
        <v>0</v>
      </c>
      <c r="M348" s="731" t="str">
        <f t="shared" si="210"/>
        <v>0.968168682488889+0.362439517564829i</v>
      </c>
      <c r="N348" s="338">
        <f t="shared" si="231"/>
        <v>1.0337857619666162</v>
      </c>
      <c r="O348" s="339">
        <f t="shared" si="232"/>
        <v>0.35820573265375438</v>
      </c>
      <c r="P348" s="732" t="str">
        <f t="shared" si="224"/>
        <v>-0.0235991097061651-0.102878737457114i</v>
      </c>
      <c r="Q348" s="337">
        <f t="shared" si="233"/>
        <v>0.10555071103357573</v>
      </c>
      <c r="R348" s="339">
        <f t="shared" si="234"/>
        <v>-1.7962830333305964</v>
      </c>
      <c r="S348" s="731" t="str">
        <f t="shared" si="211"/>
        <v>6000</v>
      </c>
      <c r="T348" s="337" t="str">
        <f t="shared" si="212"/>
        <v>1+169832.111242647i</v>
      </c>
      <c r="U348" s="346">
        <f t="shared" si="235"/>
        <v>169832.11124559108</v>
      </c>
      <c r="V348" s="347">
        <f t="shared" si="236"/>
        <v>1.5707904386269131</v>
      </c>
      <c r="W348" s="340" t="str">
        <f t="shared" si="213"/>
        <v>1+1681.5060519074i</v>
      </c>
      <c r="X348" s="337">
        <f t="shared" si="237"/>
        <v>1681.5063492598567</v>
      </c>
      <c r="Y348" s="339">
        <f t="shared" si="238"/>
        <v>1.5702016218986672</v>
      </c>
      <c r="Z348" s="337" t="str">
        <f t="shared" si="214"/>
        <v>1+16.9385774421509i</v>
      </c>
      <c r="AA348" s="346">
        <f t="shared" si="239"/>
        <v>16.968070183840688</v>
      </c>
      <c r="AB348" s="347">
        <f t="shared" si="240"/>
        <v>1.5118279367819849</v>
      </c>
      <c r="AC348" s="732" t="str">
        <f t="shared" si="241"/>
        <v>0.204273343724997-3.49507906779571i</v>
      </c>
      <c r="AD348" s="337">
        <f t="shared" si="242"/>
        <v>3.5010434571853462</v>
      </c>
      <c r="AE348" s="339">
        <f t="shared" si="243"/>
        <v>-1.5124167535102309</v>
      </c>
      <c r="AF348" s="736" t="str">
        <f t="shared" si="215"/>
        <v>-0.364389990856221+0.0614653706540614i</v>
      </c>
      <c r="AG348" s="337">
        <f t="shared" si="244"/>
        <v>-8.6468267043828426</v>
      </c>
      <c r="AH348" s="730">
        <f t="shared" si="245"/>
        <v>170.4254665381855</v>
      </c>
      <c r="AI348" s="360">
        <f t="shared" si="216"/>
        <v>-9.5745334618144966</v>
      </c>
      <c r="AL348" s="337">
        <f t="shared" si="217"/>
        <v>10.883950030774294</v>
      </c>
      <c r="AM348" s="730">
        <f t="shared" si="218"/>
        <v>-86.655096841013957</v>
      </c>
      <c r="AN348" s="351"/>
      <c r="AO348" s="337">
        <f t="shared" si="219"/>
        <v>33.998345749884997</v>
      </c>
      <c r="AP348" s="730">
        <f t="shared" si="220"/>
        <v>-102.91943662080051</v>
      </c>
      <c r="AS348" s="351"/>
      <c r="AT348" s="351"/>
      <c r="AV348" s="405">
        <f t="shared" si="221"/>
        <v>0</v>
      </c>
      <c r="AW348" s="405">
        <f t="shared" si="246"/>
        <v>0</v>
      </c>
      <c r="AX348" s="405">
        <f t="shared" si="222"/>
        <v>0</v>
      </c>
      <c r="AY348" s="405">
        <f t="shared" si="223"/>
        <v>0</v>
      </c>
    </row>
    <row r="349" spans="2:51" ht="13.5" thickBot="1" x14ac:dyDescent="0.25">
      <c r="B349" s="345">
        <v>26915</v>
      </c>
      <c r="C349" s="728" t="str">
        <f t="shared" si="206"/>
        <v>2.2271548443541</v>
      </c>
      <c r="D349" s="728" t="str">
        <f t="shared" si="207"/>
        <v>1+20.5752851260332i</v>
      </c>
      <c r="E349" s="337">
        <f t="shared" si="225"/>
        <v>20.599571792092259</v>
      </c>
      <c r="F349" s="338">
        <f t="shared" si="226"/>
        <v>1.5222325414978599</v>
      </c>
      <c r="G349" s="338" t="str">
        <f t="shared" si="208"/>
        <v>1+0.0845559662713695i</v>
      </c>
      <c r="H349" s="337">
        <f t="shared" si="227"/>
        <v>1.0035684886603828</v>
      </c>
      <c r="I349" s="338">
        <f t="shared" si="228"/>
        <v>8.4355309434096665E-2</v>
      </c>
      <c r="J349" s="340">
        <f t="shared" si="209"/>
        <v>1</v>
      </c>
      <c r="K349" s="338">
        <f t="shared" si="229"/>
        <v>1</v>
      </c>
      <c r="L349" s="339">
        <f t="shared" si="230"/>
        <v>0</v>
      </c>
      <c r="M349" s="731" t="str">
        <f t="shared" si="210"/>
        <v>0.967803678888889+0.364511606578634i</v>
      </c>
      <c r="N349" s="338">
        <f t="shared" si="231"/>
        <v>1.0341724576691282</v>
      </c>
      <c r="O349" s="339">
        <f t="shared" si="232"/>
        <v>0.36020591908942812</v>
      </c>
      <c r="P349" s="732" t="str">
        <f t="shared" si="224"/>
        <v>-0.0236414900211467-0.102218772119106i</v>
      </c>
      <c r="Q349" s="337">
        <f t="shared" si="233"/>
        <v>0.10491709786282549</v>
      </c>
      <c r="R349" s="339">
        <f t="shared" si="234"/>
        <v>-1.7980831511531914</v>
      </c>
      <c r="S349" s="731" t="str">
        <f t="shared" si="211"/>
        <v>6000</v>
      </c>
      <c r="T349" s="337" t="str">
        <f t="shared" si="212"/>
        <v>1+170803.051868166i</v>
      </c>
      <c r="U349" s="346">
        <f t="shared" si="235"/>
        <v>170803.05187109334</v>
      </c>
      <c r="V349" s="347">
        <f t="shared" si="236"/>
        <v>1.5707904720985721</v>
      </c>
      <c r="W349" s="340" t="str">
        <f t="shared" si="213"/>
        <v>1+1691.11932542739i</v>
      </c>
      <c r="X349" s="337">
        <f t="shared" si="237"/>
        <v>1691.1196210895287</v>
      </c>
      <c r="Y349" s="339">
        <f t="shared" si="238"/>
        <v>1.5702050025350356</v>
      </c>
      <c r="Z349" s="337" t="str">
        <f t="shared" si="214"/>
        <v>1+17.035416331197i</v>
      </c>
      <c r="AA349" s="346">
        <f t="shared" si="239"/>
        <v>17.064741708482238</v>
      </c>
      <c r="AB349" s="347">
        <f t="shared" si="240"/>
        <v>1.5121623763359398</v>
      </c>
      <c r="AC349" s="732" t="str">
        <f t="shared" si="241"/>
        <v>0.201965487963813-3.47534654620116i</v>
      </c>
      <c r="AD349" s="337">
        <f t="shared" si="242"/>
        <v>3.4812100876736518</v>
      </c>
      <c r="AE349" s="339">
        <f t="shared" si="243"/>
        <v>-1.5127478458994763</v>
      </c>
      <c r="AF349" s="736" t="str">
        <f t="shared" si="215"/>
        <v>-0.360020421709371+0.0615177065019443i</v>
      </c>
      <c r="AG349" s="337">
        <f t="shared" si="244"/>
        <v>-8.748469954229348</v>
      </c>
      <c r="AH349" s="730">
        <f t="shared" si="245"/>
        <v>170.30335718779185</v>
      </c>
      <c r="AI349" s="360">
        <f t="shared" si="216"/>
        <v>-9.6966428122081538</v>
      </c>
      <c r="AL349" s="337">
        <f t="shared" si="217"/>
        <v>10.834604666571758</v>
      </c>
      <c r="AM349" s="730">
        <f t="shared" si="218"/>
        <v>-86.674067037546635</v>
      </c>
      <c r="AN349" s="351"/>
      <c r="AO349" s="337">
        <f t="shared" si="219"/>
        <v>33.946047864241024</v>
      </c>
      <c r="AP349" s="730">
        <f t="shared" si="220"/>
        <v>-103.02257577466159</v>
      </c>
      <c r="AS349" s="351"/>
      <c r="AT349" s="351"/>
      <c r="AV349" s="405">
        <f t="shared" si="221"/>
        <v>0</v>
      </c>
      <c r="AW349" s="405">
        <f t="shared" si="246"/>
        <v>0</v>
      </c>
      <c r="AX349" s="405">
        <f t="shared" si="222"/>
        <v>0</v>
      </c>
      <c r="AY349" s="405">
        <f t="shared" si="223"/>
        <v>0</v>
      </c>
    </row>
    <row r="350" spans="2:51" ht="13.5" thickBot="1" x14ac:dyDescent="0.25">
      <c r="B350" s="345">
        <v>27071.75</v>
      </c>
      <c r="C350" s="728" t="str">
        <f t="shared" si="206"/>
        <v>2.2271548443541</v>
      </c>
      <c r="D350" s="728" t="str">
        <f t="shared" si="207"/>
        <v>1+20.6951133238227i</v>
      </c>
      <c r="E350" s="337">
        <f t="shared" si="225"/>
        <v>20.719259530346729</v>
      </c>
      <c r="F350" s="338">
        <f t="shared" si="226"/>
        <v>1.5225132959230108</v>
      </c>
      <c r="G350" s="338" t="str">
        <f t="shared" si="208"/>
        <v>1+0.0850484109198195i</v>
      </c>
      <c r="H350" s="337">
        <f t="shared" si="227"/>
        <v>1.0036100996901069</v>
      </c>
      <c r="I350" s="338">
        <f t="shared" si="228"/>
        <v>8.4844237986683863E-2</v>
      </c>
      <c r="J350" s="340">
        <f t="shared" si="209"/>
        <v>1</v>
      </c>
      <c r="K350" s="338">
        <f t="shared" si="229"/>
        <v>1</v>
      </c>
      <c r="L350" s="339">
        <f t="shared" si="230"/>
        <v>0</v>
      </c>
      <c r="M350" s="731" t="str">
        <f t="shared" si="210"/>
        <v>0.967427571197222+0.366634482087873i</v>
      </c>
      <c r="N350" s="338">
        <f t="shared" si="231"/>
        <v>1.0345709008900257</v>
      </c>
      <c r="O350" s="339">
        <f t="shared" si="232"/>
        <v>0.36225430979890355</v>
      </c>
      <c r="P350" s="732" t="str">
        <f t="shared" si="224"/>
        <v>-0.0236837572902099-0.101549951824582i</v>
      </c>
      <c r="Q350" s="337">
        <f t="shared" si="233"/>
        <v>0.10427517957288061</v>
      </c>
      <c r="R350" s="339">
        <f t="shared" si="234"/>
        <v>-1.7999233677352311</v>
      </c>
      <c r="S350" s="731" t="str">
        <f t="shared" si="211"/>
        <v>6000</v>
      </c>
      <c r="T350" s="337" t="str">
        <f t="shared" si="212"/>
        <v>1+171797.790058035i</v>
      </c>
      <c r="U350" s="346">
        <f t="shared" si="235"/>
        <v>171797.79006094538</v>
      </c>
      <c r="V350" s="347">
        <f t="shared" si="236"/>
        <v>1.5707905059982517</v>
      </c>
      <c r="W350" s="340" t="str">
        <f t="shared" si="213"/>
        <v>1+1700.96821839639i</v>
      </c>
      <c r="X350" s="337">
        <f t="shared" si="237"/>
        <v>1700.9685123465952</v>
      </c>
      <c r="Y350" s="339">
        <f t="shared" si="238"/>
        <v>1.5702084264014762</v>
      </c>
      <c r="Z350" s="337" t="str">
        <f t="shared" si="214"/>
        <v>1+17.1346287224254i</v>
      </c>
      <c r="AA350" s="346">
        <f t="shared" si="239"/>
        <v>17.163784590100327</v>
      </c>
      <c r="AB350" s="347">
        <f t="shared" si="240"/>
        <v>1.5125011059372082</v>
      </c>
      <c r="AC350" s="732" t="str">
        <f t="shared" si="241"/>
        <v>0.199641346694233-3.45535934322024i</v>
      </c>
      <c r="AD350" s="337">
        <f t="shared" si="242"/>
        <v>3.461121907429626</v>
      </c>
      <c r="AE350" s="339">
        <f t="shared" si="243"/>
        <v>-1.5130831855339839</v>
      </c>
      <c r="AF350" s="736" t="str">
        <f t="shared" si="215"/>
        <v>-0.355619832040832+0.0615623228962932i</v>
      </c>
      <c r="AG350" s="337">
        <f t="shared" si="244"/>
        <v>-8.8520431464518765</v>
      </c>
      <c r="AH350" s="730">
        <f t="shared" si="245"/>
        <v>170.17870699849024</v>
      </c>
      <c r="AI350" s="360">
        <f t="shared" si="216"/>
        <v>-9.8212930015097584</v>
      </c>
      <c r="AL350" s="337">
        <f t="shared" si="217"/>
        <v>10.784337925157841</v>
      </c>
      <c r="AM350" s="730">
        <f t="shared" si="218"/>
        <v>-86.69328058330737</v>
      </c>
      <c r="AN350" s="351"/>
      <c r="AO350" s="337">
        <f t="shared" si="219"/>
        <v>33.892741413432404</v>
      </c>
      <c r="AP350" s="730">
        <f t="shared" si="220"/>
        <v>-103.12801241820245</v>
      </c>
      <c r="AS350" s="351"/>
      <c r="AT350" s="351"/>
      <c r="AV350" s="405">
        <f t="shared" si="221"/>
        <v>0</v>
      </c>
      <c r="AW350" s="405">
        <f t="shared" si="246"/>
        <v>0</v>
      </c>
      <c r="AX350" s="405">
        <f t="shared" si="222"/>
        <v>0</v>
      </c>
      <c r="AY350" s="405">
        <f t="shared" si="223"/>
        <v>0</v>
      </c>
    </row>
    <row r="351" spans="2:51" ht="13.5" thickBot="1" x14ac:dyDescent="0.25">
      <c r="B351" s="345">
        <v>27228.5</v>
      </c>
      <c r="C351" s="728" t="str">
        <f t="shared" si="206"/>
        <v>2.2271548443541</v>
      </c>
      <c r="D351" s="728" t="str">
        <f t="shared" si="207"/>
        <v>1+20.8149415216122i</v>
      </c>
      <c r="E351" s="337">
        <f t="shared" si="225"/>
        <v>20.83894888299637</v>
      </c>
      <c r="F351" s="338">
        <f t="shared" si="226"/>
        <v>1.5227908253208504</v>
      </c>
      <c r="G351" s="338" t="str">
        <f t="shared" si="208"/>
        <v>1+0.0855408555682695i</v>
      </c>
      <c r="H351" s="337">
        <f t="shared" si="227"/>
        <v>1.003651950614032</v>
      </c>
      <c r="I351" s="338">
        <f t="shared" si="228"/>
        <v>8.5333125880818289E-2</v>
      </c>
      <c r="J351" s="340">
        <f t="shared" si="209"/>
        <v>1</v>
      </c>
      <c r="K351" s="338">
        <f t="shared" si="229"/>
        <v>1</v>
      </c>
      <c r="L351" s="339">
        <f t="shared" si="230"/>
        <v>0</v>
      </c>
      <c r="M351" s="731" t="str">
        <f t="shared" si="210"/>
        <v>0.967049279455556+0.368757357597112i</v>
      </c>
      <c r="N351" s="338">
        <f t="shared" si="231"/>
        <v>1.0349716410015855</v>
      </c>
      <c r="O351" s="339">
        <f t="shared" si="232"/>
        <v>0.36430186662090547</v>
      </c>
      <c r="P351" s="732" t="str">
        <f t="shared" si="224"/>
        <v>-0.0237248836067844-0.100888416550737i</v>
      </c>
      <c r="Q351" s="337">
        <f t="shared" si="233"/>
        <v>0.1036404491319412</v>
      </c>
      <c r="R351" s="339">
        <f t="shared" si="234"/>
        <v>-1.8017595660609371</v>
      </c>
      <c r="S351" s="731" t="str">
        <f t="shared" si="211"/>
        <v>6000</v>
      </c>
      <c r="T351" s="337" t="str">
        <f t="shared" si="212"/>
        <v>1+172792.528247904i</v>
      </c>
      <c r="U351" s="346">
        <f t="shared" si="235"/>
        <v>172792.52825079765</v>
      </c>
      <c r="V351" s="347">
        <f t="shared" si="236"/>
        <v>1.5707905395076214</v>
      </c>
      <c r="W351" s="340" t="str">
        <f t="shared" si="213"/>
        <v>1+1710.81711136539i</v>
      </c>
      <c r="X351" s="337">
        <f t="shared" si="237"/>
        <v>1710.8174036233725</v>
      </c>
      <c r="Y351" s="339">
        <f t="shared" si="238"/>
        <v>1.5702118108466574</v>
      </c>
      <c r="Z351" s="337" t="str">
        <f t="shared" si="214"/>
        <v>1+17.2338411136539i</v>
      </c>
      <c r="AA351" s="346">
        <f t="shared" si="239"/>
        <v>17.262829418454771</v>
      </c>
      <c r="AB351" s="347">
        <f t="shared" si="240"/>
        <v>1.5128359486800766</v>
      </c>
      <c r="AC351" s="732" t="str">
        <f t="shared" si="241"/>
        <v>0.197357049280897-3.43559995437325i</v>
      </c>
      <c r="AD351" s="337">
        <f t="shared" si="242"/>
        <v>3.4412638450706359</v>
      </c>
      <c r="AE351" s="339">
        <f t="shared" si="243"/>
        <v>-1.5134146773410406</v>
      </c>
      <c r="AF351" s="736" t="str">
        <f t="shared" si="215"/>
        <v>-0.351294512321669+0.0615981688399037i</v>
      </c>
      <c r="AG351" s="337">
        <f t="shared" si="244"/>
        <v>-8.9550548392141707</v>
      </c>
      <c r="AH351" s="730">
        <f t="shared" si="245"/>
        <v>170.05450750259075</v>
      </c>
      <c r="AI351" s="360">
        <f t="shared" si="216"/>
        <v>-9.9454924974092478</v>
      </c>
      <c r="AL351" s="337">
        <f t="shared" si="217"/>
        <v>10.734359433618337</v>
      </c>
      <c r="AM351" s="730">
        <f t="shared" si="218"/>
        <v>-86.712273664794893</v>
      </c>
      <c r="AN351" s="351"/>
      <c r="AO351" s="337">
        <f t="shared" si="219"/>
        <v>33.839708212209622</v>
      </c>
      <c r="AP351" s="730">
        <f t="shared" si="220"/>
        <v>-103.23321883261433</v>
      </c>
      <c r="AS351" s="351"/>
      <c r="AT351" s="351"/>
      <c r="AV351" s="405">
        <f t="shared" si="221"/>
        <v>0</v>
      </c>
      <c r="AW351" s="405">
        <f t="shared" si="246"/>
        <v>0</v>
      </c>
      <c r="AX351" s="405">
        <f t="shared" si="222"/>
        <v>0</v>
      </c>
      <c r="AY351" s="405">
        <f t="shared" si="223"/>
        <v>0</v>
      </c>
    </row>
    <row r="352" spans="2:51" ht="13.5" thickBot="1" x14ac:dyDescent="0.25">
      <c r="B352" s="345">
        <v>27385.25</v>
      </c>
      <c r="C352" s="728" t="str">
        <f t="shared" si="206"/>
        <v>2.2271548443541</v>
      </c>
      <c r="D352" s="728" t="str">
        <f t="shared" si="207"/>
        <v>1+20.9347697194019i</v>
      </c>
      <c r="E352" s="337">
        <f t="shared" si="225"/>
        <v>20.958639822383194</v>
      </c>
      <c r="F352" s="338">
        <f t="shared" si="226"/>
        <v>1.5230651849008709</v>
      </c>
      <c r="G352" s="338" t="str">
        <f t="shared" si="208"/>
        <v>1+0.08603330021672i</v>
      </c>
      <c r="H352" s="337">
        <f t="shared" si="227"/>
        <v>1.0036940414021498</v>
      </c>
      <c r="I352" s="338">
        <f t="shared" si="228"/>
        <v>8.5821972887901568E-2</v>
      </c>
      <c r="J352" s="340">
        <f t="shared" si="209"/>
        <v>1</v>
      </c>
      <c r="K352" s="338">
        <f t="shared" si="229"/>
        <v>1</v>
      </c>
      <c r="L352" s="339">
        <f t="shared" si="230"/>
        <v>0</v>
      </c>
      <c r="M352" s="731" t="str">
        <f t="shared" si="210"/>
        <v>0.966668803663889+0.370880233106354i</v>
      </c>
      <c r="N352" s="338">
        <f t="shared" si="231"/>
        <v>1.0353746777307227</v>
      </c>
      <c r="O352" s="339">
        <f t="shared" si="232"/>
        <v>0.36634858547687138</v>
      </c>
      <c r="P352" s="732" t="str">
        <f t="shared" si="224"/>
        <v>-0.0237648932463332-0.100234043849058i</v>
      </c>
      <c r="Q352" s="337">
        <f t="shared" si="233"/>
        <v>0.1030127841451948</v>
      </c>
      <c r="R352" s="339">
        <f t="shared" si="234"/>
        <v>-1.8035917974898394</v>
      </c>
      <c r="S352" s="731" t="str">
        <f t="shared" si="211"/>
        <v>6000</v>
      </c>
      <c r="T352" s="337" t="str">
        <f t="shared" si="212"/>
        <v>1+173787.266437774i</v>
      </c>
      <c r="U352" s="346">
        <f t="shared" si="235"/>
        <v>173787.26644065109</v>
      </c>
      <c r="V352" s="347">
        <f t="shared" si="236"/>
        <v>1.5707905726333835</v>
      </c>
      <c r="W352" s="340" t="str">
        <f t="shared" si="213"/>
        <v>1+1720.6660043344i</v>
      </c>
      <c r="X352" s="337">
        <f t="shared" si="237"/>
        <v>1720.6662949195318</v>
      </c>
      <c r="Y352" s="339">
        <f t="shared" si="238"/>
        <v>1.5702151565475071</v>
      </c>
      <c r="Z352" s="337" t="str">
        <f t="shared" si="214"/>
        <v>1+17.3330535048825i</v>
      </c>
      <c r="AA352" s="346">
        <f t="shared" si="239"/>
        <v>17.361876160228753</v>
      </c>
      <c r="AB352" s="347">
        <f t="shared" si="240"/>
        <v>1.5131669710105369</v>
      </c>
      <c r="AC352" s="732" t="str">
        <f t="shared" si="241"/>
        <v>0.195111691154101-3.4160645199025i</v>
      </c>
      <c r="AD352" s="337">
        <f t="shared" si="242"/>
        <v>3.4216319755581122</v>
      </c>
      <c r="AE352" s="339">
        <f t="shared" si="243"/>
        <v>-1.5137423870964135</v>
      </c>
      <c r="AF352" s="736" t="str">
        <f t="shared" si="215"/>
        <v>-0.347042769390507+0.0616255748314654i</v>
      </c>
      <c r="AG352" s="337">
        <f t="shared" si="244"/>
        <v>-9.0575115822606627</v>
      </c>
      <c r="AH352" s="730">
        <f t="shared" si="245"/>
        <v>169.9307519887353</v>
      </c>
      <c r="AI352" s="360">
        <f t="shared" si="216"/>
        <v>-10.069248011264705</v>
      </c>
      <c r="AL352" s="337">
        <f t="shared" si="217"/>
        <v>10.684665916026979</v>
      </c>
      <c r="AM352" s="730">
        <f t="shared" si="218"/>
        <v>-86.731050050683024</v>
      </c>
      <c r="AN352" s="351"/>
      <c r="AO352" s="337">
        <f t="shared" si="219"/>
        <v>33.786944986754499</v>
      </c>
      <c r="AP352" s="730">
        <f t="shared" si="220"/>
        <v>-103.33819796058171</v>
      </c>
      <c r="AS352" s="351"/>
      <c r="AT352" s="351"/>
      <c r="AV352" s="405">
        <f t="shared" si="221"/>
        <v>0</v>
      </c>
      <c r="AW352" s="405">
        <f t="shared" si="246"/>
        <v>0</v>
      </c>
      <c r="AX352" s="405">
        <f t="shared" si="222"/>
        <v>0</v>
      </c>
      <c r="AY352" s="405">
        <f t="shared" si="223"/>
        <v>0</v>
      </c>
    </row>
    <row r="353" spans="2:51" ht="13.5" thickBot="1" x14ac:dyDescent="0.25">
      <c r="B353" s="345">
        <v>27542</v>
      </c>
      <c r="C353" s="728" t="str">
        <f t="shared" si="206"/>
        <v>2.2271548443541</v>
      </c>
      <c r="D353" s="728" t="str">
        <f t="shared" si="207"/>
        <v>1+21.0545979171914i</v>
      </c>
      <c r="E353" s="337">
        <f t="shared" si="225"/>
        <v>21.078332321476488</v>
      </c>
      <c r="F353" s="338">
        <f t="shared" si="226"/>
        <v>1.5233364286204776</v>
      </c>
      <c r="G353" s="338" t="str">
        <f t="shared" si="208"/>
        <v>1+0.08652574486517i</v>
      </c>
      <c r="H353" s="337">
        <f t="shared" si="227"/>
        <v>1.0037363720242842</v>
      </c>
      <c r="I353" s="338">
        <f t="shared" si="228"/>
        <v>8.6310778779450273E-2</v>
      </c>
      <c r="J353" s="340">
        <f t="shared" si="209"/>
        <v>1</v>
      </c>
      <c r="K353" s="338">
        <f t="shared" si="229"/>
        <v>1</v>
      </c>
      <c r="L353" s="339">
        <f t="shared" si="230"/>
        <v>0</v>
      </c>
      <c r="M353" s="731" t="str">
        <f t="shared" si="210"/>
        <v>0.966286143822222+0.373003108615593i</v>
      </c>
      <c r="N353" s="338">
        <f t="shared" si="231"/>
        <v>1.0357800108033153</v>
      </c>
      <c r="O353" s="339">
        <f t="shared" si="232"/>
        <v>0.36839446230013173</v>
      </c>
      <c r="P353" s="732" t="str">
        <f t="shared" si="224"/>
        <v>-0.0238038098093524-0.0995867140308608i</v>
      </c>
      <c r="Q353" s="337">
        <f t="shared" si="233"/>
        <v>0.10239206498994086</v>
      </c>
      <c r="R353" s="339">
        <f t="shared" si="234"/>
        <v>-1.8054201121411579</v>
      </c>
      <c r="S353" s="731" t="str">
        <f t="shared" si="211"/>
        <v>6000</v>
      </c>
      <c r="T353" s="337" t="str">
        <f t="shared" si="212"/>
        <v>1+174782.004627643i</v>
      </c>
      <c r="U353" s="346">
        <f t="shared" si="235"/>
        <v>174782.00463050374</v>
      </c>
      <c r="V353" s="347">
        <f t="shared" si="236"/>
        <v>1.5707906053820879</v>
      </c>
      <c r="W353" s="340" t="str">
        <f t="shared" si="213"/>
        <v>1+1730.5148973034i</v>
      </c>
      <c r="X353" s="337">
        <f t="shared" si="237"/>
        <v>1730.5151862347225</v>
      </c>
      <c r="Y353" s="339">
        <f t="shared" si="238"/>
        <v>1.5702184641655428</v>
      </c>
      <c r="Z353" s="337" t="str">
        <f t="shared" si="214"/>
        <v>1+17.4322658961109i</v>
      </c>
      <c r="AA353" s="346">
        <f t="shared" si="239"/>
        <v>17.460924782860474</v>
      </c>
      <c r="AB353" s="347">
        <f t="shared" si="240"/>
        <v>1.5134942378702898</v>
      </c>
      <c r="AC353" s="732" t="str">
        <f t="shared" si="241"/>
        <v>0.192904393241546-3.396749266456i</v>
      </c>
      <c r="AD353" s="337">
        <f t="shared" si="242"/>
        <v>3.4022224624649788</v>
      </c>
      <c r="AE353" s="339">
        <f t="shared" si="243"/>
        <v>-1.5140663790868352</v>
      </c>
      <c r="AF353" s="736" t="str">
        <f t="shared" si="215"/>
        <v>-0.3428629573212+0.0616448588637333i</v>
      </c>
      <c r="AG353" s="337">
        <f t="shared" si="244"/>
        <v>-9.1594198139612431</v>
      </c>
      <c r="AH353" s="730">
        <f t="shared" si="245"/>
        <v>169.80743390194564</v>
      </c>
      <c r="AI353" s="360">
        <f t="shared" si="216"/>
        <v>-10.192566098054357</v>
      </c>
      <c r="AL353" s="337">
        <f t="shared" si="217"/>
        <v>10.635254151799234</v>
      </c>
      <c r="AM353" s="730">
        <f t="shared" si="218"/>
        <v>-86.749613424330221</v>
      </c>
      <c r="AN353" s="351"/>
      <c r="AO353" s="337">
        <f t="shared" si="219"/>
        <v>33.734448519281671</v>
      </c>
      <c r="AP353" s="730">
        <f t="shared" si="220"/>
        <v>-103.44295267372411</v>
      </c>
      <c r="AS353" s="351"/>
      <c r="AT353" s="351"/>
      <c r="AV353" s="405">
        <f t="shared" si="221"/>
        <v>0</v>
      </c>
      <c r="AW353" s="405">
        <f t="shared" si="246"/>
        <v>0</v>
      </c>
      <c r="AX353" s="405">
        <f t="shared" si="222"/>
        <v>0</v>
      </c>
      <c r="AY353" s="405">
        <f t="shared" si="223"/>
        <v>0</v>
      </c>
    </row>
    <row r="354" spans="2:51" ht="13.5" thickBot="1" x14ac:dyDescent="0.25">
      <c r="B354" s="345">
        <v>27702.5</v>
      </c>
      <c r="C354" s="728" t="str">
        <f t="shared" si="206"/>
        <v>2.2271548443541</v>
      </c>
      <c r="D354" s="728" t="str">
        <f t="shared" si="207"/>
        <v>1+21.1772928182773i</v>
      </c>
      <c r="E354" s="337">
        <f t="shared" si="225"/>
        <v>21.200889866018816</v>
      </c>
      <c r="F354" s="338">
        <f t="shared" si="226"/>
        <v>1.5236109879356952</v>
      </c>
      <c r="G354" s="338" t="str">
        <f t="shared" si="208"/>
        <v>1+0.087029970486071i</v>
      </c>
      <c r="H354" s="337">
        <f t="shared" si="227"/>
        <v>1.0037799638181699</v>
      </c>
      <c r="I354" s="338">
        <f t="shared" si="228"/>
        <v>8.6811235750599736E-2</v>
      </c>
      <c r="J354" s="340">
        <f t="shared" si="209"/>
        <v>1</v>
      </c>
      <c r="K354" s="338">
        <f t="shared" si="229"/>
        <v>1</v>
      </c>
      <c r="L354" s="339">
        <f t="shared" si="230"/>
        <v>0</v>
      </c>
      <c r="M354" s="731" t="str">
        <f t="shared" si="210"/>
        <v>0.965892066388889+0.375176770620269i</v>
      </c>
      <c r="N354" s="338">
        <f t="shared" si="231"/>
        <v>1.0361974199572452</v>
      </c>
      <c r="O354" s="339">
        <f t="shared" si="232"/>
        <v>0.37048840682003714</v>
      </c>
      <c r="P354" s="732" t="str">
        <f t="shared" si="224"/>
        <v>-0.0238425487400707-0.0989310732987147i</v>
      </c>
      <c r="Q354" s="337">
        <f t="shared" si="233"/>
        <v>0.10176357105791005</v>
      </c>
      <c r="R354" s="339">
        <f t="shared" si="234"/>
        <v>-1.8072881590051324</v>
      </c>
      <c r="S354" s="731" t="str">
        <f t="shared" si="211"/>
        <v>6000</v>
      </c>
      <c r="T354" s="337" t="str">
        <f t="shared" si="212"/>
        <v>1+175800.540381863i</v>
      </c>
      <c r="U354" s="346">
        <f t="shared" si="235"/>
        <v>175800.54038470713</v>
      </c>
      <c r="V354" s="347">
        <f t="shared" si="236"/>
        <v>1.5707906385302428</v>
      </c>
      <c r="W354" s="340" t="str">
        <f t="shared" si="213"/>
        <v>1+1740.59940972142i</v>
      </c>
      <c r="X354" s="337">
        <f t="shared" si="237"/>
        <v>1740.5996969787614</v>
      </c>
      <c r="Y354" s="339">
        <f t="shared" si="238"/>
        <v>1.5702218121280569</v>
      </c>
      <c r="Z354" s="337" t="str">
        <f t="shared" si="214"/>
        <v>1+17.5338517895219i</v>
      </c>
      <c r="AA354" s="346">
        <f t="shared" si="239"/>
        <v>17.562344905419675</v>
      </c>
      <c r="AB354" s="347">
        <f t="shared" si="240"/>
        <v>1.5138255090611101</v>
      </c>
      <c r="AC354" s="732" t="str">
        <f t="shared" si="241"/>
        <v>0.190682833813887-3.37719621810925i</v>
      </c>
      <c r="AD354" s="337">
        <f t="shared" si="242"/>
        <v>3.382575089886803</v>
      </c>
      <c r="AE354" s="339">
        <f t="shared" si="243"/>
        <v>-1.514394335463296</v>
      </c>
      <c r="AF354" s="736" t="str">
        <f t="shared" si="215"/>
        <v>-0.338656011357011+0.0616565080262039i</v>
      </c>
      <c r="AG354" s="337">
        <f t="shared" si="244"/>
        <v>-9.2632042999685176</v>
      </c>
      <c r="AH354" s="730">
        <f t="shared" si="245"/>
        <v>169.68161218447162</v>
      </c>
      <c r="AI354" s="360">
        <f t="shared" si="216"/>
        <v>-10.318387815528382</v>
      </c>
      <c r="AL354" s="337">
        <f t="shared" si="217"/>
        <v>10.584948925860409</v>
      </c>
      <c r="AM354" s="730">
        <f t="shared" si="218"/>
        <v>-86.768403940565832</v>
      </c>
      <c r="AN354" s="351"/>
      <c r="AO354" s="337">
        <f t="shared" si="219"/>
        <v>33.6809692592132</v>
      </c>
      <c r="AP354" s="730">
        <f t="shared" si="220"/>
        <v>-103.54998387496248</v>
      </c>
      <c r="AS354" s="351"/>
      <c r="AT354" s="351"/>
      <c r="AV354" s="405">
        <f t="shared" si="221"/>
        <v>0</v>
      </c>
      <c r="AW354" s="405">
        <f t="shared" si="246"/>
        <v>0</v>
      </c>
      <c r="AX354" s="405">
        <f t="shared" si="222"/>
        <v>0</v>
      </c>
      <c r="AY354" s="405">
        <f t="shared" si="223"/>
        <v>0</v>
      </c>
    </row>
    <row r="355" spans="2:51" ht="13.5" thickBot="1" x14ac:dyDescent="0.25">
      <c r="B355" s="345">
        <v>27863</v>
      </c>
      <c r="C355" s="728" t="str">
        <f t="shared" si="206"/>
        <v>2.2271548443541</v>
      </c>
      <c r="D355" s="728" t="str">
        <f t="shared" si="207"/>
        <v>1+21.2999877193633i</v>
      </c>
      <c r="E355" s="337">
        <f t="shared" si="225"/>
        <v>21.323448990372722</v>
      </c>
      <c r="F355" s="338">
        <f t="shared" si="226"/>
        <v>1.5238823911448607</v>
      </c>
      <c r="G355" s="338" t="str">
        <f t="shared" si="208"/>
        <v>1+0.0875341961069725i</v>
      </c>
      <c r="H355" s="337">
        <f t="shared" si="227"/>
        <v>1.003823806994083</v>
      </c>
      <c r="I355" s="338">
        <f t="shared" si="228"/>
        <v>8.7311649130988531E-2</v>
      </c>
      <c r="J355" s="340">
        <f t="shared" si="209"/>
        <v>1</v>
      </c>
      <c r="K355" s="338">
        <f t="shared" si="229"/>
        <v>1</v>
      </c>
      <c r="L355" s="339">
        <f t="shared" si="230"/>
        <v>0</v>
      </c>
      <c r="M355" s="731" t="str">
        <f t="shared" si="210"/>
        <v>0.965495699155555+0.377350432624947i</v>
      </c>
      <c r="N355" s="338">
        <f t="shared" si="231"/>
        <v>1.0366172360568335</v>
      </c>
      <c r="O355" s="339">
        <f t="shared" si="232"/>
        <v>0.37258145994594327</v>
      </c>
      <c r="P355" s="732" t="str">
        <f t="shared" si="224"/>
        <v>-0.0238801896756064-0.0982825710272415i</v>
      </c>
      <c r="Q355" s="337">
        <f t="shared" si="233"/>
        <v>0.1011421140112649</v>
      </c>
      <c r="R355" s="339">
        <f t="shared" si="234"/>
        <v>-1.8091522019598141</v>
      </c>
      <c r="S355" s="731" t="str">
        <f t="shared" si="211"/>
        <v>6000</v>
      </c>
      <c r="T355" s="337" t="str">
        <f t="shared" si="212"/>
        <v>1+176819.076136084i</v>
      </c>
      <c r="U355" s="346">
        <f t="shared" si="235"/>
        <v>176819.07613891177</v>
      </c>
      <c r="V355" s="347">
        <f t="shared" si="236"/>
        <v>1.570790671296509</v>
      </c>
      <c r="W355" s="340" t="str">
        <f t="shared" si="213"/>
        <v>1+1750.68392213945i</v>
      </c>
      <c r="X355" s="337">
        <f t="shared" si="237"/>
        <v>1750.6842077420954</v>
      </c>
      <c r="Y355" s="339">
        <f t="shared" si="238"/>
        <v>1.5702251215198637</v>
      </c>
      <c r="Z355" s="337" t="str">
        <f t="shared" si="214"/>
        <v>1+17.635437682933i</v>
      </c>
      <c r="AA355" s="346">
        <f t="shared" si="239"/>
        <v>17.663766933149148</v>
      </c>
      <c r="AB355" s="347">
        <f t="shared" si="240"/>
        <v>1.514152976093772</v>
      </c>
      <c r="AC355" s="732" t="str">
        <f t="shared" si="241"/>
        <v>0.188499390374966-3.35786627235236i</v>
      </c>
      <c r="AD355" s="337">
        <f t="shared" si="242"/>
        <v>3.3631529735016912</v>
      </c>
      <c r="AE355" s="339">
        <f t="shared" si="243"/>
        <v>-1.514718525870417</v>
      </c>
      <c r="AF355" s="736" t="str">
        <f t="shared" si="215"/>
        <v>-0.33452113160834+0.0616602787659764i</v>
      </c>
      <c r="AG355" s="337">
        <f t="shared" si="244"/>
        <v>-9.36642703073246</v>
      </c>
      <c r="AH355" s="730">
        <f t="shared" si="245"/>
        <v>169.55623564825061</v>
      </c>
      <c r="AI355" s="360">
        <f t="shared" si="216"/>
        <v>-10.443764351749394</v>
      </c>
      <c r="AL355" s="337">
        <f t="shared" si="217"/>
        <v>10.534932434230409</v>
      </c>
      <c r="AM355" s="730">
        <f t="shared" si="218"/>
        <v>-86.786978682652489</v>
      </c>
      <c r="AN355" s="351"/>
      <c r="AO355" s="337">
        <f t="shared" si="219"/>
        <v>33.627763020079271</v>
      </c>
      <c r="AP355" s="730">
        <f t="shared" si="220"/>
        <v>-103.65678566909683</v>
      </c>
      <c r="AS355" s="351"/>
      <c r="AT355" s="351"/>
      <c r="AV355" s="405">
        <f t="shared" si="221"/>
        <v>0</v>
      </c>
      <c r="AW355" s="405">
        <f t="shared" si="246"/>
        <v>0</v>
      </c>
      <c r="AX355" s="405">
        <f t="shared" si="222"/>
        <v>0</v>
      </c>
      <c r="AY355" s="405">
        <f t="shared" si="223"/>
        <v>0</v>
      </c>
    </row>
    <row r="356" spans="2:51" ht="13.5" thickBot="1" x14ac:dyDescent="0.25">
      <c r="B356" s="345">
        <v>28023.5</v>
      </c>
      <c r="C356" s="728" t="str">
        <f t="shared" si="206"/>
        <v>2.2271548443541</v>
      </c>
      <c r="D356" s="728" t="str">
        <f t="shared" si="207"/>
        <v>1+21.4226826204492i</v>
      </c>
      <c r="E356" s="337">
        <f t="shared" si="225"/>
        <v>21.446009667453204</v>
      </c>
      <c r="F356" s="338">
        <f t="shared" si="226"/>
        <v>1.5241506923176387</v>
      </c>
      <c r="G356" s="338" t="str">
        <f t="shared" si="208"/>
        <v>1+0.0880384217278735i</v>
      </c>
      <c r="H356" s="337">
        <f t="shared" si="227"/>
        <v>1.0038679015190868</v>
      </c>
      <c r="I356" s="338">
        <f t="shared" si="228"/>
        <v>8.7812018675722997E-2</v>
      </c>
      <c r="J356" s="340">
        <f t="shared" si="209"/>
        <v>1</v>
      </c>
      <c r="K356" s="338">
        <f t="shared" si="229"/>
        <v>1</v>
      </c>
      <c r="L356" s="339">
        <f t="shared" si="230"/>
        <v>0</v>
      </c>
      <c r="M356" s="731" t="str">
        <f t="shared" si="210"/>
        <v>0.965097042122222+0.379524094629623i</v>
      </c>
      <c r="N356" s="338">
        <f t="shared" si="231"/>
        <v>1.0370394588044838</v>
      </c>
      <c r="O356" s="339">
        <f t="shared" si="232"/>
        <v>0.37467361735132537</v>
      </c>
      <c r="P356" s="732" t="str">
        <f t="shared" si="224"/>
        <v>-0.0239167558972325-0.0976410872288285i</v>
      </c>
      <c r="Q356" s="337">
        <f t="shared" si="233"/>
        <v>0.10052757396791938</v>
      </c>
      <c r="R356" s="339">
        <f t="shared" si="234"/>
        <v>-1.8110122909932402</v>
      </c>
      <c r="S356" s="731" t="str">
        <f t="shared" si="211"/>
        <v>6000</v>
      </c>
      <c r="T356" s="337" t="str">
        <f t="shared" si="212"/>
        <v>1+177837.611890304i</v>
      </c>
      <c r="U356" s="346">
        <f t="shared" si="235"/>
        <v>177837.61189311554</v>
      </c>
      <c r="V356" s="347">
        <f t="shared" si="236"/>
        <v>1.5707907036874484</v>
      </c>
      <c r="W356" s="340" t="str">
        <f t="shared" si="213"/>
        <v>1+1760.76843455747i</v>
      </c>
      <c r="X356" s="337">
        <f t="shared" si="237"/>
        <v>1760.7687185243731</v>
      </c>
      <c r="Y356" s="339">
        <f t="shared" si="238"/>
        <v>1.5702283930036851</v>
      </c>
      <c r="Z356" s="337" t="str">
        <f t="shared" si="214"/>
        <v>1+17.7370235763439i</v>
      </c>
      <c r="AA356" s="346">
        <f t="shared" si="239"/>
        <v>17.765190833418576</v>
      </c>
      <c r="AB356" s="347">
        <f t="shared" si="240"/>
        <v>1.5144767040528095</v>
      </c>
      <c r="AC356" s="732" t="str">
        <f t="shared" si="241"/>
        <v>0.186353196844746-3.33875564466376i</v>
      </c>
      <c r="AD356" s="337">
        <f t="shared" si="242"/>
        <v>3.3439522677138172</v>
      </c>
      <c r="AE356" s="339">
        <f t="shared" si="243"/>
        <v>-1.5150390147365731</v>
      </c>
      <c r="AF356" s="736" t="str">
        <f t="shared" si="215"/>
        <v>-0.330456695055962+0.0616564750054414i</v>
      </c>
      <c r="AG356" s="337">
        <f t="shared" si="244"/>
        <v>-9.4690945709709897</v>
      </c>
      <c r="AH356" s="730">
        <f t="shared" si="245"/>
        <v>169.43129773770502</v>
      </c>
      <c r="AI356" s="360">
        <f t="shared" si="216"/>
        <v>-10.568702262294977</v>
      </c>
      <c r="AL356" s="337">
        <f t="shared" si="217"/>
        <v>10.48520139198761</v>
      </c>
      <c r="AM356" s="730">
        <f t="shared" si="218"/>
        <v>-86.805341342064168</v>
      </c>
      <c r="AN356" s="351"/>
      <c r="AO356" s="337">
        <f t="shared" si="219"/>
        <v>33.574826522083548</v>
      </c>
      <c r="AP356" s="730">
        <f t="shared" si="220"/>
        <v>-103.76336092023082</v>
      </c>
      <c r="AS356" s="351"/>
      <c r="AT356" s="351"/>
      <c r="AV356" s="405">
        <f t="shared" si="221"/>
        <v>0</v>
      </c>
      <c r="AW356" s="405">
        <f t="shared" si="246"/>
        <v>0</v>
      </c>
      <c r="AX356" s="405">
        <f t="shared" si="222"/>
        <v>0</v>
      </c>
      <c r="AY356" s="405">
        <f t="shared" si="223"/>
        <v>0</v>
      </c>
    </row>
    <row r="357" spans="2:51" ht="13.5" thickBot="1" x14ac:dyDescent="0.25">
      <c r="B357" s="345">
        <v>28184</v>
      </c>
      <c r="C357" s="728" t="str">
        <f t="shared" si="206"/>
        <v>2.2271548443541</v>
      </c>
      <c r="D357" s="728" t="str">
        <f t="shared" si="207"/>
        <v>1+21.5453775215351i</v>
      </c>
      <c r="E357" s="337">
        <f t="shared" si="225"/>
        <v>21.568571870790844</v>
      </c>
      <c r="F357" s="338">
        <f t="shared" si="226"/>
        <v>1.5244159442965137</v>
      </c>
      <c r="G357" s="338" t="str">
        <f t="shared" si="208"/>
        <v>1+0.0885426473487745i</v>
      </c>
      <c r="H357" s="337">
        <f t="shared" si="227"/>
        <v>1.0039122473600617</v>
      </c>
      <c r="I357" s="338">
        <f t="shared" si="228"/>
        <v>8.831234414004159E-2</v>
      </c>
      <c r="J357" s="340">
        <f t="shared" si="209"/>
        <v>1</v>
      </c>
      <c r="K357" s="338">
        <f t="shared" si="229"/>
        <v>1</v>
      </c>
      <c r="L357" s="339">
        <f t="shared" si="230"/>
        <v>0</v>
      </c>
      <c r="M357" s="731" t="str">
        <f t="shared" si="210"/>
        <v>0.964696095288889+0.381697756634299i</v>
      </c>
      <c r="N357" s="338">
        <f t="shared" si="231"/>
        <v>1.0374640879014974</v>
      </c>
      <c r="O357" s="339">
        <f t="shared" si="232"/>
        <v>0.37676487472292081</v>
      </c>
      <c r="P357" s="732" t="str">
        <f t="shared" si="224"/>
        <v>-0.0239522700396944-0.0970065046234097i</v>
      </c>
      <c r="Q357" s="337">
        <f t="shared" si="233"/>
        <v>9.9919833763402813E-2</v>
      </c>
      <c r="R357" s="339">
        <f t="shared" si="234"/>
        <v>-1.8128684748793933</v>
      </c>
      <c r="S357" s="731" t="str">
        <f t="shared" si="211"/>
        <v>6000</v>
      </c>
      <c r="T357" s="337" t="str">
        <f t="shared" si="212"/>
        <v>1+178856.147644524i</v>
      </c>
      <c r="U357" s="346">
        <f t="shared" si="235"/>
        <v>178856.14764731954</v>
      </c>
      <c r="V357" s="347">
        <f t="shared" si="236"/>
        <v>1.5707907357094733</v>
      </c>
      <c r="W357" s="340" t="str">
        <f t="shared" si="213"/>
        <v>1+1770.85294697549i</v>
      </c>
      <c r="X357" s="337">
        <f t="shared" si="237"/>
        <v>1770.8532293252815</v>
      </c>
      <c r="Y357" s="339">
        <f t="shared" si="238"/>
        <v>1.5702316272271473</v>
      </c>
      <c r="Z357" s="337" t="str">
        <f t="shared" si="214"/>
        <v>1+17.8386094697549i</v>
      </c>
      <c r="AA357" s="346">
        <f t="shared" si="239"/>
        <v>17.866616574338554</v>
      </c>
      <c r="AB357" s="347">
        <f t="shared" si="240"/>
        <v>1.5147967565480398</v>
      </c>
      <c r="AC357" s="732" t="str">
        <f t="shared" si="241"/>
        <v>0.184243411577581-3.31986063535927i</v>
      </c>
      <c r="AD357" s="337">
        <f t="shared" si="242"/>
        <v>3.3249692138300775</v>
      </c>
      <c r="AE357" s="339">
        <f t="shared" si="243"/>
        <v>-1.5153558650303658</v>
      </c>
      <c r="AF357" s="736" t="str">
        <f t="shared" si="215"/>
        <v>-0.326461124020196+0.0616453890752433i</v>
      </c>
      <c r="AG357" s="337">
        <f t="shared" si="244"/>
        <v>-9.5712133736070975</v>
      </c>
      <c r="AH357" s="730">
        <f t="shared" si="245"/>
        <v>169.30679205045649</v>
      </c>
      <c r="AI357" s="360">
        <f t="shared" si="216"/>
        <v>-10.693207949543506</v>
      </c>
      <c r="AL357" s="337">
        <f t="shared" si="217"/>
        <v>10.435752569771255</v>
      </c>
      <c r="AM357" s="730">
        <f t="shared" si="218"/>
        <v>-86.82349552663598</v>
      </c>
      <c r="AN357" s="351"/>
      <c r="AO357" s="337">
        <f t="shared" si="219"/>
        <v>33.522156541663776</v>
      </c>
      <c r="AP357" s="730">
        <f t="shared" si="220"/>
        <v>-103.86971242290748</v>
      </c>
      <c r="AS357" s="351"/>
      <c r="AT357" s="351"/>
      <c r="AV357" s="405">
        <f t="shared" si="221"/>
        <v>0</v>
      </c>
      <c r="AW357" s="405">
        <f t="shared" si="246"/>
        <v>0</v>
      </c>
      <c r="AX357" s="405">
        <f t="shared" si="222"/>
        <v>0</v>
      </c>
      <c r="AY357" s="405">
        <f t="shared" si="223"/>
        <v>0</v>
      </c>
    </row>
    <row r="358" spans="2:51" ht="13.5" thickBot="1" x14ac:dyDescent="0.25">
      <c r="B358" s="345">
        <v>28348</v>
      </c>
      <c r="C358" s="728" t="str">
        <f t="shared" si="206"/>
        <v>2.2271548443541</v>
      </c>
      <c r="D358" s="728" t="str">
        <f t="shared" si="207"/>
        <v>1+21.6707480123645i</v>
      </c>
      <c r="E358" s="337">
        <f t="shared" si="225"/>
        <v>21.693808319781009</v>
      </c>
      <c r="F358" s="338">
        <f t="shared" si="226"/>
        <v>1.5246838846604196</v>
      </c>
      <c r="G358" s="338" t="str">
        <f t="shared" si="208"/>
        <v>1+0.0890578685439635i</v>
      </c>
      <c r="H358" s="337">
        <f t="shared" si="227"/>
        <v>1.0039578198059886</v>
      </c>
      <c r="I358" s="338">
        <f t="shared" si="228"/>
        <v>8.8823534341198288E-2</v>
      </c>
      <c r="J358" s="340">
        <f t="shared" si="209"/>
        <v>1</v>
      </c>
      <c r="K358" s="338">
        <f t="shared" si="229"/>
        <v>1</v>
      </c>
      <c r="L358" s="339">
        <f t="shared" si="230"/>
        <v>0</v>
      </c>
      <c r="M358" s="731" t="str">
        <f t="shared" si="210"/>
        <v>0.964284039822222+0.383918819368051i</v>
      </c>
      <c r="N358" s="338">
        <f t="shared" si="231"/>
        <v>1.0379004621450088</v>
      </c>
      <c r="O358" s="339">
        <f t="shared" si="232"/>
        <v>0.37890080167582657</v>
      </c>
      <c r="P358" s="732" t="str">
        <f t="shared" si="224"/>
        <v>-0.0239874947877734-0.0963650930699662i</v>
      </c>
      <c r="Q358" s="337">
        <f t="shared" si="233"/>
        <v>9.9305745395604911E-2</v>
      </c>
      <c r="R358" s="339">
        <f t="shared" si="234"/>
        <v>-1.8147611519950468</v>
      </c>
      <c r="S358" s="731" t="str">
        <f t="shared" si="211"/>
        <v>6000</v>
      </c>
      <c r="T358" s="337" t="str">
        <f t="shared" si="212"/>
        <v>1+179896.894458806i</v>
      </c>
      <c r="U358" s="346">
        <f t="shared" si="235"/>
        <v>179896.89446158538</v>
      </c>
      <c r="V358" s="347">
        <f t="shared" si="236"/>
        <v>1.5707907680552475</v>
      </c>
      <c r="W358" s="340" t="str">
        <f t="shared" si="213"/>
        <v>1+1781.15737087927i</v>
      </c>
      <c r="X358" s="337">
        <f t="shared" si="237"/>
        <v>1781.1576515956006</v>
      </c>
      <c r="Y358" s="339">
        <f t="shared" si="238"/>
        <v>1.5702348941493143</v>
      </c>
      <c r="Z358" s="337" t="str">
        <f t="shared" si="214"/>
        <v>1+17.9424106318696i</v>
      </c>
      <c r="AA358" s="346">
        <f t="shared" si="239"/>
        <v>17.970255960409336</v>
      </c>
      <c r="AB358" s="347">
        <f t="shared" si="240"/>
        <v>1.5151200565020873</v>
      </c>
      <c r="AC358" s="732" t="str">
        <f t="shared" si="241"/>
        <v>0.182124375378902-3.30077254485795i</v>
      </c>
      <c r="AD358" s="337">
        <f t="shared" si="242"/>
        <v>3.3057931999741275</v>
      </c>
      <c r="AE358" s="339">
        <f t="shared" si="243"/>
        <v>-1.5156759304080203</v>
      </c>
      <c r="AF358" s="736" t="str">
        <f t="shared" si="215"/>
        <v>-0.322447960993153+0.0616268318317083i</v>
      </c>
      <c r="AG358" s="337">
        <f t="shared" si="244"/>
        <v>-9.6749988482479594</v>
      </c>
      <c r="AH358" s="730">
        <f t="shared" si="245"/>
        <v>169.18001124444066</v>
      </c>
      <c r="AI358" s="360">
        <f t="shared" si="216"/>
        <v>-10.819988755559336</v>
      </c>
      <c r="AL358" s="337">
        <f t="shared" si="217"/>
        <v>10.385513639764731</v>
      </c>
      <c r="AM358" s="730">
        <f t="shared" si="218"/>
        <v>-86.841833921943831</v>
      </c>
      <c r="AN358" s="351"/>
      <c r="AO358" s="337">
        <f t="shared" si="219"/>
        <v>33.468609997029453</v>
      </c>
      <c r="AP358" s="730">
        <f t="shared" si="220"/>
        <v>-103.97815483361552</v>
      </c>
      <c r="AS358" s="351"/>
      <c r="AT358" s="351"/>
      <c r="AV358" s="405">
        <f t="shared" si="221"/>
        <v>0</v>
      </c>
      <c r="AW358" s="405">
        <f t="shared" si="246"/>
        <v>0</v>
      </c>
      <c r="AX358" s="405">
        <f t="shared" si="222"/>
        <v>0</v>
      </c>
      <c r="AY358" s="405">
        <f t="shared" si="223"/>
        <v>0</v>
      </c>
    </row>
    <row r="359" spans="2:51" ht="13.5" thickBot="1" x14ac:dyDescent="0.25">
      <c r="B359" s="345">
        <v>28512</v>
      </c>
      <c r="C359" s="728" t="str">
        <f t="shared" si="206"/>
        <v>2.2271548443541</v>
      </c>
      <c r="D359" s="728" t="str">
        <f t="shared" si="207"/>
        <v>1+21.7961185031937i</v>
      </c>
      <c r="E359" s="337">
        <f t="shared" si="225"/>
        <v>21.819046308334897</v>
      </c>
      <c r="F359" s="338">
        <f t="shared" si="226"/>
        <v>1.5249487491697447</v>
      </c>
      <c r="G359" s="338" t="str">
        <f t="shared" si="208"/>
        <v>1+0.089573089739152i</v>
      </c>
      <c r="H359" s="337">
        <f t="shared" si="227"/>
        <v>1.0040036545777202</v>
      </c>
      <c r="I359" s="338">
        <f t="shared" si="228"/>
        <v>8.933467800220711E-2</v>
      </c>
      <c r="J359" s="340">
        <f t="shared" si="209"/>
        <v>1</v>
      </c>
      <c r="K359" s="338">
        <f t="shared" si="229"/>
        <v>1</v>
      </c>
      <c r="L359" s="339">
        <f t="shared" si="230"/>
        <v>0</v>
      </c>
      <c r="M359" s="731" t="str">
        <f t="shared" si="210"/>
        <v>0.9638695936+0.3861398821018i</v>
      </c>
      <c r="N359" s="338">
        <f t="shared" si="231"/>
        <v>1.0383393481979872</v>
      </c>
      <c r="O359" s="339">
        <f t="shared" si="232"/>
        <v>0.38103577985056941</v>
      </c>
      <c r="P359" s="732" t="str">
        <f t="shared" si="224"/>
        <v>-0.0240216668800991-0.0957306477300353i</v>
      </c>
      <c r="Q359" s="337">
        <f t="shared" si="233"/>
        <v>9.8698517691556853E-2</v>
      </c>
      <c r="R359" s="339">
        <f t="shared" si="234"/>
        <v>-1.8166498510181064</v>
      </c>
      <c r="S359" s="731" t="str">
        <f t="shared" si="211"/>
        <v>6000</v>
      </c>
      <c r="T359" s="337" t="str">
        <f t="shared" si="212"/>
        <v>1+180937.641273087i</v>
      </c>
      <c r="U359" s="346">
        <f t="shared" si="235"/>
        <v>180937.64127585042</v>
      </c>
      <c r="V359" s="347">
        <f t="shared" si="236"/>
        <v>1.5707908000289184</v>
      </c>
      <c r="W359" s="340" t="str">
        <f t="shared" si="213"/>
        <v>1+1791.46179478304i</v>
      </c>
      <c r="X359" s="337">
        <f t="shared" si="237"/>
        <v>1791.4620738847002</v>
      </c>
      <c r="Y359" s="339">
        <f t="shared" si="238"/>
        <v>1.5702381234890552</v>
      </c>
      <c r="Z359" s="337" t="str">
        <f t="shared" si="214"/>
        <v>1+18.0462117939843i</v>
      </c>
      <c r="AA359" s="346">
        <f t="shared" si="239"/>
        <v>18.073897203241419</v>
      </c>
      <c r="AB359" s="347">
        <f t="shared" si="240"/>
        <v>1.5154396486880015</v>
      </c>
      <c r="AC359" s="732" t="str">
        <f t="shared" si="241"/>
        <v>0.18004165052494-3.28190203024957i</v>
      </c>
      <c r="AD359" s="337">
        <f t="shared" si="242"/>
        <v>3.2868367668748006</v>
      </c>
      <c r="AE359" s="339">
        <f t="shared" si="243"/>
        <v>-1.5159923252278644</v>
      </c>
      <c r="AF359" s="736" t="str">
        <f t="shared" si="215"/>
        <v>-0.318503507695763+0.0616012534806389i</v>
      </c>
      <c r="AG359" s="337">
        <f t="shared" si="244"/>
        <v>-9.7782246673007656</v>
      </c>
      <c r="AH359" s="730">
        <f t="shared" si="245"/>
        <v>169.05366867381204</v>
      </c>
      <c r="AI359" s="360">
        <f t="shared" si="216"/>
        <v>-10.946331326187959</v>
      </c>
      <c r="AL359" s="337">
        <f t="shared" si="217"/>
        <v>10.335562727778921</v>
      </c>
      <c r="AM359" s="730">
        <f t="shared" si="218"/>
        <v>-86.859962009780702</v>
      </c>
      <c r="AN359" s="351"/>
      <c r="AO359" s="337">
        <f t="shared" si="219"/>
        <v>33.41533508996244</v>
      </c>
      <c r="AP359" s="730">
        <f t="shared" si="220"/>
        <v>-104.08636931640721</v>
      </c>
      <c r="AS359" s="351"/>
      <c r="AT359" s="351"/>
      <c r="AV359" s="405">
        <f t="shared" si="221"/>
        <v>0</v>
      </c>
      <c r="AW359" s="405">
        <f t="shared" si="246"/>
        <v>0</v>
      </c>
      <c r="AX359" s="405">
        <f t="shared" si="222"/>
        <v>0</v>
      </c>
      <c r="AY359" s="405">
        <f t="shared" si="223"/>
        <v>0</v>
      </c>
    </row>
    <row r="360" spans="2:51" ht="13.5" thickBot="1" x14ac:dyDescent="0.25">
      <c r="B360" s="345">
        <v>28676</v>
      </c>
      <c r="C360" s="728" t="str">
        <f t="shared" si="206"/>
        <v>2.2271548443541</v>
      </c>
      <c r="D360" s="728" t="str">
        <f t="shared" si="207"/>
        <v>1+21.921488994023i</v>
      </c>
      <c r="E360" s="337">
        <f t="shared" si="225"/>
        <v>21.944285810093515</v>
      </c>
      <c r="F360" s="338">
        <f t="shared" si="226"/>
        <v>1.525210590450168</v>
      </c>
      <c r="G360" s="338" t="str">
        <f t="shared" si="208"/>
        <v>1+0.090088310934341i</v>
      </c>
      <c r="H360" s="337">
        <f t="shared" si="227"/>
        <v>1.0040497516393312</v>
      </c>
      <c r="I360" s="338">
        <f t="shared" si="228"/>
        <v>8.9845774862370276E-2</v>
      </c>
      <c r="J360" s="340">
        <f t="shared" si="209"/>
        <v>1</v>
      </c>
      <c r="K360" s="338">
        <f t="shared" si="229"/>
        <v>1</v>
      </c>
      <c r="L360" s="339">
        <f t="shared" si="230"/>
        <v>0</v>
      </c>
      <c r="M360" s="731" t="str">
        <f t="shared" si="210"/>
        <v>0.963452756622222+0.388360944835552i</v>
      </c>
      <c r="N360" s="338">
        <f t="shared" si="231"/>
        <v>1.0387807457382532</v>
      </c>
      <c r="O360" s="339">
        <f t="shared" si="232"/>
        <v>0.38316980468867906</v>
      </c>
      <c r="P360" s="732" t="str">
        <f t="shared" si="224"/>
        <v>-0.0240548085115973-0.0951030517593464i</v>
      </c>
      <c r="Q360" s="337">
        <f t="shared" si="233"/>
        <v>9.8098033958232495E-2</v>
      </c>
      <c r="R360" s="339">
        <f t="shared" si="234"/>
        <v>-1.8185346202764767</v>
      </c>
      <c r="S360" s="731" t="str">
        <f t="shared" si="211"/>
        <v>6000</v>
      </c>
      <c r="T360" s="337" t="str">
        <f t="shared" si="212"/>
        <v>1+181978.388087369i</v>
      </c>
      <c r="U360" s="346">
        <f t="shared" si="235"/>
        <v>181978.38809011658</v>
      </c>
      <c r="V360" s="347">
        <f t="shared" si="236"/>
        <v>1.5707908316368699</v>
      </c>
      <c r="W360" s="340" t="str">
        <f t="shared" si="213"/>
        <v>1+1801.76621868682i</v>
      </c>
      <c r="X360" s="337">
        <f t="shared" si="237"/>
        <v>1801.766496192279</v>
      </c>
      <c r="Y360" s="339">
        <f t="shared" si="238"/>
        <v>1.5702413158911792</v>
      </c>
      <c r="Z360" s="337" t="str">
        <f t="shared" si="214"/>
        <v>1+18.150012956099i</v>
      </c>
      <c r="AA360" s="346">
        <f t="shared" si="239"/>
        <v>18.177540271075223</v>
      </c>
      <c r="AB360" s="347">
        <f t="shared" si="240"/>
        <v>1.5157555964617908</v>
      </c>
      <c r="AC360" s="732" t="str">
        <f t="shared" si="241"/>
        <v>0.177994412931259-3.26324540394404i</v>
      </c>
      <c r="AD360" s="337">
        <f t="shared" si="242"/>
        <v>3.2680961701572744</v>
      </c>
      <c r="AE360" s="339">
        <f t="shared" si="243"/>
        <v>-1.5163051122074818</v>
      </c>
      <c r="AF360" s="736" t="str">
        <f t="shared" si="215"/>
        <v>-0.314626218073935+0.0615689314523479i</v>
      </c>
      <c r="AG360" s="337">
        <f t="shared" si="244"/>
        <v>-9.8808973694472151</v>
      </c>
      <c r="AH360" s="730">
        <f t="shared" si="245"/>
        <v>168.92775797613268</v>
      </c>
      <c r="AI360" s="360">
        <f t="shared" si="216"/>
        <v>-11.072242023867318</v>
      </c>
      <c r="AL360" s="337">
        <f t="shared" si="217"/>
        <v>10.2858965603538</v>
      </c>
      <c r="AM360" s="730">
        <f t="shared" si="218"/>
        <v>-86.877883383599425</v>
      </c>
      <c r="AN360" s="351"/>
      <c r="AO360" s="337">
        <f t="shared" si="219"/>
        <v>33.362328555241113</v>
      </c>
      <c r="AP360" s="730">
        <f t="shared" si="220"/>
        <v>-104.19435864026791</v>
      </c>
      <c r="AS360" s="351"/>
      <c r="AT360" s="351"/>
      <c r="AV360" s="405">
        <f t="shared" si="221"/>
        <v>0</v>
      </c>
      <c r="AW360" s="405">
        <f t="shared" si="246"/>
        <v>0</v>
      </c>
      <c r="AX360" s="405">
        <f t="shared" si="222"/>
        <v>0</v>
      </c>
      <c r="AY360" s="405">
        <f t="shared" si="223"/>
        <v>0</v>
      </c>
    </row>
    <row r="361" spans="2:51" ht="13.5" thickBot="1" x14ac:dyDescent="0.25">
      <c r="B361" s="345">
        <v>28840</v>
      </c>
      <c r="C361" s="728" t="str">
        <f t="shared" si="206"/>
        <v>2.2271548443541</v>
      </c>
      <c r="D361" s="728" t="str">
        <f t="shared" si="207"/>
        <v>1+22.0468594848522i</v>
      </c>
      <c r="E361" s="337">
        <f t="shared" si="225"/>
        <v>22.069526799295389</v>
      </c>
      <c r="F361" s="338">
        <f t="shared" si="226"/>
        <v>1.5254694599344787</v>
      </c>
      <c r="G361" s="338" t="str">
        <f t="shared" si="208"/>
        <v>1+0.0906035321295295i</v>
      </c>
      <c r="H361" s="337">
        <f t="shared" si="227"/>
        <v>1.0040961109546966</v>
      </c>
      <c r="I361" s="338">
        <f t="shared" si="228"/>
        <v>9.0356824661133581E-2</v>
      </c>
      <c r="J361" s="340">
        <f t="shared" si="209"/>
        <v>1</v>
      </c>
      <c r="K361" s="338">
        <f t="shared" si="229"/>
        <v>1</v>
      </c>
      <c r="L361" s="339">
        <f t="shared" si="230"/>
        <v>0</v>
      </c>
      <c r="M361" s="731" t="str">
        <f t="shared" si="210"/>
        <v>0.963033528888889+0.390582007569302i</v>
      </c>
      <c r="N361" s="338">
        <f t="shared" si="231"/>
        <v>1.0392246544424613</v>
      </c>
      <c r="O361" s="339">
        <f t="shared" si="232"/>
        <v>0.38530287164630933</v>
      </c>
      <c r="P361" s="732" t="str">
        <f t="shared" si="224"/>
        <v>-0.0240869412629978-0.0944821909479073i</v>
      </c>
      <c r="Q361" s="337">
        <f t="shared" si="233"/>
        <v>9.7504180144873401E-2</v>
      </c>
      <c r="R361" s="339">
        <f t="shared" si="234"/>
        <v>-1.8204155069196544</v>
      </c>
      <c r="S361" s="731" t="str">
        <f t="shared" si="211"/>
        <v>6000</v>
      </c>
      <c r="T361" s="337" t="str">
        <f t="shared" si="212"/>
        <v>1+183019.13490165i</v>
      </c>
      <c r="U361" s="346">
        <f t="shared" si="235"/>
        <v>183019.13490438194</v>
      </c>
      <c r="V361" s="347">
        <f t="shared" si="236"/>
        <v>1.5707908628853413</v>
      </c>
      <c r="W361" s="340" t="str">
        <f t="shared" si="213"/>
        <v>1+1812.07064259059i</v>
      </c>
      <c r="X361" s="337">
        <f t="shared" si="237"/>
        <v>1812.0709185180015</v>
      </c>
      <c r="Y361" s="339">
        <f t="shared" si="238"/>
        <v>1.5702444719858282</v>
      </c>
      <c r="Z361" s="337" t="str">
        <f t="shared" si="214"/>
        <v>1+18.2538141182136i</v>
      </c>
      <c r="AA361" s="346">
        <f t="shared" si="239"/>
        <v>18.281185132870743</v>
      </c>
      <c r="AB361" s="347">
        <f t="shared" si="240"/>
        <v>1.5160679617456281</v>
      </c>
      <c r="AC361" s="732" t="str">
        <f t="shared" si="241"/>
        <v>0.175981861736378-3.24479906095766i</v>
      </c>
      <c r="AD361" s="337">
        <f t="shared" si="242"/>
        <v>3.2495677499710505</v>
      </c>
      <c r="AE361" s="339">
        <f t="shared" si="243"/>
        <v>-1.5166143526451414</v>
      </c>
      <c r="AF361" s="736" t="str">
        <f t="shared" si="215"/>
        <v>-0.310814589231989+0.0615301325275729i</v>
      </c>
      <c r="AG361" s="337">
        <f t="shared" si="244"/>
        <v>-9.9830233820777607</v>
      </c>
      <c r="AH361" s="730">
        <f t="shared" si="245"/>
        <v>168.80227293780337</v>
      </c>
      <c r="AI361" s="360">
        <f t="shared" si="216"/>
        <v>-11.197727062196634</v>
      </c>
      <c r="AL361" s="337">
        <f t="shared" si="217"/>
        <v>10.236511919349081</v>
      </c>
      <c r="AM361" s="730">
        <f t="shared" si="218"/>
        <v>-86.89560155553211</v>
      </c>
      <c r="AN361" s="351"/>
      <c r="AO361" s="337">
        <f t="shared" si="219"/>
        <v>33.309587183615292</v>
      </c>
      <c r="AP361" s="730">
        <f t="shared" si="220"/>
        <v>-104.30212550666457</v>
      </c>
      <c r="AS361" s="351"/>
      <c r="AT361" s="351"/>
      <c r="AV361" s="405">
        <f t="shared" si="221"/>
        <v>0</v>
      </c>
      <c r="AW361" s="405">
        <f t="shared" si="246"/>
        <v>0</v>
      </c>
      <c r="AX361" s="405">
        <f t="shared" si="222"/>
        <v>0</v>
      </c>
      <c r="AY361" s="405">
        <f t="shared" si="223"/>
        <v>0</v>
      </c>
    </row>
    <row r="362" spans="2:51" ht="13.5" thickBot="1" x14ac:dyDescent="0.25">
      <c r="B362" s="345">
        <v>29008</v>
      </c>
      <c r="C362" s="728" t="str">
        <f t="shared" si="206"/>
        <v>2.2271548443541</v>
      </c>
      <c r="D362" s="728" t="str">
        <f t="shared" si="207"/>
        <v>1+22.1752877925309i</v>
      </c>
      <c r="E362" s="337">
        <f t="shared" si="225"/>
        <v>22.197823962757472</v>
      </c>
      <c r="F362" s="338">
        <f t="shared" si="226"/>
        <v>1.5257316144486479</v>
      </c>
      <c r="G362" s="338" t="str">
        <f t="shared" si="208"/>
        <v>1+0.0911313196953325i</v>
      </c>
      <c r="H362" s="337">
        <f t="shared" si="227"/>
        <v>1.0041438728735106</v>
      </c>
      <c r="I362" s="338">
        <f t="shared" si="228"/>
        <v>9.0880290019773491E-2</v>
      </c>
      <c r="J362" s="340">
        <f t="shared" si="209"/>
        <v>1</v>
      </c>
      <c r="K362" s="338">
        <f t="shared" si="229"/>
        <v>1</v>
      </c>
      <c r="L362" s="339">
        <f t="shared" si="230"/>
        <v>0</v>
      </c>
      <c r="M362" s="731" t="str">
        <f t="shared" si="210"/>
        <v>0.962601597155556+0.39285724256485i</v>
      </c>
      <c r="N362" s="338">
        <f t="shared" si="231"/>
        <v>1.0396819936317474</v>
      </c>
      <c r="O362" s="339">
        <f t="shared" si="232"/>
        <v>0.38748696668319987</v>
      </c>
      <c r="P362" s="732" t="str">
        <f t="shared" si="224"/>
        <v>-0.0241188335841559-0.0938530540681682i</v>
      </c>
      <c r="Q362" s="337">
        <f t="shared" si="233"/>
        <v>9.6902600023852342E-2</v>
      </c>
      <c r="R362" s="339">
        <f t="shared" si="234"/>
        <v>-1.8223382911120745</v>
      </c>
      <c r="S362" s="731" t="str">
        <f t="shared" si="211"/>
        <v>6000</v>
      </c>
      <c r="T362" s="337" t="str">
        <f t="shared" si="212"/>
        <v>1+184085.265784572i</v>
      </c>
      <c r="U362" s="346">
        <f t="shared" si="235"/>
        <v>184085.26578728814</v>
      </c>
      <c r="V362" s="347">
        <f t="shared" si="236"/>
        <v>1.5707908945296052</v>
      </c>
      <c r="W362" s="340" t="str">
        <f t="shared" si="213"/>
        <v>1+1822.62639390665i</v>
      </c>
      <c r="X362" s="337">
        <f t="shared" si="237"/>
        <v>1822.6266682360265</v>
      </c>
      <c r="Y362" s="339">
        <f t="shared" si="238"/>
        <v>1.5702476680555078</v>
      </c>
      <c r="Z362" s="337" t="str">
        <f t="shared" si="214"/>
        <v>1+18.3601470159896i</v>
      </c>
      <c r="AA362" s="346">
        <f t="shared" si="239"/>
        <v>18.387359746541968</v>
      </c>
      <c r="AB362" s="347">
        <f t="shared" si="240"/>
        <v>1.5163842943353547</v>
      </c>
      <c r="AC362" s="732" t="str">
        <f t="shared" si="241"/>
        <v>0.173955376105782-3.22611716244283i</v>
      </c>
      <c r="AD362" s="337">
        <f t="shared" si="242"/>
        <v>3.2308036799973285</v>
      </c>
      <c r="AE362" s="339">
        <f t="shared" si="243"/>
        <v>-1.5169275208094521</v>
      </c>
      <c r="AF362" s="736" t="str">
        <f t="shared" si="215"/>
        <v>-0.306976549244357+0.0614839396448434i</v>
      </c>
      <c r="AG362" s="337">
        <f t="shared" si="244"/>
        <v>-10.087080024326308</v>
      </c>
      <c r="AH362" s="730">
        <f t="shared" si="245"/>
        <v>168.67416230457039</v>
      </c>
      <c r="AI362" s="360">
        <f t="shared" si="216"/>
        <v>-11.325837695429612</v>
      </c>
      <c r="AL362" s="337">
        <f t="shared" si="217"/>
        <v>10.186211377720687</v>
      </c>
      <c r="AM362" s="730">
        <f t="shared" si="218"/>
        <v>-86.913544769624963</v>
      </c>
      <c r="AN362" s="351"/>
      <c r="AO362" s="337">
        <f t="shared" si="219"/>
        <v>33.25583108299513</v>
      </c>
      <c r="AP362" s="730">
        <f t="shared" si="220"/>
        <v>-104.41229292580465</v>
      </c>
      <c r="AS362" s="351"/>
      <c r="AT362" s="351"/>
      <c r="AV362" s="405">
        <f t="shared" si="221"/>
        <v>0</v>
      </c>
      <c r="AW362" s="405">
        <f t="shared" si="246"/>
        <v>0</v>
      </c>
      <c r="AX362" s="405">
        <f t="shared" si="222"/>
        <v>0</v>
      </c>
      <c r="AY362" s="405">
        <f t="shared" si="223"/>
        <v>0</v>
      </c>
    </row>
    <row r="363" spans="2:51" ht="13.5" thickBot="1" x14ac:dyDescent="0.25">
      <c r="B363" s="345">
        <v>29176</v>
      </c>
      <c r="C363" s="728" t="str">
        <f t="shared" si="206"/>
        <v>2.2271548443541</v>
      </c>
      <c r="D363" s="728" t="str">
        <f t="shared" si="207"/>
        <v>1+22.3037161002098i</v>
      </c>
      <c r="E363" s="337">
        <f t="shared" si="225"/>
        <v>22.326122634231812</v>
      </c>
      <c r="F363" s="338">
        <f t="shared" si="226"/>
        <v>1.525990756000869</v>
      </c>
      <c r="G363" s="338" t="str">
        <f t="shared" si="208"/>
        <v>1+0.091659107261136i</v>
      </c>
      <c r="H363" s="337">
        <f t="shared" si="227"/>
        <v>1.0041919099175758</v>
      </c>
      <c r="I363" s="338">
        <f t="shared" si="228"/>
        <v>9.1403705440306904E-2</v>
      </c>
      <c r="J363" s="340">
        <f t="shared" si="209"/>
        <v>1</v>
      </c>
      <c r="K363" s="338">
        <f t="shared" si="229"/>
        <v>1</v>
      </c>
      <c r="L363" s="339">
        <f t="shared" si="230"/>
        <v>0</v>
      </c>
      <c r="M363" s="731" t="str">
        <f t="shared" si="210"/>
        <v>0.962167156622222+0.395132477560402i</v>
      </c>
      <c r="N363" s="338">
        <f t="shared" si="231"/>
        <v>1.04014196728404</v>
      </c>
      <c r="O363" s="339">
        <f t="shared" si="232"/>
        <v>0.389670046938494</v>
      </c>
      <c r="P363" s="732" t="str">
        <f t="shared" si="224"/>
        <v>-0.0241497111691642-0.0932307504355434i</v>
      </c>
      <c r="Q363" s="337">
        <f t="shared" si="233"/>
        <v>9.630774307566671E-2</v>
      </c>
      <c r="R363" s="339">
        <f t="shared" si="234"/>
        <v>-1.8242570974990564</v>
      </c>
      <c r="S363" s="731" t="str">
        <f t="shared" si="211"/>
        <v>6000</v>
      </c>
      <c r="T363" s="337" t="str">
        <f t="shared" si="212"/>
        <v>1+185151.396667495i</v>
      </c>
      <c r="U363" s="346">
        <f t="shared" si="235"/>
        <v>185151.39667019548</v>
      </c>
      <c r="V363" s="347">
        <f t="shared" si="236"/>
        <v>1.5707909258094437</v>
      </c>
      <c r="W363" s="340" t="str">
        <f t="shared" si="213"/>
        <v>1+1833.18214522272i</v>
      </c>
      <c r="X363" s="337">
        <f t="shared" si="237"/>
        <v>1833.1824179724651</v>
      </c>
      <c r="Y363" s="339">
        <f t="shared" si="238"/>
        <v>1.5702508273182538</v>
      </c>
      <c r="Z363" s="337" t="str">
        <f t="shared" si="214"/>
        <v>1+18.4664799137657i</v>
      </c>
      <c r="AA363" s="346">
        <f t="shared" si="239"/>
        <v>18.493536179041371</v>
      </c>
      <c r="AB363" s="347">
        <f t="shared" si="240"/>
        <v>1.5166969946528155</v>
      </c>
      <c r="AC363" s="732" t="str">
        <f t="shared" si="241"/>
        <v>0.171963659585595-3.207648527731i</v>
      </c>
      <c r="AD363" s="337">
        <f t="shared" si="242"/>
        <v>3.2122547498093801</v>
      </c>
      <c r="AE363" s="339">
        <f t="shared" si="243"/>
        <v>-1.5172370931440053</v>
      </c>
      <c r="AF363" s="736" t="str">
        <f t="shared" si="215"/>
        <v>-0.303204352084412+0.0614314844460911i</v>
      </c>
      <c r="AG363" s="337">
        <f t="shared" si="244"/>
        <v>-10.190576290749769</v>
      </c>
      <c r="AH363" s="730">
        <f t="shared" si="245"/>
        <v>168.54648560866966</v>
      </c>
      <c r="AI363" s="360">
        <f t="shared" si="216"/>
        <v>-11.453514391330344</v>
      </c>
      <c r="AL363" s="337">
        <f t="shared" si="217"/>
        <v>10.136199599189645</v>
      </c>
      <c r="AM363" s="730">
        <f t="shared" si="218"/>
        <v>-86.931281957848881</v>
      </c>
      <c r="AN363" s="351"/>
      <c r="AO363" s="337">
        <f t="shared" si="219"/>
        <v>33.202346595102711</v>
      </c>
      <c r="AP363" s="730">
        <f t="shared" si="220"/>
        <v>-104.52223243348152</v>
      </c>
      <c r="AS363" s="351"/>
      <c r="AT363" s="351"/>
      <c r="AV363" s="405">
        <f t="shared" si="221"/>
        <v>0</v>
      </c>
      <c r="AW363" s="405">
        <f t="shared" si="246"/>
        <v>0</v>
      </c>
      <c r="AX363" s="405">
        <f t="shared" si="222"/>
        <v>0</v>
      </c>
      <c r="AY363" s="405">
        <f t="shared" si="223"/>
        <v>0</v>
      </c>
    </row>
    <row r="364" spans="2:51" ht="13.5" thickBot="1" x14ac:dyDescent="0.25">
      <c r="B364" s="345">
        <v>29344</v>
      </c>
      <c r="C364" s="728" t="str">
        <f t="shared" si="206"/>
        <v>2.2271548443541</v>
      </c>
      <c r="D364" s="728" t="str">
        <f t="shared" si="207"/>
        <v>1+22.4321444078885i</v>
      </c>
      <c r="E364" s="337">
        <f t="shared" si="225"/>
        <v>22.45442278786884</v>
      </c>
      <c r="F364" s="338">
        <f t="shared" si="226"/>
        <v>1.5262469362024491</v>
      </c>
      <c r="G364" s="338" t="str">
        <f t="shared" si="208"/>
        <v>1+0.092186894826939i</v>
      </c>
      <c r="H364" s="337">
        <f t="shared" si="227"/>
        <v>1.0042402220474109</v>
      </c>
      <c r="I364" s="338">
        <f t="shared" si="228"/>
        <v>9.1927070643126094E-2</v>
      </c>
      <c r="J364" s="340">
        <f t="shared" si="209"/>
        <v>1</v>
      </c>
      <c r="K364" s="338">
        <f t="shared" si="229"/>
        <v>1</v>
      </c>
      <c r="L364" s="339">
        <f t="shared" si="230"/>
        <v>0</v>
      </c>
      <c r="M364" s="731" t="str">
        <f t="shared" si="210"/>
        <v>0.961730207288889+0.397407712555951i</v>
      </c>
      <c r="N364" s="338">
        <f t="shared" si="231"/>
        <v>1.0406045750480262</v>
      </c>
      <c r="O364" s="339">
        <f t="shared" si="232"/>
        <v>0.39185210757575761</v>
      </c>
      <c r="P364" s="732" t="str">
        <f t="shared" si="224"/>
        <v>-0.0241795953446884-0.0926151654020477i</v>
      </c>
      <c r="Q364" s="337">
        <f t="shared" si="233"/>
        <v>9.5719494845520003E-2</v>
      </c>
      <c r="R364" s="339">
        <f t="shared" si="234"/>
        <v>-1.8261719731350798</v>
      </c>
      <c r="S364" s="731" t="str">
        <f t="shared" si="211"/>
        <v>6000</v>
      </c>
      <c r="T364" s="337" t="str">
        <f t="shared" si="212"/>
        <v>1+186217.527550417i</v>
      </c>
      <c r="U364" s="346">
        <f t="shared" si="235"/>
        <v>186217.527553102</v>
      </c>
      <c r="V364" s="347">
        <f t="shared" si="236"/>
        <v>1.5707909567311162</v>
      </c>
      <c r="W364" s="340" t="str">
        <f t="shared" si="213"/>
        <v>1+1843.73789653878i</v>
      </c>
      <c r="X364" s="337">
        <f t="shared" si="237"/>
        <v>1843.7381677269809</v>
      </c>
      <c r="Y364" s="339">
        <f t="shared" si="238"/>
        <v>1.5702539504062463</v>
      </c>
      <c r="Z364" s="337" t="str">
        <f t="shared" si="214"/>
        <v>1+18.5728128115417i</v>
      </c>
      <c r="AA364" s="346">
        <f t="shared" si="239"/>
        <v>18.599714399220417</v>
      </c>
      <c r="AB364" s="347">
        <f t="shared" si="240"/>
        <v>1.5170061248418316</v>
      </c>
      <c r="AC364" s="732" t="str">
        <f t="shared" si="241"/>
        <v>0.1700059220691-3.18938953643531i</v>
      </c>
      <c r="AD364" s="337">
        <f t="shared" si="242"/>
        <v>3.1939172858202838</v>
      </c>
      <c r="AE364" s="339">
        <f t="shared" si="243"/>
        <v>-1.5175431311667014</v>
      </c>
      <c r="AF364" s="736" t="str">
        <f t="shared" si="215"/>
        <v>-0.299496513850348+0.0613730217958318i</v>
      </c>
      <c r="AG364" s="337">
        <f t="shared" si="244"/>
        <v>-10.293518743433538</v>
      </c>
      <c r="AH364" s="730">
        <f t="shared" si="245"/>
        <v>168.4192366293621</v>
      </c>
      <c r="AI364" s="360">
        <f t="shared" si="216"/>
        <v>-11.580763370637897</v>
      </c>
      <c r="AL364" s="337">
        <f t="shared" si="217"/>
        <v>10.086473296932381</v>
      </c>
      <c r="AM364" s="730">
        <f t="shared" si="218"/>
        <v>-86.948816644919887</v>
      </c>
      <c r="AN364" s="351"/>
      <c r="AO364" s="337">
        <f t="shared" si="219"/>
        <v>33.149130444676217</v>
      </c>
      <c r="AP364" s="730">
        <f t="shared" si="220"/>
        <v>-104.63194672571809</v>
      </c>
      <c r="AS364" s="351"/>
      <c r="AT364" s="351"/>
      <c r="AV364" s="405">
        <f t="shared" si="221"/>
        <v>0</v>
      </c>
      <c r="AW364" s="405">
        <f t="shared" si="246"/>
        <v>0</v>
      </c>
      <c r="AX364" s="405">
        <f t="shared" si="222"/>
        <v>0</v>
      </c>
      <c r="AY364" s="405">
        <f t="shared" si="223"/>
        <v>0</v>
      </c>
    </row>
    <row r="365" spans="2:51" ht="13.5" thickBot="1" x14ac:dyDescent="0.25">
      <c r="B365" s="345">
        <v>29512</v>
      </c>
      <c r="C365" s="728" t="str">
        <f t="shared" si="206"/>
        <v>2.2271548443541</v>
      </c>
      <c r="D365" s="728" t="str">
        <f t="shared" si="207"/>
        <v>1+22.5605727155672i</v>
      </c>
      <c r="E365" s="337">
        <f t="shared" si="225"/>
        <v>22.582724398406747</v>
      </c>
      <c r="F365" s="338">
        <f t="shared" si="226"/>
        <v>1.5265002054933736</v>
      </c>
      <c r="G365" s="338" t="str">
        <f t="shared" si="208"/>
        <v>1+0.092714682392742i</v>
      </c>
      <c r="H365" s="337">
        <f t="shared" si="227"/>
        <v>1.0042888092233164</v>
      </c>
      <c r="I365" s="338">
        <f t="shared" si="228"/>
        <v>9.2450385348788522E-2</v>
      </c>
      <c r="J365" s="340">
        <f t="shared" si="209"/>
        <v>1</v>
      </c>
      <c r="K365" s="338">
        <f t="shared" si="229"/>
        <v>1</v>
      </c>
      <c r="L365" s="339">
        <f t="shared" si="230"/>
        <v>0</v>
      </c>
      <c r="M365" s="731" t="str">
        <f t="shared" si="210"/>
        <v>0.961290749155555+0.3996829475515i</v>
      </c>
      <c r="N365" s="338">
        <f t="shared" si="231"/>
        <v>1.0410698165711574</v>
      </c>
      <c r="O365" s="339">
        <f t="shared" si="232"/>
        <v>0.39403314377488013</v>
      </c>
      <c r="P365" s="732" t="str">
        <f t="shared" si="224"/>
        <v>-0.0242085068479954-0.0920061869085432i</v>
      </c>
      <c r="Q365" s="337">
        <f t="shared" si="233"/>
        <v>9.5137743473656278E-2</v>
      </c>
      <c r="R365" s="339">
        <f t="shared" si="234"/>
        <v>-1.8280829639194651</v>
      </c>
      <c r="S365" s="731" t="str">
        <f t="shared" si="211"/>
        <v>6000</v>
      </c>
      <c r="T365" s="337" t="str">
        <f t="shared" si="212"/>
        <v>1+187283.658433339i</v>
      </c>
      <c r="U365" s="346">
        <f t="shared" si="235"/>
        <v>187283.65843600879</v>
      </c>
      <c r="V365" s="347">
        <f t="shared" si="236"/>
        <v>1.5707909873007391</v>
      </c>
      <c r="W365" s="340" t="str">
        <f t="shared" si="213"/>
        <v>1+1854.29364785484i</v>
      </c>
      <c r="X365" s="337">
        <f t="shared" si="237"/>
        <v>1854.293917499275</v>
      </c>
      <c r="Y365" s="339">
        <f t="shared" si="238"/>
        <v>1.57025703793727</v>
      </c>
      <c r="Z365" s="337" t="str">
        <f t="shared" si="214"/>
        <v>1+18.6791457093176i</v>
      </c>
      <c r="AA365" s="346">
        <f t="shared" si="239"/>
        <v>18.705894376637492</v>
      </c>
      <c r="AB365" s="347">
        <f t="shared" si="240"/>
        <v>1.5173117456380059</v>
      </c>
      <c r="AC365" s="732" t="str">
        <f t="shared" si="241"/>
        <v>0.168081395744741-3.17133664941287i</v>
      </c>
      <c r="AD365" s="337">
        <f t="shared" si="242"/>
        <v>3.1757876974862072</v>
      </c>
      <c r="AE365" s="339">
        <f t="shared" si="243"/>
        <v>-1.5178456950014751</v>
      </c>
      <c r="AF365" s="736" t="str">
        <f t="shared" si="215"/>
        <v>-0.295851592135701+0.0613087966818708i</v>
      </c>
      <c r="AG365" s="337">
        <f t="shared" si="244"/>
        <v>-10.395913832553667</v>
      </c>
      <c r="AH365" s="730">
        <f t="shared" si="245"/>
        <v>168.29240929196257</v>
      </c>
      <c r="AI365" s="360">
        <f t="shared" si="216"/>
        <v>-11.707590708037429</v>
      </c>
      <c r="AL365" s="337">
        <f t="shared" si="217"/>
        <v>10.037029239760951</v>
      </c>
      <c r="AM365" s="730">
        <f t="shared" si="218"/>
        <v>-86.966152275685715</v>
      </c>
      <c r="AN365" s="351"/>
      <c r="AO365" s="337">
        <f t="shared" si="219"/>
        <v>33.096179412727508</v>
      </c>
      <c r="AP365" s="730">
        <f t="shared" si="220"/>
        <v>-104.74143843235174</v>
      </c>
      <c r="AS365" s="351"/>
      <c r="AT365" s="351"/>
      <c r="AV365" s="405">
        <f t="shared" si="221"/>
        <v>0</v>
      </c>
      <c r="AW365" s="405">
        <f t="shared" si="246"/>
        <v>0</v>
      </c>
      <c r="AX365" s="405">
        <f t="shared" si="222"/>
        <v>0</v>
      </c>
      <c r="AY365" s="405">
        <f t="shared" si="223"/>
        <v>0</v>
      </c>
    </row>
    <row r="366" spans="2:51" ht="13.5" thickBot="1" x14ac:dyDescent="0.25">
      <c r="B366" s="345">
        <v>29684</v>
      </c>
      <c r="C366" s="728" t="str">
        <f t="shared" si="206"/>
        <v>2.2271548443541</v>
      </c>
      <c r="D366" s="728" t="str">
        <f t="shared" si="207"/>
        <v>1+22.6920588400955i</v>
      </c>
      <c r="E366" s="337">
        <f t="shared" si="225"/>
        <v>22.714082292761827</v>
      </c>
      <c r="F366" s="338">
        <f t="shared" si="226"/>
        <v>1.5267565407835557</v>
      </c>
      <c r="G366" s="338" t="str">
        <f t="shared" si="208"/>
        <v>1+0.0932550363291595i</v>
      </c>
      <c r="H366" s="337">
        <f t="shared" si="227"/>
        <v>1.0043388381421645</v>
      </c>
      <c r="I366" s="338">
        <f t="shared" si="228"/>
        <v>9.2986107321828423E-2</v>
      </c>
      <c r="J366" s="340">
        <f t="shared" si="209"/>
        <v>1</v>
      </c>
      <c r="K366" s="338">
        <f t="shared" si="229"/>
        <v>1</v>
      </c>
      <c r="L366" s="339">
        <f t="shared" si="230"/>
        <v>0</v>
      </c>
      <c r="M366" s="731" t="str">
        <f t="shared" si="210"/>
        <v>0.960838228622222+0.402012354808848i</v>
      </c>
      <c r="N366" s="338">
        <f t="shared" si="231"/>
        <v>1.0415488634724943</v>
      </c>
      <c r="O366" s="339">
        <f t="shared" si="232"/>
        <v>0.39626504307565086</v>
      </c>
      <c r="P366" s="732" t="str">
        <f t="shared" si="224"/>
        <v>-0.0242371200903441-0.0913894389161014i</v>
      </c>
      <c r="Q366" s="337">
        <f t="shared" si="233"/>
        <v>9.4548757451769785E-2</v>
      </c>
      <c r="R366" s="339">
        <f t="shared" si="234"/>
        <v>-1.8300354765373781</v>
      </c>
      <c r="S366" s="731" t="str">
        <f t="shared" si="211"/>
        <v>6000</v>
      </c>
      <c r="T366" s="337" t="str">
        <f t="shared" si="212"/>
        <v>1+188375.173384902i</v>
      </c>
      <c r="U366" s="346">
        <f t="shared" si="235"/>
        <v>188375.17338755631</v>
      </c>
      <c r="V366" s="347">
        <f t="shared" si="236"/>
        <v>1.5707910182397298</v>
      </c>
      <c r="W366" s="340" t="str">
        <f t="shared" si="213"/>
        <v>1+1865.10072658319i</v>
      </c>
      <c r="X366" s="337">
        <f t="shared" si="237"/>
        <v>1865.1009946652066</v>
      </c>
      <c r="Y366" s="339">
        <f t="shared" si="238"/>
        <v>1.5702601627744106</v>
      </c>
      <c r="Z366" s="337" t="str">
        <f t="shared" si="214"/>
        <v>1+18.788010342755i</v>
      </c>
      <c r="AA366" s="346">
        <f t="shared" si="239"/>
        <v>18.814604238183403</v>
      </c>
      <c r="AB366" s="347">
        <f t="shared" si="240"/>
        <v>1.51762106938068</v>
      </c>
      <c r="AC366" s="732" t="str">
        <f t="shared" si="241"/>
        <v>0.166144674948842-3.15306384262051i</v>
      </c>
      <c r="AD366" s="337">
        <f t="shared" si="242"/>
        <v>3.1574381464495347</v>
      </c>
      <c r="AE366" s="339">
        <f t="shared" si="243"/>
        <v>-1.5181519248459989</v>
      </c>
      <c r="AF366" s="736" t="str">
        <f t="shared" si="215"/>
        <v>-0.292183603882841+0.0612373183836424i</v>
      </c>
      <c r="AG366" s="337">
        <f t="shared" si="244"/>
        <v>-10.500186453070878</v>
      </c>
      <c r="AH366" s="730">
        <f t="shared" si="245"/>
        <v>168.16299288185795</v>
      </c>
      <c r="AI366" s="360">
        <f t="shared" si="216"/>
        <v>-11.837007118142054</v>
      </c>
      <c r="AL366" s="337">
        <f t="shared" si="217"/>
        <v>9.9866970314593644</v>
      </c>
      <c r="AM366" s="730">
        <f t="shared" si="218"/>
        <v>-86.983697953337881</v>
      </c>
      <c r="AN366" s="351"/>
      <c r="AO366" s="337">
        <f t="shared" si="219"/>
        <v>33.042239000511898</v>
      </c>
      <c r="AP366" s="730">
        <f t="shared" si="220"/>
        <v>-104.85330916480413</v>
      </c>
      <c r="AS366" s="351"/>
      <c r="AT366" s="351"/>
      <c r="AV366" s="405">
        <f t="shared" si="221"/>
        <v>0</v>
      </c>
      <c r="AW366" s="405">
        <f t="shared" si="246"/>
        <v>0</v>
      </c>
      <c r="AX366" s="405">
        <f t="shared" si="222"/>
        <v>0</v>
      </c>
      <c r="AY366" s="405">
        <f t="shared" si="223"/>
        <v>0</v>
      </c>
    </row>
    <row r="367" spans="2:51" ht="13.5" thickBot="1" x14ac:dyDescent="0.25">
      <c r="B367" s="345">
        <v>29856</v>
      </c>
      <c r="C367" s="728" t="str">
        <f t="shared" si="206"/>
        <v>2.2271548443541</v>
      </c>
      <c r="D367" s="728" t="str">
        <f t="shared" si="207"/>
        <v>1+22.8235449646237i</v>
      </c>
      <c r="E367" s="337">
        <f t="shared" si="225"/>
        <v>22.845441662445484</v>
      </c>
      <c r="F367" s="338">
        <f t="shared" si="226"/>
        <v>1.5270099282774745</v>
      </c>
      <c r="G367" s="338" t="str">
        <f t="shared" si="208"/>
        <v>1+0.093795390265577i</v>
      </c>
      <c r="H367" s="337">
        <f t="shared" si="227"/>
        <v>1.0043891552755198</v>
      </c>
      <c r="I367" s="338">
        <f t="shared" si="228"/>
        <v>9.3521775772197405E-2</v>
      </c>
      <c r="J367" s="340">
        <f t="shared" si="209"/>
        <v>1</v>
      </c>
      <c r="K367" s="338">
        <f t="shared" si="229"/>
        <v>1</v>
      </c>
      <c r="L367" s="339">
        <f t="shared" si="230"/>
        <v>0</v>
      </c>
      <c r="M367" s="731" t="str">
        <f t="shared" si="210"/>
        <v>0.9603830784+0.404341762066196i</v>
      </c>
      <c r="N367" s="338">
        <f t="shared" si="231"/>
        <v>1.042030670291358</v>
      </c>
      <c r="O367" s="339">
        <f t="shared" si="232"/>
        <v>0.39849585840231488</v>
      </c>
      <c r="P367" s="732" t="str">
        <f t="shared" si="224"/>
        <v>-0.0242647559740151-0.0907793860957139i</v>
      </c>
      <c r="Q367" s="337">
        <f t="shared" si="233"/>
        <v>9.3966352075587123E-2</v>
      </c>
      <c r="R367" s="339">
        <f t="shared" si="234"/>
        <v>-1.8319840109075927</v>
      </c>
      <c r="S367" s="731" t="str">
        <f t="shared" si="211"/>
        <v>6000</v>
      </c>
      <c r="T367" s="337" t="str">
        <f t="shared" si="212"/>
        <v>1+189466.688336466i</v>
      </c>
      <c r="U367" s="346">
        <f t="shared" si="235"/>
        <v>189466.68833910496</v>
      </c>
      <c r="V367" s="347">
        <f t="shared" si="236"/>
        <v>1.5707910488222421</v>
      </c>
      <c r="W367" s="340" t="str">
        <f t="shared" si="213"/>
        <v>1+1875.90780531154i</v>
      </c>
      <c r="X367" s="337">
        <f t="shared" si="237"/>
        <v>1875.9080718491402</v>
      </c>
      <c r="Y367" s="339">
        <f t="shared" si="238"/>
        <v>1.5702632516072752</v>
      </c>
      <c r="Z367" s="337" t="str">
        <f t="shared" si="214"/>
        <v>1+18.8968749761923i</v>
      </c>
      <c r="AA367" s="346">
        <f t="shared" si="239"/>
        <v>18.923315879249142</v>
      </c>
      <c r="AB367" s="347">
        <f t="shared" si="240"/>
        <v>1.5179268391143492</v>
      </c>
      <c r="AC367" s="732" t="str">
        <f t="shared" si="241"/>
        <v>0.164241205273595-3.1349998149911i</v>
      </c>
      <c r="AD367" s="337">
        <f t="shared" si="242"/>
        <v>3.1392991277519182</v>
      </c>
      <c r="AE367" s="339">
        <f t="shared" si="243"/>
        <v>-1.5184546363293163</v>
      </c>
      <c r="AF367" s="736" t="str">
        <f t="shared" si="215"/>
        <v>-0.288578631381911+0.0611602897029844i</v>
      </c>
      <c r="AG367" s="337">
        <f t="shared" si="244"/>
        <v>-10.603898669090004</v>
      </c>
      <c r="AH367" s="730">
        <f t="shared" si="245"/>
        <v>168.03400599580428</v>
      </c>
      <c r="AI367" s="360">
        <f t="shared" si="216"/>
        <v>-11.965994004195721</v>
      </c>
      <c r="AL367" s="337">
        <f t="shared" si="217"/>
        <v>9.9366539874168307</v>
      </c>
      <c r="AM367" s="730">
        <f t="shared" si="218"/>
        <v>-87.001042043742117</v>
      </c>
      <c r="AN367" s="351"/>
      <c r="AO367" s="337">
        <f t="shared" si="219"/>
        <v>32.988569828535297</v>
      </c>
      <c r="AP367" s="730">
        <f t="shared" si="220"/>
        <v>-104.96495196045362</v>
      </c>
      <c r="AS367" s="351"/>
      <c r="AT367" s="351"/>
      <c r="AV367" s="405">
        <f t="shared" si="221"/>
        <v>0</v>
      </c>
      <c r="AW367" s="405">
        <f t="shared" si="246"/>
        <v>0</v>
      </c>
      <c r="AX367" s="405">
        <f t="shared" si="222"/>
        <v>0</v>
      </c>
      <c r="AY367" s="405">
        <f t="shared" si="223"/>
        <v>0</v>
      </c>
    </row>
    <row r="368" spans="2:51" ht="13.5" thickBot="1" x14ac:dyDescent="0.25">
      <c r="B368" s="345">
        <v>30028</v>
      </c>
      <c r="C368" s="728" t="str">
        <f t="shared" si="206"/>
        <v>2.2271548443541</v>
      </c>
      <c r="D368" s="728" t="str">
        <f t="shared" si="207"/>
        <v>1+22.955031089152i</v>
      </c>
      <c r="E368" s="337">
        <f t="shared" si="225"/>
        <v>22.976802482154362</v>
      </c>
      <c r="F368" s="338">
        <f t="shared" si="226"/>
        <v>1.5272604185009031</v>
      </c>
      <c r="G368" s="338" t="str">
        <f t="shared" si="208"/>
        <v>1+0.0943357442019945i</v>
      </c>
      <c r="H368" s="337">
        <f t="shared" si="227"/>
        <v>1.0044397605800679</v>
      </c>
      <c r="I368" s="338">
        <f t="shared" si="228"/>
        <v>9.4057390400552165E-2</v>
      </c>
      <c r="J368" s="340">
        <f t="shared" si="209"/>
        <v>1</v>
      </c>
      <c r="K368" s="338">
        <f t="shared" si="229"/>
        <v>1</v>
      </c>
      <c r="L368" s="339">
        <f t="shared" si="230"/>
        <v>0</v>
      </c>
      <c r="M368" s="731" t="str">
        <f t="shared" si="210"/>
        <v>0.959925298488889+0.406671169323545i</v>
      </c>
      <c r="N368" s="338">
        <f t="shared" si="231"/>
        <v>1.0425152366454709</v>
      </c>
      <c r="O368" s="339">
        <f t="shared" si="232"/>
        <v>0.40072558463566244</v>
      </c>
      <c r="P368" s="732" t="str">
        <f t="shared" si="224"/>
        <v>-0.024291434960354-0.090175916159594i</v>
      </c>
      <c r="Q368" s="337">
        <f t="shared" si="233"/>
        <v>9.3390415287947157E-2</v>
      </c>
      <c r="R368" s="339">
        <f t="shared" si="234"/>
        <v>-1.8339286127360133</v>
      </c>
      <c r="S368" s="731" t="str">
        <f t="shared" si="211"/>
        <v>6000</v>
      </c>
      <c r="T368" s="337" t="str">
        <f t="shared" si="212"/>
        <v>1+190558.203288029i</v>
      </c>
      <c r="U368" s="346">
        <f t="shared" si="235"/>
        <v>190558.20329065289</v>
      </c>
      <c r="V368" s="347">
        <f t="shared" si="236"/>
        <v>1.570791079054402</v>
      </c>
      <c r="W368" s="340" t="str">
        <f t="shared" si="213"/>
        <v>1+1886.71488403989i</v>
      </c>
      <c r="X368" s="337">
        <f t="shared" si="237"/>
        <v>1886.7151490507663</v>
      </c>
      <c r="Y368" s="339">
        <f t="shared" si="238"/>
        <v>1.5702663050545593</v>
      </c>
      <c r="Z368" s="337" t="str">
        <f t="shared" si="214"/>
        <v>1+19.0057396096297i</v>
      </c>
      <c r="AA368" s="346">
        <f t="shared" si="239"/>
        <v>19.032029269340864</v>
      </c>
      <c r="AB368" s="347">
        <f t="shared" si="240"/>
        <v>1.5182291156842069</v>
      </c>
      <c r="AC368" s="732" t="str">
        <f t="shared" si="241"/>
        <v>0.162370230574213-3.11714101865653i</v>
      </c>
      <c r="AD368" s="337">
        <f t="shared" si="242"/>
        <v>3.1213670437754977</v>
      </c>
      <c r="AE368" s="339">
        <f t="shared" si="243"/>
        <v>-1.5187538896840493</v>
      </c>
      <c r="AF368" s="736" t="str">
        <f t="shared" si="215"/>
        <v>-0.285035253051494+0.0610779440178725i</v>
      </c>
      <c r="AG368" s="337">
        <f t="shared" si="244"/>
        <v>-10.707057054190468</v>
      </c>
      <c r="AH368" s="730">
        <f t="shared" si="245"/>
        <v>167.90544256397104</v>
      </c>
      <c r="AI368" s="360">
        <f t="shared" si="216"/>
        <v>-12.094557436028964</v>
      </c>
      <c r="AL368" s="337">
        <f t="shared" si="217"/>
        <v>9.8868968133173514</v>
      </c>
      <c r="AM368" s="730">
        <f t="shared" si="218"/>
        <v>-87.018187997973442</v>
      </c>
      <c r="AN368" s="351"/>
      <c r="AO368" s="337">
        <f t="shared" si="219"/>
        <v>32.935168617534309</v>
      </c>
      <c r="AP368" s="730">
        <f t="shared" si="220"/>
        <v>-105.07636943805558</v>
      </c>
      <c r="AS368" s="351"/>
      <c r="AT368" s="351"/>
      <c r="AV368" s="405">
        <f t="shared" si="221"/>
        <v>0</v>
      </c>
      <c r="AW368" s="405">
        <f t="shared" si="246"/>
        <v>0</v>
      </c>
      <c r="AX368" s="405">
        <f t="shared" si="222"/>
        <v>0</v>
      </c>
      <c r="AY368" s="405">
        <f t="shared" si="223"/>
        <v>0</v>
      </c>
    </row>
    <row r="369" spans="2:51" ht="13.5" thickBot="1" x14ac:dyDescent="0.25">
      <c r="B369" s="345">
        <v>30200</v>
      </c>
      <c r="C369" s="728" t="str">
        <f t="shared" si="206"/>
        <v>2.2271548443541</v>
      </c>
      <c r="D369" s="728" t="str">
        <f t="shared" si="207"/>
        <v>1+23.0865172136801i</v>
      </c>
      <c r="E369" s="337">
        <f t="shared" si="225"/>
        <v>23.108164727159696</v>
      </c>
      <c r="F369" s="338">
        <f t="shared" si="226"/>
        <v>1.5275080608321985</v>
      </c>
      <c r="G369" s="338" t="str">
        <f t="shared" si="208"/>
        <v>1+0.0948760981384115i</v>
      </c>
      <c r="H369" s="337">
        <f t="shared" si="227"/>
        <v>1.0044906540122558</v>
      </c>
      <c r="I369" s="338">
        <f t="shared" si="228"/>
        <v>9.4592950907732537E-2</v>
      </c>
      <c r="J369" s="340">
        <f t="shared" si="209"/>
        <v>1</v>
      </c>
      <c r="K369" s="338">
        <f t="shared" si="229"/>
        <v>1</v>
      </c>
      <c r="L369" s="339">
        <f t="shared" si="230"/>
        <v>0</v>
      </c>
      <c r="M369" s="731" t="str">
        <f t="shared" si="210"/>
        <v>0.959464888888889+0.409000576580891i</v>
      </c>
      <c r="N369" s="338">
        <f t="shared" si="231"/>
        <v>1.0430025621512489</v>
      </c>
      <c r="O369" s="339">
        <f t="shared" si="232"/>
        <v>0.40295421667461329</v>
      </c>
      <c r="P369" s="732" t="str">
        <f t="shared" si="224"/>
        <v>-0.0243171769464589-0.0895789193579689i</v>
      </c>
      <c r="Q369" s="337">
        <f t="shared" si="233"/>
        <v>9.2820837574258547E-2</v>
      </c>
      <c r="R369" s="339">
        <f t="shared" si="234"/>
        <v>-1.8358693265990789</v>
      </c>
      <c r="S369" s="731" t="str">
        <f t="shared" si="211"/>
        <v>6000</v>
      </c>
      <c r="T369" s="337" t="str">
        <f t="shared" si="212"/>
        <v>1+191649.718239591i</v>
      </c>
      <c r="U369" s="346">
        <f t="shared" si="235"/>
        <v>191649.71824219995</v>
      </c>
      <c r="V369" s="347">
        <f t="shared" si="236"/>
        <v>1.5707911089421955</v>
      </c>
      <c r="W369" s="340" t="str">
        <f t="shared" si="213"/>
        <v>1+1897.52196276823i</v>
      </c>
      <c r="X369" s="337">
        <f t="shared" si="237"/>
        <v>1897.5222262697732</v>
      </c>
      <c r="Y369" s="339">
        <f t="shared" si="238"/>
        <v>1.5702693237208643</v>
      </c>
      <c r="Z369" s="337" t="str">
        <f t="shared" si="214"/>
        <v>1+19.1146042430669i</v>
      </c>
      <c r="AA369" s="346">
        <f t="shared" si="239"/>
        <v>19.140744378656521</v>
      </c>
      <c r="AB369" s="347">
        <f t="shared" si="240"/>
        <v>1.5185279585556846</v>
      </c>
      <c r="AC369" s="732" t="str">
        <f t="shared" si="241"/>
        <v>0.160531016058651-3.09948398545727i</v>
      </c>
      <c r="AD369" s="337">
        <f t="shared" si="242"/>
        <v>3.1036383782945633</v>
      </c>
      <c r="AE369" s="339">
        <f t="shared" si="243"/>
        <v>-1.5190497437770156</v>
      </c>
      <c r="AF369" s="736" t="str">
        <f t="shared" si="215"/>
        <v>-0.281552087107486+0.0609905055751094i</v>
      </c>
      <c r="AG369" s="337">
        <f t="shared" si="244"/>
        <v>-10.809668069688064</v>
      </c>
      <c r="AH369" s="730">
        <f t="shared" si="245"/>
        <v>167.77729665949616</v>
      </c>
      <c r="AI369" s="360">
        <f t="shared" si="216"/>
        <v>-12.222703340503841</v>
      </c>
      <c r="AL369" s="337">
        <f t="shared" si="217"/>
        <v>9.8374222706647494</v>
      </c>
      <c r="AM369" s="730">
        <f t="shared" si="218"/>
        <v>-87.035139188852085</v>
      </c>
      <c r="AN369" s="351"/>
      <c r="AO369" s="337">
        <f t="shared" si="219"/>
        <v>32.882032144689312</v>
      </c>
      <c r="AP369" s="730">
        <f t="shared" si="220"/>
        <v>-105.1875641516517</v>
      </c>
      <c r="AS369" s="351"/>
      <c r="AT369" s="351"/>
      <c r="AV369" s="405">
        <f t="shared" si="221"/>
        <v>0</v>
      </c>
      <c r="AW369" s="405">
        <f t="shared" si="246"/>
        <v>0</v>
      </c>
      <c r="AX369" s="405">
        <f t="shared" si="222"/>
        <v>0</v>
      </c>
      <c r="AY369" s="405">
        <f t="shared" si="223"/>
        <v>0</v>
      </c>
    </row>
    <row r="370" spans="2:51" ht="13.5" thickBot="1" x14ac:dyDescent="0.25">
      <c r="B370" s="345">
        <v>30375.75</v>
      </c>
      <c r="C370" s="728" t="str">
        <f t="shared" si="206"/>
        <v>2.2271548443541</v>
      </c>
      <c r="D370" s="728" t="str">
        <f t="shared" si="207"/>
        <v>1+23.2208700415048i</v>
      </c>
      <c r="E370" s="337">
        <f t="shared" si="225"/>
        <v>23.242392421703386</v>
      </c>
      <c r="F370" s="338">
        <f t="shared" si="226"/>
        <v>1.5277582108465118</v>
      </c>
      <c r="G370" s="338" t="str">
        <f t="shared" si="208"/>
        <v>1+0.09542823304728i</v>
      </c>
      <c r="H370" s="337">
        <f t="shared" si="227"/>
        <v>1.0045429546129554</v>
      </c>
      <c r="I370" s="338">
        <f t="shared" si="228"/>
        <v>9.5140131664404548E-2</v>
      </c>
      <c r="J370" s="340">
        <f t="shared" si="209"/>
        <v>1</v>
      </c>
      <c r="K370" s="338">
        <f t="shared" si="229"/>
        <v>1</v>
      </c>
      <c r="L370" s="339">
        <f t="shared" si="230"/>
        <v>0</v>
      </c>
      <c r="M370" s="731" t="str">
        <f t="shared" si="210"/>
        <v>0.958991724975+0.411380770333676i</v>
      </c>
      <c r="N370" s="338">
        <f t="shared" si="231"/>
        <v>1.0435033621272403</v>
      </c>
      <c r="O370" s="339">
        <f t="shared" si="232"/>
        <v>0.40523030254807541</v>
      </c>
      <c r="P370" s="732" t="str">
        <f t="shared" si="224"/>
        <v>-0.0243425324332577-0.088975481396153i</v>
      </c>
      <c r="Q370" s="337">
        <f t="shared" si="233"/>
        <v>9.2245298931389288E-2</v>
      </c>
      <c r="R370" s="339">
        <f t="shared" si="234"/>
        <v>-1.8378483817301814</v>
      </c>
      <c r="S370" s="731" t="str">
        <f t="shared" si="211"/>
        <v>6000</v>
      </c>
      <c r="T370" s="337" t="str">
        <f t="shared" si="212"/>
        <v>1+192765.030755506i</v>
      </c>
      <c r="U370" s="346">
        <f t="shared" si="235"/>
        <v>192765.03075809983</v>
      </c>
      <c r="V370" s="347">
        <f t="shared" si="236"/>
        <v>1.5707911391319886</v>
      </c>
      <c r="W370" s="340" t="str">
        <f t="shared" si="213"/>
        <v>1+1908.5646609456i</v>
      </c>
      <c r="X370" s="337">
        <f t="shared" si="237"/>
        <v>1908.5649229225589</v>
      </c>
      <c r="Y370" s="339">
        <f t="shared" si="238"/>
        <v>1.5702723728891403</v>
      </c>
      <c r="Z370" s="337" t="str">
        <f t="shared" si="214"/>
        <v>1+19.2258423786868i</v>
      </c>
      <c r="AA370" s="346">
        <f t="shared" si="239"/>
        <v>19.251831475735219</v>
      </c>
      <c r="AB370" s="347">
        <f t="shared" si="240"/>
        <v>1.5188298305564742</v>
      </c>
      <c r="AC370" s="732" t="str">
        <f t="shared" si="241"/>
        <v>0.158683765859902-3.08164686993125i</v>
      </c>
      <c r="AD370" s="337">
        <f t="shared" si="242"/>
        <v>3.0857297303076541</v>
      </c>
      <c r="AE370" s="339">
        <f t="shared" si="243"/>
        <v>-1.5193485967993225</v>
      </c>
      <c r="AF370" s="736" t="str">
        <f t="shared" si="215"/>
        <v>-0.278053778462157+0.0608961244220093i</v>
      </c>
      <c r="AG370" s="337">
        <f t="shared" si="244"/>
        <v>-10.913957451230885</v>
      </c>
      <c r="AH370" s="730">
        <f t="shared" si="245"/>
        <v>167.64678213618737</v>
      </c>
      <c r="AI370" s="360">
        <f t="shared" si="216"/>
        <v>-12.353217863812631</v>
      </c>
      <c r="AL370" s="337">
        <f t="shared" si="217"/>
        <v>9.787157697172578</v>
      </c>
      <c r="AM370" s="730">
        <f t="shared" si="218"/>
        <v>-87.052262205725</v>
      </c>
      <c r="AN370" s="351"/>
      <c r="AO370" s="337">
        <f t="shared" si="219"/>
        <v>32.828007336638677</v>
      </c>
      <c r="AP370" s="730">
        <f t="shared" si="220"/>
        <v>-105.30095565808766</v>
      </c>
      <c r="AS370" s="351"/>
      <c r="AT370" s="351"/>
      <c r="AV370" s="405">
        <f t="shared" si="221"/>
        <v>0</v>
      </c>
      <c r="AW370" s="405">
        <f t="shared" si="246"/>
        <v>0</v>
      </c>
      <c r="AX370" s="405">
        <f t="shared" si="222"/>
        <v>0</v>
      </c>
      <c r="AY370" s="405">
        <f t="shared" si="223"/>
        <v>0</v>
      </c>
    </row>
    <row r="371" spans="2:51" ht="13.5" thickBot="1" x14ac:dyDescent="0.25">
      <c r="B371" s="345">
        <v>30551.5</v>
      </c>
      <c r="C371" s="728" t="str">
        <f t="shared" si="206"/>
        <v>2.2271548443541</v>
      </c>
      <c r="D371" s="728" t="str">
        <f t="shared" si="207"/>
        <v>1+23.3552228693295i</v>
      </c>
      <c r="E371" s="337">
        <f t="shared" si="225"/>
        <v>23.376621553938278</v>
      </c>
      <c r="F371" s="338">
        <f t="shared" si="226"/>
        <v>1.52800548814116</v>
      </c>
      <c r="G371" s="338" t="str">
        <f t="shared" si="208"/>
        <v>1+0.0959803679561485i</v>
      </c>
      <c r="H371" s="337">
        <f t="shared" si="227"/>
        <v>1.0045955559492574</v>
      </c>
      <c r="I371" s="338">
        <f t="shared" si="228"/>
        <v>9.5687255283329289E-2</v>
      </c>
      <c r="J371" s="340">
        <f t="shared" si="209"/>
        <v>1</v>
      </c>
      <c r="K371" s="338">
        <f t="shared" si="229"/>
        <v>1</v>
      </c>
      <c r="L371" s="339">
        <f t="shared" si="230"/>
        <v>0</v>
      </c>
      <c r="M371" s="731" t="str">
        <f t="shared" si="210"/>
        <v>0.958515815455556+0.413760964086461i</v>
      </c>
      <c r="N371" s="338">
        <f t="shared" si="231"/>
        <v>1.044007042064462</v>
      </c>
      <c r="O371" s="339">
        <f t="shared" si="232"/>
        <v>0.40750523528520843</v>
      </c>
      <c r="P371" s="732" t="str">
        <f t="shared" si="224"/>
        <v>-0.0243669498971908-0.0883785780333081i</v>
      </c>
      <c r="Q371" s="337">
        <f t="shared" si="233"/>
        <v>9.1676176308143092E-2</v>
      </c>
      <c r="R371" s="339">
        <f t="shared" si="234"/>
        <v>-1.8398234681430385</v>
      </c>
      <c r="S371" s="731" t="str">
        <f t="shared" si="211"/>
        <v>6000</v>
      </c>
      <c r="T371" s="337" t="str">
        <f t="shared" si="212"/>
        <v>1+193880.34327142i</v>
      </c>
      <c r="U371" s="346">
        <f t="shared" si="235"/>
        <v>193880.34327399891</v>
      </c>
      <c r="V371" s="347">
        <f t="shared" si="236"/>
        <v>1.5707911689744434</v>
      </c>
      <c r="W371" s="340" t="str">
        <f t="shared" si="213"/>
        <v>1+1919.60735912297i</v>
      </c>
      <c r="X371" s="337">
        <f t="shared" si="237"/>
        <v>1919.6076195928854</v>
      </c>
      <c r="Y371" s="339">
        <f t="shared" si="238"/>
        <v>1.5702753869762467</v>
      </c>
      <c r="Z371" s="337" t="str">
        <f t="shared" si="214"/>
        <v>1+19.3370805143066i</v>
      </c>
      <c r="AA371" s="346">
        <f t="shared" si="239"/>
        <v>19.362920307039843</v>
      </c>
      <c r="AB371" s="347">
        <f t="shared" si="240"/>
        <v>1.5191282387876999</v>
      </c>
      <c r="AC371" s="732" t="str">
        <f t="shared" si="241"/>
        <v>0.156868189877194-3.06401333533182i</v>
      </c>
      <c r="AD371" s="337">
        <f t="shared" si="242"/>
        <v>3.0680262952078121</v>
      </c>
      <c r="AE371" s="339">
        <f t="shared" si="243"/>
        <v>-1.5196440207858966</v>
      </c>
      <c r="AF371" s="736" t="str">
        <f t="shared" si="215"/>
        <v>-0.274615540974921+0.0607968718663496i</v>
      </c>
      <c r="AG371" s="337">
        <f t="shared" si="244"/>
        <v>-11.01768862670408</v>
      </c>
      <c r="AH371" s="730">
        <f t="shared" si="245"/>
        <v>167.51669147295942</v>
      </c>
      <c r="AI371" s="360">
        <f t="shared" si="216"/>
        <v>-12.483308527040577</v>
      </c>
      <c r="AL371" s="337">
        <f t="shared" si="217"/>
        <v>9.7371815502241006</v>
      </c>
      <c r="AM371" s="730">
        <f t="shared" si="218"/>
        <v>-87.069188753322621</v>
      </c>
      <c r="AN371" s="351"/>
      <c r="AO371" s="337">
        <f t="shared" si="219"/>
        <v>32.774252308113951</v>
      </c>
      <c r="AP371" s="730">
        <f t="shared" si="220"/>
        <v>-105.414119773718</v>
      </c>
      <c r="AS371" s="351"/>
      <c r="AT371" s="351"/>
      <c r="AV371" s="405">
        <f t="shared" si="221"/>
        <v>0</v>
      </c>
      <c r="AW371" s="405">
        <f t="shared" si="246"/>
        <v>0</v>
      </c>
      <c r="AX371" s="405">
        <f t="shared" si="222"/>
        <v>0</v>
      </c>
      <c r="AY371" s="405">
        <f t="shared" si="223"/>
        <v>0</v>
      </c>
    </row>
    <row r="372" spans="2:51" ht="13.5" thickBot="1" x14ac:dyDescent="0.25">
      <c r="B372" s="345">
        <v>30727.25</v>
      </c>
      <c r="C372" s="728" t="str">
        <f t="shared" si="206"/>
        <v>2.2271548443541</v>
      </c>
      <c r="D372" s="728" t="str">
        <f t="shared" si="207"/>
        <v>1+23.4895756971541i</v>
      </c>
      <c r="E372" s="337">
        <f t="shared" si="225"/>
        <v>23.510852099239884</v>
      </c>
      <c r="F372" s="338">
        <f t="shared" si="226"/>
        <v>1.5282499418893098</v>
      </c>
      <c r="G372" s="338" t="str">
        <f t="shared" si="208"/>
        <v>1+0.096532502865017i</v>
      </c>
      <c r="H372" s="337">
        <f t="shared" si="227"/>
        <v>1.0046484579739245</v>
      </c>
      <c r="I372" s="338">
        <f t="shared" si="228"/>
        <v>9.6234321445950802E-2</v>
      </c>
      <c r="J372" s="340">
        <f t="shared" si="209"/>
        <v>1</v>
      </c>
      <c r="K372" s="338">
        <f t="shared" si="229"/>
        <v>1</v>
      </c>
      <c r="L372" s="339">
        <f t="shared" si="230"/>
        <v>0</v>
      </c>
      <c r="M372" s="731" t="str">
        <f t="shared" si="210"/>
        <v>0.958037160330556+0.416141157839246i</v>
      </c>
      <c r="N372" s="338">
        <f t="shared" si="231"/>
        <v>1.0445136015495555</v>
      </c>
      <c r="O372" s="339">
        <f t="shared" si="232"/>
        <v>0.40977900950296858</v>
      </c>
      <c r="P372" s="732" t="str">
        <f t="shared" si="224"/>
        <v>-0.0243904488608939-0.0877880999411113i</v>
      </c>
      <c r="Q372" s="337">
        <f t="shared" si="233"/>
        <v>9.1113360638857069E-2</v>
      </c>
      <c r="R372" s="339">
        <f t="shared" si="234"/>
        <v>-1.8417946299463273</v>
      </c>
      <c r="S372" s="731" t="str">
        <f t="shared" si="211"/>
        <v>6000</v>
      </c>
      <c r="T372" s="337" t="str">
        <f t="shared" si="212"/>
        <v>1+194995.655787334i</v>
      </c>
      <c r="U372" s="346">
        <f t="shared" si="235"/>
        <v>194995.65578989816</v>
      </c>
      <c r="V372" s="347">
        <f t="shared" si="236"/>
        <v>1.5707911984755196</v>
      </c>
      <c r="W372" s="340" t="str">
        <f t="shared" si="213"/>
        <v>1+1930.65005730034i</v>
      </c>
      <c r="X372" s="337">
        <f t="shared" si="237"/>
        <v>1930.6503162804511</v>
      </c>
      <c r="Y372" s="339">
        <f t="shared" si="238"/>
        <v>1.5702783665841422</v>
      </c>
      <c r="Z372" s="337" t="str">
        <f t="shared" si="214"/>
        <v>1+19.4483186499265i</v>
      </c>
      <c r="AA372" s="346">
        <f t="shared" si="239"/>
        <v>19.474010842892092</v>
      </c>
      <c r="AB372" s="347">
        <f t="shared" si="240"/>
        <v>1.5194232424735323</v>
      </c>
      <c r="AC372" s="732" t="str">
        <f t="shared" si="241"/>
        <v>0.155083568716774-3.04657992539639i</v>
      </c>
      <c r="AD372" s="337">
        <f t="shared" si="242"/>
        <v>3.050524570481969</v>
      </c>
      <c r="AE372" s="339">
        <f t="shared" si="243"/>
        <v>-1.51993607436491</v>
      </c>
      <c r="AF372" s="736" t="str">
        <f t="shared" si="215"/>
        <v>-0.271236020821233+0.0606929600412743i</v>
      </c>
      <c r="AG372" s="337">
        <f t="shared" si="244"/>
        <v>-11.120868142238491</v>
      </c>
      <c r="AH372" s="730">
        <f t="shared" si="245"/>
        <v>167.38701878342439</v>
      </c>
      <c r="AI372" s="360">
        <f t="shared" si="216"/>
        <v>-12.612981216575605</v>
      </c>
      <c r="AL372" s="337">
        <f t="shared" si="217"/>
        <v>9.6874905474385571</v>
      </c>
      <c r="AM372" s="730">
        <f t="shared" si="218"/>
        <v>-87.085922190791777</v>
      </c>
      <c r="AN372" s="351"/>
      <c r="AO372" s="337">
        <f t="shared" si="219"/>
        <v>32.720763795365087</v>
      </c>
      <c r="AP372" s="730">
        <f t="shared" si="220"/>
        <v>-105.52705902578386</v>
      </c>
      <c r="AS372" s="351"/>
      <c r="AT372" s="351"/>
      <c r="AV372" s="405">
        <f t="shared" si="221"/>
        <v>0</v>
      </c>
      <c r="AW372" s="405">
        <f t="shared" si="246"/>
        <v>0</v>
      </c>
      <c r="AX372" s="405">
        <f t="shared" si="222"/>
        <v>0</v>
      </c>
      <c r="AY372" s="405">
        <f t="shared" si="223"/>
        <v>0</v>
      </c>
    </row>
    <row r="373" spans="2:51" ht="13.5" thickBot="1" x14ac:dyDescent="0.25">
      <c r="B373" s="345">
        <v>30903</v>
      </c>
      <c r="C373" s="728" t="str">
        <f t="shared" si="206"/>
        <v>2.2271548443541</v>
      </c>
      <c r="D373" s="728" t="str">
        <f t="shared" si="207"/>
        <v>1+23.6239285249788i</v>
      </c>
      <c r="E373" s="337">
        <f t="shared" si="225"/>
        <v>23.645084033542936</v>
      </c>
      <c r="F373" s="338">
        <f t="shared" si="226"/>
        <v>1.5284916201488821</v>
      </c>
      <c r="G373" s="338" t="str">
        <f t="shared" si="208"/>
        <v>1+0.0970846377738855i</v>
      </c>
      <c r="H373" s="337">
        <f t="shared" si="227"/>
        <v>1.004701660639459</v>
      </c>
      <c r="I373" s="338">
        <f t="shared" si="228"/>
        <v>9.6781329833917656E-2</v>
      </c>
      <c r="J373" s="340">
        <f t="shared" si="209"/>
        <v>1</v>
      </c>
      <c r="K373" s="338">
        <f t="shared" si="229"/>
        <v>1</v>
      </c>
      <c r="L373" s="339">
        <f t="shared" si="230"/>
        <v>0</v>
      </c>
      <c r="M373" s="731" t="str">
        <f t="shared" si="210"/>
        <v>0.9575557596+0.41852135159203i</v>
      </c>
      <c r="N373" s="338">
        <f t="shared" si="231"/>
        <v>1.0450230401678005</v>
      </c>
      <c r="O373" s="339">
        <f t="shared" si="232"/>
        <v>0.41205161983830185</v>
      </c>
      <c r="P373" s="732" t="str">
        <f t="shared" si="224"/>
        <v>-0.0244130483110329-0.0872039402599029i</v>
      </c>
      <c r="Q373" s="337">
        <f t="shared" si="233"/>
        <v>9.0556745329597288E-2</v>
      </c>
      <c r="R373" s="339">
        <f t="shared" si="234"/>
        <v>-1.8437619101532661</v>
      </c>
      <c r="S373" s="731" t="str">
        <f t="shared" si="211"/>
        <v>6000</v>
      </c>
      <c r="T373" s="337" t="str">
        <f t="shared" si="212"/>
        <v>1+196110.968303249i</v>
      </c>
      <c r="U373" s="346">
        <f t="shared" si="235"/>
        <v>196110.9683057986</v>
      </c>
      <c r="V373" s="347">
        <f t="shared" si="236"/>
        <v>1.5707912276410418</v>
      </c>
      <c r="W373" s="340" t="str">
        <f t="shared" si="213"/>
        <v>1+1941.69275547771i</v>
      </c>
      <c r="X373" s="337">
        <f t="shared" si="237"/>
        <v>1941.6930129849625</v>
      </c>
      <c r="Y373" s="339">
        <f t="shared" si="238"/>
        <v>1.5702813123010919</v>
      </c>
      <c r="Z373" s="337" t="str">
        <f t="shared" si="214"/>
        <v>1+19.5595567855463i</v>
      </c>
      <c r="AA373" s="346">
        <f t="shared" si="239"/>
        <v>19.58510305428619</v>
      </c>
      <c r="AB373" s="347">
        <f t="shared" si="240"/>
        <v>1.5197148994967991</v>
      </c>
      <c r="AC373" s="732" t="str">
        <f t="shared" si="241"/>
        <v>0.153329203275665-3.0293432614502i</v>
      </c>
      <c r="AD373" s="337">
        <f t="shared" si="242"/>
        <v>3.033221132768082</v>
      </c>
      <c r="AE373" s="339">
        <f t="shared" si="243"/>
        <v>-1.5202248148367488</v>
      </c>
      <c r="AF373" s="736" t="str">
        <f t="shared" si="215"/>
        <v>-0.267913902045304+0.0605845927099361i</v>
      </c>
      <c r="AG373" s="337">
        <f t="shared" si="244"/>
        <v>-11.223502432227836</v>
      </c>
      <c r="AH373" s="730">
        <f t="shared" si="245"/>
        <v>167.25775832003623</v>
      </c>
      <c r="AI373" s="360">
        <f t="shared" si="216"/>
        <v>-12.742241679963769</v>
      </c>
      <c r="AL373" s="337">
        <f t="shared" si="217"/>
        <v>9.6380814620005992</v>
      </c>
      <c r="AM373" s="730">
        <f t="shared" si="218"/>
        <v>-87.102465801202754</v>
      </c>
      <c r="AN373" s="351"/>
      <c r="AO373" s="337">
        <f t="shared" si="219"/>
        <v>32.667538590813685</v>
      </c>
      <c r="AP373" s="730">
        <f t="shared" si="220"/>
        <v>-105.63977587876099</v>
      </c>
      <c r="AS373" s="351"/>
      <c r="AT373" s="351"/>
      <c r="AV373" s="405">
        <f t="shared" si="221"/>
        <v>0</v>
      </c>
      <c r="AW373" s="405">
        <f t="shared" si="246"/>
        <v>0</v>
      </c>
      <c r="AX373" s="405">
        <f t="shared" si="222"/>
        <v>0</v>
      </c>
      <c r="AY373" s="405">
        <f t="shared" si="223"/>
        <v>0</v>
      </c>
    </row>
    <row r="374" spans="2:51" ht="13.5" thickBot="1" x14ac:dyDescent="0.25">
      <c r="B374" s="345">
        <v>31083</v>
      </c>
      <c r="C374" s="728" t="str">
        <f t="shared" si="206"/>
        <v>2.2271548443541</v>
      </c>
      <c r="D374" s="728" t="str">
        <f t="shared" si="207"/>
        <v>1+23.761530283206i</v>
      </c>
      <c r="E374" s="337">
        <f t="shared" si="225"/>
        <v>23.782563390007308</v>
      </c>
      <c r="F374" s="338">
        <f t="shared" si="226"/>
        <v>1.5287363147925035</v>
      </c>
      <c r="G374" s="338" t="str">
        <f t="shared" si="208"/>
        <v>1+0.0976501244515315i</v>
      </c>
      <c r="H374" s="337">
        <f t="shared" si="227"/>
        <v>1.0047564614399849</v>
      </c>
      <c r="I374" s="338">
        <f t="shared" si="228"/>
        <v>9.7341505801089828E-2</v>
      </c>
      <c r="J374" s="340">
        <f t="shared" si="209"/>
        <v>1</v>
      </c>
      <c r="K374" s="338">
        <f t="shared" si="229"/>
        <v>1</v>
      </c>
      <c r="L374" s="339">
        <f t="shared" si="230"/>
        <v>0</v>
      </c>
      <c r="M374" s="731" t="str">
        <f t="shared" si="210"/>
        <v>0.9570598716+0.420959103372976i</v>
      </c>
      <c r="N374" s="338">
        <f t="shared" si="231"/>
        <v>1.0455477820451766</v>
      </c>
      <c r="O374" s="339">
        <f t="shared" si="232"/>
        <v>0.4143779745880668</v>
      </c>
      <c r="P374" s="732" t="str">
        <f t="shared" si="224"/>
        <v>-0.024435281153304-0.0866120946935097i</v>
      </c>
      <c r="Q374" s="337">
        <f t="shared" si="233"/>
        <v>8.9992988128178644E-2</v>
      </c>
      <c r="R374" s="339">
        <f t="shared" si="234"/>
        <v>-1.845772783579481</v>
      </c>
      <c r="S374" s="731" t="str">
        <f t="shared" si="211"/>
        <v>6000</v>
      </c>
      <c r="T374" s="337" t="str">
        <f t="shared" si="212"/>
        <v>1+197253.251392094i</v>
      </c>
      <c r="U374" s="346">
        <f t="shared" si="235"/>
        <v>197253.25139462884</v>
      </c>
      <c r="V374" s="347">
        <f t="shared" si="236"/>
        <v>1.5707912571699707</v>
      </c>
      <c r="W374" s="340" t="str">
        <f t="shared" si="213"/>
        <v>1+1953.00248903063i</v>
      </c>
      <c r="X374" s="337">
        <f t="shared" si="237"/>
        <v>1953.0027450466719</v>
      </c>
      <c r="Y374" s="339">
        <f t="shared" si="238"/>
        <v>1.5702842947221141</v>
      </c>
      <c r="Z374" s="337" t="str">
        <f t="shared" si="214"/>
        <v>1+19.6734848903063i</v>
      </c>
      <c r="AA374" s="346">
        <f t="shared" si="239"/>
        <v>19.698883413257473</v>
      </c>
      <c r="AB374" s="347">
        <f t="shared" si="240"/>
        <v>1.5200101994703994</v>
      </c>
      <c r="AC374" s="732" t="str">
        <f t="shared" si="241"/>
        <v>0.151563065772002-3.01189026811226i</v>
      </c>
      <c r="AD374" s="337">
        <f t="shared" si="242"/>
        <v>3.015701303188953</v>
      </c>
      <c r="AE374" s="339">
        <f t="shared" si="243"/>
        <v>-1.5205171619182558</v>
      </c>
      <c r="AF374" s="736" t="str">
        <f t="shared" si="215"/>
        <v>-0.264569611232795+0.06046919089954i</v>
      </c>
      <c r="AG374" s="337">
        <f t="shared" si="244"/>
        <v>-11.328060079126699</v>
      </c>
      <c r="AH374" s="730">
        <f t="shared" si="245"/>
        <v>167.12579350565574</v>
      </c>
      <c r="AI374" s="360">
        <f t="shared" si="216"/>
        <v>-12.874206494344264</v>
      </c>
      <c r="AL374" s="337">
        <f t="shared" si="217"/>
        <v>9.5877664733916799</v>
      </c>
      <c r="AM374" s="730">
        <f t="shared" si="218"/>
        <v>-87.119216055126074</v>
      </c>
      <c r="AN374" s="351"/>
      <c r="AO374" s="337">
        <f t="shared" si="219"/>
        <v>32.613295932523755</v>
      </c>
      <c r="AP374" s="730">
        <f t="shared" si="220"/>
        <v>-105.7549904392182</v>
      </c>
      <c r="AS374" s="351"/>
      <c r="AT374" s="351"/>
      <c r="AV374" s="405">
        <f t="shared" si="221"/>
        <v>0</v>
      </c>
      <c r="AW374" s="405">
        <f t="shared" si="246"/>
        <v>0</v>
      </c>
      <c r="AX374" s="405">
        <f t="shared" si="222"/>
        <v>0</v>
      </c>
      <c r="AY374" s="405">
        <f t="shared" si="223"/>
        <v>0</v>
      </c>
    </row>
    <row r="375" spans="2:51" ht="13.5" thickBot="1" x14ac:dyDescent="0.25">
      <c r="B375" s="345">
        <v>31263</v>
      </c>
      <c r="C375" s="728" t="str">
        <f t="shared" si="206"/>
        <v>2.2271548443541</v>
      </c>
      <c r="D375" s="728" t="str">
        <f t="shared" si="207"/>
        <v>1+23.8991320414332i</v>
      </c>
      <c r="E375" s="337">
        <f t="shared" si="225"/>
        <v>23.920044154095098</v>
      </c>
      <c r="F375" s="338">
        <f t="shared" si="226"/>
        <v>1.5289781966791922</v>
      </c>
      <c r="G375" s="338" t="str">
        <f t="shared" si="208"/>
        <v>1+0.0982156111291775i</v>
      </c>
      <c r="H375" s="337">
        <f t="shared" si="227"/>
        <v>1.0048115774957402</v>
      </c>
      <c r="I375" s="338">
        <f t="shared" si="228"/>
        <v>9.7901620490317864E-2</v>
      </c>
      <c r="J375" s="340">
        <f t="shared" si="209"/>
        <v>1</v>
      </c>
      <c r="K375" s="338">
        <f t="shared" si="229"/>
        <v>1</v>
      </c>
      <c r="L375" s="339">
        <f t="shared" si="230"/>
        <v>0</v>
      </c>
      <c r="M375" s="731" t="str">
        <f t="shared" si="210"/>
        <v>0.9565611036+0.423396855153921i</v>
      </c>
      <c r="N375" s="338">
        <f t="shared" si="231"/>
        <v>1.0460755431013002</v>
      </c>
      <c r="O375" s="339">
        <f t="shared" si="232"/>
        <v>0.41670309716193371</v>
      </c>
      <c r="P375" s="732" t="str">
        <f t="shared" si="224"/>
        <v>-0.0244566091197051-0.0860266575666295i</v>
      </c>
      <c r="Q375" s="337">
        <f t="shared" si="233"/>
        <v>8.9435516109206734E-2</v>
      </c>
      <c r="R375" s="339">
        <f t="shared" si="234"/>
        <v>-1.8477796733508078</v>
      </c>
      <c r="S375" s="731" t="str">
        <f t="shared" si="211"/>
        <v>6000</v>
      </c>
      <c r="T375" s="337" t="str">
        <f t="shared" si="212"/>
        <v>1+198395.534480939i</v>
      </c>
      <c r="U375" s="346">
        <f t="shared" si="235"/>
        <v>198395.53448345923</v>
      </c>
      <c r="V375" s="347">
        <f t="shared" si="236"/>
        <v>1.5707912863588676</v>
      </c>
      <c r="W375" s="340" t="str">
        <f t="shared" si="213"/>
        <v>1+1964.31222258355i</v>
      </c>
      <c r="X375" s="337">
        <f t="shared" si="237"/>
        <v>1964.3124771255532</v>
      </c>
      <c r="Y375" s="339">
        <f t="shared" si="238"/>
        <v>1.5702872427999419</v>
      </c>
      <c r="Z375" s="337" t="str">
        <f t="shared" si="214"/>
        <v>1+19.7874129950663i</v>
      </c>
      <c r="AA375" s="346">
        <f t="shared" si="239"/>
        <v>19.812665470282358</v>
      </c>
      <c r="AB375" s="347">
        <f t="shared" si="240"/>
        <v>1.520302107715741</v>
      </c>
      <c r="AC375" s="732" t="str">
        <f t="shared" si="241"/>
        <v>0.149827242906705-2.99463671763731i</v>
      </c>
      <c r="AD375" s="337">
        <f t="shared" si="242"/>
        <v>2.9983824428078858</v>
      </c>
      <c r="AE375" s="339">
        <f t="shared" si="243"/>
        <v>-1.5208061512746669</v>
      </c>
      <c r="AF375" s="736" t="str">
        <f t="shared" si="215"/>
        <v>-0.261282853759893+0.0603495227390851i</v>
      </c>
      <c r="AG375" s="337">
        <f t="shared" si="244"/>
        <v>-11.432059125713216</v>
      </c>
      <c r="AH375" s="730">
        <f t="shared" si="245"/>
        <v>166.99424932136421</v>
      </c>
      <c r="AI375" s="360">
        <f t="shared" si="216"/>
        <v>-13.005750678635792</v>
      </c>
      <c r="AL375" s="337">
        <f t="shared" si="217"/>
        <v>9.537740523601542</v>
      </c>
      <c r="AM375" s="730">
        <f t="shared" si="218"/>
        <v>-87.135773925572636</v>
      </c>
      <c r="AN375" s="351"/>
      <c r="AO375" s="337">
        <f t="shared" si="219"/>
        <v>32.559322835727372</v>
      </c>
      <c r="AP375" s="730">
        <f t="shared" si="220"/>
        <v>-105.86997675306311</v>
      </c>
      <c r="AS375" s="351"/>
      <c r="AT375" s="351"/>
      <c r="AV375" s="405">
        <f t="shared" si="221"/>
        <v>0</v>
      </c>
      <c r="AW375" s="405">
        <f t="shared" si="246"/>
        <v>0</v>
      </c>
      <c r="AX375" s="405">
        <f t="shared" si="222"/>
        <v>0</v>
      </c>
      <c r="AY375" s="405">
        <f t="shared" si="223"/>
        <v>0</v>
      </c>
    </row>
    <row r="376" spans="2:51" ht="13.5" thickBot="1" x14ac:dyDescent="0.25">
      <c r="B376" s="345">
        <v>31443</v>
      </c>
      <c r="C376" s="728" t="str">
        <f t="shared" si="206"/>
        <v>2.2271548443541</v>
      </c>
      <c r="D376" s="728" t="str">
        <f t="shared" si="207"/>
        <v>1+24.0367337996605i</v>
      </c>
      <c r="E376" s="337">
        <f t="shared" si="225"/>
        <v>24.057526301674105</v>
      </c>
      <c r="F376" s="338">
        <f t="shared" si="226"/>
        <v>1.5292173140027965</v>
      </c>
      <c r="G376" s="338" t="str">
        <f t="shared" si="208"/>
        <v>1+0.098781097806824i</v>
      </c>
      <c r="H376" s="337">
        <f t="shared" si="227"/>
        <v>1.0048670087548508</v>
      </c>
      <c r="I376" s="338">
        <f t="shared" si="228"/>
        <v>9.8461673560266583E-2</v>
      </c>
      <c r="J376" s="340">
        <f t="shared" si="209"/>
        <v>1</v>
      </c>
      <c r="K376" s="338">
        <f t="shared" si="229"/>
        <v>1</v>
      </c>
      <c r="L376" s="339">
        <f t="shared" si="230"/>
        <v>0</v>
      </c>
      <c r="M376" s="731" t="str">
        <f t="shared" si="210"/>
        <v>0.9560594556+0.425834606934868i</v>
      </c>
      <c r="N376" s="338">
        <f t="shared" si="231"/>
        <v>1.0466063228862807</v>
      </c>
      <c r="O376" s="339">
        <f t="shared" si="232"/>
        <v>0.41902698186385984</v>
      </c>
      <c r="P376" s="732" t="str">
        <f t="shared" si="224"/>
        <v>-0.0244770509755632-0.0854475216855973i</v>
      </c>
      <c r="Q376" s="337">
        <f t="shared" si="233"/>
        <v>8.8884222371976351E-2</v>
      </c>
      <c r="R376" s="339">
        <f t="shared" si="234"/>
        <v>-1.8497826223063896</v>
      </c>
      <c r="S376" s="731" t="str">
        <f t="shared" si="211"/>
        <v>6000</v>
      </c>
      <c r="T376" s="337" t="str">
        <f t="shared" si="212"/>
        <v>1+199537.817569784i</v>
      </c>
      <c r="U376" s="346">
        <f t="shared" si="235"/>
        <v>199537.81757228979</v>
      </c>
      <c r="V376" s="347">
        <f t="shared" si="236"/>
        <v>1.5707913152135724</v>
      </c>
      <c r="W376" s="340" t="str">
        <f t="shared" si="213"/>
        <v>1+1975.62195613648i</v>
      </c>
      <c r="X376" s="337">
        <f t="shared" si="237"/>
        <v>1975.6222092213211</v>
      </c>
      <c r="Y376" s="339">
        <f t="shared" si="238"/>
        <v>1.5702901571243828</v>
      </c>
      <c r="Z376" s="337" t="str">
        <f t="shared" si="214"/>
        <v>1+19.9013410998263i</v>
      </c>
      <c r="AA376" s="346">
        <f t="shared" si="239"/>
        <v>19.926449196272664</v>
      </c>
      <c r="AB376" s="347">
        <f t="shared" si="240"/>
        <v>1.5205906822848407</v>
      </c>
      <c r="AC376" s="732" t="str">
        <f t="shared" si="241"/>
        <v>0.148121045431652-2.97757921944007i</v>
      </c>
      <c r="AD376" s="337">
        <f t="shared" si="242"/>
        <v>2.981261117738784</v>
      </c>
      <c r="AE376" s="339">
        <f t="shared" si="243"/>
        <v>-1.5210918403740303</v>
      </c>
      <c r="AF376" s="736" t="str">
        <f t="shared" si="215"/>
        <v>-0.258052331303274+0.0602257820963979i</v>
      </c>
      <c r="AG376" s="337">
        <f t="shared" si="244"/>
        <v>-11.535506136268516</v>
      </c>
      <c r="AH376" s="730">
        <f t="shared" si="245"/>
        <v>166.8631200199828</v>
      </c>
      <c r="AI376" s="360">
        <f t="shared" si="216"/>
        <v>-13.136879980017198</v>
      </c>
      <c r="AL376" s="337">
        <f t="shared" si="217"/>
        <v>9.4880003192215749</v>
      </c>
      <c r="AM376" s="730">
        <f t="shared" si="218"/>
        <v>-87.152142705219049</v>
      </c>
      <c r="AN376" s="351"/>
      <c r="AO376" s="337">
        <f t="shared" si="219"/>
        <v>32.50561602955203</v>
      </c>
      <c r="AP376" s="730">
        <f t="shared" si="220"/>
        <v>-105.98473727479818</v>
      </c>
      <c r="AS376" s="351"/>
      <c r="AT376" s="351"/>
      <c r="AV376" s="405">
        <f t="shared" si="221"/>
        <v>0</v>
      </c>
      <c r="AW376" s="405">
        <f t="shared" si="246"/>
        <v>0</v>
      </c>
      <c r="AX376" s="405">
        <f t="shared" si="222"/>
        <v>0</v>
      </c>
      <c r="AY376" s="405">
        <f t="shared" si="223"/>
        <v>0</v>
      </c>
    </row>
    <row r="377" spans="2:51" ht="13.5" thickBot="1" x14ac:dyDescent="0.25">
      <c r="B377" s="345">
        <v>31623</v>
      </c>
      <c r="C377" s="728" t="str">
        <f t="shared" si="206"/>
        <v>2.2271548443541</v>
      </c>
      <c r="D377" s="728" t="str">
        <f t="shared" si="207"/>
        <v>1+24.1743355578877i</v>
      </c>
      <c r="E377" s="337">
        <f t="shared" si="225"/>
        <v>24.195009809160108</v>
      </c>
      <c r="F377" s="338">
        <f t="shared" si="226"/>
        <v>1.5294537138630364</v>
      </c>
      <c r="G377" s="338" t="str">
        <f t="shared" si="208"/>
        <v>1+0.09934658448447i</v>
      </c>
      <c r="H377" s="337">
        <f t="shared" si="227"/>
        <v>1.0049227551651569</v>
      </c>
      <c r="I377" s="338">
        <f t="shared" si="228"/>
        <v>9.9021664669829049E-2</v>
      </c>
      <c r="J377" s="340">
        <f t="shared" si="209"/>
        <v>1</v>
      </c>
      <c r="K377" s="338">
        <f t="shared" si="229"/>
        <v>1</v>
      </c>
      <c r="L377" s="339">
        <f t="shared" si="230"/>
        <v>0</v>
      </c>
      <c r="M377" s="731" t="str">
        <f t="shared" si="210"/>
        <v>0.9555549276+0.428272358715813i</v>
      </c>
      <c r="N377" s="338">
        <f t="shared" si="231"/>
        <v>1.0471401209487903</v>
      </c>
      <c r="O377" s="339">
        <f t="shared" si="232"/>
        <v>0.42134962302002749</v>
      </c>
      <c r="P377" s="732" t="str">
        <f t="shared" si="224"/>
        <v>-0.0244966249723242-0.0848745822803018i</v>
      </c>
      <c r="Q377" s="337">
        <f t="shared" si="233"/>
        <v>8.8339002441109885E-2</v>
      </c>
      <c r="R377" s="339">
        <f t="shared" si="234"/>
        <v>-1.8517816722132345</v>
      </c>
      <c r="S377" s="731" t="str">
        <f t="shared" si="211"/>
        <v>6000</v>
      </c>
      <c r="T377" s="337" t="str">
        <f t="shared" si="212"/>
        <v>1+200680.100658629i</v>
      </c>
      <c r="U377" s="346">
        <f t="shared" si="235"/>
        <v>200680.10066112052</v>
      </c>
      <c r="V377" s="347">
        <f t="shared" si="236"/>
        <v>1.570791343739792</v>
      </c>
      <c r="W377" s="340" t="str">
        <f t="shared" si="213"/>
        <v>1+1986.9316896894i</v>
      </c>
      <c r="X377" s="337">
        <f t="shared" si="237"/>
        <v>1986.9319413336668</v>
      </c>
      <c r="Y377" s="339">
        <f t="shared" si="238"/>
        <v>1.5702930382718154</v>
      </c>
      <c r="Z377" s="337" t="str">
        <f t="shared" si="214"/>
        <v>1+20.0152692045863i</v>
      </c>
      <c r="AA377" s="346">
        <f t="shared" si="239"/>
        <v>20.040234562800425</v>
      </c>
      <c r="AB377" s="347">
        <f t="shared" si="240"/>
        <v>1.5208759799135232</v>
      </c>
      <c r="AC377" s="732" t="str">
        <f t="shared" si="241"/>
        <v>0.146443803560579-2.96071445916052i</v>
      </c>
      <c r="AD377" s="337">
        <f t="shared" si="242"/>
        <v>2.9643339717858139</v>
      </c>
      <c r="AE377" s="339">
        <f t="shared" si="243"/>
        <v>-1.5213742853814998</v>
      </c>
      <c r="AF377" s="736" t="str">
        <f t="shared" si="215"/>
        <v>-0.254876781907843+0.0600981551014502i</v>
      </c>
      <c r="AG377" s="337">
        <f t="shared" si="244"/>
        <v>-11.638407562823339</v>
      </c>
      <c r="AH377" s="730">
        <f t="shared" si="245"/>
        <v>166.73239999041203</v>
      </c>
      <c r="AI377" s="360">
        <f t="shared" si="216"/>
        <v>-13.267600009587966</v>
      </c>
      <c r="AL377" s="337">
        <f t="shared" si="217"/>
        <v>9.4385426226702318</v>
      </c>
      <c r="AM377" s="730">
        <f t="shared" si="218"/>
        <v>-87.168325612091593</v>
      </c>
      <c r="AN377" s="351"/>
      <c r="AO377" s="337">
        <f t="shared" si="219"/>
        <v>32.452172299548565</v>
      </c>
      <c r="AP377" s="730">
        <f t="shared" si="220"/>
        <v>-106.09927439749637</v>
      </c>
      <c r="AS377" s="351"/>
      <c r="AT377" s="351"/>
      <c r="AV377" s="405">
        <f t="shared" si="221"/>
        <v>0</v>
      </c>
      <c r="AW377" s="405">
        <f t="shared" si="246"/>
        <v>0</v>
      </c>
      <c r="AX377" s="405">
        <f t="shared" si="222"/>
        <v>0</v>
      </c>
      <c r="AY377" s="405">
        <f t="shared" si="223"/>
        <v>0</v>
      </c>
    </row>
    <row r="378" spans="2:51" ht="13.5" thickBot="1" x14ac:dyDescent="0.25">
      <c r="B378" s="345">
        <v>31807</v>
      </c>
      <c r="C378" s="728" t="str">
        <f t="shared" si="206"/>
        <v>2.2271548443541</v>
      </c>
      <c r="D378" s="728" t="str">
        <f t="shared" si="207"/>
        <v>1+24.3149951329644i</v>
      </c>
      <c r="E378" s="337">
        <f t="shared" si="225"/>
        <v>24.335549887275661</v>
      </c>
      <c r="F378" s="338">
        <f t="shared" si="226"/>
        <v>1.5296926062658642</v>
      </c>
      <c r="G378" s="338" t="str">
        <f t="shared" si="208"/>
        <v>1+0.0999246375327305i</v>
      </c>
      <c r="H378" s="337">
        <f t="shared" si="227"/>
        <v>1.0049800660640227</v>
      </c>
      <c r="I378" s="338">
        <f t="shared" si="228"/>
        <v>9.959403563030983E-2</v>
      </c>
      <c r="J378" s="340">
        <f t="shared" si="209"/>
        <v>1</v>
      </c>
      <c r="K378" s="338">
        <f t="shared" si="229"/>
        <v>1</v>
      </c>
      <c r="L378" s="339">
        <f t="shared" si="230"/>
        <v>0</v>
      </c>
      <c r="M378" s="731" t="str">
        <f t="shared" si="210"/>
        <v>0.955036211155556+0.430764282758557i</v>
      </c>
      <c r="N378" s="338">
        <f t="shared" si="231"/>
        <v>1.0476889003510792</v>
      </c>
      <c r="O378" s="339">
        <f t="shared" si="232"/>
        <v>0.42372258723533507</v>
      </c>
      <c r="P378" s="732" t="str">
        <f t="shared" si="224"/>
        <v>-0.0245157554290355-0.0842952088187226i</v>
      </c>
      <c r="Q378" s="337">
        <f t="shared" si="233"/>
        <v>8.778783796203396E-2</v>
      </c>
      <c r="R378" s="339">
        <f t="shared" si="234"/>
        <v>-1.8538211578708894</v>
      </c>
      <c r="S378" s="731" t="str">
        <f t="shared" si="211"/>
        <v>6000</v>
      </c>
      <c r="T378" s="337" t="str">
        <f t="shared" si="212"/>
        <v>1+201847.767816116i</v>
      </c>
      <c r="U378" s="346">
        <f t="shared" si="235"/>
        <v>201847.7678185931</v>
      </c>
      <c r="V378" s="347">
        <f t="shared" si="236"/>
        <v>1.5707913725662181</v>
      </c>
      <c r="W378" s="340" t="str">
        <f t="shared" si="213"/>
        <v>1+1998.49275065461i</v>
      </c>
      <c r="X378" s="337">
        <f t="shared" si="237"/>
        <v>1998.4930008431425</v>
      </c>
      <c r="Y378" s="339">
        <f t="shared" si="238"/>
        <v>1.5702959497401321</v>
      </c>
      <c r="Z378" s="337" t="str">
        <f t="shared" si="214"/>
        <v>1+20.1317290450076i</v>
      </c>
      <c r="AA378" s="346">
        <f t="shared" si="239"/>
        <v>20.156550159727299</v>
      </c>
      <c r="AB378" s="347">
        <f t="shared" si="240"/>
        <v>1.5211642882449212</v>
      </c>
      <c r="AC378" s="732" t="str">
        <f t="shared" si="241"/>
        <v>0.144758539870432-2.943670763078i</v>
      </c>
      <c r="AD378" s="337">
        <f t="shared" si="242"/>
        <v>2.9472279511883079</v>
      </c>
      <c r="AE378" s="339">
        <f t="shared" si="243"/>
        <v>-1.5216597110710073</v>
      </c>
      <c r="AF378" s="736" t="str">
        <f t="shared" si="215"/>
        <v>-0.251686206626956+0.0599638611445511i</v>
      </c>
      <c r="AG378" s="337">
        <f t="shared" si="244"/>
        <v>-11.743038386110214</v>
      </c>
      <c r="AH378" s="730">
        <f t="shared" si="245"/>
        <v>166.59919238247753</v>
      </c>
      <c r="AI378" s="360">
        <f t="shared" si="216"/>
        <v>-13.400807617522474</v>
      </c>
      <c r="AL378" s="337">
        <f t="shared" si="217"/>
        <v>9.3882745467553068</v>
      </c>
      <c r="AM378" s="730">
        <f t="shared" si="218"/>
        <v>-87.184679299464989</v>
      </c>
      <c r="AN378" s="351"/>
      <c r="AO378" s="337">
        <f t="shared" si="219"/>
        <v>32.397809552176625</v>
      </c>
      <c r="AP378" s="730">
        <f t="shared" si="220"/>
        <v>-106.21612831805751</v>
      </c>
      <c r="AS378" s="351"/>
      <c r="AT378" s="351"/>
      <c r="AV378" s="405">
        <f t="shared" si="221"/>
        <v>0</v>
      </c>
      <c r="AW378" s="405">
        <f t="shared" si="246"/>
        <v>0</v>
      </c>
      <c r="AX378" s="405">
        <f t="shared" si="222"/>
        <v>0</v>
      </c>
      <c r="AY378" s="405">
        <f t="shared" si="223"/>
        <v>0</v>
      </c>
    </row>
    <row r="379" spans="2:51" ht="13.5" thickBot="1" x14ac:dyDescent="0.25">
      <c r="B379" s="345">
        <v>31991</v>
      </c>
      <c r="C379" s="728" t="str">
        <f t="shared" si="206"/>
        <v>2.2271548443541</v>
      </c>
      <c r="D379" s="728" t="str">
        <f t="shared" si="207"/>
        <v>1+24.4556547080411i</v>
      </c>
      <c r="E379" s="337">
        <f t="shared" si="225"/>
        <v>24.476091338261771</v>
      </c>
      <c r="F379" s="338">
        <f t="shared" si="226"/>
        <v>1.5299287552468681</v>
      </c>
      <c r="G379" s="338" t="str">
        <f t="shared" si="208"/>
        <v>1+0.100502690580991i</v>
      </c>
      <c r="H379" s="337">
        <f t="shared" si="227"/>
        <v>1.0050377061653053</v>
      </c>
      <c r="I379" s="338">
        <f t="shared" si="228"/>
        <v>0.10016634112596165</v>
      </c>
      <c r="J379" s="340">
        <f t="shared" si="209"/>
        <v>1</v>
      </c>
      <c r="K379" s="338">
        <f t="shared" si="229"/>
        <v>1</v>
      </c>
      <c r="L379" s="339">
        <f t="shared" si="230"/>
        <v>0</v>
      </c>
      <c r="M379" s="731" t="str">
        <f t="shared" si="210"/>
        <v>0.954514485288889+0.433256206801302i</v>
      </c>
      <c r="N379" s="338">
        <f t="shared" si="231"/>
        <v>1.0482408327088606</v>
      </c>
      <c r="O379" s="339">
        <f t="shared" si="232"/>
        <v>0.42609424010408792</v>
      </c>
      <c r="P379" s="732" t="str">
        <f t="shared" si="224"/>
        <v>-0.0245340160244586-0.0837220963612265i</v>
      </c>
      <c r="Q379" s="337">
        <f t="shared" si="233"/>
        <v>8.7242806932187181E-2</v>
      </c>
      <c r="R379" s="339">
        <f t="shared" si="234"/>
        <v>-1.8558566542249955</v>
      </c>
      <c r="S379" s="731" t="str">
        <f t="shared" si="211"/>
        <v>6000</v>
      </c>
      <c r="T379" s="337" t="str">
        <f t="shared" si="212"/>
        <v>1+203015.434973602i</v>
      </c>
      <c r="U379" s="346">
        <f t="shared" si="235"/>
        <v>203015.43497606486</v>
      </c>
      <c r="V379" s="347">
        <f t="shared" si="236"/>
        <v>1.5707914010610473</v>
      </c>
      <c r="W379" s="340" t="str">
        <f t="shared" si="213"/>
        <v>1+2010.05381161982i</v>
      </c>
      <c r="X379" s="337">
        <f t="shared" si="237"/>
        <v>2010.0540603693642</v>
      </c>
      <c r="Y379" s="339">
        <f t="shared" si="238"/>
        <v>1.5702988277171519</v>
      </c>
      <c r="Z379" s="337" t="str">
        <f t="shared" si="214"/>
        <v>1+20.248188885429i</v>
      </c>
      <c r="AA379" s="346">
        <f t="shared" si="239"/>
        <v>20.27286741287503</v>
      </c>
      <c r="AB379" s="347">
        <f t="shared" si="240"/>
        <v>1.5214492882139998</v>
      </c>
      <c r="AC379" s="732" t="str">
        <f t="shared" si="241"/>
        <v>0.1431021771113-2.92682169730897i</v>
      </c>
      <c r="AD379" s="337">
        <f t="shared" si="242"/>
        <v>2.9303179829043389</v>
      </c>
      <c r="AE379" s="339">
        <f t="shared" si="243"/>
        <v>-1.5219418615578955</v>
      </c>
      <c r="AF379" s="736" t="str">
        <f t="shared" si="215"/>
        <v>-0.248550519280614+0.0598258761608978i</v>
      </c>
      <c r="AG379" s="337">
        <f t="shared" si="244"/>
        <v>-11.847112393433044</v>
      </c>
      <c r="AH379" s="730">
        <f t="shared" si="245"/>
        <v>166.46640100008679</v>
      </c>
      <c r="AI379" s="360">
        <f t="shared" si="216"/>
        <v>-13.53359899991321</v>
      </c>
      <c r="AL379" s="337">
        <f t="shared" si="217"/>
        <v>9.3382950059052039</v>
      </c>
      <c r="AM379" s="730">
        <f t="shared" si="218"/>
        <v>-87.200845331551236</v>
      </c>
      <c r="AN379" s="351"/>
      <c r="AO379" s="337">
        <f t="shared" si="219"/>
        <v>32.343715085703863</v>
      </c>
      <c r="AP379" s="730">
        <f t="shared" si="220"/>
        <v>-106.33275366836196</v>
      </c>
      <c r="AS379" s="351"/>
      <c r="AT379" s="351"/>
      <c r="AV379" s="405">
        <f t="shared" si="221"/>
        <v>0</v>
      </c>
      <c r="AW379" s="405">
        <f t="shared" si="246"/>
        <v>0</v>
      </c>
      <c r="AX379" s="405">
        <f t="shared" si="222"/>
        <v>0</v>
      </c>
      <c r="AY379" s="405">
        <f t="shared" si="223"/>
        <v>0</v>
      </c>
    </row>
    <row r="380" spans="2:51" ht="13.5" thickBot="1" x14ac:dyDescent="0.25">
      <c r="B380" s="345">
        <v>32175</v>
      </c>
      <c r="C380" s="728" t="str">
        <f t="shared" si="206"/>
        <v>2.2271548443541</v>
      </c>
      <c r="D380" s="728" t="str">
        <f t="shared" si="207"/>
        <v>1+24.5963142831179i</v>
      </c>
      <c r="E380" s="337">
        <f t="shared" si="225"/>
        <v>24.616634138604521</v>
      </c>
      <c r="F380" s="338">
        <f t="shared" si="226"/>
        <v>1.5301622077682198</v>
      </c>
      <c r="G380" s="338" t="str">
        <f t="shared" si="208"/>
        <v>1+0.101080743629251i</v>
      </c>
      <c r="H380" s="337">
        <f t="shared" si="227"/>
        <v>1.005095675412367</v>
      </c>
      <c r="I380" s="338">
        <f t="shared" si="228"/>
        <v>0.10073858079318067</v>
      </c>
      <c r="J380" s="340">
        <f t="shared" si="209"/>
        <v>1</v>
      </c>
      <c r="K380" s="338">
        <f t="shared" si="229"/>
        <v>1</v>
      </c>
      <c r="L380" s="339">
        <f t="shared" si="230"/>
        <v>0</v>
      </c>
      <c r="M380" s="731" t="str">
        <f t="shared" si="210"/>
        <v>0.95398975+0.435748130844046i</v>
      </c>
      <c r="N380" s="338">
        <f t="shared" si="231"/>
        <v>1.0487959175355053</v>
      </c>
      <c r="O380" s="339">
        <f t="shared" si="232"/>
        <v>0.42846457563814938</v>
      </c>
      <c r="P380" s="732" t="str">
        <f t="shared" si="224"/>
        <v>-0.0245514246994766-0.0831551404145962i</v>
      </c>
      <c r="Q380" s="337">
        <f t="shared" si="233"/>
        <v>8.6703805176850682E-2</v>
      </c>
      <c r="R380" s="339">
        <f t="shared" si="234"/>
        <v>-1.8578882026131889</v>
      </c>
      <c r="S380" s="731" t="str">
        <f t="shared" si="211"/>
        <v>6000</v>
      </c>
      <c r="T380" s="337" t="str">
        <f t="shared" si="212"/>
        <v>1+204183.102131088i</v>
      </c>
      <c r="U380" s="346">
        <f t="shared" si="235"/>
        <v>204183.1021335368</v>
      </c>
      <c r="V380" s="347">
        <f t="shared" si="236"/>
        <v>1.5707914292299681</v>
      </c>
      <c r="W380" s="340" t="str">
        <f t="shared" si="213"/>
        <v>1+2021.61487258503i</v>
      </c>
      <c r="X380" s="337">
        <f t="shared" si="237"/>
        <v>2021.6151199120436</v>
      </c>
      <c r="Y380" s="339">
        <f t="shared" si="238"/>
        <v>1.5703016727774575</v>
      </c>
      <c r="Z380" s="337" t="str">
        <f t="shared" si="214"/>
        <v>1+20.3646487258503i</v>
      </c>
      <c r="AA380" s="346">
        <f t="shared" si="239"/>
        <v>20.389186293897957</v>
      </c>
      <c r="AB380" s="347">
        <f t="shared" si="240"/>
        <v>1.5217310363959862</v>
      </c>
      <c r="AC380" s="732" t="str">
        <f t="shared" si="241"/>
        <v>0.141474058730242-2.91016395498109i</v>
      </c>
      <c r="AD380" s="337">
        <f t="shared" si="242"/>
        <v>2.9136007197563618</v>
      </c>
      <c r="AE380" s="339">
        <f t="shared" si="243"/>
        <v>-1.5222207928484968</v>
      </c>
      <c r="AF380" s="736" t="str">
        <f t="shared" si="215"/>
        <v>-0.245468482005794+0.0596843759851131i</v>
      </c>
      <c r="AG380" s="337">
        <f t="shared" si="244"/>
        <v>-11.950636129054606</v>
      </c>
      <c r="AH380" s="730">
        <f t="shared" si="245"/>
        <v>166.3340202658411</v>
      </c>
      <c r="AI380" s="360">
        <f t="shared" si="216"/>
        <v>-13.665979734158896</v>
      </c>
      <c r="AL380" s="337">
        <f t="shared" si="217"/>
        <v>9.2886007147210261</v>
      </c>
      <c r="AM380" s="730">
        <f t="shared" si="218"/>
        <v>-87.216826917276833</v>
      </c>
      <c r="AN380" s="351"/>
      <c r="AO380" s="337">
        <f t="shared" si="219"/>
        <v>32.289885641266508</v>
      </c>
      <c r="AP380" s="730">
        <f t="shared" si="220"/>
        <v>-106.44915281688215</v>
      </c>
      <c r="AS380" s="351"/>
      <c r="AT380" s="351"/>
      <c r="AV380" s="405">
        <f t="shared" si="221"/>
        <v>0</v>
      </c>
      <c r="AW380" s="405">
        <f t="shared" si="246"/>
        <v>0</v>
      </c>
      <c r="AX380" s="405">
        <f t="shared" si="222"/>
        <v>0</v>
      </c>
      <c r="AY380" s="405">
        <f t="shared" si="223"/>
        <v>0</v>
      </c>
    </row>
    <row r="381" spans="2:51" ht="13.5" thickBot="1" x14ac:dyDescent="0.25">
      <c r="B381" s="345">
        <v>32359</v>
      </c>
      <c r="C381" s="728" t="str">
        <f t="shared" si="206"/>
        <v>2.2271548443541</v>
      </c>
      <c r="D381" s="728" t="str">
        <f t="shared" si="207"/>
        <v>1+24.7369738581946i</v>
      </c>
      <c r="E381" s="337">
        <f t="shared" si="225"/>
        <v>24.757178265323432</v>
      </c>
      <c r="F381" s="338">
        <f t="shared" si="226"/>
        <v>1.5303930097268814</v>
      </c>
      <c r="G381" s="338" t="str">
        <f t="shared" si="208"/>
        <v>1+0.101658796677512i</v>
      </c>
      <c r="H381" s="337">
        <f t="shared" si="227"/>
        <v>1.0051539737482609</v>
      </c>
      <c r="I381" s="338">
        <f t="shared" si="228"/>
        <v>0.10131075426862113</v>
      </c>
      <c r="J381" s="340">
        <f t="shared" si="209"/>
        <v>1</v>
      </c>
      <c r="K381" s="338">
        <f t="shared" si="229"/>
        <v>1</v>
      </c>
      <c r="L381" s="339">
        <f t="shared" si="230"/>
        <v>0</v>
      </c>
      <c r="M381" s="731" t="str">
        <f t="shared" si="210"/>
        <v>0.953462005288889+0.43824005488679i</v>
      </c>
      <c r="N381" s="338">
        <f t="shared" si="231"/>
        <v>1.0493541543428921</v>
      </c>
      <c r="O381" s="339">
        <f t="shared" si="232"/>
        <v>0.4308335878739068</v>
      </c>
      <c r="P381" s="732" t="str">
        <f t="shared" si="224"/>
        <v>-0.0245679989060302-0.0825942388465683i</v>
      </c>
      <c r="Q381" s="337">
        <f t="shared" si="233"/>
        <v>8.6170730882885474E-2</v>
      </c>
      <c r="R381" s="339">
        <f t="shared" si="234"/>
        <v>-1.8599158433321674</v>
      </c>
      <c r="S381" s="731" t="str">
        <f t="shared" si="211"/>
        <v>6000</v>
      </c>
      <c r="T381" s="337" t="str">
        <f t="shared" si="212"/>
        <v>1+205350.769288574i</v>
      </c>
      <c r="U381" s="346">
        <f t="shared" si="235"/>
        <v>205350.76929100888</v>
      </c>
      <c r="V381" s="347">
        <f t="shared" si="236"/>
        <v>1.5707914570785402</v>
      </c>
      <c r="W381" s="340" t="str">
        <f t="shared" si="213"/>
        <v>1+2033.17593355024i</v>
      </c>
      <c r="X381" s="337">
        <f t="shared" si="237"/>
        <v>2033.1761794709009</v>
      </c>
      <c r="Y381" s="339">
        <f t="shared" si="238"/>
        <v>1.5703044854825623</v>
      </c>
      <c r="Z381" s="337" t="str">
        <f t="shared" si="214"/>
        <v>1+20.4811085662716i</v>
      </c>
      <c r="AA381" s="346">
        <f t="shared" si="239"/>
        <v>20.505506775093465</v>
      </c>
      <c r="AB381" s="347">
        <f t="shared" si="240"/>
        <v>1.5220095880844751</v>
      </c>
      <c r="AC381" s="732" t="str">
        <f t="shared" si="241"/>
        <v>0.139873546698176-2.89369430353184i</v>
      </c>
      <c r="AD381" s="337">
        <f t="shared" si="242"/>
        <v>2.8970728902391372</v>
      </c>
      <c r="AE381" s="339">
        <f t="shared" si="243"/>
        <v>-1.5224965596804534</v>
      </c>
      <c r="AF381" s="736" t="str">
        <f t="shared" si="215"/>
        <v>-0.242438891597126+0.0595395293592503i</v>
      </c>
      <c r="AG381" s="337">
        <f t="shared" si="244"/>
        <v>-12.053616025335733</v>
      </c>
      <c r="AH381" s="730">
        <f t="shared" si="245"/>
        <v>166.2020447346739</v>
      </c>
      <c r="AI381" s="360">
        <f t="shared" si="216"/>
        <v>-13.797955265326095</v>
      </c>
      <c r="AL381" s="337">
        <f t="shared" si="217"/>
        <v>9.2391884434636289</v>
      </c>
      <c r="AM381" s="730">
        <f t="shared" si="218"/>
        <v>-87.232627192877644</v>
      </c>
      <c r="AN381" s="351"/>
      <c r="AO381" s="337">
        <f t="shared" si="219"/>
        <v>32.236318016242784</v>
      </c>
      <c r="AP381" s="730">
        <f t="shared" si="220"/>
        <v>-106.56532807244839</v>
      </c>
      <c r="AS381" s="351"/>
      <c r="AT381" s="351"/>
      <c r="AV381" s="405">
        <f t="shared" si="221"/>
        <v>0</v>
      </c>
      <c r="AW381" s="405">
        <f t="shared" si="246"/>
        <v>0</v>
      </c>
      <c r="AX381" s="405">
        <f t="shared" si="222"/>
        <v>0</v>
      </c>
      <c r="AY381" s="405">
        <f t="shared" si="223"/>
        <v>0</v>
      </c>
    </row>
    <row r="382" spans="2:51" ht="13.5" thickBot="1" x14ac:dyDescent="0.25">
      <c r="B382" s="345">
        <v>32547.5</v>
      </c>
      <c r="C382" s="728" t="str">
        <f t="shared" si="206"/>
        <v>2.2271548443541</v>
      </c>
      <c r="D382" s="728" t="str">
        <f t="shared" si="207"/>
        <v>1+24.8810734772271i</v>
      </c>
      <c r="E382" s="337">
        <f t="shared" si="225"/>
        <v>24.901160964484646</v>
      </c>
      <c r="F382" s="338">
        <f t="shared" si="226"/>
        <v>1.5306267546016883</v>
      </c>
      <c r="G382" s="338" t="str">
        <f t="shared" si="208"/>
        <v>1+0.102250986892714i</v>
      </c>
      <c r="H382" s="337">
        <f t="shared" si="227"/>
        <v>1.0052140390586146</v>
      </c>
      <c r="I382" s="338">
        <f t="shared" si="228"/>
        <v>0.10189685209771007</v>
      </c>
      <c r="J382" s="340">
        <f t="shared" si="209"/>
        <v>1</v>
      </c>
      <c r="K382" s="338">
        <f t="shared" si="229"/>
        <v>1</v>
      </c>
      <c r="L382" s="339">
        <f t="shared" si="230"/>
        <v>0</v>
      </c>
      <c r="M382" s="731" t="str">
        <f t="shared" si="210"/>
        <v>0.952918233055555+0.44079292272406i</v>
      </c>
      <c r="N382" s="338">
        <f t="shared" si="231"/>
        <v>1.0499293117221464</v>
      </c>
      <c r="O382" s="339">
        <f t="shared" si="232"/>
        <v>0.43325915946121879</v>
      </c>
      <c r="P382" s="732" t="str">
        <f t="shared" si="224"/>
        <v>-0.0245841308777622-0.0820257935104025i</v>
      </c>
      <c r="Q382" s="337">
        <f t="shared" si="233"/>
        <v>8.5630662101995506E-2</v>
      </c>
      <c r="R382" s="339">
        <f t="shared" si="234"/>
        <v>-1.8619890619651982</v>
      </c>
      <c r="S382" s="731" t="str">
        <f t="shared" si="211"/>
        <v>6000</v>
      </c>
      <c r="T382" s="337" t="str">
        <f t="shared" si="212"/>
        <v>1+206546.993523282i</v>
      </c>
      <c r="U382" s="346">
        <f t="shared" si="235"/>
        <v>206546.99352570277</v>
      </c>
      <c r="V382" s="347">
        <f t="shared" si="236"/>
        <v>1.5707914852816751</v>
      </c>
      <c r="W382" s="340" t="str">
        <f t="shared" si="213"/>
        <v>1+2045.01973785428i</v>
      </c>
      <c r="X382" s="337">
        <f t="shared" si="237"/>
        <v>2045.0199823506832</v>
      </c>
      <c r="Y382" s="339">
        <f t="shared" si="238"/>
        <v>1.5703073339985021</v>
      </c>
      <c r="Z382" s="337" t="str">
        <f t="shared" si="214"/>
        <v>1+20.600416609312i</v>
      </c>
      <c r="AA382" s="346">
        <f t="shared" si="239"/>
        <v>20.624673681714764</v>
      </c>
      <c r="AB382" s="347">
        <f t="shared" si="240"/>
        <v>1.5222916939623243</v>
      </c>
      <c r="AC382" s="732" t="str">
        <f t="shared" si="241"/>
        <v>0.138261870852561-2.87701360542704i</v>
      </c>
      <c r="AD382" s="337">
        <f t="shared" si="242"/>
        <v>2.8803339443099207</v>
      </c>
      <c r="AE382" s="339">
        <f t="shared" si="243"/>
        <v>-1.5227758452454974</v>
      </c>
      <c r="AF382" s="736" t="str">
        <f t="shared" si="215"/>
        <v>-0.239388371853821+0.0593878393440067i</v>
      </c>
      <c r="AG382" s="337">
        <f t="shared" si="244"/>
        <v>-12.158557108662574</v>
      </c>
      <c r="AH382" s="730">
        <f t="shared" si="245"/>
        <v>166.06725617283746</v>
      </c>
      <c r="AI382" s="360">
        <f t="shared" si="216"/>
        <v>-13.93274382716254</v>
      </c>
      <c r="AL382" s="337">
        <f t="shared" si="217"/>
        <v>9.1888568507636315</v>
      </c>
      <c r="AM382" s="730">
        <f t="shared" si="218"/>
        <v>-87.248629077033584</v>
      </c>
      <c r="AN382" s="351"/>
      <c r="AO382" s="337">
        <f t="shared" si="219"/>
        <v>32.181708525615903</v>
      </c>
      <c r="AP382" s="730">
        <f t="shared" si="220"/>
        <v>-106.68411475012896</v>
      </c>
      <c r="AS382" s="351"/>
      <c r="AT382" s="351"/>
      <c r="AV382" s="405">
        <f t="shared" si="221"/>
        <v>0</v>
      </c>
      <c r="AW382" s="405">
        <f t="shared" si="246"/>
        <v>0</v>
      </c>
      <c r="AX382" s="405">
        <f t="shared" si="222"/>
        <v>0</v>
      </c>
      <c r="AY382" s="405">
        <f t="shared" si="223"/>
        <v>0</v>
      </c>
    </row>
    <row r="383" spans="2:51" ht="13.5" thickBot="1" x14ac:dyDescent="0.25">
      <c r="B383" s="345">
        <v>32736</v>
      </c>
      <c r="C383" s="728" t="str">
        <f t="shared" si="206"/>
        <v>2.2271548443541</v>
      </c>
      <c r="D383" s="728" t="str">
        <f t="shared" si="207"/>
        <v>1+25.0251730962594i</v>
      </c>
      <c r="E383" s="337">
        <f t="shared" si="225"/>
        <v>25.045145008519022</v>
      </c>
      <c r="F383" s="338">
        <f t="shared" si="226"/>
        <v>1.5308578118996605</v>
      </c>
      <c r="G383" s="338" t="str">
        <f t="shared" si="208"/>
        <v>1+0.102843177107916i</v>
      </c>
      <c r="H383" s="337">
        <f t="shared" si="227"/>
        <v>1.0052744496293786</v>
      </c>
      <c r="I383" s="338">
        <f t="shared" si="228"/>
        <v>0.10248287968661683</v>
      </c>
      <c r="J383" s="340">
        <f t="shared" si="209"/>
        <v>1</v>
      </c>
      <c r="K383" s="338">
        <f t="shared" si="229"/>
        <v>1</v>
      </c>
      <c r="L383" s="339">
        <f t="shared" si="230"/>
        <v>0</v>
      </c>
      <c r="M383" s="731" t="str">
        <f t="shared" si="210"/>
        <v>0.9523713024+0.443345790561327i</v>
      </c>
      <c r="N383" s="338">
        <f t="shared" si="231"/>
        <v>1.0505077760985495</v>
      </c>
      <c r="O383" s="339">
        <f t="shared" si="232"/>
        <v>0.43568332964050294</v>
      </c>
      <c r="P383" s="732" t="str">
        <f t="shared" si="224"/>
        <v>-0.0245994226429369-0.0814634926250945i</v>
      </c>
      <c r="Q383" s="337">
        <f t="shared" si="233"/>
        <v>8.5096605249825694E-2</v>
      </c>
      <c r="R383" s="339">
        <f t="shared" si="234"/>
        <v>-1.8640582618535477</v>
      </c>
      <c r="S383" s="731" t="str">
        <f t="shared" si="211"/>
        <v>6000</v>
      </c>
      <c r="T383" s="337" t="str">
        <f t="shared" si="212"/>
        <v>1+207743.217757989i</v>
      </c>
      <c r="U383" s="346">
        <f t="shared" si="235"/>
        <v>207743.21776039581</v>
      </c>
      <c r="V383" s="347">
        <f t="shared" si="236"/>
        <v>1.5707915131600123</v>
      </c>
      <c r="W383" s="340" t="str">
        <f t="shared" si="213"/>
        <v>1+2056.86354215831i</v>
      </c>
      <c r="X383" s="337">
        <f t="shared" si="237"/>
        <v>2056.8637852468573</v>
      </c>
      <c r="Y383" s="339">
        <f t="shared" si="238"/>
        <v>1.5703101497098766</v>
      </c>
      <c r="Z383" s="337" t="str">
        <f t="shared" si="214"/>
        <v>1+20.7197246523523i</v>
      </c>
      <c r="AA383" s="346">
        <f t="shared" si="239"/>
        <v>20.743842210865751</v>
      </c>
      <c r="AB383" s="347">
        <f t="shared" si="240"/>
        <v>1.5225705585973794</v>
      </c>
      <c r="AC383" s="732" t="str">
        <f t="shared" si="241"/>
        <v>0.1366778694954-2.86052367281267i</v>
      </c>
      <c r="AD383" s="337">
        <f t="shared" si="242"/>
        <v>2.8637870945186359</v>
      </c>
      <c r="AE383" s="339">
        <f t="shared" si="243"/>
        <v>-1.5230519220475154</v>
      </c>
      <c r="AF383" s="736" t="str">
        <f t="shared" si="215"/>
        <v>-0.236390445801737+0.0592329741939929i</v>
      </c>
      <c r="AG383" s="337">
        <f t="shared" si="244"/>
        <v>-12.262940744048681</v>
      </c>
      <c r="AH383" s="730">
        <f t="shared" si="245"/>
        <v>165.932881716689</v>
      </c>
      <c r="AI383" s="360">
        <f t="shared" si="216"/>
        <v>-14.067118283311004</v>
      </c>
      <c r="AL383" s="337">
        <f t="shared" si="217"/>
        <v>9.1388145526556084</v>
      </c>
      <c r="AM383" s="730">
        <f t="shared" si="218"/>
        <v>-87.264447112610682</v>
      </c>
      <c r="AN383" s="351"/>
      <c r="AO383" s="337">
        <f t="shared" si="219"/>
        <v>32.127367188337836</v>
      </c>
      <c r="AP383" s="730">
        <f t="shared" si="220"/>
        <v>-106.80267117070034</v>
      </c>
      <c r="AS383" s="351"/>
      <c r="AT383" s="351"/>
      <c r="AV383" s="405">
        <f t="shared" si="221"/>
        <v>0</v>
      </c>
      <c r="AW383" s="405">
        <f t="shared" si="246"/>
        <v>0</v>
      </c>
      <c r="AX383" s="405">
        <f t="shared" si="222"/>
        <v>0</v>
      </c>
      <c r="AY383" s="405">
        <f t="shared" si="223"/>
        <v>0</v>
      </c>
    </row>
    <row r="384" spans="2:51" ht="13.5" thickBot="1" x14ac:dyDescent="0.25">
      <c r="B384" s="345">
        <v>32924.5</v>
      </c>
      <c r="C384" s="728" t="str">
        <f t="shared" si="206"/>
        <v>2.2271548443541</v>
      </c>
      <c r="D384" s="728" t="str">
        <f t="shared" si="207"/>
        <v>1+25.1692727152918i</v>
      </c>
      <c r="E384" s="337">
        <f t="shared" si="225"/>
        <v>25.189130374364499</v>
      </c>
      <c r="F384" s="338">
        <f t="shared" si="226"/>
        <v>1.5310862276838562</v>
      </c>
      <c r="G384" s="338" t="str">
        <f t="shared" si="208"/>
        <v>1+0.103435367323117i</v>
      </c>
      <c r="H384" s="337">
        <f t="shared" si="227"/>
        <v>1.0053352053983129</v>
      </c>
      <c r="I384" s="338">
        <f t="shared" si="228"/>
        <v>0.10306883664552215</v>
      </c>
      <c r="J384" s="340">
        <f t="shared" si="209"/>
        <v>1</v>
      </c>
      <c r="K384" s="338">
        <f t="shared" si="229"/>
        <v>1</v>
      </c>
      <c r="L384" s="339">
        <f t="shared" si="230"/>
        <v>0</v>
      </c>
      <c r="M384" s="731" t="str">
        <f t="shared" si="210"/>
        <v>0.951821213322222+0.445898658398595i</v>
      </c>
      <c r="N384" s="338">
        <f t="shared" si="231"/>
        <v>1.0510895469425305</v>
      </c>
      <c r="O384" s="339">
        <f t="shared" si="232"/>
        <v>0.43810609208026213</v>
      </c>
      <c r="P384" s="732" t="str">
        <f t="shared" si="224"/>
        <v>-0.0246138914750025-0.0809072336618553i</v>
      </c>
      <c r="Q384" s="337">
        <f t="shared" si="233"/>
        <v>8.4568458141066116E-2</v>
      </c>
      <c r="R384" s="339">
        <f t="shared" si="234"/>
        <v>-1.8661234831185978</v>
      </c>
      <c r="S384" s="731" t="str">
        <f t="shared" si="211"/>
        <v>6000</v>
      </c>
      <c r="T384" s="337" t="str">
        <f t="shared" si="212"/>
        <v>1+208939.441992696i</v>
      </c>
      <c r="U384" s="346">
        <f t="shared" si="235"/>
        <v>208939.44199508903</v>
      </c>
      <c r="V384" s="347">
        <f t="shared" si="236"/>
        <v>1.5707915407191302</v>
      </c>
      <c r="W384" s="340" t="str">
        <f t="shared" si="213"/>
        <v>1+2068.70734646234i</v>
      </c>
      <c r="X384" s="337">
        <f t="shared" si="237"/>
        <v>2068.7075881591522</v>
      </c>
      <c r="Y384" s="339">
        <f t="shared" si="238"/>
        <v>1.5703129331801253</v>
      </c>
      <c r="Z384" s="337" t="str">
        <f t="shared" si="214"/>
        <v>1+20.8390326953926i</v>
      </c>
      <c r="AA384" s="346">
        <f t="shared" si="239"/>
        <v>20.863012334743075</v>
      </c>
      <c r="AB384" s="347">
        <f t="shared" si="240"/>
        <v>1.5228462374881075</v>
      </c>
      <c r="AC384" s="732" t="str">
        <f t="shared" si="241"/>
        <v>0.135120913108921-2.84422125937416i</v>
      </c>
      <c r="AD384" s="337">
        <f t="shared" si="242"/>
        <v>2.8474290567870728</v>
      </c>
      <c r="AE384" s="339">
        <f t="shared" si="243"/>
        <v>-1.5233248450271124</v>
      </c>
      <c r="AF384" s="736" t="str">
        <f t="shared" si="215"/>
        <v>-0.233443925509468+0.0590750941196238i</v>
      </c>
      <c r="AG384" s="337">
        <f t="shared" si="244"/>
        <v>-12.36677349832126</v>
      </c>
      <c r="AH384" s="730">
        <f t="shared" si="245"/>
        <v>165.79891591957789</v>
      </c>
      <c r="AI384" s="360">
        <f t="shared" si="216"/>
        <v>-14.201084080422106</v>
      </c>
      <c r="AL384" s="337">
        <f t="shared" si="217"/>
        <v>9.0890582502486374</v>
      </c>
      <c r="AM384" s="730">
        <f t="shared" si="218"/>
        <v>-87.280084447473726</v>
      </c>
      <c r="AN384" s="351"/>
      <c r="AO384" s="337">
        <f t="shared" si="219"/>
        <v>32.073290736472231</v>
      </c>
      <c r="AP384" s="730">
        <f t="shared" si="220"/>
        <v>-106.92099963294844</v>
      </c>
      <c r="AS384" s="351"/>
      <c r="AT384" s="351"/>
      <c r="AV384" s="405">
        <f t="shared" si="221"/>
        <v>0</v>
      </c>
      <c r="AW384" s="405">
        <f t="shared" si="246"/>
        <v>0</v>
      </c>
      <c r="AX384" s="405">
        <f t="shared" si="222"/>
        <v>0</v>
      </c>
      <c r="AY384" s="405">
        <f t="shared" si="223"/>
        <v>0</v>
      </c>
    </row>
    <row r="385" spans="2:51" ht="13.5" thickBot="1" x14ac:dyDescent="0.25">
      <c r="B385" s="345">
        <v>33113</v>
      </c>
      <c r="C385" s="728" t="str">
        <f t="shared" si="206"/>
        <v>2.2271548443541</v>
      </c>
      <c r="D385" s="728" t="str">
        <f t="shared" si="207"/>
        <v>1+25.3133723343243i</v>
      </c>
      <c r="E385" s="337">
        <f t="shared" si="225"/>
        <v>25.333117039482818</v>
      </c>
      <c r="F385" s="338">
        <f t="shared" si="226"/>
        <v>1.5313120469712094</v>
      </c>
      <c r="G385" s="338" t="str">
        <f t="shared" si="208"/>
        <v>1+0.104027557538319i</v>
      </c>
      <c r="H385" s="337">
        <f t="shared" si="227"/>
        <v>1.0053963063028371</v>
      </c>
      <c r="I385" s="338">
        <f t="shared" si="228"/>
        <v>0.10365472258489759</v>
      </c>
      <c r="J385" s="340">
        <f t="shared" si="209"/>
        <v>1</v>
      </c>
      <c r="K385" s="338">
        <f t="shared" si="229"/>
        <v>1</v>
      </c>
      <c r="L385" s="339">
        <f t="shared" si="230"/>
        <v>0</v>
      </c>
      <c r="M385" s="731" t="str">
        <f t="shared" si="210"/>
        <v>0.951267965822222+0.448451526235864i</v>
      </c>
      <c r="N385" s="338">
        <f t="shared" si="231"/>
        <v>1.0516746237229575</v>
      </c>
      <c r="O385" s="339">
        <f t="shared" si="232"/>
        <v>0.44052744047626191</v>
      </c>
      <c r="P385" s="732" t="str">
        <f t="shared" si="224"/>
        <v>-0.0246275541781122-0.0803569164118511i</v>
      </c>
      <c r="Q385" s="337">
        <f t="shared" si="233"/>
        <v>8.4046120909992472E-2</v>
      </c>
      <c r="R385" s="339">
        <f t="shared" si="234"/>
        <v>-1.8681847648625731</v>
      </c>
      <c r="S385" s="731" t="str">
        <f t="shared" si="211"/>
        <v>6000</v>
      </c>
      <c r="T385" s="337" t="str">
        <f t="shared" si="212"/>
        <v>1+210135.666227404i</v>
      </c>
      <c r="U385" s="346">
        <f t="shared" si="235"/>
        <v>210135.66622978344</v>
      </c>
      <c r="V385" s="347">
        <f t="shared" si="236"/>
        <v>1.5707915679644804</v>
      </c>
      <c r="W385" s="340" t="str">
        <f t="shared" si="213"/>
        <v>1+2080.55115076638i</v>
      </c>
      <c r="X385" s="337">
        <f t="shared" si="237"/>
        <v>2080.5513910873019</v>
      </c>
      <c r="Y385" s="339">
        <f t="shared" si="238"/>
        <v>1.5703156849598587</v>
      </c>
      <c r="Z385" s="337" t="str">
        <f t="shared" si="214"/>
        <v>1+20.958340738433i</v>
      </c>
      <c r="AA385" s="346">
        <f t="shared" si="239"/>
        <v>20.982184026174689</v>
      </c>
      <c r="AB385" s="347">
        <f t="shared" si="240"/>
        <v>1.5231187848740884</v>
      </c>
      <c r="AC385" s="732" t="str">
        <f t="shared" si="241"/>
        <v>0.133590389960307-2.82810319186863i</v>
      </c>
      <c r="AD385" s="337">
        <f t="shared" si="242"/>
        <v>2.8312566213869204</v>
      </c>
      <c r="AE385" s="339">
        <f t="shared" si="243"/>
        <v>-1.52359466787871</v>
      </c>
      <c r="AF385" s="736" t="str">
        <f t="shared" si="215"/>
        <v>-0.230547656359499+0.0589143527795697i</v>
      </c>
      <c r="AG385" s="337">
        <f t="shared" si="244"/>
        <v>-12.470061825780331</v>
      </c>
      <c r="AH385" s="730">
        <f t="shared" si="245"/>
        <v>165.66535346464801</v>
      </c>
      <c r="AI385" s="360">
        <f t="shared" si="216"/>
        <v>-14.334646535351993</v>
      </c>
      <c r="AL385" s="337">
        <f t="shared" si="217"/>
        <v>9.0395847006282217</v>
      </c>
      <c r="AM385" s="730">
        <f t="shared" si="218"/>
        <v>-87.295544158086457</v>
      </c>
      <c r="AN385" s="351"/>
      <c r="AO385" s="337">
        <f t="shared" si="219"/>
        <v>32.019475958633599</v>
      </c>
      <c r="AP385" s="730">
        <f t="shared" si="220"/>
        <v>-107.03910237726552</v>
      </c>
      <c r="AS385" s="351"/>
      <c r="AT385" s="351"/>
      <c r="AV385" s="405">
        <f t="shared" si="221"/>
        <v>0</v>
      </c>
      <c r="AW385" s="405">
        <f t="shared" si="246"/>
        <v>0</v>
      </c>
      <c r="AX385" s="405">
        <f t="shared" si="222"/>
        <v>0</v>
      </c>
      <c r="AY385" s="405">
        <f t="shared" si="223"/>
        <v>0</v>
      </c>
    </row>
    <row r="386" spans="2:51" ht="13.5" thickBot="1" x14ac:dyDescent="0.25">
      <c r="B386" s="345">
        <v>33305.75</v>
      </c>
      <c r="C386" s="728" t="str">
        <f t="shared" si="206"/>
        <v>2.2271548443541</v>
      </c>
      <c r="D386" s="728" t="str">
        <f t="shared" si="207"/>
        <v>1+25.4607208837592i</v>
      </c>
      <c r="E386" s="337">
        <f t="shared" si="225"/>
        <v>25.480351408893323</v>
      </c>
      <c r="F386" s="338">
        <f t="shared" si="226"/>
        <v>1.5315403185412013</v>
      </c>
      <c r="G386" s="338" t="str">
        <f t="shared" si="208"/>
        <v>1+0.104633099522298i</v>
      </c>
      <c r="H386" s="337">
        <f t="shared" si="227"/>
        <v>1.0054591416440766</v>
      </c>
      <c r="I386" s="338">
        <f t="shared" si="228"/>
        <v>0.104253744309242</v>
      </c>
      <c r="J386" s="340">
        <f t="shared" si="209"/>
        <v>1</v>
      </c>
      <c r="K386" s="338">
        <f t="shared" si="229"/>
        <v>1</v>
      </c>
      <c r="L386" s="339">
        <f t="shared" si="230"/>
        <v>0</v>
      </c>
      <c r="M386" s="731" t="str">
        <f t="shared" si="210"/>
        <v>0.950698978530556+0.451061952101292i</v>
      </c>
      <c r="N386" s="338">
        <f t="shared" si="231"/>
        <v>1.0522763099169679</v>
      </c>
      <c r="O386" s="339">
        <f t="shared" si="232"/>
        <v>0.44300191284297208</v>
      </c>
      <c r="P386" s="732" t="str">
        <f t="shared" si="224"/>
        <v>-0.0246407083617312-0.0798002336084531i</v>
      </c>
      <c r="Q386" s="337">
        <f t="shared" si="233"/>
        <v>8.3517913003927358E-2</v>
      </c>
      <c r="R386" s="339">
        <f t="shared" si="234"/>
        <v>-1.8702884870749303</v>
      </c>
      <c r="S386" s="731" t="str">
        <f t="shared" si="211"/>
        <v>6000</v>
      </c>
      <c r="T386" s="337" t="str">
        <f t="shared" si="212"/>
        <v>1+211358.861035042i</v>
      </c>
      <c r="U386" s="346">
        <f t="shared" si="235"/>
        <v>211358.86103740765</v>
      </c>
      <c r="V386" s="347">
        <f t="shared" si="236"/>
        <v>1.5707915955052072</v>
      </c>
      <c r="W386" s="340" t="str">
        <f t="shared" si="213"/>
        <v>1+2092.66199044596i</v>
      </c>
      <c r="X386" s="337">
        <f t="shared" si="237"/>
        <v>2092.6622293760756</v>
      </c>
      <c r="Y386" s="339">
        <f t="shared" si="238"/>
        <v>1.5703184665726302</v>
      </c>
      <c r="Z386" s="337" t="str">
        <f t="shared" si="214"/>
        <v>1+21.0803387506135i</v>
      </c>
      <c r="AA386" s="346">
        <f t="shared" si="239"/>
        <v>21.10404420580608</v>
      </c>
      <c r="AB386" s="347">
        <f t="shared" si="240"/>
        <v>1.5233942942482623</v>
      </c>
      <c r="AC386" s="732" t="str">
        <f t="shared" si="241"/>
        <v>0.132052073586245-2.81180911534114i</v>
      </c>
      <c r="AD386" s="337">
        <f t="shared" si="242"/>
        <v>2.8149082136463974</v>
      </c>
      <c r="AE386" s="339">
        <f t="shared" si="243"/>
        <v>-1.5238674231808393</v>
      </c>
      <c r="AF386" s="736" t="str">
        <f t="shared" si="215"/>
        <v>-0.227636880900401+0.0587471820593155i</v>
      </c>
      <c r="AG386" s="337">
        <f t="shared" si="244"/>
        <v>-12.575122566800918</v>
      </c>
      <c r="AH386" s="730">
        <f t="shared" si="245"/>
        <v>165.52919133296018</v>
      </c>
      <c r="AI386" s="360">
        <f t="shared" si="216"/>
        <v>-14.470808667039819</v>
      </c>
      <c r="AL386" s="337">
        <f t="shared" si="217"/>
        <v>8.9892847655819281</v>
      </c>
      <c r="AM386" s="730">
        <f t="shared" si="218"/>
        <v>-87.31117188573829</v>
      </c>
      <c r="AN386" s="351"/>
      <c r="AO386" s="337">
        <f t="shared" si="219"/>
        <v>31.964715152659306</v>
      </c>
      <c r="AP386" s="730">
        <f t="shared" si="220"/>
        <v>-107.15963678130159</v>
      </c>
      <c r="AS386" s="351"/>
      <c r="AT386" s="351"/>
      <c r="AV386" s="405">
        <f t="shared" si="221"/>
        <v>0</v>
      </c>
      <c r="AW386" s="405">
        <f t="shared" si="246"/>
        <v>0</v>
      </c>
      <c r="AX386" s="405">
        <f t="shared" si="222"/>
        <v>0</v>
      </c>
      <c r="AY386" s="405">
        <f t="shared" si="223"/>
        <v>0</v>
      </c>
    </row>
    <row r="387" spans="2:51" ht="13.5" thickBot="1" x14ac:dyDescent="0.25">
      <c r="B387" s="345">
        <v>33498.5</v>
      </c>
      <c r="C387" s="728" t="str">
        <f t="shared" si="206"/>
        <v>2.2271548443541</v>
      </c>
      <c r="D387" s="728" t="str">
        <f t="shared" si="207"/>
        <v>1+25.6080694331942i</v>
      </c>
      <c r="E387" s="337">
        <f t="shared" si="225"/>
        <v>25.627587090775737</v>
      </c>
      <c r="F387" s="338">
        <f t="shared" si="226"/>
        <v>1.5317659671899704</v>
      </c>
      <c r="G387" s="338" t="str">
        <f t="shared" si="208"/>
        <v>1+0.105238641506277i</v>
      </c>
      <c r="H387" s="337">
        <f t="shared" si="227"/>
        <v>1.0055223377260629</v>
      </c>
      <c r="I387" s="338">
        <f t="shared" si="228"/>
        <v>0.10485269095263924</v>
      </c>
      <c r="J387" s="340">
        <f t="shared" si="209"/>
        <v>1</v>
      </c>
      <c r="K387" s="338">
        <f t="shared" si="229"/>
        <v>1</v>
      </c>
      <c r="L387" s="339">
        <f t="shared" si="230"/>
        <v>0</v>
      </c>
      <c r="M387" s="731" t="str">
        <f t="shared" si="210"/>
        <v>0.950126688788889+0.453672377966721i</v>
      </c>
      <c r="N387" s="338">
        <f t="shared" si="231"/>
        <v>1.0528814516738898</v>
      </c>
      <c r="O387" s="339">
        <f t="shared" si="232"/>
        <v>0.44547489343933278</v>
      </c>
      <c r="P387" s="732" t="str">
        <f t="shared" si="224"/>
        <v>-0.024653053758654-0.0792495586942932i</v>
      </c>
      <c r="Q387" s="337">
        <f t="shared" si="233"/>
        <v>8.2995575863218804E-2</v>
      </c>
      <c r="R387" s="339">
        <f t="shared" si="234"/>
        <v>-1.8723881696766633</v>
      </c>
      <c r="S387" s="731" t="str">
        <f t="shared" si="211"/>
        <v>6000</v>
      </c>
      <c r="T387" s="337" t="str">
        <f t="shared" si="212"/>
        <v>1+212582.055842681i</v>
      </c>
      <c r="U387" s="346">
        <f t="shared" si="235"/>
        <v>212582.05584503303</v>
      </c>
      <c r="V387" s="347">
        <f t="shared" si="236"/>
        <v>1.570791622728996</v>
      </c>
      <c r="W387" s="340" t="str">
        <f t="shared" si="213"/>
        <v>1+2104.77283012555i</v>
      </c>
      <c r="X387" s="337">
        <f t="shared" si="237"/>
        <v>2104.7730676808646</v>
      </c>
      <c r="Y387" s="339">
        <f t="shared" si="238"/>
        <v>1.5703212161746702</v>
      </c>
      <c r="Z387" s="337" t="str">
        <f t="shared" si="214"/>
        <v>1+21.202336762794i</v>
      </c>
      <c r="AA387" s="346">
        <f t="shared" si="239"/>
        <v>21.225905968955153</v>
      </c>
      <c r="AB387" s="347">
        <f t="shared" si="240"/>
        <v>1.5236666401446701</v>
      </c>
      <c r="AC387" s="732" t="str">
        <f t="shared" si="241"/>
        <v>0.130540156521233-2.79570130557542i</v>
      </c>
      <c r="AD387" s="337">
        <f t="shared" si="242"/>
        <v>2.7987473130778877</v>
      </c>
      <c r="AE387" s="339">
        <f t="shared" si="243"/>
        <v>-1.5241370466989956</v>
      </c>
      <c r="AF387" s="736" t="str">
        <f t="shared" si="215"/>
        <v>-0.224776308204292+0.0585773247832983i</v>
      </c>
      <c r="AG387" s="337">
        <f t="shared" si="244"/>
        <v>-12.67962735461011</v>
      </c>
      <c r="AH387" s="730">
        <f t="shared" si="245"/>
        <v>165.39344009191601</v>
      </c>
      <c r="AI387" s="360">
        <f t="shared" si="216"/>
        <v>-14.606559908083995</v>
      </c>
      <c r="AL387" s="337">
        <f t="shared" si="217"/>
        <v>8.9392737929047037</v>
      </c>
      <c r="AM387" s="730">
        <f t="shared" si="218"/>
        <v>-87.326620175386111</v>
      </c>
      <c r="AN387" s="351"/>
      <c r="AO387" s="337">
        <f t="shared" si="219"/>
        <v>31.910221337527339</v>
      </c>
      <c r="AP387" s="730">
        <f t="shared" si="220"/>
        <v>-107.27993973269791</v>
      </c>
      <c r="AS387" s="351"/>
      <c r="AT387" s="351"/>
      <c r="AV387" s="405">
        <f t="shared" si="221"/>
        <v>0</v>
      </c>
      <c r="AW387" s="405">
        <f t="shared" si="246"/>
        <v>0</v>
      </c>
      <c r="AX387" s="405">
        <f t="shared" si="222"/>
        <v>0</v>
      </c>
      <c r="AY387" s="405">
        <f t="shared" si="223"/>
        <v>0</v>
      </c>
    </row>
    <row r="388" spans="2:51" ht="13.5" thickBot="1" x14ac:dyDescent="0.25">
      <c r="B388" s="345">
        <v>33691.25</v>
      </c>
      <c r="C388" s="728" t="str">
        <f t="shared" si="206"/>
        <v>2.2271548443541</v>
      </c>
      <c r="D388" s="728" t="str">
        <f t="shared" si="207"/>
        <v>1+25.7554179826292i</v>
      </c>
      <c r="E388" s="337">
        <f t="shared" si="225"/>
        <v>25.774824062637933</v>
      </c>
      <c r="F388" s="338">
        <f t="shared" si="226"/>
        <v>1.531989037844129</v>
      </c>
      <c r="G388" s="338" t="str">
        <f t="shared" si="208"/>
        <v>1+0.105844183490257i</v>
      </c>
      <c r="H388" s="337">
        <f t="shared" si="227"/>
        <v>1.0055858944807845</v>
      </c>
      <c r="I388" s="338">
        <f t="shared" si="228"/>
        <v>0.10545156209955768</v>
      </c>
      <c r="J388" s="340">
        <f t="shared" si="209"/>
        <v>1</v>
      </c>
      <c r="K388" s="338">
        <f t="shared" si="229"/>
        <v>1</v>
      </c>
      <c r="L388" s="339">
        <f t="shared" si="230"/>
        <v>0</v>
      </c>
      <c r="M388" s="731" t="str">
        <f t="shared" si="210"/>
        <v>0.949551096597222+0.456282803832151i</v>
      </c>
      <c r="N388" s="338">
        <f t="shared" si="231"/>
        <v>1.0534900484209218</v>
      </c>
      <c r="O388" s="339">
        <f t="shared" si="232"/>
        <v>0.44794637561385825</v>
      </c>
      <c r="P388" s="732" t="str">
        <f t="shared" si="224"/>
        <v>-0.024664606914226-0.0787047916366359i</v>
      </c>
      <c r="Q388" s="337">
        <f t="shared" si="233"/>
        <v>8.2479009819465945E-2</v>
      </c>
      <c r="R388" s="339">
        <f t="shared" si="234"/>
        <v>-1.8744838513584283</v>
      </c>
      <c r="S388" s="731" t="str">
        <f t="shared" si="211"/>
        <v>6000</v>
      </c>
      <c r="T388" s="337" t="str">
        <f t="shared" si="212"/>
        <v>1+213805.250650319i</v>
      </c>
      <c r="U388" s="346">
        <f t="shared" si="235"/>
        <v>213805.25065265759</v>
      </c>
      <c r="V388" s="347">
        <f t="shared" si="236"/>
        <v>1.5707916496412864</v>
      </c>
      <c r="W388" s="340" t="str">
        <f t="shared" si="213"/>
        <v>1+2116.88366980514i</v>
      </c>
      <c r="X388" s="337">
        <f t="shared" si="237"/>
        <v>2116.8839060013838</v>
      </c>
      <c r="Y388" s="339">
        <f t="shared" si="238"/>
        <v>1.5703239343153859</v>
      </c>
      <c r="Z388" s="337" t="str">
        <f t="shared" si="214"/>
        <v>1+21.3243347749745i</v>
      </c>
      <c r="AA388" s="346">
        <f t="shared" si="239"/>
        <v>21.347769288503816</v>
      </c>
      <c r="AB388" s="347">
        <f t="shared" si="240"/>
        <v>1.523935876698512</v>
      </c>
      <c r="AC388" s="732" t="str">
        <f t="shared" si="241"/>
        <v>0.129054038584064-2.77977659378128i</v>
      </c>
      <c r="AD388" s="337">
        <f t="shared" si="242"/>
        <v>2.7827707157092751</v>
      </c>
      <c r="AE388" s="339">
        <f t="shared" si="243"/>
        <v>-1.5244035920244126</v>
      </c>
      <c r="AF388" s="736" t="str">
        <f t="shared" si="215"/>
        <v>-0.221964804742322+0.0584049257783562i</v>
      </c>
      <c r="AG388" s="337">
        <f t="shared" si="244"/>
        <v>-12.783582741230253</v>
      </c>
      <c r="AH388" s="730">
        <f t="shared" si="245"/>
        <v>165.25809445415268</v>
      </c>
      <c r="AI388" s="360">
        <f t="shared" si="216"/>
        <v>-14.741905545847317</v>
      </c>
      <c r="AL388" s="337">
        <f t="shared" si="217"/>
        <v>8.8895484888481739</v>
      </c>
      <c r="AM388" s="730">
        <f t="shared" si="218"/>
        <v>-87.341892097581436</v>
      </c>
      <c r="AN388" s="351"/>
      <c r="AO388" s="337">
        <f t="shared" si="219"/>
        <v>31.855991254963723</v>
      </c>
      <c r="AP388" s="730">
        <f t="shared" si="220"/>
        <v>-107.40001344826582</v>
      </c>
      <c r="AS388" s="351"/>
      <c r="AT388" s="351"/>
      <c r="AV388" s="405">
        <f t="shared" si="221"/>
        <v>0</v>
      </c>
      <c r="AW388" s="405">
        <f t="shared" si="246"/>
        <v>0</v>
      </c>
      <c r="AX388" s="405">
        <f t="shared" si="222"/>
        <v>0</v>
      </c>
      <c r="AY388" s="405">
        <f t="shared" si="223"/>
        <v>0</v>
      </c>
    </row>
    <row r="389" spans="2:51" ht="13.5" thickBot="1" x14ac:dyDescent="0.25">
      <c r="B389" s="345">
        <v>33884</v>
      </c>
      <c r="C389" s="728" t="str">
        <f t="shared" si="206"/>
        <v>2.2271548443541</v>
      </c>
      <c r="D389" s="728" t="str">
        <f t="shared" si="207"/>
        <v>1+25.9027665320642i</v>
      </c>
      <c r="E389" s="337">
        <f t="shared" si="225"/>
        <v>25.92206230249872</v>
      </c>
      <c r="F389" s="338">
        <f t="shared" si="226"/>
        <v>1.5322095744105897</v>
      </c>
      <c r="G389" s="338" t="str">
        <f t="shared" si="208"/>
        <v>1+0.106449725474237i</v>
      </c>
      <c r="H389" s="337">
        <f t="shared" si="227"/>
        <v>1.0056498118398574</v>
      </c>
      <c r="I389" s="338">
        <f t="shared" si="228"/>
        <v>0.10605035733478504</v>
      </c>
      <c r="J389" s="340">
        <f t="shared" si="209"/>
        <v>1</v>
      </c>
      <c r="K389" s="338">
        <f t="shared" si="229"/>
        <v>1</v>
      </c>
      <c r="L389" s="339">
        <f t="shared" si="230"/>
        <v>0</v>
      </c>
      <c r="M389" s="731" t="str">
        <f t="shared" si="210"/>
        <v>0.948972201955556+0.458893229697581i</v>
      </c>
      <c r="N389" s="338">
        <f t="shared" si="231"/>
        <v>1.0541020995836472</v>
      </c>
      <c r="O389" s="339">
        <f t="shared" si="232"/>
        <v>0.45041635274513997</v>
      </c>
      <c r="P389" s="732" t="str">
        <f t="shared" si="224"/>
        <v>-0.024675383926715-0.0781658346652385i</v>
      </c>
      <c r="Q389" s="337">
        <f t="shared" si="233"/>
        <v>8.1968117465537699E-2</v>
      </c>
      <c r="R389" s="339">
        <f t="shared" si="234"/>
        <v>-1.8765755698209445</v>
      </c>
      <c r="S389" s="731" t="str">
        <f t="shared" si="211"/>
        <v>6000</v>
      </c>
      <c r="T389" s="337" t="str">
        <f t="shared" si="212"/>
        <v>1+215028.445457958i</v>
      </c>
      <c r="U389" s="346">
        <f t="shared" si="235"/>
        <v>215028.44546028328</v>
      </c>
      <c r="V389" s="347">
        <f t="shared" si="236"/>
        <v>1.5707916762473941</v>
      </c>
      <c r="W389" s="340" t="str">
        <f t="shared" si="213"/>
        <v>1+2128.99450948473i</v>
      </c>
      <c r="X389" s="337">
        <f t="shared" si="237"/>
        <v>2128.9947443373658</v>
      </c>
      <c r="Y389" s="339">
        <f t="shared" si="238"/>
        <v>1.5703266215316825</v>
      </c>
      <c r="Z389" s="337" t="str">
        <f t="shared" si="214"/>
        <v>1+21.446332787155i</v>
      </c>
      <c r="AA389" s="346">
        <f t="shared" si="239"/>
        <v>21.469634137949338</v>
      </c>
      <c r="AB389" s="347">
        <f t="shared" si="240"/>
        <v>1.5242020568176968</v>
      </c>
      <c r="AC389" s="732" t="str">
        <f t="shared" si="241"/>
        <v>0.127593136541002-2.76403188248123i</v>
      </c>
      <c r="AD389" s="337">
        <f t="shared" si="242"/>
        <v>2.7669752900712909</v>
      </c>
      <c r="AE389" s="339">
        <f t="shared" si="243"/>
        <v>-1.5246671115334085</v>
      </c>
      <c r="AF389" s="736" t="str">
        <f t="shared" si="215"/>
        <v>-0.219201268766039+0.058230123870622i</v>
      </c>
      <c r="AG389" s="337">
        <f t="shared" si="244"/>
        <v>-12.886995166376154</v>
      </c>
      <c r="AH389" s="730">
        <f t="shared" si="245"/>
        <v>165.12314925863609</v>
      </c>
      <c r="AI389" s="360">
        <f t="shared" si="216"/>
        <v>-14.87685074136391</v>
      </c>
      <c r="AL389" s="337">
        <f t="shared" si="217"/>
        <v>8.840105615536034</v>
      </c>
      <c r="AM389" s="730">
        <f t="shared" si="218"/>
        <v>-87.356990653266266</v>
      </c>
      <c r="AN389" s="351"/>
      <c r="AO389" s="337">
        <f t="shared" si="219"/>
        <v>31.802021703129938</v>
      </c>
      <c r="AP389" s="730">
        <f t="shared" si="220"/>
        <v>-107.51986008809769</v>
      </c>
      <c r="AS389" s="351"/>
      <c r="AT389" s="351"/>
      <c r="AV389" s="405">
        <f t="shared" si="221"/>
        <v>0</v>
      </c>
      <c r="AW389" s="405">
        <f t="shared" si="246"/>
        <v>0</v>
      </c>
      <c r="AX389" s="405">
        <f t="shared" si="222"/>
        <v>0</v>
      </c>
      <c r="AY389" s="405">
        <f t="shared" si="223"/>
        <v>0</v>
      </c>
    </row>
    <row r="390" spans="2:51" ht="13.5" thickBot="1" x14ac:dyDescent="0.25">
      <c r="B390" s="345">
        <v>34081.5</v>
      </c>
      <c r="C390" s="728" t="str">
        <f t="shared" si="206"/>
        <v>2.2271548443541</v>
      </c>
      <c r="D390" s="728" t="str">
        <f t="shared" si="207"/>
        <v>1+26.053746239008i</v>
      </c>
      <c r="E390" s="337">
        <f t="shared" si="225"/>
        <v>26.072930274263836</v>
      </c>
      <c r="F390" s="338">
        <f t="shared" si="226"/>
        <v>1.5324329620754567</v>
      </c>
      <c r="G390" s="338" t="str">
        <f t="shared" si="208"/>
        <v>1+0.10707019002332i</v>
      </c>
      <c r="H390" s="337">
        <f t="shared" si="227"/>
        <v>1.0057156783065628</v>
      </c>
      <c r="I390" s="338">
        <f t="shared" si="228"/>
        <v>0.10666382969812528</v>
      </c>
      <c r="J390" s="340">
        <f t="shared" si="209"/>
        <v>1</v>
      </c>
      <c r="K390" s="338">
        <f t="shared" si="229"/>
        <v>1</v>
      </c>
      <c r="L390" s="339">
        <f t="shared" si="230"/>
        <v>0</v>
      </c>
      <c r="M390" s="731" t="str">
        <f t="shared" si="210"/>
        <v>0.9483756159+0.461567985123896i</v>
      </c>
      <c r="N390" s="338">
        <f t="shared" si="231"/>
        <v>1.0547328162738834</v>
      </c>
      <c r="O390" s="339">
        <f t="shared" si="232"/>
        <v>0.45294563028713797</v>
      </c>
      <c r="P390" s="732" t="str">
        <f t="shared" si="224"/>
        <v>-0.0246856378326106-0.0776195226911563i</v>
      </c>
      <c r="Q390" s="337">
        <f t="shared" si="233"/>
        <v>8.145042061282276E-2</v>
      </c>
      <c r="R390" s="339">
        <f t="shared" si="234"/>
        <v>-1.8787147626644698</v>
      </c>
      <c r="S390" s="731" t="str">
        <f t="shared" si="211"/>
        <v>6000</v>
      </c>
      <c r="T390" s="337" t="str">
        <f t="shared" si="212"/>
        <v>1+216281.783847107i</v>
      </c>
      <c r="U390" s="346">
        <f t="shared" si="235"/>
        <v>216281.78384941877</v>
      </c>
      <c r="V390" s="347">
        <f t="shared" si="236"/>
        <v>1.570791703197004</v>
      </c>
      <c r="W390" s="340" t="str">
        <f t="shared" si="213"/>
        <v>1+2141.40380046641i</v>
      </c>
      <c r="X390" s="337">
        <f t="shared" si="237"/>
        <v>2141.4040339580911</v>
      </c>
      <c r="Y390" s="339">
        <f t="shared" si="238"/>
        <v>1.5703293434416912</v>
      </c>
      <c r="Z390" s="337" t="str">
        <f t="shared" si="214"/>
        <v>1+21.5713372354333i</v>
      </c>
      <c r="AA390" s="346">
        <f t="shared" si="239"/>
        <v>21.594503701747612</v>
      </c>
      <c r="AB390" s="347">
        <f t="shared" si="240"/>
        <v>1.5244716802307152</v>
      </c>
      <c r="AC390" s="732" t="str">
        <f t="shared" si="241"/>
        <v>0.126121795966574-2.74808271170668i</v>
      </c>
      <c r="AD390" s="337">
        <f t="shared" si="242"/>
        <v>2.7509753357307605</v>
      </c>
      <c r="AE390" s="339">
        <f t="shared" si="243"/>
        <v>-1.5249340399860285</v>
      </c>
      <c r="AF390" s="736" t="str">
        <f t="shared" si="215"/>
        <v>-0.21641826537652+0.0580486609513727i</v>
      </c>
      <c r="AG390" s="337">
        <f t="shared" si="244"/>
        <v>-12.992399439218854</v>
      </c>
      <c r="AH390" s="730">
        <f t="shared" si="245"/>
        <v>164.9852886633704</v>
      </c>
      <c r="AI390" s="360">
        <f t="shared" si="216"/>
        <v>-15.014711336629603</v>
      </c>
      <c r="AL390" s="337">
        <f t="shared" si="217"/>
        <v>8.7897339335366826</v>
      </c>
      <c r="AM390" s="730">
        <f t="shared" si="218"/>
        <v>-87.372284527033358</v>
      </c>
      <c r="AN390" s="351"/>
      <c r="AO390" s="337">
        <f t="shared" si="219"/>
        <v>31.746989112286602</v>
      </c>
      <c r="AP390" s="730">
        <f t="shared" si="220"/>
        <v>-107.64242680959623</v>
      </c>
      <c r="AS390" s="351"/>
      <c r="AT390" s="351"/>
      <c r="AV390" s="405">
        <f t="shared" si="221"/>
        <v>0</v>
      </c>
      <c r="AW390" s="405">
        <f t="shared" si="246"/>
        <v>0</v>
      </c>
      <c r="AX390" s="405">
        <f t="shared" si="222"/>
        <v>0</v>
      </c>
      <c r="AY390" s="405">
        <f t="shared" si="223"/>
        <v>0</v>
      </c>
    </row>
    <row r="391" spans="2:51" ht="13.5" thickBot="1" x14ac:dyDescent="0.25">
      <c r="B391" s="345">
        <v>34279</v>
      </c>
      <c r="C391" s="728" t="str">
        <f t="shared" si="206"/>
        <v>2.2271548443541</v>
      </c>
      <c r="D391" s="728" t="str">
        <f t="shared" si="207"/>
        <v>1+26.2047259459518i</v>
      </c>
      <c r="E391" s="337">
        <f t="shared" si="225"/>
        <v>26.223799532150931</v>
      </c>
      <c r="F391" s="338">
        <f t="shared" si="226"/>
        <v>1.5326537793890611</v>
      </c>
      <c r="G391" s="338" t="str">
        <f t="shared" si="208"/>
        <v>1+0.107690654572404i</v>
      </c>
      <c r="H391" s="337">
        <f t="shared" si="227"/>
        <v>1.0057819232230378</v>
      </c>
      <c r="I391" s="338">
        <f t="shared" si="228"/>
        <v>0.10727722148068579</v>
      </c>
      <c r="J391" s="340">
        <f t="shared" si="209"/>
        <v>1</v>
      </c>
      <c r="K391" s="338">
        <f t="shared" si="229"/>
        <v>1</v>
      </c>
      <c r="L391" s="339">
        <f t="shared" si="230"/>
        <v>0</v>
      </c>
      <c r="M391" s="731" t="str">
        <f t="shared" si="210"/>
        <v>0.947775562622222+0.464242740550212i</v>
      </c>
      <c r="N391" s="338">
        <f t="shared" si="231"/>
        <v>1.0553671585080904</v>
      </c>
      <c r="O391" s="339">
        <f t="shared" si="232"/>
        <v>0.45547331371559585</v>
      </c>
      <c r="P391" s="732" t="str">
        <f t="shared" si="224"/>
        <v>-0.0246951097154447-0.0770791098756096i</v>
      </c>
      <c r="Q391" s="337">
        <f t="shared" si="233"/>
        <v>8.0938480484094522E-2</v>
      </c>
      <c r="R391" s="339">
        <f t="shared" si="234"/>
        <v>-1.8808498716239708</v>
      </c>
      <c r="S391" s="731" t="str">
        <f t="shared" si="211"/>
        <v>6000</v>
      </c>
      <c r="T391" s="337" t="str">
        <f t="shared" si="212"/>
        <v>1+217535.122236257i</v>
      </c>
      <c r="U391" s="346">
        <f t="shared" si="235"/>
        <v>217535.12223855549</v>
      </c>
      <c r="V391" s="347">
        <f t="shared" si="236"/>
        <v>1.5707917298360712</v>
      </c>
      <c r="W391" s="340" t="str">
        <f t="shared" si="213"/>
        <v>1+2153.81309144809i</v>
      </c>
      <c r="X391" s="337">
        <f t="shared" si="237"/>
        <v>2153.8133235944979</v>
      </c>
      <c r="Y391" s="339">
        <f t="shared" si="238"/>
        <v>1.5703320339868927</v>
      </c>
      <c r="Z391" s="337" t="str">
        <f t="shared" si="214"/>
        <v>1+21.6963416837117i</v>
      </c>
      <c r="AA391" s="346">
        <f t="shared" si="239"/>
        <v>21.719374817346051</v>
      </c>
      <c r="AB391" s="347">
        <f t="shared" si="240"/>
        <v>1.5247382033732833</v>
      </c>
      <c r="AC391" s="732" t="str">
        <f t="shared" si="241"/>
        <v>0.124675741760531-2.73231615919565i</v>
      </c>
      <c r="AD391" s="337">
        <f t="shared" si="242"/>
        <v>2.7351591607044012</v>
      </c>
      <c r="AE391" s="339">
        <f t="shared" si="243"/>
        <v>-1.5251978992224617</v>
      </c>
      <c r="AF391" s="736" t="str">
        <f t="shared" si="215"/>
        <v>-0.213683378571176+0.0578649521306359i</v>
      </c>
      <c r="AG391" s="337">
        <f t="shared" si="244"/>
        <v>-13.097246998061667</v>
      </c>
      <c r="AH391" s="730">
        <f t="shared" si="245"/>
        <v>164.84783791055725</v>
      </c>
      <c r="AI391" s="360">
        <f t="shared" si="216"/>
        <v>-15.152162089442754</v>
      </c>
      <c r="AL391" s="337">
        <f t="shared" si="217"/>
        <v>8.7396520657068937</v>
      </c>
      <c r="AM391" s="730">
        <f t="shared" si="218"/>
        <v>-87.387402547666525</v>
      </c>
      <c r="AN391" s="351"/>
      <c r="AO391" s="337">
        <f t="shared" si="219"/>
        <v>31.692223421273571</v>
      </c>
      <c r="AP391" s="730">
        <f t="shared" si="220"/>
        <v>-107.76475954177621</v>
      </c>
      <c r="AS391" s="351"/>
      <c r="AT391" s="351"/>
      <c r="AV391" s="405">
        <f t="shared" si="221"/>
        <v>0</v>
      </c>
      <c r="AW391" s="405">
        <f t="shared" si="246"/>
        <v>0</v>
      </c>
      <c r="AX391" s="405">
        <f t="shared" si="222"/>
        <v>0</v>
      </c>
      <c r="AY391" s="405">
        <f t="shared" si="223"/>
        <v>0</v>
      </c>
    </row>
    <row r="392" spans="2:51" ht="13.5" thickBot="1" x14ac:dyDescent="0.25">
      <c r="B392" s="345">
        <v>34476.5</v>
      </c>
      <c r="C392" s="728" t="str">
        <f t="shared" si="206"/>
        <v>2.2271548443541</v>
      </c>
      <c r="D392" s="728" t="str">
        <f t="shared" si="207"/>
        <v>1+26.3557056528955i</v>
      </c>
      <c r="E392" s="337">
        <f t="shared" si="225"/>
        <v>26.374670054089169</v>
      </c>
      <c r="F392" s="338">
        <f t="shared" si="226"/>
        <v>1.5328720704390757</v>
      </c>
      <c r="G392" s="338" t="str">
        <f t="shared" si="208"/>
        <v>1+0.108311119121488i</v>
      </c>
      <c r="H392" s="337">
        <f t="shared" si="227"/>
        <v>1.0058485465145084</v>
      </c>
      <c r="I392" s="338">
        <f t="shared" si="228"/>
        <v>0.10789053223685577</v>
      </c>
      <c r="J392" s="340">
        <f t="shared" si="209"/>
        <v>1</v>
      </c>
      <c r="K392" s="338">
        <f t="shared" si="229"/>
        <v>1</v>
      </c>
      <c r="L392" s="339">
        <f t="shared" si="230"/>
        <v>0</v>
      </c>
      <c r="M392" s="731" t="str">
        <f t="shared" si="210"/>
        <v>0.947172042122222+0.466917495976527i</v>
      </c>
      <c r="N392" s="338">
        <f t="shared" si="231"/>
        <v>1.056005125663209</v>
      </c>
      <c r="O392" s="339">
        <f t="shared" si="232"/>
        <v>0.45799939600610329</v>
      </c>
      <c r="P392" s="732" t="str">
        <f t="shared" si="224"/>
        <v>-0.0247038155294699-0.0765444980223394i</v>
      </c>
      <c r="Q392" s="337">
        <f t="shared" si="233"/>
        <v>8.0432199268738111E-2</v>
      </c>
      <c r="R392" s="339">
        <f t="shared" si="234"/>
        <v>-1.8829809342083219</v>
      </c>
      <c r="S392" s="731" t="str">
        <f t="shared" si="211"/>
        <v>6000</v>
      </c>
      <c r="T392" s="337" t="str">
        <f t="shared" si="212"/>
        <v>1+218788.460625407i</v>
      </c>
      <c r="U392" s="346">
        <f t="shared" si="235"/>
        <v>218788.46062769234</v>
      </c>
      <c r="V392" s="347">
        <f t="shared" si="236"/>
        <v>1.5707917561699325</v>
      </c>
      <c r="W392" s="340" t="str">
        <f t="shared" si="213"/>
        <v>1+2166.22238242977i</v>
      </c>
      <c r="X392" s="337">
        <f t="shared" si="237"/>
        <v>2166.2226132463179</v>
      </c>
      <c r="Y392" s="339">
        <f t="shared" si="238"/>
        <v>1.5703346937063107</v>
      </c>
      <c r="Z392" s="337" t="str">
        <f t="shared" si="214"/>
        <v>1+21.82134613199i</v>
      </c>
      <c r="AA392" s="346">
        <f t="shared" si="239"/>
        <v>21.844247458132198</v>
      </c>
      <c r="AB392" s="347">
        <f t="shared" si="240"/>
        <v>1.5250016793752956</v>
      </c>
      <c r="AC392" s="732" t="str">
        <f t="shared" si="241"/>
        <v>0.123254398200101-2.71672911292369i</v>
      </c>
      <c r="AD392" s="337">
        <f t="shared" si="242"/>
        <v>2.7195236199898702</v>
      </c>
      <c r="AE392" s="339">
        <f t="shared" si="243"/>
        <v>-1.5254587418389172</v>
      </c>
      <c r="AF392" s="736" t="str">
        <f t="shared" si="215"/>
        <v>-0.21099552012775+0.057679128809935i</v>
      </c>
      <c r="AG392" s="337">
        <f t="shared" si="244"/>
        <v>-13.201544419957198</v>
      </c>
      <c r="AH392" s="730">
        <f t="shared" si="245"/>
        <v>164.71079183755563</v>
      </c>
      <c r="AI392" s="360">
        <f t="shared" si="216"/>
        <v>-15.289208162444368</v>
      </c>
      <c r="AL392" s="337">
        <f t="shared" si="217"/>
        <v>8.6898567032644003</v>
      </c>
      <c r="AM392" s="730">
        <f t="shared" si="218"/>
        <v>-87.402347728706573</v>
      </c>
      <c r="AN392" s="351"/>
      <c r="AO392" s="337">
        <f t="shared" si="219"/>
        <v>31.637721361820542</v>
      </c>
      <c r="AP392" s="730">
        <f t="shared" si="220"/>
        <v>-107.88686043373774</v>
      </c>
      <c r="AS392" s="351"/>
      <c r="AT392" s="351"/>
      <c r="AV392" s="405">
        <f t="shared" si="221"/>
        <v>0</v>
      </c>
      <c r="AW392" s="405">
        <f t="shared" si="246"/>
        <v>0</v>
      </c>
      <c r="AX392" s="405">
        <f t="shared" si="222"/>
        <v>0</v>
      </c>
      <c r="AY392" s="405">
        <f t="shared" si="223"/>
        <v>0</v>
      </c>
    </row>
    <row r="393" spans="2:51" ht="13.5" thickBot="1" x14ac:dyDescent="0.25">
      <c r="B393" s="345">
        <v>34674</v>
      </c>
      <c r="C393" s="728" t="str">
        <f t="shared" si="206"/>
        <v>2.2271548443541</v>
      </c>
      <c r="D393" s="728" t="str">
        <f t="shared" si="207"/>
        <v>1+26.5066853598393i</v>
      </c>
      <c r="E393" s="337">
        <f t="shared" si="225"/>
        <v>26.525541818509929</v>
      </c>
      <c r="F393" s="338">
        <f t="shared" si="226"/>
        <v>1.5330878783111026</v>
      </c>
      <c r="G393" s="338" t="str">
        <f t="shared" si="208"/>
        <v>1+0.108931583670572i</v>
      </c>
      <c r="H393" s="337">
        <f t="shared" si="227"/>
        <v>1.0059155481057935</v>
      </c>
      <c r="I393" s="338">
        <f t="shared" si="228"/>
        <v>0.10850376152138699</v>
      </c>
      <c r="J393" s="340">
        <f t="shared" si="209"/>
        <v>1</v>
      </c>
      <c r="K393" s="338">
        <f t="shared" si="229"/>
        <v>1</v>
      </c>
      <c r="L393" s="339">
        <f t="shared" si="230"/>
        <v>0</v>
      </c>
      <c r="M393" s="731" t="str">
        <f t="shared" si="210"/>
        <v>0.9465650544+0.469592251402843i</v>
      </c>
      <c r="N393" s="338">
        <f t="shared" si="231"/>
        <v>1.0566467171145075</v>
      </c>
      <c r="O393" s="339">
        <f t="shared" si="232"/>
        <v>0.46052387016768326</v>
      </c>
      <c r="P393" s="732" t="str">
        <f t="shared" si="224"/>
        <v>-0.024711770799527-0.0760155911594551i</v>
      </c>
      <c r="Q393" s="337">
        <f t="shared" si="233"/>
        <v>7.9931481378551855E-2</v>
      </c>
      <c r="R393" s="339">
        <f t="shared" si="234"/>
        <v>-1.8851079869573986</v>
      </c>
      <c r="S393" s="731" t="str">
        <f t="shared" si="211"/>
        <v>6000</v>
      </c>
      <c r="T393" s="337" t="str">
        <f t="shared" si="212"/>
        <v>1+220041.799014556i</v>
      </c>
      <c r="U393" s="346">
        <f t="shared" si="235"/>
        <v>220041.79901682827</v>
      </c>
      <c r="V393" s="347">
        <f t="shared" si="236"/>
        <v>1.5707917822038031</v>
      </c>
      <c r="W393" s="340" t="str">
        <f t="shared" si="213"/>
        <v>1+2178.63167341145i</v>
      </c>
      <c r="X393" s="337">
        <f t="shared" si="237"/>
        <v>2178.6319029132878</v>
      </c>
      <c r="Y393" s="339">
        <f t="shared" si="238"/>
        <v>1.5703373231266877</v>
      </c>
      <c r="Z393" s="337" t="str">
        <f t="shared" si="214"/>
        <v>1+21.9463505802684i</v>
      </c>
      <c r="AA393" s="346">
        <f t="shared" si="239"/>
        <v>21.96912159809871</v>
      </c>
      <c r="AB393" s="347">
        <f t="shared" si="240"/>
        <v>1.5252621601603844</v>
      </c>
      <c r="AC393" s="732" t="str">
        <f t="shared" si="241"/>
        <v>0.121857205843607-2.70131853102767i</v>
      </c>
      <c r="AD393" s="337">
        <f t="shared" si="242"/>
        <v>2.7040656398633334</v>
      </c>
      <c r="AE393" s="339">
        <f t="shared" si="243"/>
        <v>-1.5257166192374998</v>
      </c>
      <c r="AF393" s="736" t="str">
        <f t="shared" si="215"/>
        <v>-0.208353632387137+0.0574913168560296i</v>
      </c>
      <c r="AG393" s="337">
        <f t="shared" si="244"/>
        <v>-13.305298168954824</v>
      </c>
      <c r="AH393" s="730">
        <f t="shared" si="245"/>
        <v>164.57414540566126</v>
      </c>
      <c r="AI393" s="360">
        <f t="shared" si="216"/>
        <v>-15.425854594338745</v>
      </c>
      <c r="AL393" s="337">
        <f t="shared" si="217"/>
        <v>8.6403445936496492</v>
      </c>
      <c r="AM393" s="730">
        <f t="shared" si="218"/>
        <v>-87.41712301527717</v>
      </c>
      <c r="AN393" s="351"/>
      <c r="AO393" s="337">
        <f t="shared" si="219"/>
        <v>31.583479722437659</v>
      </c>
      <c r="AP393" s="730">
        <f t="shared" si="220"/>
        <v>-108.00873157906155</v>
      </c>
      <c r="AS393" s="351"/>
      <c r="AT393" s="351"/>
      <c r="AV393" s="405">
        <f t="shared" si="221"/>
        <v>0</v>
      </c>
      <c r="AW393" s="405">
        <f t="shared" si="246"/>
        <v>0</v>
      </c>
      <c r="AX393" s="405">
        <f t="shared" si="222"/>
        <v>0</v>
      </c>
      <c r="AY393" s="405">
        <f t="shared" si="223"/>
        <v>0</v>
      </c>
    </row>
    <row r="394" spans="2:51" ht="13.5" thickBot="1" x14ac:dyDescent="0.25">
      <c r="B394" s="345">
        <v>34875.75</v>
      </c>
      <c r="C394" s="728" t="str">
        <f t="shared" si="206"/>
        <v>2.2271548443541</v>
      </c>
      <c r="D394" s="728" t="str">
        <f t="shared" si="207"/>
        <v>1+26.6609139971856i</v>
      </c>
      <c r="E394" s="337">
        <f t="shared" si="225"/>
        <v>26.679661451475109</v>
      </c>
      <c r="F394" s="338">
        <f t="shared" si="226"/>
        <v>1.5333058100313044</v>
      </c>
      <c r="G394" s="338" t="str">
        <f t="shared" si="208"/>
        <v>1+0.109565399988434i</v>
      </c>
      <c r="H394" s="337">
        <f t="shared" si="227"/>
        <v>1.0059843820232128</v>
      </c>
      <c r="I394" s="338">
        <f t="shared" si="228"/>
        <v>0.10913010229620604</v>
      </c>
      <c r="J394" s="340">
        <f t="shared" si="209"/>
        <v>1</v>
      </c>
      <c r="K394" s="338">
        <f t="shared" si="229"/>
        <v>1</v>
      </c>
      <c r="L394" s="339">
        <f t="shared" si="230"/>
        <v>0</v>
      </c>
      <c r="M394" s="731" t="str">
        <f t="shared" si="210"/>
        <v>0.945941424975+0.472324564857318i</v>
      </c>
      <c r="N394" s="338">
        <f t="shared" si="231"/>
        <v>1.0573058564348294</v>
      </c>
      <c r="O394" s="339">
        <f t="shared" si="232"/>
        <v>0.46310100081255412</v>
      </c>
      <c r="P394" s="732" t="str">
        <f t="shared" si="224"/>
        <v>-0.0247191380255752-0.0754810956733576i</v>
      </c>
      <c r="Q394" s="337">
        <f t="shared" si="233"/>
        <v>7.9425635589386395E-2</v>
      </c>
      <c r="R394" s="339">
        <f t="shared" si="234"/>
        <v>-1.8872767085476532</v>
      </c>
      <c r="S394" s="731" t="str">
        <f t="shared" si="211"/>
        <v>6000</v>
      </c>
      <c r="T394" s="337" t="str">
        <f t="shared" si="212"/>
        <v>1+221322.107976637i</v>
      </c>
      <c r="U394" s="346">
        <f t="shared" si="235"/>
        <v>221322.10797889612</v>
      </c>
      <c r="V394" s="347">
        <f t="shared" si="236"/>
        <v>1.5707918084934529</v>
      </c>
      <c r="W394" s="340" t="str">
        <f t="shared" si="213"/>
        <v>1+2191.30799976868i</v>
      </c>
      <c r="X394" s="337">
        <f t="shared" si="237"/>
        <v>2191.3082279428913</v>
      </c>
      <c r="Y394" s="339">
        <f t="shared" si="238"/>
        <v>1.5703399783807588</v>
      </c>
      <c r="Z394" s="337" t="str">
        <f t="shared" si="214"/>
        <v>1+22.0740449976868i</v>
      </c>
      <c r="AA394" s="346">
        <f t="shared" si="239"/>
        <v>22.096684424589622</v>
      </c>
      <c r="AB394" s="347">
        <f t="shared" si="240"/>
        <v>1.5255252064075011</v>
      </c>
      <c r="AC394" s="732" t="str">
        <f t="shared" si="241"/>
        <v>0.120454318355614-2.68575543826217i</v>
      </c>
      <c r="AD394" s="337">
        <f t="shared" si="242"/>
        <v>2.6884552287448149</v>
      </c>
      <c r="AE394" s="339">
        <f t="shared" si="243"/>
        <v>-1.525977036520195</v>
      </c>
      <c r="AF394" s="736" t="str">
        <f t="shared" si="215"/>
        <v>-0.205701290111916+0.0572975354532726i</v>
      </c>
      <c r="AG394" s="337">
        <f t="shared" si="244"/>
        <v>-13.410729852444545</v>
      </c>
      <c r="AH394" s="730">
        <f t="shared" si="245"/>
        <v>164.43496600039006</v>
      </c>
      <c r="AI394" s="360">
        <f t="shared" si="216"/>
        <v>-15.565033999609938</v>
      </c>
      <c r="AL394" s="337">
        <f t="shared" si="217"/>
        <v>8.5900561700215476</v>
      </c>
      <c r="AM394" s="730">
        <f t="shared" si="218"/>
        <v>-87.43204382648787</v>
      </c>
      <c r="AN394" s="351"/>
      <c r="AO394" s="337">
        <f t="shared" si="219"/>
        <v>31.528336462576043</v>
      </c>
      <c r="AP394" s="730">
        <f t="shared" si="220"/>
        <v>-108.13299017312201</v>
      </c>
      <c r="AS394" s="351"/>
      <c r="AT394" s="351"/>
      <c r="AV394" s="405">
        <f t="shared" si="221"/>
        <v>0</v>
      </c>
      <c r="AW394" s="405">
        <f t="shared" si="246"/>
        <v>0</v>
      </c>
      <c r="AX394" s="405">
        <f t="shared" si="222"/>
        <v>0</v>
      </c>
      <c r="AY394" s="405">
        <f t="shared" si="223"/>
        <v>0</v>
      </c>
    </row>
    <row r="395" spans="2:51" ht="13.5" thickBot="1" x14ac:dyDescent="0.25">
      <c r="B395" s="345">
        <v>35077.5</v>
      </c>
      <c r="C395" s="728" t="str">
        <f t="shared" si="206"/>
        <v>2.2271548443541</v>
      </c>
      <c r="D395" s="728" t="str">
        <f t="shared" si="207"/>
        <v>1+26.815142634532i</v>
      </c>
      <c r="E395" s="337">
        <f t="shared" si="225"/>
        <v>26.833782337014952</v>
      </c>
      <c r="F395" s="338">
        <f t="shared" si="226"/>
        <v>1.5335212383628063</v>
      </c>
      <c r="G395" s="338" t="str">
        <f t="shared" si="208"/>
        <v>1+0.110199216306296i</v>
      </c>
      <c r="H395" s="337">
        <f t="shared" si="227"/>
        <v>1.0060536105369942</v>
      </c>
      <c r="I395" s="338">
        <f t="shared" si="228"/>
        <v>0.10975635711721456</v>
      </c>
      <c r="J395" s="340">
        <f t="shared" si="209"/>
        <v>1</v>
      </c>
      <c r="K395" s="338">
        <f t="shared" si="229"/>
        <v>1</v>
      </c>
      <c r="L395" s="339">
        <f t="shared" si="230"/>
        <v>0</v>
      </c>
      <c r="M395" s="731" t="str">
        <f t="shared" si="210"/>
        <v>0.9453141775+0.475056878311796i</v>
      </c>
      <c r="N395" s="338">
        <f t="shared" si="231"/>
        <v>1.0579687763889114</v>
      </c>
      <c r="O395" s="339">
        <f t="shared" si="232"/>
        <v>0.46567643873298842</v>
      </c>
      <c r="P395" s="732" t="str">
        <f t="shared" si="224"/>
        <v>-0.0247257534985585-0.0749523577335056i</v>
      </c>
      <c r="Q395" s="337">
        <f t="shared" si="233"/>
        <v>7.8925400321334285E-2</v>
      </c>
      <c r="R395" s="339">
        <f t="shared" si="234"/>
        <v>-1.8894413199785796</v>
      </c>
      <c r="S395" s="731" t="str">
        <f t="shared" si="211"/>
        <v>6000</v>
      </c>
      <c r="T395" s="337" t="str">
        <f t="shared" si="212"/>
        <v>1+222602.416938718i</v>
      </c>
      <c r="U395" s="346">
        <f t="shared" si="235"/>
        <v>222602.41694096421</v>
      </c>
      <c r="V395" s="347">
        <f t="shared" si="236"/>
        <v>1.5707918344806902</v>
      </c>
      <c r="W395" s="340" t="str">
        <f t="shared" si="213"/>
        <v>1+2203.98432612592i</v>
      </c>
      <c r="X395" s="337">
        <f t="shared" si="237"/>
        <v>2203.9845529877753</v>
      </c>
      <c r="Y395" s="339">
        <f t="shared" si="238"/>
        <v>1.5703426030911822</v>
      </c>
      <c r="Z395" s="337" t="str">
        <f t="shared" si="214"/>
        <v>1+22.2017394151054i</v>
      </c>
      <c r="AA395" s="346">
        <f t="shared" si="239"/>
        <v>22.224248762472147</v>
      </c>
      <c r="AB395" s="347">
        <f t="shared" si="240"/>
        <v>1.5257852329689872</v>
      </c>
      <c r="AC395" s="732" t="str">
        <f t="shared" si="241"/>
        <v>0.119075502175313-2.67037028510629i</v>
      </c>
      <c r="AD395" s="337">
        <f t="shared" si="242"/>
        <v>2.6730238373042901</v>
      </c>
      <c r="AE395" s="339">
        <f t="shared" si="243"/>
        <v>-1.5262344643584951</v>
      </c>
      <c r="AF395" s="736" t="str">
        <f t="shared" si="215"/>
        <v>-0.203094780404714+0.0571019277830726i</v>
      </c>
      <c r="AG395" s="337">
        <f t="shared" si="244"/>
        <v>-13.515607498590033</v>
      </c>
      <c r="AH395" s="730">
        <f t="shared" si="245"/>
        <v>164.29619337244847</v>
      </c>
      <c r="AI395" s="360">
        <f t="shared" si="216"/>
        <v>-15.703806627551529</v>
      </c>
      <c r="AL395" s="337">
        <f t="shared" si="217"/>
        <v>8.5400566338928581</v>
      </c>
      <c r="AM395" s="730">
        <f t="shared" si="218"/>
        <v>-87.446793355151641</v>
      </c>
      <c r="AN395" s="351"/>
      <c r="AO395" s="337">
        <f t="shared" si="219"/>
        <v>31.473458352559245</v>
      </c>
      <c r="AP395" s="730">
        <f t="shared" si="220"/>
        <v>-108.2570132723999</v>
      </c>
      <c r="AS395" s="351"/>
      <c r="AT395" s="351"/>
      <c r="AV395" s="405">
        <f t="shared" si="221"/>
        <v>0</v>
      </c>
      <c r="AW395" s="405">
        <f t="shared" si="246"/>
        <v>0</v>
      </c>
      <c r="AX395" s="405">
        <f t="shared" si="222"/>
        <v>0</v>
      </c>
      <c r="AY395" s="405">
        <f t="shared" si="223"/>
        <v>0</v>
      </c>
    </row>
    <row r="396" spans="2:51" ht="13.5" thickBot="1" x14ac:dyDescent="0.25">
      <c r="B396" s="345">
        <v>35279.25</v>
      </c>
      <c r="C396" s="728" t="str">
        <f t="shared" si="206"/>
        <v>2.2271548443541</v>
      </c>
      <c r="D396" s="728" t="str">
        <f t="shared" si="207"/>
        <v>1+26.9693712718783i</v>
      </c>
      <c r="E396" s="337">
        <f t="shared" si="225"/>
        <v>26.987904453669881</v>
      </c>
      <c r="F396" s="338">
        <f t="shared" si="226"/>
        <v>1.5337342061743822</v>
      </c>
      <c r="G396" s="338" t="str">
        <f t="shared" si="208"/>
        <v>1+0.110833032624158i</v>
      </c>
      <c r="H396" s="337">
        <f t="shared" si="227"/>
        <v>1.006123233565684</v>
      </c>
      <c r="I396" s="338">
        <f t="shared" si="228"/>
        <v>0.11038252551097802</v>
      </c>
      <c r="J396" s="340">
        <f t="shared" si="209"/>
        <v>1</v>
      </c>
      <c r="K396" s="338">
        <f t="shared" si="229"/>
        <v>1</v>
      </c>
      <c r="L396" s="339">
        <f t="shared" si="230"/>
        <v>0</v>
      </c>
      <c r="M396" s="731" t="str">
        <f t="shared" si="210"/>
        <v>0.944683311975+0.477789191766272i</v>
      </c>
      <c r="N396" s="338">
        <f t="shared" si="231"/>
        <v>1.0586354763055708</v>
      </c>
      <c r="O396" s="339">
        <f t="shared" si="232"/>
        <v>0.46825017658538076</v>
      </c>
      <c r="P396" s="732" t="str">
        <f t="shared" si="224"/>
        <v>-0.0247316324713614-0.074429281828798i</v>
      </c>
      <c r="Q396" s="337">
        <f t="shared" si="233"/>
        <v>7.8430680465294569E-2</v>
      </c>
      <c r="R396" s="339">
        <f t="shared" si="234"/>
        <v>-1.8916018572487829</v>
      </c>
      <c r="S396" s="731" t="str">
        <f t="shared" si="211"/>
        <v>6000</v>
      </c>
      <c r="T396" s="337" t="str">
        <f t="shared" si="212"/>
        <v>1+223882.725900798i</v>
      </c>
      <c r="U396" s="346">
        <f t="shared" si="235"/>
        <v>223882.7259030313</v>
      </c>
      <c r="V396" s="347">
        <f t="shared" si="236"/>
        <v>1.5707918601707032</v>
      </c>
      <c r="W396" s="340" t="str">
        <f t="shared" si="213"/>
        <v>1+2216.66065248315i</v>
      </c>
      <c r="X396" s="337">
        <f t="shared" si="237"/>
        <v>2216.6608780476604</v>
      </c>
      <c r="Y396" s="339">
        <f t="shared" si="238"/>
        <v>1.5703451977819642</v>
      </c>
      <c r="Z396" s="337" t="str">
        <f t="shared" si="214"/>
        <v>1+22.3294338325238i</v>
      </c>
      <c r="AA396" s="346">
        <f t="shared" si="239"/>
        <v>22.35181458586883</v>
      </c>
      <c r="AB396" s="347">
        <f t="shared" si="240"/>
        <v>1.5260422915110405</v>
      </c>
      <c r="AC396" s="732" t="str">
        <f t="shared" si="241"/>
        <v>0.117720210100481-2.65516004333806i</v>
      </c>
      <c r="AD396" s="337">
        <f t="shared" si="242"/>
        <v>2.6577684066910483</v>
      </c>
      <c r="AE396" s="339">
        <f t="shared" si="243"/>
        <v>-1.5264889538997795</v>
      </c>
      <c r="AF396" s="736" t="str">
        <f t="shared" si="215"/>
        <v>-0.200533068136829+0.0569046116499669i</v>
      </c>
      <c r="AG396" s="337">
        <f t="shared" si="244"/>
        <v>-13.619937648797048</v>
      </c>
      <c r="AH396" s="730">
        <f t="shared" si="245"/>
        <v>164.15782252873927</v>
      </c>
      <c r="AI396" s="360">
        <f t="shared" si="216"/>
        <v>-15.842177471260726</v>
      </c>
      <c r="AL396" s="337">
        <f t="shared" si="217"/>
        <v>8.4903426918169895</v>
      </c>
      <c r="AM396" s="730">
        <f t="shared" si="218"/>
        <v>-87.461374531797446</v>
      </c>
      <c r="AN396" s="351"/>
      <c r="AO396" s="337">
        <f t="shared" si="219"/>
        <v>31.418842144428076</v>
      </c>
      <c r="AP396" s="730">
        <f t="shared" si="220"/>
        <v>-108.38080293946336</v>
      </c>
      <c r="AS396" s="351"/>
      <c r="AT396" s="351"/>
      <c r="AV396" s="405">
        <f t="shared" si="221"/>
        <v>0</v>
      </c>
      <c r="AW396" s="405">
        <f t="shared" si="246"/>
        <v>0</v>
      </c>
      <c r="AX396" s="405">
        <f t="shared" si="222"/>
        <v>0</v>
      </c>
      <c r="AY396" s="405">
        <f t="shared" si="223"/>
        <v>0</v>
      </c>
    </row>
    <row r="397" spans="2:51" ht="13.5" thickBot="1" x14ac:dyDescent="0.25">
      <c r="B397" s="345">
        <v>35481</v>
      </c>
      <c r="C397" s="728" t="str">
        <f t="shared" ref="C397:C460" si="247">COMPLEX(Am*Afb,0)</f>
        <v>2.2271548443541</v>
      </c>
      <c r="D397" s="728" t="str">
        <f t="shared" ref="D397:D460" si="248">IMSUM(COMPLEX(1,0),IMDIV(COMPLEX(0,2*PI()*B397),COMPLEX(2*PI()*PS_Pole1,0)))</f>
        <v>1+27.1235999092247i</v>
      </c>
      <c r="E397" s="337">
        <f t="shared" si="225"/>
        <v>27.142027780467952</v>
      </c>
      <c r="F397" s="338">
        <f t="shared" si="226"/>
        <v>1.533944755362006</v>
      </c>
      <c r="G397" s="338" t="str">
        <f t="shared" ref="G397:G460" si="249">IMSUM(COMPLEX(1,0),IMDIV(COMPLEX(0,2*PI()*B397),COMPLEX(2*PI()*PS_Zero1,0)))</f>
        <v>1+0.111466848942019i</v>
      </c>
      <c r="H397" s="337">
        <f t="shared" si="227"/>
        <v>1.0061932510273872</v>
      </c>
      <c r="I397" s="338">
        <f t="shared" si="228"/>
        <v>0.11100860700446273</v>
      </c>
      <c r="J397" s="340">
        <f t="shared" ref="J397:J460" si="250">IF(VIN_nom&gt;Vout, 1,IMSUB(COMPLEX(1,0),IMDIV(COMPLEX(0,2*PI()*B397),COMPLEX(2*PI()*PS_RHPZ,0))))</f>
        <v>1</v>
      </c>
      <c r="K397" s="338">
        <f t="shared" si="229"/>
        <v>1</v>
      </c>
      <c r="L397" s="339">
        <f t="shared" si="230"/>
        <v>0</v>
      </c>
      <c r="M397" s="731" t="str">
        <f t="shared" ref="M397:M460" si="251">IMSUM(COMPLEX(1,0),IMDIV(COMPLEX(0,2*PI()*B397),COMPLEX(Q*(2*PI()*PS_Pole2/2),0)),IMDIV(IMPOWER(COMPLEX(0,2*PI()*B397),2),IMPOWER(COMPLEX(2*PI()*PS_Pole2/2,0),2)))</f>
        <v>0.9440488284+0.480521505220749i</v>
      </c>
      <c r="N397" s="338">
        <f t="shared" si="231"/>
        <v>1.0593059555119224</v>
      </c>
      <c r="O397" s="339">
        <f t="shared" si="232"/>
        <v>0.47082220706281247</v>
      </c>
      <c r="P397" s="732" t="str">
        <f t="shared" si="224"/>
        <v>-0.0247367897894032-0.0739117746083643i</v>
      </c>
      <c r="Q397" s="337">
        <f t="shared" si="233"/>
        <v>7.7941383069860704E-2</v>
      </c>
      <c r="R397" s="339">
        <f t="shared" si="234"/>
        <v>-1.8937583554203548</v>
      </c>
      <c r="S397" s="731" t="str">
        <f t="shared" ref="S397:S460" si="252">COMPLEX(AEA,0)</f>
        <v>6000</v>
      </c>
      <c r="T397" s="337" t="str">
        <f t="shared" ref="T397:T460" si="253">IMSUM(COMPLEX(1,0),IMDIV(COMPLEX(0,2*PI()*B397),COMPLEX(2*PI()*EA_Pole1,0)))</f>
        <v>1+225163.034862879i</v>
      </c>
      <c r="U397" s="346">
        <f t="shared" si="235"/>
        <v>225163.03486509962</v>
      </c>
      <c r="V397" s="347">
        <f t="shared" si="236"/>
        <v>1.5707918855685621</v>
      </c>
      <c r="W397" s="340" t="str">
        <f t="shared" ref="W397:W460" si="254">IMSUM(COMPLEX(1,0),IMDIV(COMPLEX(0,2*PI()*B397),COMPLEX(2*PI()*EA_Zero1,0)))</f>
        <v>1+2229.33697884039i</v>
      </c>
      <c r="X397" s="337">
        <f t="shared" si="237"/>
        <v>2229.3372031223089</v>
      </c>
      <c r="Y397" s="339">
        <f t="shared" si="238"/>
        <v>1.5703477629651923</v>
      </c>
      <c r="Z397" s="337" t="str">
        <f t="shared" ref="Z397:Z460" si="255">IMSUM(COMPLEX(1,0),IMDIV(COMPLEX(0,2*PI()*B397),COMPLEX(2*PI()*EA_Pole2,0)))</f>
        <v>1+22.4571282499424i</v>
      </c>
      <c r="AA397" s="346">
        <f t="shared" si="239"/>
        <v>22.479381869490119</v>
      </c>
      <c r="AB397" s="347">
        <f t="shared" si="240"/>
        <v>1.526296432528657</v>
      </c>
      <c r="AC397" s="732" t="str">
        <f t="shared" si="241"/>
        <v>0.116387910379892-2.64012175292301i</v>
      </c>
      <c r="AD397" s="337">
        <f t="shared" si="242"/>
        <v>2.6426859472778572</v>
      </c>
      <c r="AE397" s="339">
        <f t="shared" si="243"/>
        <v>-1.5267405551320268</v>
      </c>
      <c r="AF397" s="736" t="str">
        <f t="shared" ref="AF397:AF460" si="256">IMPRODUCT(P397,AC397)</f>
        <v>-0.19801514721378+0.0567056998213501i</v>
      </c>
      <c r="AG397" s="337">
        <f t="shared" si="244"/>
        <v>-13.723726732150752</v>
      </c>
      <c r="AH397" s="730">
        <f t="shared" si="245"/>
        <v>164.01984859625242</v>
      </c>
      <c r="AI397" s="360">
        <f t="shared" ref="AI397:AI460" si="257">IF(AH397&gt;0,AH397-180,AH397+180)</f>
        <v>-15.980151403747584</v>
      </c>
      <c r="AL397" s="337">
        <f t="shared" ref="AL397:AL460" si="258">20*LOG10(IMABS(AC397))</f>
        <v>8.4409111062346458</v>
      </c>
      <c r="AM397" s="730">
        <f t="shared" ref="AM397:AM460" si="259">(180/PI())*IMARGUMENT(AC397)</f>
        <v>-87.475790220525511</v>
      </c>
      <c r="AN397" s="351"/>
      <c r="AO397" s="337">
        <f t="shared" ref="AO397:AO460" si="260">20*LOG10(IMABS(IMPRODUCT(COMPLEX(Am/Afb,0),P397)))</f>
        <v>31.364484646656749</v>
      </c>
      <c r="AP397" s="730">
        <f t="shared" ref="AP397:AP460" si="261">180/PI()*IMARGUMENT(IMPRODUCT(COMPLEX(Am/Afb,0),P397))</f>
        <v>-108.50436118322202</v>
      </c>
      <c r="AS397" s="351"/>
      <c r="AT397" s="351"/>
      <c r="AV397" s="405">
        <f t="shared" ref="AV397:AV460" si="262">SUM((AG398&lt;0)*(AG397&gt;0))*B397</f>
        <v>0</v>
      </c>
      <c r="AW397" s="405">
        <f t="shared" si="246"/>
        <v>0</v>
      </c>
      <c r="AX397" s="405">
        <f t="shared" ref="AX397:AX460" si="263">SUM((AL398&lt;0)*(AL397&gt;0))*B397</f>
        <v>0</v>
      </c>
      <c r="AY397" s="405">
        <f t="shared" ref="AY397:AY460" si="264">IF(AX397&gt;0,AM397,0)</f>
        <v>0</v>
      </c>
    </row>
    <row r="398" spans="2:51" ht="13.5" thickBot="1" x14ac:dyDescent="0.25">
      <c r="B398" s="345">
        <v>35687.75</v>
      </c>
      <c r="C398" s="728" t="str">
        <f t="shared" si="247"/>
        <v>2.2271548443541</v>
      </c>
      <c r="D398" s="728" t="str">
        <f t="shared" si="248"/>
        <v>1+27.2816508176329i</v>
      </c>
      <c r="E398" s="337">
        <f t="shared" si="225"/>
        <v>27.299972002462749</v>
      </c>
      <c r="F398" s="338">
        <f t="shared" si="226"/>
        <v>1.5341580561732966</v>
      </c>
      <c r="G398" s="338" t="str">
        <f t="shared" si="249"/>
        <v>1+0.112116373223149i</v>
      </c>
      <c r="H398" s="337">
        <f t="shared" si="227"/>
        <v>1.006265412873121</v>
      </c>
      <c r="I398" s="338">
        <f t="shared" si="228"/>
        <v>0.11165011411607266</v>
      </c>
      <c r="J398" s="340">
        <f t="shared" si="250"/>
        <v>1</v>
      </c>
      <c r="K398" s="338">
        <f t="shared" si="229"/>
        <v>1</v>
      </c>
      <c r="L398" s="339">
        <f t="shared" si="230"/>
        <v>0</v>
      </c>
      <c r="M398" s="731" t="str">
        <f t="shared" si="251"/>
        <v>0.943394866663889+0.483321534002474i</v>
      </c>
      <c r="N398" s="338">
        <f t="shared" si="231"/>
        <v>1.059996971542033</v>
      </c>
      <c r="O398" s="339">
        <f t="shared" si="232"/>
        <v>0.47345620157560164</v>
      </c>
      <c r="P398" s="732" t="str">
        <f t="shared" ref="P398:P461" si="265">(IMDIV(IMPRODUCT(C398,G398,J398),IMPRODUCT(D398,M398)))</f>
        <v>-0.0247413413330556-0.0733871238984779i</v>
      </c>
      <c r="Q398" s="337">
        <f t="shared" si="233"/>
        <v>7.7445490023947253E-2</v>
      </c>
      <c r="R398" s="339">
        <f t="shared" si="234"/>
        <v>-1.8959641436328267</v>
      </c>
      <c r="S398" s="731" t="str">
        <f t="shared" si="252"/>
        <v>6000</v>
      </c>
      <c r="T398" s="337" t="str">
        <f t="shared" si="253"/>
        <v>1+226475.073910761i</v>
      </c>
      <c r="U398" s="346">
        <f t="shared" si="235"/>
        <v>226475.07391296874</v>
      </c>
      <c r="V398" s="347">
        <f t="shared" si="236"/>
        <v>1.5707919112979383</v>
      </c>
      <c r="W398" s="340" t="str">
        <f t="shared" si="254"/>
        <v>1+2242.32746446298i</v>
      </c>
      <c r="X398" s="337">
        <f t="shared" si="237"/>
        <v>2242.3276874455651</v>
      </c>
      <c r="Y398" s="339">
        <f t="shared" si="238"/>
        <v>1.5703503616316663</v>
      </c>
      <c r="Z398" s="337" t="str">
        <f t="shared" si="255"/>
        <v>1+22.5879873369375i</v>
      </c>
      <c r="AA398" s="346">
        <f t="shared" si="239"/>
        <v>22.610112161014342</v>
      </c>
      <c r="AB398" s="347">
        <f t="shared" si="240"/>
        <v>1.5265538967045784</v>
      </c>
      <c r="AC398" s="732" t="str">
        <f t="shared" si="241"/>
        <v>0.115045905701269-2.62488613614649i</v>
      </c>
      <c r="AD398" s="337">
        <f t="shared" si="242"/>
        <v>2.6274060950208433</v>
      </c>
      <c r="AE398" s="339">
        <f t="shared" si="243"/>
        <v>-1.5269954463708504</v>
      </c>
      <c r="AF398" s="736" t="str">
        <f t="shared" si="256"/>
        <v>-0.195479234114705+0.0565003157190941i</v>
      </c>
      <c r="AG398" s="337">
        <f t="shared" si="244"/>
        <v>-13.829533298243931</v>
      </c>
      <c r="AH398" s="730">
        <f t="shared" si="245"/>
        <v>163.87886204895864</v>
      </c>
      <c r="AI398" s="360">
        <f t="shared" si="257"/>
        <v>-16.121137951041362</v>
      </c>
      <c r="AL398" s="337">
        <f t="shared" si="258"/>
        <v>8.3905440609471338</v>
      </c>
      <c r="AM398" s="730">
        <f t="shared" si="259"/>
        <v>-87.490394412744962</v>
      </c>
      <c r="AN398" s="351"/>
      <c r="AO398" s="337">
        <f t="shared" si="260"/>
        <v>31.309045125851071</v>
      </c>
      <c r="AP398" s="730">
        <f t="shared" si="261"/>
        <v>-108.6307435382964</v>
      </c>
      <c r="AS398" s="351"/>
      <c r="AT398" s="351"/>
      <c r="AV398" s="405">
        <f t="shared" si="262"/>
        <v>0</v>
      </c>
      <c r="AW398" s="405">
        <f t="shared" si="246"/>
        <v>0</v>
      </c>
      <c r="AX398" s="405">
        <f t="shared" si="263"/>
        <v>0</v>
      </c>
      <c r="AY398" s="405">
        <f t="shared" si="264"/>
        <v>0</v>
      </c>
    </row>
    <row r="399" spans="2:51" ht="13.5" thickBot="1" x14ac:dyDescent="0.25">
      <c r="B399" s="345">
        <v>35894.5</v>
      </c>
      <c r="C399" s="728" t="str">
        <f t="shared" si="247"/>
        <v>2.2271548443541</v>
      </c>
      <c r="D399" s="728" t="str">
        <f t="shared" si="248"/>
        <v>1+27.4397017260412i</v>
      </c>
      <c r="E399" s="337">
        <f t="shared" si="225"/>
        <v>27.457917452241499</v>
      </c>
      <c r="F399" s="338">
        <f t="shared" si="226"/>
        <v>1.5343689030648977</v>
      </c>
      <c r="G399" s="338" t="str">
        <f t="shared" si="249"/>
        <v>1+0.112765897504279i</v>
      </c>
      <c r="H399" s="337">
        <f t="shared" si="227"/>
        <v>1.0063379887691539</v>
      </c>
      <c r="I399" s="338">
        <f t="shared" si="228"/>
        <v>0.11229152896215705</v>
      </c>
      <c r="J399" s="340">
        <f t="shared" si="250"/>
        <v>1</v>
      </c>
      <c r="K399" s="338">
        <f t="shared" si="229"/>
        <v>1</v>
      </c>
      <c r="L399" s="339">
        <f t="shared" si="230"/>
        <v>0</v>
      </c>
      <c r="M399" s="731" t="str">
        <f t="shared" si="251"/>
        <v>0.942737105322222+0.4861215627842i</v>
      </c>
      <c r="N399" s="338">
        <f t="shared" si="231"/>
        <v>1.0606919550722891</v>
      </c>
      <c r="O399" s="339">
        <f t="shared" si="232"/>
        <v>0.47608838761755784</v>
      </c>
      <c r="P399" s="732" t="str">
        <f t="shared" si="265"/>
        <v>-0.0247451653227041-0.0728681295082055i</v>
      </c>
      <c r="Q399" s="337">
        <f t="shared" si="233"/>
        <v>7.695510057736632E-2</v>
      </c>
      <c r="R399" s="339">
        <f t="shared" si="234"/>
        <v>-1.8981657617202967</v>
      </c>
      <c r="S399" s="731" t="str">
        <f t="shared" si="252"/>
        <v>6000</v>
      </c>
      <c r="T399" s="337" t="str">
        <f t="shared" si="253"/>
        <v>1+227787.112958644i</v>
      </c>
      <c r="U399" s="346">
        <f t="shared" si="235"/>
        <v>227787.112960839</v>
      </c>
      <c r="V399" s="347">
        <f t="shared" si="236"/>
        <v>1.5707919367309153</v>
      </c>
      <c r="W399" s="340" t="str">
        <f t="shared" si="254"/>
        <v>1+2255.31795008558i</v>
      </c>
      <c r="X399" s="337">
        <f t="shared" si="237"/>
        <v>2255.3181717838002</v>
      </c>
      <c r="Y399" s="339">
        <f t="shared" si="238"/>
        <v>1.5703529303618444</v>
      </c>
      <c r="Z399" s="337" t="str">
        <f t="shared" si="255"/>
        <v>1+22.7188464239327i</v>
      </c>
      <c r="AA399" s="346">
        <f t="shared" si="239"/>
        <v>22.740843934081244</v>
      </c>
      <c r="AB399" s="347">
        <f t="shared" si="240"/>
        <v>1.5268084006950007</v>
      </c>
      <c r="AC399" s="732" t="str">
        <f t="shared" si="241"/>
        <v>0.113726963963807-2.60982501656098i</v>
      </c>
      <c r="AD399" s="337">
        <f t="shared" si="242"/>
        <v>2.6123017512148068</v>
      </c>
      <c r="AE399" s="339">
        <f t="shared" si="243"/>
        <v>-1.5272474070640716</v>
      </c>
      <c r="AF399" s="736" t="str">
        <f t="shared" si="256"/>
        <v>-0.192987259825454+0.0562934803594407i</v>
      </c>
      <c r="AG399" s="337">
        <f t="shared" si="244"/>
        <v>-13.934784966340221</v>
      </c>
      <c r="AH399" s="730">
        <f t="shared" si="245"/>
        <v>163.73828234012223</v>
      </c>
      <c r="AI399" s="360">
        <f t="shared" si="257"/>
        <v>-16.261717659877775</v>
      </c>
      <c r="AL399" s="337">
        <f t="shared" si="258"/>
        <v>8.3404668312213062</v>
      </c>
      <c r="AM399" s="730">
        <f t="shared" si="259"/>
        <v>-87.504830697069735</v>
      </c>
      <c r="AN399" s="351"/>
      <c r="AO399" s="337">
        <f t="shared" si="260"/>
        <v>31.253870687480582</v>
      </c>
      <c r="AP399" s="730">
        <f t="shared" si="261"/>
        <v>-108.75688696280807</v>
      </c>
      <c r="AS399" s="351"/>
      <c r="AT399" s="351"/>
      <c r="AV399" s="405">
        <f t="shared" si="262"/>
        <v>0</v>
      </c>
      <c r="AW399" s="405">
        <f t="shared" si="246"/>
        <v>0</v>
      </c>
      <c r="AX399" s="405">
        <f t="shared" si="263"/>
        <v>0</v>
      </c>
      <c r="AY399" s="405">
        <f t="shared" si="264"/>
        <v>0</v>
      </c>
    </row>
    <row r="400" spans="2:51" ht="13.5" thickBot="1" x14ac:dyDescent="0.25">
      <c r="B400" s="345">
        <v>36101.25</v>
      </c>
      <c r="C400" s="728" t="str">
        <f t="shared" si="247"/>
        <v>2.2271548443541</v>
      </c>
      <c r="D400" s="728" t="str">
        <f t="shared" si="248"/>
        <v>1+27.5977526344494i</v>
      </c>
      <c r="E400" s="337">
        <f t="shared" si="225"/>
        <v>27.615864108737551</v>
      </c>
      <c r="F400" s="338">
        <f t="shared" si="226"/>
        <v>1.5345773381228729</v>
      </c>
      <c r="G400" s="338" t="str">
        <f t="shared" si="249"/>
        <v>1+0.113415421785409i</v>
      </c>
      <c r="H400" s="337">
        <f t="shared" si="227"/>
        <v>1.0064109786259101</v>
      </c>
      <c r="I400" s="338">
        <f t="shared" si="228"/>
        <v>0.11293285103496124</v>
      </c>
      <c r="J400" s="340">
        <f t="shared" si="250"/>
        <v>1</v>
      </c>
      <c r="K400" s="338">
        <f t="shared" si="229"/>
        <v>1</v>
      </c>
      <c r="L400" s="339">
        <f t="shared" si="230"/>
        <v>0</v>
      </c>
      <c r="M400" s="731" t="str">
        <f t="shared" si="251"/>
        <v>0.942075544375+0.488921591565925i</v>
      </c>
      <c r="N400" s="338">
        <f t="shared" si="231"/>
        <v>1.0613909053731381</v>
      </c>
      <c r="O400" s="339">
        <f t="shared" si="232"/>
        <v>0.47871875744523629</v>
      </c>
      <c r="P400" s="732" t="str">
        <f t="shared" si="265"/>
        <v>-0.0247482764915145-0.0723546976416594i</v>
      </c>
      <c r="Q400" s="337">
        <f t="shared" si="233"/>
        <v>7.6470121355444454E-2</v>
      </c>
      <c r="R400" s="339">
        <f t="shared" si="234"/>
        <v>-1.9003632445331486</v>
      </c>
      <c r="S400" s="731" t="str">
        <f t="shared" si="252"/>
        <v>6000</v>
      </c>
      <c r="T400" s="337" t="str">
        <f t="shared" si="253"/>
        <v>1+229099.152006525i</v>
      </c>
      <c r="U400" s="346">
        <f t="shared" si="235"/>
        <v>229099.15200870743</v>
      </c>
      <c r="V400" s="347">
        <f t="shared" si="236"/>
        <v>1.5707919618725859</v>
      </c>
      <c r="W400" s="340" t="str">
        <f t="shared" si="254"/>
        <v>1+2268.30843570817i</v>
      </c>
      <c r="X400" s="337">
        <f t="shared" si="237"/>
        <v>2268.3086561367354</v>
      </c>
      <c r="Y400" s="339">
        <f t="shared" si="238"/>
        <v>1.5703554696700572</v>
      </c>
      <c r="Z400" s="337" t="str">
        <f t="shared" si="255"/>
        <v>1+22.8497055109279i</v>
      </c>
      <c r="AA400" s="346">
        <f t="shared" si="239"/>
        <v>22.871577163285632</v>
      </c>
      <c r="AB400" s="347">
        <f t="shared" si="240"/>
        <v>1.5270599952276549</v>
      </c>
      <c r="AC400" s="732" t="str">
        <f t="shared" si="241"/>
        <v>0.112430560050787-2.59493541913855i</v>
      </c>
      <c r="AD400" s="337">
        <f t="shared" si="242"/>
        <v>2.5973699121097669</v>
      </c>
      <c r="AE400" s="339">
        <f t="shared" si="243"/>
        <v>-1.5274964874301833</v>
      </c>
      <c r="AF400" s="736" t="str">
        <f t="shared" si="256"/>
        <v>-0.190538230237635+0.0560853000523078i</v>
      </c>
      <c r="AG400" s="337">
        <f t="shared" si="244"/>
        <v>-14.03948830468684</v>
      </c>
      <c r="AH400" s="730">
        <f t="shared" si="245"/>
        <v>163.59810459565543</v>
      </c>
      <c r="AI400" s="360">
        <f t="shared" si="257"/>
        <v>-16.401895404344572</v>
      </c>
      <c r="AL400" s="337">
        <f t="shared" si="258"/>
        <v>8.2906761073164308</v>
      </c>
      <c r="AM400" s="730">
        <f t="shared" si="259"/>
        <v>-87.51910195080751</v>
      </c>
      <c r="AN400" s="351"/>
      <c r="AO400" s="337">
        <f t="shared" si="260"/>
        <v>31.19895807303887</v>
      </c>
      <c r="AP400" s="730">
        <f t="shared" si="261"/>
        <v>-108.88279345353712</v>
      </c>
      <c r="AS400" s="351"/>
      <c r="AT400" s="351"/>
      <c r="AV400" s="405">
        <f t="shared" si="262"/>
        <v>0</v>
      </c>
      <c r="AW400" s="405">
        <f t="shared" si="246"/>
        <v>0</v>
      </c>
      <c r="AX400" s="405">
        <f t="shared" si="263"/>
        <v>0</v>
      </c>
      <c r="AY400" s="405">
        <f t="shared" si="264"/>
        <v>0</v>
      </c>
    </row>
    <row r="401" spans="2:51" ht="13.5" thickBot="1" x14ac:dyDescent="0.25">
      <c r="B401" s="345">
        <v>36308</v>
      </c>
      <c r="C401" s="728" t="str">
        <f t="shared" si="247"/>
        <v>2.2271548443541</v>
      </c>
      <c r="D401" s="728" t="str">
        <f t="shared" si="248"/>
        <v>1+27.7558035428576i</v>
      </c>
      <c r="E401" s="337">
        <f t="shared" ref="E401:E464" si="266">IMABS(D401)</f>
        <v>27.77381195136358</v>
      </c>
      <c r="F401" s="338">
        <f t="shared" ref="F401:F464" si="267">IMARGUMENT(D401)</f>
        <v>1.534783402476773</v>
      </c>
      <c r="G401" s="338" t="str">
        <f t="shared" si="249"/>
        <v>1+0.114064946066538i</v>
      </c>
      <c r="H401" s="337">
        <f t="shared" ref="H401:H464" si="268">IMABS(G401)</f>
        <v>1.0064843823533292</v>
      </c>
      <c r="I401" s="338">
        <f t="shared" ref="I401:I464" si="269">IMARGUMENT(G401)</f>
        <v>0.11357407982718168</v>
      </c>
      <c r="J401" s="340">
        <f t="shared" si="250"/>
        <v>1</v>
      </c>
      <c r="K401" s="338">
        <f t="shared" ref="K401:K464" si="270">IMABS(J401)</f>
        <v>1</v>
      </c>
      <c r="L401" s="339">
        <f t="shared" ref="L401:L464" si="271">IMARGUMENT(J401)</f>
        <v>0</v>
      </c>
      <c r="M401" s="731" t="str">
        <f t="shared" si="251"/>
        <v>0.941410183822222+0.491721620347649i</v>
      </c>
      <c r="N401" s="338">
        <f t="shared" ref="N401:N464" si="272">IMABS(M401)</f>
        <v>1.0620938217132738</v>
      </c>
      <c r="O401" s="339">
        <f t="shared" ref="O401:O464" si="273">IMARGUMENT(M401)</f>
        <v>0.48134730335592923</v>
      </c>
      <c r="P401" s="732" t="str">
        <f t="shared" si="265"/>
        <v>-0.0247506891810131-0.0718467366277119i</v>
      </c>
      <c r="Q401" s="337">
        <f t="shared" ref="Q401:Q464" si="274">IMABS(P401)</f>
        <v>7.5990461105239507E-2</v>
      </c>
      <c r="R401" s="339">
        <f t="shared" ref="R401:R464" si="275">IMARGUMENT(P401)</f>
        <v>-1.9025566260055193</v>
      </c>
      <c r="S401" s="731" t="str">
        <f t="shared" si="252"/>
        <v>6000</v>
      </c>
      <c r="T401" s="337" t="str">
        <f t="shared" si="253"/>
        <v>1+230411.191054407i</v>
      </c>
      <c r="U401" s="346">
        <f t="shared" ref="U401:U464" si="276">IMABS(T401)</f>
        <v>230411.19105657708</v>
      </c>
      <c r="V401" s="347">
        <f t="shared" ref="V401:V464" si="277">IMARGUMENT(T401)</f>
        <v>1.5707919867279259</v>
      </c>
      <c r="W401" s="340" t="str">
        <f t="shared" si="254"/>
        <v>1+2281.29892133076i</v>
      </c>
      <c r="X401" s="337">
        <f t="shared" ref="X401:X464" si="278">IMABS(W401)</f>
        <v>2281.2991405041316</v>
      </c>
      <c r="Y401" s="339">
        <f t="shared" ref="Y401:Y464" si="279">IMARGUMENT(W401)</f>
        <v>1.5703579800589207</v>
      </c>
      <c r="Z401" s="337" t="str">
        <f t="shared" si="255"/>
        <v>1+22.980564597923i</v>
      </c>
      <c r="AA401" s="346">
        <f t="shared" ref="AA401:AA464" si="280">IMABS(Z401)</f>
        <v>23.002311823799623</v>
      </c>
      <c r="AB401" s="347">
        <f t="shared" ref="AB401:AB464" si="281">IMARGUMENT(Z401)</f>
        <v>1.5273087298785115</v>
      </c>
      <c r="AC401" s="732" t="str">
        <f t="shared" ref="AC401:AC464" si="282">IMPRODUCT(S401,IMDIV(W401,IMPRODUCT(T401,Z401)))</f>
        <v>0.111156183696868-2.58021443596819i</v>
      </c>
      <c r="AD401" s="337">
        <f t="shared" ref="AD401:AD464" si="283">IMABS(AC401)</f>
        <v>2.5826076420456703</v>
      </c>
      <c r="AE401" s="339">
        <f t="shared" ref="AE401:AE464" si="284">IMARGUMENT(AC401)</f>
        <v>-1.5277427365475165</v>
      </c>
      <c r="AF401" s="736" t="str">
        <f t="shared" si="256"/>
        <v>-0.188131179177256+0.0558758764704013i</v>
      </c>
      <c r="AG401" s="337">
        <f t="shared" ref="AG401:AG464" si="285">20*LOG10(IMABS(AF401))</f>
        <v>-14.143649768457776</v>
      </c>
      <c r="AH401" s="730">
        <f t="shared" ref="AH401:AH464" si="286">(180/PI())*IMARGUMENT(AF401)</f>
        <v>163.45832405929445</v>
      </c>
      <c r="AI401" s="360">
        <f t="shared" si="257"/>
        <v>-16.541675940705545</v>
      </c>
      <c r="AL401" s="337">
        <f t="shared" si="258"/>
        <v>8.2411686357573899</v>
      </c>
      <c r="AM401" s="730">
        <f t="shared" si="259"/>
        <v>-87.533210985939519</v>
      </c>
      <c r="AN401" s="351"/>
      <c r="AO401" s="337">
        <f t="shared" si="260"/>
        <v>31.144304080826956</v>
      </c>
      <c r="AP401" s="730">
        <f t="shared" si="261"/>
        <v>-109.00846495476613</v>
      </c>
      <c r="AS401" s="351"/>
      <c r="AT401" s="351"/>
      <c r="AV401" s="405">
        <f t="shared" si="262"/>
        <v>0</v>
      </c>
      <c r="AW401" s="405">
        <f t="shared" si="246"/>
        <v>0</v>
      </c>
      <c r="AX401" s="405">
        <f t="shared" si="263"/>
        <v>0</v>
      </c>
      <c r="AY401" s="405">
        <f t="shared" si="264"/>
        <v>0</v>
      </c>
    </row>
    <row r="402" spans="2:51" ht="13.5" thickBot="1" x14ac:dyDescent="0.25">
      <c r="B402" s="345">
        <v>36519.5</v>
      </c>
      <c r="C402" s="728" t="str">
        <f t="shared" si="247"/>
        <v>2.2271548443541</v>
      </c>
      <c r="D402" s="728" t="str">
        <f t="shared" si="248"/>
        <v>1+27.9174856087746i</v>
      </c>
      <c r="E402" s="337">
        <f t="shared" si="266"/>
        <v>27.935389789944526</v>
      </c>
      <c r="F402" s="338">
        <f t="shared" si="267"/>
        <v>1.5349917899586256</v>
      </c>
      <c r="G402" s="338" t="str">
        <f t="shared" si="249"/>
        <v>1+0.114729392912772i</v>
      </c>
      <c r="H402" s="337">
        <f t="shared" si="268"/>
        <v>1.0065599006507926</v>
      </c>
      <c r="I402" s="338">
        <f t="shared" si="269"/>
        <v>0.11422994355061888</v>
      </c>
      <c r="J402" s="340">
        <f t="shared" si="250"/>
        <v>1</v>
      </c>
      <c r="K402" s="338">
        <f t="shared" si="270"/>
        <v>1</v>
      </c>
      <c r="L402" s="339">
        <f t="shared" si="271"/>
        <v>0</v>
      </c>
      <c r="M402" s="731" t="str">
        <f t="shared" si="251"/>
        <v>0.940725605322222+0.494585978690261i</v>
      </c>
      <c r="N402" s="338">
        <f t="shared" si="272"/>
        <v>1.0628169902790718</v>
      </c>
      <c r="O402" s="339">
        <f t="shared" si="273"/>
        <v>0.48403434383348531</v>
      </c>
      <c r="P402" s="732" t="str">
        <f t="shared" si="265"/>
        <v>-0.0247524491229378-0.0713326728257402i</v>
      </c>
      <c r="Q402" s="337">
        <f t="shared" si="274"/>
        <v>7.550519154367942E-2</v>
      </c>
      <c r="R402" s="339">
        <f t="shared" si="275"/>
        <v>-1.9047961902414905</v>
      </c>
      <c r="S402" s="731" t="str">
        <f t="shared" si="252"/>
        <v>6000</v>
      </c>
      <c r="T402" s="337" t="str">
        <f t="shared" si="253"/>
        <v>1+231753.3736838i</v>
      </c>
      <c r="U402" s="346">
        <f t="shared" si="276"/>
        <v>231753.37368595749</v>
      </c>
      <c r="V402" s="347">
        <f t="shared" si="277"/>
        <v>1.5707920118631047</v>
      </c>
      <c r="W402" s="340" t="str">
        <f t="shared" si="254"/>
        <v>1+2294.58785825545i</v>
      </c>
      <c r="X402" s="337">
        <f t="shared" si="278"/>
        <v>2294.5880761594954</v>
      </c>
      <c r="Y402" s="339">
        <f t="shared" si="279"/>
        <v>1.5703605187115004</v>
      </c>
      <c r="Z402" s="337" t="str">
        <f t="shared" si="255"/>
        <v>1+23.114430121016i</v>
      </c>
      <c r="AA402" s="346">
        <f t="shared" si="280"/>
        <v>23.136051517476609</v>
      </c>
      <c r="AB402" s="347">
        <f t="shared" si="281"/>
        <v>1.5275602704334836</v>
      </c>
      <c r="AC402" s="732" t="str">
        <f t="shared" si="282"/>
        <v>0.109874804549344-2.56532674998563i</v>
      </c>
      <c r="AD402" s="337">
        <f t="shared" si="283"/>
        <v>2.5676786806114564</v>
      </c>
      <c r="AE402" s="339">
        <f t="shared" si="284"/>
        <v>-1.5279917635850879</v>
      </c>
      <c r="AF402" s="736" t="str">
        <f t="shared" si="256"/>
        <v>-0.185711284257345+0.0556604563780202i</v>
      </c>
      <c r="AG402" s="337">
        <f t="shared" si="285"/>
        <v>-14.24965022390117</v>
      </c>
      <c r="AH402" s="730">
        <f t="shared" si="286"/>
        <v>163.31573828238737</v>
      </c>
      <c r="AI402" s="360">
        <f t="shared" si="257"/>
        <v>-16.684261717612628</v>
      </c>
      <c r="AL402" s="337">
        <f t="shared" si="258"/>
        <v>8.1908135034465808</v>
      </c>
      <c r="AM402" s="730">
        <f t="shared" si="259"/>
        <v>-87.547479184177007</v>
      </c>
      <c r="AN402" s="351"/>
      <c r="AO402" s="337">
        <f t="shared" si="260"/>
        <v>31.088658757694358</v>
      </c>
      <c r="AP402" s="730">
        <f t="shared" si="261"/>
        <v>-109.13678253343562</v>
      </c>
      <c r="AS402" s="351"/>
      <c r="AT402" s="351"/>
      <c r="AV402" s="405">
        <f t="shared" si="262"/>
        <v>0</v>
      </c>
      <c r="AW402" s="405">
        <f t="shared" si="246"/>
        <v>0</v>
      </c>
      <c r="AX402" s="405">
        <f t="shared" si="263"/>
        <v>0</v>
      </c>
      <c r="AY402" s="405">
        <f t="shared" si="264"/>
        <v>0</v>
      </c>
    </row>
    <row r="403" spans="2:51" ht="13.5" thickBot="1" x14ac:dyDescent="0.25">
      <c r="B403" s="345">
        <v>36731</v>
      </c>
      <c r="C403" s="728" t="str">
        <f t="shared" si="247"/>
        <v>2.2271548443541</v>
      </c>
      <c r="D403" s="728" t="str">
        <f t="shared" si="248"/>
        <v>1+28.0791676746916i</v>
      </c>
      <c r="E403" s="337">
        <f t="shared" si="266"/>
        <v>28.096968827676868</v>
      </c>
      <c r="F403" s="338">
        <f t="shared" si="267"/>
        <v>1.5351977806748676</v>
      </c>
      <c r="G403" s="338" t="str">
        <f t="shared" si="249"/>
        <v>1+0.115393839759006i</v>
      </c>
      <c r="H403" s="337">
        <f t="shared" si="268"/>
        <v>1.0066358518621952</v>
      </c>
      <c r="I403" s="338">
        <f t="shared" si="269"/>
        <v>0.11488570858556794</v>
      </c>
      <c r="J403" s="340">
        <f t="shared" si="250"/>
        <v>1</v>
      </c>
      <c r="K403" s="338">
        <f t="shared" si="270"/>
        <v>1</v>
      </c>
      <c r="L403" s="339">
        <f t="shared" si="271"/>
        <v>0</v>
      </c>
      <c r="M403" s="731" t="str">
        <f t="shared" si="251"/>
        <v>0.940037050622222+0.497450337032872i</v>
      </c>
      <c r="N403" s="338">
        <f t="shared" si="272"/>
        <v>1.0635443076603082</v>
      </c>
      <c r="O403" s="339">
        <f t="shared" si="273"/>
        <v>0.48671945944796507</v>
      </c>
      <c r="P403" s="732" t="str">
        <f t="shared" si="265"/>
        <v>-0.0247535072847544-0.0708241466301257i</v>
      </c>
      <c r="Q403" s="337">
        <f t="shared" si="274"/>
        <v>7.5025301524098767E-2</v>
      </c>
      <c r="R403" s="339">
        <f t="shared" si="275"/>
        <v>-1.9070315315372635</v>
      </c>
      <c r="S403" s="731" t="str">
        <f t="shared" si="252"/>
        <v>6000</v>
      </c>
      <c r="T403" s="337" t="str">
        <f t="shared" si="253"/>
        <v>1+233095.556313193i</v>
      </c>
      <c r="U403" s="346">
        <f t="shared" si="276"/>
        <v>233095.55631533804</v>
      </c>
      <c r="V403" s="347">
        <f t="shared" si="277"/>
        <v>1.5707920367088228</v>
      </c>
      <c r="W403" s="340" t="str">
        <f t="shared" si="254"/>
        <v>1+2307.87679518013i</v>
      </c>
      <c r="X403" s="337">
        <f t="shared" si="278"/>
        <v>2307.8770118294665</v>
      </c>
      <c r="Y403" s="339">
        <f t="shared" si="279"/>
        <v>1.5703630281285614</v>
      </c>
      <c r="Z403" s="337" t="str">
        <f t="shared" si="255"/>
        <v>1+23.248295644109i</v>
      </c>
      <c r="AA403" s="346">
        <f t="shared" si="280"/>
        <v>23.269792658205994</v>
      </c>
      <c r="AB403" s="347">
        <f t="shared" si="281"/>
        <v>1.5278089195884375</v>
      </c>
      <c r="AC403" s="732" t="str">
        <f t="shared" si="282"/>
        <v>0.108615441955048-2.5506095659303i</v>
      </c>
      <c r="AD403" s="337">
        <f t="shared" si="283"/>
        <v>2.55292116447928</v>
      </c>
      <c r="AE403" s="339">
        <f t="shared" si="284"/>
        <v>-1.5282379281686986</v>
      </c>
      <c r="AF403" s="736" t="str">
        <f t="shared" si="256"/>
        <v>-0.18333335902732+0.0554439364834997i</v>
      </c>
      <c r="AG403" s="337">
        <f t="shared" si="285"/>
        <v>-14.355096934221475</v>
      </c>
      <c r="AH403" s="730">
        <f t="shared" si="286"/>
        <v>163.17355846866175</v>
      </c>
      <c r="AI403" s="360">
        <f t="shared" si="257"/>
        <v>-16.826441531338247</v>
      </c>
      <c r="AL403" s="337">
        <f t="shared" si="258"/>
        <v>8.1407480754797401</v>
      </c>
      <c r="AM403" s="730">
        <f t="shared" si="259"/>
        <v>-87.561583375883501</v>
      </c>
      <c r="AN403" s="351"/>
      <c r="AO403" s="337">
        <f t="shared" si="260"/>
        <v>31.033277475340917</v>
      </c>
      <c r="AP403" s="730">
        <f t="shared" si="261"/>
        <v>-109.26485815545482</v>
      </c>
      <c r="AS403" s="351"/>
      <c r="AT403" s="351"/>
      <c r="AV403" s="405">
        <f t="shared" si="262"/>
        <v>0</v>
      </c>
      <c r="AW403" s="405">
        <f t="shared" si="246"/>
        <v>0</v>
      </c>
      <c r="AX403" s="405">
        <f t="shared" si="263"/>
        <v>0</v>
      </c>
      <c r="AY403" s="405">
        <f t="shared" si="264"/>
        <v>0</v>
      </c>
    </row>
    <row r="404" spans="2:51" ht="13.5" thickBot="1" x14ac:dyDescent="0.25">
      <c r="B404" s="345">
        <v>36942.5</v>
      </c>
      <c r="C404" s="728" t="str">
        <f t="shared" si="247"/>
        <v>2.2271548443541</v>
      </c>
      <c r="D404" s="728" t="str">
        <f t="shared" si="248"/>
        <v>1+28.2408497406086i</v>
      </c>
      <c r="E404" s="337">
        <f t="shared" si="266"/>
        <v>28.25854904399079</v>
      </c>
      <c r="F404" s="338">
        <f t="shared" si="267"/>
        <v>1.5354014157214313</v>
      </c>
      <c r="G404" s="338" t="str">
        <f t="shared" si="249"/>
        <v>1+0.116058286605241i</v>
      </c>
      <c r="H404" s="337">
        <f t="shared" si="268"/>
        <v>1.0067122358895537</v>
      </c>
      <c r="I404" s="338">
        <f t="shared" si="269"/>
        <v>0.11554137439043626</v>
      </c>
      <c r="J404" s="340">
        <f t="shared" si="250"/>
        <v>1</v>
      </c>
      <c r="K404" s="338">
        <f t="shared" si="270"/>
        <v>1</v>
      </c>
      <c r="L404" s="339">
        <f t="shared" si="271"/>
        <v>0</v>
      </c>
      <c r="M404" s="731" t="str">
        <f t="shared" si="251"/>
        <v>0.939344519722222+0.500314695375484i</v>
      </c>
      <c r="N404" s="338">
        <f t="shared" si="272"/>
        <v>1.0642757730686323</v>
      </c>
      <c r="O404" s="339">
        <f t="shared" si="273"/>
        <v>0.4894026420862192</v>
      </c>
      <c r="P404" s="732" t="str">
        <f t="shared" si="265"/>
        <v>-0.0247538778314593-0.0703210664236354i</v>
      </c>
      <c r="Q404" s="337">
        <f t="shared" si="274"/>
        <v>7.4550699866950648E-2</v>
      </c>
      <c r="R404" s="339">
        <f t="shared" si="275"/>
        <v>-1.9092626834172153</v>
      </c>
      <c r="S404" s="731" t="str">
        <f t="shared" si="252"/>
        <v>6000</v>
      </c>
      <c r="T404" s="337" t="str">
        <f t="shared" si="253"/>
        <v>1+234437.738942587i</v>
      </c>
      <c r="U404" s="346">
        <f t="shared" si="276"/>
        <v>234437.73894471975</v>
      </c>
      <c r="V404" s="347">
        <f t="shared" si="277"/>
        <v>1.5707920612700519</v>
      </c>
      <c r="W404" s="340" t="str">
        <f t="shared" si="254"/>
        <v>1+2321.16573210482i</v>
      </c>
      <c r="X404" s="337">
        <f t="shared" si="278"/>
        <v>2321.1659475138149</v>
      </c>
      <c r="Y404" s="339">
        <f t="shared" si="279"/>
        <v>1.5703655088122337</v>
      </c>
      <c r="Z404" s="337" t="str">
        <f t="shared" si="255"/>
        <v>1+23.3821611672021i</v>
      </c>
      <c r="AA404" s="346">
        <f t="shared" si="280"/>
        <v>23.403535221180018</v>
      </c>
      <c r="AB404" s="347">
        <f t="shared" si="281"/>
        <v>1.5280547268822104</v>
      </c>
      <c r="AC404" s="732" t="str">
        <f t="shared" si="282"/>
        <v>0.107377594710036-2.5360599768089i</v>
      </c>
      <c r="AD404" s="337">
        <f t="shared" si="283"/>
        <v>2.5383321598675126</v>
      </c>
      <c r="AE404" s="339">
        <f t="shared" si="284"/>
        <v>-1.5284812793400286</v>
      </c>
      <c r="AF404" s="736" t="str">
        <f t="shared" si="256"/>
        <v>-0.18099645394479+0.0552264118691664i</v>
      </c>
      <c r="AG404" s="337">
        <f t="shared" si="285"/>
        <v>-14.459996458875304</v>
      </c>
      <c r="AH404" s="730">
        <f t="shared" si="286"/>
        <v>163.03177988743107</v>
      </c>
      <c r="AI404" s="360">
        <f t="shared" si="257"/>
        <v>-16.968220112568929</v>
      </c>
      <c r="AL404" s="337">
        <f t="shared" si="258"/>
        <v>8.0909690435797046</v>
      </c>
      <c r="AM404" s="730">
        <f t="shared" si="259"/>
        <v>-87.575526370940267</v>
      </c>
      <c r="AN404" s="351"/>
      <c r="AO404" s="337">
        <f t="shared" si="260"/>
        <v>30.978156982587137</v>
      </c>
      <c r="AP404" s="730">
        <f t="shared" si="261"/>
        <v>-109.39269374162869</v>
      </c>
      <c r="AS404" s="351"/>
      <c r="AT404" s="351"/>
      <c r="AV404" s="405">
        <f t="shared" si="262"/>
        <v>0</v>
      </c>
      <c r="AW404" s="405">
        <f t="shared" si="246"/>
        <v>0</v>
      </c>
      <c r="AX404" s="405">
        <f t="shared" si="263"/>
        <v>0</v>
      </c>
      <c r="AY404" s="405">
        <f t="shared" si="264"/>
        <v>0</v>
      </c>
    </row>
    <row r="405" spans="2:51" ht="13.5" thickBot="1" x14ac:dyDescent="0.25">
      <c r="B405" s="345">
        <v>37154</v>
      </c>
      <c r="C405" s="728" t="str">
        <f t="shared" si="247"/>
        <v>2.2271548443541</v>
      </c>
      <c r="D405" s="728" t="str">
        <f t="shared" si="248"/>
        <v>1+28.4025318065256i</v>
      </c>
      <c r="E405" s="337">
        <f t="shared" si="266"/>
        <v>28.420130418784119</v>
      </c>
      <c r="F405" s="338">
        <f t="shared" si="267"/>
        <v>1.5356027352604456</v>
      </c>
      <c r="G405" s="338" t="str">
        <f t="shared" si="249"/>
        <v>1+0.116722733451475i</v>
      </c>
      <c r="H405" s="337">
        <f t="shared" si="268"/>
        <v>1.0067890526343561</v>
      </c>
      <c r="I405" s="338">
        <f t="shared" si="269"/>
        <v>0.11619694042413331</v>
      </c>
      <c r="J405" s="340">
        <f t="shared" si="250"/>
        <v>1</v>
      </c>
      <c r="K405" s="338">
        <f t="shared" si="270"/>
        <v>1</v>
      </c>
      <c r="L405" s="339">
        <f t="shared" si="271"/>
        <v>0</v>
      </c>
      <c r="M405" s="731" t="str">
        <f t="shared" si="251"/>
        <v>0.938648012622222+0.503179053718094i</v>
      </c>
      <c r="N405" s="338">
        <f t="shared" si="272"/>
        <v>1.0650113857139198</v>
      </c>
      <c r="O405" s="339">
        <f t="shared" si="273"/>
        <v>0.49208388367998168</v>
      </c>
      <c r="P405" s="732" t="str">
        <f t="shared" si="265"/>
        <v>-0.0247535745542713-0.069823342663908i</v>
      </c>
      <c r="Q405" s="337">
        <f t="shared" si="274"/>
        <v>7.4081297464173662E-2</v>
      </c>
      <c r="R405" s="339">
        <f t="shared" si="275"/>
        <v>-1.9114896785162938</v>
      </c>
      <c r="S405" s="731" t="str">
        <f t="shared" si="252"/>
        <v>6000</v>
      </c>
      <c r="T405" s="337" t="str">
        <f t="shared" si="253"/>
        <v>1+235779.92157198i</v>
      </c>
      <c r="U405" s="346">
        <f t="shared" si="276"/>
        <v>235779.92157410065</v>
      </c>
      <c r="V405" s="347">
        <f t="shared" si="277"/>
        <v>1.5707920855516502</v>
      </c>
      <c r="W405" s="340" t="str">
        <f t="shared" si="254"/>
        <v>1+2334.4546690295i</v>
      </c>
      <c r="X405" s="337">
        <f t="shared" si="278"/>
        <v>2334.4548832122741</v>
      </c>
      <c r="Y405" s="339">
        <f t="shared" si="279"/>
        <v>1.5703679612532131</v>
      </c>
      <c r="Z405" s="337" t="str">
        <f t="shared" si="255"/>
        <v>1+23.516026690295i</v>
      </c>
      <c r="AA405" s="346">
        <f t="shared" si="280"/>
        <v>23.537279182154144</v>
      </c>
      <c r="AB405" s="347">
        <f t="shared" si="281"/>
        <v>1.5282977407290701</v>
      </c>
      <c r="AC405" s="732" t="str">
        <f t="shared" si="282"/>
        <v>0.106160775783385-2.52167514121801i</v>
      </c>
      <c r="AD405" s="337">
        <f t="shared" si="283"/>
        <v>2.5239087994917329</v>
      </c>
      <c r="AE405" s="339">
        <f t="shared" si="284"/>
        <v>-1.5287218650275072</v>
      </c>
      <c r="AF405" s="736" t="str">
        <f t="shared" si="256"/>
        <v>-0.178699646150417+0.055007973384803i</v>
      </c>
      <c r="AG405" s="337">
        <f t="shared" si="285"/>
        <v>-14.564355244299225</v>
      </c>
      <c r="AH405" s="730">
        <f t="shared" si="286"/>
        <v>162.89039792275378</v>
      </c>
      <c r="AI405" s="360">
        <f t="shared" si="257"/>
        <v>-17.109602077246223</v>
      </c>
      <c r="AL405" s="337">
        <f t="shared" si="258"/>
        <v>8.0414731557122465</v>
      </c>
      <c r="AM405" s="730">
        <f t="shared" si="259"/>
        <v>-87.589310915444045</v>
      </c>
      <c r="AN405" s="351"/>
      <c r="AO405" s="337">
        <f t="shared" si="260"/>
        <v>30.923294085030669</v>
      </c>
      <c r="AP405" s="730">
        <f t="shared" si="261"/>
        <v>-109.52029116180221</v>
      </c>
      <c r="AS405" s="351"/>
      <c r="AT405" s="351"/>
      <c r="AV405" s="405">
        <f t="shared" si="262"/>
        <v>0</v>
      </c>
      <c r="AW405" s="405">
        <f t="shared" si="246"/>
        <v>0</v>
      </c>
      <c r="AX405" s="405">
        <f t="shared" si="263"/>
        <v>0</v>
      </c>
      <c r="AY405" s="405">
        <f t="shared" si="264"/>
        <v>0</v>
      </c>
    </row>
    <row r="406" spans="2:51" ht="13.5" thickBot="1" x14ac:dyDescent="0.25">
      <c r="B406" s="345">
        <v>37370.25</v>
      </c>
      <c r="C406" s="728" t="str">
        <f t="shared" si="247"/>
        <v>2.2271548443541</v>
      </c>
      <c r="D406" s="728" t="str">
        <f t="shared" si="248"/>
        <v>1+28.5678450299514i</v>
      </c>
      <c r="E406" s="337">
        <f t="shared" si="266"/>
        <v>28.585341867035961</v>
      </c>
      <c r="F406" s="338">
        <f t="shared" si="267"/>
        <v>1.5358062229497207</v>
      </c>
      <c r="G406" s="338" t="str">
        <f t="shared" si="249"/>
        <v>1+0.117402102862814i</v>
      </c>
      <c r="H406" s="337">
        <f t="shared" si="268"/>
        <v>1.0068680418786817</v>
      </c>
      <c r="I406" s="338">
        <f t="shared" si="269"/>
        <v>0.11686712585153575</v>
      </c>
      <c r="J406" s="340">
        <f t="shared" si="250"/>
        <v>1</v>
      </c>
      <c r="K406" s="338">
        <f t="shared" si="270"/>
        <v>1</v>
      </c>
      <c r="L406" s="339">
        <f t="shared" si="271"/>
        <v>0</v>
      </c>
      <c r="M406" s="731" t="str">
        <f t="shared" si="251"/>
        <v>0.937931751775+0.506107741621592i</v>
      </c>
      <c r="N406" s="338">
        <f t="shared" si="272"/>
        <v>1.065767806380465</v>
      </c>
      <c r="O406" s="339">
        <f t="shared" si="273"/>
        <v>0.49482332700226189</v>
      </c>
      <c r="P406" s="732" t="str">
        <f t="shared" si="265"/>
        <v>-0.0247525817600711-0.0693198877937561i</v>
      </c>
      <c r="Q406" s="337">
        <f t="shared" si="274"/>
        <v>7.3606637931153601E-2</v>
      </c>
      <c r="R406" s="339">
        <f t="shared" si="275"/>
        <v>-1.9137624241004465</v>
      </c>
      <c r="S406" s="731" t="str">
        <f t="shared" si="252"/>
        <v>6000</v>
      </c>
      <c r="T406" s="337" t="str">
        <f t="shared" si="253"/>
        <v>1+237152.247782884i</v>
      </c>
      <c r="U406" s="346">
        <f t="shared" si="276"/>
        <v>237152.24778499233</v>
      </c>
      <c r="V406" s="347">
        <f t="shared" si="277"/>
        <v>1.5707921100944042</v>
      </c>
      <c r="W406" s="340" t="str">
        <f t="shared" si="254"/>
        <v>1+2348.04205725628i</v>
      </c>
      <c r="X406" s="337">
        <f t="shared" si="278"/>
        <v>2348.0422701996449</v>
      </c>
      <c r="Y406" s="339">
        <f t="shared" si="279"/>
        <v>1.5703704400709133</v>
      </c>
      <c r="Z406" s="337" t="str">
        <f t="shared" si="255"/>
        <v>1+23.6528986494859i</v>
      </c>
      <c r="AA406" s="346">
        <f t="shared" si="280"/>
        <v>23.674028269875237</v>
      </c>
      <c r="AB406" s="347">
        <f t="shared" si="281"/>
        <v>1.5285433733643714</v>
      </c>
      <c r="AC406" s="732" t="str">
        <f t="shared" si="282"/>
        <v>0.104937877807705-2.50713469417279i</v>
      </c>
      <c r="AD406" s="337">
        <f t="shared" si="283"/>
        <v>2.509329857337149</v>
      </c>
      <c r="AE406" s="339">
        <f t="shared" si="284"/>
        <v>-1.5289650433878625</v>
      </c>
      <c r="AF406" s="736" t="str">
        <f t="shared" si="256"/>
        <v>-0.176391779084054+0.0547837745860778i</v>
      </c>
      <c r="AG406" s="337">
        <f t="shared" si="285"/>
        <v>-14.670505292370164</v>
      </c>
      <c r="AH406" s="730">
        <f t="shared" si="286"/>
        <v>162.74624609915753</v>
      </c>
      <c r="AI406" s="360">
        <f t="shared" si="257"/>
        <v>-17.253753900842469</v>
      </c>
      <c r="AL406" s="337">
        <f t="shared" si="258"/>
        <v>7.9911550820539308</v>
      </c>
      <c r="AM406" s="730">
        <f t="shared" si="259"/>
        <v>-87.603244009161315</v>
      </c>
      <c r="AN406" s="351"/>
      <c r="AO406" s="337">
        <f t="shared" si="260"/>
        <v>30.867462110618064</v>
      </c>
      <c r="AP406" s="730">
        <f t="shared" si="261"/>
        <v>-109.6505098916811</v>
      </c>
      <c r="AS406" s="351"/>
      <c r="AT406" s="351"/>
      <c r="AV406" s="405">
        <f t="shared" si="262"/>
        <v>0</v>
      </c>
      <c r="AW406" s="405">
        <f t="shared" si="246"/>
        <v>0</v>
      </c>
      <c r="AX406" s="405">
        <f t="shared" si="263"/>
        <v>0</v>
      </c>
      <c r="AY406" s="405">
        <f t="shared" si="264"/>
        <v>0</v>
      </c>
    </row>
    <row r="407" spans="2:51" ht="13.5" thickBot="1" x14ac:dyDescent="0.25">
      <c r="B407" s="345">
        <v>37586.5</v>
      </c>
      <c r="C407" s="728" t="str">
        <f t="shared" si="247"/>
        <v>2.2271548443541</v>
      </c>
      <c r="D407" s="728" t="str">
        <f t="shared" si="248"/>
        <v>1+28.7331582533772i</v>
      </c>
      <c r="E407" s="337">
        <f t="shared" si="266"/>
        <v>28.750554485324599</v>
      </c>
      <c r="F407" s="338">
        <f t="shared" si="267"/>
        <v>1.5360073719978147</v>
      </c>
      <c r="G407" s="338" t="str">
        <f t="shared" si="249"/>
        <v>1+0.118081472274153i</v>
      </c>
      <c r="H407" s="337">
        <f t="shared" si="268"/>
        <v>1.0069474832852165</v>
      </c>
      <c r="I407" s="338">
        <f t="shared" si="269"/>
        <v>0.11753720583358865</v>
      </c>
      <c r="J407" s="340">
        <f t="shared" si="250"/>
        <v>1</v>
      </c>
      <c r="K407" s="338">
        <f t="shared" si="270"/>
        <v>1</v>
      </c>
      <c r="L407" s="339">
        <f t="shared" si="271"/>
        <v>0</v>
      </c>
      <c r="M407" s="731" t="str">
        <f t="shared" si="251"/>
        <v>0.937211334122222+0.50903642952509i</v>
      </c>
      <c r="N407" s="338">
        <f t="shared" si="272"/>
        <v>1.0665285609822213</v>
      </c>
      <c r="O407" s="339">
        <f t="shared" si="273"/>
        <v>0.49756072419958158</v>
      </c>
      <c r="P407" s="732" t="str">
        <f t="shared" si="265"/>
        <v>-0.0247509125526256-0.0688218497365133i</v>
      </c>
      <c r="Q407" s="337">
        <f t="shared" si="274"/>
        <v>7.3137231786163021E-2</v>
      </c>
      <c r="R407" s="339">
        <f t="shared" si="275"/>
        <v>-1.9160308903638084</v>
      </c>
      <c r="S407" s="731" t="str">
        <f t="shared" si="252"/>
        <v>6000</v>
      </c>
      <c r="T407" s="337" t="str">
        <f t="shared" si="253"/>
        <v>1+238524.573993789i</v>
      </c>
      <c r="U407" s="346">
        <f t="shared" si="276"/>
        <v>238524.57399588524</v>
      </c>
      <c r="V407" s="347">
        <f t="shared" si="277"/>
        <v>1.57079213435475</v>
      </c>
      <c r="W407" s="340" t="str">
        <f t="shared" si="254"/>
        <v>1+2361.62944548306i</v>
      </c>
      <c r="X407" s="337">
        <f t="shared" si="278"/>
        <v>2361.629657201278</v>
      </c>
      <c r="Y407" s="339">
        <f t="shared" si="279"/>
        <v>1.5703728903653811</v>
      </c>
      <c r="Z407" s="337" t="str">
        <f t="shared" si="255"/>
        <v>1+23.7897706086768i</v>
      </c>
      <c r="AA407" s="346">
        <f t="shared" si="280"/>
        <v>23.810778769571197</v>
      </c>
      <c r="AB407" s="347">
        <f t="shared" si="281"/>
        <v>1.5287861845705044</v>
      </c>
      <c r="AC407" s="732" t="str">
        <f t="shared" si="282"/>
        <v>0.103735976860421-2.49276067840625i</v>
      </c>
      <c r="AD407" s="337">
        <f t="shared" si="283"/>
        <v>2.4949182256546152</v>
      </c>
      <c r="AE407" s="339">
        <f t="shared" si="284"/>
        <v>-1.5292054285598735</v>
      </c>
      <c r="AF407" s="736" t="str">
        <f t="shared" si="256"/>
        <v>-0.174123960930197+0.0545587997540984i</v>
      </c>
      <c r="AG407" s="337">
        <f t="shared" si="285"/>
        <v>-14.776103319070078</v>
      </c>
      <c r="AH407" s="730">
        <f t="shared" si="286"/>
        <v>162.60249950048535</v>
      </c>
      <c r="AI407" s="360">
        <f t="shared" si="257"/>
        <v>-17.397500499514649</v>
      </c>
      <c r="AL407" s="337">
        <f t="shared" si="258"/>
        <v>7.9411263119820195</v>
      </c>
      <c r="AM407" s="730">
        <f t="shared" si="259"/>
        <v>-87.617017064975073</v>
      </c>
      <c r="AN407" s="351"/>
      <c r="AO407" s="337">
        <f t="shared" si="260"/>
        <v>30.811892853990059</v>
      </c>
      <c r="AP407" s="730">
        <f t="shared" si="261"/>
        <v>-109.78048343453951</v>
      </c>
      <c r="AS407" s="351"/>
      <c r="AT407" s="351"/>
      <c r="AV407" s="405">
        <f t="shared" si="262"/>
        <v>0</v>
      </c>
      <c r="AW407" s="405">
        <f t="shared" si="246"/>
        <v>0</v>
      </c>
      <c r="AX407" s="405">
        <f t="shared" si="263"/>
        <v>0</v>
      </c>
      <c r="AY407" s="405">
        <f t="shared" si="264"/>
        <v>0</v>
      </c>
    </row>
    <row r="408" spans="2:51" ht="13.5" thickBot="1" x14ac:dyDescent="0.25">
      <c r="B408" s="345">
        <v>37802.75</v>
      </c>
      <c r="C408" s="728" t="str">
        <f t="shared" si="247"/>
        <v>2.2271548443541</v>
      </c>
      <c r="D408" s="728" t="str">
        <f t="shared" si="248"/>
        <v>1+28.8984714768029i</v>
      </c>
      <c r="E408" s="337">
        <f t="shared" si="266"/>
        <v>28.915768253594628</v>
      </c>
      <c r="F408" s="338">
        <f t="shared" si="267"/>
        <v>1.5362062224746442</v>
      </c>
      <c r="G408" s="338" t="str">
        <f t="shared" si="249"/>
        <v>1+0.118760841685492i</v>
      </c>
      <c r="H408" s="337">
        <f t="shared" si="268"/>
        <v>1.0070273767469515</v>
      </c>
      <c r="I408" s="338">
        <f t="shared" si="269"/>
        <v>0.11820717979357689</v>
      </c>
      <c r="J408" s="340">
        <f t="shared" si="250"/>
        <v>1</v>
      </c>
      <c r="K408" s="338">
        <f t="shared" si="270"/>
        <v>1</v>
      </c>
      <c r="L408" s="339">
        <f t="shared" si="271"/>
        <v>0</v>
      </c>
      <c r="M408" s="731" t="str">
        <f t="shared" si="251"/>
        <v>0.936486759663889+0.511965117428586i</v>
      </c>
      <c r="N408" s="338">
        <f t="shared" si="272"/>
        <v>1.0672936486691169</v>
      </c>
      <c r="O408" s="339">
        <f t="shared" si="273"/>
        <v>0.50029606679373539</v>
      </c>
      <c r="P408" s="732" t="str">
        <f t="shared" si="265"/>
        <v>-0.024748580541562-0.0683291391344551i</v>
      </c>
      <c r="Q408" s="337">
        <f t="shared" si="274"/>
        <v>7.2672990124790546E-2</v>
      </c>
      <c r="R408" s="339">
        <f t="shared" si="275"/>
        <v>-1.9182951094748004</v>
      </c>
      <c r="S408" s="731" t="str">
        <f t="shared" si="252"/>
        <v>6000</v>
      </c>
      <c r="T408" s="337" t="str">
        <f t="shared" si="253"/>
        <v>1+239896.900204693i</v>
      </c>
      <c r="U408" s="346">
        <f t="shared" si="276"/>
        <v>239896.90020677727</v>
      </c>
      <c r="V408" s="347">
        <f t="shared" si="277"/>
        <v>1.5707921583375337</v>
      </c>
      <c r="W408" s="340" t="str">
        <f t="shared" si="254"/>
        <v>1+2375.21683370983i</v>
      </c>
      <c r="X408" s="337">
        <f t="shared" si="278"/>
        <v>2375.2170442169177</v>
      </c>
      <c r="Y408" s="339">
        <f t="shared" si="279"/>
        <v>1.5703753126261171</v>
      </c>
      <c r="Z408" s="337" t="str">
        <f t="shared" si="255"/>
        <v>1+23.9266425678675i</v>
      </c>
      <c r="AA408" s="346">
        <f t="shared" si="280"/>
        <v>23.947530657052909</v>
      </c>
      <c r="AB408" s="347">
        <f t="shared" si="281"/>
        <v>1.5290262226537319</v>
      </c>
      <c r="AC408" s="732" t="str">
        <f t="shared" si="282"/>
        <v>0.1025545952665-2.47855025768048i</v>
      </c>
      <c r="AD408" s="337">
        <f t="shared" si="283"/>
        <v>2.4806710432579022</v>
      </c>
      <c r="AE408" s="339">
        <f t="shared" si="284"/>
        <v>-1.5294430683651485</v>
      </c>
      <c r="AF408" s="736" t="str">
        <f t="shared" si="256"/>
        <v>-0.171895286069649+0.0543331334696722i</v>
      </c>
      <c r="AG408" s="337">
        <f t="shared" si="285"/>
        <v>-14.88115586485007</v>
      </c>
      <c r="AH408" s="730">
        <f t="shared" si="286"/>
        <v>162.45915354364604</v>
      </c>
      <c r="AI408" s="360">
        <f t="shared" si="257"/>
        <v>-17.540846456353961</v>
      </c>
      <c r="AL408" s="337">
        <f t="shared" si="258"/>
        <v>7.8913835436471818</v>
      </c>
      <c r="AM408" s="730">
        <f t="shared" si="259"/>
        <v>-87.630632822861642</v>
      </c>
      <c r="AN408" s="351"/>
      <c r="AO408" s="337">
        <f t="shared" si="260"/>
        <v>30.756583076544899</v>
      </c>
      <c r="AP408" s="730">
        <f t="shared" si="261"/>
        <v>-109.91021363349226</v>
      </c>
      <c r="AS408" s="351"/>
      <c r="AT408" s="351"/>
      <c r="AV408" s="405">
        <f t="shared" si="262"/>
        <v>0</v>
      </c>
      <c r="AW408" s="405">
        <f t="shared" si="246"/>
        <v>0</v>
      </c>
      <c r="AX408" s="405">
        <f t="shared" si="263"/>
        <v>0</v>
      </c>
      <c r="AY408" s="405">
        <f t="shared" si="264"/>
        <v>0</v>
      </c>
    </row>
    <row r="409" spans="2:51" ht="13.5" thickBot="1" x14ac:dyDescent="0.25">
      <c r="B409" s="345">
        <v>38019</v>
      </c>
      <c r="C409" s="728" t="str">
        <f t="shared" si="247"/>
        <v>2.2271548443541</v>
      </c>
      <c r="D409" s="728" t="str">
        <f t="shared" si="248"/>
        <v>1+29.0637847002288i</v>
      </c>
      <c r="E409" s="337">
        <f t="shared" si="266"/>
        <v>29.080983152246652</v>
      </c>
      <c r="F409" s="338">
        <f t="shared" si="267"/>
        <v>1.5364028135402812</v>
      </c>
      <c r="G409" s="338" t="str">
        <f t="shared" si="249"/>
        <v>1+0.119440211096831i</v>
      </c>
      <c r="H409" s="337">
        <f t="shared" si="268"/>
        <v>1.0071077221563023</v>
      </c>
      <c r="I409" s="338">
        <f t="shared" si="269"/>
        <v>0.11887704715534859</v>
      </c>
      <c r="J409" s="340">
        <f t="shared" si="250"/>
        <v>1</v>
      </c>
      <c r="K409" s="338">
        <f t="shared" si="270"/>
        <v>1</v>
      </c>
      <c r="L409" s="339">
        <f t="shared" si="271"/>
        <v>0</v>
      </c>
      <c r="M409" s="731" t="str">
        <f t="shared" si="251"/>
        <v>0.9357580284+0.514893805332085i</v>
      </c>
      <c r="N409" s="338">
        <f t="shared" si="272"/>
        <v>1.0680630685893087</v>
      </c>
      <c r="O409" s="339">
        <f t="shared" si="273"/>
        <v>0.5030293463558505</v>
      </c>
      <c r="P409" s="732" t="str">
        <f t="shared" si="265"/>
        <v>-0.0247455989804277-0.0678416686519012i</v>
      </c>
      <c r="Q409" s="337">
        <f t="shared" si="274"/>
        <v>7.2213826061042471E-2</v>
      </c>
      <c r="R409" s="339">
        <f t="shared" si="275"/>
        <v>-1.9205551127407812</v>
      </c>
      <c r="S409" s="731" t="str">
        <f t="shared" si="252"/>
        <v>6000</v>
      </c>
      <c r="T409" s="337" t="str">
        <f t="shared" si="253"/>
        <v>1+241269.226415598i</v>
      </c>
      <c r="U409" s="346">
        <f t="shared" si="276"/>
        <v>241269.2264176704</v>
      </c>
      <c r="V409" s="347">
        <f t="shared" si="277"/>
        <v>1.5707921820474919</v>
      </c>
      <c r="W409" s="340" t="str">
        <f t="shared" si="254"/>
        <v>1+2388.80422193661i</v>
      </c>
      <c r="X409" s="337">
        <f t="shared" si="278"/>
        <v>2388.8044312463444</v>
      </c>
      <c r="Y409" s="339">
        <f t="shared" si="279"/>
        <v>1.5703777073314835</v>
      </c>
      <c r="Z409" s="337" t="str">
        <f t="shared" si="255"/>
        <v>1+24.0635145270584i</v>
      </c>
      <c r="AA409" s="346">
        <f t="shared" si="280"/>
        <v>24.084283908681005</v>
      </c>
      <c r="AB409" s="347">
        <f t="shared" si="281"/>
        <v>1.5292635348244585</v>
      </c>
      <c r="AC409" s="732" t="str">
        <f t="shared" si="282"/>
        <v>0.101393268849956-2.46450065972603i</v>
      </c>
      <c r="AD409" s="337">
        <f t="shared" si="283"/>
        <v>2.4665855137736692</v>
      </c>
      <c r="AE409" s="339">
        <f t="shared" si="284"/>
        <v>-1.5296780095404667</v>
      </c>
      <c r="AF409" s="736" t="str">
        <f t="shared" si="256"/>
        <v>-0.169704874319801+0.054106856463728i</v>
      </c>
      <c r="AG409" s="337">
        <f t="shared" si="285"/>
        <v>-14.985669357421756</v>
      </c>
      <c r="AH409" s="730">
        <f t="shared" si="286"/>
        <v>162.31620375704</v>
      </c>
      <c r="AI409" s="360">
        <f t="shared" si="257"/>
        <v>-17.68379624296</v>
      </c>
      <c r="AL409" s="337">
        <f t="shared" si="258"/>
        <v>7.8419235313068416</v>
      </c>
      <c r="AM409" s="730">
        <f t="shared" si="259"/>
        <v>-87.644093960641214</v>
      </c>
      <c r="AN409" s="351"/>
      <c r="AO409" s="337">
        <f t="shared" si="260"/>
        <v>30.701529596313527</v>
      </c>
      <c r="AP409" s="730">
        <f t="shared" si="261"/>
        <v>-110.03970228231883</v>
      </c>
      <c r="AS409" s="351"/>
      <c r="AT409" s="351"/>
      <c r="AV409" s="405">
        <f t="shared" si="262"/>
        <v>0</v>
      </c>
      <c r="AW409" s="405">
        <f t="shared" si="246"/>
        <v>0</v>
      </c>
      <c r="AX409" s="405">
        <f t="shared" si="263"/>
        <v>0</v>
      </c>
      <c r="AY409" s="405">
        <f t="shared" si="264"/>
        <v>0</v>
      </c>
    </row>
    <row r="410" spans="2:51" ht="13.5" thickBot="1" x14ac:dyDescent="0.25">
      <c r="B410" s="345">
        <v>38240.5</v>
      </c>
      <c r="C410" s="728" t="str">
        <f t="shared" si="247"/>
        <v>2.2271548443541</v>
      </c>
      <c r="D410" s="728" t="str">
        <f t="shared" si="248"/>
        <v>1+29.2331113082695i</v>
      </c>
      <c r="E410" s="337">
        <f t="shared" si="266"/>
        <v>29.250210200298977</v>
      </c>
      <c r="F410" s="338">
        <f t="shared" si="267"/>
        <v>1.536601874977495</v>
      </c>
      <c r="G410" s="338" t="str">
        <f t="shared" si="249"/>
        <v>1+0.1201360738696i</v>
      </c>
      <c r="H410" s="337">
        <f t="shared" si="268"/>
        <v>1.0071904865738168</v>
      </c>
      <c r="I410" s="338">
        <f t="shared" si="269"/>
        <v>0.11956306607988121</v>
      </c>
      <c r="J410" s="340">
        <f t="shared" si="250"/>
        <v>1</v>
      </c>
      <c r="K410" s="338">
        <f t="shared" si="270"/>
        <v>1</v>
      </c>
      <c r="L410" s="339">
        <f t="shared" si="271"/>
        <v>0</v>
      </c>
      <c r="M410" s="731" t="str">
        <f t="shared" si="251"/>
        <v>0.935007295988889+0.517893594329192i</v>
      </c>
      <c r="N410" s="338">
        <f t="shared" si="272"/>
        <v>1.0688556584495699</v>
      </c>
      <c r="O410" s="339">
        <f t="shared" si="273"/>
        <v>0.50582683546917473</v>
      </c>
      <c r="P410" s="732" t="str">
        <f t="shared" si="265"/>
        <v>-0.0247418851284833-0.0673477069060898i</v>
      </c>
      <c r="Q410" s="337">
        <f t="shared" si="274"/>
        <v>7.1748689919883826E-2</v>
      </c>
      <c r="R410" s="339">
        <f t="shared" si="275"/>
        <v>-1.92286564436679</v>
      </c>
      <c r="S410" s="731" t="str">
        <f t="shared" si="252"/>
        <v>6000</v>
      </c>
      <c r="T410" s="337" t="str">
        <f t="shared" si="253"/>
        <v>1+242674.869216593i</v>
      </c>
      <c r="U410" s="346">
        <f t="shared" si="276"/>
        <v>242674.86921865336</v>
      </c>
      <c r="V410" s="347">
        <f t="shared" si="277"/>
        <v>1.5707922060550639</v>
      </c>
      <c r="W410" s="340" t="str">
        <f t="shared" si="254"/>
        <v>1+2402.72147739201i</v>
      </c>
      <c r="X410" s="337">
        <f t="shared" si="278"/>
        <v>2402.7216854893622</v>
      </c>
      <c r="Y410" s="339">
        <f t="shared" si="279"/>
        <v>1.5703801320958148</v>
      </c>
      <c r="Z410" s="337" t="str">
        <f t="shared" si="255"/>
        <v>1+24.2037093893047i</v>
      </c>
      <c r="AA410" s="346">
        <f t="shared" si="280"/>
        <v>24.224358571527056</v>
      </c>
      <c r="AB410" s="347">
        <f t="shared" si="281"/>
        <v>1.5295038305679733</v>
      </c>
      <c r="AC410" s="732" t="str">
        <f t="shared" si="282"/>
        <v>0.100224068404692-2.45027386805162i</v>
      </c>
      <c r="AD410" s="337">
        <f t="shared" si="283"/>
        <v>2.4523227545215653</v>
      </c>
      <c r="AE410" s="339">
        <f t="shared" si="284"/>
        <v>-1.5299159045272224</v>
      </c>
      <c r="AF410" s="736" t="str">
        <f t="shared" si="256"/>
        <v>-0.16750005869277+0.0538745333928025i</v>
      </c>
      <c r="AG410" s="337">
        <f t="shared" si="285"/>
        <v>-15.092167931195776</v>
      </c>
      <c r="AH410" s="730">
        <f t="shared" si="286"/>
        <v>162.17018966772986</v>
      </c>
      <c r="AI410" s="360">
        <f t="shared" si="257"/>
        <v>-17.829810332270142</v>
      </c>
      <c r="AL410" s="337">
        <f t="shared" si="258"/>
        <v>7.7915525574110447</v>
      </c>
      <c r="AM410" s="730">
        <f t="shared" si="259"/>
        <v>-87.657724339349642</v>
      </c>
      <c r="AN410" s="351"/>
      <c r="AO410" s="337">
        <f t="shared" si="260"/>
        <v>30.645401996435304</v>
      </c>
      <c r="AP410" s="730">
        <f t="shared" si="261"/>
        <v>-110.17208599292061</v>
      </c>
      <c r="AS410" s="351"/>
      <c r="AT410" s="351"/>
      <c r="AV410" s="405">
        <f t="shared" si="262"/>
        <v>0</v>
      </c>
      <c r="AW410" s="405">
        <f t="shared" ref="AW410:AW473" si="287">IF(AV410&gt;0,AI410,0)</f>
        <v>0</v>
      </c>
      <c r="AX410" s="405">
        <f t="shared" si="263"/>
        <v>0</v>
      </c>
      <c r="AY410" s="405">
        <f t="shared" si="264"/>
        <v>0</v>
      </c>
    </row>
    <row r="411" spans="2:51" ht="13.5" thickBot="1" x14ac:dyDescent="0.25">
      <c r="B411" s="345">
        <v>38462</v>
      </c>
      <c r="C411" s="728" t="str">
        <f t="shared" si="247"/>
        <v>2.2271548443541</v>
      </c>
      <c r="D411" s="728" t="str">
        <f t="shared" si="248"/>
        <v>1+29.4024379163102i</v>
      </c>
      <c r="E411" s="337">
        <f t="shared" si="266"/>
        <v>29.419438394069925</v>
      </c>
      <c r="F411" s="338">
        <f t="shared" si="267"/>
        <v>1.5367986463170245</v>
      </c>
      <c r="G411" s="338" t="str">
        <f t="shared" si="249"/>
        <v>1+0.120831936642371i</v>
      </c>
      <c r="H411" s="337">
        <f t="shared" si="268"/>
        <v>1.0072737249192725</v>
      </c>
      <c r="I411" s="338">
        <f t="shared" si="269"/>
        <v>0.1202489719457189</v>
      </c>
      <c r="J411" s="340">
        <f t="shared" si="250"/>
        <v>1</v>
      </c>
      <c r="K411" s="338">
        <f t="shared" si="270"/>
        <v>1</v>
      </c>
      <c r="L411" s="339">
        <f t="shared" si="271"/>
        <v>0</v>
      </c>
      <c r="M411" s="731" t="str">
        <f t="shared" si="251"/>
        <v>0.934252202488889+0.5208933833263i</v>
      </c>
      <c r="N411" s="338">
        <f t="shared" si="272"/>
        <v>1.0696527916330887</v>
      </c>
      <c r="O411" s="339">
        <f t="shared" si="273"/>
        <v>0.50862214242215087</v>
      </c>
      <c r="P411" s="732" t="str">
        <f t="shared" si="265"/>
        <v>-0.0247375168582782-0.0668590635802001i</v>
      </c>
      <c r="Q411" s="337">
        <f t="shared" si="274"/>
        <v>7.1288702633270279E-2</v>
      </c>
      <c r="R411" s="339">
        <f t="shared" si="275"/>
        <v>-1.9251718167934559</v>
      </c>
      <c r="S411" s="731" t="str">
        <f t="shared" si="252"/>
        <v>6000</v>
      </c>
      <c r="T411" s="337" t="str">
        <f t="shared" si="253"/>
        <v>1+244080.512017588i</v>
      </c>
      <c r="U411" s="346">
        <f t="shared" si="276"/>
        <v>244080.51201963652</v>
      </c>
      <c r="V411" s="347">
        <f t="shared" si="277"/>
        <v>1.5707922297861199</v>
      </c>
      <c r="W411" s="340" t="str">
        <f t="shared" si="254"/>
        <v>1+2416.63873284741i</v>
      </c>
      <c r="X411" s="337">
        <f t="shared" si="278"/>
        <v>2416.638939746344</v>
      </c>
      <c r="Y411" s="339">
        <f t="shared" si="279"/>
        <v>1.5703825289320503</v>
      </c>
      <c r="Z411" s="337" t="str">
        <f t="shared" si="255"/>
        <v>1+24.343904251551i</v>
      </c>
      <c r="AA411" s="346">
        <f t="shared" si="280"/>
        <v>24.364434617053661</v>
      </c>
      <c r="AB411" s="347">
        <f t="shared" si="281"/>
        <v>1.5297413633077455</v>
      </c>
      <c r="AC411" s="732" t="str">
        <f t="shared" si="282"/>
        <v>0.0990749643998136-2.43621011307571i</v>
      </c>
      <c r="AD411" s="337">
        <f t="shared" si="283"/>
        <v>2.4382238542888528</v>
      </c>
      <c r="AE411" s="339">
        <f t="shared" si="284"/>
        <v>-1.5301510641618148</v>
      </c>
      <c r="AF411" s="736" t="str">
        <f t="shared" si="256"/>
        <v>-0.165333595446929+0.053641729398505i</v>
      </c>
      <c r="AG411" s="337">
        <f t="shared" si="285"/>
        <v>-15.198114259619956</v>
      </c>
      <c r="AH411" s="730">
        <f t="shared" si="286"/>
        <v>162.02458206627838</v>
      </c>
      <c r="AI411" s="360">
        <f t="shared" si="257"/>
        <v>-17.975417933721616</v>
      </c>
      <c r="AL411" s="337">
        <f t="shared" si="258"/>
        <v>7.7414715171929549</v>
      </c>
      <c r="AM411" s="730">
        <f t="shared" si="259"/>
        <v>-87.671197993923627</v>
      </c>
      <c r="AN411" s="351"/>
      <c r="AO411" s="337">
        <f t="shared" si="260"/>
        <v>30.589536708229229</v>
      </c>
      <c r="AP411" s="730">
        <f t="shared" si="261"/>
        <v>-110.30421993979796</v>
      </c>
      <c r="AS411" s="351"/>
      <c r="AT411" s="351"/>
      <c r="AV411" s="405">
        <f t="shared" si="262"/>
        <v>0</v>
      </c>
      <c r="AW411" s="405">
        <f t="shared" si="287"/>
        <v>0</v>
      </c>
      <c r="AX411" s="405">
        <f t="shared" si="263"/>
        <v>0</v>
      </c>
      <c r="AY411" s="405">
        <f t="shared" si="264"/>
        <v>0</v>
      </c>
    </row>
    <row r="412" spans="2:51" ht="13.5" thickBot="1" x14ac:dyDescent="0.25">
      <c r="B412" s="345">
        <v>38683.5</v>
      </c>
      <c r="C412" s="728" t="str">
        <f t="shared" si="247"/>
        <v>2.2271548443541</v>
      </c>
      <c r="D412" s="728" t="str">
        <f t="shared" si="248"/>
        <v>1+29.571764524351i</v>
      </c>
      <c r="E412" s="337">
        <f t="shared" si="266"/>
        <v>29.588667713901287</v>
      </c>
      <c r="F412" s="338">
        <f t="shared" si="267"/>
        <v>1.5369931668374293</v>
      </c>
      <c r="G412" s="338" t="str">
        <f t="shared" si="249"/>
        <v>1+0.121527799415141i</v>
      </c>
      <c r="H412" s="337">
        <f t="shared" si="268"/>
        <v>1.0073574370751857</v>
      </c>
      <c r="I412" s="338">
        <f t="shared" si="269"/>
        <v>0.12093476413557333</v>
      </c>
      <c r="J412" s="340">
        <f t="shared" si="250"/>
        <v>1</v>
      </c>
      <c r="K412" s="338">
        <f t="shared" si="270"/>
        <v>1</v>
      </c>
      <c r="L412" s="339">
        <f t="shared" si="271"/>
        <v>0</v>
      </c>
      <c r="M412" s="731" t="str">
        <f t="shared" si="251"/>
        <v>0.9334927479+0.523893172323409i</v>
      </c>
      <c r="N412" s="338">
        <f t="shared" si="272"/>
        <v>1.0704544672189371</v>
      </c>
      <c r="O412" s="339">
        <f t="shared" si="273"/>
        <v>0.51141525831832391</v>
      </c>
      <c r="P412" s="732" t="str">
        <f t="shared" si="265"/>
        <v>-0.0247325073272283-0.066375651052875i</v>
      </c>
      <c r="Q412" s="337">
        <f t="shared" si="274"/>
        <v>7.0833777051519914E-2</v>
      </c>
      <c r="R412" s="339">
        <f t="shared" si="275"/>
        <v>-1.927473661020179</v>
      </c>
      <c r="S412" s="731" t="str">
        <f t="shared" si="252"/>
        <v>6000</v>
      </c>
      <c r="T412" s="337" t="str">
        <f t="shared" si="253"/>
        <v>1+245486.154818585i</v>
      </c>
      <c r="U412" s="346">
        <f t="shared" si="276"/>
        <v>245486.15482062177</v>
      </c>
      <c r="V412" s="347">
        <f t="shared" si="277"/>
        <v>1.5707922532454097</v>
      </c>
      <c r="W412" s="340" t="str">
        <f t="shared" si="254"/>
        <v>1+2430.55598830282i</v>
      </c>
      <c r="X412" s="337">
        <f t="shared" si="278"/>
        <v>2430.5561940170605</v>
      </c>
      <c r="Y412" s="339">
        <f t="shared" si="279"/>
        <v>1.5703848983199353</v>
      </c>
      <c r="Z412" s="337" t="str">
        <f t="shared" si="255"/>
        <v>1+24.4840991137974i</v>
      </c>
      <c r="AA412" s="346">
        <f t="shared" si="280"/>
        <v>24.504512021549306</v>
      </c>
      <c r="AB412" s="347">
        <f t="shared" si="281"/>
        <v>1.5299761803999785</v>
      </c>
      <c r="AC412" s="732" t="str">
        <f t="shared" si="282"/>
        <v>0.0979454991519456-2.42230661286871i</v>
      </c>
      <c r="AD412" s="337">
        <f t="shared" si="283"/>
        <v>2.4242860077869537</v>
      </c>
      <c r="AE412" s="339">
        <f t="shared" si="284"/>
        <v>-1.5303835353254529</v>
      </c>
      <c r="AF412" s="736" t="str">
        <f t="shared" si="256"/>
        <v>-0.16320461625429+0.0534085197776597i</v>
      </c>
      <c r="AG412" s="337">
        <f t="shared" si="285"/>
        <v>-15.303514898550453</v>
      </c>
      <c r="AH412" s="730">
        <f t="shared" si="286"/>
        <v>161.87937649045571</v>
      </c>
      <c r="AI412" s="360">
        <f t="shared" si="257"/>
        <v>-18.120623509544288</v>
      </c>
      <c r="AL412" s="337">
        <f t="shared" si="258"/>
        <v>7.6916770976437796</v>
      </c>
      <c r="AM412" s="730">
        <f t="shared" si="259"/>
        <v>-87.684517610458585</v>
      </c>
      <c r="AN412" s="351"/>
      <c r="AO412" s="337">
        <f t="shared" si="260"/>
        <v>30.533930488847894</v>
      </c>
      <c r="AP412" s="730">
        <f t="shared" si="261"/>
        <v>-110.43610589908579</v>
      </c>
      <c r="AS412" s="351"/>
      <c r="AT412" s="351"/>
      <c r="AV412" s="405">
        <f t="shared" si="262"/>
        <v>0</v>
      </c>
      <c r="AW412" s="405">
        <f t="shared" si="287"/>
        <v>0</v>
      </c>
      <c r="AX412" s="405">
        <f t="shared" si="263"/>
        <v>0</v>
      </c>
      <c r="AY412" s="405">
        <f t="shared" si="264"/>
        <v>0</v>
      </c>
    </row>
    <row r="413" spans="2:51" ht="13.5" thickBot="1" x14ac:dyDescent="0.25">
      <c r="B413" s="345">
        <v>38905</v>
      </c>
      <c r="C413" s="728" t="str">
        <f t="shared" si="247"/>
        <v>2.2271548443541</v>
      </c>
      <c r="D413" s="728" t="str">
        <f t="shared" si="248"/>
        <v>1+29.7410911323917i</v>
      </c>
      <c r="E413" s="337">
        <f t="shared" si="266"/>
        <v>29.75789814058157</v>
      </c>
      <c r="F413" s="338">
        <f t="shared" si="267"/>
        <v>1.5371854749244644</v>
      </c>
      <c r="G413" s="338" t="str">
        <f t="shared" si="249"/>
        <v>1+0.122223662187911i</v>
      </c>
      <c r="H413" s="337">
        <f t="shared" si="268"/>
        <v>1.0074416229234449</v>
      </c>
      <c r="I413" s="338">
        <f t="shared" si="269"/>
        <v>0.12162044203279246</v>
      </c>
      <c r="J413" s="340">
        <f t="shared" si="250"/>
        <v>1</v>
      </c>
      <c r="K413" s="338">
        <f t="shared" si="270"/>
        <v>1</v>
      </c>
      <c r="L413" s="339">
        <f t="shared" si="271"/>
        <v>0</v>
      </c>
      <c r="M413" s="731" t="str">
        <f t="shared" si="251"/>
        <v>0.932728932222222+0.526892961320517i</v>
      </c>
      <c r="N413" s="338">
        <f t="shared" si="272"/>
        <v>1.0712606842844137</v>
      </c>
      <c r="O413" s="339">
        <f t="shared" si="273"/>
        <v>0.51420617431578497</v>
      </c>
      <c r="P413" s="732" t="str">
        <f t="shared" si="265"/>
        <v>-0.024726869351062-0.0658973836872167i</v>
      </c>
      <c r="Q413" s="337">
        <f t="shared" si="274"/>
        <v>7.0383828005620305E-2</v>
      </c>
      <c r="R413" s="339">
        <f t="shared" si="275"/>
        <v>-1.9297712072074573</v>
      </c>
      <c r="S413" s="731" t="str">
        <f t="shared" si="252"/>
        <v>6000</v>
      </c>
      <c r="T413" s="337" t="str">
        <f t="shared" si="253"/>
        <v>1+246891.79761958i</v>
      </c>
      <c r="U413" s="346">
        <f t="shared" si="276"/>
        <v>246891.79762160519</v>
      </c>
      <c r="V413" s="347">
        <f t="shared" si="277"/>
        <v>1.5707922764375755</v>
      </c>
      <c r="W413" s="340" t="str">
        <f t="shared" si="254"/>
        <v>1+2444.47324375822i</v>
      </c>
      <c r="X413" s="337">
        <f t="shared" si="278"/>
        <v>2444.4734483012562</v>
      </c>
      <c r="Y413" s="339">
        <f t="shared" si="279"/>
        <v>1.5703872407282893</v>
      </c>
      <c r="Z413" s="337" t="str">
        <f t="shared" si="255"/>
        <v>1+24.6242939760437i</v>
      </c>
      <c r="AA413" s="346">
        <f t="shared" si="280"/>
        <v>24.644590761841062</v>
      </c>
      <c r="AB413" s="347">
        <f t="shared" si="281"/>
        <v>1.5302083281254073</v>
      </c>
      <c r="AC413" s="732" t="str">
        <f t="shared" si="282"/>
        <v>0.0968352279261084-2.40856064832931i</v>
      </c>
      <c r="AD413" s="337">
        <f t="shared" si="283"/>
        <v>2.4105064733470445</v>
      </c>
      <c r="AE413" s="339">
        <f t="shared" si="284"/>
        <v>-1.5306133638346939</v>
      </c>
      <c r="AF413" s="736" t="str">
        <f t="shared" si="256"/>
        <v>-0.161112277206397+0.0531749763062622i</v>
      </c>
      <c r="AG413" s="337">
        <f t="shared" si="285"/>
        <v>-15.408376290585226</v>
      </c>
      <c r="AH413" s="730">
        <f t="shared" si="286"/>
        <v>161.73456858709693</v>
      </c>
      <c r="AI413" s="360">
        <f t="shared" si="257"/>
        <v>-18.265431412903069</v>
      </c>
      <c r="AL413" s="337">
        <f t="shared" si="258"/>
        <v>7.6421660421231081</v>
      </c>
      <c r="AM413" s="730">
        <f t="shared" si="259"/>
        <v>-87.697685814049876</v>
      </c>
      <c r="AN413" s="351"/>
      <c r="AO413" s="337">
        <f t="shared" si="260"/>
        <v>30.478580152333798</v>
      </c>
      <c r="AP413" s="730">
        <f t="shared" si="261"/>
        <v>-110.56774559885324</v>
      </c>
      <c r="AS413" s="351"/>
      <c r="AT413" s="351"/>
      <c r="AV413" s="405">
        <f t="shared" si="262"/>
        <v>0</v>
      </c>
      <c r="AW413" s="405">
        <f t="shared" si="287"/>
        <v>0</v>
      </c>
      <c r="AX413" s="405">
        <f t="shared" si="263"/>
        <v>0</v>
      </c>
      <c r="AY413" s="405">
        <f t="shared" si="264"/>
        <v>0</v>
      </c>
    </row>
    <row r="414" spans="2:51" ht="13.5" thickBot="1" x14ac:dyDescent="0.25">
      <c r="B414" s="345">
        <v>39131.5</v>
      </c>
      <c r="C414" s="728" t="str">
        <f t="shared" si="247"/>
        <v>2.2271548443541</v>
      </c>
      <c r="D414" s="728" t="str">
        <f t="shared" si="248"/>
        <v>1+29.9142400114943i</v>
      </c>
      <c r="E414" s="337">
        <f t="shared" si="266"/>
        <v>29.930949792234905</v>
      </c>
      <c r="F414" s="338">
        <f t="shared" si="267"/>
        <v>1.5373798752267367</v>
      </c>
      <c r="G414" s="338" t="str">
        <f t="shared" si="249"/>
        <v>1+0.122935232923949i</v>
      </c>
      <c r="H414" s="337">
        <f t="shared" si="268"/>
        <v>1.0075281988580098</v>
      </c>
      <c r="I414" s="338">
        <f t="shared" si="269"/>
        <v>0.12232147915285134</v>
      </c>
      <c r="J414" s="340">
        <f t="shared" si="250"/>
        <v>1</v>
      </c>
      <c r="K414" s="338">
        <f t="shared" si="270"/>
        <v>1</v>
      </c>
      <c r="L414" s="339">
        <f t="shared" si="271"/>
        <v>0</v>
      </c>
      <c r="M414" s="731" t="str">
        <f t="shared" si="251"/>
        <v>0.931943364788889+0.529960465644873i</v>
      </c>
      <c r="N414" s="338">
        <f t="shared" si="272"/>
        <v>1.072089795828953</v>
      </c>
      <c r="O414" s="339">
        <f t="shared" si="273"/>
        <v>0.51705780657136091</v>
      </c>
      <c r="P414" s="732" t="str">
        <f t="shared" si="265"/>
        <v>-0.0247204672291311-0.0654135537020425i</v>
      </c>
      <c r="Q414" s="337">
        <f t="shared" si="274"/>
        <v>6.9928781685058283E-2</v>
      </c>
      <c r="R414" s="339">
        <f t="shared" si="275"/>
        <v>-1.9321162026452452</v>
      </c>
      <c r="S414" s="731" t="str">
        <f t="shared" si="252"/>
        <v>6000</v>
      </c>
      <c r="T414" s="337" t="str">
        <f t="shared" si="253"/>
        <v>1+248329.170506377i</v>
      </c>
      <c r="U414" s="346">
        <f t="shared" si="276"/>
        <v>248329.1705083905</v>
      </c>
      <c r="V414" s="347">
        <f t="shared" si="277"/>
        <v>1.5707922998817556</v>
      </c>
      <c r="W414" s="340" t="str">
        <f t="shared" si="254"/>
        <v>1+2458.70465847898i</v>
      </c>
      <c r="X414" s="337">
        <f t="shared" si="278"/>
        <v>2458.704861838085</v>
      </c>
      <c r="Y414" s="339">
        <f t="shared" si="279"/>
        <v>1.5703896085900844</v>
      </c>
      <c r="Z414" s="337" t="str">
        <f t="shared" si="255"/>
        <v>1+24.7676535078667i</v>
      </c>
      <c r="AA414" s="346">
        <f t="shared" si="280"/>
        <v>24.787832908218132</v>
      </c>
      <c r="AB414" s="347">
        <f t="shared" si="281"/>
        <v>1.5304430028988227</v>
      </c>
      <c r="AC414" s="732" t="str">
        <f t="shared" si="282"/>
        <v>0.0957192927067638-2.39466453206184i</v>
      </c>
      <c r="AD414" s="337">
        <f t="shared" si="283"/>
        <v>2.3965768095580064</v>
      </c>
      <c r="AE414" s="339">
        <f t="shared" si="284"/>
        <v>-1.530845694190494</v>
      </c>
      <c r="AF414" s="736" t="str">
        <f t="shared" si="256"/>
        <v>-0.159009742604957+0.0529358869958019i</v>
      </c>
      <c r="AG414" s="337">
        <f t="shared" si="285"/>
        <v>-15.515053710258302</v>
      </c>
      <c r="AH414" s="730">
        <f t="shared" si="286"/>
        <v>161.58689869669413</v>
      </c>
      <c r="AI414" s="360">
        <f t="shared" si="257"/>
        <v>-18.413101303305865</v>
      </c>
      <c r="AL414" s="337">
        <f t="shared" si="258"/>
        <v>7.5918270511389627</v>
      </c>
      <c r="AM414" s="730">
        <f t="shared" si="259"/>
        <v>-87.710997362889998</v>
      </c>
      <c r="AN414" s="351"/>
      <c r="AO414" s="337">
        <f t="shared" si="260"/>
        <v>30.422241723644863</v>
      </c>
      <c r="AP414" s="730">
        <f t="shared" si="261"/>
        <v>-110.7021039404158</v>
      </c>
      <c r="AS414" s="351"/>
      <c r="AT414" s="351"/>
      <c r="AV414" s="405">
        <f t="shared" si="262"/>
        <v>0</v>
      </c>
      <c r="AW414" s="405">
        <f t="shared" si="287"/>
        <v>0</v>
      </c>
      <c r="AX414" s="405">
        <f t="shared" si="263"/>
        <v>0</v>
      </c>
      <c r="AY414" s="405">
        <f t="shared" si="264"/>
        <v>0</v>
      </c>
    </row>
    <row r="415" spans="2:51" ht="13.5" thickBot="1" x14ac:dyDescent="0.25">
      <c r="B415" s="345">
        <v>39358</v>
      </c>
      <c r="C415" s="728" t="str">
        <f t="shared" si="247"/>
        <v>2.2271548443541</v>
      </c>
      <c r="D415" s="728" t="str">
        <f t="shared" si="248"/>
        <v>1+30.0873888905968i</v>
      </c>
      <c r="E415" s="337">
        <f t="shared" si="266"/>
        <v>30.104002562018355</v>
      </c>
      <c r="F415" s="338">
        <f t="shared" si="267"/>
        <v>1.5375720405170752</v>
      </c>
      <c r="G415" s="338" t="str">
        <f t="shared" si="249"/>
        <v>1+0.123646803659987i</v>
      </c>
      <c r="H415" s="337">
        <f t="shared" si="268"/>
        <v>1.0076152698601442</v>
      </c>
      <c r="I415" s="338">
        <f t="shared" si="269"/>
        <v>0.12302239545996503</v>
      </c>
      <c r="J415" s="340">
        <f t="shared" si="250"/>
        <v>1</v>
      </c>
      <c r="K415" s="338">
        <f t="shared" si="270"/>
        <v>1</v>
      </c>
      <c r="L415" s="339">
        <f t="shared" si="271"/>
        <v>0</v>
      </c>
      <c r="M415" s="731" t="str">
        <f t="shared" si="251"/>
        <v>0.931153237155556+0.53302796996923i</v>
      </c>
      <c r="N415" s="338">
        <f t="shared" si="272"/>
        <v>1.0729236542432967</v>
      </c>
      <c r="O415" s="339">
        <f t="shared" si="273"/>
        <v>0.51990711996393846</v>
      </c>
      <c r="P415" s="732" t="str">
        <f t="shared" si="265"/>
        <v>-0.0247134340292001-0.0649349287847334i</v>
      </c>
      <c r="Q415" s="337">
        <f t="shared" si="274"/>
        <v>6.9478765085413147E-2</v>
      </c>
      <c r="R415" s="339">
        <f t="shared" si="275"/>
        <v>-1.9344567650210496</v>
      </c>
      <c r="S415" s="731" t="str">
        <f t="shared" si="252"/>
        <v>6000</v>
      </c>
      <c r="T415" s="337" t="str">
        <f t="shared" si="253"/>
        <v>1+249766.543393174i</v>
      </c>
      <c r="U415" s="346">
        <f t="shared" si="276"/>
        <v>249766.54339517586</v>
      </c>
      <c r="V415" s="347">
        <f t="shared" si="277"/>
        <v>1.5707923230560996</v>
      </c>
      <c r="W415" s="340" t="str">
        <f t="shared" si="254"/>
        <v>1+2472.93607319974i</v>
      </c>
      <c r="X415" s="337">
        <f t="shared" si="278"/>
        <v>2472.9362753885407</v>
      </c>
      <c r="Y415" s="339">
        <f t="shared" si="279"/>
        <v>1.5703919491984313</v>
      </c>
      <c r="Z415" s="337" t="str">
        <f t="shared" si="255"/>
        <v>1+24.9110130396897i</v>
      </c>
      <c r="AA415" s="346">
        <f t="shared" si="280"/>
        <v>24.931076404030176</v>
      </c>
      <c r="AB415" s="347">
        <f t="shared" si="281"/>
        <v>1.5306749809994875</v>
      </c>
      <c r="AC415" s="732" t="str">
        <f t="shared" si="282"/>
        <v>0.0946225268388804-2.3809275868448i</v>
      </c>
      <c r="AD415" s="337">
        <f t="shared" si="283"/>
        <v>2.3828070833334318</v>
      </c>
      <c r="AE415" s="339">
        <f t="shared" si="284"/>
        <v>-1.5310753548571558</v>
      </c>
      <c r="AF415" s="736" t="str">
        <f t="shared" si="256"/>
        <v>-0.156943810868083+0.0526965898040773i</v>
      </c>
      <c r="AG415" s="337">
        <f t="shared" si="285"/>
        <v>-15.621180537023145</v>
      </c>
      <c r="AH415" s="730">
        <f t="shared" si="286"/>
        <v>161.43963576395359</v>
      </c>
      <c r="AI415" s="360">
        <f t="shared" si="257"/>
        <v>-18.560364236046411</v>
      </c>
      <c r="AL415" s="337">
        <f t="shared" si="258"/>
        <v>7.5417776489830999</v>
      </c>
      <c r="AM415" s="730">
        <f t="shared" si="259"/>
        <v>-87.724155949809884</v>
      </c>
      <c r="AN415" s="351"/>
      <c r="AO415" s="337">
        <f t="shared" si="260"/>
        <v>30.366164299035905</v>
      </c>
      <c r="AP415" s="730">
        <f t="shared" si="261"/>
        <v>-110.83620828623657</v>
      </c>
      <c r="AS415" s="351"/>
      <c r="AT415" s="351"/>
      <c r="AV415" s="405">
        <f t="shared" si="262"/>
        <v>0</v>
      </c>
      <c r="AW415" s="405">
        <f t="shared" si="287"/>
        <v>0</v>
      </c>
      <c r="AX415" s="405">
        <f t="shared" si="263"/>
        <v>0</v>
      </c>
      <c r="AY415" s="405">
        <f t="shared" si="264"/>
        <v>0</v>
      </c>
    </row>
    <row r="416" spans="2:51" ht="13.5" thickBot="1" x14ac:dyDescent="0.25">
      <c r="B416" s="345">
        <v>39584.5</v>
      </c>
      <c r="C416" s="728" t="str">
        <f t="shared" si="247"/>
        <v>2.2271548443541</v>
      </c>
      <c r="D416" s="728" t="str">
        <f t="shared" si="248"/>
        <v>1+30.2605377696994i</v>
      </c>
      <c r="E416" s="337">
        <f t="shared" si="266"/>
        <v>30.277056430759647</v>
      </c>
      <c r="F416" s="338">
        <f t="shared" si="267"/>
        <v>1.5377620091049822</v>
      </c>
      <c r="G416" s="338" t="str">
        <f t="shared" si="249"/>
        <v>1+0.124358374396025i</v>
      </c>
      <c r="H416" s="337">
        <f t="shared" si="268"/>
        <v>1.0077028358015183</v>
      </c>
      <c r="I416" s="338">
        <f t="shared" si="269"/>
        <v>0.12372319029684246</v>
      </c>
      <c r="J416" s="340">
        <f t="shared" si="250"/>
        <v>1</v>
      </c>
      <c r="K416" s="338">
        <f t="shared" si="270"/>
        <v>1</v>
      </c>
      <c r="L416" s="339">
        <f t="shared" si="271"/>
        <v>0</v>
      </c>
      <c r="M416" s="731" t="str">
        <f t="shared" si="251"/>
        <v>0.930358549322222+0.536095474293586i</v>
      </c>
      <c r="N416" s="338">
        <f t="shared" si="272"/>
        <v>1.0737622585353865</v>
      </c>
      <c r="O416" s="339">
        <f t="shared" si="273"/>
        <v>0.52275410521652854</v>
      </c>
      <c r="P416" s="732" t="str">
        <f t="shared" si="265"/>
        <v>-0.0247057824194216-0.0644614234462727i</v>
      </c>
      <c r="Q416" s="337">
        <f t="shared" si="274"/>
        <v>6.9033693206111149E-2</v>
      </c>
      <c r="R416" s="339">
        <f t="shared" si="275"/>
        <v>-1.9367929240246702</v>
      </c>
      <c r="S416" s="731" t="str">
        <f t="shared" si="252"/>
        <v>6000</v>
      </c>
      <c r="T416" s="337" t="str">
        <f t="shared" si="253"/>
        <v>1+251203.916279971i</v>
      </c>
      <c r="U416" s="346">
        <f t="shared" si="276"/>
        <v>251203.9162819614</v>
      </c>
      <c r="V416" s="347">
        <f t="shared" si="277"/>
        <v>1.5707923459652391</v>
      </c>
      <c r="W416" s="340" t="str">
        <f t="shared" si="254"/>
        <v>1+2487.1674879205i</v>
      </c>
      <c r="X416" s="337">
        <f t="shared" si="278"/>
        <v>2487.1676889523901</v>
      </c>
      <c r="Y416" s="339">
        <f t="shared" si="279"/>
        <v>1.5703942630211574</v>
      </c>
      <c r="Z416" s="337" t="str">
        <f t="shared" si="255"/>
        <v>1+25.0543725715127i</v>
      </c>
      <c r="AA416" s="346">
        <f t="shared" si="280"/>
        <v>25.074321226150232</v>
      </c>
      <c r="AB416" s="347">
        <f t="shared" si="281"/>
        <v>1.5309043086189518</v>
      </c>
      <c r="AC416" s="732" t="str">
        <f t="shared" si="282"/>
        <v>0.0935444940035568-2.36734709779305i</v>
      </c>
      <c r="AD416" s="337">
        <f t="shared" si="283"/>
        <v>2.3691945580275924</v>
      </c>
      <c r="AE416" s="339">
        <f t="shared" si="284"/>
        <v>-1.5313023915630337</v>
      </c>
      <c r="AF416" s="736" t="str">
        <f t="shared" si="256"/>
        <v>-0.154913653630529+0.0524571510702937i</v>
      </c>
      <c r="AG416" s="337">
        <f t="shared" si="285"/>
        <v>-15.726763308686532</v>
      </c>
      <c r="AH416" s="730">
        <f t="shared" si="286"/>
        <v>161.29277546773324</v>
      </c>
      <c r="AI416" s="360">
        <f t="shared" si="257"/>
        <v>-18.707224532266764</v>
      </c>
      <c r="AL416" s="337">
        <f t="shared" si="258"/>
        <v>7.4920145281599719</v>
      </c>
      <c r="AM416" s="730">
        <f t="shared" si="259"/>
        <v>-87.737164194851232</v>
      </c>
      <c r="AN416" s="351"/>
      <c r="AO416" s="337">
        <f t="shared" si="260"/>
        <v>30.310344648195631</v>
      </c>
      <c r="AP416" s="730">
        <f t="shared" si="261"/>
        <v>-110.97006033741545</v>
      </c>
      <c r="AS416" s="351"/>
      <c r="AT416" s="351"/>
      <c r="AV416" s="405">
        <f t="shared" si="262"/>
        <v>0</v>
      </c>
      <c r="AW416" s="405">
        <f t="shared" si="287"/>
        <v>0</v>
      </c>
      <c r="AX416" s="405">
        <f t="shared" si="263"/>
        <v>0</v>
      </c>
      <c r="AY416" s="405">
        <f t="shared" si="264"/>
        <v>0</v>
      </c>
    </row>
    <row r="417" spans="2:51" ht="13.5" thickBot="1" x14ac:dyDescent="0.25">
      <c r="B417" s="345">
        <v>39811</v>
      </c>
      <c r="C417" s="728" t="str">
        <f t="shared" si="247"/>
        <v>2.2271548443541</v>
      </c>
      <c r="D417" s="728" t="str">
        <f t="shared" si="248"/>
        <v>1+30.4336866488021i</v>
      </c>
      <c r="E417" s="337">
        <f t="shared" si="266"/>
        <v>30.450111379721999</v>
      </c>
      <c r="F417" s="338">
        <f t="shared" si="267"/>
        <v>1.5379498184297153</v>
      </c>
      <c r="G417" s="338" t="str">
        <f t="shared" si="249"/>
        <v>1+0.125069945132063i</v>
      </c>
      <c r="H417" s="337">
        <f t="shared" si="268"/>
        <v>1.0077908965531179</v>
      </c>
      <c r="I417" s="338">
        <f t="shared" si="269"/>
        <v>0.12442386300689752</v>
      </c>
      <c r="J417" s="340">
        <f t="shared" si="250"/>
        <v>1</v>
      </c>
      <c r="K417" s="338">
        <f t="shared" si="270"/>
        <v>1</v>
      </c>
      <c r="L417" s="339">
        <f t="shared" si="271"/>
        <v>0</v>
      </c>
      <c r="M417" s="731" t="str">
        <f t="shared" si="251"/>
        <v>0.929559301288889+0.539162978617944i</v>
      </c>
      <c r="N417" s="338">
        <f t="shared" si="272"/>
        <v>1.0746056077114343</v>
      </c>
      <c r="O417" s="339">
        <f t="shared" si="273"/>
        <v>0.52559875311201865</v>
      </c>
      <c r="P417" s="732" t="str">
        <f t="shared" si="265"/>
        <v>-0.0246975247421952-0.0639929541321069i</v>
      </c>
      <c r="Q417" s="337">
        <f t="shared" si="274"/>
        <v>6.8593482977213516E-2</v>
      </c>
      <c r="R417" s="339">
        <f t="shared" si="275"/>
        <v>-1.9391247085348366</v>
      </c>
      <c r="S417" s="731" t="str">
        <f t="shared" si="252"/>
        <v>6000</v>
      </c>
      <c r="T417" s="337" t="str">
        <f t="shared" si="253"/>
        <v>1+252641.289166768i</v>
      </c>
      <c r="U417" s="346">
        <f t="shared" si="276"/>
        <v>252641.28916874711</v>
      </c>
      <c r="V417" s="347">
        <f t="shared" si="277"/>
        <v>1.5707923686137011</v>
      </c>
      <c r="W417" s="340" t="str">
        <f t="shared" si="254"/>
        <v>1+2501.39890264127i</v>
      </c>
      <c r="X417" s="337">
        <f t="shared" si="278"/>
        <v>2501.3991025294126</v>
      </c>
      <c r="Y417" s="339">
        <f t="shared" si="279"/>
        <v>1.5703965505154434</v>
      </c>
      <c r="Z417" s="337" t="str">
        <f t="shared" si="255"/>
        <v>1+25.1977321033358i</v>
      </c>
      <c r="AA417" s="346">
        <f t="shared" si="280"/>
        <v>25.217567351976669</v>
      </c>
      <c r="AB417" s="347">
        <f t="shared" si="281"/>
        <v>1.5311310309003474</v>
      </c>
      <c r="AC417" s="732" t="str">
        <f t="shared" si="282"/>
        <v>0.0924847702191198-2.35392041131593i</v>
      </c>
      <c r="AD417" s="337">
        <f t="shared" si="283"/>
        <v>2.3557365590261234</v>
      </c>
      <c r="AE417" s="339">
        <f t="shared" si="284"/>
        <v>-1.5315268489986051</v>
      </c>
      <c r="AF417" s="736" t="str">
        <f t="shared" si="256"/>
        <v>-0.152918465812733+0.0522176339410829i</v>
      </c>
      <c r="AG417" s="337">
        <f t="shared" si="285"/>
        <v>-15.831808450037403</v>
      </c>
      <c r="AH417" s="730">
        <f t="shared" si="286"/>
        <v>161.14631359282811</v>
      </c>
      <c r="AI417" s="360">
        <f t="shared" si="257"/>
        <v>-18.853686407171892</v>
      </c>
      <c r="AL417" s="337">
        <f t="shared" si="258"/>
        <v>7.4425344374261808</v>
      </c>
      <c r="AM417" s="730">
        <f t="shared" si="259"/>
        <v>-87.750024658589808</v>
      </c>
      <c r="AN417" s="351"/>
      <c r="AO417" s="337">
        <f t="shared" si="260"/>
        <v>30.254779597578562</v>
      </c>
      <c r="AP417" s="730">
        <f t="shared" si="261"/>
        <v>-111.10366174858197</v>
      </c>
      <c r="AS417" s="351"/>
      <c r="AT417" s="351"/>
      <c r="AV417" s="405">
        <f t="shared" si="262"/>
        <v>0</v>
      </c>
      <c r="AW417" s="405">
        <f t="shared" si="287"/>
        <v>0</v>
      </c>
      <c r="AX417" s="405">
        <f t="shared" si="263"/>
        <v>0</v>
      </c>
      <c r="AY417" s="405">
        <f t="shared" si="264"/>
        <v>0</v>
      </c>
    </row>
    <row r="418" spans="2:51" ht="13.5" thickBot="1" x14ac:dyDescent="0.25">
      <c r="B418" s="345">
        <v>40042.75</v>
      </c>
      <c r="C418" s="728" t="str">
        <f t="shared" si="247"/>
        <v>2.2271548443541</v>
      </c>
      <c r="D418" s="728" t="str">
        <f t="shared" si="248"/>
        <v>1+30.6108489125196i</v>
      </c>
      <c r="E418" s="337">
        <f t="shared" si="266"/>
        <v>30.627178635080025</v>
      </c>
      <c r="F418" s="338">
        <f t="shared" si="267"/>
        <v>1.538139784197126</v>
      </c>
      <c r="G418" s="338" t="str">
        <f t="shared" si="249"/>
        <v>1+0.125798009229532i</v>
      </c>
      <c r="H418" s="337">
        <f t="shared" si="268"/>
        <v>1.0078815104594951</v>
      </c>
      <c r="I418" s="338">
        <f t="shared" si="269"/>
        <v>0.12514064938527378</v>
      </c>
      <c r="J418" s="340">
        <f t="shared" si="250"/>
        <v>1</v>
      </c>
      <c r="K418" s="338">
        <f t="shared" si="270"/>
        <v>1</v>
      </c>
      <c r="L418" s="339">
        <f t="shared" si="271"/>
        <v>0</v>
      </c>
      <c r="M418" s="731" t="str">
        <f t="shared" si="251"/>
        <v>0.928736807663889+0.54230158403591i</v>
      </c>
      <c r="N418" s="338">
        <f t="shared" si="272"/>
        <v>1.0754734148074365</v>
      </c>
      <c r="O418" s="339">
        <f t="shared" si="273"/>
        <v>0.52850690775314701</v>
      </c>
      <c r="P418" s="732" t="str">
        <f t="shared" si="265"/>
        <v>-0.0246884609030313-0.063518753550011i</v>
      </c>
      <c r="Q418" s="337">
        <f t="shared" si="274"/>
        <v>6.8148016510442472E-2</v>
      </c>
      <c r="R418" s="339">
        <f t="shared" si="275"/>
        <v>-1.9415060425649981</v>
      </c>
      <c r="S418" s="731" t="str">
        <f t="shared" si="252"/>
        <v>6000</v>
      </c>
      <c r="T418" s="337" t="str">
        <f t="shared" si="253"/>
        <v>1+254111.978643656i</v>
      </c>
      <c r="U418" s="346">
        <f t="shared" si="276"/>
        <v>254111.97864562363</v>
      </c>
      <c r="V418" s="347">
        <f t="shared" si="277"/>
        <v>1.5707923915219302</v>
      </c>
      <c r="W418" s="340" t="str">
        <f t="shared" si="254"/>
        <v>1+2515.96018459065i</v>
      </c>
      <c r="X418" s="337">
        <f t="shared" si="278"/>
        <v>2515.9603833219267</v>
      </c>
      <c r="Y418" s="339">
        <f t="shared" si="279"/>
        <v>1.5703988642462181</v>
      </c>
      <c r="Z418" s="337" t="str">
        <f t="shared" si="255"/>
        <v>1+25.3444145382142i</v>
      </c>
      <c r="AA418" s="346">
        <f t="shared" si="280"/>
        <v>25.364135078587704</v>
      </c>
      <c r="AB418" s="347">
        <f t="shared" si="281"/>
        <v>1.5313603577301709</v>
      </c>
      <c r="AC418" s="732" t="str">
        <f t="shared" si="282"/>
        <v>0.0914190041198634-2.34033899629063i</v>
      </c>
      <c r="AD418" s="337">
        <f t="shared" si="283"/>
        <v>2.3421238335905512</v>
      </c>
      <c r="AE418" s="339">
        <f t="shared" si="284"/>
        <v>-1.5317538850058832</v>
      </c>
      <c r="AF418" s="736" t="str">
        <f t="shared" si="256"/>
        <v>-0.150912410437872+0.0519725466172837i</v>
      </c>
      <c r="AG418" s="337">
        <f t="shared" si="285"/>
        <v>-15.938738530756194</v>
      </c>
      <c r="AH418" s="730">
        <f t="shared" si="286"/>
        <v>160.9968649982745</v>
      </c>
      <c r="AI418" s="360">
        <f t="shared" si="257"/>
        <v>-19.003135001725497</v>
      </c>
      <c r="AL418" s="337">
        <f t="shared" si="258"/>
        <v>7.3921970702630233</v>
      </c>
      <c r="AM418" s="730">
        <f t="shared" si="259"/>
        <v>-87.763032863604337</v>
      </c>
      <c r="AN418" s="351"/>
      <c r="AO418" s="337">
        <f t="shared" si="260"/>
        <v>30.198186884022903</v>
      </c>
      <c r="AP418" s="730">
        <f t="shared" si="261"/>
        <v>-111.24010213812116</v>
      </c>
      <c r="AS418" s="351"/>
      <c r="AT418" s="351"/>
      <c r="AV418" s="405">
        <f t="shared" si="262"/>
        <v>0</v>
      </c>
      <c r="AW418" s="405">
        <f t="shared" si="287"/>
        <v>0</v>
      </c>
      <c r="AX418" s="405">
        <f t="shared" si="263"/>
        <v>0</v>
      </c>
      <c r="AY418" s="405">
        <f t="shared" si="264"/>
        <v>0</v>
      </c>
    </row>
    <row r="419" spans="2:51" ht="13.5" thickBot="1" x14ac:dyDescent="0.25">
      <c r="B419" s="345">
        <v>40274.5</v>
      </c>
      <c r="C419" s="728" t="str">
        <f t="shared" si="247"/>
        <v>2.2271548443541</v>
      </c>
      <c r="D419" s="728" t="str">
        <f t="shared" si="248"/>
        <v>1+30.7880111762372i</v>
      </c>
      <c r="E419" s="337">
        <f t="shared" si="266"/>
        <v>30.804246982974718</v>
      </c>
      <c r="F419" s="338">
        <f t="shared" si="267"/>
        <v>1.5383275660565039</v>
      </c>
      <c r="G419" s="338" t="str">
        <f t="shared" si="249"/>
        <v>1+0.126526073327002i</v>
      </c>
      <c r="H419" s="337">
        <f t="shared" si="268"/>
        <v>1.0079726421047099</v>
      </c>
      <c r="I419" s="338">
        <f t="shared" si="269"/>
        <v>0.12585730652129606</v>
      </c>
      <c r="J419" s="340">
        <f t="shared" si="250"/>
        <v>1</v>
      </c>
      <c r="K419" s="338">
        <f t="shared" si="270"/>
        <v>1</v>
      </c>
      <c r="L419" s="339">
        <f t="shared" si="271"/>
        <v>0</v>
      </c>
      <c r="M419" s="731" t="str">
        <f t="shared" si="251"/>
        <v>0.927909539988889+0.545440189453878i</v>
      </c>
      <c r="N419" s="338">
        <f t="shared" si="272"/>
        <v>1.0763461871878741</v>
      </c>
      <c r="O419" s="339">
        <f t="shared" si="273"/>
        <v>0.53141259609690161</v>
      </c>
      <c r="P419" s="732" t="str">
        <f t="shared" si="265"/>
        <v>-0.0246787877191472-0.0630496541510924i</v>
      </c>
      <c r="Q419" s="337">
        <f t="shared" si="274"/>
        <v>6.7707469690271943E-2</v>
      </c>
      <c r="R419" s="339">
        <f t="shared" si="275"/>
        <v>-1.9438828556321084</v>
      </c>
      <c r="S419" s="731" t="str">
        <f t="shared" si="252"/>
        <v>6000</v>
      </c>
      <c r="T419" s="337" t="str">
        <f t="shared" si="253"/>
        <v>1+255582.668120544i</v>
      </c>
      <c r="U419" s="346">
        <f t="shared" si="276"/>
        <v>255582.6681225003</v>
      </c>
      <c r="V419" s="347">
        <f t="shared" si="277"/>
        <v>1.5707924141665195</v>
      </c>
      <c r="W419" s="340" t="str">
        <f t="shared" si="254"/>
        <v>1+2530.52146654004i</v>
      </c>
      <c r="X419" s="337">
        <f t="shared" si="278"/>
        <v>2530.5216641277652</v>
      </c>
      <c r="Y419" s="339">
        <f t="shared" si="279"/>
        <v>1.5704011513493736</v>
      </c>
      <c r="Z419" s="337" t="str">
        <f t="shared" si="255"/>
        <v>1+25.4910969730927i</v>
      </c>
      <c r="AA419" s="346">
        <f t="shared" si="280"/>
        <v>25.510704123791168</v>
      </c>
      <c r="AB419" s="347">
        <f t="shared" si="281"/>
        <v>1.5315870494258399</v>
      </c>
      <c r="AC419" s="732" t="str">
        <f t="shared" si="282"/>
        <v>0.0903715454317062-2.32691316510157i</v>
      </c>
      <c r="AD419" s="337">
        <f t="shared" si="283"/>
        <v>2.3286674073698719</v>
      </c>
      <c r="AE419" s="339">
        <f t="shared" si="284"/>
        <v>-1.5319783122429858</v>
      </c>
      <c r="AF419" s="736" t="str">
        <f t="shared" si="256"/>
        <v>-0.148941330484838+0.0517275013578618i</v>
      </c>
      <c r="AG419" s="337">
        <f t="shared" si="285"/>
        <v>-16.045119025698277</v>
      </c>
      <c r="AH419" s="730">
        <f t="shared" si="286"/>
        <v>160.84782490734378</v>
      </c>
      <c r="AI419" s="360">
        <f t="shared" si="257"/>
        <v>-19.152175092656222</v>
      </c>
      <c r="AL419" s="337">
        <f t="shared" si="258"/>
        <v>7.3421492944500475</v>
      </c>
      <c r="AM419" s="730">
        <f t="shared" si="259"/>
        <v>-87.775891597098095</v>
      </c>
      <c r="AN419" s="351"/>
      <c r="AO419" s="337">
        <f t="shared" si="260"/>
        <v>30.141854164893815</v>
      </c>
      <c r="AP419" s="730">
        <f t="shared" si="261"/>
        <v>-111.37628349555811</v>
      </c>
      <c r="AS419" s="351"/>
      <c r="AT419" s="351"/>
      <c r="AV419" s="405">
        <f t="shared" si="262"/>
        <v>0</v>
      </c>
      <c r="AW419" s="405">
        <f t="shared" si="287"/>
        <v>0</v>
      </c>
      <c r="AX419" s="405">
        <f t="shared" si="263"/>
        <v>0</v>
      </c>
      <c r="AY419" s="405">
        <f t="shared" si="264"/>
        <v>0</v>
      </c>
    </row>
    <row r="420" spans="2:51" ht="13.5" thickBot="1" x14ac:dyDescent="0.25">
      <c r="B420" s="345">
        <v>40506.25</v>
      </c>
      <c r="C420" s="728" t="str">
        <f t="shared" si="247"/>
        <v>2.2271548443541</v>
      </c>
      <c r="D420" s="728" t="str">
        <f t="shared" si="248"/>
        <v>1+30.9651734399547i</v>
      </c>
      <c r="E420" s="337">
        <f t="shared" si="266"/>
        <v>30.981316404673255</v>
      </c>
      <c r="F420" s="338">
        <f t="shared" si="267"/>
        <v>1.5385132014399621</v>
      </c>
      <c r="G420" s="338" t="str">
        <f t="shared" si="249"/>
        <v>1+0.127254137424472i</v>
      </c>
      <c r="H420" s="337">
        <f t="shared" si="268"/>
        <v>1.0080642913483477</v>
      </c>
      <c r="I420" s="338">
        <f t="shared" si="269"/>
        <v>0.1265738337139686</v>
      </c>
      <c r="J420" s="340">
        <f t="shared" si="250"/>
        <v>1</v>
      </c>
      <c r="K420" s="338">
        <f t="shared" si="270"/>
        <v>1</v>
      </c>
      <c r="L420" s="339">
        <f t="shared" si="271"/>
        <v>0</v>
      </c>
      <c r="M420" s="731" t="str">
        <f t="shared" si="251"/>
        <v>0.927077498263889+0.548578794871846i</v>
      </c>
      <c r="N420" s="338">
        <f t="shared" si="272"/>
        <v>1.0772239237829235</v>
      </c>
      <c r="O420" s="339">
        <f t="shared" si="273"/>
        <v>0.53431580846521665</v>
      </c>
      <c r="P420" s="732" t="str">
        <f t="shared" si="265"/>
        <v>-0.0246685174221256-0.0625855723731997i</v>
      </c>
      <c r="Q420" s="337">
        <f t="shared" si="274"/>
        <v>6.7271759461803374E-2</v>
      </c>
      <c r="R420" s="339">
        <f t="shared" si="275"/>
        <v>-1.9462551761912104</v>
      </c>
      <c r="S420" s="731" t="str">
        <f t="shared" si="252"/>
        <v>6000</v>
      </c>
      <c r="T420" s="337" t="str">
        <f t="shared" si="253"/>
        <v>1+257053.357597432i</v>
      </c>
      <c r="U420" s="346">
        <f t="shared" si="276"/>
        <v>257053.35759937708</v>
      </c>
      <c r="V420" s="347">
        <f t="shared" si="277"/>
        <v>1.5707924365519941</v>
      </c>
      <c r="W420" s="340" t="str">
        <f t="shared" si="254"/>
        <v>1+2545.08274848943i</v>
      </c>
      <c r="X420" s="337">
        <f t="shared" si="278"/>
        <v>2545.0829449466892</v>
      </c>
      <c r="Y420" s="339">
        <f t="shared" si="279"/>
        <v>1.570403412281947</v>
      </c>
      <c r="Z420" s="337" t="str">
        <f t="shared" si="255"/>
        <v>1+25.6377794079712i</v>
      </c>
      <c r="AA420" s="346">
        <f t="shared" si="280"/>
        <v>25.6572744649893</v>
      </c>
      <c r="AB420" s="347">
        <f t="shared" si="281"/>
        <v>1.5318111511244388</v>
      </c>
      <c r="AC420" s="732" t="str">
        <f t="shared" si="282"/>
        <v>0.0893419774479216-2.31364026355863i</v>
      </c>
      <c r="AD420" s="337">
        <f t="shared" si="283"/>
        <v>2.3153646058653381</v>
      </c>
      <c r="AE420" s="339">
        <f t="shared" si="284"/>
        <v>-1.5322001753944858</v>
      </c>
      <c r="AF420" s="736" t="str">
        <f t="shared" si="256"/>
        <v>-0.147004434287699+0.0514825563545957i</v>
      </c>
      <c r="AG420" s="337">
        <f t="shared" si="285"/>
        <v>-16.150956465853405</v>
      </c>
      <c r="AH420" s="730">
        <f t="shared" si="286"/>
        <v>160.6991891294447</v>
      </c>
      <c r="AI420" s="360">
        <f t="shared" si="257"/>
        <v>-19.300810870555296</v>
      </c>
      <c r="AL420" s="337">
        <f t="shared" si="258"/>
        <v>7.2923878020872106</v>
      </c>
      <c r="AM420" s="730">
        <f t="shared" si="259"/>
        <v>-87.788603419308529</v>
      </c>
      <c r="AN420" s="351"/>
      <c r="AO420" s="337">
        <f t="shared" si="260"/>
        <v>30.085778217101517</v>
      </c>
      <c r="AP420" s="730">
        <f t="shared" si="261"/>
        <v>-111.51220745124681</v>
      </c>
      <c r="AS420" s="351"/>
      <c r="AT420" s="351"/>
      <c r="AV420" s="405">
        <f t="shared" si="262"/>
        <v>0</v>
      </c>
      <c r="AW420" s="405">
        <f t="shared" si="287"/>
        <v>0</v>
      </c>
      <c r="AX420" s="405">
        <f t="shared" si="263"/>
        <v>0</v>
      </c>
      <c r="AY420" s="405">
        <f t="shared" si="264"/>
        <v>0</v>
      </c>
    </row>
    <row r="421" spans="2:51" ht="13.5" thickBot="1" x14ac:dyDescent="0.25">
      <c r="B421" s="345">
        <v>40738</v>
      </c>
      <c r="C421" s="728" t="str">
        <f t="shared" si="247"/>
        <v>2.2271548443541</v>
      </c>
      <c r="D421" s="728" t="str">
        <f t="shared" si="248"/>
        <v>1+31.1423357036723i</v>
      </c>
      <c r="E421" s="337">
        <f t="shared" si="266"/>
        <v>31.158386881868939</v>
      </c>
      <c r="F421" s="338">
        <f t="shared" si="267"/>
        <v>1.5386967269293195</v>
      </c>
      <c r="G421" s="338" t="str">
        <f t="shared" si="249"/>
        <v>1+0.127982201521941i</v>
      </c>
      <c r="H421" s="337">
        <f t="shared" si="268"/>
        <v>1.0081564580492468</v>
      </c>
      <c r="I421" s="338">
        <f t="shared" si="269"/>
        <v>0.12729023026308361</v>
      </c>
      <c r="J421" s="340">
        <f t="shared" si="250"/>
        <v>1</v>
      </c>
      <c r="K421" s="338">
        <f t="shared" si="270"/>
        <v>1</v>
      </c>
      <c r="L421" s="339">
        <f t="shared" si="271"/>
        <v>0</v>
      </c>
      <c r="M421" s="731" t="str">
        <f t="shared" si="251"/>
        <v>0.926240682488889+0.551717400289814i</v>
      </c>
      <c r="N421" s="338">
        <f t="shared" si="272"/>
        <v>1.0781066235210848</v>
      </c>
      <c r="O421" s="339">
        <f t="shared" si="273"/>
        <v>0.53721653524584689</v>
      </c>
      <c r="P421" s="732" t="str">
        <f t="shared" si="265"/>
        <v>-0.0246576619321612-0.0621264265443183i</v>
      </c>
      <c r="Q421" s="337">
        <f t="shared" si="274"/>
        <v>6.6840804656492045E-2</v>
      </c>
      <c r="R421" s="339">
        <f t="shared" si="275"/>
        <v>-1.9486230319120825</v>
      </c>
      <c r="S421" s="731" t="str">
        <f t="shared" si="252"/>
        <v>6000</v>
      </c>
      <c r="T421" s="337" t="str">
        <f t="shared" si="253"/>
        <v>1+258524.047074321i</v>
      </c>
      <c r="U421" s="346">
        <f t="shared" si="276"/>
        <v>258524.04707625502</v>
      </c>
      <c r="V421" s="347">
        <f t="shared" si="277"/>
        <v>1.5707924586827759</v>
      </c>
      <c r="W421" s="340" t="str">
        <f t="shared" si="254"/>
        <v>1+2559.64403043882i</v>
      </c>
      <c r="X421" s="337">
        <f t="shared" si="278"/>
        <v>2559.6442257784747</v>
      </c>
      <c r="Y421" s="339">
        <f t="shared" si="279"/>
        <v>1.5704056474905748</v>
      </c>
      <c r="Z421" s="337" t="str">
        <f t="shared" si="255"/>
        <v>1+25.7844618428497i</v>
      </c>
      <c r="AA421" s="346">
        <f t="shared" si="280"/>
        <v>25.803846080097678</v>
      </c>
      <c r="AB421" s="347">
        <f t="shared" si="281"/>
        <v>1.5320327069385515</v>
      </c>
      <c r="AC421" s="732" t="str">
        <f t="shared" si="282"/>
        <v>0.0883298952449274-2.30051769741119i</v>
      </c>
      <c r="AD421" s="337">
        <f t="shared" si="283"/>
        <v>2.3022128152054195</v>
      </c>
      <c r="AE421" s="339">
        <f t="shared" si="284"/>
        <v>-1.5324195181307525</v>
      </c>
      <c r="AF421" s="736" t="str">
        <f t="shared" si="256"/>
        <v>-0.145100952437573+0.0512377669031177i</v>
      </c>
      <c r="AG421" s="337">
        <f t="shared" si="285"/>
        <v>-16.256257269166614</v>
      </c>
      <c r="AH421" s="730">
        <f t="shared" si="286"/>
        <v>160.55095357708788</v>
      </c>
      <c r="AI421" s="360">
        <f t="shared" si="257"/>
        <v>-19.449046422912119</v>
      </c>
      <c r="AL421" s="337">
        <f t="shared" si="258"/>
        <v>7.2429093415437071</v>
      </c>
      <c r="AM421" s="730">
        <f t="shared" si="259"/>
        <v>-87.801170832363454</v>
      </c>
      <c r="AN421" s="351"/>
      <c r="AO421" s="337">
        <f t="shared" si="260"/>
        <v>30.029955874331815</v>
      </c>
      <c r="AP421" s="730">
        <f t="shared" si="261"/>
        <v>-111.64787559054867</v>
      </c>
      <c r="AS421" s="351"/>
      <c r="AT421" s="351"/>
      <c r="AV421" s="405">
        <f t="shared" si="262"/>
        <v>0</v>
      </c>
      <c r="AW421" s="405">
        <f t="shared" si="287"/>
        <v>0</v>
      </c>
      <c r="AX421" s="405">
        <f t="shared" si="263"/>
        <v>0</v>
      </c>
      <c r="AY421" s="405">
        <f t="shared" si="264"/>
        <v>0</v>
      </c>
    </row>
    <row r="422" spans="2:51" ht="13.5" thickBot="1" x14ac:dyDescent="0.25">
      <c r="B422" s="345">
        <v>40975.25</v>
      </c>
      <c r="C422" s="728" t="str">
        <f t="shared" si="247"/>
        <v>2.2271548443541</v>
      </c>
      <c r="D422" s="728" t="str">
        <f t="shared" si="248"/>
        <v>1+31.3237024655579i</v>
      </c>
      <c r="E422" s="337">
        <f t="shared" si="266"/>
        <v>31.339660753600988</v>
      </c>
      <c r="F422" s="338">
        <f t="shared" si="267"/>
        <v>1.5388824596605766</v>
      </c>
      <c r="G422" s="338" t="str">
        <f t="shared" si="249"/>
        <v>1+0.128727544379005i</v>
      </c>
      <c r="H422" s="337">
        <f t="shared" si="268"/>
        <v>1.0082513479692694</v>
      </c>
      <c r="I422" s="338">
        <f t="shared" si="269"/>
        <v>0.12802349261072227</v>
      </c>
      <c r="J422" s="340">
        <f t="shared" si="250"/>
        <v>1</v>
      </c>
      <c r="K422" s="338">
        <f t="shared" si="270"/>
        <v>1</v>
      </c>
      <c r="L422" s="339">
        <f t="shared" si="271"/>
        <v>0</v>
      </c>
      <c r="M422" s="731" t="str">
        <f t="shared" si="251"/>
        <v>0.925379061663889+0.554930492567754i</v>
      </c>
      <c r="N422" s="338">
        <f t="shared" si="272"/>
        <v>1.079015412006441</v>
      </c>
      <c r="O422" s="339">
        <f t="shared" si="273"/>
        <v>0.54018351870064407</v>
      </c>
      <c r="P422" s="732" t="str">
        <f t="shared" si="265"/>
        <v>-0.0246459547542846-0.06166141376026i</v>
      </c>
      <c r="Q422" s="337">
        <f t="shared" si="274"/>
        <v>6.6404465457258408E-2</v>
      </c>
      <c r="R422" s="339">
        <f t="shared" si="275"/>
        <v>-1.9510424857504969</v>
      </c>
      <c r="S422" s="731" t="str">
        <f t="shared" si="252"/>
        <v>6000</v>
      </c>
      <c r="T422" s="337" t="str">
        <f t="shared" si="253"/>
        <v>1+260029.63964559i</v>
      </c>
      <c r="U422" s="346">
        <f t="shared" si="276"/>
        <v>260029.63964751287</v>
      </c>
      <c r="V422" s="347">
        <f t="shared" si="277"/>
        <v>1.5707924810794569</v>
      </c>
      <c r="W422" s="340" t="str">
        <f t="shared" si="254"/>
        <v>1+2574.5508875801i</v>
      </c>
      <c r="X422" s="337">
        <f t="shared" si="278"/>
        <v>2574.5510817887225</v>
      </c>
      <c r="Y422" s="339">
        <f t="shared" si="279"/>
        <v>1.5704079095550065</v>
      </c>
      <c r="Z422" s="337" t="str">
        <f t="shared" si="255"/>
        <v>1+25.9346254142625i</v>
      </c>
      <c r="AA422" s="346">
        <f t="shared" si="280"/>
        <v>25.953897498797943</v>
      </c>
      <c r="AB422" s="347">
        <f t="shared" si="281"/>
        <v>1.5322569285991365</v>
      </c>
      <c r="AC422" s="732" t="str">
        <f t="shared" si="282"/>
        <v>0.0873114961929108-2.28723678241766i</v>
      </c>
      <c r="AD422" s="337">
        <f t="shared" si="283"/>
        <v>2.2889026620220738</v>
      </c>
      <c r="AE422" s="339">
        <f t="shared" si="284"/>
        <v>-1.5326415001235869</v>
      </c>
      <c r="AF422" s="736" t="str">
        <f t="shared" si="256"/>
        <v>-0.14318612879304+0.0509873839590227i</v>
      </c>
      <c r="AG422" s="337">
        <f t="shared" si="285"/>
        <v>-16.363507813902448</v>
      </c>
      <c r="AH422" s="730">
        <f t="shared" si="286"/>
        <v>160.39961045210265</v>
      </c>
      <c r="AI422" s="360">
        <f t="shared" si="257"/>
        <v>-19.60038954789735</v>
      </c>
      <c r="AL422" s="337">
        <f t="shared" si="258"/>
        <v>7.192546484809867</v>
      </c>
      <c r="AM422" s="730">
        <f t="shared" si="259"/>
        <v>-87.813889463680766</v>
      </c>
      <c r="AN422" s="351"/>
      <c r="AO422" s="337">
        <f t="shared" si="260"/>
        <v>29.973068186329826</v>
      </c>
      <c r="AP422" s="730">
        <f t="shared" si="261"/>
        <v>-111.78650008421648</v>
      </c>
      <c r="AS422" s="351"/>
      <c r="AT422" s="351"/>
      <c r="AV422" s="405">
        <f t="shared" si="262"/>
        <v>0</v>
      </c>
      <c r="AW422" s="405">
        <f t="shared" si="287"/>
        <v>0</v>
      </c>
      <c r="AX422" s="405">
        <f t="shared" si="263"/>
        <v>0</v>
      </c>
      <c r="AY422" s="405">
        <f t="shared" si="264"/>
        <v>0</v>
      </c>
    </row>
    <row r="423" spans="2:51" ht="13.5" thickBot="1" x14ac:dyDescent="0.25">
      <c r="B423" s="345">
        <v>41212.5</v>
      </c>
      <c r="C423" s="728" t="str">
        <f t="shared" si="247"/>
        <v>2.2271548443541</v>
      </c>
      <c r="D423" s="728" t="str">
        <f t="shared" si="248"/>
        <v>1+31.5050692274436i</v>
      </c>
      <c r="E423" s="337">
        <f t="shared" si="266"/>
        <v>31.52093569401158</v>
      </c>
      <c r="F423" s="338">
        <f t="shared" si="267"/>
        <v>1.5390660561233387</v>
      </c>
      <c r="G423" s="338" t="str">
        <f t="shared" si="249"/>
        <v>1+0.12947288723607i</v>
      </c>
      <c r="H423" s="337">
        <f t="shared" si="268"/>
        <v>1.0083467798972952</v>
      </c>
      <c r="I423" s="338">
        <f t="shared" si="269"/>
        <v>0.12875661655769174</v>
      </c>
      <c r="J423" s="340">
        <f t="shared" si="250"/>
        <v>1</v>
      </c>
      <c r="K423" s="338">
        <f t="shared" si="270"/>
        <v>1</v>
      </c>
      <c r="L423" s="339">
        <f t="shared" si="271"/>
        <v>0</v>
      </c>
      <c r="M423" s="731" t="str">
        <f t="shared" si="251"/>
        <v>0.9245124375+0.558143584845696i</v>
      </c>
      <c r="N423" s="338">
        <f t="shared" si="272"/>
        <v>1.0799293997278692</v>
      </c>
      <c r="O423" s="339">
        <f t="shared" si="273"/>
        <v>0.54314787701414291</v>
      </c>
      <c r="P423" s="732" t="str">
        <f t="shared" si="265"/>
        <v>-0.0246336586043192-0.0612014066098809i</v>
      </c>
      <c r="Q423" s="337">
        <f t="shared" si="274"/>
        <v>6.5972943751678406E-2</v>
      </c>
      <c r="R423" s="339">
        <f t="shared" si="275"/>
        <v>-1.9534573165797908</v>
      </c>
      <c r="S423" s="731" t="str">
        <f t="shared" si="252"/>
        <v>6000</v>
      </c>
      <c r="T423" s="337" t="str">
        <f t="shared" si="253"/>
        <v>1+261535.23221686i</v>
      </c>
      <c r="U423" s="346">
        <f t="shared" si="276"/>
        <v>261535.23221877174</v>
      </c>
      <c r="V423" s="347">
        <f t="shared" si="277"/>
        <v>1.5707925032182737</v>
      </c>
      <c r="W423" s="340" t="str">
        <f t="shared" si="254"/>
        <v>1+2589.45774472139i</v>
      </c>
      <c r="X423" s="337">
        <f t="shared" si="278"/>
        <v>2589.457937812002</v>
      </c>
      <c r="Y423" s="339">
        <f t="shared" si="279"/>
        <v>1.5704101455751696</v>
      </c>
      <c r="Z423" s="337" t="str">
        <f t="shared" si="255"/>
        <v>1+26.0847889856754i</v>
      </c>
      <c r="AA423" s="346">
        <f t="shared" si="280"/>
        <v>26.103950207338588</v>
      </c>
      <c r="AB423" s="347">
        <f t="shared" si="281"/>
        <v>1.5324785724948113</v>
      </c>
      <c r="AC423" s="732" t="str">
        <f t="shared" si="282"/>
        <v>0.0863106000537276-2.27410810620056i</v>
      </c>
      <c r="AD423" s="337">
        <f t="shared" si="283"/>
        <v>2.2757454159832404</v>
      </c>
      <c r="AE423" s="339">
        <f t="shared" si="284"/>
        <v>-1.5328609301379155</v>
      </c>
      <c r="AF423" s="736" t="str">
        <f t="shared" si="256"/>
        <v>-0.141304760738064+0.0507372725888285i</v>
      </c>
      <c r="AG423" s="337">
        <f t="shared" si="285"/>
        <v>-16.470209208062556</v>
      </c>
      <c r="AH423" s="730">
        <f t="shared" si="286"/>
        <v>160.24867842362656</v>
      </c>
      <c r="AI423" s="360">
        <f t="shared" si="257"/>
        <v>-19.751321576373442</v>
      </c>
      <c r="AL423" s="337">
        <f t="shared" si="258"/>
        <v>7.1424735321604738</v>
      </c>
      <c r="AM423" s="730">
        <f t="shared" si="259"/>
        <v>-87.826461877400291</v>
      </c>
      <c r="AN423" s="351"/>
      <c r="AO423" s="337">
        <f t="shared" si="260"/>
        <v>29.916439744819122</v>
      </c>
      <c r="AP423" s="730">
        <f t="shared" si="261"/>
        <v>-111.92485969897318</v>
      </c>
      <c r="AS423" s="351"/>
      <c r="AT423" s="351"/>
      <c r="AV423" s="405">
        <f t="shared" si="262"/>
        <v>0</v>
      </c>
      <c r="AW423" s="405">
        <f t="shared" si="287"/>
        <v>0</v>
      </c>
      <c r="AX423" s="405">
        <f t="shared" si="263"/>
        <v>0</v>
      </c>
      <c r="AY423" s="405">
        <f t="shared" si="264"/>
        <v>0</v>
      </c>
    </row>
    <row r="424" spans="2:51" ht="13.5" thickBot="1" x14ac:dyDescent="0.25">
      <c r="B424" s="345">
        <v>41449.75</v>
      </c>
      <c r="C424" s="728" t="str">
        <f t="shared" si="247"/>
        <v>2.2271548443541</v>
      </c>
      <c r="D424" s="728" t="str">
        <f t="shared" si="248"/>
        <v>1+31.6864359893292i</v>
      </c>
      <c r="E424" s="337">
        <f t="shared" si="266"/>
        <v>31.702211684768255</v>
      </c>
      <c r="F424" s="338">
        <f t="shared" si="267"/>
        <v>1.539247552951226</v>
      </c>
      <c r="G424" s="338" t="str">
        <f t="shared" si="249"/>
        <v>1+0.130218230093133i</v>
      </c>
      <c r="H424" s="337">
        <f t="shared" si="268"/>
        <v>1.008442753679448</v>
      </c>
      <c r="I424" s="338">
        <f t="shared" si="269"/>
        <v>0.12948960135532789</v>
      </c>
      <c r="J424" s="340">
        <f t="shared" si="250"/>
        <v>1</v>
      </c>
      <c r="K424" s="338">
        <f t="shared" si="270"/>
        <v>1</v>
      </c>
      <c r="L424" s="339">
        <f t="shared" si="271"/>
        <v>0</v>
      </c>
      <c r="M424" s="731" t="str">
        <f t="shared" si="251"/>
        <v>0.923640809997222+0.561356677123637i</v>
      </c>
      <c r="N424" s="338">
        <f t="shared" si="272"/>
        <v>1.080848585530654</v>
      </c>
      <c r="O424" s="339">
        <f t="shared" si="273"/>
        <v>0.54610960008797504</v>
      </c>
      <c r="P424" s="732" t="str">
        <f t="shared" si="265"/>
        <v>-0.0246207853240442-0.0607463232801203i</v>
      </c>
      <c r="Q424" s="337">
        <f t="shared" si="274"/>
        <v>6.5546158255275003E-2</v>
      </c>
      <c r="R424" s="339">
        <f t="shared" si="275"/>
        <v>-1.9558675516838711</v>
      </c>
      <c r="S424" s="731" t="str">
        <f t="shared" si="252"/>
        <v>6000</v>
      </c>
      <c r="T424" s="337" t="str">
        <f t="shared" si="253"/>
        <v>1+263040.82478813i</v>
      </c>
      <c r="U424" s="346">
        <f t="shared" si="276"/>
        <v>263040.82479003083</v>
      </c>
      <c r="V424" s="347">
        <f t="shared" si="277"/>
        <v>1.5707925251036543</v>
      </c>
      <c r="W424" s="340" t="str">
        <f t="shared" si="254"/>
        <v>1+2604.36460186267i</v>
      </c>
      <c r="X424" s="337">
        <f t="shared" si="278"/>
        <v>2604.3647938480708</v>
      </c>
      <c r="Y424" s="339">
        <f t="shared" si="279"/>
        <v>1.5704123559982808</v>
      </c>
      <c r="Z424" s="337" t="str">
        <f t="shared" si="255"/>
        <v>1+26.2349525570882i</v>
      </c>
      <c r="AA424" s="346">
        <f t="shared" si="280"/>
        <v>26.254004183603474</v>
      </c>
      <c r="AB424" s="347">
        <f t="shared" si="281"/>
        <v>1.5326976828030248</v>
      </c>
      <c r="AC424" s="732" t="str">
        <f t="shared" si="282"/>
        <v>0.0853268082158874-2.26112906980175i</v>
      </c>
      <c r="AD424" s="337">
        <f t="shared" si="283"/>
        <v>2.2627384591469775</v>
      </c>
      <c r="AE424" s="339">
        <f t="shared" si="284"/>
        <v>-1.5330778519083983</v>
      </c>
      <c r="AF424" s="736" t="str">
        <f t="shared" si="256"/>
        <v>-0.139456090479724+0.0504874835412015i</v>
      </c>
      <c r="AG424" s="337">
        <f t="shared" si="285"/>
        <v>-16.576367985728758</v>
      </c>
      <c r="AH424" s="730">
        <f t="shared" si="286"/>
        <v>160.09815342259532</v>
      </c>
      <c r="AI424" s="360">
        <f t="shared" si="257"/>
        <v>-19.901846577404683</v>
      </c>
      <c r="AL424" s="337">
        <f t="shared" si="258"/>
        <v>7.0926871700051564</v>
      </c>
      <c r="AM424" s="730">
        <f t="shared" si="259"/>
        <v>-87.838890579333466</v>
      </c>
      <c r="AN424" s="351"/>
      <c r="AO424" s="337">
        <f t="shared" si="260"/>
        <v>29.860067329308233</v>
      </c>
      <c r="AP424" s="730">
        <f t="shared" si="261"/>
        <v>-112.06295599807117</v>
      </c>
      <c r="AS424" s="351"/>
      <c r="AT424" s="351"/>
      <c r="AV424" s="405">
        <f t="shared" si="262"/>
        <v>0</v>
      </c>
      <c r="AW424" s="405">
        <f t="shared" si="287"/>
        <v>0</v>
      </c>
      <c r="AX424" s="405">
        <f t="shared" si="263"/>
        <v>0</v>
      </c>
      <c r="AY424" s="405">
        <f t="shared" si="264"/>
        <v>0</v>
      </c>
    </row>
    <row r="425" spans="2:51" ht="13.5" thickBot="1" x14ac:dyDescent="0.25">
      <c r="B425" s="345">
        <v>41687</v>
      </c>
      <c r="C425" s="728" t="str">
        <f t="shared" si="247"/>
        <v>2.2271548443541</v>
      </c>
      <c r="D425" s="728" t="str">
        <f t="shared" si="248"/>
        <v>1+31.8678027512147i</v>
      </c>
      <c r="E425" s="337">
        <f t="shared" si="266"/>
        <v>31.883488707955522</v>
      </c>
      <c r="F425" s="338">
        <f t="shared" si="267"/>
        <v>1.5394269859452807</v>
      </c>
      <c r="G425" s="338" t="str">
        <f t="shared" si="249"/>
        <v>1+0.130963572950198i</v>
      </c>
      <c r="H425" s="337">
        <f t="shared" si="268"/>
        <v>1.0085392691610386</v>
      </c>
      <c r="I425" s="338">
        <f t="shared" si="269"/>
        <v>0.13022244625585583</v>
      </c>
      <c r="J425" s="340">
        <f t="shared" si="250"/>
        <v>1</v>
      </c>
      <c r="K425" s="338">
        <f t="shared" si="270"/>
        <v>1</v>
      </c>
      <c r="L425" s="339">
        <f t="shared" si="271"/>
        <v>0</v>
      </c>
      <c r="M425" s="731" t="str">
        <f t="shared" si="251"/>
        <v>0.922764179155556+0.564569769401577i</v>
      </c>
      <c r="N425" s="338">
        <f t="shared" si="272"/>
        <v>1.0817729682584867</v>
      </c>
      <c r="O425" s="339">
        <f t="shared" si="273"/>
        <v>0.54906867789622227</v>
      </c>
      <c r="P425" s="732" t="str">
        <f t="shared" si="265"/>
        <v>-0.0246073464568626-0.0602960838085647i</v>
      </c>
      <c r="Q425" s="337">
        <f t="shared" si="274"/>
        <v>6.5124029530562122E-2</v>
      </c>
      <c r="R425" s="339">
        <f t="shared" si="275"/>
        <v>-1.9582732175856477</v>
      </c>
      <c r="S425" s="731" t="str">
        <f t="shared" si="252"/>
        <v>6000</v>
      </c>
      <c r="T425" s="337" t="str">
        <f t="shared" si="253"/>
        <v>1+264546.417359399i</v>
      </c>
      <c r="U425" s="346">
        <f t="shared" si="276"/>
        <v>264546.41736128909</v>
      </c>
      <c r="V425" s="347">
        <f t="shared" si="277"/>
        <v>1.5707925467399257</v>
      </c>
      <c r="W425" s="340" t="str">
        <f t="shared" si="254"/>
        <v>1+2619.27145900395i</v>
      </c>
      <c r="X425" s="337">
        <f t="shared" si="278"/>
        <v>2619.2716498967193</v>
      </c>
      <c r="Y425" s="339">
        <f t="shared" si="279"/>
        <v>1.5704145412613753</v>
      </c>
      <c r="Z425" s="337" t="str">
        <f t="shared" si="255"/>
        <v>1+26.385116128501i</v>
      </c>
      <c r="AA425" s="346">
        <f t="shared" si="280"/>
        <v>26.404059405979293</v>
      </c>
      <c r="AB425" s="347">
        <f t="shared" si="281"/>
        <v>1.5329143026979637</v>
      </c>
      <c r="AC425" s="732" t="str">
        <f t="shared" si="282"/>
        <v>0.0843597333457128-2.24829713300064i</v>
      </c>
      <c r="AD425" s="337">
        <f t="shared" si="283"/>
        <v>2.2498792329520838</v>
      </c>
      <c r="AE425" s="339">
        <f t="shared" si="284"/>
        <v>-1.533292308176514</v>
      </c>
      <c r="AF425" s="736" t="str">
        <f t="shared" si="256"/>
        <v>-0.137639381543409+0.0502380649378364i</v>
      </c>
      <c r="AG425" s="337">
        <f t="shared" si="285"/>
        <v>-16.681990567671463</v>
      </c>
      <c r="AH425" s="730">
        <f t="shared" si="286"/>
        <v>159.94803148045185</v>
      </c>
      <c r="AI425" s="360">
        <f t="shared" si="257"/>
        <v>-20.051968519548154</v>
      </c>
      <c r="AL425" s="337">
        <f t="shared" si="258"/>
        <v>7.0431841411595002</v>
      </c>
      <c r="AM425" s="730">
        <f t="shared" si="259"/>
        <v>-87.851178018386619</v>
      </c>
      <c r="AN425" s="351"/>
      <c r="AO425" s="337">
        <f t="shared" si="260"/>
        <v>29.803947776211164</v>
      </c>
      <c r="AP425" s="730">
        <f t="shared" si="261"/>
        <v>-112.20079050116158</v>
      </c>
      <c r="AS425" s="351"/>
      <c r="AT425" s="351"/>
      <c r="AV425" s="405">
        <f t="shared" si="262"/>
        <v>0</v>
      </c>
      <c r="AW425" s="405">
        <f t="shared" si="287"/>
        <v>0</v>
      </c>
      <c r="AX425" s="405">
        <f t="shared" si="263"/>
        <v>0</v>
      </c>
      <c r="AY425" s="405">
        <f t="shared" si="264"/>
        <v>0</v>
      </c>
    </row>
    <row r="426" spans="2:51" ht="13.5" thickBot="1" x14ac:dyDescent="0.25">
      <c r="B426" s="345">
        <v>41929.75</v>
      </c>
      <c r="C426" s="728" t="str">
        <f t="shared" si="247"/>
        <v>2.2271548443541</v>
      </c>
      <c r="D426" s="728" t="str">
        <f t="shared" si="248"/>
        <v>1+32.0533740112684i</v>
      </c>
      <c r="E426" s="337">
        <f t="shared" si="266"/>
        <v>32.068969199309429</v>
      </c>
      <c r="F426" s="338">
        <f t="shared" si="267"/>
        <v>1.5396084789465709</v>
      </c>
      <c r="G426" s="338" t="str">
        <f t="shared" si="249"/>
        <v>1+0.131726194566856i</v>
      </c>
      <c r="H426" s="337">
        <f t="shared" si="268"/>
        <v>1.008638582612754</v>
      </c>
      <c r="I426" s="338">
        <f t="shared" si="269"/>
        <v>0.1309721346061945</v>
      </c>
      <c r="J426" s="340">
        <f t="shared" si="250"/>
        <v>1</v>
      </c>
      <c r="K426" s="338">
        <f t="shared" si="270"/>
        <v>1</v>
      </c>
      <c r="L426" s="339">
        <f t="shared" si="271"/>
        <v>0</v>
      </c>
      <c r="M426" s="731" t="str">
        <f t="shared" si="251"/>
        <v>0.921862047330556+0.567857348539491i</v>
      </c>
      <c r="N426" s="338">
        <f t="shared" si="272"/>
        <v>1.0827241581302161</v>
      </c>
      <c r="O426" s="339">
        <f t="shared" si="273"/>
        <v>0.55209360558273179</v>
      </c>
      <c r="P426" s="732" t="str">
        <f t="shared" si="265"/>
        <v>-0.0245930223772956-0.0598403388315656i</v>
      </c>
      <c r="Q426" s="337">
        <f t="shared" si="274"/>
        <v>6.4696853873482438E-2</v>
      </c>
      <c r="R426" s="339">
        <f t="shared" si="275"/>
        <v>-1.9607299499231075</v>
      </c>
      <c r="S426" s="731" t="str">
        <f t="shared" si="252"/>
        <v>6000</v>
      </c>
      <c r="T426" s="337" t="str">
        <f t="shared" si="253"/>
        <v>1+266086.91302505i</v>
      </c>
      <c r="U426" s="346">
        <f t="shared" si="276"/>
        <v>266086.91302692908</v>
      </c>
      <c r="V426" s="347">
        <f t="shared" si="277"/>
        <v>1.5707925686243476</v>
      </c>
      <c r="W426" s="340" t="str">
        <f t="shared" si="254"/>
        <v>1+2634.52389133713i</v>
      </c>
      <c r="X426" s="337">
        <f t="shared" si="278"/>
        <v>2634.5240811247359</v>
      </c>
      <c r="Y426" s="339">
        <f t="shared" si="279"/>
        <v>1.570416751587679</v>
      </c>
      <c r="Z426" s="337" t="str">
        <f t="shared" si="255"/>
        <v>1+26.5387608364482i</v>
      </c>
      <c r="AA426" s="346">
        <f t="shared" si="280"/>
        <v>26.557594520855933</v>
      </c>
      <c r="AB426" s="347">
        <f t="shared" si="281"/>
        <v>1.5331334106666947</v>
      </c>
      <c r="AC426" s="732" t="str">
        <f t="shared" si="282"/>
        <v>0.083387149650462-2.23531738704392i</v>
      </c>
      <c r="AD426" s="337">
        <f t="shared" si="283"/>
        <v>2.2368721996456764</v>
      </c>
      <c r="AE426" s="339">
        <f t="shared" si="284"/>
        <v>-1.5335092277033633</v>
      </c>
      <c r="AF426" s="736" t="str">
        <f t="shared" si="256"/>
        <v>-0.135812891874131+0.0499832952306469i</v>
      </c>
      <c r="AG426" s="337">
        <f t="shared" si="285"/>
        <v>-16.78951331946072</v>
      </c>
      <c r="AH426" s="730">
        <f t="shared" si="286"/>
        <v>159.79484251273968</v>
      </c>
      <c r="AI426" s="360">
        <f t="shared" si="257"/>
        <v>-20.205157487260323</v>
      </c>
      <c r="AL426" s="337">
        <f t="shared" si="258"/>
        <v>6.9928234407687304</v>
      </c>
      <c r="AM426" s="730">
        <f t="shared" si="259"/>
        <v>-87.863606591769056</v>
      </c>
      <c r="AN426" s="351"/>
      <c r="AO426" s="337">
        <f t="shared" si="260"/>
        <v>29.746785724812675</v>
      </c>
      <c r="AP426" s="730">
        <f t="shared" si="261"/>
        <v>-112.34155089549132</v>
      </c>
      <c r="AS426" s="351"/>
      <c r="AT426" s="351"/>
      <c r="AV426" s="405">
        <f t="shared" si="262"/>
        <v>0</v>
      </c>
      <c r="AW426" s="405">
        <f t="shared" si="287"/>
        <v>0</v>
      </c>
      <c r="AX426" s="405">
        <f t="shared" si="263"/>
        <v>0</v>
      </c>
      <c r="AY426" s="405">
        <f t="shared" si="264"/>
        <v>0</v>
      </c>
    </row>
    <row r="427" spans="2:51" ht="13.5" thickBot="1" x14ac:dyDescent="0.25">
      <c r="B427" s="345">
        <v>42172.5</v>
      </c>
      <c r="C427" s="728" t="str">
        <f t="shared" si="247"/>
        <v>2.2271548443541</v>
      </c>
      <c r="D427" s="728" t="str">
        <f t="shared" si="248"/>
        <v>1+32.2389452713221i</v>
      </c>
      <c r="E427" s="337">
        <f t="shared" si="266"/>
        <v>32.254450734856761</v>
      </c>
      <c r="F427" s="338">
        <f t="shared" si="267"/>
        <v>1.5397878845766357</v>
      </c>
      <c r="G427" s="338" t="str">
        <f t="shared" si="249"/>
        <v>1+0.132488816183516i</v>
      </c>
      <c r="H427" s="337">
        <f t="shared" si="268"/>
        <v>1.0087384628404479</v>
      </c>
      <c r="I427" s="338">
        <f t="shared" si="269"/>
        <v>0.13172167491696452</v>
      </c>
      <c r="J427" s="340">
        <f t="shared" si="250"/>
        <v>1</v>
      </c>
      <c r="K427" s="338">
        <f t="shared" si="270"/>
        <v>1</v>
      </c>
      <c r="L427" s="339">
        <f t="shared" si="271"/>
        <v>0</v>
      </c>
      <c r="M427" s="731" t="str">
        <f t="shared" si="251"/>
        <v>0.9209546775+0.571144927677406i</v>
      </c>
      <c r="N427" s="338">
        <f t="shared" si="272"/>
        <v>1.0836807862192439</v>
      </c>
      <c r="O427" s="339">
        <f t="shared" si="273"/>
        <v>0.55511574293211285</v>
      </c>
      <c r="P427" s="732" t="str">
        <f t="shared" si="265"/>
        <v>-0.0245781297194044-0.0593895012426345i</v>
      </c>
      <c r="Q427" s="337">
        <f t="shared" si="274"/>
        <v>6.4274390843887086E-2</v>
      </c>
      <c r="R427" s="339">
        <f t="shared" si="275"/>
        <v>-1.9631819525917842</v>
      </c>
      <c r="S427" s="731" t="str">
        <f t="shared" si="252"/>
        <v>6000</v>
      </c>
      <c r="T427" s="337" t="str">
        <f t="shared" si="253"/>
        <v>1+267627.408690701i</v>
      </c>
      <c r="U427" s="346">
        <f t="shared" si="276"/>
        <v>267627.4086925693</v>
      </c>
      <c r="V427" s="347">
        <f t="shared" si="277"/>
        <v>1.5707925902568309</v>
      </c>
      <c r="W427" s="340" t="str">
        <f t="shared" si="254"/>
        <v>1+2649.77632367031i</v>
      </c>
      <c r="X427" s="337">
        <f t="shared" si="278"/>
        <v>2649.7765123654758</v>
      </c>
      <c r="Y427" s="339">
        <f t="shared" si="279"/>
        <v>1.5704189364681764</v>
      </c>
      <c r="Z427" s="337" t="str">
        <f t="shared" si="255"/>
        <v>1+26.6924055443954i</v>
      </c>
      <c r="AA427" s="346">
        <f t="shared" si="280"/>
        <v>26.711130896060361</v>
      </c>
      <c r="AB427" s="347">
        <f t="shared" si="281"/>
        <v>1.5333499997674764</v>
      </c>
      <c r="AC427" s="732" t="str">
        <f t="shared" si="282"/>
        <v>0.0824312811127992-2.22248644084249i</v>
      </c>
      <c r="AD427" s="337">
        <f t="shared" si="283"/>
        <v>2.2240145898430197</v>
      </c>
      <c r="AE427" s="339">
        <f t="shared" si="284"/>
        <v>-1.5337236535561309</v>
      </c>
      <c r="AF427" s="736" t="str">
        <f t="shared" si="256"/>
        <v>-0.13401836796028+0.0497290073705636i</v>
      </c>
      <c r="AG427" s="337">
        <f t="shared" si="285"/>
        <v>-16.896487974209332</v>
      </c>
      <c r="AH427" s="730">
        <f t="shared" si="286"/>
        <v>159.64206741208747</v>
      </c>
      <c r="AI427" s="360">
        <f t="shared" si="257"/>
        <v>-20.357932587912529</v>
      </c>
      <c r="AL427" s="337">
        <f t="shared" si="258"/>
        <v>6.9427526390235252</v>
      </c>
      <c r="AM427" s="730">
        <f t="shared" si="259"/>
        <v>-87.875892288151135</v>
      </c>
      <c r="AN427" s="351"/>
      <c r="AO427" s="337">
        <f t="shared" si="260"/>
        <v>29.689881871809295</v>
      </c>
      <c r="AP427" s="730">
        <f t="shared" si="261"/>
        <v>-112.48204029976125</v>
      </c>
      <c r="AS427" s="351"/>
      <c r="AT427" s="351"/>
      <c r="AV427" s="405">
        <f t="shared" si="262"/>
        <v>0</v>
      </c>
      <c r="AW427" s="405">
        <f t="shared" si="287"/>
        <v>0</v>
      </c>
      <c r="AX427" s="405">
        <f t="shared" si="263"/>
        <v>0</v>
      </c>
      <c r="AY427" s="405">
        <f t="shared" si="264"/>
        <v>0</v>
      </c>
    </row>
    <row r="428" spans="2:51" ht="13.5" thickBot="1" x14ac:dyDescent="0.25">
      <c r="B428" s="345">
        <v>42415.25</v>
      </c>
      <c r="C428" s="728" t="str">
        <f t="shared" si="247"/>
        <v>2.2271548443541</v>
      </c>
      <c r="D428" s="728" t="str">
        <f t="shared" si="248"/>
        <v>1+32.4245165313758i</v>
      </c>
      <c r="E428" s="337">
        <f t="shared" si="266"/>
        <v>32.439933296686398</v>
      </c>
      <c r="F428" s="338">
        <f t="shared" si="267"/>
        <v>1.5399652386288594</v>
      </c>
      <c r="G428" s="338" t="str">
        <f t="shared" si="249"/>
        <v>1+0.133251437800174i</v>
      </c>
      <c r="H428" s="337">
        <f t="shared" si="268"/>
        <v>1.0088389096757786</v>
      </c>
      <c r="I428" s="338">
        <f t="shared" si="269"/>
        <v>0.13247106639005818</v>
      </c>
      <c r="J428" s="340">
        <f t="shared" si="250"/>
        <v>1</v>
      </c>
      <c r="K428" s="338">
        <f t="shared" si="270"/>
        <v>1</v>
      </c>
      <c r="L428" s="339">
        <f t="shared" si="271"/>
        <v>0</v>
      </c>
      <c r="M428" s="731" t="str">
        <f t="shared" si="251"/>
        <v>0.920042069663889+0.574432506815321i</v>
      </c>
      <c r="N428" s="338">
        <f t="shared" si="272"/>
        <v>1.0846428512821842</v>
      </c>
      <c r="O428" s="339">
        <f t="shared" si="273"/>
        <v>0.55813507944056373</v>
      </c>
      <c r="P428" s="732" t="str">
        <f t="shared" si="265"/>
        <v>-0.0245626799419105-0.058943491068734i</v>
      </c>
      <c r="Q428" s="337">
        <f t="shared" si="274"/>
        <v>6.3856561019981786E-2</v>
      </c>
      <c r="R428" s="339">
        <f t="shared" si="275"/>
        <v>-1.9656292516793645</v>
      </c>
      <c r="S428" s="731" t="str">
        <f t="shared" si="252"/>
        <v>6000</v>
      </c>
      <c r="T428" s="337" t="str">
        <f t="shared" si="253"/>
        <v>1+269167.904356353i</v>
      </c>
      <c r="U428" s="346">
        <f t="shared" si="276"/>
        <v>269167.90435821057</v>
      </c>
      <c r="V428" s="347">
        <f t="shared" si="277"/>
        <v>1.570792611641701</v>
      </c>
      <c r="W428" s="340" t="str">
        <f t="shared" si="254"/>
        <v>1+2665.02875600349i</v>
      </c>
      <c r="X428" s="337">
        <f t="shared" si="278"/>
        <v>2665.0289436187195</v>
      </c>
      <c r="Y428" s="339">
        <f t="shared" si="279"/>
        <v>1.57042109633976</v>
      </c>
      <c r="Z428" s="337" t="str">
        <f t="shared" si="255"/>
        <v>1+26.8460502523426i</v>
      </c>
      <c r="AA428" s="346">
        <f t="shared" si="280"/>
        <v>26.864668509983591</v>
      </c>
      <c r="AB428" s="347">
        <f t="shared" si="281"/>
        <v>1.5335641131674997</v>
      </c>
      <c r="AC428" s="732" t="str">
        <f t="shared" si="282"/>
        <v>0.0814917470610132-2.20980175375392i</v>
      </c>
      <c r="AD428" s="337">
        <f t="shared" si="283"/>
        <v>2.2113038451856757</v>
      </c>
      <c r="AE428" s="339">
        <f t="shared" si="284"/>
        <v>-1.533935628469441</v>
      </c>
      <c r="AF428" s="736" t="str">
        <f t="shared" si="256"/>
        <v>-0.132255085637034+0.0494752451474637i</v>
      </c>
      <c r="AG428" s="337">
        <f t="shared" si="285"/>
        <v>-17.002921057775712</v>
      </c>
      <c r="AH428" s="730">
        <f t="shared" si="286"/>
        <v>159.48970223526771</v>
      </c>
      <c r="AI428" s="360">
        <f t="shared" si="257"/>
        <v>-20.510297764732286</v>
      </c>
      <c r="AL428" s="337">
        <f t="shared" si="258"/>
        <v>6.892968422096061</v>
      </c>
      <c r="AM428" s="730">
        <f t="shared" si="259"/>
        <v>-87.888037556046456</v>
      </c>
      <c r="AN428" s="351"/>
      <c r="AO428" s="337">
        <f t="shared" si="260"/>
        <v>29.633233005170332</v>
      </c>
      <c r="AP428" s="730">
        <f t="shared" si="261"/>
        <v>-112.62226020868583</v>
      </c>
      <c r="AS428" s="351"/>
      <c r="AT428" s="351"/>
      <c r="AV428" s="405">
        <f t="shared" si="262"/>
        <v>0</v>
      </c>
      <c r="AW428" s="405">
        <f t="shared" si="287"/>
        <v>0</v>
      </c>
      <c r="AX428" s="405">
        <f t="shared" si="263"/>
        <v>0</v>
      </c>
      <c r="AY428" s="405">
        <f t="shared" si="264"/>
        <v>0</v>
      </c>
    </row>
    <row r="429" spans="2:51" ht="13.5" thickBot="1" x14ac:dyDescent="0.25">
      <c r="B429" s="345">
        <v>42658</v>
      </c>
      <c r="C429" s="728" t="str">
        <f t="shared" si="247"/>
        <v>2.2271548443541</v>
      </c>
      <c r="D429" s="728" t="str">
        <f t="shared" si="248"/>
        <v>1+32.6100877914295i</v>
      </c>
      <c r="E429" s="337">
        <f t="shared" si="266"/>
        <v>32.625416867294419</v>
      </c>
      <c r="F429" s="338">
        <f t="shared" si="267"/>
        <v>1.5401405760831719</v>
      </c>
      <c r="G429" s="338" t="str">
        <f t="shared" si="249"/>
        <v>1+0.134014059416834i</v>
      </c>
      <c r="H429" s="337">
        <f t="shared" si="268"/>
        <v>1.0089399229495177</v>
      </c>
      <c r="I429" s="338">
        <f t="shared" si="269"/>
        <v>0.13322030822836115</v>
      </c>
      <c r="J429" s="340">
        <f t="shared" si="250"/>
        <v>1</v>
      </c>
      <c r="K429" s="338">
        <f t="shared" si="270"/>
        <v>1</v>
      </c>
      <c r="L429" s="339">
        <f t="shared" si="271"/>
        <v>0</v>
      </c>
      <c r="M429" s="731" t="str">
        <f t="shared" si="251"/>
        <v>0.919124223822222+0.577720085953235i</v>
      </c>
      <c r="N429" s="338">
        <f t="shared" si="272"/>
        <v>1.0856103520741756</v>
      </c>
      <c r="O429" s="339">
        <f t="shared" si="273"/>
        <v>0.56115160468378344</v>
      </c>
      <c r="P429" s="732" t="str">
        <f t="shared" si="265"/>
        <v>-0.0245466842181478-0.0585022301447398i</v>
      </c>
      <c r="Q429" s="337">
        <f t="shared" si="274"/>
        <v>6.3443286784446842E-2</v>
      </c>
      <c r="R429" s="339">
        <f t="shared" si="275"/>
        <v>-1.9680718725385948</v>
      </c>
      <c r="S429" s="731" t="str">
        <f t="shared" si="252"/>
        <v>6000</v>
      </c>
      <c r="T429" s="337" t="str">
        <f t="shared" si="253"/>
        <v>1+270708.400022004i</v>
      </c>
      <c r="U429" s="346">
        <f t="shared" si="276"/>
        <v>270708.40002385102</v>
      </c>
      <c r="V429" s="347">
        <f t="shared" si="277"/>
        <v>1.5707926327831854</v>
      </c>
      <c r="W429" s="340" t="str">
        <f t="shared" si="254"/>
        <v>1+2680.28118833667i</v>
      </c>
      <c r="X429" s="337">
        <f t="shared" si="278"/>
        <v>2680.281374884255</v>
      </c>
      <c r="Y429" s="339">
        <f t="shared" si="279"/>
        <v>1.5704232316293776</v>
      </c>
      <c r="Z429" s="337" t="str">
        <f t="shared" si="255"/>
        <v>1+26.9996949602898i</v>
      </c>
      <c r="AA429" s="346">
        <f t="shared" si="280"/>
        <v>27.018207341507662</v>
      </c>
      <c r="AB429" s="347">
        <f t="shared" si="281"/>
        <v>1.5337757930536353</v>
      </c>
      <c r="AC429" s="732" t="str">
        <f t="shared" si="282"/>
        <v>0.080568177593892-2.19726084256814i</v>
      </c>
      <c r="AD429" s="337">
        <f t="shared" si="283"/>
        <v>2.1987374653477971</v>
      </c>
      <c r="AE429" s="339">
        <f t="shared" si="284"/>
        <v>-1.5341451942074433</v>
      </c>
      <c r="AF429" s="736" t="str">
        <f t="shared" si="256"/>
        <v>-0.130522341113375+0.0492220499794814i</v>
      </c>
      <c r="AG429" s="337">
        <f t="shared" si="285"/>
        <v>-17.108818982690238</v>
      </c>
      <c r="AH429" s="730">
        <f t="shared" si="286"/>
        <v>159.33774313676503</v>
      </c>
      <c r="AI429" s="360">
        <f t="shared" si="257"/>
        <v>-20.662256863234973</v>
      </c>
      <c r="AL429" s="337">
        <f t="shared" si="258"/>
        <v>6.8434675325776535</v>
      </c>
      <c r="AM429" s="730">
        <f t="shared" si="259"/>
        <v>-87.900044788364539</v>
      </c>
      <c r="AN429" s="351"/>
      <c r="AO429" s="337">
        <f t="shared" si="260"/>
        <v>29.576835969774265</v>
      </c>
      <c r="AP429" s="730">
        <f t="shared" si="261"/>
        <v>-112.76221207487042</v>
      </c>
      <c r="AS429" s="351"/>
      <c r="AT429" s="351"/>
      <c r="AV429" s="405">
        <f t="shared" si="262"/>
        <v>0</v>
      </c>
      <c r="AW429" s="405">
        <f t="shared" si="287"/>
        <v>0</v>
      </c>
      <c r="AX429" s="405">
        <f t="shared" si="263"/>
        <v>0</v>
      </c>
      <c r="AY429" s="405">
        <f t="shared" si="264"/>
        <v>0</v>
      </c>
    </row>
    <row r="430" spans="2:51" ht="13.5" thickBot="1" x14ac:dyDescent="0.25">
      <c r="B430" s="345">
        <v>42906.5</v>
      </c>
      <c r="C430" s="728" t="str">
        <f t="shared" si="247"/>
        <v>2.2271548443541</v>
      </c>
      <c r="D430" s="728" t="str">
        <f t="shared" si="248"/>
        <v>1+32.8000546632043i</v>
      </c>
      <c r="E430" s="337">
        <f t="shared" si="266"/>
        <v>32.815294999575883</v>
      </c>
      <c r="F430" s="338">
        <f t="shared" si="267"/>
        <v>1.5403180136163719</v>
      </c>
      <c r="G430" s="338" t="str">
        <f t="shared" si="249"/>
        <v>1+0.13479474519125i</v>
      </c>
      <c r="H430" s="337">
        <f t="shared" si="268"/>
        <v>1.0090439154621438</v>
      </c>
      <c r="I430" s="338">
        <f t="shared" si="269"/>
        <v>0.13398714147417667</v>
      </c>
      <c r="J430" s="340">
        <f t="shared" si="250"/>
        <v>1</v>
      </c>
      <c r="K430" s="338">
        <f t="shared" si="270"/>
        <v>1</v>
      </c>
      <c r="L430" s="339">
        <f t="shared" si="271"/>
        <v>0</v>
      </c>
      <c r="M430" s="731" t="str">
        <f t="shared" si="251"/>
        <v>0.918179211455555+0.581085537717485i</v>
      </c>
      <c r="N430" s="338">
        <f t="shared" si="272"/>
        <v>1.0866063990670971</v>
      </c>
      <c r="O430" s="339">
        <f t="shared" si="273"/>
        <v>0.56423665938265899</v>
      </c>
      <c r="P430" s="732" t="str">
        <f t="shared" si="265"/>
        <v>-0.0245297554830067-0.0580553566742528i</v>
      </c>
      <c r="Q430" s="337">
        <f t="shared" si="274"/>
        <v>6.3024862892598246E-2</v>
      </c>
      <c r="R430" s="339">
        <f t="shared" si="275"/>
        <v>-1.9705675315248539</v>
      </c>
      <c r="S430" s="731" t="str">
        <f t="shared" si="252"/>
        <v>6000</v>
      </c>
      <c r="T430" s="337" t="str">
        <f t="shared" si="253"/>
        <v>1+272285.385286326i</v>
      </c>
      <c r="U430" s="346">
        <f t="shared" si="276"/>
        <v>272285.38528816227</v>
      </c>
      <c r="V430" s="347">
        <f t="shared" si="277"/>
        <v>1.5707926541776573</v>
      </c>
      <c r="W430" s="340" t="str">
        <f t="shared" si="254"/>
        <v>1+2695.89490382501i</v>
      </c>
      <c r="X430" s="337">
        <f t="shared" si="278"/>
        <v>2695.8950892921739</v>
      </c>
      <c r="Y430" s="339">
        <f t="shared" si="279"/>
        <v>1.5704253924707443</v>
      </c>
      <c r="Z430" s="337" t="str">
        <f t="shared" si="255"/>
        <v>1+27.1569790382501i</v>
      </c>
      <c r="AA430" s="346">
        <f t="shared" si="280"/>
        <v>27.175384274816711</v>
      </c>
      <c r="AB430" s="347">
        <f t="shared" si="281"/>
        <v>1.5339900093665153</v>
      </c>
      <c r="AC430" s="732" t="str">
        <f t="shared" si="282"/>
        <v>0.0796388926556274-2.18456926663202i</v>
      </c>
      <c r="AD430" s="337">
        <f t="shared" si="283"/>
        <v>2.1860204102287275</v>
      </c>
      <c r="AE430" s="339">
        <f t="shared" si="284"/>
        <v>-1.5343572710734281</v>
      </c>
      <c r="AF430" s="736" t="str">
        <f t="shared" si="256"/>
        <v>-0.128779470517713+0.0489634856279097i</v>
      </c>
      <c r="AG430" s="337">
        <f t="shared" si="285"/>
        <v>-17.216677558477787</v>
      </c>
      <c r="AH430" s="730">
        <f t="shared" si="286"/>
        <v>159.18260130039531</v>
      </c>
      <c r="AI430" s="360">
        <f t="shared" si="257"/>
        <v>-20.817398699604695</v>
      </c>
      <c r="AL430" s="337">
        <f t="shared" si="258"/>
        <v>6.7930842502455926</v>
      </c>
      <c r="AM430" s="730">
        <f t="shared" si="259"/>
        <v>-87.912195897717822</v>
      </c>
      <c r="AN430" s="351"/>
      <c r="AO430" s="337">
        <f t="shared" si="260"/>
        <v>29.51936067631873</v>
      </c>
      <c r="AP430" s="730">
        <f t="shared" si="261"/>
        <v>-112.90520280188699</v>
      </c>
      <c r="AS430" s="351"/>
      <c r="AT430" s="351"/>
      <c r="AV430" s="405">
        <f t="shared" si="262"/>
        <v>0</v>
      </c>
      <c r="AW430" s="405">
        <f t="shared" si="287"/>
        <v>0</v>
      </c>
      <c r="AX430" s="405">
        <f t="shared" si="263"/>
        <v>0</v>
      </c>
      <c r="AY430" s="405">
        <f t="shared" si="264"/>
        <v>0</v>
      </c>
    </row>
    <row r="431" spans="2:51" ht="13.5" thickBot="1" x14ac:dyDescent="0.25">
      <c r="B431" s="345">
        <v>43155</v>
      </c>
      <c r="C431" s="728" t="str">
        <f t="shared" si="247"/>
        <v>2.2271548443541</v>
      </c>
      <c r="D431" s="728" t="str">
        <f t="shared" si="248"/>
        <v>1+32.9900215349791i</v>
      </c>
      <c r="E431" s="337">
        <f t="shared" si="266"/>
        <v>33.005174153129154</v>
      </c>
      <c r="F431" s="338">
        <f t="shared" si="267"/>
        <v>1.540493409554627</v>
      </c>
      <c r="G431" s="338" t="str">
        <f t="shared" si="249"/>
        <v>1+0.135575430965668i</v>
      </c>
      <c r="H431" s="337">
        <f t="shared" si="268"/>
        <v>1.009148501203627</v>
      </c>
      <c r="I431" s="338">
        <f t="shared" si="269"/>
        <v>0.13475381622521287</v>
      </c>
      <c r="J431" s="340">
        <f t="shared" si="250"/>
        <v>1</v>
      </c>
      <c r="K431" s="338">
        <f t="shared" si="270"/>
        <v>1</v>
      </c>
      <c r="L431" s="339">
        <f t="shared" si="271"/>
        <v>0</v>
      </c>
      <c r="M431" s="731" t="str">
        <f t="shared" si="251"/>
        <v>0.91722871+0.584450989481735i</v>
      </c>
      <c r="N431" s="338">
        <f t="shared" si="272"/>
        <v>1.0876081397058608</v>
      </c>
      <c r="O431" s="339">
        <f t="shared" si="273"/>
        <v>0.56731874620709022</v>
      </c>
      <c r="P431" s="732" t="str">
        <f t="shared" si="265"/>
        <v>-0.0245122774513127-0.0576132999298026i</v>
      </c>
      <c r="Q431" s="337">
        <f t="shared" si="274"/>
        <v>6.2611053933403216E-2</v>
      </c>
      <c r="R431" s="339">
        <f t="shared" si="275"/>
        <v>-1.9730583395365053</v>
      </c>
      <c r="S431" s="731" t="str">
        <f t="shared" si="252"/>
        <v>6000</v>
      </c>
      <c r="T431" s="337" t="str">
        <f t="shared" si="253"/>
        <v>1+273862.370550648i</v>
      </c>
      <c r="U431" s="346">
        <f t="shared" si="276"/>
        <v>273862.37055247376</v>
      </c>
      <c r="V431" s="347">
        <f t="shared" si="277"/>
        <v>1.5707926753257371</v>
      </c>
      <c r="W431" s="340" t="str">
        <f t="shared" si="254"/>
        <v>1+2711.50861931335i</v>
      </c>
      <c r="X431" s="337">
        <f t="shared" si="278"/>
        <v>2711.5088037125365</v>
      </c>
      <c r="Y431" s="339">
        <f t="shared" si="279"/>
        <v>1.5704275284265123</v>
      </c>
      <c r="Z431" s="337" t="str">
        <f t="shared" si="255"/>
        <v>1+27.3142631162104i</v>
      </c>
      <c r="AA431" s="346">
        <f t="shared" si="280"/>
        <v>27.332562440824535</v>
      </c>
      <c r="AB431" s="347">
        <f t="shared" si="281"/>
        <v>1.5342017619516906</v>
      </c>
      <c r="AC431" s="732" t="str">
        <f t="shared" si="282"/>
        <v>0.0787255861416264-2.17202326984673i</v>
      </c>
      <c r="AD431" s="337">
        <f t="shared" si="283"/>
        <v>2.1734495169359294</v>
      </c>
      <c r="AE431" s="339">
        <f t="shared" si="284"/>
        <v>-1.5345669088509155</v>
      </c>
      <c r="AF431" s="736" t="str">
        <f t="shared" si="256"/>
        <v>-0.127067171510211+0.0487055962146635i</v>
      </c>
      <c r="AG431" s="337">
        <f t="shared" si="285"/>
        <v>-17.323988568960026</v>
      </c>
      <c r="AH431" s="730">
        <f t="shared" si="286"/>
        <v>159.0278771538737</v>
      </c>
      <c r="AI431" s="360">
        <f t="shared" si="257"/>
        <v>-20.972122846126297</v>
      </c>
      <c r="AL431" s="337">
        <f t="shared" si="258"/>
        <v>6.7429911443141988</v>
      </c>
      <c r="AM431" s="730">
        <f t="shared" si="259"/>
        <v>-87.924207257594347</v>
      </c>
      <c r="AN431" s="351"/>
      <c r="AO431" s="337">
        <f t="shared" si="260"/>
        <v>29.462142771767915</v>
      </c>
      <c r="AP431" s="730">
        <f t="shared" si="261"/>
        <v>-113.04791558853181</v>
      </c>
      <c r="AS431" s="351"/>
      <c r="AT431" s="351"/>
      <c r="AV431" s="405">
        <f t="shared" si="262"/>
        <v>0</v>
      </c>
      <c r="AW431" s="405">
        <f t="shared" si="287"/>
        <v>0</v>
      </c>
      <c r="AX431" s="405">
        <f t="shared" si="263"/>
        <v>0</v>
      </c>
      <c r="AY431" s="405">
        <f t="shared" si="264"/>
        <v>0</v>
      </c>
    </row>
    <row r="432" spans="2:51" ht="13.5" thickBot="1" x14ac:dyDescent="0.25">
      <c r="B432" s="345">
        <v>43403.5</v>
      </c>
      <c r="C432" s="728" t="str">
        <f t="shared" si="247"/>
        <v>2.2271548443541</v>
      </c>
      <c r="D432" s="728" t="str">
        <f t="shared" si="248"/>
        <v>1+33.1799884067539i</v>
      </c>
      <c r="E432" s="337">
        <f t="shared" si="266"/>
        <v>33.19505431042888</v>
      </c>
      <c r="F432" s="338">
        <f t="shared" si="267"/>
        <v>1.5406667989216414</v>
      </c>
      <c r="G432" s="338" t="str">
        <f t="shared" si="249"/>
        <v>1+0.136356116740084i</v>
      </c>
      <c r="H432" s="337">
        <f t="shared" si="268"/>
        <v>1.0092536799895433</v>
      </c>
      <c r="I432" s="338">
        <f t="shared" si="269"/>
        <v>0.13552033162959179</v>
      </c>
      <c r="J432" s="340">
        <f t="shared" si="250"/>
        <v>1</v>
      </c>
      <c r="K432" s="338">
        <f t="shared" si="270"/>
        <v>1</v>
      </c>
      <c r="L432" s="339">
        <f t="shared" si="271"/>
        <v>0</v>
      </c>
      <c r="M432" s="731" t="str">
        <f t="shared" si="251"/>
        <v>0.916272719455556+0.587816441245985i</v>
      </c>
      <c r="N432" s="338">
        <f t="shared" si="272"/>
        <v>1.088615572650683</v>
      </c>
      <c r="O432" s="339">
        <f t="shared" si="273"/>
        <v>0.57039785423327494</v>
      </c>
      <c r="P432" s="732" t="str">
        <f t="shared" si="265"/>
        <v>-0.0244942612408852-0.0571759816177925i</v>
      </c>
      <c r="Q432" s="337">
        <f t="shared" si="274"/>
        <v>6.2201782190664578E-2</v>
      </c>
      <c r="R432" s="339">
        <f t="shared" si="275"/>
        <v>-1.9755443215253259</v>
      </c>
      <c r="S432" s="731" t="str">
        <f t="shared" si="252"/>
        <v>6000</v>
      </c>
      <c r="T432" s="337" t="str">
        <f t="shared" si="253"/>
        <v>1+275439.355814971i</v>
      </c>
      <c r="U432" s="346">
        <f t="shared" si="276"/>
        <v>275439.35581678624</v>
      </c>
      <c r="V432" s="347">
        <f t="shared" si="277"/>
        <v>1.570792696231657</v>
      </c>
      <c r="W432" s="340" t="str">
        <f t="shared" si="254"/>
        <v>1+2727.12233480169i</v>
      </c>
      <c r="X432" s="337">
        <f t="shared" si="278"/>
        <v>2727.1225181451273</v>
      </c>
      <c r="Y432" s="339">
        <f t="shared" si="279"/>
        <v>1.5704296399241175</v>
      </c>
      <c r="Z432" s="337" t="str">
        <f t="shared" si="255"/>
        <v>1+27.4715471941707i</v>
      </c>
      <c r="AA432" s="346">
        <f t="shared" si="280"/>
        <v>27.489741818386513</v>
      </c>
      <c r="AB432" s="347">
        <f t="shared" si="281"/>
        <v>1.5344110930509189</v>
      </c>
      <c r="AC432" s="732" t="str">
        <f t="shared" si="282"/>
        <v>0.0778278939830514-2.15962036499234i</v>
      </c>
      <c r="AD432" s="337">
        <f t="shared" si="283"/>
        <v>2.1610222816925058</v>
      </c>
      <c r="AE432" s="339">
        <f t="shared" si="284"/>
        <v>-1.5347741493584584</v>
      </c>
      <c r="AF432" s="736" t="str">
        <f t="shared" si="256"/>
        <v>-0.125384751057261+0.0484484191655318i</v>
      </c>
      <c r="AG432" s="337">
        <f t="shared" si="285"/>
        <v>-17.430758540685073</v>
      </c>
      <c r="AH432" s="730">
        <f t="shared" si="286"/>
        <v>158.87356687154238</v>
      </c>
      <c r="AI432" s="360">
        <f t="shared" si="257"/>
        <v>-21.12643312845762</v>
      </c>
      <c r="AL432" s="337">
        <f t="shared" si="258"/>
        <v>6.6931848958898623</v>
      </c>
      <c r="AM432" s="730">
        <f t="shared" si="259"/>
        <v>-87.9360812640207</v>
      </c>
      <c r="AN432" s="351"/>
      <c r="AO432" s="337">
        <f t="shared" si="260"/>
        <v>29.405179048467215</v>
      </c>
      <c r="AP432" s="730">
        <f t="shared" si="261"/>
        <v>-113.19035186443688</v>
      </c>
      <c r="AS432" s="351"/>
      <c r="AT432" s="351"/>
      <c r="AV432" s="405">
        <f t="shared" si="262"/>
        <v>0</v>
      </c>
      <c r="AW432" s="405">
        <f t="shared" si="287"/>
        <v>0</v>
      </c>
      <c r="AX432" s="405">
        <f t="shared" si="263"/>
        <v>0</v>
      </c>
      <c r="AY432" s="405">
        <f t="shared" si="264"/>
        <v>0</v>
      </c>
    </row>
    <row r="433" spans="2:51" ht="13.5" thickBot="1" x14ac:dyDescent="0.25">
      <c r="B433" s="345">
        <v>43652</v>
      </c>
      <c r="C433" s="728" t="str">
        <f t="shared" si="247"/>
        <v>2.2271548443541</v>
      </c>
      <c r="D433" s="728" t="str">
        <f t="shared" si="248"/>
        <v>1+33.3699552785287i</v>
      </c>
      <c r="E433" s="337">
        <f t="shared" si="266"/>
        <v>33.384935454348351</v>
      </c>
      <c r="F433" s="338">
        <f t="shared" si="267"/>
        <v>1.5408382159448011</v>
      </c>
      <c r="G433" s="338" t="str">
        <f t="shared" si="249"/>
        <v>1+0.137136802514501i</v>
      </c>
      <c r="H433" s="337">
        <f t="shared" si="268"/>
        <v>1.0093594516345012</v>
      </c>
      <c r="I433" s="338">
        <f t="shared" si="269"/>
        <v>0.13628668683654527</v>
      </c>
      <c r="J433" s="340">
        <f t="shared" si="250"/>
        <v>1</v>
      </c>
      <c r="K433" s="338">
        <f t="shared" si="270"/>
        <v>1</v>
      </c>
      <c r="L433" s="339">
        <f t="shared" si="271"/>
        <v>0</v>
      </c>
      <c r="M433" s="731" t="str">
        <f t="shared" si="251"/>
        <v>0.915311239822222+0.591181893010234i</v>
      </c>
      <c r="N433" s="338">
        <f t="shared" si="272"/>
        <v>1.0896286965604647</v>
      </c>
      <c r="O433" s="339">
        <f t="shared" si="273"/>
        <v>0.57347397262473798</v>
      </c>
      <c r="P433" s="732" t="str">
        <f t="shared" si="265"/>
        <v>-0.0244757176959337-0.0567433252141092i</v>
      </c>
      <c r="Q433" s="337">
        <f t="shared" si="274"/>
        <v>6.1796971714520151E-2</v>
      </c>
      <c r="R433" s="339">
        <f t="shared" si="275"/>
        <v>-1.9780255017329931</v>
      </c>
      <c r="S433" s="731" t="str">
        <f t="shared" si="252"/>
        <v>6000</v>
      </c>
      <c r="T433" s="337" t="str">
        <f t="shared" si="253"/>
        <v>1+277016.341079293i</v>
      </c>
      <c r="U433" s="346">
        <f t="shared" si="276"/>
        <v>277016.34108109795</v>
      </c>
      <c r="V433" s="347">
        <f t="shared" si="277"/>
        <v>1.5707927168995521</v>
      </c>
      <c r="W433" s="340" t="str">
        <f t="shared" si="254"/>
        <v>1+2742.73605029003i</v>
      </c>
      <c r="X433" s="337">
        <f t="shared" si="278"/>
        <v>2742.7362325897393</v>
      </c>
      <c r="Y433" s="339">
        <f t="shared" si="279"/>
        <v>1.5704317273812625</v>
      </c>
      <c r="Z433" s="337" t="str">
        <f t="shared" si="255"/>
        <v>1+27.6288312721311i</v>
      </c>
      <c r="AA433" s="346">
        <f t="shared" si="280"/>
        <v>27.646922386838824</v>
      </c>
      <c r="AB433" s="347">
        <f t="shared" si="281"/>
        <v>1.5346180439461927</v>
      </c>
      <c r="AC433" s="732" t="str">
        <f t="shared" si="282"/>
        <v>0.076945462416963-2.14735812111245i</v>
      </c>
      <c r="AD433" s="337">
        <f t="shared" si="283"/>
        <v>2.1487362575463167</v>
      </c>
      <c r="AE433" s="339">
        <f t="shared" si="284"/>
        <v>-1.5349790334644826</v>
      </c>
      <c r="AF433" s="736" t="str">
        <f t="shared" si="256"/>
        <v>-0.123731535633543+0.0481919897667432i</v>
      </c>
      <c r="AG433" s="337">
        <f t="shared" si="285"/>
        <v>-17.53699388663842</v>
      </c>
      <c r="AH433" s="730">
        <f t="shared" si="286"/>
        <v>158.7196667228672</v>
      </c>
      <c r="AI433" s="360">
        <f t="shared" si="257"/>
        <v>-21.280333277132797</v>
      </c>
      <c r="AL433" s="337">
        <f t="shared" si="258"/>
        <v>6.6436622426199161</v>
      </c>
      <c r="AM433" s="730">
        <f t="shared" si="259"/>
        <v>-87.94782025858521</v>
      </c>
      <c r="AN433" s="351"/>
      <c r="AO433" s="337">
        <f t="shared" si="260"/>
        <v>29.348466355783785</v>
      </c>
      <c r="AP433" s="730">
        <f t="shared" si="261"/>
        <v>-113.33251301854766</v>
      </c>
      <c r="AS433" s="351"/>
      <c r="AT433" s="351"/>
      <c r="AV433" s="405">
        <f t="shared" si="262"/>
        <v>0</v>
      </c>
      <c r="AW433" s="405">
        <f t="shared" si="287"/>
        <v>0</v>
      </c>
      <c r="AX433" s="405">
        <f t="shared" si="263"/>
        <v>0</v>
      </c>
      <c r="AY433" s="405">
        <f t="shared" si="264"/>
        <v>0</v>
      </c>
    </row>
    <row r="434" spans="2:51" ht="13.5" thickBot="1" x14ac:dyDescent="0.25">
      <c r="B434" s="345">
        <v>43906</v>
      </c>
      <c r="C434" s="728" t="str">
        <f t="shared" si="247"/>
        <v>2.2271548443541</v>
      </c>
      <c r="D434" s="728" t="str">
        <f t="shared" si="248"/>
        <v>1+33.5641266484716i</v>
      </c>
      <c r="E434" s="337">
        <f t="shared" si="266"/>
        <v>33.579020201230428</v>
      </c>
      <c r="F434" s="338">
        <f t="shared" si="267"/>
        <v>1.541011423422024</v>
      </c>
      <c r="G434" s="338" t="str">
        <f t="shared" si="249"/>
        <v>1+0.137934767048513i</v>
      </c>
      <c r="H434" s="337">
        <f t="shared" si="268"/>
        <v>1.0094681767944582</v>
      </c>
      <c r="I434" s="338">
        <f t="shared" si="269"/>
        <v>0.13706983718791632</v>
      </c>
      <c r="J434" s="340">
        <f t="shared" si="250"/>
        <v>1</v>
      </c>
      <c r="K434" s="338">
        <f t="shared" si="270"/>
        <v>1</v>
      </c>
      <c r="L434" s="339">
        <f t="shared" si="271"/>
        <v>0</v>
      </c>
      <c r="M434" s="731" t="str">
        <f t="shared" si="251"/>
        <v>0.914322807288889+0.594621831634459i</v>
      </c>
      <c r="N434" s="338">
        <f t="shared" si="272"/>
        <v>1.090670123632693</v>
      </c>
      <c r="O434" s="339">
        <f t="shared" si="273"/>
        <v>0.57661507330888806</v>
      </c>
      <c r="P434" s="732" t="str">
        <f t="shared" si="265"/>
        <v>-0.0244562297724013-0.0563058328687789i</v>
      </c>
      <c r="Q434" s="337">
        <f t="shared" si="274"/>
        <v>6.1387734847666034E-2</v>
      </c>
      <c r="R434" s="339">
        <f t="shared" si="275"/>
        <v>-1.9805566595429949</v>
      </c>
      <c r="S434" s="731" t="str">
        <f t="shared" si="252"/>
        <v>6000</v>
      </c>
      <c r="T434" s="337" t="str">
        <f t="shared" si="253"/>
        <v>1+278628.229437997i</v>
      </c>
      <c r="U434" s="346">
        <f t="shared" si="276"/>
        <v>278628.22943979152</v>
      </c>
      <c r="V434" s="347">
        <f t="shared" si="277"/>
        <v>1.5707927377831084</v>
      </c>
      <c r="W434" s="340" t="str">
        <f t="shared" si="254"/>
        <v>1+2758.69534097027i</v>
      </c>
      <c r="X434" s="337">
        <f t="shared" si="278"/>
        <v>2758.6955222153592</v>
      </c>
      <c r="Y434" s="339">
        <f t="shared" si="279"/>
        <v>1.5704338366201576</v>
      </c>
      <c r="Z434" s="337" t="str">
        <f t="shared" si="255"/>
        <v>1+27.7895964866258i</v>
      </c>
      <c r="AA434" s="346">
        <f t="shared" si="280"/>
        <v>27.807583010565391</v>
      </c>
      <c r="AB434" s="347">
        <f t="shared" si="281"/>
        <v>1.5348271574369343</v>
      </c>
      <c r="AC434" s="732" t="str">
        <f t="shared" si="282"/>
        <v>0.0760589132732682-2.13496737118369i</v>
      </c>
      <c r="AD434" s="337">
        <f t="shared" si="283"/>
        <v>2.1363217534602104</v>
      </c>
      <c r="AE434" s="339">
        <f t="shared" si="284"/>
        <v>-1.5351860585998849</v>
      </c>
      <c r="AF434" s="736" t="str">
        <f t="shared" si="256"/>
        <v>-0.122071230241415+0.0479306921273023i</v>
      </c>
      <c r="AG434" s="337">
        <f t="shared" si="285"/>
        <v>-17.645034572224539</v>
      </c>
      <c r="AH434" s="730">
        <f t="shared" si="286"/>
        <v>158.56278039656078</v>
      </c>
      <c r="AI434" s="360">
        <f t="shared" si="257"/>
        <v>-21.437219603439218</v>
      </c>
      <c r="AL434" s="337">
        <f t="shared" si="258"/>
        <v>6.5933332557905509</v>
      </c>
      <c r="AM434" s="730">
        <f t="shared" si="259"/>
        <v>-87.959681925096888</v>
      </c>
      <c r="AN434" s="351"/>
      <c r="AO434" s="337">
        <f t="shared" si="260"/>
        <v>29.290754657027072</v>
      </c>
      <c r="AP434" s="730">
        <f t="shared" si="261"/>
        <v>-113.47753767834223</v>
      </c>
      <c r="AS434" s="351"/>
      <c r="AT434" s="351"/>
      <c r="AV434" s="405">
        <f t="shared" si="262"/>
        <v>0</v>
      </c>
      <c r="AW434" s="405">
        <f t="shared" si="287"/>
        <v>0</v>
      </c>
      <c r="AX434" s="405">
        <f t="shared" si="263"/>
        <v>0</v>
      </c>
      <c r="AY434" s="405">
        <f t="shared" si="264"/>
        <v>0</v>
      </c>
    </row>
    <row r="435" spans="2:51" ht="13.5" thickBot="1" x14ac:dyDescent="0.25">
      <c r="B435" s="345">
        <v>44160</v>
      </c>
      <c r="C435" s="728" t="str">
        <f t="shared" si="247"/>
        <v>2.2271548443541</v>
      </c>
      <c r="D435" s="728" t="str">
        <f t="shared" si="248"/>
        <v>1+33.7582980184145i</v>
      </c>
      <c r="E435" s="337">
        <f t="shared" si="266"/>
        <v>33.773105943932499</v>
      </c>
      <c r="F435" s="338">
        <f t="shared" si="267"/>
        <v>1.5411826401426962</v>
      </c>
      <c r="G435" s="338" t="str">
        <f t="shared" si="249"/>
        <v>1+0.138732731582525i</v>
      </c>
      <c r="H435" s="337">
        <f t="shared" si="268"/>
        <v>1.0095775209523778</v>
      </c>
      <c r="I435" s="338">
        <f t="shared" si="269"/>
        <v>0.13785281837833213</v>
      </c>
      <c r="J435" s="340">
        <f t="shared" si="250"/>
        <v>1</v>
      </c>
      <c r="K435" s="338">
        <f t="shared" si="270"/>
        <v>1</v>
      </c>
      <c r="L435" s="339">
        <f t="shared" si="271"/>
        <v>0</v>
      </c>
      <c r="M435" s="731" t="str">
        <f t="shared" si="251"/>
        <v>0.91332864+0.598061770258683i</v>
      </c>
      <c r="N435" s="338">
        <f t="shared" si="272"/>
        <v>1.0917174935344762</v>
      </c>
      <c r="O435" s="339">
        <f t="shared" si="273"/>
        <v>0.57975302794142269</v>
      </c>
      <c r="P435" s="732" t="str">
        <f t="shared" si="265"/>
        <v>-0.0244362129871887-0.0558730548526707i</v>
      </c>
      <c r="Q435" s="337">
        <f t="shared" si="274"/>
        <v>6.0983003892271487E-2</v>
      </c>
      <c r="R435" s="339">
        <f t="shared" si="275"/>
        <v>-1.9830828497057875</v>
      </c>
      <c r="S435" s="731" t="str">
        <f t="shared" si="252"/>
        <v>6000</v>
      </c>
      <c r="T435" s="337" t="str">
        <f t="shared" si="253"/>
        <v>1+280240.117796702i</v>
      </c>
      <c r="U435" s="346">
        <f t="shared" si="276"/>
        <v>280240.11779848614</v>
      </c>
      <c r="V435" s="347">
        <f t="shared" si="277"/>
        <v>1.5707927584264281</v>
      </c>
      <c r="W435" s="340" t="str">
        <f t="shared" si="254"/>
        <v>1+2774.65463165051i</v>
      </c>
      <c r="X435" s="337">
        <f t="shared" si="278"/>
        <v>2774.6548118531118</v>
      </c>
      <c r="Y435" s="339">
        <f t="shared" si="279"/>
        <v>1.5704359215951662</v>
      </c>
      <c r="Z435" s="337" t="str">
        <f t="shared" si="255"/>
        <v>1+27.9503617011205i</v>
      </c>
      <c r="AA435" s="346">
        <f t="shared" si="280"/>
        <v>27.968244836304326</v>
      </c>
      <c r="AB435" s="347">
        <f t="shared" si="281"/>
        <v>1.5350338684580029</v>
      </c>
      <c r="AC435" s="732" t="str">
        <f t="shared" si="282"/>
        <v>0.0751875918067824-2.12271861496222i</v>
      </c>
      <c r="AD435" s="337">
        <f t="shared" si="283"/>
        <v>2.1240497857321587</v>
      </c>
      <c r="AE435" s="339">
        <f t="shared" si="284"/>
        <v>-1.5353907052892648</v>
      </c>
      <c r="AF435" s="736" t="str">
        <f t="shared" si="256"/>
        <v>-0.120440073617954+0.0476702437458265i</v>
      </c>
      <c r="AG435" s="337">
        <f t="shared" si="285"/>
        <v>-17.752529900868371</v>
      </c>
      <c r="AH435" s="730">
        <f t="shared" si="286"/>
        <v>158.40631497039257</v>
      </c>
      <c r="AI435" s="360">
        <f t="shared" si="257"/>
        <v>-21.593685029607428</v>
      </c>
      <c r="AL435" s="337">
        <f t="shared" si="258"/>
        <v>6.5432938396703264</v>
      </c>
      <c r="AM435" s="730">
        <f t="shared" si="259"/>
        <v>-87.971407316689678</v>
      </c>
      <c r="AN435" s="351"/>
      <c r="AO435" s="337">
        <f t="shared" si="260"/>
        <v>29.233298744503415</v>
      </c>
      <c r="AP435" s="730">
        <f t="shared" si="261"/>
        <v>-113.62227771291788</v>
      </c>
      <c r="AS435" s="351"/>
      <c r="AT435" s="351"/>
      <c r="AV435" s="405">
        <f t="shared" si="262"/>
        <v>0</v>
      </c>
      <c r="AW435" s="405">
        <f t="shared" si="287"/>
        <v>0</v>
      </c>
      <c r="AX435" s="405">
        <f t="shared" si="263"/>
        <v>0</v>
      </c>
      <c r="AY435" s="405">
        <f t="shared" si="264"/>
        <v>0</v>
      </c>
    </row>
    <row r="436" spans="2:51" ht="13.5" thickBot="1" x14ac:dyDescent="0.25">
      <c r="B436" s="345">
        <v>44414</v>
      </c>
      <c r="C436" s="728" t="str">
        <f t="shared" si="247"/>
        <v>2.2271548443541</v>
      </c>
      <c r="D436" s="728" t="str">
        <f t="shared" si="248"/>
        <v>1+33.9524693883573i</v>
      </c>
      <c r="E436" s="337">
        <f t="shared" si="266"/>
        <v>33.967192665384339</v>
      </c>
      <c r="F436" s="338">
        <f t="shared" si="267"/>
        <v>1.5413519002219214</v>
      </c>
      <c r="G436" s="338" t="str">
        <f t="shared" si="249"/>
        <v>1+0.139530696116537i</v>
      </c>
      <c r="H436" s="337">
        <f t="shared" si="268"/>
        <v>1.009687483907157</v>
      </c>
      <c r="I436" s="338">
        <f t="shared" si="269"/>
        <v>0.13863562950287905</v>
      </c>
      <c r="J436" s="340">
        <f t="shared" si="250"/>
        <v>1</v>
      </c>
      <c r="K436" s="338">
        <f t="shared" si="270"/>
        <v>1</v>
      </c>
      <c r="L436" s="339">
        <f t="shared" si="271"/>
        <v>0</v>
      </c>
      <c r="M436" s="731" t="str">
        <f t="shared" si="251"/>
        <v>0.912328737955556+0.601501708882905i</v>
      </c>
      <c r="N436" s="338">
        <f t="shared" si="272"/>
        <v>1.0927708048299207</v>
      </c>
      <c r="O436" s="339">
        <f t="shared" si="273"/>
        <v>0.58288782523308114</v>
      </c>
      <c r="P436" s="732" t="str">
        <f t="shared" si="265"/>
        <v>-0.0244156780921948-0.0554449148587145i</v>
      </c>
      <c r="Q436" s="337">
        <f t="shared" si="274"/>
        <v>6.0582703145301967E-2</v>
      </c>
      <c r="R436" s="339">
        <f t="shared" si="275"/>
        <v>-1.9856040959521228</v>
      </c>
      <c r="S436" s="731" t="str">
        <f t="shared" si="252"/>
        <v>6000</v>
      </c>
      <c r="T436" s="337" t="str">
        <f t="shared" si="253"/>
        <v>1+281852.006155405i</v>
      </c>
      <c r="U436" s="346">
        <f t="shared" si="276"/>
        <v>281852.00615717901</v>
      </c>
      <c r="V436" s="347">
        <f t="shared" si="277"/>
        <v>1.5707927788336327</v>
      </c>
      <c r="W436" s="340" t="str">
        <f t="shared" si="254"/>
        <v>1+2790.61392233074i</v>
      </c>
      <c r="X436" s="337">
        <f t="shared" si="278"/>
        <v>2790.6141015027779</v>
      </c>
      <c r="Y436" s="339">
        <f t="shared" si="279"/>
        <v>1.5704379827225783</v>
      </c>
      <c r="Z436" s="337" t="str">
        <f t="shared" si="255"/>
        <v>1+28.1111269156151i</v>
      </c>
      <c r="AA436" s="346">
        <f t="shared" si="280"/>
        <v>28.128907843459185</v>
      </c>
      <c r="AB436" s="347">
        <f t="shared" si="281"/>
        <v>1.5352382181579138</v>
      </c>
      <c r="AC436" s="732" t="str">
        <f t="shared" si="282"/>
        <v>0.0743311514082072-2.11060942862714i</v>
      </c>
      <c r="AD436" s="337">
        <f t="shared" si="283"/>
        <v>2.1119179151376724</v>
      </c>
      <c r="AE436" s="339">
        <f t="shared" si="284"/>
        <v>-1.5355930142689682</v>
      </c>
      <c r="AF436" s="736" t="str">
        <f t="shared" si="256"/>
        <v>-0.118837405535237+0.0474106760265332i</v>
      </c>
      <c r="AG436" s="337">
        <f t="shared" si="285"/>
        <v>-17.859486369472389</v>
      </c>
      <c r="AH436" s="730">
        <f t="shared" si="286"/>
        <v>158.25026675066974</v>
      </c>
      <c r="AI436" s="360">
        <f t="shared" si="257"/>
        <v>-21.749733249330262</v>
      </c>
      <c r="AL436" s="337">
        <f t="shared" si="258"/>
        <v>6.493540685421662</v>
      </c>
      <c r="AM436" s="730">
        <f t="shared" si="259"/>
        <v>-87.982998767384274</v>
      </c>
      <c r="AN436" s="351"/>
      <c r="AO436" s="337">
        <f t="shared" si="260"/>
        <v>29.176095430148074</v>
      </c>
      <c r="AP436" s="730">
        <f t="shared" si="261"/>
        <v>-113.766734481946</v>
      </c>
      <c r="AS436" s="351"/>
      <c r="AT436" s="351"/>
      <c r="AV436" s="405">
        <f t="shared" si="262"/>
        <v>0</v>
      </c>
      <c r="AW436" s="405">
        <f t="shared" si="287"/>
        <v>0</v>
      </c>
      <c r="AX436" s="405">
        <f t="shared" si="263"/>
        <v>0</v>
      </c>
      <c r="AY436" s="405">
        <f t="shared" si="264"/>
        <v>0</v>
      </c>
    </row>
    <row r="437" spans="2:51" ht="13.5" thickBot="1" x14ac:dyDescent="0.25">
      <c r="B437" s="345">
        <v>44668</v>
      </c>
      <c r="C437" s="728" t="str">
        <f t="shared" si="247"/>
        <v>2.2271548443541</v>
      </c>
      <c r="D437" s="728" t="str">
        <f t="shared" si="248"/>
        <v>1+34.1466407583003i</v>
      </c>
      <c r="E437" s="337">
        <f t="shared" si="266"/>
        <v>34.161280348904008</v>
      </c>
      <c r="F437" s="338">
        <f t="shared" si="267"/>
        <v>1.5415192369999564</v>
      </c>
      <c r="G437" s="338" t="str">
        <f t="shared" si="249"/>
        <v>1+0.140328660650549i</v>
      </c>
      <c r="H437" s="337">
        <f t="shared" si="268"/>
        <v>1.0097980654566421</v>
      </c>
      <c r="I437" s="338">
        <f t="shared" si="269"/>
        <v>0.13941826965787024</v>
      </c>
      <c r="J437" s="340">
        <f t="shared" si="250"/>
        <v>1</v>
      </c>
      <c r="K437" s="338">
        <f t="shared" si="270"/>
        <v>1</v>
      </c>
      <c r="L437" s="339">
        <f t="shared" si="271"/>
        <v>0</v>
      </c>
      <c r="M437" s="731" t="str">
        <f t="shared" si="251"/>
        <v>0.911323101155555+0.604941647507129i</v>
      </c>
      <c r="N437" s="338">
        <f t="shared" si="272"/>
        <v>1.0938300560820302</v>
      </c>
      <c r="O437" s="339">
        <f t="shared" si="273"/>
        <v>0.58601945398985622</v>
      </c>
      <c r="P437" s="732" t="str">
        <f t="shared" si="265"/>
        <v>-0.0243946355784476-0.0550213383011498i</v>
      </c>
      <c r="Q437" s="337">
        <f t="shared" si="274"/>
        <v>6.0186758622265378E-2</v>
      </c>
      <c r="R437" s="339">
        <f t="shared" si="275"/>
        <v>-1.9881204213319423</v>
      </c>
      <c r="S437" s="731" t="str">
        <f t="shared" si="252"/>
        <v>6000</v>
      </c>
      <c r="T437" s="337" t="str">
        <f t="shared" si="253"/>
        <v>1+283463.894514109i</v>
      </c>
      <c r="U437" s="346">
        <f t="shared" si="276"/>
        <v>283463.89451587287</v>
      </c>
      <c r="V437" s="347">
        <f t="shared" si="277"/>
        <v>1.5707927990087505</v>
      </c>
      <c r="W437" s="340" t="str">
        <f t="shared" si="254"/>
        <v>1+2806.57321301098i</v>
      </c>
      <c r="X437" s="337">
        <f t="shared" si="278"/>
        <v>2806.5733911641746</v>
      </c>
      <c r="Y437" s="339">
        <f t="shared" si="279"/>
        <v>1.5704400204092139</v>
      </c>
      <c r="Z437" s="337" t="str">
        <f t="shared" si="255"/>
        <v>1+28.2718921301098i</v>
      </c>
      <c r="AA437" s="346">
        <f t="shared" si="280"/>
        <v>28.289572011901566</v>
      </c>
      <c r="AB437" s="347">
        <f t="shared" si="281"/>
        <v>1.5354402467512072</v>
      </c>
      <c r="AC437" s="732" t="str">
        <f t="shared" si="282"/>
        <v>0.0734892552701454-2.09863744314205i</v>
      </c>
      <c r="AD437" s="337">
        <f t="shared" si="283"/>
        <v>2.0999237577583525</v>
      </c>
      <c r="AE437" s="339">
        <f t="shared" si="284"/>
        <v>-1.5357930253507437</v>
      </c>
      <c r="AF437" s="736" t="str">
        <f t="shared" si="256"/>
        <v>-0.117262584331825+0.0471520184610171i</v>
      </c>
      <c r="AG437" s="337">
        <f t="shared" si="285"/>
        <v>-17.965910361832652</v>
      </c>
      <c r="AH437" s="730">
        <f t="shared" si="286"/>
        <v>158.09463213568276</v>
      </c>
      <c r="AI437" s="360">
        <f t="shared" si="257"/>
        <v>-21.905367864317242</v>
      </c>
      <c r="AL437" s="337">
        <f t="shared" si="258"/>
        <v>6.4440705405267495</v>
      </c>
      <c r="AM437" s="730">
        <f t="shared" si="259"/>
        <v>-87.994458558225858</v>
      </c>
      <c r="AN437" s="351"/>
      <c r="AO437" s="337">
        <f t="shared" si="260"/>
        <v>29.119141582682772</v>
      </c>
      <c r="AP437" s="730">
        <f t="shared" si="261"/>
        <v>-113.91090930609131</v>
      </c>
      <c r="AS437" s="351"/>
      <c r="AT437" s="351"/>
      <c r="AV437" s="405">
        <f t="shared" si="262"/>
        <v>0</v>
      </c>
      <c r="AW437" s="405">
        <f t="shared" si="287"/>
        <v>0</v>
      </c>
      <c r="AX437" s="405">
        <f t="shared" si="263"/>
        <v>0</v>
      </c>
      <c r="AY437" s="405">
        <f t="shared" si="264"/>
        <v>0</v>
      </c>
    </row>
    <row r="438" spans="2:51" ht="13.5" thickBot="1" x14ac:dyDescent="0.25">
      <c r="B438" s="345">
        <v>44928.25</v>
      </c>
      <c r="C438" s="728" t="str">
        <f t="shared" si="247"/>
        <v>2.2271548443541</v>
      </c>
      <c r="D438" s="728" t="str">
        <f t="shared" si="248"/>
        <v>1+34.3455899670704i</v>
      </c>
      <c r="E438" s="337">
        <f t="shared" si="266"/>
        <v>34.360144792857426</v>
      </c>
      <c r="F438" s="338">
        <f t="shared" si="267"/>
        <v>1.5416887305178115</v>
      </c>
      <c r="G438" s="338" t="str">
        <f t="shared" si="249"/>
        <v>1+0.141146260138646i</v>
      </c>
      <c r="H438" s="337">
        <f t="shared" si="268"/>
        <v>1.0099120094102882</v>
      </c>
      <c r="I438" s="338">
        <f t="shared" si="269"/>
        <v>0.1402199894152785</v>
      </c>
      <c r="J438" s="340">
        <f t="shared" si="250"/>
        <v>1</v>
      </c>
      <c r="K438" s="338">
        <f t="shared" si="270"/>
        <v>1</v>
      </c>
      <c r="L438" s="339">
        <f t="shared" si="271"/>
        <v>0</v>
      </c>
      <c r="M438" s="731" t="str">
        <f t="shared" si="251"/>
        <v>0.910286771197222+0.608466230290412i</v>
      </c>
      <c r="N438" s="338">
        <f t="shared" si="272"/>
        <v>1.0949215310790488</v>
      </c>
      <c r="O438" s="339">
        <f t="shared" si="273"/>
        <v>0.5892248424922375</v>
      </c>
      <c r="P438" s="732" t="str">
        <f t="shared" si="265"/>
        <v>-0.0243725594832656-0.0545919961076985i</v>
      </c>
      <c r="Q438" s="337">
        <f t="shared" si="274"/>
        <v>5.9785514088182667E-2</v>
      </c>
      <c r="R438" s="339">
        <f t="shared" si="275"/>
        <v>-1.9906935835947712</v>
      </c>
      <c r="S438" s="731" t="str">
        <f t="shared" si="252"/>
        <v>6000</v>
      </c>
      <c r="T438" s="337" t="str">
        <f t="shared" si="253"/>
        <v>1+285115.445480064i</v>
      </c>
      <c r="U438" s="346">
        <f t="shared" si="276"/>
        <v>285115.44548181765</v>
      </c>
      <c r="V438" s="347">
        <f t="shared" si="277"/>
        <v>1.570792819443696</v>
      </c>
      <c r="W438" s="340" t="str">
        <f t="shared" si="254"/>
        <v>1+2822.92520277291i</v>
      </c>
      <c r="X438" s="337">
        <f t="shared" si="278"/>
        <v>2822.92537989414</v>
      </c>
      <c r="Y438" s="339">
        <f t="shared" si="279"/>
        <v>1.5704420843384588</v>
      </c>
      <c r="Z438" s="337" t="str">
        <f t="shared" si="255"/>
        <v>1+28.4366131815753i</v>
      </c>
      <c r="AA438" s="346">
        <f t="shared" si="280"/>
        <v>28.454190714876113</v>
      </c>
      <c r="AB438" s="347">
        <f t="shared" si="281"/>
        <v>1.5356448801387423</v>
      </c>
      <c r="AC438" s="732" t="str">
        <f t="shared" si="282"/>
        <v>0.072641386425534-2.08651075646222i</v>
      </c>
      <c r="AD438" s="337">
        <f t="shared" si="283"/>
        <v>2.0877748700121783</v>
      </c>
      <c r="AE438" s="339">
        <f t="shared" si="284"/>
        <v>-1.5359956152439795</v>
      </c>
      <c r="AF438" s="736" t="str">
        <f t="shared" si="256"/>
        <v>-0.11567724360706+0.0468879692393484i</v>
      </c>
      <c r="AG438" s="337">
        <f t="shared" si="285"/>
        <v>-18.074407323297599</v>
      </c>
      <c r="AH438" s="730">
        <f t="shared" si="286"/>
        <v>157.93559325216603</v>
      </c>
      <c r="AI438" s="360">
        <f t="shared" si="257"/>
        <v>-22.064406747833971</v>
      </c>
      <c r="AL438" s="337">
        <f t="shared" si="258"/>
        <v>6.3936733158882983</v>
      </c>
      <c r="AM438" s="730">
        <f t="shared" si="259"/>
        <v>-88.006066104080276</v>
      </c>
      <c r="AN438" s="351"/>
      <c r="AO438" s="337">
        <f t="shared" si="260"/>
        <v>29.061041845856224</v>
      </c>
      <c r="AP438" s="730">
        <f t="shared" si="261"/>
        <v>-114.05834064375367</v>
      </c>
      <c r="AS438" s="351"/>
      <c r="AT438" s="351"/>
      <c r="AV438" s="405">
        <f t="shared" si="262"/>
        <v>0</v>
      </c>
      <c r="AW438" s="405">
        <f t="shared" si="287"/>
        <v>0</v>
      </c>
      <c r="AX438" s="405">
        <f t="shared" si="263"/>
        <v>0</v>
      </c>
      <c r="AY438" s="405">
        <f t="shared" si="264"/>
        <v>0</v>
      </c>
    </row>
    <row r="439" spans="2:51" ht="13.5" thickBot="1" x14ac:dyDescent="0.25">
      <c r="B439" s="345">
        <v>45188.5</v>
      </c>
      <c r="C439" s="728" t="str">
        <f t="shared" si="247"/>
        <v>2.2271548443541</v>
      </c>
      <c r="D439" s="728" t="str">
        <f t="shared" si="248"/>
        <v>1+34.5445391758407i</v>
      </c>
      <c r="E439" s="337">
        <f t="shared" si="266"/>
        <v>34.559010212550831</v>
      </c>
      <c r="F439" s="338">
        <f t="shared" si="267"/>
        <v>1.5418562733827412</v>
      </c>
      <c r="G439" s="338" t="str">
        <f t="shared" si="249"/>
        <v>1+0.141963859626742i</v>
      </c>
      <c r="H439" s="337">
        <f t="shared" si="268"/>
        <v>1.0100266023427904</v>
      </c>
      <c r="I439" s="338">
        <f t="shared" si="269"/>
        <v>0.1410215277689725</v>
      </c>
      <c r="J439" s="340">
        <f t="shared" si="250"/>
        <v>1</v>
      </c>
      <c r="K439" s="338">
        <f t="shared" si="270"/>
        <v>1</v>
      </c>
      <c r="L439" s="339">
        <f t="shared" si="271"/>
        <v>0</v>
      </c>
      <c r="M439" s="731" t="str">
        <f t="shared" si="251"/>
        <v>0.909244420788889+0.611990813073697i</v>
      </c>
      <c r="N439" s="338">
        <f t="shared" si="272"/>
        <v>1.0960192388924233</v>
      </c>
      <c r="O439" s="339">
        <f t="shared" si="273"/>
        <v>0.59242688112335662</v>
      </c>
      <c r="P439" s="732" t="str">
        <f t="shared" si="265"/>
        <v>-0.0243499719763326-0.0541672914941006i</v>
      </c>
      <c r="Q439" s="337">
        <f t="shared" si="274"/>
        <v>5.9388690868338277E-2</v>
      </c>
      <c r="R439" s="339">
        <f t="shared" si="275"/>
        <v>-1.9932616267371239</v>
      </c>
      <c r="S439" s="731" t="str">
        <f t="shared" si="252"/>
        <v>6000</v>
      </c>
      <c r="T439" s="337" t="str">
        <f t="shared" si="253"/>
        <v>1+286766.99644602i</v>
      </c>
      <c r="U439" s="346">
        <f t="shared" si="276"/>
        <v>286766.99644776358</v>
      </c>
      <c r="V439" s="347">
        <f t="shared" si="277"/>
        <v>1.5707928396432635</v>
      </c>
      <c r="W439" s="340" t="str">
        <f t="shared" si="254"/>
        <v>1+2839.27719253485i</v>
      </c>
      <c r="X439" s="337">
        <f t="shared" si="278"/>
        <v>2839.2773686360024</v>
      </c>
      <c r="Y439" s="339">
        <f t="shared" si="279"/>
        <v>1.5704441244945082</v>
      </c>
      <c r="Z439" s="337" t="str">
        <f t="shared" si="255"/>
        <v>1+28.6013342330408i</v>
      </c>
      <c r="AA439" s="346">
        <f t="shared" si="280"/>
        <v>28.618810595657386</v>
      </c>
      <c r="AB439" s="347">
        <f t="shared" si="281"/>
        <v>1.5358471593680776</v>
      </c>
      <c r="AC439" s="732" t="str">
        <f t="shared" si="282"/>
        <v>0.071808100668864-2.0745232401461i</v>
      </c>
      <c r="AD439" s="337">
        <f t="shared" si="283"/>
        <v>2.075765660479993</v>
      </c>
      <c r="AE439" s="339">
        <f t="shared" si="284"/>
        <v>-1.5361958745168327</v>
      </c>
      <c r="AF439" s="736" t="str">
        <f t="shared" si="256"/>
        <v>-0.11411983029924+0.0466249324412402i</v>
      </c>
      <c r="AG439" s="337">
        <f t="shared" si="285"/>
        <v>-18.182358497040291</v>
      </c>
      <c r="AH439" s="730">
        <f t="shared" si="286"/>
        <v>157.77698120735874</v>
      </c>
      <c r="AI439" s="360">
        <f t="shared" si="257"/>
        <v>-22.223018792641255</v>
      </c>
      <c r="AL439" s="337">
        <f t="shared" si="258"/>
        <v>6.3435664622864882</v>
      </c>
      <c r="AM439" s="730">
        <f t="shared" si="259"/>
        <v>-88.017540115223127</v>
      </c>
      <c r="AN439" s="351"/>
      <c r="AO439" s="337">
        <f t="shared" si="260"/>
        <v>29.003197525715375</v>
      </c>
      <c r="AP439" s="730">
        <f t="shared" si="261"/>
        <v>-114.20547867741811</v>
      </c>
      <c r="AS439" s="351"/>
      <c r="AT439" s="351"/>
      <c r="AV439" s="405">
        <f t="shared" si="262"/>
        <v>0</v>
      </c>
      <c r="AW439" s="405">
        <f t="shared" si="287"/>
        <v>0</v>
      </c>
      <c r="AX439" s="405">
        <f t="shared" si="263"/>
        <v>0</v>
      </c>
      <c r="AY439" s="405">
        <f t="shared" si="264"/>
        <v>0</v>
      </c>
    </row>
    <row r="440" spans="2:51" ht="13.5" thickBot="1" x14ac:dyDescent="0.25">
      <c r="B440" s="345">
        <v>45448.75</v>
      </c>
      <c r="C440" s="728" t="str">
        <f t="shared" si="247"/>
        <v>2.2271548443541</v>
      </c>
      <c r="D440" s="728" t="str">
        <f t="shared" si="248"/>
        <v>1+34.7434883846108i</v>
      </c>
      <c r="E440" s="337">
        <f t="shared" si="266"/>
        <v>34.757876591235913</v>
      </c>
      <c r="F440" s="338">
        <f t="shared" si="267"/>
        <v>1.5420218990671026</v>
      </c>
      <c r="G440" s="338" t="str">
        <f t="shared" si="249"/>
        <v>1+0.142781459114839i</v>
      </c>
      <c r="H440" s="337">
        <f t="shared" si="268"/>
        <v>1.0101418440332834</v>
      </c>
      <c r="I440" s="338">
        <f t="shared" si="269"/>
        <v>0.14182288375094826</v>
      </c>
      <c r="J440" s="340">
        <f t="shared" si="250"/>
        <v>1</v>
      </c>
      <c r="K440" s="338">
        <f t="shared" si="270"/>
        <v>1</v>
      </c>
      <c r="L440" s="339">
        <f t="shared" si="271"/>
        <v>0</v>
      </c>
      <c r="M440" s="731" t="str">
        <f t="shared" si="251"/>
        <v>0.908196049930556+0.61551539585698i</v>
      </c>
      <c r="N440" s="338">
        <f t="shared" si="272"/>
        <v>1.0971231779733941</v>
      </c>
      <c r="O440" s="339">
        <f t="shared" si="273"/>
        <v>0.5956255581532679</v>
      </c>
      <c r="P440" s="732" t="str">
        <f t="shared" si="265"/>
        <v>-0.0243268835455402-0.0537471495408773i</v>
      </c>
      <c r="Q440" s="337">
        <f t="shared" si="274"/>
        <v>5.899621468202601E-2</v>
      </c>
      <c r="R440" s="339">
        <f t="shared" si="275"/>
        <v>-1.9958245734694195</v>
      </c>
      <c r="S440" s="731" t="str">
        <f t="shared" si="252"/>
        <v>6000</v>
      </c>
      <c r="T440" s="337" t="str">
        <f t="shared" si="253"/>
        <v>1+288418.547411975i</v>
      </c>
      <c r="U440" s="346">
        <f t="shared" si="276"/>
        <v>288418.54741370858</v>
      </c>
      <c r="V440" s="347">
        <f t="shared" si="277"/>
        <v>1.5707928596114962</v>
      </c>
      <c r="W440" s="340" t="str">
        <f t="shared" si="254"/>
        <v>1+2855.62918229678i</v>
      </c>
      <c r="X440" s="337">
        <f t="shared" si="278"/>
        <v>2855.6293573895368</v>
      </c>
      <c r="Y440" s="339">
        <f t="shared" si="279"/>
        <v>1.5704461412857547</v>
      </c>
      <c r="Z440" s="337" t="str">
        <f t="shared" si="255"/>
        <v>1+28.7660552845063i</v>
      </c>
      <c r="AA440" s="346">
        <f t="shared" si="280"/>
        <v>28.783431634036841</v>
      </c>
      <c r="AB440" s="347">
        <f t="shared" si="281"/>
        <v>1.5360471248149172</v>
      </c>
      <c r="AC440" s="732" t="str">
        <f t="shared" si="282"/>
        <v>0.0709890656078952-2.06267251498414i</v>
      </c>
      <c r="AD440" s="337">
        <f t="shared" si="283"/>
        <v>2.0638937355171363</v>
      </c>
      <c r="AE440" s="339">
        <f t="shared" si="284"/>
        <v>-1.5363938431406587</v>
      </c>
      <c r="AF440" s="736" t="str">
        <f t="shared" si="256"/>
        <v>-0.11258971084876+0.046362934139611i</v>
      </c>
      <c r="AG440" s="337">
        <f t="shared" si="285"/>
        <v>-18.289770396841277</v>
      </c>
      <c r="AH440" s="730">
        <f t="shared" si="286"/>
        <v>157.61879240986019</v>
      </c>
      <c r="AI440" s="360">
        <f t="shared" si="257"/>
        <v>-22.381207590139809</v>
      </c>
      <c r="AL440" s="337">
        <f t="shared" si="258"/>
        <v>6.2937466569079037</v>
      </c>
      <c r="AM440" s="730">
        <f t="shared" si="259"/>
        <v>-88.028882881844368</v>
      </c>
      <c r="AN440" s="351"/>
      <c r="AO440" s="337">
        <f t="shared" si="260"/>
        <v>28.945605431292964</v>
      </c>
      <c r="AP440" s="730">
        <f t="shared" si="261"/>
        <v>-114.35232470829543</v>
      </c>
      <c r="AS440" s="351"/>
      <c r="AT440" s="351"/>
      <c r="AV440" s="405">
        <f t="shared" si="262"/>
        <v>0</v>
      </c>
      <c r="AW440" s="405">
        <f t="shared" si="287"/>
        <v>0</v>
      </c>
      <c r="AX440" s="405">
        <f t="shared" si="263"/>
        <v>0</v>
      </c>
      <c r="AY440" s="405">
        <f t="shared" si="264"/>
        <v>0</v>
      </c>
    </row>
    <row r="441" spans="2:51" ht="13.5" thickBot="1" x14ac:dyDescent="0.25">
      <c r="B441" s="345">
        <v>45709</v>
      </c>
      <c r="C441" s="728" t="str">
        <f t="shared" si="247"/>
        <v>2.2271548443541</v>
      </c>
      <c r="D441" s="728" t="str">
        <f t="shared" si="248"/>
        <v>1+34.9424375933811i</v>
      </c>
      <c r="E441" s="337">
        <f t="shared" si="266"/>
        <v>34.956743912546152</v>
      </c>
      <c r="F441" s="338">
        <f t="shared" si="267"/>
        <v>1.5421856402819891</v>
      </c>
      <c r="G441" s="338" t="str">
        <f t="shared" si="249"/>
        <v>1+0.143599058602936i</v>
      </c>
      <c r="H441" s="337">
        <f t="shared" si="268"/>
        <v>1.010257734259753</v>
      </c>
      <c r="I441" s="338">
        <f t="shared" si="269"/>
        <v>0.14262405639457618</v>
      </c>
      <c r="J441" s="340">
        <f t="shared" si="250"/>
        <v>1</v>
      </c>
      <c r="K441" s="338">
        <f t="shared" si="270"/>
        <v>1</v>
      </c>
      <c r="L441" s="339">
        <f t="shared" si="271"/>
        <v>0</v>
      </c>
      <c r="M441" s="731" t="str">
        <f t="shared" si="251"/>
        <v>0.907141658622222+0.619039978640265i</v>
      </c>
      <c r="N441" s="338">
        <f t="shared" si="272"/>
        <v>1.0982333467723586</v>
      </c>
      <c r="O441" s="339">
        <f t="shared" si="273"/>
        <v>0.59882086195681916</v>
      </c>
      <c r="P441" s="732" t="str">
        <f t="shared" si="265"/>
        <v>-0.0243033044274931-0.0533314970191117i</v>
      </c>
      <c r="Q441" s="337">
        <f t="shared" si="274"/>
        <v>5.8608012936755723E-2</v>
      </c>
      <c r="R441" s="339">
        <f t="shared" si="275"/>
        <v>-1.9983824458442323</v>
      </c>
      <c r="S441" s="731" t="str">
        <f t="shared" si="252"/>
        <v>6000</v>
      </c>
      <c r="T441" s="337" t="str">
        <f t="shared" si="253"/>
        <v>1+290070.098377931i</v>
      </c>
      <c r="U441" s="346">
        <f t="shared" si="276"/>
        <v>290070.09837965469</v>
      </c>
      <c r="V441" s="347">
        <f t="shared" si="277"/>
        <v>1.5707928793523454</v>
      </c>
      <c r="W441" s="340" t="str">
        <f t="shared" si="254"/>
        <v>1+2871.98117205872i</v>
      </c>
      <c r="X441" s="337">
        <f t="shared" si="278"/>
        <v>2871.9813461545637</v>
      </c>
      <c r="Y441" s="339">
        <f t="shared" si="279"/>
        <v>1.5704481351112893</v>
      </c>
      <c r="Z441" s="337" t="str">
        <f t="shared" si="255"/>
        <v>1+28.9307763359718i</v>
      </c>
      <c r="AA441" s="346">
        <f t="shared" si="280"/>
        <v>28.948053810265478</v>
      </c>
      <c r="AB441" s="347">
        <f t="shared" si="281"/>
        <v>1.5362448159372781</v>
      </c>
      <c r="AC441" s="732" t="str">
        <f t="shared" si="282"/>
        <v>0.0701839582632318-2.05095625562674i</v>
      </c>
      <c r="AD441" s="337">
        <f t="shared" si="283"/>
        <v>2.0521567558283538</v>
      </c>
      <c r="AE441" s="339">
        <f t="shared" si="284"/>
        <v>-1.5365895601783341</v>
      </c>
      <c r="AF441" s="736" t="str">
        <f t="shared" si="256"/>
        <v>-0.111086269536884+0.046101998687063i</v>
      </c>
      <c r="AG441" s="337">
        <f t="shared" si="285"/>
        <v>-18.396649422740985</v>
      </c>
      <c r="AH441" s="730">
        <f t="shared" si="286"/>
        <v>157.46102335801274</v>
      </c>
      <c r="AI441" s="360">
        <f t="shared" si="257"/>
        <v>-22.538976641987261</v>
      </c>
      <c r="AL441" s="337">
        <f t="shared" si="258"/>
        <v>6.2442106335819991</v>
      </c>
      <c r="AM441" s="730">
        <f t="shared" si="259"/>
        <v>-88.040096642081977</v>
      </c>
      <c r="AN441" s="351"/>
      <c r="AO441" s="337">
        <f t="shared" si="260"/>
        <v>28.888262428719138</v>
      </c>
      <c r="AP441" s="730">
        <f t="shared" si="261"/>
        <v>-114.49887999990523</v>
      </c>
      <c r="AS441" s="351"/>
      <c r="AT441" s="351"/>
      <c r="AV441" s="405">
        <f t="shared" si="262"/>
        <v>0</v>
      </c>
      <c r="AW441" s="405">
        <f t="shared" si="287"/>
        <v>0</v>
      </c>
      <c r="AX441" s="405">
        <f t="shared" si="263"/>
        <v>0</v>
      </c>
      <c r="AY441" s="405">
        <f t="shared" si="264"/>
        <v>0</v>
      </c>
    </row>
    <row r="442" spans="2:51" ht="13.5" thickBot="1" x14ac:dyDescent="0.25">
      <c r="B442" s="345">
        <v>45975.25</v>
      </c>
      <c r="C442" s="728" t="str">
        <f t="shared" si="247"/>
        <v>2.2271548443541</v>
      </c>
      <c r="D442" s="728" t="str">
        <f t="shared" si="248"/>
        <v>1+35.1459735274255i</v>
      </c>
      <c r="E442" s="337">
        <f t="shared" si="266"/>
        <v>35.160197030029479</v>
      </c>
      <c r="F442" s="338">
        <f t="shared" si="267"/>
        <v>1.5423512397065993</v>
      </c>
      <c r="G442" s="338" t="str">
        <f t="shared" si="249"/>
        <v>1+0.144435507646954i</v>
      </c>
      <c r="H442" s="337">
        <f t="shared" si="268"/>
        <v>1.0103769672103742</v>
      </c>
      <c r="I442" s="338">
        <f t="shared" si="269"/>
        <v>0.14344350914339696</v>
      </c>
      <c r="J442" s="340">
        <f t="shared" si="250"/>
        <v>1</v>
      </c>
      <c r="K442" s="338">
        <f t="shared" si="270"/>
        <v>1</v>
      </c>
      <c r="L442" s="339">
        <f t="shared" si="271"/>
        <v>0</v>
      </c>
      <c r="M442" s="731" t="str">
        <f t="shared" si="251"/>
        <v>0.906056728330556+0.622645819816246i</v>
      </c>
      <c r="N442" s="338">
        <f t="shared" si="272"/>
        <v>1.0993755554348641</v>
      </c>
      <c r="O442" s="339">
        <f t="shared" si="273"/>
        <v>0.60208632991776789</v>
      </c>
      <c r="P442" s="732" t="str">
        <f t="shared" si="265"/>
        <v>-0.0242786843318874-0.0529108329683863i</v>
      </c>
      <c r="Q442" s="337">
        <f t="shared" si="274"/>
        <v>5.8215210712458214E-2</v>
      </c>
      <c r="R442" s="339">
        <f t="shared" si="275"/>
        <v>-2.0009940604809713</v>
      </c>
      <c r="S442" s="731" t="str">
        <f t="shared" si="252"/>
        <v>6000</v>
      </c>
      <c r="T442" s="337" t="str">
        <f t="shared" si="253"/>
        <v>1+291759.725446847i</v>
      </c>
      <c r="U442" s="346">
        <f t="shared" si="276"/>
        <v>291759.72544856078</v>
      </c>
      <c r="V442" s="347">
        <f t="shared" si="277"/>
        <v>1.5707928993170346</v>
      </c>
      <c r="W442" s="340" t="str">
        <f t="shared" si="254"/>
        <v>1+2888.71015293908i</v>
      </c>
      <c r="X442" s="337">
        <f t="shared" si="278"/>
        <v>2888.7103260267072</v>
      </c>
      <c r="Y442" s="339">
        <f t="shared" si="279"/>
        <v>1.5704501515446603</v>
      </c>
      <c r="Z442" s="337" t="str">
        <f t="shared" si="255"/>
        <v>1+29.0992949909293i</v>
      </c>
      <c r="AA442" s="346">
        <f t="shared" si="280"/>
        <v>29.116472467816617</v>
      </c>
      <c r="AB442" s="347">
        <f t="shared" si="281"/>
        <v>1.5364447514118098</v>
      </c>
      <c r="AC442" s="732" t="str">
        <f t="shared" si="282"/>
        <v>0.0693743751680676-2.03910666245266i</v>
      </c>
      <c r="AD442" s="337">
        <f t="shared" si="283"/>
        <v>2.0402864467492763</v>
      </c>
      <c r="AE442" s="339">
        <f t="shared" si="284"/>
        <v>-1.5367874991841843</v>
      </c>
      <c r="AF442" s="736" t="str">
        <f t="shared" si="256"/>
        <v>-0.109575150577184+0.0458361709999328i</v>
      </c>
      <c r="AG442" s="337">
        <f t="shared" si="285"/>
        <v>-18.505447632350261</v>
      </c>
      <c r="AH442" s="730">
        <f t="shared" si="286"/>
        <v>157.30004779197682</v>
      </c>
      <c r="AI442" s="360">
        <f t="shared" si="257"/>
        <v>-22.699952208023177</v>
      </c>
      <c r="AL442" s="337">
        <f t="shared" si="258"/>
        <v>6.1938228927278995</v>
      </c>
      <c r="AM442" s="730">
        <f t="shared" si="259"/>
        <v>-88.051437711718208</v>
      </c>
      <c r="AN442" s="351"/>
      <c r="AO442" s="337">
        <f t="shared" si="260"/>
        <v>28.829851959963971</v>
      </c>
      <c r="AP442" s="730">
        <f t="shared" si="261"/>
        <v>-114.64851449630503</v>
      </c>
      <c r="AS442" s="351"/>
      <c r="AT442" s="351"/>
      <c r="AV442" s="405">
        <f t="shared" si="262"/>
        <v>0</v>
      </c>
      <c r="AW442" s="405">
        <f t="shared" si="287"/>
        <v>0</v>
      </c>
      <c r="AX442" s="405">
        <f t="shared" si="263"/>
        <v>0</v>
      </c>
      <c r="AY442" s="405">
        <f t="shared" si="264"/>
        <v>0</v>
      </c>
    </row>
    <row r="443" spans="2:51" ht="13.5" thickBot="1" x14ac:dyDescent="0.25">
      <c r="B443" s="345">
        <v>46241.5</v>
      </c>
      <c r="C443" s="728" t="str">
        <f t="shared" si="247"/>
        <v>2.2271548443541</v>
      </c>
      <c r="D443" s="728" t="str">
        <f t="shared" si="248"/>
        <v>1+35.34950946147i</v>
      </c>
      <c r="E443" s="337">
        <f t="shared" si="266"/>
        <v>35.363651100622469</v>
      </c>
      <c r="F443" s="338">
        <f t="shared" si="267"/>
        <v>1.54251493368325</v>
      </c>
      <c r="G443" s="338" t="str">
        <f t="shared" si="249"/>
        <v>1+0.145271956690973i</v>
      </c>
      <c r="H443" s="337">
        <f t="shared" si="268"/>
        <v>1.0104968784715882</v>
      </c>
      <c r="I443" s="338">
        <f t="shared" si="269"/>
        <v>0.14426276796047113</v>
      </c>
      <c r="J443" s="340">
        <f t="shared" si="250"/>
        <v>1</v>
      </c>
      <c r="K443" s="338">
        <f t="shared" si="270"/>
        <v>1</v>
      </c>
      <c r="L443" s="339">
        <f t="shared" si="271"/>
        <v>0</v>
      </c>
      <c r="M443" s="731" t="str">
        <f t="shared" si="251"/>
        <v>0.904965496788889+0.626251660992229i</v>
      </c>
      <c r="N443" s="338">
        <f t="shared" si="272"/>
        <v>1.1005242810923739</v>
      </c>
      <c r="O443" s="339">
        <f t="shared" si="273"/>
        <v>0.60534824304187174</v>
      </c>
      <c r="P443" s="732" t="str">
        <f t="shared" si="265"/>
        <v>-0.0242535715679645-0.0524947178980831i</v>
      </c>
      <c r="Q443" s="337">
        <f t="shared" si="274"/>
        <v>5.7826733791575179E-2</v>
      </c>
      <c r="R443" s="339">
        <f t="shared" si="275"/>
        <v>-2.0036004087646502</v>
      </c>
      <c r="S443" s="731" t="str">
        <f t="shared" si="252"/>
        <v>6000</v>
      </c>
      <c r="T443" s="337" t="str">
        <f t="shared" si="253"/>
        <v>1+293449.352515764i</v>
      </c>
      <c r="U443" s="346">
        <f t="shared" si="276"/>
        <v>293449.35251746792</v>
      </c>
      <c r="V443" s="347">
        <f t="shared" si="277"/>
        <v>1.5707929190518179</v>
      </c>
      <c r="W443" s="340" t="str">
        <f t="shared" si="254"/>
        <v>1+2905.43913381945i</v>
      </c>
      <c r="X443" s="337">
        <f t="shared" si="278"/>
        <v>2905.4393059104705</v>
      </c>
      <c r="Y443" s="339">
        <f t="shared" si="279"/>
        <v>1.5704521447575335</v>
      </c>
      <c r="Z443" s="337" t="str">
        <f t="shared" si="255"/>
        <v>1+29.2678136458868i</v>
      </c>
      <c r="AA443" s="346">
        <f t="shared" si="280"/>
        <v>29.284892275887877</v>
      </c>
      <c r="AB443" s="347">
        <f t="shared" si="281"/>
        <v>1.5366423872036685</v>
      </c>
      <c r="AC443" s="732" t="str">
        <f t="shared" si="282"/>
        <v>0.0685787143214436-2.0273930491239i</v>
      </c>
      <c r="AD443" s="337">
        <f t="shared" si="283"/>
        <v>2.028552591305901</v>
      </c>
      <c r="AE443" s="339">
        <f t="shared" si="284"/>
        <v>-1.536983161497953</v>
      </c>
      <c r="AF443" s="736" t="str">
        <f t="shared" si="256"/>
        <v>-0.108090704938128+0.0455715021512029i</v>
      </c>
      <c r="AG443" s="337">
        <f t="shared" si="285"/>
        <v>-18.613701312287795</v>
      </c>
      <c r="AH443" s="730">
        <f t="shared" si="286"/>
        <v>157.13950441059211</v>
      </c>
      <c r="AI443" s="360">
        <f t="shared" si="257"/>
        <v>-22.86049558940789</v>
      </c>
      <c r="AL443" s="337">
        <f t="shared" si="258"/>
        <v>6.143725430039094</v>
      </c>
      <c r="AM443" s="730">
        <f t="shared" si="259"/>
        <v>-88.062648336506911</v>
      </c>
      <c r="AN443" s="351"/>
      <c r="AO443" s="337">
        <f t="shared" si="260"/>
        <v>28.771695742715245</v>
      </c>
      <c r="AP443" s="730">
        <f t="shared" si="261"/>
        <v>-114.79784725290106</v>
      </c>
      <c r="AS443" s="351"/>
      <c r="AT443" s="351"/>
      <c r="AV443" s="405">
        <f t="shared" si="262"/>
        <v>0</v>
      </c>
      <c r="AW443" s="405">
        <f t="shared" si="287"/>
        <v>0</v>
      </c>
      <c r="AX443" s="405">
        <f t="shared" si="263"/>
        <v>0</v>
      </c>
      <c r="AY443" s="405">
        <f t="shared" si="264"/>
        <v>0</v>
      </c>
    </row>
    <row r="444" spans="2:51" ht="13.5" thickBot="1" x14ac:dyDescent="0.25">
      <c r="B444" s="345">
        <v>46507.75</v>
      </c>
      <c r="C444" s="728" t="str">
        <f t="shared" si="247"/>
        <v>2.2271548443541</v>
      </c>
      <c r="D444" s="728" t="str">
        <f t="shared" si="248"/>
        <v>1+35.5530453955144i</v>
      </c>
      <c r="E444" s="337">
        <f t="shared" si="266"/>
        <v>35.567106107968748</v>
      </c>
      <c r="F444" s="338">
        <f t="shared" si="267"/>
        <v>1.5426767549023734</v>
      </c>
      <c r="G444" s="338" t="str">
        <f t="shared" si="249"/>
        <v>1+0.14610840573499i</v>
      </c>
      <c r="H444" s="337">
        <f t="shared" si="268"/>
        <v>1.0106174678019475</v>
      </c>
      <c r="I444" s="338">
        <f t="shared" si="269"/>
        <v>0.14508183181527473</v>
      </c>
      <c r="J444" s="340">
        <f t="shared" si="250"/>
        <v>1</v>
      </c>
      <c r="K444" s="338">
        <f t="shared" si="270"/>
        <v>1</v>
      </c>
      <c r="L444" s="339">
        <f t="shared" si="271"/>
        <v>0</v>
      </c>
      <c r="M444" s="731" t="str">
        <f t="shared" si="251"/>
        <v>0.903867963997222+0.62985750216821i</v>
      </c>
      <c r="N444" s="338">
        <f t="shared" si="272"/>
        <v>1.1016795220834688</v>
      </c>
      <c r="O444" s="339">
        <f t="shared" si="273"/>
        <v>0.60860658922128763</v>
      </c>
      <c r="P444" s="732" t="str">
        <f t="shared" si="265"/>
        <v>-0.0242279763331223-0.0520830785826491i</v>
      </c>
      <c r="Q444" s="337">
        <f t="shared" si="274"/>
        <v>5.744250962348995E-2</v>
      </c>
      <c r="R444" s="339">
        <f t="shared" si="275"/>
        <v>-2.0062015123083867</v>
      </c>
      <c r="S444" s="731" t="str">
        <f t="shared" si="252"/>
        <v>6000</v>
      </c>
      <c r="T444" s="337" t="str">
        <f t="shared" si="253"/>
        <v>1+295138.979584681i</v>
      </c>
      <c r="U444" s="346">
        <f t="shared" si="276"/>
        <v>295138.97958637512</v>
      </c>
      <c r="V444" s="347">
        <f t="shared" si="277"/>
        <v>1.5707929385606436</v>
      </c>
      <c r="W444" s="340" t="str">
        <f t="shared" si="254"/>
        <v>1+2922.16811469981i</v>
      </c>
      <c r="X444" s="337">
        <f t="shared" si="278"/>
        <v>2922.1682858056347</v>
      </c>
      <c r="Y444" s="339">
        <f t="shared" si="279"/>
        <v>1.5704541151487106</v>
      </c>
      <c r="Z444" s="337" t="str">
        <f t="shared" si="255"/>
        <v>1+29.4363323008443i</v>
      </c>
      <c r="AA444" s="346">
        <f t="shared" si="280"/>
        <v>29.453313214742568</v>
      </c>
      <c r="AB444" s="347">
        <f t="shared" si="281"/>
        <v>1.5368377627476526</v>
      </c>
      <c r="AC444" s="732" t="str">
        <f t="shared" si="282"/>
        <v>0.0677966584408236-2.01581309102545i</v>
      </c>
      <c r="AD444" s="337">
        <f t="shared" si="283"/>
        <v>2.0169528514185253</v>
      </c>
      <c r="AE444" s="339">
        <f t="shared" si="284"/>
        <v>-1.5371765861595856</v>
      </c>
      <c r="AF444" s="736" t="str">
        <f t="shared" si="256"/>
        <v>-0.10663232746398+0.0453080131721483i</v>
      </c>
      <c r="AG444" s="337">
        <f t="shared" si="285"/>
        <v>-18.721416962502005</v>
      </c>
      <c r="AH444" s="730">
        <f t="shared" si="286"/>
        <v>156.97938973869407</v>
      </c>
      <c r="AI444" s="360">
        <f t="shared" si="257"/>
        <v>-23.020610261305933</v>
      </c>
      <c r="AL444" s="337">
        <f t="shared" si="258"/>
        <v>6.093914924016425</v>
      </c>
      <c r="AM444" s="730">
        <f t="shared" si="259"/>
        <v>-88.073730753272216</v>
      </c>
      <c r="AN444" s="351"/>
      <c r="AO444" s="337">
        <f t="shared" si="260"/>
        <v>28.713790598523737</v>
      </c>
      <c r="AP444" s="730">
        <f t="shared" si="261"/>
        <v>-114.94687950803363</v>
      </c>
      <c r="AS444" s="351"/>
      <c r="AT444" s="351"/>
      <c r="AV444" s="405">
        <f t="shared" si="262"/>
        <v>0</v>
      </c>
      <c r="AW444" s="405">
        <f t="shared" si="287"/>
        <v>0</v>
      </c>
      <c r="AX444" s="405">
        <f t="shared" si="263"/>
        <v>0</v>
      </c>
      <c r="AY444" s="405">
        <f t="shared" si="264"/>
        <v>0</v>
      </c>
    </row>
    <row r="445" spans="2:51" ht="13.5" thickBot="1" x14ac:dyDescent="0.25">
      <c r="B445" s="345">
        <v>46774</v>
      </c>
      <c r="C445" s="728" t="str">
        <f t="shared" si="247"/>
        <v>2.2271548443541</v>
      </c>
      <c r="D445" s="728" t="str">
        <f t="shared" si="248"/>
        <v>1+35.7565813295589i</v>
      </c>
      <c r="E445" s="337">
        <f t="shared" si="266"/>
        <v>35.770562036084364</v>
      </c>
      <c r="F445" s="338">
        <f t="shared" si="267"/>
        <v>1.5428367353110521</v>
      </c>
      <c r="G445" s="338" t="str">
        <f t="shared" si="249"/>
        <v>1+0.146944854779009i</v>
      </c>
      <c r="H445" s="337">
        <f t="shared" si="268"/>
        <v>1.0107387349587549</v>
      </c>
      <c r="I445" s="338">
        <f t="shared" si="269"/>
        <v>0.14590069967882741</v>
      </c>
      <c r="J445" s="340">
        <f t="shared" si="250"/>
        <v>1</v>
      </c>
      <c r="K445" s="338">
        <f t="shared" si="270"/>
        <v>1</v>
      </c>
      <c r="L445" s="339">
        <f t="shared" si="271"/>
        <v>0</v>
      </c>
      <c r="M445" s="731" t="str">
        <f t="shared" si="251"/>
        <v>0.902764129955556+0.633463343344194i</v>
      </c>
      <c r="N445" s="338">
        <f t="shared" si="272"/>
        <v>1.1028412767462124</v>
      </c>
      <c r="O445" s="339">
        <f t="shared" si="273"/>
        <v>0.61186135646264117</v>
      </c>
      <c r="P445" s="732" t="str">
        <f t="shared" si="265"/>
        <v>-0.024201908584017-0.0516758434466305i</v>
      </c>
      <c r="Q445" s="337">
        <f t="shared" si="274"/>
        <v>5.7062467305837555E-2</v>
      </c>
      <c r="R445" s="339">
        <f t="shared" si="275"/>
        <v>-2.0087973920948654</v>
      </c>
      <c r="S445" s="731" t="str">
        <f t="shared" si="252"/>
        <v>6000</v>
      </c>
      <c r="T445" s="337" t="str">
        <f t="shared" si="253"/>
        <v>1+296828.606653598i</v>
      </c>
      <c r="U445" s="346">
        <f t="shared" si="276"/>
        <v>296828.60665528255</v>
      </c>
      <c r="V445" s="347">
        <f t="shared" si="277"/>
        <v>1.5707929578473707</v>
      </c>
      <c r="W445" s="340" t="str">
        <f t="shared" si="254"/>
        <v>1+2938.89709558018i</v>
      </c>
      <c r="X445" s="337">
        <f t="shared" si="278"/>
        <v>2938.8972657120248</v>
      </c>
      <c r="Y445" s="339">
        <f t="shared" si="279"/>
        <v>1.5704560631079132</v>
      </c>
      <c r="Z445" s="337" t="str">
        <f t="shared" si="255"/>
        <v>1+29.6048509558018i</v>
      </c>
      <c r="AA445" s="346">
        <f t="shared" si="280"/>
        <v>29.621735265092742</v>
      </c>
      <c r="AB445" s="347">
        <f t="shared" si="281"/>
        <v>1.5370309165823919</v>
      </c>
      <c r="AC445" s="732" t="str">
        <f t="shared" si="282"/>
        <v>0.067027899227466-2.00436451616818i</v>
      </c>
      <c r="AD445" s="337">
        <f t="shared" si="283"/>
        <v>2.0054849420898053</v>
      </c>
      <c r="AE445" s="339">
        <f t="shared" si="284"/>
        <v>-1.5373678113218494</v>
      </c>
      <c r="AF445" s="736" t="str">
        <f t="shared" si="256"/>
        <v>-0.10519943003717+0.0450457235623147i</v>
      </c>
      <c r="AG445" s="337">
        <f t="shared" si="285"/>
        <v>-18.828600969265004</v>
      </c>
      <c r="AH445" s="730">
        <f t="shared" si="286"/>
        <v>156.81970038807117</v>
      </c>
      <c r="AI445" s="360">
        <f t="shared" si="257"/>
        <v>-23.180299611928831</v>
      </c>
      <c r="AL445" s="337">
        <f t="shared" si="258"/>
        <v>6.0443881097803152</v>
      </c>
      <c r="AM445" s="730">
        <f t="shared" si="259"/>
        <v>-88.084687148006623</v>
      </c>
      <c r="AN445" s="351"/>
      <c r="AO445" s="337">
        <f t="shared" si="260"/>
        <v>28.656133405996801</v>
      </c>
      <c r="AP445" s="730">
        <f t="shared" si="261"/>
        <v>-115.09561246392219</v>
      </c>
      <c r="AS445" s="351"/>
      <c r="AT445" s="351"/>
      <c r="AV445" s="405">
        <f t="shared" si="262"/>
        <v>0</v>
      </c>
      <c r="AW445" s="405">
        <f t="shared" si="287"/>
        <v>0</v>
      </c>
      <c r="AX445" s="405">
        <f t="shared" si="263"/>
        <v>0</v>
      </c>
      <c r="AY445" s="405">
        <f t="shared" si="264"/>
        <v>0</v>
      </c>
    </row>
    <row r="446" spans="2:51" ht="13.5" thickBot="1" x14ac:dyDescent="0.25">
      <c r="B446" s="345">
        <v>47046.25</v>
      </c>
      <c r="C446" s="728" t="str">
        <f t="shared" si="247"/>
        <v>2.2271548443541</v>
      </c>
      <c r="D446" s="728" t="str">
        <f t="shared" si="248"/>
        <v>1+35.9647039888776i</v>
      </c>
      <c r="E446" s="337">
        <f t="shared" si="266"/>
        <v>35.978603822377387</v>
      </c>
      <c r="F446" s="338">
        <f t="shared" si="267"/>
        <v>1.5429984499361471</v>
      </c>
      <c r="G446" s="338" t="str">
        <f t="shared" si="249"/>
        <v>1+0.147800153378949i</v>
      </c>
      <c r="H446" s="337">
        <f t="shared" si="268"/>
        <v>1.010863435553409</v>
      </c>
      <c r="I446" s="338">
        <f t="shared" si="269"/>
        <v>0.14673781716620665</v>
      </c>
      <c r="J446" s="340">
        <f t="shared" si="250"/>
        <v>1</v>
      </c>
      <c r="K446" s="338">
        <f t="shared" si="270"/>
        <v>1</v>
      </c>
      <c r="L446" s="339">
        <f t="shared" si="271"/>
        <v>0</v>
      </c>
      <c r="M446" s="731" t="str">
        <f t="shared" si="251"/>
        <v>0.901628904930555+0.637150442912875i</v>
      </c>
      <c r="N446" s="338">
        <f t="shared" si="272"/>
        <v>1.1040359455698645</v>
      </c>
      <c r="O446" s="339">
        <f t="shared" si="273"/>
        <v>0.61518575737121939</v>
      </c>
      <c r="P446" s="732" t="str">
        <f t="shared" si="265"/>
        <v>-0.0241747749152813-0.0512639124626694i</v>
      </c>
      <c r="Q446" s="337">
        <f t="shared" si="274"/>
        <v>5.6678112734853348E-2</v>
      </c>
      <c r="R446" s="339">
        <f t="shared" si="275"/>
        <v>-2.0114463901411606</v>
      </c>
      <c r="S446" s="731" t="str">
        <f t="shared" si="252"/>
        <v>6000</v>
      </c>
      <c r="T446" s="337" t="str">
        <f t="shared" si="253"/>
        <v>1+298556.309825477i</v>
      </c>
      <c r="U446" s="346">
        <f t="shared" si="276"/>
        <v>298556.30982715171</v>
      </c>
      <c r="V446" s="347">
        <f t="shared" si="277"/>
        <v>1.5707929773429941</v>
      </c>
      <c r="W446" s="340" t="str">
        <f t="shared" si="254"/>
        <v>1+2956.00306757898i</v>
      </c>
      <c r="X446" s="337">
        <f t="shared" si="278"/>
        <v>2956.0032367262961</v>
      </c>
      <c r="Y446" s="339">
        <f t="shared" si="279"/>
        <v>1.5704580321656318</v>
      </c>
      <c r="Z446" s="337" t="str">
        <f t="shared" si="255"/>
        <v>1+29.7771672142513i</v>
      </c>
      <c r="AA446" s="346">
        <f t="shared" si="280"/>
        <v>29.793953871641179</v>
      </c>
      <c r="AB446" s="347">
        <f t="shared" si="281"/>
        <v>1.5372261650443964</v>
      </c>
      <c r="AC446" s="732" t="str">
        <f t="shared" si="282"/>
        <v>0.0662552532710238-1.99279148954891i</v>
      </c>
      <c r="AD446" s="337">
        <f t="shared" si="283"/>
        <v>1.9938925947514252</v>
      </c>
      <c r="AE446" s="339">
        <f t="shared" si="284"/>
        <v>-1.5375611102217583</v>
      </c>
      <c r="AF446" s="736" t="str">
        <f t="shared" si="256"/>
        <v>-0.10375999431137+0.0447787822090553i</v>
      </c>
      <c r="AG446" s="337">
        <f t="shared" si="285"/>
        <v>-18.93765717775516</v>
      </c>
      <c r="AH446" s="730">
        <f t="shared" si="286"/>
        <v>156.65684876893081</v>
      </c>
      <c r="AI446" s="360">
        <f t="shared" si="257"/>
        <v>-23.343151231069186</v>
      </c>
      <c r="AL446" s="337">
        <f t="shared" si="258"/>
        <v>5.9940352082680999</v>
      </c>
      <c r="AM446" s="730">
        <f t="shared" si="259"/>
        <v>-88.095762359155927</v>
      </c>
      <c r="AN446" s="351"/>
      <c r="AO446" s="337">
        <f t="shared" si="260"/>
        <v>28.597430099018869</v>
      </c>
      <c r="AP446" s="730">
        <f t="shared" si="261"/>
        <v>-115.24738887191334</v>
      </c>
      <c r="AS446" s="351"/>
      <c r="AT446" s="351"/>
      <c r="AV446" s="405">
        <f t="shared" si="262"/>
        <v>0</v>
      </c>
      <c r="AW446" s="405">
        <f t="shared" si="287"/>
        <v>0</v>
      </c>
      <c r="AX446" s="405">
        <f t="shared" si="263"/>
        <v>0</v>
      </c>
      <c r="AY446" s="405">
        <f t="shared" si="264"/>
        <v>0</v>
      </c>
    </row>
    <row r="447" spans="2:51" ht="13.5" thickBot="1" x14ac:dyDescent="0.25">
      <c r="B447" s="345">
        <v>47318.5</v>
      </c>
      <c r="C447" s="728" t="str">
        <f t="shared" si="247"/>
        <v>2.2271548443541</v>
      </c>
      <c r="D447" s="728" t="str">
        <f t="shared" si="248"/>
        <v>1+36.1728266481962i</v>
      </c>
      <c r="E447" s="337">
        <f t="shared" si="266"/>
        <v>36.18664653875036</v>
      </c>
      <c r="F447" s="338">
        <f t="shared" si="267"/>
        <v>1.5431583051198079</v>
      </c>
      <c r="G447" s="338" t="str">
        <f t="shared" si="249"/>
        <v>1+0.148655451978889i</v>
      </c>
      <c r="H447" s="337">
        <f t="shared" si="268"/>
        <v>1.0109888443514339</v>
      </c>
      <c r="I447" s="338">
        <f t="shared" si="269"/>
        <v>0.14757472755832815</v>
      </c>
      <c r="J447" s="340">
        <f t="shared" si="250"/>
        <v>1</v>
      </c>
      <c r="K447" s="338">
        <f t="shared" si="270"/>
        <v>1</v>
      </c>
      <c r="L447" s="339">
        <f t="shared" si="271"/>
        <v>0</v>
      </c>
      <c r="M447" s="731" t="str">
        <f t="shared" si="251"/>
        <v>0.900487091455556+0.640837542481554i</v>
      </c>
      <c r="N447" s="338">
        <f t="shared" si="272"/>
        <v>1.1052374214311984</v>
      </c>
      <c r="O447" s="339">
        <f t="shared" si="273"/>
        <v>0.61850639122316631</v>
      </c>
      <c r="P447" s="732" t="str">
        <f t="shared" si="265"/>
        <v>-0.0241471675146212-0.0508564401117092i</v>
      </c>
      <c r="Q447" s="337">
        <f t="shared" si="274"/>
        <v>5.6297985752734009E-2</v>
      </c>
      <c r="R447" s="339">
        <f t="shared" si="275"/>
        <v>-2.0140899687846456</v>
      </c>
      <c r="S447" s="731" t="str">
        <f t="shared" si="252"/>
        <v>6000</v>
      </c>
      <c r="T447" s="337" t="str">
        <f t="shared" si="253"/>
        <v>1+300284.012997355i</v>
      </c>
      <c r="U447" s="346">
        <f t="shared" si="276"/>
        <v>300284.01299902005</v>
      </c>
      <c r="V447" s="347">
        <f t="shared" si="277"/>
        <v>1.5707929966142786</v>
      </c>
      <c r="W447" s="340" t="str">
        <f t="shared" si="254"/>
        <v>1+2973.10903957777i</v>
      </c>
      <c r="X447" s="337">
        <f t="shared" si="278"/>
        <v>2973.1092077518865</v>
      </c>
      <c r="Y447" s="339">
        <f t="shared" si="279"/>
        <v>1.5704599785651552</v>
      </c>
      <c r="Z447" s="337" t="str">
        <f t="shared" si="255"/>
        <v>1+29.9494834727008i</v>
      </c>
      <c r="AA447" s="346">
        <f t="shared" si="280"/>
        <v>29.966173600938411</v>
      </c>
      <c r="AB447" s="347">
        <f t="shared" si="281"/>
        <v>1.5374191692740515</v>
      </c>
      <c r="AC447" s="732" t="str">
        <f t="shared" si="282"/>
        <v>0.0654958855119654-1.98135119186675i</v>
      </c>
      <c r="AD447" s="337">
        <f t="shared" si="283"/>
        <v>1.9824334179313028</v>
      </c>
      <c r="AE447" s="339">
        <f t="shared" si="284"/>
        <v>-1.537752187323175</v>
      </c>
      <c r="AF447" s="736" t="str">
        <f t="shared" si="256"/>
        <v>-0.102346008348411+0.0445131315561981i</v>
      </c>
      <c r="AG447" s="337">
        <f t="shared" si="285"/>
        <v>-19.046170663800183</v>
      </c>
      <c r="AH447" s="730">
        <f t="shared" si="286"/>
        <v>156.49443495837542</v>
      </c>
      <c r="AI447" s="360">
        <f t="shared" si="257"/>
        <v>-23.505565041624578</v>
      </c>
      <c r="AL447" s="337">
        <f t="shared" si="258"/>
        <v>5.943972200139723</v>
      </c>
      <c r="AM447" s="730">
        <f t="shared" si="259"/>
        <v>-88.106710270628696</v>
      </c>
      <c r="AN447" s="351"/>
      <c r="AO447" s="337">
        <f t="shared" si="260"/>
        <v>28.538979621102225</v>
      </c>
      <c r="AP447" s="730">
        <f t="shared" si="261"/>
        <v>-115.39885477099591</v>
      </c>
      <c r="AS447" s="351"/>
      <c r="AT447" s="351"/>
      <c r="AV447" s="405">
        <f t="shared" si="262"/>
        <v>0</v>
      </c>
      <c r="AW447" s="405">
        <f t="shared" si="287"/>
        <v>0</v>
      </c>
      <c r="AX447" s="405">
        <f t="shared" si="263"/>
        <v>0</v>
      </c>
      <c r="AY447" s="405">
        <f t="shared" si="264"/>
        <v>0</v>
      </c>
    </row>
    <row r="448" spans="2:51" ht="13.5" thickBot="1" x14ac:dyDescent="0.25">
      <c r="B448" s="345">
        <v>47590.75</v>
      </c>
      <c r="C448" s="728" t="str">
        <f t="shared" si="247"/>
        <v>2.2271548443541</v>
      </c>
      <c r="D448" s="728" t="str">
        <f t="shared" si="248"/>
        <v>1+36.3809493075149i</v>
      </c>
      <c r="E448" s="337">
        <f t="shared" si="266"/>
        <v>36.394690169253664</v>
      </c>
      <c r="F448" s="338">
        <f t="shared" si="267"/>
        <v>1.5433163327412709</v>
      </c>
      <c r="G448" s="338" t="str">
        <f t="shared" si="249"/>
        <v>1+0.149510750578829i</v>
      </c>
      <c r="H448" s="337">
        <f t="shared" si="268"/>
        <v>1.011114961089314</v>
      </c>
      <c r="I448" s="338">
        <f t="shared" si="269"/>
        <v>0.14841142976009339</v>
      </c>
      <c r="J448" s="340">
        <f t="shared" si="250"/>
        <v>1</v>
      </c>
      <c r="K448" s="338">
        <f t="shared" si="270"/>
        <v>1</v>
      </c>
      <c r="L448" s="339">
        <f t="shared" si="271"/>
        <v>0</v>
      </c>
      <c r="M448" s="731" t="str">
        <f t="shared" si="251"/>
        <v>0.899338689530555+0.644524642050235i</v>
      </c>
      <c r="N448" s="338">
        <f t="shared" si="272"/>
        <v>1.1064457025523302</v>
      </c>
      <c r="O448" s="339">
        <f t="shared" si="273"/>
        <v>0.62182324556644764</v>
      </c>
      <c r="P448" s="732" t="str">
        <f t="shared" si="265"/>
        <v>-0.0241190962964849-0.0504533549221768i</v>
      </c>
      <c r="Q448" s="337">
        <f t="shared" si="274"/>
        <v>5.5922015602643052E-2</v>
      </c>
      <c r="R448" s="339">
        <f t="shared" si="275"/>
        <v>-2.0167281485476254</v>
      </c>
      <c r="S448" s="731" t="str">
        <f t="shared" si="252"/>
        <v>6000</v>
      </c>
      <c r="T448" s="337" t="str">
        <f t="shared" si="253"/>
        <v>1+302011.716169234i</v>
      </c>
      <c r="U448" s="346">
        <f t="shared" si="276"/>
        <v>302011.71617088962</v>
      </c>
      <c r="V448" s="347">
        <f t="shared" si="277"/>
        <v>1.5707930156650747</v>
      </c>
      <c r="W448" s="340" t="str">
        <f t="shared" si="254"/>
        <v>1+2990.21501157657i</v>
      </c>
      <c r="X448" s="337">
        <f t="shared" si="278"/>
        <v>2990.215178788621</v>
      </c>
      <c r="Y448" s="339">
        <f t="shared" si="279"/>
        <v>1.5704619026953424</v>
      </c>
      <c r="Z448" s="337" t="str">
        <f t="shared" si="255"/>
        <v>1+30.1217997311503i</v>
      </c>
      <c r="AA448" s="346">
        <f t="shared" si="280"/>
        <v>30.138394433737286</v>
      </c>
      <c r="AB448" s="347">
        <f t="shared" si="281"/>
        <v>1.5376099677297297</v>
      </c>
      <c r="AC448" s="732" t="str">
        <f t="shared" si="282"/>
        <v>0.0647494935406146-1.97004135527405i</v>
      </c>
      <c r="AD448" s="337">
        <f t="shared" si="283"/>
        <v>1.9711051312407926</v>
      </c>
      <c r="AE448" s="339">
        <f t="shared" si="284"/>
        <v>-1.5379410806994618</v>
      </c>
      <c r="AF448" s="736" t="str">
        <f t="shared" si="256"/>
        <v>-0.100956894978863+0.0442487879772766i</v>
      </c>
      <c r="AG448" s="337">
        <f t="shared" si="285"/>
        <v>-19.154147903023862</v>
      </c>
      <c r="AH448" s="730">
        <f t="shared" si="286"/>
        <v>156.33245559912072</v>
      </c>
      <c r="AI448" s="360">
        <f t="shared" si="257"/>
        <v>-23.667544400879279</v>
      </c>
      <c r="AL448" s="337">
        <f t="shared" si="258"/>
        <v>5.8941957702171797</v>
      </c>
      <c r="AM448" s="730">
        <f t="shared" si="259"/>
        <v>-88.11753306386791</v>
      </c>
      <c r="AN448" s="351"/>
      <c r="AO448" s="337">
        <f t="shared" si="260"/>
        <v>28.480778811801066</v>
      </c>
      <c r="AP448" s="730">
        <f t="shared" si="261"/>
        <v>-115.55001133701153</v>
      </c>
      <c r="AS448" s="351"/>
      <c r="AT448" s="351"/>
      <c r="AV448" s="405">
        <f t="shared" si="262"/>
        <v>0</v>
      </c>
      <c r="AW448" s="405">
        <f t="shared" si="287"/>
        <v>0</v>
      </c>
      <c r="AX448" s="405">
        <f t="shared" si="263"/>
        <v>0</v>
      </c>
      <c r="AY448" s="405">
        <f t="shared" si="264"/>
        <v>0</v>
      </c>
    </row>
    <row r="449" spans="2:51" ht="13.5" thickBot="1" x14ac:dyDescent="0.25">
      <c r="B449" s="345">
        <v>47863</v>
      </c>
      <c r="C449" s="728" t="str">
        <f t="shared" si="247"/>
        <v>2.2271548443541</v>
      </c>
      <c r="D449" s="728" t="str">
        <f t="shared" si="248"/>
        <v>1+36.5890719668337i</v>
      </c>
      <c r="E449" s="337">
        <f t="shared" si="266"/>
        <v>36.602734698300019</v>
      </c>
      <c r="F449" s="338">
        <f t="shared" si="267"/>
        <v>1.5434725639553548</v>
      </c>
      <c r="G449" s="338" t="str">
        <f t="shared" si="249"/>
        <v>1+0.150366049178769i</v>
      </c>
      <c r="H449" s="337">
        <f t="shared" si="268"/>
        <v>1.0112417855021776</v>
      </c>
      <c r="I449" s="338">
        <f t="shared" si="269"/>
        <v>0.14924792267811446</v>
      </c>
      <c r="J449" s="340">
        <f t="shared" si="250"/>
        <v>1</v>
      </c>
      <c r="K449" s="338">
        <f t="shared" si="270"/>
        <v>1</v>
      </c>
      <c r="L449" s="339">
        <f t="shared" si="271"/>
        <v>0</v>
      </c>
      <c r="M449" s="731" t="str">
        <f t="shared" si="251"/>
        <v>0.898183699155555+0.648211741618916i</v>
      </c>
      <c r="N449" s="338">
        <f t="shared" si="272"/>
        <v>1.1076607871552486</v>
      </c>
      <c r="O449" s="339">
        <f t="shared" si="273"/>
        <v>0.62513630807365683</v>
      </c>
      <c r="P449" s="732" t="str">
        <f t="shared" si="265"/>
        <v>-0.0240905709449491-0.0500545870297963i</v>
      </c>
      <c r="Q449" s="337">
        <f t="shared" si="274"/>
        <v>5.5550133133747563E-2</v>
      </c>
      <c r="R449" s="339">
        <f t="shared" si="275"/>
        <v>-2.0193609493508977</v>
      </c>
      <c r="S449" s="731" t="str">
        <f t="shared" si="252"/>
        <v>6000</v>
      </c>
      <c r="T449" s="337" t="str">
        <f t="shared" si="253"/>
        <v>1+303739.419341112i</v>
      </c>
      <c r="U449" s="346">
        <f t="shared" si="276"/>
        <v>303739.41934275819</v>
      </c>
      <c r="V449" s="347">
        <f t="shared" si="277"/>
        <v>1.5707930344991448</v>
      </c>
      <c r="W449" s="340" t="str">
        <f t="shared" si="254"/>
        <v>1+3007.32098357537i</v>
      </c>
      <c r="X449" s="337">
        <f t="shared" si="278"/>
        <v>3007.3211498363012</v>
      </c>
      <c r="Y449" s="339">
        <f t="shared" si="279"/>
        <v>1.5704638049362043</v>
      </c>
      <c r="Z449" s="337" t="str">
        <f t="shared" si="255"/>
        <v>1+30.2941159895999i</v>
      </c>
      <c r="AA449" s="346">
        <f t="shared" si="280"/>
        <v>30.310616351228031</v>
      </c>
      <c r="AB449" s="347">
        <f t="shared" si="281"/>
        <v>1.5377985979963862</v>
      </c>
      <c r="AC449" s="732" t="str">
        <f t="shared" si="282"/>
        <v>0.0640157835046206-1.95885976323979i</v>
      </c>
      <c r="AD449" s="337">
        <f t="shared" si="283"/>
        <v>1.959905506032767</v>
      </c>
      <c r="AE449" s="339">
        <f t="shared" si="284"/>
        <v>-1.5381278275593266</v>
      </c>
      <c r="AF449" s="736" t="str">
        <f t="shared" si="256"/>
        <v>-0.0995920932723668+0.0439857664908217i</v>
      </c>
      <c r="AG449" s="337">
        <f t="shared" si="285"/>
        <v>-19.261595257670049</v>
      </c>
      <c r="AH449" s="730">
        <f t="shared" si="286"/>
        <v>156.17090741788689</v>
      </c>
      <c r="AI449" s="360">
        <f t="shared" si="257"/>
        <v>-23.829092582113105</v>
      </c>
      <c r="AL449" s="337">
        <f t="shared" si="258"/>
        <v>5.844702659804776</v>
      </c>
      <c r="AM449" s="730">
        <f t="shared" si="259"/>
        <v>-88.128232870775491</v>
      </c>
      <c r="AN449" s="351"/>
      <c r="AO449" s="337">
        <f t="shared" si="260"/>
        <v>28.422824567567314</v>
      </c>
      <c r="AP449" s="730">
        <f t="shared" si="261"/>
        <v>-115.70085971133771</v>
      </c>
      <c r="AS449" s="351"/>
      <c r="AT449" s="351"/>
      <c r="AV449" s="405">
        <f t="shared" si="262"/>
        <v>0</v>
      </c>
      <c r="AW449" s="405">
        <f t="shared" si="287"/>
        <v>0</v>
      </c>
      <c r="AX449" s="405">
        <f t="shared" si="263"/>
        <v>0</v>
      </c>
      <c r="AY449" s="405">
        <f t="shared" si="264"/>
        <v>0</v>
      </c>
    </row>
    <row r="450" spans="2:51" ht="13.5" thickBot="1" x14ac:dyDescent="0.25">
      <c r="B450" s="345">
        <v>48141.75</v>
      </c>
      <c r="C450" s="728" t="str">
        <f t="shared" si="247"/>
        <v>2.2271548443541</v>
      </c>
      <c r="D450" s="728" t="str">
        <f t="shared" si="248"/>
        <v>1+36.8021635785328i</v>
      </c>
      <c r="E450" s="337">
        <f t="shared" si="266"/>
        <v>36.81574722942733</v>
      </c>
      <c r="F450" s="338">
        <f t="shared" si="267"/>
        <v>1.5436306957509458</v>
      </c>
      <c r="G450" s="338" t="str">
        <f t="shared" si="249"/>
        <v>1+0.151241768130957i</v>
      </c>
      <c r="H450" s="337">
        <f t="shared" si="268"/>
        <v>1.0113723708048279</v>
      </c>
      <c r="I450" s="338">
        <f t="shared" si="269"/>
        <v>0.15010416898209983</v>
      </c>
      <c r="J450" s="340">
        <f t="shared" si="250"/>
        <v>1</v>
      </c>
      <c r="K450" s="338">
        <f t="shared" si="270"/>
        <v>1</v>
      </c>
      <c r="L450" s="339">
        <f t="shared" si="271"/>
        <v>0</v>
      </c>
      <c r="M450" s="731" t="str">
        <f t="shared" si="251"/>
        <v>0.896994306975+0.651986871113019i</v>
      </c>
      <c r="N450" s="338">
        <f t="shared" si="272"/>
        <v>1.1089119292573713</v>
      </c>
      <c r="O450" s="339">
        <f t="shared" si="273"/>
        <v>0.62852452887268762</v>
      </c>
      <c r="P450" s="732" t="str">
        <f t="shared" si="265"/>
        <v>-0.0240609039001909-0.0496507003279669i</v>
      </c>
      <c r="Q450" s="337">
        <f t="shared" si="274"/>
        <v>5.5173536587315067E-2</v>
      </c>
      <c r="R450" s="339">
        <f t="shared" si="275"/>
        <v>-2.0220510556415339</v>
      </c>
      <c r="S450" s="731" t="str">
        <f t="shared" si="252"/>
        <v>6000</v>
      </c>
      <c r="T450" s="337" t="str">
        <f t="shared" si="253"/>
        <v>1+305508.371624532i</v>
      </c>
      <c r="U450" s="346">
        <f t="shared" si="276"/>
        <v>305508.37162616861</v>
      </c>
      <c r="V450" s="347">
        <f t="shared" si="277"/>
        <v>1.5707930535621708</v>
      </c>
      <c r="W450" s="340" t="str">
        <f t="shared" si="254"/>
        <v>1+3024.83536261913i</v>
      </c>
      <c r="X450" s="337">
        <f t="shared" si="278"/>
        <v>3024.8355279173784</v>
      </c>
      <c r="Y450" s="339">
        <f t="shared" si="279"/>
        <v>1.5704657303016374</v>
      </c>
      <c r="Z450" s="337" t="str">
        <f t="shared" si="255"/>
        <v>1+30.470546318499i</v>
      </c>
      <c r="AA450" s="346">
        <f t="shared" si="280"/>
        <v>30.486951191416189</v>
      </c>
      <c r="AB450" s="347">
        <f t="shared" si="281"/>
        <v>1.5379895237367103</v>
      </c>
      <c r="AC450" s="732" t="str">
        <f t="shared" si="282"/>
        <v>0.0632773975836726-1.94754182087297i</v>
      </c>
      <c r="AD450" s="337">
        <f t="shared" si="283"/>
        <v>1.948569519697505</v>
      </c>
      <c r="AE450" s="339">
        <f t="shared" si="284"/>
        <v>-1.5383168469972439</v>
      </c>
      <c r="AF450" s="736" t="str">
        <f t="shared" si="256"/>
        <v>-0.0982193267066618+0.0437178494886668i</v>
      </c>
      <c r="AG450" s="337">
        <f t="shared" si="285"/>
        <v>-19.371065446017358</v>
      </c>
      <c r="AH450" s="730">
        <f t="shared" si="286"/>
        <v>156.00594566495326</v>
      </c>
      <c r="AI450" s="360">
        <f t="shared" si="257"/>
        <v>-23.994054335046741</v>
      </c>
      <c r="AL450" s="337">
        <f t="shared" si="258"/>
        <v>5.794318097184588</v>
      </c>
      <c r="AM450" s="730">
        <f t="shared" si="259"/>
        <v>-88.139062886814088</v>
      </c>
      <c r="AN450" s="351"/>
      <c r="AO450" s="337">
        <f t="shared" si="260"/>
        <v>28.363738941840175</v>
      </c>
      <c r="AP450" s="730">
        <f t="shared" si="261"/>
        <v>-115.85499144823265</v>
      </c>
      <c r="AS450" s="351"/>
      <c r="AT450" s="351"/>
      <c r="AV450" s="405">
        <f t="shared" si="262"/>
        <v>0</v>
      </c>
      <c r="AW450" s="405">
        <f t="shared" si="287"/>
        <v>0</v>
      </c>
      <c r="AX450" s="405">
        <f t="shared" si="263"/>
        <v>0</v>
      </c>
      <c r="AY450" s="405">
        <f t="shared" si="264"/>
        <v>0</v>
      </c>
    </row>
    <row r="451" spans="2:51" ht="13.5" thickBot="1" x14ac:dyDescent="0.25">
      <c r="B451" s="345">
        <v>48420.5</v>
      </c>
      <c r="C451" s="728" t="str">
        <f t="shared" si="247"/>
        <v>2.2271548443541</v>
      </c>
      <c r="D451" s="728" t="str">
        <f t="shared" si="248"/>
        <v>1+37.0152551902318i</v>
      </c>
      <c r="E451" s="337">
        <f t="shared" si="266"/>
        <v>37.028760670565006</v>
      </c>
      <c r="F451" s="338">
        <f t="shared" si="267"/>
        <v>1.5437870081971636</v>
      </c>
      <c r="G451" s="338" t="str">
        <f t="shared" si="249"/>
        <v>1+0.152117487083144i</v>
      </c>
      <c r="H451" s="337">
        <f t="shared" si="268"/>
        <v>1.0115036974111813</v>
      </c>
      <c r="I451" s="338">
        <f t="shared" si="269"/>
        <v>0.15096019357541782</v>
      </c>
      <c r="J451" s="340">
        <f t="shared" si="250"/>
        <v>1</v>
      </c>
      <c r="K451" s="338">
        <f t="shared" si="270"/>
        <v>1</v>
      </c>
      <c r="L451" s="339">
        <f t="shared" si="271"/>
        <v>0</v>
      </c>
      <c r="M451" s="731" t="str">
        <f t="shared" si="251"/>
        <v>0.895798007988889+0.655762000607122i</v>
      </c>
      <c r="N451" s="338">
        <f t="shared" si="272"/>
        <v>1.1101701998149278</v>
      </c>
      <c r="O451" s="339">
        <f t="shared" si="273"/>
        <v>0.63190874885820059</v>
      </c>
      <c r="P451" s="732" t="str">
        <f t="shared" si="265"/>
        <v>-0.0240307806166233-0.0492511962749697i</v>
      </c>
      <c r="Q451" s="337">
        <f t="shared" si="274"/>
        <v>5.4801083488922611E-2</v>
      </c>
      <c r="R451" s="339">
        <f t="shared" si="275"/>
        <v>-2.024735563479946</v>
      </c>
      <c r="S451" s="731" t="str">
        <f t="shared" si="252"/>
        <v>6000</v>
      </c>
      <c r="T451" s="337" t="str">
        <f t="shared" si="253"/>
        <v>1+307277.323907952i</v>
      </c>
      <c r="U451" s="346">
        <f t="shared" si="276"/>
        <v>307277.32390957919</v>
      </c>
      <c r="V451" s="347">
        <f t="shared" si="277"/>
        <v>1.5707930724057106</v>
      </c>
      <c r="W451" s="340" t="str">
        <f t="shared" si="254"/>
        <v>1+3042.34974166289i</v>
      </c>
      <c r="X451" s="337">
        <f t="shared" si="278"/>
        <v>3042.3499060095396</v>
      </c>
      <c r="Y451" s="339">
        <f t="shared" si="279"/>
        <v>1.5704676334989573</v>
      </c>
      <c r="Z451" s="337" t="str">
        <f t="shared" si="255"/>
        <v>1+30.6469766473981i</v>
      </c>
      <c r="AA451" s="346">
        <f t="shared" si="280"/>
        <v>30.663287130152312</v>
      </c>
      <c r="AB451" s="347">
        <f t="shared" si="281"/>
        <v>1.5381782535633972</v>
      </c>
      <c r="AC451" s="732" t="str">
        <f t="shared" si="282"/>
        <v>0.0625517091875964-1.93635377579168i</v>
      </c>
      <c r="AD451" s="337">
        <f t="shared" si="283"/>
        <v>1.9373638433048619</v>
      </c>
      <c r="AE451" s="339">
        <f t="shared" si="284"/>
        <v>-1.5385036924701505</v>
      </c>
      <c r="AF451" s="736" t="str">
        <f t="shared" si="256"/>
        <v>-0.0968709062699766+0.0434513462756869i</v>
      </c>
      <c r="AG451" s="337">
        <f t="shared" si="285"/>
        <v>-19.479993291010604</v>
      </c>
      <c r="AH451" s="730">
        <f t="shared" si="286"/>
        <v>155.84142923872375</v>
      </c>
      <c r="AI451" s="360">
        <f t="shared" si="257"/>
        <v>-24.158570761276252</v>
      </c>
      <c r="AL451" s="337">
        <f t="shared" si="258"/>
        <v>5.7442238062332063</v>
      </c>
      <c r="AM451" s="730">
        <f t="shared" si="259"/>
        <v>-88.149768343832761</v>
      </c>
      <c r="AN451" s="351"/>
      <c r="AO451" s="337">
        <f t="shared" si="260"/>
        <v>28.304905387798328</v>
      </c>
      <c r="AP451" s="730">
        <f t="shared" si="261"/>
        <v>-116.00880241744348</v>
      </c>
      <c r="AS451" s="351"/>
      <c r="AT451" s="351"/>
      <c r="AV451" s="405">
        <f t="shared" si="262"/>
        <v>0</v>
      </c>
      <c r="AW451" s="405">
        <f t="shared" si="287"/>
        <v>0</v>
      </c>
      <c r="AX451" s="405">
        <f t="shared" si="263"/>
        <v>0</v>
      </c>
      <c r="AY451" s="405">
        <f t="shared" si="264"/>
        <v>0</v>
      </c>
    </row>
    <row r="452" spans="2:51" ht="13.5" thickBot="1" x14ac:dyDescent="0.25">
      <c r="B452" s="345">
        <v>48699.25</v>
      </c>
      <c r="C452" s="728" t="str">
        <f t="shared" si="247"/>
        <v>2.2271548443541</v>
      </c>
      <c r="D452" s="728" t="str">
        <f t="shared" si="248"/>
        <v>1+37.2283468019309i</v>
      </c>
      <c r="E452" s="337">
        <f t="shared" si="266"/>
        <v>37.241775006098173</v>
      </c>
      <c r="F452" s="338">
        <f t="shared" si="267"/>
        <v>1.5439415325050758</v>
      </c>
      <c r="G452" s="338" t="str">
        <f t="shared" si="249"/>
        <v>1+0.152993206035332i</v>
      </c>
      <c r="H452" s="337">
        <f t="shared" si="268"/>
        <v>1.0116357650325385</v>
      </c>
      <c r="I452" s="338">
        <f t="shared" si="269"/>
        <v>0.15181599529010842</v>
      </c>
      <c r="J452" s="340">
        <f t="shared" si="250"/>
        <v>1</v>
      </c>
      <c r="K452" s="338">
        <f t="shared" si="270"/>
        <v>1</v>
      </c>
      <c r="L452" s="339">
        <f t="shared" si="271"/>
        <v>0</v>
      </c>
      <c r="M452" s="731" t="str">
        <f t="shared" si="251"/>
        <v>0.894594802197223+0.659537130101224i</v>
      </c>
      <c r="N452" s="338">
        <f t="shared" si="272"/>
        <v>1.1114355969197889</v>
      </c>
      <c r="O452" s="339">
        <f t="shared" si="273"/>
        <v>0.63528895520371276</v>
      </c>
      <c r="P452" s="732" t="str">
        <f t="shared" si="265"/>
        <v>-0.0240002107859514-0.0488560048261443i</v>
      </c>
      <c r="Q452" s="337">
        <f t="shared" si="274"/>
        <v>5.4432704556565369E-2</v>
      </c>
      <c r="R452" s="339">
        <f t="shared" si="275"/>
        <v>-2.0274144924186812</v>
      </c>
      <c r="S452" s="731" t="str">
        <f t="shared" si="252"/>
        <v>6000</v>
      </c>
      <c r="T452" s="337" t="str">
        <f t="shared" si="253"/>
        <v>1+309046.276191372i</v>
      </c>
      <c r="U452" s="346">
        <f t="shared" si="276"/>
        <v>309046.27619298984</v>
      </c>
      <c r="V452" s="347">
        <f t="shared" si="277"/>
        <v>1.5707930910335333</v>
      </c>
      <c r="W452" s="340" t="str">
        <f t="shared" si="254"/>
        <v>1+3059.86412070665i</v>
      </c>
      <c r="X452" s="337">
        <f t="shared" si="278"/>
        <v>3059.8642841125948</v>
      </c>
      <c r="Y452" s="339">
        <f t="shared" si="279"/>
        <v>1.5704695149088292</v>
      </c>
      <c r="Z452" s="337" t="str">
        <f t="shared" si="255"/>
        <v>1+30.8234069762973i</v>
      </c>
      <c r="AA452" s="346">
        <f t="shared" si="280"/>
        <v>30.839624148592552</v>
      </c>
      <c r="AB452" s="347">
        <f t="shared" si="281"/>
        <v>1.5383648251307445</v>
      </c>
      <c r="AC452" s="732" t="str">
        <f t="shared" si="282"/>
        <v>0.0618384289431996-1.9252934068239i</v>
      </c>
      <c r="AD452" s="337">
        <f t="shared" si="283"/>
        <v>1.9262862439559039</v>
      </c>
      <c r="AE452" s="339">
        <f t="shared" si="284"/>
        <v>-1.5386884012554485</v>
      </c>
      <c r="AF452" s="736" t="str">
        <f t="shared" si="256"/>
        <v>-0.0955462793048411+0.0431862690056859i</v>
      </c>
      <c r="AG452" s="337">
        <f t="shared" si="285"/>
        <v>-19.58838526866705</v>
      </c>
      <c r="AH452" s="730">
        <f t="shared" si="286"/>
        <v>155.67735488308222</v>
      </c>
      <c r="AI452" s="360">
        <f t="shared" si="257"/>
        <v>-24.322645116917784</v>
      </c>
      <c r="AL452" s="337">
        <f t="shared" si="258"/>
        <v>5.6944164650496196</v>
      </c>
      <c r="AM452" s="730">
        <f t="shared" si="259"/>
        <v>-88.160351377669315</v>
      </c>
      <c r="AN452" s="351"/>
      <c r="AO452" s="337">
        <f t="shared" si="260"/>
        <v>28.246320751325467</v>
      </c>
      <c r="AP452" s="730">
        <f t="shared" si="261"/>
        <v>-116.16229373924844</v>
      </c>
      <c r="AS452" s="351"/>
      <c r="AT452" s="351"/>
      <c r="AV452" s="405">
        <f t="shared" si="262"/>
        <v>0</v>
      </c>
      <c r="AW452" s="405">
        <f t="shared" si="287"/>
        <v>0</v>
      </c>
      <c r="AX452" s="405">
        <f t="shared" si="263"/>
        <v>0</v>
      </c>
      <c r="AY452" s="405">
        <f t="shared" si="264"/>
        <v>0</v>
      </c>
    </row>
    <row r="453" spans="2:51" ht="13.5" thickBot="1" x14ac:dyDescent="0.25">
      <c r="B453" s="345">
        <v>48978</v>
      </c>
      <c r="C453" s="728" t="str">
        <f t="shared" si="247"/>
        <v>2.2271548443541</v>
      </c>
      <c r="D453" s="728" t="str">
        <f t="shared" si="248"/>
        <v>1+37.4414384136301i</v>
      </c>
      <c r="E453" s="337">
        <f t="shared" si="266"/>
        <v>37.454790220766903</v>
      </c>
      <c r="F453" s="338">
        <f t="shared" si="267"/>
        <v>1.5440942991760735</v>
      </c>
      <c r="G453" s="338" t="str">
        <f t="shared" si="249"/>
        <v>1+0.153868924987521i</v>
      </c>
      <c r="H453" s="337">
        <f t="shared" si="268"/>
        <v>1.0117685733787225</v>
      </c>
      <c r="I453" s="338">
        <f t="shared" si="269"/>
        <v>0.15267157296012371</v>
      </c>
      <c r="J453" s="340">
        <f t="shared" si="250"/>
        <v>1</v>
      </c>
      <c r="K453" s="338">
        <f t="shared" si="270"/>
        <v>1</v>
      </c>
      <c r="L453" s="339">
        <f t="shared" si="271"/>
        <v>0</v>
      </c>
      <c r="M453" s="731" t="str">
        <f t="shared" si="251"/>
        <v>0.8933846896+0.663312259595329i</v>
      </c>
      <c r="N453" s="338">
        <f t="shared" si="272"/>
        <v>1.1127081186641667</v>
      </c>
      <c r="O453" s="339">
        <f t="shared" si="273"/>
        <v>0.63866513521901369</v>
      </c>
      <c r="P453" s="732" t="str">
        <f t="shared" si="265"/>
        <v>-0.023969203878064-0.0484650575105469i</v>
      </c>
      <c r="Q453" s="337">
        <f t="shared" si="274"/>
        <v>5.4068332081254528E-2</v>
      </c>
      <c r="R453" s="339">
        <f t="shared" si="275"/>
        <v>-2.0300878614349624</v>
      </c>
      <c r="S453" s="731" t="str">
        <f t="shared" si="252"/>
        <v>6000</v>
      </c>
      <c r="T453" s="337" t="str">
        <f t="shared" si="253"/>
        <v>1+310815.228474792i</v>
      </c>
      <c r="U453" s="346">
        <f t="shared" si="276"/>
        <v>310815.22847640066</v>
      </c>
      <c r="V453" s="347">
        <f t="shared" si="277"/>
        <v>1.5707931094493215</v>
      </c>
      <c r="W453" s="340" t="str">
        <f t="shared" si="254"/>
        <v>1+3077.37849975042i</v>
      </c>
      <c r="X453" s="337">
        <f t="shared" si="278"/>
        <v>3077.3786622263669</v>
      </c>
      <c r="Y453" s="339">
        <f t="shared" si="279"/>
        <v>1.5704713749032515</v>
      </c>
      <c r="Z453" s="337" t="str">
        <f t="shared" si="255"/>
        <v>1+30.9998373051965i</v>
      </c>
      <c r="AA453" s="346">
        <f t="shared" si="280"/>
        <v>31.015962228321285</v>
      </c>
      <c r="AB453" s="347">
        <f t="shared" si="281"/>
        <v>1.5385492752373386</v>
      </c>
      <c r="AC453" s="732" t="str">
        <f t="shared" si="282"/>
        <v>0.0611372756711568-1.91435854309898i</v>
      </c>
      <c r="AD453" s="337">
        <f t="shared" si="283"/>
        <v>1.9153345394506258</v>
      </c>
      <c r="AE453" s="339">
        <f t="shared" si="284"/>
        <v>-1.5388710097834088</v>
      </c>
      <c r="AF453" s="736" t="str">
        <f t="shared" si="256"/>
        <v>-0.0942449087122102+0.0429226286338123i</v>
      </c>
      <c r="AG453" s="337">
        <f t="shared" si="285"/>
        <v>-19.696247741331543</v>
      </c>
      <c r="AH453" s="730">
        <f t="shared" si="286"/>
        <v>155.51371942341302</v>
      </c>
      <c r="AI453" s="360">
        <f t="shared" si="257"/>
        <v>-24.486280576586978</v>
      </c>
      <c r="AL453" s="337">
        <f t="shared" si="258"/>
        <v>5.6448928083729379</v>
      </c>
      <c r="AM453" s="730">
        <f t="shared" si="259"/>
        <v>-88.170814075624548</v>
      </c>
      <c r="AN453" s="351"/>
      <c r="AO453" s="337">
        <f t="shared" si="260"/>
        <v>28.187981935337657</v>
      </c>
      <c r="AP453" s="730">
        <f t="shared" si="261"/>
        <v>-116.31546650096243</v>
      </c>
      <c r="AS453" s="351"/>
      <c r="AT453" s="351"/>
      <c r="AV453" s="405">
        <f t="shared" si="262"/>
        <v>0</v>
      </c>
      <c r="AW453" s="405">
        <f t="shared" si="287"/>
        <v>0</v>
      </c>
      <c r="AX453" s="405">
        <f t="shared" si="263"/>
        <v>0</v>
      </c>
      <c r="AY453" s="405">
        <f t="shared" si="264"/>
        <v>0</v>
      </c>
    </row>
    <row r="454" spans="2:51" ht="13.5" thickBot="1" x14ac:dyDescent="0.25">
      <c r="B454" s="345">
        <v>49263.25</v>
      </c>
      <c r="C454" s="728" t="str">
        <f t="shared" si="247"/>
        <v>2.2271548443541</v>
      </c>
      <c r="D454" s="728" t="str">
        <f t="shared" si="248"/>
        <v>1+37.6594989777097i</v>
      </c>
      <c r="E454" s="337">
        <f t="shared" si="266"/>
        <v>37.67277350092661</v>
      </c>
      <c r="F454" s="338">
        <f t="shared" si="267"/>
        <v>1.5442488396249734</v>
      </c>
      <c r="G454" s="338" t="str">
        <f t="shared" si="249"/>
        <v>1+0.154765064291957i</v>
      </c>
      <c r="H454" s="337">
        <f t="shared" si="268"/>
        <v>1.0119052451318225</v>
      </c>
      <c r="I454" s="338">
        <f t="shared" si="269"/>
        <v>0.15354686816355642</v>
      </c>
      <c r="J454" s="340">
        <f t="shared" si="250"/>
        <v>1</v>
      </c>
      <c r="K454" s="338">
        <f t="shared" si="270"/>
        <v>1</v>
      </c>
      <c r="L454" s="339">
        <f t="shared" si="271"/>
        <v>0</v>
      </c>
      <c r="M454" s="731" t="str">
        <f t="shared" si="251"/>
        <v>0.892139208863889+0.667175419014856i</v>
      </c>
      <c r="N454" s="338">
        <f t="shared" si="272"/>
        <v>1.11401768735058</v>
      </c>
      <c r="O454" s="339">
        <f t="shared" si="273"/>
        <v>0.64211586094891693</v>
      </c>
      <c r="P454" s="732" t="str">
        <f t="shared" si="265"/>
        <v>-0.0239370311098704-0.0480693178401076i</v>
      </c>
      <c r="Q454" s="337">
        <f t="shared" si="274"/>
        <v>5.3699541673725586E-2</v>
      </c>
      <c r="R454" s="339">
        <f t="shared" si="275"/>
        <v>-2.032817832410335</v>
      </c>
      <c r="S454" s="731" t="str">
        <f t="shared" si="252"/>
        <v>6000</v>
      </c>
      <c r="T454" s="337" t="str">
        <f t="shared" si="253"/>
        <v>1+312625.429869754i</v>
      </c>
      <c r="U454" s="346">
        <f t="shared" si="276"/>
        <v>312625.42987135338</v>
      </c>
      <c r="V454" s="347">
        <f t="shared" si="277"/>
        <v>1.5707931280787832</v>
      </c>
      <c r="W454" s="340" t="str">
        <f t="shared" si="254"/>
        <v>1+3095.30128583915i</v>
      </c>
      <c r="X454" s="337">
        <f t="shared" si="278"/>
        <v>3095.3014473743092</v>
      </c>
      <c r="Y454" s="339">
        <f t="shared" si="279"/>
        <v>1.5704732564786779</v>
      </c>
      <c r="Z454" s="337" t="str">
        <f t="shared" si="255"/>
        <v>1+31.1803817045454i</v>
      </c>
      <c r="AA454" s="346">
        <f t="shared" si="280"/>
        <v>31.196413307320274</v>
      </c>
      <c r="AB454" s="347">
        <f t="shared" si="281"/>
        <v>1.5387358677009044</v>
      </c>
      <c r="AC454" s="732" t="str">
        <f t="shared" si="282"/>
        <v>0.0604320420316008-1.90329641167156i</v>
      </c>
      <c r="AD454" s="337">
        <f t="shared" si="283"/>
        <v>1.9042555664579128</v>
      </c>
      <c r="AE454" s="339">
        <f t="shared" si="284"/>
        <v>-1.5390557393010098</v>
      </c>
      <c r="AF454" s="736" t="str">
        <f t="shared" si="256"/>
        <v>-0.0929367238267199+0.0426543383813431i</v>
      </c>
      <c r="AG454" s="337">
        <f t="shared" si="285"/>
        <v>-19.806083744216053</v>
      </c>
      <c r="AH454" s="730">
        <f t="shared" si="286"/>
        <v>155.34671938662095</v>
      </c>
      <c r="AI454" s="360">
        <f t="shared" si="257"/>
        <v>-24.653280613379053</v>
      </c>
      <c r="AL454" s="337">
        <f t="shared" si="258"/>
        <v>5.5945046756555321</v>
      </c>
      <c r="AM454" s="730">
        <f t="shared" si="259"/>
        <v>-88.181398297334567</v>
      </c>
      <c r="AN454" s="351"/>
      <c r="AO454" s="337">
        <f t="shared" si="260"/>
        <v>28.128534065170566</v>
      </c>
      <c r="AP454" s="730">
        <f t="shared" si="261"/>
        <v>-116.47188231604439</v>
      </c>
      <c r="AS454" s="351"/>
      <c r="AT454" s="351"/>
      <c r="AV454" s="405">
        <f t="shared" si="262"/>
        <v>0</v>
      </c>
      <c r="AW454" s="405">
        <f t="shared" si="287"/>
        <v>0</v>
      </c>
      <c r="AX454" s="405">
        <f t="shared" si="263"/>
        <v>0</v>
      </c>
      <c r="AY454" s="405">
        <f t="shared" si="264"/>
        <v>0</v>
      </c>
    </row>
    <row r="455" spans="2:51" ht="13.5" thickBot="1" x14ac:dyDescent="0.25">
      <c r="B455" s="345">
        <v>49548.5</v>
      </c>
      <c r="C455" s="728" t="str">
        <f t="shared" si="247"/>
        <v>2.2271548443541</v>
      </c>
      <c r="D455" s="728" t="str">
        <f t="shared" si="248"/>
        <v>1+37.8775595417892i</v>
      </c>
      <c r="E455" s="337">
        <f t="shared" si="266"/>
        <v>37.890757670463472</v>
      </c>
      <c r="F455" s="338">
        <f t="shared" si="267"/>
        <v>1.5444016019461702</v>
      </c>
      <c r="G455" s="338" t="str">
        <f t="shared" si="249"/>
        <v>1+0.155661203596394i</v>
      </c>
      <c r="H455" s="337">
        <f t="shared" si="268"/>
        <v>1.0120426919379826</v>
      </c>
      <c r="I455" s="338">
        <f t="shared" si="269"/>
        <v>0.15442192628734588</v>
      </c>
      <c r="J455" s="340">
        <f t="shared" si="250"/>
        <v>1</v>
      </c>
      <c r="K455" s="338">
        <f t="shared" si="270"/>
        <v>1</v>
      </c>
      <c r="L455" s="339">
        <f t="shared" si="271"/>
        <v>0</v>
      </c>
      <c r="M455" s="731" t="str">
        <f t="shared" si="251"/>
        <v>0.890886495455555+0.671038578434382i</v>
      </c>
      <c r="N455" s="338">
        <f t="shared" si="272"/>
        <v>1.1153347127801219</v>
      </c>
      <c r="O455" s="339">
        <f t="shared" si="273"/>
        <v>0.64556234393262202</v>
      </c>
      <c r="P455" s="732" t="str">
        <f t="shared" si="265"/>
        <v>-0.0239044200267022-0.047677882324499i</v>
      </c>
      <c r="Q455" s="337">
        <f t="shared" si="274"/>
        <v>5.3334808144042054E-2</v>
      </c>
      <c r="R455" s="339">
        <f t="shared" si="275"/>
        <v>-2.0355420195914453</v>
      </c>
      <c r="S455" s="731" t="str">
        <f t="shared" si="252"/>
        <v>6000</v>
      </c>
      <c r="T455" s="337" t="str">
        <f t="shared" si="253"/>
        <v>1+314435.631264716i</v>
      </c>
      <c r="U455" s="346">
        <f t="shared" si="276"/>
        <v>314435.63126630615</v>
      </c>
      <c r="V455" s="347">
        <f t="shared" si="277"/>
        <v>1.5707931464937457</v>
      </c>
      <c r="W455" s="340" t="str">
        <f t="shared" si="254"/>
        <v>1+3113.22407192788i</v>
      </c>
      <c r="X455" s="337">
        <f t="shared" si="278"/>
        <v>3113.224232533084</v>
      </c>
      <c r="Y455" s="339">
        <f t="shared" si="279"/>
        <v>1.5704751163897013</v>
      </c>
      <c r="Z455" s="337" t="str">
        <f t="shared" si="255"/>
        <v>1+31.3609261038942i</v>
      </c>
      <c r="AA455" s="346">
        <f t="shared" si="280"/>
        <v>31.376865459983616</v>
      </c>
      <c r="AB455" s="347">
        <f t="shared" si="281"/>
        <v>1.5389203139391259</v>
      </c>
      <c r="AC455" s="732" t="str">
        <f t="shared" si="282"/>
        <v>0.0597389368616831-1.8923612625685i</v>
      </c>
      <c r="AD455" s="337">
        <f t="shared" si="283"/>
        <v>1.8933039609759472</v>
      </c>
      <c r="AE455" s="339">
        <f t="shared" si="284"/>
        <v>-1.5392383440431703</v>
      </c>
      <c r="AF455" s="736" t="str">
        <f t="shared" si="256"/>
        <v>-0.0916518022308716+0.0423875724608159i</v>
      </c>
      <c r="AG455" s="337">
        <f t="shared" si="285"/>
        <v>-19.915378386655068</v>
      </c>
      <c r="AH455" s="730">
        <f t="shared" si="286"/>
        <v>155.18017247749484</v>
      </c>
      <c r="AI455" s="360">
        <f t="shared" si="257"/>
        <v>-24.819827522505165</v>
      </c>
      <c r="AL455" s="337">
        <f t="shared" si="258"/>
        <v>5.5444068696333071</v>
      </c>
      <c r="AM455" s="730">
        <f t="shared" si="259"/>
        <v>-88.191860778379436</v>
      </c>
      <c r="AN455" s="351"/>
      <c r="AO455" s="337">
        <f t="shared" si="260"/>
        <v>28.06933722875376</v>
      </c>
      <c r="AP455" s="730">
        <f t="shared" si="261"/>
        <v>-116.62796674412564</v>
      </c>
      <c r="AS455" s="351"/>
      <c r="AT455" s="351"/>
      <c r="AV455" s="405">
        <f t="shared" si="262"/>
        <v>0</v>
      </c>
      <c r="AW455" s="405">
        <f t="shared" si="287"/>
        <v>0</v>
      </c>
      <c r="AX455" s="405">
        <f t="shared" si="263"/>
        <v>0</v>
      </c>
      <c r="AY455" s="405">
        <f t="shared" si="264"/>
        <v>0</v>
      </c>
    </row>
    <row r="456" spans="2:51" ht="13.5" thickBot="1" x14ac:dyDescent="0.25">
      <c r="B456" s="345">
        <v>49833.75</v>
      </c>
      <c r="C456" s="728" t="str">
        <f t="shared" si="247"/>
        <v>2.2271548443541</v>
      </c>
      <c r="D456" s="728" t="str">
        <f t="shared" si="248"/>
        <v>1+38.0956201058688i</v>
      </c>
      <c r="E456" s="337">
        <f t="shared" si="266"/>
        <v>38.108742714115806</v>
      </c>
      <c r="F456" s="338">
        <f t="shared" si="267"/>
        <v>1.5445526166455683</v>
      </c>
      <c r="G456" s="338" t="str">
        <f t="shared" si="249"/>
        <v>1+0.15655734290083i</v>
      </c>
      <c r="H456" s="337">
        <f t="shared" si="268"/>
        <v>1.0121809134814626</v>
      </c>
      <c r="I456" s="338">
        <f t="shared" si="269"/>
        <v>0.15529674608823466</v>
      </c>
      <c r="J456" s="340">
        <f t="shared" si="250"/>
        <v>1</v>
      </c>
      <c r="K456" s="338">
        <f t="shared" si="270"/>
        <v>1</v>
      </c>
      <c r="L456" s="339">
        <f t="shared" si="271"/>
        <v>0</v>
      </c>
      <c r="M456" s="731" t="str">
        <f t="shared" si="251"/>
        <v>0.889626549375+0.674901737853909i</v>
      </c>
      <c r="N456" s="338">
        <f t="shared" si="272"/>
        <v>1.1166591929103058</v>
      </c>
      <c r="O456" s="339">
        <f t="shared" si="273"/>
        <v>0.64900457101312614</v>
      </c>
      <c r="P456" s="732" t="str">
        <f t="shared" si="265"/>
        <v>-0.0238713801008401-0.0472906824216175i</v>
      </c>
      <c r="Q456" s="337">
        <f t="shared" si="274"/>
        <v>5.2974063765403791E-2</v>
      </c>
      <c r="R456" s="339">
        <f t="shared" si="275"/>
        <v>-2.0382604415704604</v>
      </c>
      <c r="S456" s="731" t="str">
        <f t="shared" si="252"/>
        <v>6000</v>
      </c>
      <c r="T456" s="337" t="str">
        <f t="shared" si="253"/>
        <v>1+316245.832659678i</v>
      </c>
      <c r="U456" s="346">
        <f t="shared" si="276"/>
        <v>316245.8326612591</v>
      </c>
      <c r="V456" s="347">
        <f t="shared" si="277"/>
        <v>1.5707931646978925</v>
      </c>
      <c r="W456" s="340" t="str">
        <f t="shared" si="254"/>
        <v>1+3131.14685801661i</v>
      </c>
      <c r="X456" s="337">
        <f t="shared" si="278"/>
        <v>3131.1470177025044</v>
      </c>
      <c r="Y456" s="339">
        <f t="shared" si="279"/>
        <v>1.5704769550083448</v>
      </c>
      <c r="Z456" s="337" t="str">
        <f t="shared" si="255"/>
        <v>1+31.541470503243i</v>
      </c>
      <c r="AA456" s="346">
        <f t="shared" si="280"/>
        <v>31.557318667893</v>
      </c>
      <c r="AB456" s="347">
        <f t="shared" si="281"/>
        <v>1.5391026507574199</v>
      </c>
      <c r="AC456" s="732" t="str">
        <f t="shared" si="282"/>
        <v>0.0590576837288594-1.88155092400108i</v>
      </c>
      <c r="AD456" s="337">
        <f t="shared" si="283"/>
        <v>1.8824775402688703</v>
      </c>
      <c r="AE456" s="339">
        <f t="shared" si="284"/>
        <v>-1.5394188604469676</v>
      </c>
      <c r="AF456" s="736" t="str">
        <f t="shared" si="256"/>
        <v>-0.0903896156232028+0.0421223391201389i</v>
      </c>
      <c r="AG456" s="337">
        <f t="shared" si="285"/>
        <v>-20.024138133420344</v>
      </c>
      <c r="AH456" s="730">
        <f t="shared" si="286"/>
        <v>155.01407554309114</v>
      </c>
      <c r="AI456" s="360">
        <f t="shared" si="257"/>
        <v>-24.985924456908862</v>
      </c>
      <c r="AL456" s="337">
        <f t="shared" si="258"/>
        <v>5.4945960672238749</v>
      </c>
      <c r="AM456" s="730">
        <f t="shared" si="259"/>
        <v>-88.202203606449899</v>
      </c>
      <c r="AN456" s="351"/>
      <c r="AO456" s="337">
        <f t="shared" si="260"/>
        <v>28.010388284397919</v>
      </c>
      <c r="AP456" s="730">
        <f t="shared" si="261"/>
        <v>-116.78372085045896</v>
      </c>
      <c r="AS456" s="351"/>
      <c r="AT456" s="351"/>
      <c r="AV456" s="405">
        <f t="shared" si="262"/>
        <v>0</v>
      </c>
      <c r="AW456" s="405">
        <f t="shared" si="287"/>
        <v>0</v>
      </c>
      <c r="AX456" s="405">
        <f t="shared" si="263"/>
        <v>0</v>
      </c>
      <c r="AY456" s="405">
        <f t="shared" si="264"/>
        <v>0</v>
      </c>
    </row>
    <row r="457" spans="2:51" ht="13.5" thickBot="1" x14ac:dyDescent="0.25">
      <c r="B457" s="345">
        <v>50119</v>
      </c>
      <c r="C457" s="728" t="str">
        <f t="shared" si="247"/>
        <v>2.2271548443541</v>
      </c>
      <c r="D457" s="728" t="str">
        <f t="shared" si="248"/>
        <v>1+38.3136806699483i</v>
      </c>
      <c r="E457" s="337">
        <f t="shared" si="266"/>
        <v>38.32672861696873</v>
      </c>
      <c r="F457" s="338">
        <f t="shared" si="267"/>
        <v>1.5447019135353774</v>
      </c>
      <c r="G457" s="338" t="str">
        <f t="shared" si="249"/>
        <v>1+0.157453482205267i</v>
      </c>
      <c r="H457" s="337">
        <f t="shared" si="268"/>
        <v>1.0123199094449167</v>
      </c>
      <c r="I457" s="338">
        <f t="shared" si="269"/>
        <v>0.15617132632510536</v>
      </c>
      <c r="J457" s="340">
        <f t="shared" si="250"/>
        <v>1</v>
      </c>
      <c r="K457" s="338">
        <f t="shared" si="270"/>
        <v>1</v>
      </c>
      <c r="L457" s="339">
        <f t="shared" si="271"/>
        <v>0</v>
      </c>
      <c r="M457" s="731" t="str">
        <f t="shared" si="251"/>
        <v>0.888359370622222+0.678764897273435i</v>
      </c>
      <c r="N457" s="338">
        <f t="shared" si="272"/>
        <v>1.1179911256995412</v>
      </c>
      <c r="O457" s="339">
        <f t="shared" si="273"/>
        <v>0.65244252918190393</v>
      </c>
      <c r="P457" s="732" t="str">
        <f t="shared" si="265"/>
        <v>-0.023837920591226-0.04690765112668i</v>
      </c>
      <c r="Q457" s="337">
        <f t="shared" si="274"/>
        <v>5.2617242348263746E-2</v>
      </c>
      <c r="R457" s="339">
        <f t="shared" si="275"/>
        <v>-2.0409731163921743</v>
      </c>
      <c r="S457" s="731" t="str">
        <f t="shared" si="252"/>
        <v>6000</v>
      </c>
      <c r="T457" s="337" t="str">
        <f t="shared" si="253"/>
        <v>1+318056.034054639i</v>
      </c>
      <c r="U457" s="346">
        <f t="shared" si="276"/>
        <v>318056.03405621107</v>
      </c>
      <c r="V457" s="347">
        <f t="shared" si="277"/>
        <v>1.5707931826948234</v>
      </c>
      <c r="W457" s="340" t="str">
        <f t="shared" si="254"/>
        <v>1+3149.06964410534i</v>
      </c>
      <c r="X457" s="337">
        <f t="shared" si="278"/>
        <v>3149.0698028823899</v>
      </c>
      <c r="Y457" s="339">
        <f t="shared" si="279"/>
        <v>1.5704787726981626</v>
      </c>
      <c r="Z457" s="337" t="str">
        <f t="shared" si="255"/>
        <v>1+31.7220149025919i</v>
      </c>
      <c r="AA457" s="346">
        <f t="shared" si="280"/>
        <v>31.737772913048936</v>
      </c>
      <c r="AB457" s="347">
        <f t="shared" si="281"/>
        <v>1.5392829141247006</v>
      </c>
      <c r="AC457" s="732" t="str">
        <f t="shared" si="282"/>
        <v>0.0583880140289347-1.87086327337633i</v>
      </c>
      <c r="AD457" s="337">
        <f t="shared" si="283"/>
        <v>1.8717741711677294</v>
      </c>
      <c r="AE457" s="339">
        <f t="shared" si="284"/>
        <v>-1.5395973241213612</v>
      </c>
      <c r="AF457" s="736" t="str">
        <f t="shared" si="256"/>
        <v>-0.0891496505751566+0.0418586455557371i</v>
      </c>
      <c r="AG457" s="337">
        <f t="shared" si="285"/>
        <v>-20.132369335575746</v>
      </c>
      <c r="AH457" s="730">
        <f t="shared" si="286"/>
        <v>154.84842550927641</v>
      </c>
      <c r="AI457" s="360">
        <f t="shared" si="257"/>
        <v>-25.15157449072359</v>
      </c>
      <c r="AL457" s="337">
        <f t="shared" si="258"/>
        <v>5.4450690020171493</v>
      </c>
      <c r="AM457" s="730">
        <f t="shared" si="259"/>
        <v>-88.212428821789047</v>
      </c>
      <c r="AN457" s="351"/>
      <c r="AO457" s="337">
        <f t="shared" si="260"/>
        <v>27.951684147449242</v>
      </c>
      <c r="AP457" s="730">
        <f t="shared" si="261"/>
        <v>-116.93914566893467</v>
      </c>
      <c r="AS457" s="351"/>
      <c r="AT457" s="351"/>
      <c r="AV457" s="405">
        <f t="shared" si="262"/>
        <v>0</v>
      </c>
      <c r="AW457" s="405">
        <f t="shared" si="287"/>
        <v>0</v>
      </c>
      <c r="AX457" s="405">
        <f t="shared" si="263"/>
        <v>0</v>
      </c>
      <c r="AY457" s="405">
        <f t="shared" si="264"/>
        <v>0</v>
      </c>
    </row>
    <row r="458" spans="2:51" ht="13.5" thickBot="1" x14ac:dyDescent="0.25">
      <c r="B458" s="345">
        <v>50410.75</v>
      </c>
      <c r="C458" s="728" t="str">
        <f t="shared" si="247"/>
        <v>2.2271548443541</v>
      </c>
      <c r="D458" s="728" t="str">
        <f t="shared" si="248"/>
        <v>1+38.5367101864082i</v>
      </c>
      <c r="E458" s="337">
        <f t="shared" si="266"/>
        <v>38.549682644494204</v>
      </c>
      <c r="F458" s="338">
        <f t="shared" si="267"/>
        <v>1.5448528658531671</v>
      </c>
      <c r="G458" s="338" t="str">
        <f t="shared" si="249"/>
        <v>1+0.158370041861951i</v>
      </c>
      <c r="H458" s="337">
        <f t="shared" si="268"/>
        <v>1.0124628734720873</v>
      </c>
      <c r="I458" s="338">
        <f t="shared" si="269"/>
        <v>0.15706558654111652</v>
      </c>
      <c r="J458" s="340">
        <f t="shared" si="250"/>
        <v>1</v>
      </c>
      <c r="K458" s="338">
        <f t="shared" si="270"/>
        <v>1</v>
      </c>
      <c r="L458" s="339">
        <f t="shared" si="271"/>
        <v>0</v>
      </c>
      <c r="M458" s="731" t="str">
        <f t="shared" si="251"/>
        <v>0.887055834863889+0.682716086618383i</v>
      </c>
      <c r="N458" s="338">
        <f t="shared" si="272"/>
        <v>1.1193611164827866</v>
      </c>
      <c r="O458" s="339">
        <f t="shared" si="273"/>
        <v>0.65595439886575113</v>
      </c>
      <c r="P458" s="732" t="str">
        <f t="shared" si="265"/>
        <v>-0.0238032740386415-0.0465201355886072i</v>
      </c>
      <c r="Q458" s="337">
        <f t="shared" si="274"/>
        <v>5.2256280676499185E-2</v>
      </c>
      <c r="R458" s="339">
        <f t="shared" si="275"/>
        <v>-2.0437416781778026</v>
      </c>
      <c r="S458" s="731" t="str">
        <f t="shared" si="252"/>
        <v>6000</v>
      </c>
      <c r="T458" s="337" t="str">
        <f t="shared" si="253"/>
        <v>1+319907.484561142i</v>
      </c>
      <c r="U458" s="346">
        <f t="shared" si="276"/>
        <v>319907.48456270492</v>
      </c>
      <c r="V458" s="347">
        <f t="shared" si="277"/>
        <v>1.5707932008911643</v>
      </c>
      <c r="W458" s="340" t="str">
        <f t="shared" si="254"/>
        <v>1+3167.40083723903i</v>
      </c>
      <c r="X458" s="337">
        <f t="shared" si="278"/>
        <v>3167.4009950971645</v>
      </c>
      <c r="Y458" s="339">
        <f t="shared" si="279"/>
        <v>1.5704806105284179</v>
      </c>
      <c r="Z458" s="337" t="str">
        <f t="shared" si="255"/>
        <v>1+31.9066733723903i</v>
      </c>
      <c r="AA458" s="346">
        <f t="shared" si="280"/>
        <v>31.922340228943117</v>
      </c>
      <c r="AB458" s="347">
        <f t="shared" si="281"/>
        <v>1.5394651769358583</v>
      </c>
      <c r="AC458" s="732" t="str">
        <f t="shared" si="282"/>
        <v>0.057714794876521-1.86005683402223i</v>
      </c>
      <c r="AD458" s="337">
        <f t="shared" si="283"/>
        <v>1.8609520206981267</v>
      </c>
      <c r="AE458" s="339">
        <f t="shared" si="284"/>
        <v>-1.5397777672986048</v>
      </c>
      <c r="AF458" s="736" t="str">
        <f t="shared" si="256"/>
        <v>-0.0879038971997594+0.0415905424645546i</v>
      </c>
      <c r="AG458" s="337">
        <f t="shared" si="285"/>
        <v>-20.242526560707766</v>
      </c>
      <c r="AH458" s="730">
        <f t="shared" si="286"/>
        <v>154.67945997114077</v>
      </c>
      <c r="AI458" s="360">
        <f t="shared" si="257"/>
        <v>-25.320540028859227</v>
      </c>
      <c r="AL458" s="337">
        <f t="shared" si="258"/>
        <v>5.3947035247898718</v>
      </c>
      <c r="AM458" s="730">
        <f t="shared" si="259"/>
        <v>-88.222767454287037</v>
      </c>
      <c r="AN458" s="351"/>
      <c r="AO458" s="337">
        <f t="shared" si="260"/>
        <v>27.891892399544478</v>
      </c>
      <c r="AP458" s="730">
        <f t="shared" si="261"/>
        <v>-117.09777257457218</v>
      </c>
      <c r="AS458" s="351"/>
      <c r="AT458" s="351"/>
      <c r="AV458" s="405">
        <f t="shared" si="262"/>
        <v>0</v>
      </c>
      <c r="AW458" s="405">
        <f t="shared" si="287"/>
        <v>0</v>
      </c>
      <c r="AX458" s="405">
        <f t="shared" si="263"/>
        <v>0</v>
      </c>
      <c r="AY458" s="405">
        <f t="shared" si="264"/>
        <v>0</v>
      </c>
    </row>
    <row r="459" spans="2:51" ht="13.5" thickBot="1" x14ac:dyDescent="0.25">
      <c r="B459" s="345">
        <v>50702.5</v>
      </c>
      <c r="C459" s="728" t="str">
        <f t="shared" si="247"/>
        <v>2.2271548443541</v>
      </c>
      <c r="D459" s="728" t="str">
        <f t="shared" si="248"/>
        <v>1+38.7597397028682i</v>
      </c>
      <c r="E459" s="337">
        <f t="shared" si="266"/>
        <v>38.772637540333747</v>
      </c>
      <c r="F459" s="338">
        <f t="shared" si="267"/>
        <v>1.5450020821274406</v>
      </c>
      <c r="G459" s="338" t="str">
        <f t="shared" si="249"/>
        <v>1+0.159286601518637i</v>
      </c>
      <c r="H459" s="337">
        <f t="shared" si="268"/>
        <v>1.0126066469381667</v>
      </c>
      <c r="I459" s="338">
        <f t="shared" si="269"/>
        <v>0.15795959353145533</v>
      </c>
      <c r="J459" s="340">
        <f t="shared" si="250"/>
        <v>1</v>
      </c>
      <c r="K459" s="338">
        <f t="shared" si="270"/>
        <v>1</v>
      </c>
      <c r="L459" s="339">
        <f t="shared" si="271"/>
        <v>0</v>
      </c>
      <c r="M459" s="731" t="str">
        <f t="shared" si="251"/>
        <v>0.885744733055555+0.686667275963334i</v>
      </c>
      <c r="N459" s="338">
        <f t="shared" si="272"/>
        <v>1.12073889912618</v>
      </c>
      <c r="O459" s="339">
        <f t="shared" si="273"/>
        <v>0.65946177581756649</v>
      </c>
      <c r="P459" s="732" t="str">
        <f t="shared" si="265"/>
        <v>-0.0237682075003542-0.0461368437561683i</v>
      </c>
      <c r="Q459" s="337">
        <f t="shared" si="274"/>
        <v>5.1899287466794564E-2</v>
      </c>
      <c r="R459" s="339">
        <f t="shared" si="275"/>
        <v>-2.0465042644135503</v>
      </c>
      <c r="S459" s="731" t="str">
        <f t="shared" si="252"/>
        <v>6000</v>
      </c>
      <c r="T459" s="337" t="str">
        <f t="shared" si="253"/>
        <v>1+321758.935067646i</v>
      </c>
      <c r="U459" s="346">
        <f t="shared" si="276"/>
        <v>321758.93506919988</v>
      </c>
      <c r="V459" s="347">
        <f t="shared" si="277"/>
        <v>1.5707932188780962</v>
      </c>
      <c r="W459" s="340" t="str">
        <f t="shared" si="254"/>
        <v>1+3185.73203037273i</v>
      </c>
      <c r="X459" s="337">
        <f t="shared" si="278"/>
        <v>3185.7321873225251</v>
      </c>
      <c r="Y459" s="339">
        <f t="shared" si="279"/>
        <v>1.5704824272083584</v>
      </c>
      <c r="Z459" s="337" t="str">
        <f t="shared" si="255"/>
        <v>1+32.0913318421889i</v>
      </c>
      <c r="AA459" s="346">
        <f t="shared" si="280"/>
        <v>32.106908593097018</v>
      </c>
      <c r="AB459" s="347">
        <f t="shared" si="281"/>
        <v>1.5396453442569669</v>
      </c>
      <c r="AC459" s="732" t="str">
        <f t="shared" si="282"/>
        <v>0.0570531486446609-1.8493743978794i</v>
      </c>
      <c r="AD459" s="337">
        <f t="shared" si="283"/>
        <v>1.8502542326129301</v>
      </c>
      <c r="AE459" s="339">
        <f t="shared" si="284"/>
        <v>-1.5399561359267047</v>
      </c>
      <c r="AF459" s="736" t="str">
        <f t="shared" si="256"/>
        <v>-0.0866803487171545+0.041324062229824i</v>
      </c>
      <c r="AG459" s="337">
        <f t="shared" si="285"/>
        <v>-20.352143964753125</v>
      </c>
      <c r="AH459" s="730">
        <f t="shared" si="286"/>
        <v>154.5109556697038</v>
      </c>
      <c r="AI459" s="360">
        <f t="shared" si="257"/>
        <v>-25.489044330296196</v>
      </c>
      <c r="AL459" s="337">
        <f t="shared" si="258"/>
        <v>5.344628127358078</v>
      </c>
      <c r="AM459" s="730">
        <f t="shared" si="259"/>
        <v>-88.232987223874701</v>
      </c>
      <c r="AN459" s="351"/>
      <c r="AO459" s="337">
        <f t="shared" si="260"/>
        <v>27.832350392930948</v>
      </c>
      <c r="AP459" s="730">
        <f t="shared" si="261"/>
        <v>-117.25605710642145</v>
      </c>
      <c r="AS459" s="351"/>
      <c r="AT459" s="351"/>
      <c r="AV459" s="405">
        <f t="shared" si="262"/>
        <v>0</v>
      </c>
      <c r="AW459" s="405">
        <f t="shared" si="287"/>
        <v>0</v>
      </c>
      <c r="AX459" s="405">
        <f t="shared" si="263"/>
        <v>0</v>
      </c>
      <c r="AY459" s="405">
        <f t="shared" si="264"/>
        <v>0</v>
      </c>
    </row>
    <row r="460" spans="2:51" ht="13.5" thickBot="1" x14ac:dyDescent="0.25">
      <c r="B460" s="345">
        <v>50994.25</v>
      </c>
      <c r="C460" s="728" t="str">
        <f t="shared" si="247"/>
        <v>2.2271548443541</v>
      </c>
      <c r="D460" s="728" t="str">
        <f t="shared" si="248"/>
        <v>1+38.9827692193282i</v>
      </c>
      <c r="E460" s="337">
        <f t="shared" si="266"/>
        <v>38.995593289593657</v>
      </c>
      <c r="F460" s="338">
        <f t="shared" si="267"/>
        <v>1.5451495921287741</v>
      </c>
      <c r="G460" s="338" t="str">
        <f t="shared" si="249"/>
        <v>1+0.160203161175321i</v>
      </c>
      <c r="H460" s="337">
        <f t="shared" si="268"/>
        <v>1.0127512294984222</v>
      </c>
      <c r="I460" s="338">
        <f t="shared" si="269"/>
        <v>0.15885334597520229</v>
      </c>
      <c r="J460" s="340">
        <f t="shared" si="250"/>
        <v>1</v>
      </c>
      <c r="K460" s="338">
        <f t="shared" si="270"/>
        <v>1</v>
      </c>
      <c r="L460" s="339">
        <f t="shared" si="271"/>
        <v>0</v>
      </c>
      <c r="M460" s="731" t="str">
        <f t="shared" si="251"/>
        <v>0.884426065197222+0.690618465308284i</v>
      </c>
      <c r="N460" s="338">
        <f t="shared" si="272"/>
        <v>1.1221244714491392</v>
      </c>
      <c r="O460" s="339">
        <f t="shared" si="273"/>
        <v>0.66296464659935928</v>
      </c>
      <c r="P460" s="732" t="str">
        <f t="shared" si="265"/>
        <v>-0.0237327302337559-0.0457577086497442i</v>
      </c>
      <c r="Q460" s="337">
        <f t="shared" si="274"/>
        <v>5.1546196612583417E-2</v>
      </c>
      <c r="R460" s="339">
        <f t="shared" si="275"/>
        <v>-2.049260892752931</v>
      </c>
      <c r="S460" s="731" t="str">
        <f t="shared" si="252"/>
        <v>6000</v>
      </c>
      <c r="T460" s="337" t="str">
        <f t="shared" si="253"/>
        <v>1+323610.385574149i</v>
      </c>
      <c r="U460" s="346">
        <f t="shared" si="276"/>
        <v>323610.38557569409</v>
      </c>
      <c r="V460" s="347">
        <f t="shared" si="277"/>
        <v>1.5707932366592132</v>
      </c>
      <c r="W460" s="340" t="str">
        <f t="shared" si="254"/>
        <v>1+3204.06322350643i</v>
      </c>
      <c r="X460" s="337">
        <f t="shared" si="278"/>
        <v>3204.0633795582785</v>
      </c>
      <c r="Y460" s="339">
        <f t="shared" si="279"/>
        <v>1.5704842231010012</v>
      </c>
      <c r="Z460" s="337" t="str">
        <f t="shared" si="255"/>
        <v>1+32.2759903119874i</v>
      </c>
      <c r="AA460" s="346">
        <f t="shared" si="280"/>
        <v>32.291477987535721</v>
      </c>
      <c r="AB460" s="347">
        <f t="shared" si="281"/>
        <v>1.5398234520079985</v>
      </c>
      <c r="AC460" s="732" t="str">
        <f t="shared" si="282"/>
        <v>0.0564028116715298-1.83881384476286i</v>
      </c>
      <c r="AD460" s="337">
        <f t="shared" si="283"/>
        <v>1.839678676523709</v>
      </c>
      <c r="AE460" s="339">
        <f t="shared" si="284"/>
        <v>-1.5401324655662101</v>
      </c>
      <c r="AF460" s="736" t="str">
        <f t="shared" si="256"/>
        <v>-0.0854785008836007+0.0410592095043602i</v>
      </c>
      <c r="AG460" s="337">
        <f t="shared" si="285"/>
        <v>-20.461227990340312</v>
      </c>
      <c r="AH460" s="730">
        <f t="shared" si="286"/>
        <v>154.34290955602441</v>
      </c>
      <c r="AI460" s="360">
        <f t="shared" si="257"/>
        <v>-25.657090443975591</v>
      </c>
      <c r="AL460" s="337">
        <f t="shared" si="258"/>
        <v>5.294839490636793</v>
      </c>
      <c r="AM460" s="730">
        <f t="shared" si="259"/>
        <v>-88.243090168021425</v>
      </c>
      <c r="AN460" s="351"/>
      <c r="AO460" s="337">
        <f t="shared" si="260"/>
        <v>27.773055004065025</v>
      </c>
      <c r="AP460" s="730">
        <f t="shared" si="261"/>
        <v>-117.41400027595428</v>
      </c>
      <c r="AS460" s="351"/>
      <c r="AT460" s="351"/>
      <c r="AV460" s="405">
        <f t="shared" si="262"/>
        <v>0</v>
      </c>
      <c r="AW460" s="405">
        <f t="shared" si="287"/>
        <v>0</v>
      </c>
      <c r="AX460" s="405">
        <f t="shared" si="263"/>
        <v>0</v>
      </c>
      <c r="AY460" s="405">
        <f t="shared" si="264"/>
        <v>0</v>
      </c>
    </row>
    <row r="461" spans="2:51" ht="13.5" thickBot="1" x14ac:dyDescent="0.25">
      <c r="B461" s="345">
        <v>51286</v>
      </c>
      <c r="C461" s="728" t="str">
        <f t="shared" ref="C461:C524" si="288">COMPLEX(Am*Afb,0)</f>
        <v>2.2271548443541</v>
      </c>
      <c r="D461" s="728" t="str">
        <f t="shared" ref="D461:D524" si="289">IMSUM(COMPLEX(1,0),IMDIV(COMPLEX(0,2*PI()*B461),COMPLEX(2*PI()*PS_Pole1,0)))</f>
        <v>1+39.2057987357881i</v>
      </c>
      <c r="E461" s="337">
        <f t="shared" si="266"/>
        <v>39.218549877718885</v>
      </c>
      <c r="F461" s="338">
        <f t="shared" si="267"/>
        <v>1.5452954249510646</v>
      </c>
      <c r="G461" s="338" t="str">
        <f t="shared" ref="G461:G524" si="290">IMSUM(COMPLEX(1,0),IMDIV(COMPLEX(0,2*PI()*B461),COMPLEX(2*PI()*PS_Zero1,0)))</f>
        <v>1+0.161119720832006i</v>
      </c>
      <c r="H461" s="337">
        <f t="shared" si="268"/>
        <v>1.0128966208063801</v>
      </c>
      <c r="I461" s="338">
        <f t="shared" si="269"/>
        <v>0.15974684255382343</v>
      </c>
      <c r="J461" s="340">
        <f t="shared" ref="J461:J524" si="291">IF(VIN_nom&gt;Vout, 1,IMSUB(COMPLEX(1,0),IMDIV(COMPLEX(0,2*PI()*B461),COMPLEX(2*PI()*PS_RHPZ,0))))</f>
        <v>1</v>
      </c>
      <c r="K461" s="338">
        <f t="shared" si="270"/>
        <v>1</v>
      </c>
      <c r="L461" s="339">
        <f t="shared" si="271"/>
        <v>0</v>
      </c>
      <c r="M461" s="731" t="str">
        <f t="shared" ref="M461:M524" si="292">IMSUM(COMPLEX(1,0),IMDIV(COMPLEX(0,2*PI()*B461),COMPLEX(Q*(2*PI()*PS_Pole2/2),0)),IMDIV(IMPOWER(COMPLEX(0,2*PI()*B461),2),IMPOWER(COMPLEX(2*PI()*PS_Pole2/2,0),2)))</f>
        <v>0.883099831288889+0.694569654653232i</v>
      </c>
      <c r="N461" s="338">
        <f t="shared" si="272"/>
        <v>1.123517831272639</v>
      </c>
      <c r="O461" s="339">
        <f t="shared" si="273"/>
        <v>0.66646299793438513</v>
      </c>
      <c r="P461" s="732" t="str">
        <f t="shared" si="265"/>
        <v>-0.0236968512912186-0.0453826647882958i</v>
      </c>
      <c r="Q461" s="337">
        <f t="shared" si="274"/>
        <v>5.1196943506472657E-2</v>
      </c>
      <c r="R461" s="339">
        <f t="shared" si="275"/>
        <v>-2.0520115803316274</v>
      </c>
      <c r="S461" s="731" t="str">
        <f t="shared" ref="S461:S524" si="293">COMPLEX(AEA,0)</f>
        <v>6000</v>
      </c>
      <c r="T461" s="337" t="str">
        <f t="shared" ref="T461:T524" si="294">IMSUM(COMPLEX(1,0),IMDIV(COMPLEX(0,2*PI()*B461),COMPLEX(2*PI()*EA_Pole1,0)))</f>
        <v>1+325461.836080652i</v>
      </c>
      <c r="U461" s="346">
        <f t="shared" si="276"/>
        <v>325461.8360821883</v>
      </c>
      <c r="V461" s="347">
        <f t="shared" si="277"/>
        <v>1.5707932542380278</v>
      </c>
      <c r="W461" s="340" t="str">
        <f t="shared" ref="W461:W524" si="295">IMSUM(COMPLEX(1,0),IMDIV(COMPLEX(0,2*PI()*B461),COMPLEX(2*PI()*EA_Zero1,0)))</f>
        <v>1+3222.39441664012i</v>
      </c>
      <c r="X461" s="337">
        <f t="shared" si="278"/>
        <v>3222.3945718042387</v>
      </c>
      <c r="Y461" s="339">
        <f t="shared" si="279"/>
        <v>1.5704859985611042</v>
      </c>
      <c r="Z461" s="337" t="str">
        <f t="shared" ref="Z461:Z524" si="296">IMSUM(COMPLEX(1,0),IMDIV(COMPLEX(0,2*PI()*B461),COMPLEX(2*PI()*EA_Pole2,0)))</f>
        <v>1+32.4606487817858i</v>
      </c>
      <c r="AA461" s="346">
        <f t="shared" si="280"/>
        <v>32.476048394693152</v>
      </c>
      <c r="AB461" s="347">
        <f t="shared" si="281"/>
        <v>1.539999535292883</v>
      </c>
      <c r="AC461" s="732" t="str">
        <f t="shared" si="282"/>
        <v>0.0557635277590508-1.82837310250205i</v>
      </c>
      <c r="AD461" s="337">
        <f t="shared" si="283"/>
        <v>1.8292232704022506</v>
      </c>
      <c r="AE461" s="339">
        <f t="shared" si="284"/>
        <v>-1.5403067909698067</v>
      </c>
      <c r="AF461" s="736" t="str">
        <f t="shared" ref="AF461:AF524" si="297">IMPRODUCT(P461,AC461)</f>
        <v>-0.0842978636435669+0.0407959880271532i</v>
      </c>
      <c r="AG461" s="337">
        <f t="shared" si="285"/>
        <v>-20.569784966595677</v>
      </c>
      <c r="AH461" s="730">
        <f t="shared" si="286"/>
        <v>154.17531865711803</v>
      </c>
      <c r="AI461" s="360">
        <f t="shared" ref="AI461:AI524" si="298">IF(AH461&gt;0,AH461-180,AH461+180)</f>
        <v>-25.824681342881973</v>
      </c>
      <c r="AL461" s="337">
        <f t="shared" ref="AL461:AL524" si="299">20*LOG10(IMABS(AC461))</f>
        <v>5.2453343521283413</v>
      </c>
      <c r="AM461" s="730">
        <f t="shared" ref="AM461:AM524" si="300">(180/PI())*IMARGUMENT(AC461)</f>
        <v>-88.253078277909424</v>
      </c>
      <c r="AN461" s="351"/>
      <c r="AO461" s="337">
        <f t="shared" ref="AO461:AO524" si="301">20*LOG10(IMABS(IMPRODUCT(COMPLEX(Am/Afb,0),P461)))</f>
        <v>27.714003166318104</v>
      </c>
      <c r="AP461" s="730">
        <f t="shared" ref="AP461:AP524" si="302">180/PI()*IMARGUMENT(IMPRODUCT(COMPLEX(Am/Afb,0),P461))</f>
        <v>-117.57160306497254</v>
      </c>
      <c r="AS461" s="351"/>
      <c r="AT461" s="351"/>
      <c r="AV461" s="405">
        <f t="shared" ref="AV461:AV524" si="303">SUM((AG462&lt;0)*(AG461&gt;0))*B461</f>
        <v>0</v>
      </c>
      <c r="AW461" s="405">
        <f t="shared" si="287"/>
        <v>0</v>
      </c>
      <c r="AX461" s="405">
        <f t="shared" ref="AX461:AX524" si="304">SUM((AL462&lt;0)*(AL461&gt;0))*B461</f>
        <v>0</v>
      </c>
      <c r="AY461" s="405">
        <f t="shared" ref="AY461:AY524" si="305">IF(AX461&gt;0,AM461,0)</f>
        <v>0</v>
      </c>
    </row>
    <row r="462" spans="2:51" ht="13.5" thickBot="1" x14ac:dyDescent="0.25">
      <c r="B462" s="345">
        <v>51584.75</v>
      </c>
      <c r="C462" s="728" t="str">
        <f t="shared" si="288"/>
        <v>2.2271548443541</v>
      </c>
      <c r="D462" s="728" t="str">
        <f t="shared" si="289"/>
        <v>1+39.4341794317347i</v>
      </c>
      <c r="E462" s="337">
        <f t="shared" si="266"/>
        <v>39.446856749990204</v>
      </c>
      <c r="F462" s="338">
        <f t="shared" si="267"/>
        <v>1.5454430484379664</v>
      </c>
      <c r="G462" s="338" t="str">
        <f t="shared" si="290"/>
        <v>1+0.162058271637266i</v>
      </c>
      <c r="H462" s="337">
        <f t="shared" si="268"/>
        <v>1.013046338232392</v>
      </c>
      <c r="I462" s="338">
        <f t="shared" si="269"/>
        <v>0.16066151040317267</v>
      </c>
      <c r="J462" s="340">
        <f t="shared" si="291"/>
        <v>1</v>
      </c>
      <c r="K462" s="338">
        <f t="shared" si="270"/>
        <v>1</v>
      </c>
      <c r="L462" s="339">
        <f t="shared" si="271"/>
        <v>0</v>
      </c>
      <c r="M462" s="731" t="str">
        <f t="shared" si="292"/>
        <v>0.881733936330555+0.69861564545633i</v>
      </c>
      <c r="N462" s="338">
        <f t="shared" si="272"/>
        <v>1.1249526899178204</v>
      </c>
      <c r="O462" s="339">
        <f t="shared" si="273"/>
        <v>0.67004058861902938</v>
      </c>
      <c r="P462" s="732" t="str">
        <f t="shared" ref="P462:P525" si="306">(IMDIV(IMPRODUCT(C462,G462,J462),IMPRODUCT(D462,M462)))</f>
        <v>-0.0236597044994628-0.0450027952410582i</v>
      </c>
      <c r="Q462" s="337">
        <f t="shared" si="274"/>
        <v>5.0843221736142086E-2</v>
      </c>
      <c r="R462" s="339">
        <f t="shared" si="275"/>
        <v>-2.0548221266538231</v>
      </c>
      <c r="S462" s="731" t="str">
        <f t="shared" si="293"/>
        <v>6000</v>
      </c>
      <c r="T462" s="337" t="str">
        <f t="shared" si="294"/>
        <v>1+327357.708707277i</v>
      </c>
      <c r="U462" s="346">
        <f t="shared" si="276"/>
        <v>327357.70870880439</v>
      </c>
      <c r="V462" s="347">
        <f t="shared" si="277"/>
        <v>1.5707932720325575</v>
      </c>
      <c r="W462" s="340" t="str">
        <f t="shared" si="295"/>
        <v>1+3241.16543274532i</v>
      </c>
      <c r="X462" s="337">
        <f t="shared" si="278"/>
        <v>3241.1655870108143</v>
      </c>
      <c r="Y462" s="339">
        <f t="shared" si="279"/>
        <v>1.5704877958084291</v>
      </c>
      <c r="Z462" s="337" t="str">
        <f t="shared" si="296"/>
        <v>1+32.6497377889917i</v>
      </c>
      <c r="AA462" s="346">
        <f t="shared" si="280"/>
        <v>32.665048257884344</v>
      </c>
      <c r="AB462" s="347">
        <f t="shared" si="281"/>
        <v>1.5401777812958442</v>
      </c>
      <c r="AC462" s="732" t="str">
        <f t="shared" si="282"/>
        <v>0.0551200994151389-1.81780389581231i</v>
      </c>
      <c r="AD462" s="337">
        <f t="shared" si="283"/>
        <v>1.818639389485982</v>
      </c>
      <c r="AE462" s="339">
        <f t="shared" si="284"/>
        <v>-1.5404832575199725</v>
      </c>
      <c r="AF462" s="736" t="str">
        <f t="shared" si="297"/>
        <v>-0.0831103817757825+0.0405281444652452i</v>
      </c>
      <c r="AG462" s="337">
        <f t="shared" si="285"/>
        <v>-20.680406891342461</v>
      </c>
      <c r="AH462" s="730">
        <f t="shared" si="286"/>
        <v>154.00417542618052</v>
      </c>
      <c r="AI462" s="360">
        <f t="shared" si="298"/>
        <v>-25.995824573819476</v>
      </c>
      <c r="AL462" s="337">
        <f t="shared" si="299"/>
        <v>5.1949318627186134</v>
      </c>
      <c r="AM462" s="730">
        <f t="shared" si="300"/>
        <v>-88.263189066459162</v>
      </c>
      <c r="AN462" s="351"/>
      <c r="AO462" s="337">
        <f t="shared" si="301"/>
        <v>27.653783730981058</v>
      </c>
      <c r="AP462" s="730">
        <f t="shared" si="302"/>
        <v>-117.73263550736037</v>
      </c>
      <c r="AS462" s="351"/>
      <c r="AT462" s="351"/>
      <c r="AV462" s="405">
        <f t="shared" si="303"/>
        <v>0</v>
      </c>
      <c r="AW462" s="405">
        <f t="shared" si="287"/>
        <v>0</v>
      </c>
      <c r="AX462" s="405">
        <f t="shared" si="304"/>
        <v>0</v>
      </c>
      <c r="AY462" s="405">
        <f t="shared" si="305"/>
        <v>0</v>
      </c>
    </row>
    <row r="463" spans="2:51" ht="13.5" thickBot="1" x14ac:dyDescent="0.25">
      <c r="B463" s="345">
        <v>51883.5</v>
      </c>
      <c r="C463" s="728" t="str">
        <f t="shared" si="288"/>
        <v>2.2271548443541</v>
      </c>
      <c r="D463" s="728" t="str">
        <f t="shared" si="289"/>
        <v>1+39.6625601276813i</v>
      </c>
      <c r="E463" s="337">
        <f t="shared" si="266"/>
        <v>39.675164472021216</v>
      </c>
      <c r="F463" s="338">
        <f t="shared" si="267"/>
        <v>1.5455889729517205</v>
      </c>
      <c r="G463" s="338" t="str">
        <f t="shared" si="290"/>
        <v>1+0.162996822442526i</v>
      </c>
      <c r="H463" s="337">
        <f t="shared" si="268"/>
        <v>1.0131969029395818</v>
      </c>
      <c r="I463" s="338">
        <f t="shared" si="269"/>
        <v>0.16157590717146283</v>
      </c>
      <c r="J463" s="340">
        <f t="shared" si="291"/>
        <v>1</v>
      </c>
      <c r="K463" s="338">
        <f t="shared" si="270"/>
        <v>1</v>
      </c>
      <c r="L463" s="339">
        <f t="shared" si="271"/>
        <v>0</v>
      </c>
      <c r="M463" s="731" t="str">
        <f t="shared" si="292"/>
        <v>0.8803601079+0.702661636259427i</v>
      </c>
      <c r="N463" s="338">
        <f t="shared" si="272"/>
        <v>1.1263957096209463</v>
      </c>
      <c r="O463" s="339">
        <f t="shared" si="273"/>
        <v>0.67361341272332798</v>
      </c>
      <c r="P463" s="732" t="str">
        <f t="shared" si="306"/>
        <v>-0.0236221551062583-0.0446270812812862i</v>
      </c>
      <c r="Q463" s="337">
        <f t="shared" si="274"/>
        <v>5.0493391602769666E-2</v>
      </c>
      <c r="R463" s="339">
        <f t="shared" si="275"/>
        <v>-2.0576264785035856</v>
      </c>
      <c r="S463" s="731" t="str">
        <f t="shared" si="293"/>
        <v>6000</v>
      </c>
      <c r="T463" s="337" t="str">
        <f t="shared" si="294"/>
        <v>1+329253.581333903i</v>
      </c>
      <c r="U463" s="346">
        <f t="shared" si="276"/>
        <v>329253.58133542165</v>
      </c>
      <c r="V463" s="347">
        <f t="shared" si="277"/>
        <v>1.5707932896221619</v>
      </c>
      <c r="W463" s="340" t="str">
        <f t="shared" si="295"/>
        <v>1+3259.93644885052i</v>
      </c>
      <c r="X463" s="337">
        <f t="shared" si="278"/>
        <v>3259.9366022277395</v>
      </c>
      <c r="Y463" s="339">
        <f t="shared" si="279"/>
        <v>1.5704895723583228</v>
      </c>
      <c r="Z463" s="337" t="str">
        <f t="shared" si="296"/>
        <v>1+32.8388267961975i</v>
      </c>
      <c r="AA463" s="346">
        <f t="shared" si="280"/>
        <v>32.854049146956896</v>
      </c>
      <c r="AB463" s="347">
        <f t="shared" si="281"/>
        <v>1.54035397649759</v>
      </c>
      <c r="AC463" s="732" t="str">
        <f t="shared" si="282"/>
        <v>0.0544877400704783-1.80735606899512i</v>
      </c>
      <c r="AD463" s="337">
        <f t="shared" si="283"/>
        <v>1.808177224154613</v>
      </c>
      <c r="AE463" s="339">
        <f t="shared" si="284"/>
        <v>-1.5406576937614296</v>
      </c>
      <c r="AF463" s="736" t="str">
        <f t="shared" si="297"/>
        <v>-0.0819441440426055+0.0402620165890812i</v>
      </c>
      <c r="AG463" s="337">
        <f t="shared" si="285"/>
        <v>-20.790489250730229</v>
      </c>
      <c r="AH463" s="730">
        <f t="shared" si="286"/>
        <v>153.83350344048975</v>
      </c>
      <c r="AI463" s="360">
        <f t="shared" si="298"/>
        <v>-26.16649655951025</v>
      </c>
      <c r="AL463" s="337">
        <f t="shared" si="299"/>
        <v>5.1448198911540812</v>
      </c>
      <c r="AM463" s="730">
        <f t="shared" si="300"/>
        <v>-88.273183526888772</v>
      </c>
      <c r="AN463" s="351"/>
      <c r="AO463" s="337">
        <f t="shared" si="301"/>
        <v>27.593813343157816</v>
      </c>
      <c r="AP463" s="730">
        <f t="shared" si="302"/>
        <v>-117.89331303262144</v>
      </c>
      <c r="AS463" s="351"/>
      <c r="AT463" s="351"/>
      <c r="AV463" s="405">
        <f t="shared" si="303"/>
        <v>0</v>
      </c>
      <c r="AW463" s="405">
        <f t="shared" si="287"/>
        <v>0</v>
      </c>
      <c r="AX463" s="405">
        <f t="shared" si="304"/>
        <v>0</v>
      </c>
      <c r="AY463" s="405">
        <f t="shared" si="305"/>
        <v>0</v>
      </c>
    </row>
    <row r="464" spans="2:51" ht="13.5" thickBot="1" x14ac:dyDescent="0.25">
      <c r="B464" s="345">
        <v>52182.25</v>
      </c>
      <c r="C464" s="728" t="str">
        <f t="shared" si="288"/>
        <v>2.2271548443541</v>
      </c>
      <c r="D464" s="728" t="str">
        <f t="shared" si="289"/>
        <v>1+39.8909408236279i</v>
      </c>
      <c r="E464" s="337">
        <f t="shared" si="266"/>
        <v>39.903473029226198</v>
      </c>
      <c r="F464" s="338">
        <f t="shared" si="267"/>
        <v>1.5457332276481897</v>
      </c>
      <c r="G464" s="338" t="str">
        <f t="shared" si="290"/>
        <v>1+0.163935373247786i</v>
      </c>
      <c r="H464" s="337">
        <f t="shared" si="268"/>
        <v>1.0133483145502789</v>
      </c>
      <c r="I464" s="338">
        <f t="shared" si="269"/>
        <v>0.16249003145077548</v>
      </c>
      <c r="J464" s="340">
        <f t="shared" si="291"/>
        <v>1</v>
      </c>
      <c r="K464" s="338">
        <f t="shared" si="270"/>
        <v>1</v>
      </c>
      <c r="L464" s="339">
        <f t="shared" si="271"/>
        <v>0</v>
      </c>
      <c r="M464" s="731" t="str">
        <f t="shared" si="292"/>
        <v>0.878978345997222+0.706707627062525i</v>
      </c>
      <c r="N464" s="338">
        <f t="shared" si="272"/>
        <v>1.1278468880483543</v>
      </c>
      <c r="O464" s="339">
        <f t="shared" si="273"/>
        <v>0.67718145651510964</v>
      </c>
      <c r="P464" s="732" t="str">
        <f t="shared" si="306"/>
        <v>-0.0235842122045834-0.0442554572116575i</v>
      </c>
      <c r="Q464" s="337">
        <f t="shared" si="274"/>
        <v>5.0147388349979588E-2</v>
      </c>
      <c r="R464" s="339">
        <f t="shared" si="275"/>
        <v>-2.0604246527125243</v>
      </c>
      <c r="S464" s="731" t="str">
        <f t="shared" si="293"/>
        <v>6000</v>
      </c>
      <c r="T464" s="337" t="str">
        <f t="shared" si="294"/>
        <v>1+331149.453960528i</v>
      </c>
      <c r="U464" s="346">
        <f t="shared" si="276"/>
        <v>331149.45396203786</v>
      </c>
      <c r="V464" s="347">
        <f t="shared" si="277"/>
        <v>1.5707933070103612</v>
      </c>
      <c r="W464" s="340" t="str">
        <f t="shared" si="295"/>
        <v>1+3278.70746495572i</v>
      </c>
      <c r="X464" s="337">
        <f t="shared" si="278"/>
        <v>3278.7076174548356</v>
      </c>
      <c r="Y464" s="339">
        <f t="shared" si="279"/>
        <v>1.5704913285662714</v>
      </c>
      <c r="Z464" s="337" t="str">
        <f t="shared" si="296"/>
        <v>1+33.0279158034034i</v>
      </c>
      <c r="AA464" s="346">
        <f t="shared" si="280"/>
        <v>33.043051044307397</v>
      </c>
      <c r="AB464" s="347">
        <f t="shared" si="281"/>
        <v>1.5405281560780244</v>
      </c>
      <c r="AC464" s="732" t="str">
        <f t="shared" si="282"/>
        <v>0.0538661973545078-1.79702754494614i</v>
      </c>
      <c r="AD464" s="337">
        <f t="shared" si="283"/>
        <v>1.7978346877598579</v>
      </c>
      <c r="AE464" s="339">
        <f t="shared" si="284"/>
        <v>-1.540830134522114</v>
      </c>
      <c r="AF464" s="736" t="str">
        <f t="shared" si="297"/>
        <v>-0.0807986674525965+0.0399976057653142i</v>
      </c>
      <c r="AG464" s="337">
        <f t="shared" si="285"/>
        <v>-20.900038487095266</v>
      </c>
      <c r="AH464" s="730">
        <f t="shared" si="286"/>
        <v>153.66329974017194</v>
      </c>
      <c r="AI464" s="360">
        <f t="shared" si="298"/>
        <v>-26.336700259828064</v>
      </c>
      <c r="AL464" s="337">
        <f t="shared" si="299"/>
        <v>5.0949951106322029</v>
      </c>
      <c r="AM464" s="730">
        <f t="shared" si="300"/>
        <v>-88.283063654692015</v>
      </c>
      <c r="AN464" s="351"/>
      <c r="AO464" s="337">
        <f t="shared" si="301"/>
        <v>27.534088887314674</v>
      </c>
      <c r="AP464" s="730">
        <f t="shared" si="302"/>
        <v>-118.05363660513606</v>
      </c>
      <c r="AS464" s="351"/>
      <c r="AT464" s="351"/>
      <c r="AV464" s="405">
        <f t="shared" si="303"/>
        <v>0</v>
      </c>
      <c r="AW464" s="405">
        <f t="shared" si="287"/>
        <v>0</v>
      </c>
      <c r="AX464" s="405">
        <f t="shared" si="304"/>
        <v>0</v>
      </c>
      <c r="AY464" s="405">
        <f t="shared" si="305"/>
        <v>0</v>
      </c>
    </row>
    <row r="465" spans="2:51" ht="13.5" thickBot="1" x14ac:dyDescent="0.25">
      <c r="B465" s="345">
        <v>52481</v>
      </c>
      <c r="C465" s="728" t="str">
        <f t="shared" si="288"/>
        <v>2.2271548443541</v>
      </c>
      <c r="D465" s="728" t="str">
        <f t="shared" si="289"/>
        <v>1+40.1193215195745i</v>
      </c>
      <c r="E465" s="337">
        <f t="shared" ref="E465:E528" si="307">IMABS(D465)</f>
        <v>40.131782407351331</v>
      </c>
      <c r="F465" s="338">
        <f t="shared" ref="F465:F528" si="308">IMARGUMENT(D465)</f>
        <v>1.545875841020049</v>
      </c>
      <c r="G465" s="338" t="str">
        <f t="shared" si="290"/>
        <v>1+0.164873924053046i</v>
      </c>
      <c r="H465" s="337">
        <f t="shared" ref="H465:H528" si="309">IMABS(G465)</f>
        <v>1.0135005726849144</v>
      </c>
      <c r="I465" s="338">
        <f t="shared" ref="I465:I528" si="310">IMARGUMENT(G465)</f>
        <v>0.16340388183585272</v>
      </c>
      <c r="J465" s="340">
        <f t="shared" si="291"/>
        <v>1</v>
      </c>
      <c r="K465" s="338">
        <f t="shared" ref="K465:K528" si="311">IMABS(J465)</f>
        <v>1</v>
      </c>
      <c r="L465" s="339">
        <f t="shared" ref="L465:L528" si="312">IMARGUMENT(J465)</f>
        <v>0</v>
      </c>
      <c r="M465" s="731" t="str">
        <f t="shared" si="292"/>
        <v>0.877588650622222+0.710753617865623i</v>
      </c>
      <c r="N465" s="338">
        <f t="shared" ref="N465:N528" si="313">IMABS(M465)</f>
        <v>1.1293062228687152</v>
      </c>
      <c r="O465" s="339">
        <f t="shared" ref="O465:O528" si="314">IMARGUMENT(M465)</f>
        <v>0.6807447064379003</v>
      </c>
      <c r="P465" s="732" t="str">
        <f t="shared" si="306"/>
        <v>-0.0235458846891828-0.0438878588024526i</v>
      </c>
      <c r="Q465" s="337">
        <f t="shared" ref="Q465:Q528" si="315">IMABS(P465)</f>
        <v>4.9805148690274074E-2</v>
      </c>
      <c r="R465" s="339">
        <f t="shared" ref="R465:R528" si="316">IMARGUMENT(P465)</f>
        <v>-2.0632166656220958</v>
      </c>
      <c r="S465" s="731" t="str">
        <f t="shared" si="293"/>
        <v>6000</v>
      </c>
      <c r="T465" s="337" t="str">
        <f t="shared" si="294"/>
        <v>1+333045.326587153i</v>
      </c>
      <c r="U465" s="346">
        <f t="shared" ref="U465:U528" si="317">IMABS(T465)</f>
        <v>333045.32658865437</v>
      </c>
      <c r="V465" s="347">
        <f t="shared" ref="V465:V528" si="318">IMARGUMENT(T465)</f>
        <v>1.5707933242005945</v>
      </c>
      <c r="W465" s="340" t="str">
        <f t="shared" si="295"/>
        <v>1+3297.47848106092i</v>
      </c>
      <c r="X465" s="337">
        <f t="shared" ref="X465:X528" si="319">IMABS(W465)</f>
        <v>3297.4786326919284</v>
      </c>
      <c r="Y465" s="339">
        <f t="shared" ref="Y465:Y528" si="320">IMARGUMENT(W465)</f>
        <v>1.5704930647796667</v>
      </c>
      <c r="Z465" s="337" t="str">
        <f t="shared" si="296"/>
        <v>1+33.2170048106092i</v>
      </c>
      <c r="AA465" s="346">
        <f t="shared" ref="AA465:AA528" si="321">IMABS(Z465)</f>
        <v>33.232053932732391</v>
      </c>
      <c r="AB465" s="347">
        <f t="shared" ref="AB465:AB528" si="322">IMARGUMENT(Z465)</f>
        <v>1.5407003544172213</v>
      </c>
      <c r="AC465" s="732" t="str">
        <f t="shared" ref="AC465:AC528" si="323">IMPRODUCT(S465,IMDIV(W465,IMPRODUCT(T465,Z465)))</f>
        <v>0.0532552260462125-1.78681629364169i</v>
      </c>
      <c r="AD465" s="337">
        <f t="shared" ref="AD465:AD528" si="324">IMABS(AC465)</f>
        <v>1.7876097410577789</v>
      </c>
      <c r="AE465" s="339">
        <f t="shared" ref="AE465:AE528" si="325">IMARGUMENT(AC465)</f>
        <v>-1.5410006138381491</v>
      </c>
      <c r="AF465" s="736" t="str">
        <f t="shared" si="297"/>
        <v>-0.0796734826128487+0.0397349125696314i</v>
      </c>
      <c r="AG465" s="337">
        <f t="shared" ref="AG465:AG528" si="326">20*LOG10(IMABS(AF465))</f>
        <v>-21.009060928952291</v>
      </c>
      <c r="AH465" s="730">
        <f t="shared" ref="AH465:AH528" si="327">(180/PI())*IMARGUMENT(AF465)</f>
        <v>153.49356143880436</v>
      </c>
      <c r="AI465" s="360">
        <f t="shared" si="298"/>
        <v>-26.506438561195637</v>
      </c>
      <c r="AL465" s="337">
        <f t="shared" si="299"/>
        <v>5.0454542511170111</v>
      </c>
      <c r="AM465" s="730">
        <f t="shared" si="300"/>
        <v>-88.292831399995109</v>
      </c>
      <c r="AN465" s="351"/>
      <c r="AO465" s="337">
        <f t="shared" si="301"/>
        <v>27.474607304972825</v>
      </c>
      <c r="AP465" s="730">
        <f t="shared" si="302"/>
        <v>-118.21360716120066</v>
      </c>
      <c r="AS465" s="351"/>
      <c r="AT465" s="351"/>
      <c r="AV465" s="405">
        <f t="shared" si="303"/>
        <v>0</v>
      </c>
      <c r="AW465" s="405">
        <f t="shared" si="287"/>
        <v>0</v>
      </c>
      <c r="AX465" s="405">
        <f t="shared" si="304"/>
        <v>0</v>
      </c>
      <c r="AY465" s="405">
        <f t="shared" si="305"/>
        <v>0</v>
      </c>
    </row>
    <row r="466" spans="2:51" ht="13.5" thickBot="1" x14ac:dyDescent="0.25">
      <c r="B466" s="345">
        <v>52786.5</v>
      </c>
      <c r="C466" s="728" t="str">
        <f t="shared" si="288"/>
        <v>2.2271548443541</v>
      </c>
      <c r="D466" s="728" t="str">
        <f t="shared" si="289"/>
        <v>1+40.3528622814546i</v>
      </c>
      <c r="E466" s="337">
        <f t="shared" si="307"/>
        <v>40.365251074482877</v>
      </c>
      <c r="F466" s="338">
        <f t="shared" si="308"/>
        <v>1.5460200082610247</v>
      </c>
      <c r="G466" s="338" t="str">
        <f t="shared" si="290"/>
        <v>1+0.165833680608718i</v>
      </c>
      <c r="H466" s="337">
        <f t="shared" si="309"/>
        <v>1.0136571459937695</v>
      </c>
      <c r="I466" s="338">
        <f t="shared" si="310"/>
        <v>0.16433809517839268</v>
      </c>
      <c r="J466" s="340">
        <f t="shared" si="291"/>
        <v>1</v>
      </c>
      <c r="K466" s="338">
        <f t="shared" si="311"/>
        <v>1</v>
      </c>
      <c r="L466" s="339">
        <f t="shared" si="312"/>
        <v>0</v>
      </c>
      <c r="M466" s="731" t="str">
        <f t="shared" si="292"/>
        <v>0.876159351900001+0.714891024360505i</v>
      </c>
      <c r="N466" s="338">
        <f t="shared" si="313"/>
        <v>1.1308069625860295</v>
      </c>
      <c r="O466" s="339">
        <f t="shared" si="314"/>
        <v>0.68438349343238525</v>
      </c>
      <c r="P466" s="732" t="str">
        <f t="shared" si="306"/>
        <v>-0.023506302516087-0.0435160525156152i</v>
      </c>
      <c r="Q466" s="337">
        <f t="shared" si="315"/>
        <v>4.9459004079334005E-2</v>
      </c>
      <c r="R466" s="339">
        <f t="shared" si="316"/>
        <v>-2.0660654065150168</v>
      </c>
      <c r="S466" s="731" t="str">
        <f t="shared" si="293"/>
        <v>6000</v>
      </c>
      <c r="T466" s="337" t="str">
        <f t="shared" si="294"/>
        <v>1+334984.034829609i</v>
      </c>
      <c r="U466" s="346">
        <f t="shared" si="317"/>
        <v>334984.0348311016</v>
      </c>
      <c r="V466" s="347">
        <f t="shared" si="318"/>
        <v>1.5707933415780027</v>
      </c>
      <c r="W466" s="340" t="str">
        <f t="shared" si="295"/>
        <v>1+3316.67361217435i</v>
      </c>
      <c r="X466" s="337">
        <f t="shared" si="319"/>
        <v>3316.6737629278</v>
      </c>
      <c r="Y466" s="339">
        <f t="shared" si="320"/>
        <v>1.5704948198977371</v>
      </c>
      <c r="Z466" s="337" t="str">
        <f t="shared" si="296"/>
        <v>1+33.4103661217435i</v>
      </c>
      <c r="AA466" s="346">
        <f t="shared" si="321"/>
        <v>33.425328186705151</v>
      </c>
      <c r="AB466" s="347">
        <f t="shared" si="322"/>
        <v>1.5408744295440842</v>
      </c>
      <c r="AC466" s="732" t="str">
        <f t="shared" si="323"/>
        <v>0.0526411344819125-1.77649353785112i</v>
      </c>
      <c r="AD466" s="337">
        <f t="shared" si="324"/>
        <v>1.777273298923475</v>
      </c>
      <c r="AE466" s="339">
        <f t="shared" si="325"/>
        <v>-1.5411729512243497</v>
      </c>
      <c r="AF466" s="736" t="str">
        <f t="shared" si="297"/>
        <v>-0.0785433845187022+0.0394680601460056i</v>
      </c>
      <c r="AG466" s="337">
        <f t="shared" si="326"/>
        <v>-21.12000833404894</v>
      </c>
      <c r="AH466" s="730">
        <f t="shared" si="327"/>
        <v>153.32046640383206</v>
      </c>
      <c r="AI466" s="360">
        <f t="shared" si="298"/>
        <v>-26.679533596167943</v>
      </c>
      <c r="AL466" s="337">
        <f t="shared" si="299"/>
        <v>4.995084325245057</v>
      </c>
      <c r="AM466" s="730">
        <f t="shared" si="300"/>
        <v>-88.302705604876721</v>
      </c>
      <c r="AN466" s="351"/>
      <c r="AO466" s="337">
        <f t="shared" si="301"/>
        <v>27.41402982574812</v>
      </c>
      <c r="AP466" s="730">
        <f t="shared" si="302"/>
        <v>-118.37682799129118</v>
      </c>
      <c r="AS466" s="351"/>
      <c r="AT466" s="351"/>
      <c r="AV466" s="405">
        <f t="shared" si="303"/>
        <v>0</v>
      </c>
      <c r="AW466" s="405">
        <f t="shared" si="287"/>
        <v>0</v>
      </c>
      <c r="AX466" s="405">
        <f t="shared" si="304"/>
        <v>0</v>
      </c>
      <c r="AY466" s="405">
        <f t="shared" si="305"/>
        <v>0</v>
      </c>
    </row>
    <row r="467" spans="2:51" ht="13.5" thickBot="1" x14ac:dyDescent="0.25">
      <c r="B467" s="345">
        <v>53092</v>
      </c>
      <c r="C467" s="728" t="str">
        <f t="shared" si="288"/>
        <v>2.2271548443541</v>
      </c>
      <c r="D467" s="728" t="str">
        <f t="shared" si="289"/>
        <v>1+40.5864030433348i</v>
      </c>
      <c r="E467" s="337">
        <f t="shared" si="307"/>
        <v>40.598720570924598</v>
      </c>
      <c r="F467" s="338">
        <f t="shared" si="308"/>
        <v>1.5461625173909503</v>
      </c>
      <c r="G467" s="338" t="str">
        <f t="shared" si="290"/>
        <v>1+0.166793437164389i</v>
      </c>
      <c r="H467" s="337">
        <f t="shared" si="309"/>
        <v>1.0138146037028224</v>
      </c>
      <c r="I467" s="338">
        <f t="shared" si="310"/>
        <v>0.16527201914647291</v>
      </c>
      <c r="J467" s="340">
        <f t="shared" si="291"/>
        <v>1</v>
      </c>
      <c r="K467" s="338">
        <f t="shared" si="311"/>
        <v>1</v>
      </c>
      <c r="L467" s="339">
        <f t="shared" si="312"/>
        <v>0</v>
      </c>
      <c r="M467" s="731" t="str">
        <f t="shared" si="292"/>
        <v>0.874721757155555+0.719028430855389i</v>
      </c>
      <c r="N467" s="338">
        <f t="shared" si="313"/>
        <v>1.1323162265108031</v>
      </c>
      <c r="O467" s="339">
        <f t="shared" si="314"/>
        <v>0.68801723937210391</v>
      </c>
      <c r="P467" s="732" t="str">
        <f t="shared" si="306"/>
        <v>-0.023466336357457-0.0431483245285588i</v>
      </c>
      <c r="Q467" s="337">
        <f t="shared" si="315"/>
        <v>4.9116665722167441E-2</v>
      </c>
      <c r="R467" s="339">
        <f t="shared" si="316"/>
        <v>-2.0689077376165796</v>
      </c>
      <c r="S467" s="731" t="str">
        <f t="shared" si="293"/>
        <v>6000</v>
      </c>
      <c r="T467" s="337" t="str">
        <f t="shared" si="294"/>
        <v>1+336922.743072067i</v>
      </c>
      <c r="U467" s="346">
        <f t="shared" si="317"/>
        <v>336922.74307355093</v>
      </c>
      <c r="V467" s="347">
        <f t="shared" si="318"/>
        <v>1.5707933587554259</v>
      </c>
      <c r="W467" s="340" t="str">
        <f t="shared" si="295"/>
        <v>1+3335.86874328779i</v>
      </c>
      <c r="X467" s="337">
        <f t="shared" si="319"/>
        <v>3335.8688931737797</v>
      </c>
      <c r="Y467" s="339">
        <f t="shared" si="320"/>
        <v>1.5704965548173397</v>
      </c>
      <c r="Z467" s="337" t="str">
        <f t="shared" si="296"/>
        <v>1+33.6037274328779i</v>
      </c>
      <c r="AA467" s="346">
        <f t="shared" si="321"/>
        <v>33.618603441891381</v>
      </c>
      <c r="AB467" s="347">
        <f t="shared" si="322"/>
        <v>1.5410465031405851</v>
      </c>
      <c r="AC467" s="732" t="str">
        <f t="shared" si="323"/>
        <v>0.0520376006308796-1.76628926550835i</v>
      </c>
      <c r="AD467" s="337">
        <f t="shared" si="324"/>
        <v>1.7670556531500208</v>
      </c>
      <c r="AE467" s="339">
        <f t="shared" si="325"/>
        <v>-1.5413433070786715</v>
      </c>
      <c r="AF467" s="736" t="str">
        <f t="shared" si="297"/>
        <v>-0.0774335542791033+0.0392030027292759i</v>
      </c>
      <c r="AG467" s="337">
        <f t="shared" si="326"/>
        <v>-21.230417902480344</v>
      </c>
      <c r="AH467" s="730">
        <f t="shared" si="327"/>
        <v>153.1478521562658</v>
      </c>
      <c r="AI467" s="360">
        <f t="shared" si="298"/>
        <v>-26.852147843734201</v>
      </c>
      <c r="AL467" s="337">
        <f t="shared" si="299"/>
        <v>4.9450045552211623</v>
      </c>
      <c r="AM467" s="730">
        <f t="shared" si="300"/>
        <v>-88.312466276344708</v>
      </c>
      <c r="AN467" s="351"/>
      <c r="AO467" s="337">
        <f t="shared" si="301"/>
        <v>27.353700027340619</v>
      </c>
      <c r="AP467" s="730">
        <f t="shared" si="302"/>
        <v>-118.53968156738962</v>
      </c>
      <c r="AS467" s="351"/>
      <c r="AT467" s="351"/>
      <c r="AV467" s="405">
        <f t="shared" si="303"/>
        <v>0</v>
      </c>
      <c r="AW467" s="405">
        <f t="shared" si="287"/>
        <v>0</v>
      </c>
      <c r="AX467" s="405">
        <f t="shared" si="304"/>
        <v>0</v>
      </c>
      <c r="AY467" s="405">
        <f t="shared" si="305"/>
        <v>0</v>
      </c>
    </row>
    <row r="468" spans="2:51" ht="13.5" thickBot="1" x14ac:dyDescent="0.25">
      <c r="B468" s="345">
        <v>53397.5</v>
      </c>
      <c r="C468" s="728" t="str">
        <f t="shared" si="288"/>
        <v>2.2271548443541</v>
      </c>
      <c r="D468" s="728" t="str">
        <f t="shared" si="289"/>
        <v>1+40.8199438052148i</v>
      </c>
      <c r="E468" s="337">
        <f t="shared" si="307"/>
        <v>40.832190882450753</v>
      </c>
      <c r="F468" s="338">
        <f t="shared" si="308"/>
        <v>1.5463033968462303</v>
      </c>
      <c r="G468" s="338" t="str">
        <f t="shared" si="290"/>
        <v>1+0.167753193720061i</v>
      </c>
      <c r="H468" s="337">
        <f t="shared" si="309"/>
        <v>1.0139729454000634</v>
      </c>
      <c r="I468" s="338">
        <f t="shared" si="310"/>
        <v>0.16620565224612247</v>
      </c>
      <c r="J468" s="340">
        <f t="shared" si="291"/>
        <v>1</v>
      </c>
      <c r="K468" s="338">
        <f t="shared" si="311"/>
        <v>1</v>
      </c>
      <c r="L468" s="339">
        <f t="shared" si="312"/>
        <v>0</v>
      </c>
      <c r="M468" s="731" t="str">
        <f t="shared" si="292"/>
        <v>0.873275866388889+0.723165837350271i</v>
      </c>
      <c r="N468" s="338">
        <f t="shared" si="313"/>
        <v>1.1338340121586505</v>
      </c>
      <c r="O468" s="339">
        <f t="shared" si="314"/>
        <v>0.69164593032791422</v>
      </c>
      <c r="P468" s="732" t="str">
        <f t="shared" si="306"/>
        <v>-0.0234259951211119-0.0427846106527323i</v>
      </c>
      <c r="Q468" s="337">
        <f t="shared" si="315"/>
        <v>4.8778070442774303E-2</v>
      </c>
      <c r="R468" s="339">
        <f t="shared" si="316"/>
        <v>-2.071743674928022</v>
      </c>
      <c r="S468" s="731" t="str">
        <f t="shared" si="293"/>
        <v>6000</v>
      </c>
      <c r="T468" s="337" t="str">
        <f t="shared" si="294"/>
        <v>1+338861.451314523i</v>
      </c>
      <c r="U468" s="346">
        <f t="shared" si="317"/>
        <v>338861.45131599851</v>
      </c>
      <c r="V468" s="347">
        <f t="shared" si="318"/>
        <v>1.5707933757362968</v>
      </c>
      <c r="W468" s="340" t="str">
        <f t="shared" si="295"/>
        <v>1+3355.06387440122i</v>
      </c>
      <c r="X468" s="337">
        <f t="shared" si="319"/>
        <v>3355.0640234296761</v>
      </c>
      <c r="Y468" s="339">
        <f t="shared" si="320"/>
        <v>1.5704982698851557</v>
      </c>
      <c r="Z468" s="337" t="str">
        <f t="shared" si="296"/>
        <v>1+33.7970887440122i</v>
      </c>
      <c r="AA468" s="346">
        <f t="shared" si="321"/>
        <v>33.811879681121489</v>
      </c>
      <c r="AB468" s="347">
        <f t="shared" si="322"/>
        <v>1.5412166095200266</v>
      </c>
      <c r="AC468" s="732" t="str">
        <f t="shared" si="323"/>
        <v>0.0514443839259998-1.75620145011409i</v>
      </c>
      <c r="AD468" s="337">
        <f t="shared" si="324"/>
        <v>1.7569547683478817</v>
      </c>
      <c r="AE468" s="339">
        <f t="shared" si="325"/>
        <v>-1.5415117153711679</v>
      </c>
      <c r="AF468" s="736" t="str">
        <f t="shared" si="297"/>
        <v>-0.0763435311577543+0.0389397386655187i</v>
      </c>
      <c r="AG468" s="337">
        <f t="shared" si="326"/>
        <v>-21.34029604882716</v>
      </c>
      <c r="AH468" s="730">
        <f t="shared" si="327"/>
        <v>152.97571583296141</v>
      </c>
      <c r="AI468" s="360">
        <f t="shared" si="298"/>
        <v>-27.024284167038587</v>
      </c>
      <c r="AL468" s="337">
        <f t="shared" si="299"/>
        <v>4.8952116202328284</v>
      </c>
      <c r="AM468" s="730">
        <f t="shared" si="300"/>
        <v>-88.322115360739758</v>
      </c>
      <c r="AN468" s="351"/>
      <c r="AO468" s="337">
        <f t="shared" si="301"/>
        <v>27.293614815982131</v>
      </c>
      <c r="AP468" s="730">
        <f t="shared" si="302"/>
        <v>-118.70216880629877</v>
      </c>
      <c r="AS468" s="351"/>
      <c r="AT468" s="351"/>
      <c r="AV468" s="405">
        <f t="shared" si="303"/>
        <v>0</v>
      </c>
      <c r="AW468" s="405">
        <f t="shared" si="287"/>
        <v>0</v>
      </c>
      <c r="AX468" s="405">
        <f t="shared" si="304"/>
        <v>0</v>
      </c>
      <c r="AY468" s="405">
        <f t="shared" si="305"/>
        <v>0</v>
      </c>
    </row>
    <row r="469" spans="2:51" ht="13.5" thickBot="1" x14ac:dyDescent="0.25">
      <c r="B469" s="345">
        <v>53703</v>
      </c>
      <c r="C469" s="728" t="str">
        <f t="shared" si="288"/>
        <v>2.2271548443541</v>
      </c>
      <c r="D469" s="728" t="str">
        <f t="shared" si="289"/>
        <v>1+41.0534845670949i</v>
      </c>
      <c r="E469" s="337">
        <f t="shared" si="307"/>
        <v>41.065661995159644</v>
      </c>
      <c r="F469" s="338">
        <f t="shared" si="308"/>
        <v>1.5464426744168522</v>
      </c>
      <c r="G469" s="338" t="str">
        <f t="shared" si="290"/>
        <v>1+0.168712950275732i</v>
      </c>
      <c r="H469" s="337">
        <f t="shared" si="309"/>
        <v>1.0141321706714277</v>
      </c>
      <c r="I469" s="338">
        <f t="shared" si="310"/>
        <v>0.16713899298632529</v>
      </c>
      <c r="J469" s="340">
        <f t="shared" si="291"/>
        <v>1</v>
      </c>
      <c r="K469" s="338">
        <f t="shared" si="311"/>
        <v>1</v>
      </c>
      <c r="L469" s="339">
        <f t="shared" si="312"/>
        <v>0</v>
      </c>
      <c r="M469" s="731" t="str">
        <f t="shared" si="292"/>
        <v>0.8718216796+0.727303243845153i</v>
      </c>
      <c r="N469" s="338">
        <f t="shared" si="313"/>
        <v>1.1353603170484017</v>
      </c>
      <c r="O469" s="339">
        <f t="shared" si="314"/>
        <v>0.69526955256083123</v>
      </c>
      <c r="P469" s="732" t="str">
        <f t="shared" si="306"/>
        <v>-0.0233852875239392-0.0424248481289251i</v>
      </c>
      <c r="Q469" s="337">
        <f t="shared" si="315"/>
        <v>4.8443156496451242E-2</v>
      </c>
      <c r="R469" s="339">
        <f t="shared" si="316"/>
        <v>-2.0745732339913561</v>
      </c>
      <c r="S469" s="731" t="str">
        <f t="shared" si="293"/>
        <v>6000</v>
      </c>
      <c r="T469" s="337" t="str">
        <f t="shared" si="294"/>
        <v>1+340800.15955698i</v>
      </c>
      <c r="U469" s="346">
        <f t="shared" si="317"/>
        <v>340800.15955844714</v>
      </c>
      <c r="V469" s="347">
        <f t="shared" si="318"/>
        <v>1.5707933925239699</v>
      </c>
      <c r="W469" s="340" t="str">
        <f t="shared" si="295"/>
        <v>1+3374.25900551465i</v>
      </c>
      <c r="X469" s="337">
        <f t="shared" si="319"/>
        <v>3374.2591536953291</v>
      </c>
      <c r="Y469" s="339">
        <f t="shared" si="320"/>
        <v>1.5704999654399772</v>
      </c>
      <c r="Z469" s="337" t="str">
        <f t="shared" si="296"/>
        <v>1+33.9904500551465i</v>
      </c>
      <c r="AA469" s="346">
        <f t="shared" si="321"/>
        <v>34.005156887616451</v>
      </c>
      <c r="AB469" s="347">
        <f t="shared" si="322"/>
        <v>1.5413847822160578</v>
      </c>
      <c r="AC469" s="732" t="str">
        <f t="shared" si="323"/>
        <v>0.0508612506112944-1.74622811108114i</v>
      </c>
      <c r="AD469" s="337">
        <f t="shared" si="324"/>
        <v>1.7469686553409454</v>
      </c>
      <c r="AE469" s="339">
        <f t="shared" si="325"/>
        <v>-1.5416782093000505</v>
      </c>
      <c r="AF469" s="736" t="str">
        <f t="shared" si="297"/>
        <v>-0.0752728673804494+0.0386782656271863i</v>
      </c>
      <c r="AG469" s="337">
        <f t="shared" si="326"/>
        <v>-21.449649074159428</v>
      </c>
      <c r="AH469" s="730">
        <f t="shared" si="327"/>
        <v>152.80405464130988</v>
      </c>
      <c r="AI469" s="360">
        <f t="shared" si="298"/>
        <v>-27.195945358690125</v>
      </c>
      <c r="AL469" s="337">
        <f t="shared" si="299"/>
        <v>4.845702256102963</v>
      </c>
      <c r="AM469" s="730">
        <f t="shared" si="300"/>
        <v>-88.331654760179276</v>
      </c>
      <c r="AN469" s="351"/>
      <c r="AO469" s="337">
        <f t="shared" si="301"/>
        <v>27.233771154779767</v>
      </c>
      <c r="AP469" s="730">
        <f t="shared" si="302"/>
        <v>-118.86429059851091</v>
      </c>
      <c r="AS469" s="351"/>
      <c r="AT469" s="351"/>
      <c r="AV469" s="405">
        <f t="shared" si="303"/>
        <v>0</v>
      </c>
      <c r="AW469" s="405">
        <f t="shared" si="287"/>
        <v>0</v>
      </c>
      <c r="AX469" s="405">
        <f t="shared" si="304"/>
        <v>0</v>
      </c>
      <c r="AY469" s="405">
        <f t="shared" si="305"/>
        <v>0</v>
      </c>
    </row>
    <row r="470" spans="2:51" ht="13.5" thickBot="1" x14ac:dyDescent="0.25">
      <c r="B470" s="345">
        <v>54015.75</v>
      </c>
      <c r="C470" s="728" t="str">
        <f t="shared" si="288"/>
        <v>2.2271548443541</v>
      </c>
      <c r="D470" s="728" t="str">
        <f t="shared" si="289"/>
        <v>1+41.2925676220148i</v>
      </c>
      <c r="E470" s="337">
        <f t="shared" si="307"/>
        <v>41.304674563766568</v>
      </c>
      <c r="F470" s="338">
        <f t="shared" si="308"/>
        <v>1.5465836262618389</v>
      </c>
      <c r="G470" s="338" t="str">
        <f t="shared" si="290"/>
        <v>1+0.169695483378143i</v>
      </c>
      <c r="H470" s="337">
        <f t="shared" si="309"/>
        <v>1.0142960894526518</v>
      </c>
      <c r="I470" s="338">
        <f t="shared" si="310"/>
        <v>0.16809417898141957</v>
      </c>
      <c r="J470" s="340">
        <f t="shared" si="291"/>
        <v>1</v>
      </c>
      <c r="K470" s="338">
        <f t="shared" si="311"/>
        <v>1</v>
      </c>
      <c r="L470" s="339">
        <f t="shared" si="312"/>
        <v>0</v>
      </c>
      <c r="M470" s="731" t="str">
        <f t="shared" si="292"/>
        <v>0.870324388975+0.731538837564547i</v>
      </c>
      <c r="N470" s="338">
        <f t="shared" si="313"/>
        <v>1.1369316658928958</v>
      </c>
      <c r="O470" s="339">
        <f t="shared" si="314"/>
        <v>0.69897390437321638</v>
      </c>
      <c r="P470" s="732" t="str">
        <f t="shared" si="306"/>
        <v>-0.02334324327214-0.0420605769248299i</v>
      </c>
      <c r="Q470" s="337">
        <f t="shared" si="315"/>
        <v>4.8104044920482966E-2</v>
      </c>
      <c r="R470" s="339">
        <f t="shared" si="316"/>
        <v>-2.0774633516536358</v>
      </c>
      <c r="S470" s="731" t="str">
        <f t="shared" si="293"/>
        <v>6000</v>
      </c>
      <c r="T470" s="337" t="str">
        <f t="shared" si="294"/>
        <v>1+342784.876423849i</v>
      </c>
      <c r="U470" s="346">
        <f t="shared" si="317"/>
        <v>342784.87642530765</v>
      </c>
      <c r="V470" s="347">
        <f t="shared" si="318"/>
        <v>1.5707934095133338</v>
      </c>
      <c r="W470" s="340" t="str">
        <f t="shared" si="295"/>
        <v>1+3393.90966756286i</v>
      </c>
      <c r="X470" s="337">
        <f t="shared" si="319"/>
        <v>3393.9098148855755</v>
      </c>
      <c r="Y470" s="339">
        <f t="shared" si="320"/>
        <v>1.5705016813655799</v>
      </c>
      <c r="Z470" s="337" t="str">
        <f t="shared" si="296"/>
        <v>1+34.1884001371671i</v>
      </c>
      <c r="AA470" s="346">
        <f t="shared" si="321"/>
        <v>34.203021853910037</v>
      </c>
      <c r="AB470" s="347">
        <f t="shared" si="322"/>
        <v>1.5415549770711301</v>
      </c>
      <c r="AC470" s="732" t="str">
        <f t="shared" si="323"/>
        <v>0.0502744866415781-1.7361346515144i</v>
      </c>
      <c r="AD470" s="337">
        <f t="shared" si="324"/>
        <v>1.73686241602382</v>
      </c>
      <c r="AE470" s="339">
        <f t="shared" si="325"/>
        <v>-1.5418467052188838</v>
      </c>
      <c r="AF470" s="736" t="str">
        <f t="shared" si="297"/>
        <v>-0.0741963946339405+0.0384124396107482i</v>
      </c>
      <c r="AG470" s="337">
        <f t="shared" si="326"/>
        <v>-21.561059720850203</v>
      </c>
      <c r="AH470" s="730">
        <f t="shared" si="327"/>
        <v>152.62880899195068</v>
      </c>
      <c r="AI470" s="360">
        <f t="shared" si="298"/>
        <v>-27.371191008049323</v>
      </c>
      <c r="AL470" s="337">
        <f t="shared" si="299"/>
        <v>4.7953083513462396</v>
      </c>
      <c r="AM470" s="730">
        <f t="shared" si="300"/>
        <v>-88.341308865193596</v>
      </c>
      <c r="AN470" s="351"/>
      <c r="AO470" s="337">
        <f t="shared" si="301"/>
        <v>27.172754412845684</v>
      </c>
      <c r="AP470" s="730">
        <f t="shared" si="302"/>
        <v>-119.02988214285573</v>
      </c>
      <c r="AS470" s="351"/>
      <c r="AT470" s="351"/>
      <c r="AV470" s="405">
        <f t="shared" si="303"/>
        <v>0</v>
      </c>
      <c r="AW470" s="405">
        <f t="shared" si="287"/>
        <v>0</v>
      </c>
      <c r="AX470" s="405">
        <f t="shared" si="304"/>
        <v>0</v>
      </c>
      <c r="AY470" s="405">
        <f t="shared" si="305"/>
        <v>0</v>
      </c>
    </row>
    <row r="471" spans="2:51" ht="13.5" thickBot="1" x14ac:dyDescent="0.25">
      <c r="B471" s="345">
        <v>54328.5</v>
      </c>
      <c r="C471" s="728" t="str">
        <f t="shared" si="288"/>
        <v>2.2271548443541</v>
      </c>
      <c r="D471" s="728" t="str">
        <f t="shared" si="289"/>
        <v>1+41.5316506769346i</v>
      </c>
      <c r="E471" s="337">
        <f t="shared" si="307"/>
        <v>41.543687943548321</v>
      </c>
      <c r="F471" s="338">
        <f t="shared" si="308"/>
        <v>1.5467229562325253</v>
      </c>
      <c r="G471" s="338" t="str">
        <f t="shared" si="290"/>
        <v>1+0.170678016480553i</v>
      </c>
      <c r="H471" s="337">
        <f t="shared" si="309"/>
        <v>1.0144609333580745</v>
      </c>
      <c r="I471" s="338">
        <f t="shared" si="310"/>
        <v>0.16904905542333135</v>
      </c>
      <c r="J471" s="340">
        <f t="shared" si="291"/>
        <v>1</v>
      </c>
      <c r="K471" s="338">
        <f t="shared" si="311"/>
        <v>1</v>
      </c>
      <c r="L471" s="339">
        <f t="shared" si="312"/>
        <v>0</v>
      </c>
      <c r="M471" s="731" t="str">
        <f t="shared" si="292"/>
        <v>0.8688184039+0.73577443128394i</v>
      </c>
      <c r="N471" s="338">
        <f t="shared" si="313"/>
        <v>1.1385119378761688</v>
      </c>
      <c r="O471" s="339">
        <f t="shared" si="314"/>
        <v>0.70267291549924316</v>
      </c>
      <c r="P471" s="732" t="str">
        <f t="shared" si="306"/>
        <v>-0.0233008329645197-0.0417003181496746i</v>
      </c>
      <c r="Q471" s="337">
        <f t="shared" si="315"/>
        <v>4.77686649449671E-2</v>
      </c>
      <c r="R471" s="339">
        <f t="shared" si="316"/>
        <v>-2.0803468163084364</v>
      </c>
      <c r="S471" s="731" t="str">
        <f t="shared" si="293"/>
        <v>6000</v>
      </c>
      <c r="T471" s="337" t="str">
        <f t="shared" si="294"/>
        <v>1+344769.593290717i</v>
      </c>
      <c r="U471" s="346">
        <f t="shared" si="317"/>
        <v>344769.59329216724</v>
      </c>
      <c r="V471" s="347">
        <f t="shared" si="318"/>
        <v>1.5707934263070942</v>
      </c>
      <c r="W471" s="340" t="str">
        <f t="shared" si="295"/>
        <v>1+3413.56032961106i</v>
      </c>
      <c r="X471" s="337">
        <f t="shared" si="319"/>
        <v>3413.5604760856904</v>
      </c>
      <c r="Y471" s="339">
        <f t="shared" si="320"/>
        <v>1.570503377535228</v>
      </c>
      <c r="Z471" s="337" t="str">
        <f t="shared" si="296"/>
        <v>1+34.3863502191875i</v>
      </c>
      <c r="AA471" s="346">
        <f t="shared" si="321"/>
        <v>34.400887799541103</v>
      </c>
      <c r="AB471" s="347">
        <f t="shared" si="322"/>
        <v>1.5417232140881885</v>
      </c>
      <c r="AC471" s="732" t="str">
        <f t="shared" si="323"/>
        <v>0.0496978154385154-1.72615710740588i</v>
      </c>
      <c r="AD471" s="337">
        <f t="shared" si="324"/>
        <v>1.7268723844879783</v>
      </c>
      <c r="AE471" s="339">
        <f t="shared" si="325"/>
        <v>-1.5420132628600545</v>
      </c>
      <c r="AF471" s="736" t="str">
        <f t="shared" si="297"/>
        <v>-0.0731393010513816+0.038148483715053i</v>
      </c>
      <c r="AG471" s="337">
        <f t="shared" si="326"/>
        <v>-21.671933037545628</v>
      </c>
      <c r="AH471" s="730">
        <f t="shared" si="327"/>
        <v>152.45405558697072</v>
      </c>
      <c r="AI471" s="360">
        <f t="shared" si="298"/>
        <v>-27.545944413029275</v>
      </c>
      <c r="AL471" s="337">
        <f t="shared" si="299"/>
        <v>4.7452048896179733</v>
      </c>
      <c r="AM471" s="730">
        <f t="shared" si="300"/>
        <v>-88.350851915078337</v>
      </c>
      <c r="AN471" s="351"/>
      <c r="AO471" s="337">
        <f t="shared" si="301"/>
        <v>27.11198455787855</v>
      </c>
      <c r="AP471" s="730">
        <f t="shared" si="302"/>
        <v>-119.19509249795092</v>
      </c>
      <c r="AS471" s="351"/>
      <c r="AT471" s="351"/>
      <c r="AV471" s="405">
        <f t="shared" si="303"/>
        <v>0</v>
      </c>
      <c r="AW471" s="405">
        <f t="shared" si="287"/>
        <v>0</v>
      </c>
      <c r="AX471" s="405">
        <f t="shared" si="304"/>
        <v>0</v>
      </c>
      <c r="AY471" s="405">
        <f t="shared" si="305"/>
        <v>0</v>
      </c>
    </row>
    <row r="472" spans="2:51" ht="13.5" thickBot="1" x14ac:dyDescent="0.25">
      <c r="B472" s="345">
        <v>54641.25</v>
      </c>
      <c r="C472" s="728" t="str">
        <f t="shared" si="288"/>
        <v>2.2271548443541</v>
      </c>
      <c r="D472" s="728" t="str">
        <f t="shared" si="289"/>
        <v>1+41.7707337318545i</v>
      </c>
      <c r="E472" s="337">
        <f t="shared" si="307"/>
        <v>41.782702120584389</v>
      </c>
      <c r="F472" s="338">
        <f t="shared" si="308"/>
        <v>1.5468606921568115</v>
      </c>
      <c r="G472" s="338" t="str">
        <f t="shared" si="290"/>
        <v>1+0.171660549582963i</v>
      </c>
      <c r="H472" s="337">
        <f t="shared" si="309"/>
        <v>1.0146267019367885</v>
      </c>
      <c r="I472" s="338">
        <f t="shared" si="310"/>
        <v>0.17000362072207312</v>
      </c>
      <c r="J472" s="340">
        <f t="shared" si="291"/>
        <v>1</v>
      </c>
      <c r="K472" s="338">
        <f t="shared" si="311"/>
        <v>1</v>
      </c>
      <c r="L472" s="339">
        <f t="shared" si="312"/>
        <v>0</v>
      </c>
      <c r="M472" s="731" t="str">
        <f t="shared" si="292"/>
        <v>0.867303724375+0.740010025003334i</v>
      </c>
      <c r="N472" s="338">
        <f t="shared" si="313"/>
        <v>1.140101130347734</v>
      </c>
      <c r="O472" s="339">
        <f t="shared" si="314"/>
        <v>0.70636657181412643</v>
      </c>
      <c r="P472" s="732" t="str">
        <f t="shared" si="306"/>
        <v>-0.0232580653692965-0.0413440088630336i</v>
      </c>
      <c r="Q472" s="337">
        <f t="shared" si="315"/>
        <v>4.7436954725077689E-2</v>
      </c>
      <c r="R472" s="339">
        <f t="shared" si="316"/>
        <v>-2.083223643248866</v>
      </c>
      <c r="S472" s="731" t="str">
        <f t="shared" si="293"/>
        <v>6000</v>
      </c>
      <c r="T472" s="337" t="str">
        <f t="shared" si="294"/>
        <v>1+346754.310157586i</v>
      </c>
      <c r="U472" s="346">
        <f t="shared" si="317"/>
        <v>346754.31015902798</v>
      </c>
      <c r="V472" s="347">
        <f t="shared" si="318"/>
        <v>1.5707934429086097</v>
      </c>
      <c r="W472" s="340" t="str">
        <f t="shared" si="295"/>
        <v>1+3433.21099165927i</v>
      </c>
      <c r="X472" s="337">
        <f t="shared" si="319"/>
        <v>3433.2111372955242</v>
      </c>
      <c r="Y472" s="339">
        <f t="shared" si="320"/>
        <v>1.5705050542881531</v>
      </c>
      <c r="Z472" s="337" t="str">
        <f t="shared" si="296"/>
        <v>1+34.5843003012081i</v>
      </c>
      <c r="AA472" s="346">
        <f t="shared" si="321"/>
        <v>34.598754707707947</v>
      </c>
      <c r="AB472" s="347">
        <f t="shared" si="322"/>
        <v>1.5418895268476818</v>
      </c>
      <c r="AC472" s="732" t="str">
        <f t="shared" si="323"/>
        <v>0.0491310069155837-1.71629349501332i</v>
      </c>
      <c r="AD472" s="337">
        <f t="shared" si="324"/>
        <v>1.7169965686819457</v>
      </c>
      <c r="AE472" s="339">
        <f t="shared" si="325"/>
        <v>-1.5421779154681383</v>
      </c>
      <c r="AF472" s="736" t="str">
        <f t="shared" si="297"/>
        <v>-0.0721011456398996+0.0378863935145505i</v>
      </c>
      <c r="AG472" s="337">
        <f t="shared" si="326"/>
        <v>-21.78227543159047</v>
      </c>
      <c r="AH472" s="730">
        <f t="shared" si="327"/>
        <v>152.27979164536555</v>
      </c>
      <c r="AI472" s="360">
        <f t="shared" si="298"/>
        <v>-27.720208354634451</v>
      </c>
      <c r="AL472" s="337">
        <f t="shared" si="299"/>
        <v>4.6953885449890267</v>
      </c>
      <c r="AM472" s="730">
        <f t="shared" si="300"/>
        <v>-88.360285814607366</v>
      </c>
      <c r="AN472" s="351"/>
      <c r="AO472" s="337">
        <f t="shared" si="301"/>
        <v>27.051458508462652</v>
      </c>
      <c r="AP472" s="730">
        <f t="shared" si="302"/>
        <v>-119.35992254002714</v>
      </c>
      <c r="AS472" s="351"/>
      <c r="AT472" s="351"/>
      <c r="AV472" s="405">
        <f t="shared" si="303"/>
        <v>0</v>
      </c>
      <c r="AW472" s="405">
        <f t="shared" si="287"/>
        <v>0</v>
      </c>
      <c r="AX472" s="405">
        <f t="shared" si="304"/>
        <v>0</v>
      </c>
      <c r="AY472" s="405">
        <f t="shared" si="305"/>
        <v>0</v>
      </c>
    </row>
    <row r="473" spans="2:51" ht="13.5" thickBot="1" x14ac:dyDescent="0.25">
      <c r="B473" s="345">
        <v>54954</v>
      </c>
      <c r="C473" s="728" t="str">
        <f t="shared" si="288"/>
        <v>2.2271548443541</v>
      </c>
      <c r="D473" s="728" t="str">
        <f t="shared" si="289"/>
        <v>1+42.0098167867742i</v>
      </c>
      <c r="E473" s="337">
        <f t="shared" si="307"/>
        <v>42.021717081270438</v>
      </c>
      <c r="F473" s="338">
        <f t="shared" si="308"/>
        <v>1.5469968612297147</v>
      </c>
      <c r="G473" s="338" t="str">
        <f t="shared" si="290"/>
        <v>1+0.172643082685373i</v>
      </c>
      <c r="H473" s="337">
        <f t="shared" si="309"/>
        <v>1.014793394735652</v>
      </c>
      <c r="I473" s="338">
        <f t="shared" si="310"/>
        <v>0.17095787329096054</v>
      </c>
      <c r="J473" s="340">
        <f t="shared" si="291"/>
        <v>1</v>
      </c>
      <c r="K473" s="338">
        <f t="shared" si="311"/>
        <v>1</v>
      </c>
      <c r="L473" s="339">
        <f t="shared" si="312"/>
        <v>0</v>
      </c>
      <c r="M473" s="731" t="str">
        <f t="shared" si="292"/>
        <v>0.8657803504+0.744245618722726i</v>
      </c>
      <c r="N473" s="338">
        <f t="shared" si="313"/>
        <v>1.1416992406613575</v>
      </c>
      <c r="O473" s="339">
        <f t="shared" si="314"/>
        <v>0.71005485939948487</v>
      </c>
      <c r="P473" s="732" t="str">
        <f t="shared" si="306"/>
        <v>-0.023214949069637-0.0409915875227097i</v>
      </c>
      <c r="Q473" s="337">
        <f t="shared" si="315"/>
        <v>4.7108853816854958E-2</v>
      </c>
      <c r="R473" s="339">
        <f t="shared" si="316"/>
        <v>-2.0860938473382395</v>
      </c>
      <c r="S473" s="731" t="str">
        <f t="shared" si="293"/>
        <v>6000</v>
      </c>
      <c r="T473" s="337" t="str">
        <f t="shared" si="294"/>
        <v>1+348739.027024454i</v>
      </c>
      <c r="U473" s="346">
        <f t="shared" si="317"/>
        <v>348739.02702588768</v>
      </c>
      <c r="V473" s="347">
        <f t="shared" si="318"/>
        <v>1.5707934593211628</v>
      </c>
      <c r="W473" s="340" t="str">
        <f t="shared" si="295"/>
        <v>1+3452.86165370747i</v>
      </c>
      <c r="X473" s="337">
        <f t="shared" si="319"/>
        <v>3452.8617985148908</v>
      </c>
      <c r="Y473" s="339">
        <f t="shared" si="320"/>
        <v>1.5705067119558638</v>
      </c>
      <c r="Z473" s="337" t="str">
        <f t="shared" si="296"/>
        <v>1+34.7822503832286i</v>
      </c>
      <c r="AA473" s="346">
        <f t="shared" si="321"/>
        <v>34.796622561990212</v>
      </c>
      <c r="AB473" s="347">
        <f t="shared" si="322"/>
        <v>1.5420539481666811</v>
      </c>
      <c r="AC473" s="732" t="str">
        <f t="shared" si="323"/>
        <v>0.0485738375039506-1.70654187556601i</v>
      </c>
      <c r="AD473" s="337">
        <f t="shared" si="324"/>
        <v>1.7072330218075726</v>
      </c>
      <c r="AE473" s="339">
        <f t="shared" si="325"/>
        <v>-1.5423406955319801</v>
      </c>
      <c r="AF473" s="736" t="str">
        <f t="shared" si="297"/>
        <v>-0.0710814998172043+0.0376261640151107i</v>
      </c>
      <c r="AG473" s="337">
        <f t="shared" si="326"/>
        <v>-21.892093196632519</v>
      </c>
      <c r="AH473" s="730">
        <f t="shared" si="327"/>
        <v>152.10601445405624</v>
      </c>
      <c r="AI473" s="360">
        <f t="shared" si="298"/>
        <v>-27.893985545943764</v>
      </c>
      <c r="AL473" s="337">
        <f t="shared" si="299"/>
        <v>4.645856048286837</v>
      </c>
      <c r="AM473" s="730">
        <f t="shared" si="300"/>
        <v>-88.36961242525436</v>
      </c>
      <c r="AN473" s="351"/>
      <c r="AO473" s="337">
        <f t="shared" si="301"/>
        <v>26.991173240122798</v>
      </c>
      <c r="AP473" s="730">
        <f t="shared" si="302"/>
        <v>-119.52437312068942</v>
      </c>
      <c r="AS473" s="351"/>
      <c r="AT473" s="351"/>
      <c r="AV473" s="405">
        <f t="shared" si="303"/>
        <v>0</v>
      </c>
      <c r="AW473" s="405">
        <f t="shared" si="287"/>
        <v>0</v>
      </c>
      <c r="AX473" s="405">
        <f t="shared" si="304"/>
        <v>0</v>
      </c>
      <c r="AY473" s="405">
        <f t="shared" si="305"/>
        <v>0</v>
      </c>
    </row>
    <row r="474" spans="2:51" ht="13.5" thickBot="1" x14ac:dyDescent="0.25">
      <c r="B474" s="345">
        <v>55274</v>
      </c>
      <c r="C474" s="728" t="str">
        <f t="shared" si="288"/>
        <v>2.2271548443541</v>
      </c>
      <c r="D474" s="728" t="str">
        <f t="shared" si="289"/>
        <v>1+42.2544421347337i</v>
      </c>
      <c r="E474" s="337">
        <f t="shared" si="307"/>
        <v>42.266273553716076</v>
      </c>
      <c r="F474" s="338">
        <f t="shared" si="308"/>
        <v>1.5471345928649689</v>
      </c>
      <c r="G474" s="338" t="str">
        <f t="shared" si="290"/>
        <v>1+0.173648392334522i</v>
      </c>
      <c r="H474" s="337">
        <f t="shared" si="309"/>
        <v>1.0149649078467513</v>
      </c>
      <c r="I474" s="338">
        <f t="shared" si="310"/>
        <v>0.17193392148300229</v>
      </c>
      <c r="J474" s="340">
        <f t="shared" si="291"/>
        <v>1</v>
      </c>
      <c r="K474" s="338">
        <f t="shared" si="311"/>
        <v>1</v>
      </c>
      <c r="L474" s="339">
        <f t="shared" si="312"/>
        <v>0</v>
      </c>
      <c r="M474" s="731" t="str">
        <f t="shared" si="292"/>
        <v>0.86421266328889+0.748579399666629i</v>
      </c>
      <c r="N474" s="338">
        <f t="shared" si="313"/>
        <v>1.1433436250725881</v>
      </c>
      <c r="O474" s="339">
        <f t="shared" si="314"/>
        <v>0.71382307570087811</v>
      </c>
      <c r="P474" s="732" t="str">
        <f t="shared" si="306"/>
        <v>-0.0231704811124529-0.0406349579603496i</v>
      </c>
      <c r="Q474" s="337">
        <f t="shared" si="315"/>
        <v>4.6776821219722868E-2</v>
      </c>
      <c r="R474" s="339">
        <f t="shared" si="316"/>
        <v>-2.0890237470828463</v>
      </c>
      <c r="S474" s="731" t="str">
        <f t="shared" si="293"/>
        <v>6000</v>
      </c>
      <c r="T474" s="337" t="str">
        <f t="shared" si="294"/>
        <v>1+350769.752515735i</v>
      </c>
      <c r="U474" s="346">
        <f t="shared" si="317"/>
        <v>350769.75251716049</v>
      </c>
      <c r="V474" s="347">
        <f t="shared" si="318"/>
        <v>1.5707934759219442</v>
      </c>
      <c r="W474" s="340" t="str">
        <f t="shared" si="295"/>
        <v>1+3472.96784669044i</v>
      </c>
      <c r="X474" s="337">
        <f t="shared" si="319"/>
        <v>3472.9679906595211</v>
      </c>
      <c r="Y474" s="339">
        <f t="shared" si="320"/>
        <v>1.5705083886346523</v>
      </c>
      <c r="Z474" s="337" t="str">
        <f t="shared" si="296"/>
        <v>1+34.9847892361352i</v>
      </c>
      <c r="AA474" s="346">
        <f t="shared" si="321"/>
        <v>34.999078243530946</v>
      </c>
      <c r="AB474" s="347">
        <f t="shared" si="322"/>
        <v>1.5422202567441978</v>
      </c>
      <c r="AC474" s="732" t="str">
        <f t="shared" si="323"/>
        <v>0.0480135023834753-1.69667814030013i</v>
      </c>
      <c r="AD474" s="337">
        <f t="shared" si="324"/>
        <v>1.697357360187723</v>
      </c>
      <c r="AE474" s="339">
        <f t="shared" si="325"/>
        <v>-1.5425053440314898</v>
      </c>
      <c r="AF474" s="736" t="str">
        <f t="shared" si="297"/>
        <v>-0.070056940853459+0.0373618221528542i</v>
      </c>
      <c r="AG474" s="337">
        <f t="shared" si="326"/>
        <v>-22.003920132740976</v>
      </c>
      <c r="AH474" s="730">
        <f t="shared" si="327"/>
        <v>151.92870990016877</v>
      </c>
      <c r="AI474" s="360">
        <f t="shared" si="298"/>
        <v>-28.071290099831231</v>
      </c>
      <c r="AL474" s="337">
        <f t="shared" si="299"/>
        <v>4.5954657587712093</v>
      </c>
      <c r="AM474" s="730">
        <f t="shared" si="300"/>
        <v>-88.379046089379429</v>
      </c>
      <c r="AN474" s="351"/>
      <c r="AO474" s="337">
        <f t="shared" si="301"/>
        <v>26.929736593529942</v>
      </c>
      <c r="AP474" s="730">
        <f t="shared" si="302"/>
        <v>-119.69224401045169</v>
      </c>
      <c r="AS474" s="351"/>
      <c r="AT474" s="351"/>
      <c r="AV474" s="405">
        <f t="shared" si="303"/>
        <v>0</v>
      </c>
      <c r="AW474" s="405">
        <f t="shared" ref="AW474:AW537" si="328">IF(AV474&gt;0,AI474,0)</f>
        <v>0</v>
      </c>
      <c r="AX474" s="405">
        <f t="shared" si="304"/>
        <v>0</v>
      </c>
      <c r="AY474" s="405">
        <f t="shared" si="305"/>
        <v>0</v>
      </c>
    </row>
    <row r="475" spans="2:51" ht="13.5" thickBot="1" x14ac:dyDescent="0.25">
      <c r="B475" s="345">
        <v>55594</v>
      </c>
      <c r="C475" s="728" t="str">
        <f t="shared" si="288"/>
        <v>2.2271548443541</v>
      </c>
      <c r="D475" s="728" t="str">
        <f t="shared" si="289"/>
        <v>1+42.4990674826933i</v>
      </c>
      <c r="E475" s="337">
        <f t="shared" si="307"/>
        <v>42.510830818728053</v>
      </c>
      <c r="F475" s="338">
        <f t="shared" si="308"/>
        <v>1.5472707398114742</v>
      </c>
      <c r="G475" s="338" t="str">
        <f t="shared" si="290"/>
        <v>1+0.174653701983671i</v>
      </c>
      <c r="H475" s="337">
        <f t="shared" si="309"/>
        <v>1.0151373875572709</v>
      </c>
      <c r="I475" s="338">
        <f t="shared" si="310"/>
        <v>0.17290963892801189</v>
      </c>
      <c r="J475" s="340">
        <f t="shared" si="291"/>
        <v>1</v>
      </c>
      <c r="K475" s="338">
        <f t="shared" si="311"/>
        <v>1</v>
      </c>
      <c r="L475" s="339">
        <f t="shared" si="312"/>
        <v>0</v>
      </c>
      <c r="M475" s="731" t="str">
        <f t="shared" si="292"/>
        <v>0.862635873955555+0.752913180610534i</v>
      </c>
      <c r="N475" s="338">
        <f t="shared" si="313"/>
        <v>1.144997339984742</v>
      </c>
      <c r="O475" s="339">
        <f t="shared" si="314"/>
        <v>0.71758564265655478</v>
      </c>
      <c r="P475" s="732" t="str">
        <f t="shared" si="306"/>
        <v>-0.0231256657069957-0.0402822726518973i</v>
      </c>
      <c r="Q475" s="337">
        <f t="shared" si="315"/>
        <v>4.6448443508835799E-2</v>
      </c>
      <c r="R475" s="339">
        <f t="shared" si="316"/>
        <v>-2.0919467435400172</v>
      </c>
      <c r="S475" s="731" t="str">
        <f t="shared" si="293"/>
        <v>6000</v>
      </c>
      <c r="T475" s="337" t="str">
        <f t="shared" si="294"/>
        <v>1+352800.478007015i</v>
      </c>
      <c r="U475" s="346">
        <f t="shared" si="317"/>
        <v>352800.47800843231</v>
      </c>
      <c r="V475" s="347">
        <f t="shared" si="318"/>
        <v>1.5707934923316169</v>
      </c>
      <c r="W475" s="340" t="str">
        <f t="shared" si="295"/>
        <v>1+3493.07403967342i</v>
      </c>
      <c r="X475" s="337">
        <f t="shared" si="319"/>
        <v>3493.074182813813</v>
      </c>
      <c r="Y475" s="339">
        <f t="shared" si="320"/>
        <v>1.5705100460114596</v>
      </c>
      <c r="Z475" s="337" t="str">
        <f t="shared" si="296"/>
        <v>1+35.1873280890419i</v>
      </c>
      <c r="AA475" s="346">
        <f t="shared" si="321"/>
        <v>35.201534881960427</v>
      </c>
      <c r="AB475" s="347">
        <f t="shared" si="322"/>
        <v>1.542384652325796</v>
      </c>
      <c r="AC475" s="732" t="str">
        <f t="shared" si="323"/>
        <v>0.0474628048724026-1.68692768279273i</v>
      </c>
      <c r="AD475" s="337">
        <f t="shared" si="324"/>
        <v>1.6875952491100481</v>
      </c>
      <c r="AE475" s="339">
        <f t="shared" si="325"/>
        <v>-1.5426680986459531</v>
      </c>
      <c r="AF475" s="736" t="str">
        <f t="shared" si="297"/>
        <v>-0.0690508898212856+0.0370994160174476i</v>
      </c>
      <c r="AG475" s="337">
        <f t="shared" si="326"/>
        <v>-22.115210811546739</v>
      </c>
      <c r="AH475" s="730">
        <f t="shared" si="327"/>
        <v>151.75190938713615</v>
      </c>
      <c r="AI475" s="360">
        <f t="shared" si="298"/>
        <v>-28.248090612863848</v>
      </c>
      <c r="AL475" s="337">
        <f t="shared" si="299"/>
        <v>4.5453658818598868</v>
      </c>
      <c r="AM475" s="730">
        <f t="shared" si="300"/>
        <v>-88.388371241884457</v>
      </c>
      <c r="AN475" s="351"/>
      <c r="AO475" s="337">
        <f t="shared" si="301"/>
        <v>26.86854579163553</v>
      </c>
      <c r="AP475" s="730">
        <f t="shared" si="302"/>
        <v>-119.85971937097945</v>
      </c>
      <c r="AS475" s="351"/>
      <c r="AT475" s="351"/>
      <c r="AV475" s="405">
        <f t="shared" si="303"/>
        <v>0</v>
      </c>
      <c r="AW475" s="405">
        <f t="shared" si="328"/>
        <v>0</v>
      </c>
      <c r="AX475" s="405">
        <f t="shared" si="304"/>
        <v>0</v>
      </c>
      <c r="AY475" s="405">
        <f t="shared" si="305"/>
        <v>0</v>
      </c>
    </row>
    <row r="476" spans="2:51" ht="13.5" thickBot="1" x14ac:dyDescent="0.25">
      <c r="B476" s="345">
        <v>55914</v>
      </c>
      <c r="C476" s="728" t="str">
        <f t="shared" si="288"/>
        <v>2.2271548443541</v>
      </c>
      <c r="D476" s="728" t="str">
        <f t="shared" si="289"/>
        <v>1+42.7436928306528i</v>
      </c>
      <c r="E476" s="337">
        <f t="shared" si="307"/>
        <v>42.755388862705942</v>
      </c>
      <c r="F476" s="338">
        <f t="shared" si="308"/>
        <v>1.5474053292570895</v>
      </c>
      <c r="G476" s="338" t="str">
        <f t="shared" si="290"/>
        <v>1+0.17565901163282i</v>
      </c>
      <c r="H476" s="337">
        <f t="shared" si="309"/>
        <v>1.0153108333745973</v>
      </c>
      <c r="I476" s="338">
        <f t="shared" si="310"/>
        <v>0.17388502393721153</v>
      </c>
      <c r="J476" s="340">
        <f t="shared" si="291"/>
        <v>1</v>
      </c>
      <c r="K476" s="338">
        <f t="shared" si="311"/>
        <v>1</v>
      </c>
      <c r="L476" s="339">
        <f t="shared" si="312"/>
        <v>0</v>
      </c>
      <c r="M476" s="731" t="str">
        <f t="shared" si="292"/>
        <v>0.8610499824+0.757246961554436i</v>
      </c>
      <c r="N476" s="338">
        <f t="shared" si="313"/>
        <v>1.1466603825782358</v>
      </c>
      <c r="O476" s="339">
        <f t="shared" si="314"/>
        <v>0.72134254602421044</v>
      </c>
      <c r="P476" s="732" t="str">
        <f t="shared" si="306"/>
        <v>-0.0230805114816925-0.0399334699651666i</v>
      </c>
      <c r="Q476" s="337">
        <f t="shared" si="315"/>
        <v>4.6123660237619934E-2</v>
      </c>
      <c r="R476" s="339">
        <f t="shared" si="316"/>
        <v>-2.094862851344089</v>
      </c>
      <c r="S476" s="731" t="str">
        <f t="shared" si="293"/>
        <v>6000</v>
      </c>
      <c r="T476" s="337" t="str">
        <f t="shared" si="294"/>
        <v>1+354831.203498295i</v>
      </c>
      <c r="U476" s="346">
        <f t="shared" si="317"/>
        <v>354831.20349970413</v>
      </c>
      <c r="V476" s="347">
        <f t="shared" si="318"/>
        <v>1.5707935085534619</v>
      </c>
      <c r="W476" s="340" t="str">
        <f t="shared" si="295"/>
        <v>1+3513.18023265639i</v>
      </c>
      <c r="X476" s="337">
        <f t="shared" si="319"/>
        <v>3513.18037497758</v>
      </c>
      <c r="Y476" s="339">
        <f t="shared" si="320"/>
        <v>1.5705116844176858</v>
      </c>
      <c r="Z476" s="337" t="str">
        <f t="shared" si="296"/>
        <v>1+35.3898669419485i</v>
      </c>
      <c r="AA476" s="346">
        <f t="shared" si="321"/>
        <v>35.403992460862646</v>
      </c>
      <c r="AB476" s="347">
        <f t="shared" si="322"/>
        <v>1.5425471677208891</v>
      </c>
      <c r="AC476" s="732" t="str">
        <f t="shared" si="323"/>
        <v>0.0469215252704963-1.67728856436056i</v>
      </c>
      <c r="AD476" s="337">
        <f t="shared" si="324"/>
        <v>1.6779447421379581</v>
      </c>
      <c r="AE476" s="339">
        <f t="shared" si="325"/>
        <v>-1.5428289918566651</v>
      </c>
      <c r="AF476" s="736" t="str">
        <f t="shared" si="297"/>
        <v>-0.068062925310554+0.0368389386477263i</v>
      </c>
      <c r="AG476" s="337">
        <f t="shared" si="326"/>
        <v>-22.225971621660833</v>
      </c>
      <c r="AH476" s="730">
        <f t="shared" si="327"/>
        <v>151.57561021543151</v>
      </c>
      <c r="AI476" s="360">
        <f t="shared" si="298"/>
        <v>-28.42438978456849</v>
      </c>
      <c r="AL476" s="337">
        <f t="shared" si="299"/>
        <v>4.4955530919547639</v>
      </c>
      <c r="AM476" s="730">
        <f t="shared" si="300"/>
        <v>-88.39758974381057</v>
      </c>
      <c r="AN476" s="351"/>
      <c r="AO476" s="337">
        <f t="shared" si="301"/>
        <v>26.807597771426526</v>
      </c>
      <c r="AP476" s="730">
        <f t="shared" si="302"/>
        <v>-120.02680004075779</v>
      </c>
      <c r="AS476" s="351"/>
      <c r="AT476" s="351"/>
      <c r="AV476" s="405">
        <f t="shared" si="303"/>
        <v>0</v>
      </c>
      <c r="AW476" s="405">
        <f t="shared" si="328"/>
        <v>0</v>
      </c>
      <c r="AX476" s="405">
        <f t="shared" si="304"/>
        <v>0</v>
      </c>
      <c r="AY476" s="405">
        <f t="shared" si="305"/>
        <v>0</v>
      </c>
    </row>
    <row r="477" spans="2:51" ht="13.5" thickBot="1" x14ac:dyDescent="0.25">
      <c r="B477" s="345">
        <v>56234</v>
      </c>
      <c r="C477" s="728" t="str">
        <f t="shared" si="288"/>
        <v>2.2271548443541</v>
      </c>
      <c r="D477" s="728" t="str">
        <f t="shared" si="289"/>
        <v>1+42.9883181786123i</v>
      </c>
      <c r="E477" s="337">
        <f t="shared" si="307"/>
        <v>42.999947672358964</v>
      </c>
      <c r="F477" s="338">
        <f t="shared" si="308"/>
        <v>1.5475383877713866</v>
      </c>
      <c r="G477" s="338" t="str">
        <f t="shared" si="290"/>
        <v>1+0.176664321281968i</v>
      </c>
      <c r="H477" s="337">
        <f t="shared" si="309"/>
        <v>1.015485244803694</v>
      </c>
      <c r="I477" s="338">
        <f t="shared" si="310"/>
        <v>0.17486007482550317</v>
      </c>
      <c r="J477" s="340">
        <f t="shared" si="291"/>
        <v>1</v>
      </c>
      <c r="K477" s="338">
        <f t="shared" si="311"/>
        <v>1</v>
      </c>
      <c r="L477" s="339">
        <f t="shared" si="312"/>
        <v>0</v>
      </c>
      <c r="M477" s="731" t="str">
        <f t="shared" si="292"/>
        <v>0.859454988622222+0.761580742498341i</v>
      </c>
      <c r="N477" s="338">
        <f t="shared" si="313"/>
        <v>1.1483327500389198</v>
      </c>
      <c r="O477" s="339">
        <f t="shared" si="314"/>
        <v>0.72509377178479306</v>
      </c>
      <c r="P477" s="732" t="str">
        <f t="shared" si="306"/>
        <v>-0.0230350268856503-0.0395884896327403i</v>
      </c>
      <c r="Q477" s="337">
        <f t="shared" si="315"/>
        <v>4.5802412327564351E-2</v>
      </c>
      <c r="R477" s="339">
        <f t="shared" si="316"/>
        <v>-2.0977720847306767</v>
      </c>
      <c r="S477" s="731" t="str">
        <f t="shared" si="293"/>
        <v>6000</v>
      </c>
      <c r="T477" s="337" t="str">
        <f t="shared" si="294"/>
        <v>1+356861.928989576i</v>
      </c>
      <c r="U477" s="346">
        <f t="shared" si="317"/>
        <v>356861.92899097712</v>
      </c>
      <c r="V477" s="347">
        <f t="shared" si="318"/>
        <v>1.5707935245906861</v>
      </c>
      <c r="W477" s="340" t="str">
        <f t="shared" si="295"/>
        <v>1+3533.28642563937i</v>
      </c>
      <c r="X477" s="337">
        <f t="shared" si="319"/>
        <v>3533.2865671506797</v>
      </c>
      <c r="Y477" s="339">
        <f t="shared" si="320"/>
        <v>1.5705133041771879</v>
      </c>
      <c r="Z477" s="337" t="str">
        <f t="shared" si="296"/>
        <v>1+35.5924057948552i</v>
      </c>
      <c r="AA477" s="346">
        <f t="shared" si="321"/>
        <v>35.606450964195275</v>
      </c>
      <c r="AB477" s="347">
        <f t="shared" si="322"/>
        <v>1.5427078349930756</v>
      </c>
      <c r="AC477" s="732" t="str">
        <f t="shared" si="323"/>
        <v>0.0463894501007925-1.66775889027391i</v>
      </c>
      <c r="AD477" s="337">
        <f t="shared" si="324"/>
        <v>1.668403937051312</v>
      </c>
      <c r="AE477" s="339">
        <f t="shared" si="325"/>
        <v>-1.542988055406574</v>
      </c>
      <c r="AF477" s="736" t="str">
        <f t="shared" si="297"/>
        <v>-0.0670926377678014+0.0365803826118581i</v>
      </c>
      <c r="AG477" s="337">
        <f t="shared" si="326"/>
        <v>-22.336208838069677</v>
      </c>
      <c r="AH477" s="730">
        <f t="shared" si="327"/>
        <v>151.39980975067735</v>
      </c>
      <c r="AI477" s="360">
        <f t="shared" si="298"/>
        <v>-28.600190249322651</v>
      </c>
      <c r="AL477" s="337">
        <f t="shared" si="299"/>
        <v>4.4460241202109794</v>
      </c>
      <c r="AM477" s="730">
        <f t="shared" si="300"/>
        <v>-88.406703413894718</v>
      </c>
      <c r="AN477" s="351"/>
      <c r="AO477" s="337">
        <f t="shared" si="301"/>
        <v>26.746889526761478</v>
      </c>
      <c r="AP477" s="730">
        <f t="shared" si="302"/>
        <v>-120.193486835428</v>
      </c>
      <c r="AS477" s="351"/>
      <c r="AT477" s="351"/>
      <c r="AV477" s="405">
        <f t="shared" si="303"/>
        <v>0</v>
      </c>
      <c r="AW477" s="405">
        <f t="shared" si="328"/>
        <v>0</v>
      </c>
      <c r="AX477" s="405">
        <f t="shared" si="304"/>
        <v>0</v>
      </c>
      <c r="AY477" s="405">
        <f t="shared" si="305"/>
        <v>0</v>
      </c>
    </row>
    <row r="478" spans="2:51" ht="13.5" thickBot="1" x14ac:dyDescent="0.25">
      <c r="B478" s="345">
        <v>56561.5</v>
      </c>
      <c r="C478" s="728" t="str">
        <f t="shared" si="288"/>
        <v>2.2271548443541</v>
      </c>
      <c r="D478" s="728" t="str">
        <f t="shared" si="289"/>
        <v>1+43.2386769331646i</v>
      </c>
      <c r="E478" s="337">
        <f t="shared" si="307"/>
        <v>43.250239108363097</v>
      </c>
      <c r="F478" s="338">
        <f t="shared" si="308"/>
        <v>1.5476730067663425</v>
      </c>
      <c r="G478" s="338" t="str">
        <f t="shared" si="290"/>
        <v>1+0.177693192876019i</v>
      </c>
      <c r="H478" s="337">
        <f t="shared" si="309"/>
        <v>1.0156647433058184</v>
      </c>
      <c r="I478" s="338">
        <f t="shared" si="310"/>
        <v>0.17585763075532224</v>
      </c>
      <c r="J478" s="340">
        <f t="shared" si="291"/>
        <v>1</v>
      </c>
      <c r="K478" s="338">
        <f t="shared" si="311"/>
        <v>1</v>
      </c>
      <c r="L478" s="339">
        <f t="shared" si="312"/>
        <v>0</v>
      </c>
      <c r="M478" s="731" t="str">
        <f t="shared" si="292"/>
        <v>0.857813187455556+0.766016096433116i</v>
      </c>
      <c r="N478" s="338">
        <f t="shared" si="313"/>
        <v>1.1500539659369424</v>
      </c>
      <c r="O478" s="339">
        <f t="shared" si="314"/>
        <v>0.72892702373360541</v>
      </c>
      <c r="P478" s="732" t="str">
        <f t="shared" si="306"/>
        <v>-0.0229881428025619-0.0392393201088219i</v>
      </c>
      <c r="Q478" s="337">
        <f t="shared" si="315"/>
        <v>4.5477235537283625E-2</v>
      </c>
      <c r="R478" s="339">
        <f t="shared" si="316"/>
        <v>-2.1007423997446244</v>
      </c>
      <c r="S478" s="731" t="str">
        <f t="shared" si="293"/>
        <v>6000</v>
      </c>
      <c r="T478" s="337" t="str">
        <f t="shared" si="294"/>
        <v>1+358940.249609558i</v>
      </c>
      <c r="U478" s="346">
        <f t="shared" si="317"/>
        <v>358940.24961095105</v>
      </c>
      <c r="V478" s="347">
        <f t="shared" si="318"/>
        <v>1.5707935408158902</v>
      </c>
      <c r="W478" s="340" t="str">
        <f t="shared" si="295"/>
        <v>1+3553.86385752038i</v>
      </c>
      <c r="X478" s="337">
        <f t="shared" si="319"/>
        <v>3553.8639982123168</v>
      </c>
      <c r="Y478" s="339">
        <f t="shared" si="320"/>
        <v>1.5705149429226666</v>
      </c>
      <c r="Z478" s="337" t="str">
        <f t="shared" si="296"/>
        <v>1+35.7996916521269i</v>
      </c>
      <c r="AA478" s="346">
        <f t="shared" si="321"/>
        <v>35.813655529523437</v>
      </c>
      <c r="AB478" s="347">
        <f t="shared" si="322"/>
        <v>1.5428703869992664</v>
      </c>
      <c r="AC478" s="732" t="str">
        <f t="shared" si="323"/>
        <v>0.0458542185157979-1.65811725415032i</v>
      </c>
      <c r="AD478" s="337">
        <f t="shared" si="324"/>
        <v>1.6587511681583502</v>
      </c>
      <c r="AE478" s="339">
        <f t="shared" si="325"/>
        <v>-1.5431489848924898</v>
      </c>
      <c r="AF478" s="736" t="str">
        <f t="shared" si="297"/>
        <v>-0.0661174970369062+0.0363177478631181i</v>
      </c>
      <c r="AG478" s="337">
        <f t="shared" si="326"/>
        <v>-22.44849402567008</v>
      </c>
      <c r="AH478" s="730">
        <f t="shared" si="327"/>
        <v>151.22040265621163</v>
      </c>
      <c r="AI478" s="360">
        <f t="shared" si="298"/>
        <v>-28.779597343788367</v>
      </c>
      <c r="AL478" s="337">
        <f t="shared" si="299"/>
        <v>4.3956248343999142</v>
      </c>
      <c r="AM478" s="730">
        <f t="shared" si="300"/>
        <v>-88.415923994236891</v>
      </c>
      <c r="AN478" s="351"/>
      <c r="AO478" s="337">
        <f t="shared" si="301"/>
        <v>26.685003624972158</v>
      </c>
      <c r="AP478" s="730">
        <f t="shared" si="302"/>
        <v>-120.36367334955145</v>
      </c>
      <c r="AS478" s="351"/>
      <c r="AT478" s="351"/>
      <c r="AV478" s="405">
        <f t="shared" si="303"/>
        <v>0</v>
      </c>
      <c r="AW478" s="405">
        <f t="shared" si="328"/>
        <v>0</v>
      </c>
      <c r="AX478" s="405">
        <f t="shared" si="304"/>
        <v>0</v>
      </c>
      <c r="AY478" s="405">
        <f t="shared" si="305"/>
        <v>0</v>
      </c>
    </row>
    <row r="479" spans="2:51" ht="13.5" thickBot="1" x14ac:dyDescent="0.25">
      <c r="B479" s="345">
        <v>56889</v>
      </c>
      <c r="C479" s="728" t="str">
        <f t="shared" si="288"/>
        <v>2.2271548443541</v>
      </c>
      <c r="D479" s="728" t="str">
        <f t="shared" si="289"/>
        <v>1+43.4890356877169i</v>
      </c>
      <c r="E479" s="337">
        <f t="shared" si="307"/>
        <v>43.500531319140393</v>
      </c>
      <c r="F479" s="338">
        <f t="shared" si="308"/>
        <v>1.5478060766292354</v>
      </c>
      <c r="G479" s="338" t="str">
        <f t="shared" si="290"/>
        <v>1+0.17872206447007i</v>
      </c>
      <c r="H479" s="337">
        <f t="shared" si="309"/>
        <v>1.015845252156274</v>
      </c>
      <c r="I479" s="338">
        <f t="shared" si="310"/>
        <v>0.17685483315925962</v>
      </c>
      <c r="J479" s="340">
        <f t="shared" si="291"/>
        <v>1</v>
      </c>
      <c r="K479" s="338">
        <f t="shared" si="311"/>
        <v>1</v>
      </c>
      <c r="L479" s="339">
        <f t="shared" si="312"/>
        <v>0</v>
      </c>
      <c r="M479" s="731" t="str">
        <f t="shared" si="292"/>
        <v>0.8561618524+0.770451450367892i</v>
      </c>
      <c r="N479" s="338">
        <f t="shared" si="313"/>
        <v>1.1517849429815392</v>
      </c>
      <c r="O479" s="339">
        <f t="shared" si="314"/>
        <v>0.73275429981950579</v>
      </c>
      <c r="P479" s="732" t="str">
        <f t="shared" si="306"/>
        <v>-0.0229409300357483-0.0388940306933748i</v>
      </c>
      <c r="Q479" s="337">
        <f t="shared" si="315"/>
        <v>4.5155640782545421E-2</v>
      </c>
      <c r="R479" s="339">
        <f t="shared" si="316"/>
        <v>-2.1037055432894811</v>
      </c>
      <c r="S479" s="731" t="str">
        <f t="shared" si="293"/>
        <v>6000</v>
      </c>
      <c r="T479" s="337" t="str">
        <f t="shared" si="294"/>
        <v>1+361018.57022954i</v>
      </c>
      <c r="U479" s="346">
        <f t="shared" si="317"/>
        <v>361018.57023092493</v>
      </c>
      <c r="V479" s="347">
        <f t="shared" si="318"/>
        <v>1.5707935568542828</v>
      </c>
      <c r="W479" s="340" t="str">
        <f t="shared" si="295"/>
        <v>1+3574.44128940139i</v>
      </c>
      <c r="X479" s="337">
        <f t="shared" si="319"/>
        <v>3574.4414292833881</v>
      </c>
      <c r="Y479" s="339">
        <f t="shared" si="320"/>
        <v>1.5705165628002058</v>
      </c>
      <c r="Z479" s="337" t="str">
        <f t="shared" si="296"/>
        <v>1+36.0069775093985i</v>
      </c>
      <c r="AA479" s="346">
        <f t="shared" si="321"/>
        <v>36.020861030274247</v>
      </c>
      <c r="AB479" s="347">
        <f t="shared" si="322"/>
        <v>1.5430310688894664</v>
      </c>
      <c r="AC479" s="732" t="str">
        <f t="shared" si="323"/>
        <v>0.045328194501958-1.64858637272852i</v>
      </c>
      <c r="AD479" s="337">
        <f t="shared" si="324"/>
        <v>1.6492094086449378</v>
      </c>
      <c r="AE479" s="339">
        <f t="shared" si="325"/>
        <v>-1.5433080629435434</v>
      </c>
      <c r="AF479" s="736" t="str">
        <f t="shared" si="297"/>
        <v>-0.0651600399202987+0.0360571084464186i</v>
      </c>
      <c r="AG479" s="337">
        <f t="shared" si="326"/>
        <v>-22.56024373423157</v>
      </c>
      <c r="AH479" s="730">
        <f t="shared" si="327"/>
        <v>151.04151253606142</v>
      </c>
      <c r="AI479" s="360">
        <f t="shared" si="298"/>
        <v>-28.958487463938582</v>
      </c>
      <c r="AL479" s="337">
        <f t="shared" si="299"/>
        <v>4.3455160752291908</v>
      </c>
      <c r="AM479" s="730">
        <f t="shared" si="300"/>
        <v>-88.425038495175443</v>
      </c>
      <c r="AN479" s="351"/>
      <c r="AO479" s="337">
        <f t="shared" si="301"/>
        <v>26.623362675581358</v>
      </c>
      <c r="AP479" s="730">
        <f t="shared" si="302"/>
        <v>-120.53344896876307</v>
      </c>
      <c r="AS479" s="351"/>
      <c r="AT479" s="351"/>
      <c r="AV479" s="405">
        <f t="shared" si="303"/>
        <v>0</v>
      </c>
      <c r="AW479" s="405">
        <f t="shared" si="328"/>
        <v>0</v>
      </c>
      <c r="AX479" s="405">
        <f t="shared" si="304"/>
        <v>0</v>
      </c>
      <c r="AY479" s="405">
        <f t="shared" si="305"/>
        <v>0</v>
      </c>
    </row>
    <row r="480" spans="2:51" ht="13.5" thickBot="1" x14ac:dyDescent="0.25">
      <c r="B480" s="345">
        <v>57216.5</v>
      </c>
      <c r="C480" s="728" t="str">
        <f t="shared" si="288"/>
        <v>2.2271548443541</v>
      </c>
      <c r="D480" s="728" t="str">
        <f t="shared" si="289"/>
        <v>1+43.7393944422693i</v>
      </c>
      <c r="E480" s="337">
        <f t="shared" si="307"/>
        <v>43.750824291393862</v>
      </c>
      <c r="F480" s="338">
        <f t="shared" si="308"/>
        <v>1.547937623942482</v>
      </c>
      <c r="G480" s="338" t="str">
        <f t="shared" si="290"/>
        <v>1+0.17975093606412i</v>
      </c>
      <c r="H480" s="337">
        <f t="shared" si="309"/>
        <v>1.0160267708165605</v>
      </c>
      <c r="I480" s="338">
        <f t="shared" si="310"/>
        <v>0.17785168024300765</v>
      </c>
      <c r="J480" s="340">
        <f t="shared" si="291"/>
        <v>1</v>
      </c>
      <c r="K480" s="338">
        <f t="shared" si="311"/>
        <v>1</v>
      </c>
      <c r="L480" s="339">
        <f t="shared" si="312"/>
        <v>0</v>
      </c>
      <c r="M480" s="731" t="str">
        <f t="shared" si="292"/>
        <v>0.854500983455556+0.77488680430267i</v>
      </c>
      <c r="N480" s="338">
        <f t="shared" si="313"/>
        <v>1.1535256781749235</v>
      </c>
      <c r="O480" s="339">
        <f t="shared" si="314"/>
        <v>0.73657558573552318</v>
      </c>
      <c r="P480" s="732" t="str">
        <f t="shared" si="306"/>
        <v>-0.0228933970932864-0.0385525609722027i</v>
      </c>
      <c r="Q480" s="337">
        <f t="shared" si="315"/>
        <v>4.4837568934837459E-2</v>
      </c>
      <c r="R480" s="339">
        <f t="shared" si="316"/>
        <v>-2.106661529434998</v>
      </c>
      <c r="S480" s="731" t="str">
        <f t="shared" si="293"/>
        <v>6000</v>
      </c>
      <c r="T480" s="337" t="str">
        <f t="shared" si="294"/>
        <v>1+363096.890849523i</v>
      </c>
      <c r="U480" s="346">
        <f t="shared" si="317"/>
        <v>363096.89085090009</v>
      </c>
      <c r="V480" s="347">
        <f t="shared" si="318"/>
        <v>1.5707935727090721</v>
      </c>
      <c r="W480" s="340" t="str">
        <f t="shared" si="295"/>
        <v>1+3595.01872128241i</v>
      </c>
      <c r="X480" s="337">
        <f t="shared" si="319"/>
        <v>3595.0188603637416</v>
      </c>
      <c r="Y480" s="339">
        <f t="shared" si="320"/>
        <v>1.5705181641337989</v>
      </c>
      <c r="Z480" s="337" t="str">
        <f t="shared" si="296"/>
        <v>1+36.2142633666703i</v>
      </c>
      <c r="AA480" s="346">
        <f t="shared" si="321"/>
        <v>36.22806745039761</v>
      </c>
      <c r="AB480" s="347">
        <f t="shared" si="322"/>
        <v>1.5431899127436901</v>
      </c>
      <c r="AC480" s="732" t="str">
        <f t="shared" si="323"/>
        <v>0.0448111681203957-1.63916434996801i</v>
      </c>
      <c r="AD480" s="337">
        <f t="shared" si="324"/>
        <v>1.6397767552305293</v>
      </c>
      <c r="AE480" s="339">
        <f t="shared" si="325"/>
        <v>-1.5434653213189635</v>
      </c>
      <c r="AF480" s="736" t="str">
        <f t="shared" si="297"/>
        <v>-0.0642198634115969+0.0357984550737791i</v>
      </c>
      <c r="AG480" s="337">
        <f t="shared" si="326"/>
        <v>-22.6714643373546</v>
      </c>
      <c r="AH480" s="730">
        <f t="shared" si="327"/>
        <v>150.86313676441947</v>
      </c>
      <c r="AI480" s="360">
        <f t="shared" si="298"/>
        <v>-29.136863235580535</v>
      </c>
      <c r="AL480" s="337">
        <f t="shared" si="299"/>
        <v>4.29569451496595</v>
      </c>
      <c r="AM480" s="730">
        <f t="shared" si="300"/>
        <v>-88.434048736380092</v>
      </c>
      <c r="AN480" s="351"/>
      <c r="AO480" s="337">
        <f t="shared" si="301"/>
        <v>26.561963632721618</v>
      </c>
      <c r="AP480" s="730">
        <f t="shared" si="302"/>
        <v>-120.70281449920049</v>
      </c>
      <c r="AS480" s="351"/>
      <c r="AT480" s="351"/>
      <c r="AV480" s="405">
        <f t="shared" si="303"/>
        <v>0</v>
      </c>
      <c r="AW480" s="405">
        <f t="shared" si="328"/>
        <v>0</v>
      </c>
      <c r="AX480" s="405">
        <f t="shared" si="304"/>
        <v>0</v>
      </c>
      <c r="AY480" s="405">
        <f t="shared" si="305"/>
        <v>0</v>
      </c>
    </row>
    <row r="481" spans="2:51" ht="13.5" thickBot="1" x14ac:dyDescent="0.25">
      <c r="B481" s="345">
        <v>57544</v>
      </c>
      <c r="C481" s="728" t="str">
        <f t="shared" si="288"/>
        <v>2.2271548443541</v>
      </c>
      <c r="D481" s="728" t="str">
        <f t="shared" si="289"/>
        <v>1+43.9897531968216i</v>
      </c>
      <c r="E481" s="337">
        <f t="shared" si="307"/>
        <v>44.0011180121287</v>
      </c>
      <c r="F481" s="338">
        <f t="shared" si="308"/>
        <v>1.5480676746838717</v>
      </c>
      <c r="G481" s="338" t="str">
        <f t="shared" si="290"/>
        <v>1+0.180779807658171i</v>
      </c>
      <c r="H481" s="337">
        <f t="shared" si="309"/>
        <v>1.0162092987455513</v>
      </c>
      <c r="I481" s="338">
        <f t="shared" si="310"/>
        <v>0.17884817021636468</v>
      </c>
      <c r="J481" s="340">
        <f t="shared" si="291"/>
        <v>1</v>
      </c>
      <c r="K481" s="338">
        <f t="shared" si="311"/>
        <v>1</v>
      </c>
      <c r="L481" s="339">
        <f t="shared" si="312"/>
        <v>0</v>
      </c>
      <c r="M481" s="731" t="str">
        <f t="shared" si="292"/>
        <v>0.852830580622223+0.779322158237445i</v>
      </c>
      <c r="N481" s="338">
        <f t="shared" si="313"/>
        <v>1.1552761685260831</v>
      </c>
      <c r="O481" s="339">
        <f t="shared" si="314"/>
        <v>0.74039086741600046</v>
      </c>
      <c r="P481" s="732" t="str">
        <f t="shared" si="306"/>
        <v>-0.022845552308934-0.0382148518645178i</v>
      </c>
      <c r="Q481" s="337">
        <f t="shared" si="315"/>
        <v>4.4522962202972062E-2</v>
      </c>
      <c r="R481" s="339">
        <f t="shared" si="316"/>
        <v>-2.1096103718835062</v>
      </c>
      <c r="S481" s="731" t="str">
        <f t="shared" si="293"/>
        <v>6000</v>
      </c>
      <c r="T481" s="337" t="str">
        <f t="shared" si="294"/>
        <v>1+365175.211469505i</v>
      </c>
      <c r="U481" s="346">
        <f t="shared" si="317"/>
        <v>365175.2114708742</v>
      </c>
      <c r="V481" s="347">
        <f t="shared" si="318"/>
        <v>1.5707935883833928</v>
      </c>
      <c r="W481" s="340" t="str">
        <f t="shared" si="295"/>
        <v>1+3615.59615316342i</v>
      </c>
      <c r="X481" s="337">
        <f t="shared" si="319"/>
        <v>3615.5962914531979</v>
      </c>
      <c r="Y481" s="339">
        <f t="shared" si="320"/>
        <v>1.5705197472400627</v>
      </c>
      <c r="Z481" s="337" t="str">
        <f t="shared" si="296"/>
        <v>1+36.4215492239419i</v>
      </c>
      <c r="AA481" s="346">
        <f t="shared" si="321"/>
        <v>36.435274774207791</v>
      </c>
      <c r="AB481" s="347">
        <f t="shared" si="322"/>
        <v>1.5433469499125714</v>
      </c>
      <c r="AC481" s="732" t="str">
        <f t="shared" si="323"/>
        <v>0.0443029353802507-1.62984933282863i</v>
      </c>
      <c r="AD481" s="337">
        <f t="shared" si="324"/>
        <v>1.6304513478804687</v>
      </c>
      <c r="AE481" s="339">
        <f t="shared" si="325"/>
        <v>-1.5436207910559014</v>
      </c>
      <c r="AF481" s="736" t="str">
        <f t="shared" si="297"/>
        <v>-0.0632965758431981+0.0355417780760981i</v>
      </c>
      <c r="AG481" s="337">
        <f t="shared" si="326"/>
        <v>-22.782162094985576</v>
      </c>
      <c r="AH481" s="730">
        <f t="shared" si="327"/>
        <v>150.68527277790233</v>
      </c>
      <c r="AI481" s="360">
        <f t="shared" si="298"/>
        <v>-29.314727222097673</v>
      </c>
      <c r="AL481" s="337">
        <f t="shared" si="299"/>
        <v>4.2461568826826497</v>
      </c>
      <c r="AM481" s="730">
        <f t="shared" si="300"/>
        <v>-88.442956496148653</v>
      </c>
      <c r="AN481" s="351"/>
      <c r="AO481" s="337">
        <f t="shared" si="301"/>
        <v>26.500803507373888</v>
      </c>
      <c r="AP481" s="730">
        <f t="shared" si="302"/>
        <v>-120.87177072594901</v>
      </c>
      <c r="AS481" s="351"/>
      <c r="AT481" s="351"/>
      <c r="AV481" s="405">
        <f t="shared" si="303"/>
        <v>0</v>
      </c>
      <c r="AW481" s="405">
        <f t="shared" si="328"/>
        <v>0</v>
      </c>
      <c r="AX481" s="405">
        <f t="shared" si="304"/>
        <v>0</v>
      </c>
      <c r="AY481" s="405">
        <f t="shared" si="305"/>
        <v>0</v>
      </c>
    </row>
    <row r="482" spans="2:51" ht="13.5" thickBot="1" x14ac:dyDescent="0.25">
      <c r="B482" s="345">
        <v>57879</v>
      </c>
      <c r="C482" s="728" t="str">
        <f t="shared" si="288"/>
        <v>2.2271548443541</v>
      </c>
      <c r="D482" s="728" t="str">
        <f t="shared" si="289"/>
        <v>1+44.2458453579667i</v>
      </c>
      <c r="E482" s="337">
        <f t="shared" si="307"/>
        <v>44.257144411282383</v>
      </c>
      <c r="F482" s="338">
        <f t="shared" si="308"/>
        <v>1.5481991817794623</v>
      </c>
      <c r="G482" s="338" t="str">
        <f t="shared" si="290"/>
        <v>1+0.181832241197124i</v>
      </c>
      <c r="H482" s="337">
        <f t="shared" si="309"/>
        <v>1.016397050339467</v>
      </c>
      <c r="I482" s="338">
        <f t="shared" si="310"/>
        <v>0.17986710923761756</v>
      </c>
      <c r="J482" s="340">
        <f t="shared" si="291"/>
        <v>1</v>
      </c>
      <c r="K482" s="338">
        <f t="shared" si="311"/>
        <v>1</v>
      </c>
      <c r="L482" s="339">
        <f t="shared" si="312"/>
        <v>0</v>
      </c>
      <c r="M482" s="731" t="str">
        <f t="shared" si="292"/>
        <v>0.8511120604+0.783859085163094i</v>
      </c>
      <c r="N482" s="338">
        <f t="shared" si="313"/>
        <v>1.1570768361483414</v>
      </c>
      <c r="O482" s="339">
        <f t="shared" si="314"/>
        <v>0.74428729548545425</v>
      </c>
      <c r="P482" s="732" t="str">
        <f t="shared" si="306"/>
        <v>-0.0227962977173623-0.0378732395071203i</v>
      </c>
      <c r="Q482" s="337">
        <f t="shared" si="315"/>
        <v>4.420467690620887E-2</v>
      </c>
      <c r="R482" s="339">
        <f t="shared" si="316"/>
        <v>-2.1126193680272976</v>
      </c>
      <c r="S482" s="731" t="str">
        <f t="shared" si="293"/>
        <v>6000</v>
      </c>
      <c r="T482" s="337" t="str">
        <f t="shared" si="294"/>
        <v>1+367301.12721819i</v>
      </c>
      <c r="U482" s="346">
        <f t="shared" si="317"/>
        <v>367301.12721955124</v>
      </c>
      <c r="V482" s="347">
        <f t="shared" si="318"/>
        <v>1.5707936042331458</v>
      </c>
      <c r="W482" s="340" t="str">
        <f t="shared" si="295"/>
        <v>1+3636.64482394247i</v>
      </c>
      <c r="X482" s="337">
        <f t="shared" si="319"/>
        <v>3636.6449614318353</v>
      </c>
      <c r="Y482" s="339">
        <f t="shared" si="320"/>
        <v>1.5705213480649938</v>
      </c>
      <c r="Z482" s="337" t="str">
        <f t="shared" si="296"/>
        <v>1+36.6335820855786i</v>
      </c>
      <c r="AA482" s="346">
        <f t="shared" si="321"/>
        <v>36.647228222893283</v>
      </c>
      <c r="AB482" s="347">
        <f t="shared" si="322"/>
        <v>1.5435057460720385</v>
      </c>
      <c r="AC482" s="732" t="str">
        <f t="shared" si="323"/>
        <v>0.0437919551032617-1.62042981612652i</v>
      </c>
      <c r="AD482" s="337">
        <f t="shared" si="324"/>
        <v>1.6210214447451317</v>
      </c>
      <c r="AE482" s="339">
        <f t="shared" si="325"/>
        <v>-1.5437780022401906</v>
      </c>
      <c r="AF482" s="736" t="str">
        <f t="shared" si="297"/>
        <v>-0.0623692209767979+0.0352812573143999i</v>
      </c>
      <c r="AG482" s="337">
        <f t="shared" si="326"/>
        <v>-22.894860382461388</v>
      </c>
      <c r="AH482" s="730">
        <f t="shared" si="327"/>
        <v>150.50386246093998</v>
      </c>
      <c r="AI482" s="360">
        <f t="shared" si="298"/>
        <v>-29.496137539060015</v>
      </c>
      <c r="AL482" s="337">
        <f t="shared" si="299"/>
        <v>4.1957752047170285</v>
      </c>
      <c r="AM482" s="730">
        <f t="shared" si="300"/>
        <v>-88.451964033500673</v>
      </c>
      <c r="AN482" s="351"/>
      <c r="AO482" s="337">
        <f t="shared" si="301"/>
        <v>26.438486897863733</v>
      </c>
      <c r="AP482" s="730">
        <f t="shared" si="302"/>
        <v>-121.04417350555929</v>
      </c>
      <c r="AS482" s="351"/>
      <c r="AT482" s="351"/>
      <c r="AV482" s="405">
        <f t="shared" si="303"/>
        <v>0</v>
      </c>
      <c r="AW482" s="405">
        <f t="shared" si="328"/>
        <v>0</v>
      </c>
      <c r="AX482" s="405">
        <f t="shared" si="304"/>
        <v>0</v>
      </c>
      <c r="AY482" s="405">
        <f t="shared" si="305"/>
        <v>0</v>
      </c>
    </row>
    <row r="483" spans="2:51" ht="13.5" thickBot="1" x14ac:dyDescent="0.25">
      <c r="B483" s="345">
        <v>58214</v>
      </c>
      <c r="C483" s="728" t="str">
        <f t="shared" si="288"/>
        <v>2.2271548443541</v>
      </c>
      <c r="D483" s="728" t="str">
        <f t="shared" si="289"/>
        <v>1+44.5019375191118i</v>
      </c>
      <c r="E483" s="337">
        <f t="shared" si="307"/>
        <v>44.51317156701969</v>
      </c>
      <c r="F483" s="338">
        <f t="shared" si="308"/>
        <v>1.5483291760941431</v>
      </c>
      <c r="G483" s="338" t="str">
        <f t="shared" si="290"/>
        <v>1+0.182884674736076i</v>
      </c>
      <c r="H483" s="337">
        <f t="shared" si="309"/>
        <v>1.0165858568037036</v>
      </c>
      <c r="I483" s="338">
        <f t="shared" si="310"/>
        <v>0.18088567082903476</v>
      </c>
      <c r="J483" s="340">
        <f t="shared" si="291"/>
        <v>1</v>
      </c>
      <c r="K483" s="338">
        <f t="shared" si="311"/>
        <v>1</v>
      </c>
      <c r="L483" s="339">
        <f t="shared" si="312"/>
        <v>0</v>
      </c>
      <c r="M483" s="731" t="str">
        <f t="shared" si="292"/>
        <v>0.849383564622223+0.788396012088742i</v>
      </c>
      <c r="N483" s="338">
        <f t="shared" si="313"/>
        <v>1.1588877045373231</v>
      </c>
      <c r="O483" s="339">
        <f t="shared" si="314"/>
        <v>0.7481774121646485</v>
      </c>
      <c r="P483" s="732" t="str">
        <f t="shared" si="306"/>
        <v>-0.0227467339402748-0.0375354410352549i</v>
      </c>
      <c r="Q483" s="337">
        <f t="shared" si="315"/>
        <v>4.3889899050473413E-2</v>
      </c>
      <c r="R483" s="339">
        <f t="shared" si="316"/>
        <v>-2.1156209174297569</v>
      </c>
      <c r="S483" s="731" t="str">
        <f t="shared" si="293"/>
        <v>6000</v>
      </c>
      <c r="T483" s="337" t="str">
        <f t="shared" si="294"/>
        <v>1+369427.042966874i</v>
      </c>
      <c r="U483" s="346">
        <f t="shared" si="317"/>
        <v>369427.04296822753</v>
      </c>
      <c r="V483" s="347">
        <f t="shared" si="318"/>
        <v>1.5707936199004799</v>
      </c>
      <c r="W483" s="340" t="str">
        <f t="shared" si="295"/>
        <v>1+3657.69349472152i</v>
      </c>
      <c r="X483" s="337">
        <f t="shared" si="319"/>
        <v>3657.6936314196851</v>
      </c>
      <c r="Y483" s="339">
        <f t="shared" si="320"/>
        <v>1.5705229304656176</v>
      </c>
      <c r="Z483" s="337" t="str">
        <f t="shared" si="296"/>
        <v>1+36.8456149472152i</v>
      </c>
      <c r="AA483" s="346">
        <f t="shared" si="321"/>
        <v>36.859182585055358</v>
      </c>
      <c r="AB483" s="347">
        <f t="shared" si="322"/>
        <v>1.5436627159584262</v>
      </c>
      <c r="AC483" s="732" t="str">
        <f t="shared" si="323"/>
        <v>0.0432897622683601-1.6111184725879i</v>
      </c>
      <c r="AD483" s="337">
        <f t="shared" si="324"/>
        <v>1.61169995229609</v>
      </c>
      <c r="AE483" s="339">
        <f t="shared" si="325"/>
        <v>-1.5439334053932887</v>
      </c>
      <c r="AF483" s="736" t="str">
        <f t="shared" si="297"/>
        <v>-0.0614587431332892+0.0350227829231646i</v>
      </c>
      <c r="AG483" s="337">
        <f t="shared" si="326"/>
        <v>-23.007024500015085</v>
      </c>
      <c r="AH483" s="730">
        <f t="shared" si="327"/>
        <v>150.32298240338352</v>
      </c>
      <c r="AI483" s="360">
        <f t="shared" si="298"/>
        <v>-29.67701759661648</v>
      </c>
      <c r="AL483" s="337">
        <f t="shared" si="299"/>
        <v>4.1456838611546107</v>
      </c>
      <c r="AM483" s="730">
        <f t="shared" si="300"/>
        <v>-88.460867978296221</v>
      </c>
      <c r="AN483" s="351"/>
      <c r="AO483" s="337">
        <f t="shared" si="301"/>
        <v>26.376414123872436</v>
      </c>
      <c r="AP483" s="730">
        <f t="shared" si="302"/>
        <v>-121.21614961832019</v>
      </c>
      <c r="AS483" s="351"/>
      <c r="AT483" s="351"/>
      <c r="AV483" s="405">
        <f t="shared" si="303"/>
        <v>0</v>
      </c>
      <c r="AW483" s="405">
        <f t="shared" si="328"/>
        <v>0</v>
      </c>
      <c r="AX483" s="405">
        <f t="shared" si="304"/>
        <v>0</v>
      </c>
      <c r="AY483" s="405">
        <f t="shared" si="305"/>
        <v>0</v>
      </c>
    </row>
    <row r="484" spans="2:51" ht="13.5" thickBot="1" x14ac:dyDescent="0.25">
      <c r="B484" s="345">
        <v>58549</v>
      </c>
      <c r="C484" s="728" t="str">
        <f t="shared" si="288"/>
        <v>2.2271548443541</v>
      </c>
      <c r="D484" s="728" t="str">
        <f t="shared" si="289"/>
        <v>1+44.7580296802571i</v>
      </c>
      <c r="E484" s="337">
        <f t="shared" si="307"/>
        <v>44.769199466360533</v>
      </c>
      <c r="F484" s="338">
        <f t="shared" si="308"/>
        <v>1.5484576835775401</v>
      </c>
      <c r="G484" s="338" t="str">
        <f t="shared" si="290"/>
        <v>1+0.183937108275029i</v>
      </c>
      <c r="H484" s="337">
        <f t="shared" si="309"/>
        <v>1.0167757175506207</v>
      </c>
      <c r="I484" s="338">
        <f t="shared" si="310"/>
        <v>0.18190385308801618</v>
      </c>
      <c r="J484" s="340">
        <f t="shared" si="291"/>
        <v>1</v>
      </c>
      <c r="K484" s="338">
        <f t="shared" si="311"/>
        <v>1</v>
      </c>
      <c r="L484" s="339">
        <f t="shared" si="312"/>
        <v>0</v>
      </c>
      <c r="M484" s="731" t="str">
        <f t="shared" si="292"/>
        <v>0.847645093288888+0.792932939014393i</v>
      </c>
      <c r="N484" s="338">
        <f t="shared" si="313"/>
        <v>1.160708770515124</v>
      </c>
      <c r="O484" s="339">
        <f t="shared" si="314"/>
        <v>0.75206120317670588</v>
      </c>
      <c r="P484" s="732" t="str">
        <f t="shared" si="306"/>
        <v>-0.0226968693637214-0.0372013973025067i</v>
      </c>
      <c r="Q484" s="337">
        <f t="shared" si="315"/>
        <v>4.3578570882634365E-2</v>
      </c>
      <c r="R484" s="339">
        <f t="shared" si="316"/>
        <v>-2.1186150336662295</v>
      </c>
      <c r="S484" s="731" t="str">
        <f t="shared" si="293"/>
        <v>6000</v>
      </c>
      <c r="T484" s="337" t="str">
        <f t="shared" si="294"/>
        <v>1+371552.958715559i</v>
      </c>
      <c r="U484" s="346">
        <f t="shared" si="317"/>
        <v>371552.95871690474</v>
      </c>
      <c r="V484" s="347">
        <f t="shared" si="318"/>
        <v>1.5707936353885263</v>
      </c>
      <c r="W484" s="340" t="str">
        <f t="shared" si="295"/>
        <v>1+3678.74216550058i</v>
      </c>
      <c r="X484" s="337">
        <f t="shared" si="319"/>
        <v>3678.7423014165988</v>
      </c>
      <c r="Y484" s="339">
        <f t="shared" si="320"/>
        <v>1.5705244947581893</v>
      </c>
      <c r="Z484" s="337" t="str">
        <f t="shared" si="296"/>
        <v>1+37.057647808852i</v>
      </c>
      <c r="AA484" s="346">
        <f t="shared" si="321"/>
        <v>37.07113784502593</v>
      </c>
      <c r="AB484" s="347">
        <f t="shared" si="322"/>
        <v>1.5438178908892333</v>
      </c>
      <c r="AC484" s="732" t="str">
        <f t="shared" si="323"/>
        <v>0.0427961565801224-1.60191345081354i</v>
      </c>
      <c r="AD484" s="337">
        <f t="shared" si="324"/>
        <v>1.6024850123840078</v>
      </c>
      <c r="AE484" s="339">
        <f t="shared" si="325"/>
        <v>-1.5440870315195703</v>
      </c>
      <c r="AF484" s="736" t="str">
        <f t="shared" si="297"/>
        <v>-0.0605647575031124+0.0347663435011456i</v>
      </c>
      <c r="AG484" s="337">
        <f t="shared" si="326"/>
        <v>-23.118660795148777</v>
      </c>
      <c r="AH484" s="730">
        <f t="shared" si="327"/>
        <v>150.14263005100315</v>
      </c>
      <c r="AI484" s="360">
        <f t="shared" si="298"/>
        <v>-29.857369948996848</v>
      </c>
      <c r="AL484" s="337">
        <f t="shared" si="299"/>
        <v>4.0958795273820199</v>
      </c>
      <c r="AM484" s="730">
        <f t="shared" si="300"/>
        <v>-88.469670106955093</v>
      </c>
      <c r="AN484" s="351"/>
      <c r="AO484" s="337">
        <f t="shared" si="301"/>
        <v>26.314582162511346</v>
      </c>
      <c r="AP484" s="730">
        <f t="shared" si="302"/>
        <v>-121.3876998420418</v>
      </c>
      <c r="AS484" s="351"/>
      <c r="AT484" s="351"/>
      <c r="AV484" s="405">
        <f t="shared" si="303"/>
        <v>0</v>
      </c>
      <c r="AW484" s="405">
        <f t="shared" si="328"/>
        <v>0</v>
      </c>
      <c r="AX484" s="405">
        <f t="shared" si="304"/>
        <v>0</v>
      </c>
      <c r="AY484" s="405">
        <f t="shared" si="305"/>
        <v>0</v>
      </c>
    </row>
    <row r="485" spans="2:51" ht="13.5" thickBot="1" x14ac:dyDescent="0.25">
      <c r="B485" s="345">
        <v>58884</v>
      </c>
      <c r="C485" s="728" t="str">
        <f t="shared" si="288"/>
        <v>2.2271548443541</v>
      </c>
      <c r="D485" s="728" t="str">
        <f t="shared" si="289"/>
        <v>1+45.0141218414022i</v>
      </c>
      <c r="E485" s="337">
        <f t="shared" si="307"/>
        <v>45.025228096619372</v>
      </c>
      <c r="F485" s="338">
        <f t="shared" si="308"/>
        <v>1.5485847295892439</v>
      </c>
      <c r="G485" s="338" t="str">
        <f t="shared" si="290"/>
        <v>1+0.184989541813981i</v>
      </c>
      <c r="H485" s="337">
        <f t="shared" si="309"/>
        <v>1.0169666319897357</v>
      </c>
      <c r="I485" s="338">
        <f t="shared" si="310"/>
        <v>0.18292165411652087</v>
      </c>
      <c r="J485" s="340">
        <f t="shared" si="291"/>
        <v>1</v>
      </c>
      <c r="K485" s="338">
        <f t="shared" si="311"/>
        <v>1</v>
      </c>
      <c r="L485" s="339">
        <f t="shared" si="312"/>
        <v>0</v>
      </c>
      <c r="M485" s="731" t="str">
        <f t="shared" si="292"/>
        <v>0.8458966464+0.797469865940042i</v>
      </c>
      <c r="N485" s="338">
        <f t="shared" si="313"/>
        <v>1.1625400309121381</v>
      </c>
      <c r="O485" s="339">
        <f t="shared" si="314"/>
        <v>0.75593865450462661</v>
      </c>
      <c r="P485" s="732" t="str">
        <f t="shared" si="306"/>
        <v>-0.0226467122042435-0.0368710504624978i</v>
      </c>
      <c r="Q485" s="337">
        <f t="shared" si="315"/>
        <v>4.3270635954072725E-2</v>
      </c>
      <c r="R485" s="339">
        <f t="shared" si="316"/>
        <v>-2.1216017299773489</v>
      </c>
      <c r="S485" s="731" t="str">
        <f t="shared" si="293"/>
        <v>6000</v>
      </c>
      <c r="T485" s="337" t="str">
        <f t="shared" si="294"/>
        <v>1+373678.874464243i</v>
      </c>
      <c r="U485" s="346">
        <f t="shared" si="317"/>
        <v>373678.87446558103</v>
      </c>
      <c r="V485" s="347">
        <f t="shared" si="318"/>
        <v>1.570793650700345</v>
      </c>
      <c r="W485" s="340" t="str">
        <f t="shared" si="295"/>
        <v>1+3699.79083627963i</v>
      </c>
      <c r="X485" s="337">
        <f t="shared" si="319"/>
        <v>3699.790971422402</v>
      </c>
      <c r="Y485" s="339">
        <f t="shared" si="320"/>
        <v>1.5705260412517674</v>
      </c>
      <c r="Z485" s="337" t="str">
        <f t="shared" si="296"/>
        <v>1+37.2696806704886i</v>
      </c>
      <c r="AA485" s="346">
        <f t="shared" si="321"/>
        <v>37.283093987492393</v>
      </c>
      <c r="AB485" s="347">
        <f t="shared" si="322"/>
        <v>1.5439713014701424</v>
      </c>
      <c r="AC485" s="732" t="str">
        <f t="shared" si="323"/>
        <v>0.0423109434161777-1.59281294138356i</v>
      </c>
      <c r="AD485" s="337">
        <f t="shared" si="324"/>
        <v>1.5933748090677584</v>
      </c>
      <c r="AE485" s="339">
        <f t="shared" si="325"/>
        <v>-1.5442389109187202</v>
      </c>
      <c r="AF485" s="736" t="str">
        <f t="shared" si="297"/>
        <v>-0.059686890097709+0.0345119273488943i</v>
      </c>
      <c r="AG485" s="337">
        <f t="shared" si="326"/>
        <v>-23.229775501931389</v>
      </c>
      <c r="AH485" s="730">
        <f t="shared" si="327"/>
        <v>149.96280290912242</v>
      </c>
      <c r="AI485" s="360">
        <f t="shared" si="298"/>
        <v>-30.037197090877584</v>
      </c>
      <c r="AL485" s="337">
        <f t="shared" si="299"/>
        <v>4.0463589355247214</v>
      </c>
      <c r="AM485" s="730">
        <f t="shared" si="300"/>
        <v>-88.47837215552137</v>
      </c>
      <c r="AN485" s="351"/>
      <c r="AO485" s="337">
        <f t="shared" si="301"/>
        <v>26.25298804758604</v>
      </c>
      <c r="AP485" s="730">
        <f t="shared" si="302"/>
        <v>-121.55882493535614</v>
      </c>
      <c r="AS485" s="351"/>
      <c r="AT485" s="351"/>
      <c r="AV485" s="405">
        <f t="shared" si="303"/>
        <v>0</v>
      </c>
      <c r="AW485" s="405">
        <f t="shared" si="328"/>
        <v>0</v>
      </c>
      <c r="AX485" s="405">
        <f t="shared" si="304"/>
        <v>0</v>
      </c>
      <c r="AY485" s="405">
        <f t="shared" si="305"/>
        <v>0</v>
      </c>
    </row>
    <row r="486" spans="2:51" ht="13.5" thickBot="1" x14ac:dyDescent="0.25">
      <c r="B486" s="345">
        <v>59227</v>
      </c>
      <c r="C486" s="728" t="str">
        <f t="shared" si="288"/>
        <v>2.2271548443541</v>
      </c>
      <c r="D486" s="728" t="str">
        <f t="shared" si="289"/>
        <v>1+45.2763296362462i</v>
      </c>
      <c r="E486" s="337">
        <f t="shared" si="307"/>
        <v>45.287371587784008</v>
      </c>
      <c r="F486" s="338">
        <f t="shared" si="308"/>
        <v>1.5487133211780071</v>
      </c>
      <c r="G486" s="338" t="str">
        <f t="shared" si="290"/>
        <v>1+0.186067108094163i</v>
      </c>
      <c r="H486" s="337">
        <f t="shared" si="309"/>
        <v>1.0171631966968353</v>
      </c>
      <c r="I486" s="338">
        <f t="shared" si="310"/>
        <v>0.18396336386862067</v>
      </c>
      <c r="J486" s="340">
        <f t="shared" si="291"/>
        <v>1</v>
      </c>
      <c r="K486" s="338">
        <f t="shared" si="311"/>
        <v>1</v>
      </c>
      <c r="L486" s="339">
        <f t="shared" si="312"/>
        <v>0</v>
      </c>
      <c r="M486" s="731" t="str">
        <f t="shared" si="292"/>
        <v>0.844096109822222+0.802115137389287i</v>
      </c>
      <c r="N486" s="338">
        <f t="shared" si="313"/>
        <v>1.1644255820987632</v>
      </c>
      <c r="O486" s="339">
        <f t="shared" si="314"/>
        <v>0.75990211873329627</v>
      </c>
      <c r="P486" s="732" t="str">
        <f t="shared" si="306"/>
        <v>-0.0225950625229509-0.0365365860302663i</v>
      </c>
      <c r="Q486" s="337">
        <f t="shared" si="315"/>
        <v>4.2958805490412678E-2</v>
      </c>
      <c r="R486" s="339">
        <f t="shared" si="316"/>
        <v>-2.1246520760426808</v>
      </c>
      <c r="S486" s="731" t="str">
        <f t="shared" si="293"/>
        <v>6000</v>
      </c>
      <c r="T486" s="337" t="str">
        <f t="shared" si="294"/>
        <v>1+375855.558350208i</v>
      </c>
      <c r="U486" s="346">
        <f t="shared" si="317"/>
        <v>375855.55835153826</v>
      </c>
      <c r="V486" s="347">
        <f t="shared" si="318"/>
        <v>1.5707936661983515</v>
      </c>
      <c r="W486" s="340" t="str">
        <f t="shared" si="295"/>
        <v>1+3721.34216188325i</v>
      </c>
      <c r="X486" s="337">
        <f t="shared" si="319"/>
        <v>3721.3422962433733</v>
      </c>
      <c r="Y486" s="339">
        <f t="shared" si="320"/>
        <v>1.5705276065503104</v>
      </c>
      <c r="Z486" s="337" t="str">
        <f t="shared" si="296"/>
        <v>1+37.4867770034479i</v>
      </c>
      <c r="AA486" s="346">
        <f t="shared" si="321"/>
        <v>37.500112667913818</v>
      </c>
      <c r="AB486" s="347">
        <f t="shared" si="322"/>
        <v>1.5441265787702831</v>
      </c>
      <c r="AC486" s="732" t="str">
        <f t="shared" si="323"/>
        <v>0.0418226411204347-1.5836015454071i</v>
      </c>
      <c r="AD486" s="337">
        <f t="shared" si="324"/>
        <v>1.5841537134779706</v>
      </c>
      <c r="AE486" s="339">
        <f t="shared" si="325"/>
        <v>-1.544392638418324</v>
      </c>
      <c r="AF486" s="736" t="str">
        <f t="shared" si="297"/>
        <v>-0.0588043792924203+0.0342535194046054i</v>
      </c>
      <c r="AG486" s="337">
        <f t="shared" si="326"/>
        <v>-23.343009667542471</v>
      </c>
      <c r="AH486" s="730">
        <f t="shared" si="327"/>
        <v>149.77922301660215</v>
      </c>
      <c r="AI486" s="360">
        <f t="shared" si="298"/>
        <v>-30.220776983397855</v>
      </c>
      <c r="AL486" s="337">
        <f t="shared" si="299"/>
        <v>3.9959463945189406</v>
      </c>
      <c r="AM486" s="730">
        <f t="shared" si="300"/>
        <v>-88.487180092443765</v>
      </c>
      <c r="AN486" s="351"/>
      <c r="AO486" s="337">
        <f t="shared" si="301"/>
        <v>26.190166422980742</v>
      </c>
      <c r="AP486" s="730">
        <f t="shared" si="302"/>
        <v>-121.73359689095403</v>
      </c>
      <c r="AS486" s="351"/>
      <c r="AT486" s="351"/>
      <c r="AV486" s="405">
        <f t="shared" si="303"/>
        <v>0</v>
      </c>
      <c r="AW486" s="405">
        <f t="shared" si="328"/>
        <v>0</v>
      </c>
      <c r="AX486" s="405">
        <f t="shared" si="304"/>
        <v>0</v>
      </c>
      <c r="AY486" s="405">
        <f t="shared" si="305"/>
        <v>0</v>
      </c>
    </row>
    <row r="487" spans="2:51" ht="13.5" thickBot="1" x14ac:dyDescent="0.25">
      <c r="B487" s="345">
        <v>59570</v>
      </c>
      <c r="C487" s="728" t="str">
        <f t="shared" si="288"/>
        <v>2.2271548443541</v>
      </c>
      <c r="D487" s="728" t="str">
        <f t="shared" si="289"/>
        <v>1+45.5385374310904i</v>
      </c>
      <c r="E487" s="337">
        <f t="shared" si="307"/>
        <v>45.549515819191996</v>
      </c>
      <c r="F487" s="338">
        <f t="shared" si="308"/>
        <v>1.5488404326414527</v>
      </c>
      <c r="G487" s="338" t="str">
        <f t="shared" si="290"/>
        <v>1+0.187144674374344i</v>
      </c>
      <c r="H487" s="337">
        <f t="shared" si="309"/>
        <v>1.0173608647607195</v>
      </c>
      <c r="I487" s="338">
        <f t="shared" si="310"/>
        <v>0.18500466995247866</v>
      </c>
      <c r="J487" s="340">
        <f t="shared" si="291"/>
        <v>1</v>
      </c>
      <c r="K487" s="338">
        <f t="shared" si="311"/>
        <v>1</v>
      </c>
      <c r="L487" s="339">
        <f t="shared" si="312"/>
        <v>0</v>
      </c>
      <c r="M487" s="731" t="str">
        <f t="shared" si="292"/>
        <v>0.842285115555555+0.806760408838534i</v>
      </c>
      <c r="N487" s="338">
        <f t="shared" si="313"/>
        <v>1.1663218137185607</v>
      </c>
      <c r="O487" s="339">
        <f t="shared" si="314"/>
        <v>0.76385890796161326</v>
      </c>
      <c r="P487" s="732" t="str">
        <f t="shared" si="306"/>
        <v>-0.0225431230271143-0.0362058784520175i</v>
      </c>
      <c r="Q487" s="337">
        <f t="shared" si="315"/>
        <v>4.2650416531352611E-2</v>
      </c>
      <c r="R487" s="339">
        <f t="shared" si="316"/>
        <v>-2.1276946706505853</v>
      </c>
      <c r="S487" s="731" t="str">
        <f t="shared" si="293"/>
        <v>6000</v>
      </c>
      <c r="T487" s="337" t="str">
        <f t="shared" si="294"/>
        <v>1+378032.242236175i</v>
      </c>
      <c r="U487" s="346">
        <f t="shared" si="317"/>
        <v>378032.24223749764</v>
      </c>
      <c r="V487" s="347">
        <f t="shared" si="318"/>
        <v>1.5707936815178851</v>
      </c>
      <c r="W487" s="340" t="str">
        <f t="shared" si="295"/>
        <v>1+3742.89348748688i</v>
      </c>
      <c r="X487" s="337">
        <f t="shared" si="319"/>
        <v>3742.8936210733668</v>
      </c>
      <c r="Y487" s="339">
        <f t="shared" si="320"/>
        <v>1.5705291538230903</v>
      </c>
      <c r="Z487" s="337" t="str">
        <f t="shared" si="296"/>
        <v>1+37.7038733364073i</v>
      </c>
      <c r="AA487" s="346">
        <f t="shared" si="321"/>
        <v>37.717132242097165</v>
      </c>
      <c r="AB487" s="347">
        <f t="shared" si="322"/>
        <v>1.5442800691824803</v>
      </c>
      <c r="AC487" s="732" t="str">
        <f t="shared" si="323"/>
        <v>0.0413427414458192-1.57449600375301i</v>
      </c>
      <c r="AD487" s="337">
        <f t="shared" si="324"/>
        <v>1.575038694161021</v>
      </c>
      <c r="AE487" s="339">
        <f t="shared" si="325"/>
        <v>-1.5445445968772753</v>
      </c>
      <c r="AF487" s="736" t="str">
        <f t="shared" si="297"/>
        <v>-0.05793800544176+0.0339972068466434i</v>
      </c>
      <c r="AG487" s="337">
        <f t="shared" si="326"/>
        <v>-23.45570990920594</v>
      </c>
      <c r="AH487" s="730">
        <f t="shared" si="327"/>
        <v>149.59618860844074</v>
      </c>
      <c r="AI487" s="360">
        <f t="shared" si="298"/>
        <v>-30.403811391559259</v>
      </c>
      <c r="AL487" s="337">
        <f t="shared" si="299"/>
        <v>3.9458245524068696</v>
      </c>
      <c r="AM487" s="730">
        <f t="shared" si="300"/>
        <v>-88.495886670802989</v>
      </c>
      <c r="AN487" s="351"/>
      <c r="AO487" s="337">
        <f t="shared" si="301"/>
        <v>26.127588023429333</v>
      </c>
      <c r="AP487" s="730">
        <f t="shared" si="302"/>
        <v>-121.90792472075617</v>
      </c>
      <c r="AS487" s="351"/>
      <c r="AT487" s="351"/>
      <c r="AV487" s="405">
        <f t="shared" si="303"/>
        <v>0</v>
      </c>
      <c r="AW487" s="405">
        <f t="shared" si="328"/>
        <v>0</v>
      </c>
      <c r="AX487" s="405">
        <f t="shared" si="304"/>
        <v>0</v>
      </c>
      <c r="AY487" s="405">
        <f t="shared" si="305"/>
        <v>0</v>
      </c>
    </row>
    <row r="488" spans="2:51" ht="13.5" thickBot="1" x14ac:dyDescent="0.25">
      <c r="B488" s="345">
        <v>59913</v>
      </c>
      <c r="C488" s="728" t="str">
        <f t="shared" si="288"/>
        <v>2.2271548443541</v>
      </c>
      <c r="D488" s="728" t="str">
        <f t="shared" si="289"/>
        <v>1+45.8007452259345i</v>
      </c>
      <c r="E488" s="337">
        <f t="shared" si="307"/>
        <v>45.811660778135533</v>
      </c>
      <c r="F488" s="338">
        <f t="shared" si="308"/>
        <v>1.5489660893842991</v>
      </c>
      <c r="G488" s="338" t="str">
        <f t="shared" si="290"/>
        <v>1+0.188222240654526i</v>
      </c>
      <c r="H488" s="337">
        <f t="shared" si="309"/>
        <v>1.0175596355383847</v>
      </c>
      <c r="I488" s="338">
        <f t="shared" si="310"/>
        <v>0.18604557034578906</v>
      </c>
      <c r="J488" s="340">
        <f t="shared" si="291"/>
        <v>1</v>
      </c>
      <c r="K488" s="338">
        <f t="shared" si="311"/>
        <v>1</v>
      </c>
      <c r="L488" s="339">
        <f t="shared" si="312"/>
        <v>0</v>
      </c>
      <c r="M488" s="731" t="str">
        <f t="shared" si="292"/>
        <v>0.8404636636+0.811405680287782i</v>
      </c>
      <c r="N488" s="338">
        <f t="shared" si="313"/>
        <v>1.168228722397807</v>
      </c>
      <c r="O488" s="339">
        <f t="shared" si="314"/>
        <v>0.76780900798357032</v>
      </c>
      <c r="P488" s="732" t="str">
        <f t="shared" si="306"/>
        <v>-0.0224909020149499-0.0358788696355389i</v>
      </c>
      <c r="Q488" s="337">
        <f t="shared" si="315"/>
        <v>4.2345412499703826E-2</v>
      </c>
      <c r="R488" s="339">
        <f t="shared" si="316"/>
        <v>-2.1307295270220798</v>
      </c>
      <c r="S488" s="731" t="str">
        <f t="shared" si="293"/>
        <v>6000</v>
      </c>
      <c r="T488" s="337" t="str">
        <f t="shared" si="294"/>
        <v>1+380208.926122142i</v>
      </c>
      <c r="U488" s="346">
        <f t="shared" si="317"/>
        <v>380208.92612345709</v>
      </c>
      <c r="V488" s="347">
        <f t="shared" si="318"/>
        <v>1.5707936966620111</v>
      </c>
      <c r="W488" s="340" t="str">
        <f t="shared" si="295"/>
        <v>1+3764.44481309051i</v>
      </c>
      <c r="X488" s="337">
        <f t="shared" si="319"/>
        <v>3764.4449459122179</v>
      </c>
      <c r="Y488" s="339">
        <f t="shared" si="320"/>
        <v>1.5705306833796975</v>
      </c>
      <c r="Z488" s="337" t="str">
        <f t="shared" si="296"/>
        <v>1+37.9209696693666i</v>
      </c>
      <c r="AA488" s="346">
        <f t="shared" si="321"/>
        <v>37.934152694702711</v>
      </c>
      <c r="AB488" s="347">
        <f t="shared" si="322"/>
        <v>1.5444318033676789</v>
      </c>
      <c r="AC488" s="732" t="str">
        <f t="shared" si="323"/>
        <v>0.0408710527487815-1.56549450343728i</v>
      </c>
      <c r="AD488" s="337">
        <f t="shared" si="324"/>
        <v>1.5660279318215016</v>
      </c>
      <c r="AE488" s="339">
        <f t="shared" si="325"/>
        <v>-1.5446948166499923</v>
      </c>
      <c r="AF488" s="736" t="str">
        <f t="shared" si="297"/>
        <v>-0.0570874000465996+0.0337429763083097i</v>
      </c>
      <c r="AG488" s="337">
        <f t="shared" si="326"/>
        <v>-23.567882565445263</v>
      </c>
      <c r="AH488" s="730">
        <f t="shared" si="327"/>
        <v>149.41369718794971</v>
      </c>
      <c r="AI488" s="360">
        <f t="shared" si="298"/>
        <v>-30.586302812050292</v>
      </c>
      <c r="AL488" s="337">
        <f t="shared" si="299"/>
        <v>3.8959900781647421</v>
      </c>
      <c r="AM488" s="730">
        <f t="shared" si="300"/>
        <v>-88.504493629779091</v>
      </c>
      <c r="AN488" s="351"/>
      <c r="AO488" s="337">
        <f t="shared" si="301"/>
        <v>26.065249841432127</v>
      </c>
      <c r="AP488" s="730">
        <f t="shared" si="302"/>
        <v>-122.08180918227117</v>
      </c>
      <c r="AS488" s="351"/>
      <c r="AT488" s="351"/>
      <c r="AV488" s="405">
        <f t="shared" si="303"/>
        <v>0</v>
      </c>
      <c r="AW488" s="405">
        <f t="shared" si="328"/>
        <v>0</v>
      </c>
      <c r="AX488" s="405">
        <f t="shared" si="304"/>
        <v>0</v>
      </c>
      <c r="AY488" s="405">
        <f t="shared" si="305"/>
        <v>0</v>
      </c>
    </row>
    <row r="489" spans="2:51" ht="13.5" thickBot="1" x14ac:dyDescent="0.25">
      <c r="B489" s="345">
        <v>60256</v>
      </c>
      <c r="C489" s="728" t="str">
        <f t="shared" si="288"/>
        <v>2.2271548443541</v>
      </c>
      <c r="D489" s="728" t="str">
        <f t="shared" si="289"/>
        <v>1+46.0629530207786i</v>
      </c>
      <c r="E489" s="337">
        <f t="shared" si="307"/>
        <v>46.073806452196422</v>
      </c>
      <c r="F489" s="338">
        <f t="shared" si="308"/>
        <v>1.5490903162332716</v>
      </c>
      <c r="G489" s="338" t="str">
        <f t="shared" si="290"/>
        <v>1+0.189299806934706i</v>
      </c>
      <c r="H489" s="337">
        <f t="shared" si="309"/>
        <v>1.0177595083837423</v>
      </c>
      <c r="I489" s="338">
        <f t="shared" si="310"/>
        <v>0.18708606303133321</v>
      </c>
      <c r="J489" s="340">
        <f t="shared" si="291"/>
        <v>1</v>
      </c>
      <c r="K489" s="338">
        <f t="shared" si="311"/>
        <v>1</v>
      </c>
      <c r="L489" s="339">
        <f t="shared" si="312"/>
        <v>0</v>
      </c>
      <c r="M489" s="731" t="str">
        <f t="shared" si="292"/>
        <v>0.838631753955555+0.816050951737027i</v>
      </c>
      <c r="N489" s="338">
        <f t="shared" si="313"/>
        <v>1.1701463047728169</v>
      </c>
      <c r="O489" s="339">
        <f t="shared" si="314"/>
        <v>0.77175240487365326</v>
      </c>
      <c r="P489" s="732" t="str">
        <f t="shared" si="306"/>
        <v>-0.0224384076187879-0.0355555027609772i</v>
      </c>
      <c r="Q489" s="337">
        <f t="shared" si="315"/>
        <v>4.2043738095615811E-2</v>
      </c>
      <c r="R489" s="339">
        <f t="shared" si="316"/>
        <v>-2.1337566580755922</v>
      </c>
      <c r="S489" s="731" t="str">
        <f t="shared" si="293"/>
        <v>6000</v>
      </c>
      <c r="T489" s="337" t="str">
        <f t="shared" si="294"/>
        <v>1+382385.610008107i</v>
      </c>
      <c r="U489" s="346">
        <f t="shared" si="317"/>
        <v>382385.61000941455</v>
      </c>
      <c r="V489" s="347">
        <f t="shared" si="318"/>
        <v>1.5707937116337247</v>
      </c>
      <c r="W489" s="340" t="str">
        <f t="shared" si="295"/>
        <v>1+3785.99613869413i</v>
      </c>
      <c r="X489" s="337">
        <f t="shared" si="319"/>
        <v>3785.9962707597665</v>
      </c>
      <c r="Y489" s="339">
        <f t="shared" si="320"/>
        <v>1.5705321955226736</v>
      </c>
      <c r="Z489" s="337" t="str">
        <f t="shared" si="296"/>
        <v>1+38.1380660023259i</v>
      </c>
      <c r="AA489" s="346">
        <f t="shared" si="321"/>
        <v>38.15117401074005</v>
      </c>
      <c r="AB489" s="347">
        <f t="shared" si="322"/>
        <v>1.5445818112894971</v>
      </c>
      <c r="AC489" s="732" t="str">
        <f t="shared" si="323"/>
        <v>0.0404073888171986-1.55659527261424i</v>
      </c>
      <c r="AD489" s="337">
        <f t="shared" si="324"/>
        <v>1.55711964851646</v>
      </c>
      <c r="AE489" s="339">
        <f t="shared" si="325"/>
        <v>-1.5448433274005482</v>
      </c>
      <c r="AF489" s="736" t="str">
        <f t="shared" si="297"/>
        <v>-0.0562522049742508+0.0334908141997428i</v>
      </c>
      <c r="AG489" s="337">
        <f t="shared" si="326"/>
        <v>-23.679533861152933</v>
      </c>
      <c r="AH489" s="730">
        <f t="shared" si="327"/>
        <v>149.23174631533121</v>
      </c>
      <c r="AI489" s="360">
        <f t="shared" si="298"/>
        <v>-30.768253684668792</v>
      </c>
      <c r="AL489" s="337">
        <f t="shared" si="299"/>
        <v>3.8464396976567934</v>
      </c>
      <c r="AM489" s="730">
        <f t="shared" si="300"/>
        <v>-88.513002668998254</v>
      </c>
      <c r="AN489" s="351"/>
      <c r="AO489" s="337">
        <f t="shared" si="301"/>
        <v>26.003148926232416</v>
      </c>
      <c r="AP489" s="730">
        <f t="shared" si="302"/>
        <v>-122.25525101567037</v>
      </c>
      <c r="AS489" s="351"/>
      <c r="AT489" s="351"/>
      <c r="AV489" s="405">
        <f t="shared" si="303"/>
        <v>0</v>
      </c>
      <c r="AW489" s="405">
        <f t="shared" si="328"/>
        <v>0</v>
      </c>
      <c r="AX489" s="405">
        <f t="shared" si="304"/>
        <v>0</v>
      </c>
      <c r="AY489" s="405">
        <f t="shared" si="305"/>
        <v>0</v>
      </c>
    </row>
    <row r="490" spans="2:51" ht="13.5" thickBot="1" x14ac:dyDescent="0.25">
      <c r="B490" s="345">
        <v>60607</v>
      </c>
      <c r="C490" s="728" t="str">
        <f t="shared" si="288"/>
        <v>2.2271548443541</v>
      </c>
      <c r="D490" s="728" t="str">
        <f t="shared" si="289"/>
        <v>1+46.3312764493217i</v>
      </c>
      <c r="E490" s="337">
        <f t="shared" si="307"/>
        <v>46.342067038744311</v>
      </c>
      <c r="F490" s="338">
        <f t="shared" si="308"/>
        <v>1.5492159855057817</v>
      </c>
      <c r="G490" s="338" t="str">
        <f t="shared" si="290"/>
        <v>1+0.190402505956117i</v>
      </c>
      <c r="H490" s="337">
        <f t="shared" si="309"/>
        <v>1.0179651832328889</v>
      </c>
      <c r="I490" s="338">
        <f t="shared" si="310"/>
        <v>0.18815039958615706</v>
      </c>
      <c r="J490" s="340">
        <f t="shared" si="291"/>
        <v>1</v>
      </c>
      <c r="K490" s="338">
        <f t="shared" si="311"/>
        <v>1</v>
      </c>
      <c r="L490" s="339">
        <f t="shared" si="312"/>
        <v>0</v>
      </c>
      <c r="M490" s="731" t="str">
        <f t="shared" si="292"/>
        <v>0.836746291155556+0.820804567709871i</v>
      </c>
      <c r="N490" s="338">
        <f t="shared" si="313"/>
        <v>1.1721196586253326</v>
      </c>
      <c r="O490" s="339">
        <f t="shared" si="314"/>
        <v>0.77578082233259171</v>
      </c>
      <c r="P490" s="732" t="str">
        <f t="shared" si="306"/>
        <v>-0.0223844141560649-0.0352283061657568i</v>
      </c>
      <c r="Q490" s="337">
        <f t="shared" si="315"/>
        <v>4.1738418182994633E-2</v>
      </c>
      <c r="R490" s="339">
        <f t="shared" si="316"/>
        <v>-2.1368464082522172</v>
      </c>
      <c r="S490" s="731" t="str">
        <f t="shared" si="293"/>
        <v>6000</v>
      </c>
      <c r="T490" s="337" t="str">
        <f t="shared" si="294"/>
        <v>1+384613.062031355i</v>
      </c>
      <c r="U490" s="346">
        <f t="shared" si="317"/>
        <v>384613.06203265494</v>
      </c>
      <c r="V490" s="347">
        <f t="shared" si="318"/>
        <v>1.5707937267791958</v>
      </c>
      <c r="W490" s="340" t="str">
        <f t="shared" si="295"/>
        <v>1+3808.05011912233i</v>
      </c>
      <c r="X490" s="337">
        <f t="shared" si="319"/>
        <v>3808.0502504231213</v>
      </c>
      <c r="Y490" s="339">
        <f t="shared" si="320"/>
        <v>1.5705337252151559</v>
      </c>
      <c r="Z490" s="337" t="str">
        <f t="shared" si="296"/>
        <v>1+38.3602258066079i</v>
      </c>
      <c r="AA490" s="346">
        <f t="shared" si="321"/>
        <v>38.373257927024476</v>
      </c>
      <c r="AB490" s="347">
        <f t="shared" si="322"/>
        <v>1.544733561361618</v>
      </c>
      <c r="AC490" s="732" t="str">
        <f t="shared" si="323"/>
        <v>0.0399410294943482-1.5475925481778i</v>
      </c>
      <c r="AD490" s="337">
        <f t="shared" si="324"/>
        <v>1.5481078712455809</v>
      </c>
      <c r="AE490" s="339">
        <f t="shared" si="325"/>
        <v>-1.5449935629256581</v>
      </c>
      <c r="AF490" s="736" t="str">
        <f t="shared" si="297"/>
        <v>-0.0554131206530724+0.0332348977276493i</v>
      </c>
      <c r="AG490" s="337">
        <f t="shared" si="326"/>
        <v>-23.793255904319089</v>
      </c>
      <c r="AH490" s="730">
        <f t="shared" si="327"/>
        <v>149.0461088089391</v>
      </c>
      <c r="AI490" s="360">
        <f t="shared" si="298"/>
        <v>-30.953891191060904</v>
      </c>
      <c r="AL490" s="337">
        <f t="shared" si="299"/>
        <v>3.7960243757037206</v>
      </c>
      <c r="AM490" s="730">
        <f t="shared" si="300"/>
        <v>-88.521610530519993</v>
      </c>
      <c r="AN490" s="351"/>
      <c r="AO490" s="337">
        <f t="shared" si="301"/>
        <v>25.939842205019325</v>
      </c>
      <c r="AP490" s="730">
        <f t="shared" si="302"/>
        <v>-122.43228066054078</v>
      </c>
      <c r="AS490" s="351"/>
      <c r="AT490" s="351"/>
      <c r="AV490" s="405">
        <f t="shared" si="303"/>
        <v>0</v>
      </c>
      <c r="AW490" s="405">
        <f t="shared" si="328"/>
        <v>0</v>
      </c>
      <c r="AX490" s="405">
        <f t="shared" si="304"/>
        <v>0</v>
      </c>
      <c r="AY490" s="405">
        <f t="shared" si="305"/>
        <v>0</v>
      </c>
    </row>
    <row r="491" spans="2:51" ht="13.5" thickBot="1" x14ac:dyDescent="0.25">
      <c r="B491" s="345">
        <v>60958</v>
      </c>
      <c r="C491" s="728" t="str">
        <f t="shared" si="288"/>
        <v>2.2271548443541</v>
      </c>
      <c r="D491" s="728" t="str">
        <f t="shared" si="289"/>
        <v>1+46.5995998778648i</v>
      </c>
      <c r="E491" s="337">
        <f t="shared" si="307"/>
        <v>46.61032834873722</v>
      </c>
      <c r="F491" s="338">
        <f t="shared" si="308"/>
        <v>1.5493402082251531</v>
      </c>
      <c r="G491" s="338" t="str">
        <f t="shared" si="290"/>
        <v>1+0.191505204977527i</v>
      </c>
      <c r="H491" s="337">
        <f t="shared" si="309"/>
        <v>1.0181720107788685</v>
      </c>
      <c r="I491" s="338">
        <f t="shared" si="310"/>
        <v>0.18921430493531025</v>
      </c>
      <c r="J491" s="340">
        <f t="shared" si="291"/>
        <v>1</v>
      </c>
      <c r="K491" s="338">
        <f t="shared" si="311"/>
        <v>1</v>
      </c>
      <c r="L491" s="339">
        <f t="shared" si="312"/>
        <v>0</v>
      </c>
      <c r="M491" s="731" t="str">
        <f t="shared" si="292"/>
        <v>0.834849877155555+0.825558183682715i</v>
      </c>
      <c r="N491" s="338">
        <f t="shared" si="313"/>
        <v>1.1741041827845384</v>
      </c>
      <c r="O491" s="339">
        <f t="shared" si="314"/>
        <v>0.77980219171897691</v>
      </c>
      <c r="P491" s="732" t="str">
        <f t="shared" si="306"/>
        <v>-0.0223301511267334-0.0349048069155772i</v>
      </c>
      <c r="Q491" s="337">
        <f t="shared" si="315"/>
        <v>4.1436471799086355E-2</v>
      </c>
      <c r="R491" s="339">
        <f t="shared" si="316"/>
        <v>-2.1399280950088193</v>
      </c>
      <c r="S491" s="731" t="str">
        <f t="shared" si="293"/>
        <v>6000</v>
      </c>
      <c r="T491" s="337" t="str">
        <f t="shared" si="294"/>
        <v>1+386840.514054604i</v>
      </c>
      <c r="U491" s="346">
        <f t="shared" si="317"/>
        <v>386840.51405589655</v>
      </c>
      <c r="V491" s="347">
        <f t="shared" si="318"/>
        <v>1.5707937417502498</v>
      </c>
      <c r="W491" s="340" t="str">
        <f t="shared" si="295"/>
        <v>1+3830.10409955053i</v>
      </c>
      <c r="X491" s="337">
        <f t="shared" si="319"/>
        <v>3830.1042300952822</v>
      </c>
      <c r="Y491" s="339">
        <f t="shared" si="320"/>
        <v>1.5705352372915082</v>
      </c>
      <c r="Z491" s="337" t="str">
        <f t="shared" si="296"/>
        <v>1+38.5823856108899i</v>
      </c>
      <c r="AA491" s="346">
        <f t="shared" si="321"/>
        <v>38.595342716802037</v>
      </c>
      <c r="AB491" s="347">
        <f t="shared" si="322"/>
        <v>1.5448835650408079</v>
      </c>
      <c r="AC491" s="732" t="str">
        <f t="shared" si="323"/>
        <v>0.0394826957236374-1.53869329223845i</v>
      </c>
      <c r="AD491" s="337">
        <f t="shared" si="324"/>
        <v>1.5391997696339503</v>
      </c>
      <c r="AE491" s="339">
        <f t="shared" si="325"/>
        <v>-1.5451420694995495</v>
      </c>
      <c r="AF491" s="736" t="str">
        <f t="shared" si="297"/>
        <v>-0.0545894468302766+0.0329811178826355i</v>
      </c>
      <c r="AG491" s="337">
        <f t="shared" si="326"/>
        <v>-23.90644481934789</v>
      </c>
      <c r="AH491" s="730">
        <f t="shared" si="327"/>
        <v>148.86103236409053</v>
      </c>
      <c r="AI491" s="360">
        <f t="shared" si="298"/>
        <v>-31.138967635909466</v>
      </c>
      <c r="AL491" s="337">
        <f t="shared" si="299"/>
        <v>3.7458997938914953</v>
      </c>
      <c r="AM491" s="730">
        <f t="shared" si="300"/>
        <v>-88.530119330433905</v>
      </c>
      <c r="AN491" s="351"/>
      <c r="AO491" s="337">
        <f t="shared" si="301"/>
        <v>25.876777871802773</v>
      </c>
      <c r="AP491" s="730">
        <f t="shared" si="302"/>
        <v>-122.60884830547556</v>
      </c>
      <c r="AS491" s="351"/>
      <c r="AT491" s="351"/>
      <c r="AV491" s="405">
        <f t="shared" si="303"/>
        <v>0</v>
      </c>
      <c r="AW491" s="405">
        <f t="shared" si="328"/>
        <v>0</v>
      </c>
      <c r="AX491" s="405">
        <f t="shared" si="304"/>
        <v>0</v>
      </c>
      <c r="AY491" s="405">
        <f t="shared" si="305"/>
        <v>0</v>
      </c>
    </row>
    <row r="492" spans="2:51" ht="13.5" thickBot="1" x14ac:dyDescent="0.25">
      <c r="B492" s="345">
        <v>61309</v>
      </c>
      <c r="C492" s="728" t="str">
        <f t="shared" si="288"/>
        <v>2.2271548443541</v>
      </c>
      <c r="D492" s="728" t="str">
        <f t="shared" si="289"/>
        <v>1+46.8679233064079i</v>
      </c>
      <c r="E492" s="337">
        <f t="shared" si="307"/>
        <v>46.8785903697555</v>
      </c>
      <c r="F492" s="338">
        <f t="shared" si="308"/>
        <v>1.5494630092211534</v>
      </c>
      <c r="G492" s="338" t="str">
        <f t="shared" si="290"/>
        <v>1+0.192607903998936i</v>
      </c>
      <c r="H492" s="337">
        <f t="shared" si="309"/>
        <v>1.0183799903193618</v>
      </c>
      <c r="I492" s="338">
        <f t="shared" si="310"/>
        <v>0.19027777693379888</v>
      </c>
      <c r="J492" s="340">
        <f t="shared" si="291"/>
        <v>1</v>
      </c>
      <c r="K492" s="338">
        <f t="shared" si="311"/>
        <v>1</v>
      </c>
      <c r="L492" s="339">
        <f t="shared" si="312"/>
        <v>0</v>
      </c>
      <c r="M492" s="731" t="str">
        <f t="shared" si="292"/>
        <v>0.832942511955556+0.830311799655559i</v>
      </c>
      <c r="N492" s="338">
        <f t="shared" si="313"/>
        <v>1.1760998736799884</v>
      </c>
      <c r="O492" s="339">
        <f t="shared" si="314"/>
        <v>0.78381649901340678</v>
      </c>
      <c r="P492" s="732" t="str">
        <f t="shared" si="306"/>
        <v>-0.0222756267358178-0.0345849480269338i</v>
      </c>
      <c r="Q492" s="337">
        <f t="shared" si="315"/>
        <v>4.1137843605361629E-2</v>
      </c>
      <c r="R492" s="339">
        <f t="shared" si="316"/>
        <v>-2.1430017313007625</v>
      </c>
      <c r="S492" s="731" t="str">
        <f t="shared" si="293"/>
        <v>6000</v>
      </c>
      <c r="T492" s="337" t="str">
        <f t="shared" si="294"/>
        <v>1+389067.966077852i</v>
      </c>
      <c r="U492" s="346">
        <f t="shared" si="317"/>
        <v>389067.96607913717</v>
      </c>
      <c r="V492" s="347">
        <f t="shared" si="318"/>
        <v>1.5707937565498824</v>
      </c>
      <c r="W492" s="340" t="str">
        <f t="shared" si="295"/>
        <v>1+3852.15807997873i</v>
      </c>
      <c r="X492" s="337">
        <f t="shared" si="319"/>
        <v>3852.1582097761011</v>
      </c>
      <c r="Y492" s="339">
        <f t="shared" si="320"/>
        <v>1.5705367320542929</v>
      </c>
      <c r="Z492" s="337" t="str">
        <f t="shared" si="296"/>
        <v>1+38.8045454151719i</v>
      </c>
      <c r="AA492" s="346">
        <f t="shared" si="321"/>
        <v>38.817428365080268</v>
      </c>
      <c r="AB492" s="347">
        <f t="shared" si="322"/>
        <v>1.5450318522951032</v>
      </c>
      <c r="AC492" s="732" t="str">
        <f t="shared" si="323"/>
        <v>0.0390322044478118-1.52989573241192i</v>
      </c>
      <c r="AD492" s="337">
        <f t="shared" si="324"/>
        <v>1.5303935654060563</v>
      </c>
      <c r="AE492" s="339">
        <f t="shared" si="325"/>
        <v>-1.5452888767906929</v>
      </c>
      <c r="AF492" s="736" t="str">
        <f t="shared" si="297"/>
        <v>-0.0537808312090497+0.0327294595177243i</v>
      </c>
      <c r="AG492" s="337">
        <f t="shared" si="326"/>
        <v>-24.019106924102683</v>
      </c>
      <c r="AH492" s="730">
        <f t="shared" si="327"/>
        <v>148.67651453861964</v>
      </c>
      <c r="AI492" s="360">
        <f t="shared" si="298"/>
        <v>-31.323485461380358</v>
      </c>
      <c r="AL492" s="337">
        <f t="shared" si="299"/>
        <v>3.696062620330975</v>
      </c>
      <c r="AM492" s="730">
        <f t="shared" si="300"/>
        <v>-88.538530768618173</v>
      </c>
      <c r="AN492" s="351"/>
      <c r="AO492" s="337">
        <f t="shared" si="301"/>
        <v>25.813952940608488</v>
      </c>
      <c r="AP492" s="730">
        <f t="shared" si="302"/>
        <v>-122.7849546927621</v>
      </c>
      <c r="AS492" s="351"/>
      <c r="AT492" s="351"/>
      <c r="AV492" s="405">
        <f t="shared" si="303"/>
        <v>0</v>
      </c>
      <c r="AW492" s="405">
        <f t="shared" si="328"/>
        <v>0</v>
      </c>
      <c r="AX492" s="405">
        <f t="shared" si="304"/>
        <v>0</v>
      </c>
      <c r="AY492" s="405">
        <f t="shared" si="305"/>
        <v>0</v>
      </c>
    </row>
    <row r="493" spans="2:51" ht="13.5" thickBot="1" x14ac:dyDescent="0.25">
      <c r="B493" s="345">
        <v>61660</v>
      </c>
      <c r="C493" s="728" t="str">
        <f t="shared" si="288"/>
        <v>2.2271548443541</v>
      </c>
      <c r="D493" s="728" t="str">
        <f t="shared" si="289"/>
        <v>1+47.136246734951i</v>
      </c>
      <c r="E493" s="337">
        <f t="shared" si="307"/>
        <v>47.146853089662073</v>
      </c>
      <c r="F493" s="338">
        <f t="shared" si="308"/>
        <v>1.5495844127586051</v>
      </c>
      <c r="G493" s="338" t="str">
        <f t="shared" si="290"/>
        <v>1+0.193710603020346i</v>
      </c>
      <c r="H493" s="337">
        <f t="shared" si="309"/>
        <v>1.0185891211487124</v>
      </c>
      <c r="I493" s="338">
        <f t="shared" si="310"/>
        <v>0.19134081344229897</v>
      </c>
      <c r="J493" s="340">
        <f t="shared" si="291"/>
        <v>1</v>
      </c>
      <c r="K493" s="338">
        <f t="shared" si="311"/>
        <v>1</v>
      </c>
      <c r="L493" s="339">
        <f t="shared" si="312"/>
        <v>0</v>
      </c>
      <c r="M493" s="731" t="str">
        <f t="shared" si="292"/>
        <v>0.831024195555556+0.835065415628403i</v>
      </c>
      <c r="N493" s="338">
        <f t="shared" si="313"/>
        <v>1.1781067277532185</v>
      </c>
      <c r="O493" s="339">
        <f t="shared" si="314"/>
        <v>0.78782373049802779</v>
      </c>
      <c r="P493" s="732" t="str">
        <f t="shared" si="306"/>
        <v>-0.0222208490259162-0.0342686737588808i</v>
      </c>
      <c r="Q493" s="337">
        <f t="shared" si="315"/>
        <v>4.0842479511229074E-2</v>
      </c>
      <c r="R493" s="339">
        <f t="shared" si="316"/>
        <v>-2.1460673298143345</v>
      </c>
      <c r="S493" s="731" t="str">
        <f t="shared" si="293"/>
        <v>6000</v>
      </c>
      <c r="T493" s="337" t="str">
        <f t="shared" si="294"/>
        <v>1+391295.4181011i</v>
      </c>
      <c r="U493" s="346">
        <f t="shared" si="317"/>
        <v>391295.41810237785</v>
      </c>
      <c r="V493" s="347">
        <f t="shared" si="318"/>
        <v>1.5707937711810209</v>
      </c>
      <c r="W493" s="340" t="str">
        <f t="shared" si="295"/>
        <v>1+3874.21206040693i</v>
      </c>
      <c r="X493" s="337">
        <f t="shared" si="319"/>
        <v>3874.2121894654292</v>
      </c>
      <c r="Y493" s="339">
        <f t="shared" si="320"/>
        <v>1.5705382097991825</v>
      </c>
      <c r="Z493" s="337" t="str">
        <f t="shared" si="296"/>
        <v>1+39.0267052194539i</v>
      </c>
      <c r="AA493" s="346">
        <f t="shared" si="321"/>
        <v>39.039514857207827</v>
      </c>
      <c r="AB493" s="347">
        <f t="shared" si="322"/>
        <v>1.5451784524109224</v>
      </c>
      <c r="AC493" s="732" t="str">
        <f t="shared" si="323"/>
        <v>0.0385893777981404-1.52119813653823i</v>
      </c>
      <c r="AD493" s="337">
        <f t="shared" si="324"/>
        <v>1.5216875207105538</v>
      </c>
      <c r="AE493" s="339">
        <f t="shared" si="325"/>
        <v>-1.5454340137927609</v>
      </c>
      <c r="AF493" s="736" t="str">
        <f t="shared" si="297"/>
        <v>-0.0529869314017025+0.0324799073321984i</v>
      </c>
      <c r="AG493" s="337">
        <f t="shared" si="326"/>
        <v>-24.131248422883985</v>
      </c>
      <c r="AH493" s="730">
        <f t="shared" si="327"/>
        <v>148.49255294444069</v>
      </c>
      <c r="AI493" s="360">
        <f t="shared" si="298"/>
        <v>-31.507447055559311</v>
      </c>
      <c r="AL493" s="337">
        <f t="shared" si="299"/>
        <v>3.6465095800443299</v>
      </c>
      <c r="AM493" s="730">
        <f t="shared" si="300"/>
        <v>-88.546846506287849</v>
      </c>
      <c r="AN493" s="351"/>
      <c r="AO493" s="337">
        <f t="shared" si="301"/>
        <v>25.751364482113832</v>
      </c>
      <c r="AP493" s="730">
        <f t="shared" si="302"/>
        <v>-122.96060054927143</v>
      </c>
      <c r="AS493" s="351"/>
      <c r="AT493" s="351"/>
      <c r="AV493" s="405">
        <f t="shared" si="303"/>
        <v>0</v>
      </c>
      <c r="AW493" s="405">
        <f t="shared" si="328"/>
        <v>0</v>
      </c>
      <c r="AX493" s="405">
        <f t="shared" si="304"/>
        <v>0</v>
      </c>
      <c r="AY493" s="405">
        <f t="shared" si="305"/>
        <v>0</v>
      </c>
    </row>
    <row r="494" spans="2:51" ht="13.5" thickBot="1" x14ac:dyDescent="0.25">
      <c r="B494" s="345">
        <v>62019</v>
      </c>
      <c r="C494" s="728" t="str">
        <f t="shared" si="288"/>
        <v>2.2271548443541</v>
      </c>
      <c r="D494" s="728" t="str">
        <f t="shared" si="289"/>
        <v>1+47.4106857971931i</v>
      </c>
      <c r="E494" s="337">
        <f t="shared" si="307"/>
        <v>47.421230770195834</v>
      </c>
      <c r="F494" s="338">
        <f t="shared" si="308"/>
        <v>1.5497071624463741</v>
      </c>
      <c r="G494" s="338" t="str">
        <f t="shared" si="290"/>
        <v>1+0.194838434782986i</v>
      </c>
      <c r="H494" s="337">
        <f t="shared" si="309"/>
        <v>1.0188042087018898</v>
      </c>
      <c r="I494" s="338">
        <f t="shared" si="310"/>
        <v>0.19242762598761035</v>
      </c>
      <c r="J494" s="340">
        <f t="shared" si="291"/>
        <v>1</v>
      </c>
      <c r="K494" s="338">
        <f t="shared" si="311"/>
        <v>1</v>
      </c>
      <c r="L494" s="339">
        <f t="shared" si="312"/>
        <v>0</v>
      </c>
      <c r="M494" s="731" t="str">
        <f t="shared" si="292"/>
        <v>0.8290508284+0.839927376124846i</v>
      </c>
      <c r="N494" s="338">
        <f t="shared" si="313"/>
        <v>1.1801708661184172</v>
      </c>
      <c r="O494" s="339">
        <f t="shared" si="314"/>
        <v>0.79191496135450734</v>
      </c>
      <c r="P494" s="732" t="str">
        <f t="shared" si="306"/>
        <v>-0.0221645689932228-0.0339488422293681i</v>
      </c>
      <c r="Q494" s="337">
        <f t="shared" si="315"/>
        <v>4.0543704904335766E-2</v>
      </c>
      <c r="R494" s="339">
        <f t="shared" si="316"/>
        <v>-2.1491944978132711</v>
      </c>
      <c r="S494" s="731" t="str">
        <f t="shared" si="293"/>
        <v>6000</v>
      </c>
      <c r="T494" s="337" t="str">
        <f t="shared" si="294"/>
        <v>1+393573.638261631i</v>
      </c>
      <c r="U494" s="346">
        <f t="shared" si="317"/>
        <v>393573.6382629014</v>
      </c>
      <c r="V494" s="347">
        <f t="shared" si="318"/>
        <v>1.5707937859743162</v>
      </c>
      <c r="W494" s="340" t="str">
        <f t="shared" si="295"/>
        <v>1+3896.76869565971i</v>
      </c>
      <c r="X494" s="337">
        <f t="shared" si="319"/>
        <v>3896.768823971147</v>
      </c>
      <c r="Y494" s="339">
        <f t="shared" si="320"/>
        <v>1.5705397039219091</v>
      </c>
      <c r="Z494" s="337" t="str">
        <f t="shared" si="296"/>
        <v>1+39.2539284950587i</v>
      </c>
      <c r="AA494" s="346">
        <f t="shared" si="321"/>
        <v>39.266664007720109</v>
      </c>
      <c r="AB494" s="347">
        <f t="shared" si="322"/>
        <v>1.5453266784144988</v>
      </c>
      <c r="AC494" s="732" t="str">
        <f t="shared" si="323"/>
        <v>0.0381442067491654-1.51240394787835i</v>
      </c>
      <c r="AD494" s="337">
        <f t="shared" si="324"/>
        <v>1.5128848872490406</v>
      </c>
      <c r="AE494" s="339">
        <f t="shared" si="325"/>
        <v>-1.5455807604669061</v>
      </c>
      <c r="AF494" s="736" t="str">
        <f t="shared" si="297"/>
        <v>-0.0521898129157792+0.0322268299914804i</v>
      </c>
      <c r="AG494" s="337">
        <f t="shared" si="326"/>
        <v>-24.245413664052784</v>
      </c>
      <c r="AH494" s="730">
        <f t="shared" si="327"/>
        <v>148.30497145118721</v>
      </c>
      <c r="AI494" s="360">
        <f t="shared" si="298"/>
        <v>-31.695028548812786</v>
      </c>
      <c r="AL494" s="337">
        <f t="shared" si="299"/>
        <v>3.5961176915354658</v>
      </c>
      <c r="AM494" s="730">
        <f t="shared" si="300"/>
        <v>-88.555254471373956</v>
      </c>
      <c r="AN494" s="351"/>
      <c r="AO494" s="337">
        <f t="shared" si="301"/>
        <v>25.687591129453871</v>
      </c>
      <c r="AP494" s="730">
        <f t="shared" si="302"/>
        <v>-123.13977407743894</v>
      </c>
      <c r="AS494" s="351"/>
      <c r="AT494" s="351"/>
      <c r="AV494" s="405">
        <f t="shared" si="303"/>
        <v>0</v>
      </c>
      <c r="AW494" s="405">
        <f t="shared" si="328"/>
        <v>0</v>
      </c>
      <c r="AX494" s="405">
        <f t="shared" si="304"/>
        <v>0</v>
      </c>
      <c r="AY494" s="405">
        <f t="shared" si="305"/>
        <v>0</v>
      </c>
    </row>
    <row r="495" spans="2:51" ht="13.5" thickBot="1" x14ac:dyDescent="0.25">
      <c r="B495" s="345">
        <v>62378</v>
      </c>
      <c r="C495" s="728" t="str">
        <f t="shared" si="288"/>
        <v>2.2271548443541</v>
      </c>
      <c r="D495" s="728" t="str">
        <f t="shared" si="289"/>
        <v>1+47.6851248594352i</v>
      </c>
      <c r="E495" s="337">
        <f t="shared" si="307"/>
        <v>47.695609157027491</v>
      </c>
      <c r="F495" s="338">
        <f t="shared" si="308"/>
        <v>1.549828499852437</v>
      </c>
      <c r="G495" s="338" t="str">
        <f t="shared" si="290"/>
        <v>1+0.195966266545624i</v>
      </c>
      <c r="H495" s="337">
        <f t="shared" si="309"/>
        <v>1.0190204991185559</v>
      </c>
      <c r="I495" s="338">
        <f t="shared" si="310"/>
        <v>0.19351397845662668</v>
      </c>
      <c r="J495" s="340">
        <f t="shared" si="291"/>
        <v>1</v>
      </c>
      <c r="K495" s="338">
        <f t="shared" si="311"/>
        <v>1</v>
      </c>
      <c r="L495" s="339">
        <f t="shared" si="312"/>
        <v>0</v>
      </c>
      <c r="M495" s="731" t="str">
        <f t="shared" si="292"/>
        <v>0.827066005155556+0.844789336621287i</v>
      </c>
      <c r="N495" s="338">
        <f t="shared" si="313"/>
        <v>1.1822466748327121</v>
      </c>
      <c r="O495" s="339">
        <f t="shared" si="314"/>
        <v>0.79599876211258147</v>
      </c>
      <c r="P495" s="732" t="str">
        <f t="shared" si="306"/>
        <v>-0.0221080404800221-0.0336326464615449i</v>
      </c>
      <c r="Q495" s="337">
        <f t="shared" si="315"/>
        <v>4.0248234270257928E-2</v>
      </c>
      <c r="R495" s="339">
        <f t="shared" si="316"/>
        <v>-2.15231328350839</v>
      </c>
      <c r="S495" s="731" t="str">
        <f t="shared" si="293"/>
        <v>6000</v>
      </c>
      <c r="T495" s="337" t="str">
        <f t="shared" si="294"/>
        <v>1+395851.858422161i</v>
      </c>
      <c r="U495" s="346">
        <f t="shared" si="317"/>
        <v>395851.85842342407</v>
      </c>
      <c r="V495" s="347">
        <f t="shared" si="318"/>
        <v>1.5707938005973339</v>
      </c>
      <c r="W495" s="340" t="str">
        <f t="shared" si="295"/>
        <v>1+3919.32533091248i</v>
      </c>
      <c r="X495" s="337">
        <f t="shared" si="319"/>
        <v>3919.3254584854549</v>
      </c>
      <c r="Y495" s="339">
        <f t="shared" si="320"/>
        <v>1.5705411808465843</v>
      </c>
      <c r="Z495" s="337" t="str">
        <f t="shared" si="296"/>
        <v>1+39.4811517706633i</v>
      </c>
      <c r="AA495" s="346">
        <f t="shared" si="321"/>
        <v>39.493814011034061</v>
      </c>
      <c r="AB495" s="347">
        <f t="shared" si="322"/>
        <v>1.5454731993675457</v>
      </c>
      <c r="AC495" s="732" t="str">
        <f t="shared" si="323"/>
        <v>0.0377066931813342-1.50371079049681i</v>
      </c>
      <c r="AD495" s="337">
        <f t="shared" si="324"/>
        <v>1.5041834782257155</v>
      </c>
      <c r="AE495" s="339">
        <f t="shared" si="325"/>
        <v>-1.5457258191182952</v>
      </c>
      <c r="AF495" s="736" t="str">
        <f t="shared" si="297"/>
        <v>-0.0514073944964101+0.0319759231455477i</v>
      </c>
      <c r="AG495" s="337">
        <f t="shared" si="326"/>
        <v>-24.359047073539102</v>
      </c>
      <c r="AH495" s="730">
        <f t="shared" si="327"/>
        <v>148.11796694514467</v>
      </c>
      <c r="AI495" s="360">
        <f t="shared" si="298"/>
        <v>-31.882033054855327</v>
      </c>
      <c r="AL495" s="337">
        <f t="shared" si="299"/>
        <v>3.5460162825716894</v>
      </c>
      <c r="AM495" s="730">
        <f t="shared" si="300"/>
        <v>-88.563565719880415</v>
      </c>
      <c r="AN495" s="351"/>
      <c r="AO495" s="337">
        <f t="shared" si="301"/>
        <v>25.624059128931343</v>
      </c>
      <c r="AP495" s="730">
        <f t="shared" si="302"/>
        <v>-123.31846733497493</v>
      </c>
      <c r="AS495" s="351"/>
      <c r="AT495" s="351"/>
      <c r="AV495" s="405">
        <f t="shared" si="303"/>
        <v>0</v>
      </c>
      <c r="AW495" s="405">
        <f t="shared" si="328"/>
        <v>0</v>
      </c>
      <c r="AX495" s="405">
        <f t="shared" si="304"/>
        <v>0</v>
      </c>
      <c r="AY495" s="405">
        <f t="shared" si="305"/>
        <v>0</v>
      </c>
    </row>
    <row r="496" spans="2:51" ht="13.5" thickBot="1" x14ac:dyDescent="0.25">
      <c r="B496" s="345">
        <v>62737</v>
      </c>
      <c r="C496" s="728" t="str">
        <f t="shared" si="288"/>
        <v>2.2271548443541</v>
      </c>
      <c r="D496" s="728" t="str">
        <f t="shared" si="289"/>
        <v>1+47.9595639216773i</v>
      </c>
      <c r="E496" s="337">
        <f t="shared" si="307"/>
        <v>47.969988238037452</v>
      </c>
      <c r="F496" s="338">
        <f t="shared" si="308"/>
        <v>1.5499484492071274</v>
      </c>
      <c r="G496" s="338" t="str">
        <f t="shared" si="290"/>
        <v>1+0.197094098308263i</v>
      </c>
      <c r="H496" s="337">
        <f t="shared" si="309"/>
        <v>1.019237991632939</v>
      </c>
      <c r="I496" s="338">
        <f t="shared" si="310"/>
        <v>0.19459986857892292</v>
      </c>
      <c r="J496" s="340">
        <f t="shared" si="291"/>
        <v>1</v>
      </c>
      <c r="K496" s="338">
        <f t="shared" si="311"/>
        <v>1</v>
      </c>
      <c r="L496" s="339">
        <f t="shared" si="312"/>
        <v>0</v>
      </c>
      <c r="M496" s="731" t="str">
        <f t="shared" si="292"/>
        <v>0.825069725822222+0.84965129711773i</v>
      </c>
      <c r="N496" s="338">
        <f t="shared" si="313"/>
        <v>1.184334150129176</v>
      </c>
      <c r="O496" s="339">
        <f t="shared" si="314"/>
        <v>0.80007511906344009</v>
      </c>
      <c r="P496" s="732" t="str">
        <f t="shared" si="306"/>
        <v>-0.022051271592582-0.0333200306228439i</v>
      </c>
      <c r="Q496" s="337">
        <f t="shared" si="315"/>
        <v>3.9956013559376384E-2</v>
      </c>
      <c r="R496" s="339">
        <f t="shared" si="316"/>
        <v>-2.1554236996916449</v>
      </c>
      <c r="S496" s="731" t="str">
        <f t="shared" si="293"/>
        <v>6000</v>
      </c>
      <c r="T496" s="337" t="str">
        <f t="shared" si="294"/>
        <v>1+398130.078582691i</v>
      </c>
      <c r="U496" s="346">
        <f t="shared" si="317"/>
        <v>398130.07858394686</v>
      </c>
      <c r="V496" s="347">
        <f t="shared" si="318"/>
        <v>1.5707938150529968</v>
      </c>
      <c r="W496" s="340" t="str">
        <f t="shared" si="295"/>
        <v>1+3941.88196616526i</v>
      </c>
      <c r="X496" s="337">
        <f t="shared" si="319"/>
        <v>3941.8820930082243</v>
      </c>
      <c r="Y496" s="339">
        <f t="shared" si="320"/>
        <v>1.5705426408684455</v>
      </c>
      <c r="Z496" s="337" t="str">
        <f t="shared" si="296"/>
        <v>1+39.708375046268i</v>
      </c>
      <c r="AA496" s="346">
        <f t="shared" si="321"/>
        <v>39.720964852519373</v>
      </c>
      <c r="AB496" s="347">
        <f t="shared" si="322"/>
        <v>1.5456180445155496</v>
      </c>
      <c r="AC496" s="732" t="str">
        <f t="shared" si="323"/>
        <v>0.0372766625091564-1.49511693439615i</v>
      </c>
      <c r="AD496" s="337">
        <f t="shared" si="324"/>
        <v>1.4955815581525345</v>
      </c>
      <c r="AE496" s="339">
        <f t="shared" si="325"/>
        <v>-1.5458692187001009</v>
      </c>
      <c r="AF496" s="736" t="str">
        <f t="shared" si="297"/>
        <v>-0.0506393398478666+0.0317271700467156i</v>
      </c>
      <c r="AG496" s="337">
        <f t="shared" si="326"/>
        <v>-24.472154937660846</v>
      </c>
      <c r="AH496" s="730">
        <f t="shared" si="327"/>
        <v>147.93153703449352</v>
      </c>
      <c r="AI496" s="360">
        <f t="shared" si="298"/>
        <v>-32.068462965506484</v>
      </c>
      <c r="AL496" s="337">
        <f t="shared" si="299"/>
        <v>3.496202025578778</v>
      </c>
      <c r="AM496" s="730">
        <f t="shared" si="300"/>
        <v>-88.571781910701816</v>
      </c>
      <c r="AN496" s="351"/>
      <c r="AO496" s="337">
        <f t="shared" si="301"/>
        <v>25.560765521802509</v>
      </c>
      <c r="AP496" s="730">
        <f t="shared" si="302"/>
        <v>-123.49668105480471</v>
      </c>
      <c r="AS496" s="351"/>
      <c r="AT496" s="351"/>
      <c r="AV496" s="405">
        <f t="shared" si="303"/>
        <v>0</v>
      </c>
      <c r="AW496" s="405">
        <f t="shared" si="328"/>
        <v>0</v>
      </c>
      <c r="AX496" s="405">
        <f t="shared" si="304"/>
        <v>0</v>
      </c>
      <c r="AY496" s="405">
        <f t="shared" si="305"/>
        <v>0</v>
      </c>
    </row>
    <row r="497" spans="2:51" ht="13.5" thickBot="1" x14ac:dyDescent="0.25">
      <c r="B497" s="345">
        <v>63096</v>
      </c>
      <c r="C497" s="728" t="str">
        <f t="shared" si="288"/>
        <v>2.2271548443541</v>
      </c>
      <c r="D497" s="728" t="str">
        <f t="shared" si="289"/>
        <v>1+48.2340029839194i</v>
      </c>
      <c r="E497" s="337">
        <f t="shared" si="307"/>
        <v>48.244368001381737</v>
      </c>
      <c r="F497" s="338">
        <f t="shared" si="308"/>
        <v>1.5500670341897198</v>
      </c>
      <c r="G497" s="338" t="str">
        <f t="shared" si="290"/>
        <v>1+0.198221930070901i</v>
      </c>
      <c r="H497" s="337">
        <f t="shared" si="309"/>
        <v>1.019456685475667</v>
      </c>
      <c r="I497" s="338">
        <f t="shared" si="310"/>
        <v>0.19568529409036275</v>
      </c>
      <c r="J497" s="340">
        <f t="shared" si="291"/>
        <v>1</v>
      </c>
      <c r="K497" s="338">
        <f t="shared" si="311"/>
        <v>1</v>
      </c>
      <c r="L497" s="339">
        <f t="shared" si="312"/>
        <v>0</v>
      </c>
      <c r="M497" s="731" t="str">
        <f t="shared" si="292"/>
        <v>0.823061990400001+0.854513257614171i</v>
      </c>
      <c r="N497" s="338">
        <f t="shared" si="313"/>
        <v>1.1864332882550093</v>
      </c>
      <c r="O497" s="339">
        <f t="shared" si="314"/>
        <v>0.80414401882118047</v>
      </c>
      <c r="P497" s="732" t="str">
        <f t="shared" si="306"/>
        <v>-0.0219942702779987-0.0330109400917361i</v>
      </c>
      <c r="Q497" s="337">
        <f t="shared" si="315"/>
        <v>3.9666989938762012E-2</v>
      </c>
      <c r="R497" s="339">
        <f t="shared" si="316"/>
        <v>-2.1585257589205362</v>
      </c>
      <c r="S497" s="731" t="str">
        <f t="shared" si="293"/>
        <v>6000</v>
      </c>
      <c r="T497" s="337" t="str">
        <f t="shared" si="294"/>
        <v>1+400408.298743221i</v>
      </c>
      <c r="U497" s="346">
        <f t="shared" si="317"/>
        <v>400408.29874446971</v>
      </c>
      <c r="V497" s="347">
        <f t="shared" si="318"/>
        <v>1.5707938293441617</v>
      </c>
      <c r="W497" s="340" t="str">
        <f t="shared" si="295"/>
        <v>1+3964.43860141803i</v>
      </c>
      <c r="X497" s="337">
        <f t="shared" si="319"/>
        <v>3964.4387275392901</v>
      </c>
      <c r="Y497" s="339">
        <f t="shared" si="320"/>
        <v>1.5705440842760106</v>
      </c>
      <c r="Z497" s="337" t="str">
        <f t="shared" si="296"/>
        <v>1+39.9355983218726i</v>
      </c>
      <c r="AA497" s="346">
        <f t="shared" si="321"/>
        <v>39.948116517877949</v>
      </c>
      <c r="AB497" s="347">
        <f t="shared" si="322"/>
        <v>1.5457612424391025</v>
      </c>
      <c r="AC497" s="732" t="str">
        <f t="shared" si="323"/>
        <v>0.036853945093441-1.48662068882797i</v>
      </c>
      <c r="AD497" s="337">
        <f t="shared" si="324"/>
        <v>1.4870774309767123</v>
      </c>
      <c r="AE497" s="339">
        <f t="shared" si="325"/>
        <v>-1.5460109875072536</v>
      </c>
      <c r="AF497" s="736" t="str">
        <f t="shared" si="297"/>
        <v>-0.0498853221272312+0.0314805538573233i</v>
      </c>
      <c r="AG497" s="337">
        <f t="shared" si="326"/>
        <v>-24.584743429492313</v>
      </c>
      <c r="AH497" s="730">
        <f t="shared" si="327"/>
        <v>147.74567937856193</v>
      </c>
      <c r="AI497" s="360">
        <f t="shared" si="298"/>
        <v>-32.254320621438069</v>
      </c>
      <c r="AL497" s="337">
        <f t="shared" si="299"/>
        <v>3.4466716497990211</v>
      </c>
      <c r="AM497" s="730">
        <f t="shared" si="300"/>
        <v>-88.579904665018276</v>
      </c>
      <c r="AN497" s="351"/>
      <c r="AO497" s="337">
        <f t="shared" si="301"/>
        <v>25.497707405750809</v>
      </c>
      <c r="AP497" s="730">
        <f t="shared" si="302"/>
        <v>-123.67441595641968</v>
      </c>
      <c r="AS497" s="351"/>
      <c r="AT497" s="351"/>
      <c r="AV497" s="405">
        <f t="shared" si="303"/>
        <v>0</v>
      </c>
      <c r="AW497" s="405">
        <f t="shared" si="328"/>
        <v>0</v>
      </c>
      <c r="AX497" s="405">
        <f t="shared" si="304"/>
        <v>0</v>
      </c>
      <c r="AY497" s="405">
        <f t="shared" si="305"/>
        <v>0</v>
      </c>
    </row>
    <row r="498" spans="2:51" ht="13.5" thickBot="1" x14ac:dyDescent="0.25">
      <c r="B498" s="345">
        <v>63463.25</v>
      </c>
      <c r="C498" s="728" t="str">
        <f t="shared" si="288"/>
        <v>2.2271548443541</v>
      </c>
      <c r="D498" s="728" t="str">
        <f t="shared" si="289"/>
        <v>1+48.5147487934136i</v>
      </c>
      <c r="E498" s="337">
        <f t="shared" si="307"/>
        <v>48.525053843226459</v>
      </c>
      <c r="F498" s="338">
        <f t="shared" si="308"/>
        <v>1.5501869566793707</v>
      </c>
      <c r="G498" s="338" t="str">
        <f t="shared" si="290"/>
        <v>1+0.199375679972933i</v>
      </c>
      <c r="H498" s="337">
        <f t="shared" si="309"/>
        <v>1.0196816472628452</v>
      </c>
      <c r="I498" s="338">
        <f t="shared" si="310"/>
        <v>0.19679518012115824</v>
      </c>
      <c r="J498" s="340">
        <f t="shared" si="291"/>
        <v>1</v>
      </c>
      <c r="K498" s="338">
        <f t="shared" si="311"/>
        <v>1</v>
      </c>
      <c r="L498" s="339">
        <f t="shared" si="312"/>
        <v>0</v>
      </c>
      <c r="M498" s="731" t="str">
        <f t="shared" si="292"/>
        <v>0.820996262197222+0.859486948400573i</v>
      </c>
      <c r="N498" s="338">
        <f t="shared" si="313"/>
        <v>1.1885927296651024</v>
      </c>
      <c r="O498" s="339">
        <f t="shared" si="314"/>
        <v>0.80829869409795729</v>
      </c>
      <c r="P498" s="732" t="str">
        <f t="shared" si="306"/>
        <v>-0.0219357266678591-0.0326983385456378i</v>
      </c>
      <c r="Q498" s="337">
        <f t="shared" si="315"/>
        <v>3.9374578703678435E-2</v>
      </c>
      <c r="R498" s="339">
        <f t="shared" si="316"/>
        <v>-2.1616904706561693</v>
      </c>
      <c r="S498" s="731" t="str">
        <f t="shared" si="293"/>
        <v>6000</v>
      </c>
      <c r="T498" s="337" t="str">
        <f t="shared" si="294"/>
        <v>1+402738.873545324i</v>
      </c>
      <c r="U498" s="346">
        <f t="shared" si="317"/>
        <v>402738.87354656553</v>
      </c>
      <c r="V498" s="347">
        <f t="shared" si="318"/>
        <v>1.5707938437964435</v>
      </c>
      <c r="W498" s="340" t="str">
        <f t="shared" si="295"/>
        <v>1+3987.51359945865i</v>
      </c>
      <c r="X498" s="337">
        <f t="shared" si="319"/>
        <v>3987.51372485007</v>
      </c>
      <c r="Y498" s="339">
        <f t="shared" si="320"/>
        <v>1.5705455439563951</v>
      </c>
      <c r="Z498" s="337" t="str">
        <f t="shared" si="296"/>
        <v>1+40.1680433022788i</v>
      </c>
      <c r="AA498" s="346">
        <f t="shared" si="321"/>
        <v>40.18048908032037</v>
      </c>
      <c r="AB498" s="347">
        <f t="shared" si="322"/>
        <v>1.5459060558046831</v>
      </c>
      <c r="AC498" s="732" t="str">
        <f t="shared" si="323"/>
        <v>0.0364289088352285-1.4780284734079i</v>
      </c>
      <c r="AD498" s="337">
        <f t="shared" si="324"/>
        <v>1.4784773361818613</v>
      </c>
      <c r="AE498" s="339">
        <f t="shared" si="325"/>
        <v>-1.5461543556447317</v>
      </c>
      <c r="AF498" s="736" t="str">
        <f t="shared" si="297"/>
        <v>-0.0491281699906017+0.0312304638060463i</v>
      </c>
      <c r="AG498" s="337">
        <f t="shared" si="326"/>
        <v>-24.699388169137734</v>
      </c>
      <c r="AH498" s="730">
        <f t="shared" si="327"/>
        <v>147.55614036354058</v>
      </c>
      <c r="AI498" s="360">
        <f t="shared" si="298"/>
        <v>-32.443859636459422</v>
      </c>
      <c r="AL498" s="337">
        <f t="shared" si="299"/>
        <v>3.3962934308565695</v>
      </c>
      <c r="AM498" s="730">
        <f t="shared" si="300"/>
        <v>-88.588119054212413</v>
      </c>
      <c r="AN498" s="351"/>
      <c r="AO498" s="337">
        <f t="shared" si="301"/>
        <v>25.433440885047848</v>
      </c>
      <c r="AP498" s="730">
        <f t="shared" si="302"/>
        <v>-123.85574058224699</v>
      </c>
      <c r="AS498" s="351"/>
      <c r="AT498" s="351"/>
      <c r="AV498" s="405">
        <f t="shared" si="303"/>
        <v>0</v>
      </c>
      <c r="AW498" s="405">
        <f t="shared" si="328"/>
        <v>0</v>
      </c>
      <c r="AX498" s="405">
        <f t="shared" si="304"/>
        <v>0</v>
      </c>
      <c r="AY498" s="405">
        <f t="shared" si="305"/>
        <v>0</v>
      </c>
    </row>
    <row r="499" spans="2:51" ht="13.5" thickBot="1" x14ac:dyDescent="0.25">
      <c r="B499" s="345">
        <v>63830.5</v>
      </c>
      <c r="C499" s="728" t="str">
        <f t="shared" si="288"/>
        <v>2.2271548443541</v>
      </c>
      <c r="D499" s="728" t="str">
        <f t="shared" si="289"/>
        <v>1+48.7954946029078i</v>
      </c>
      <c r="E499" s="337">
        <f t="shared" si="307"/>
        <v>48.805740374902669</v>
      </c>
      <c r="F499" s="338">
        <f t="shared" si="308"/>
        <v>1.5503054997990449</v>
      </c>
      <c r="G499" s="338" t="str">
        <f t="shared" si="290"/>
        <v>1+0.200529429874963i</v>
      </c>
      <c r="H499" s="337">
        <f t="shared" si="309"/>
        <v>1.0199078645867858</v>
      </c>
      <c r="I499" s="338">
        <f t="shared" si="310"/>
        <v>0.19790457516877996</v>
      </c>
      <c r="J499" s="340">
        <f t="shared" si="291"/>
        <v>1</v>
      </c>
      <c r="K499" s="338">
        <f t="shared" si="311"/>
        <v>1</v>
      </c>
      <c r="L499" s="339">
        <f t="shared" si="312"/>
        <v>0</v>
      </c>
      <c r="M499" s="731" t="str">
        <f t="shared" si="292"/>
        <v>0.818918545322221+0.864460639186975i</v>
      </c>
      <c r="N499" s="338">
        <f t="shared" si="313"/>
        <v>1.1907643682006175</v>
      </c>
      <c r="O499" s="339">
        <f t="shared" si="314"/>
        <v>0.81244553819175602</v>
      </c>
      <c r="P499" s="732" t="str">
        <f t="shared" si="306"/>
        <v>-0.021876956157589-0.0323893142934057i</v>
      </c>
      <c r="Q499" s="337">
        <f t="shared" si="315"/>
        <v>3.908540509087869E-2</v>
      </c>
      <c r="R499" s="339">
        <f t="shared" si="316"/>
        <v>-2.1648464628220205</v>
      </c>
      <c r="S499" s="731" t="str">
        <f t="shared" si="293"/>
        <v>6000</v>
      </c>
      <c r="T499" s="337" t="str">
        <f t="shared" si="294"/>
        <v>1+405069.448347426i</v>
      </c>
      <c r="U499" s="346">
        <f t="shared" si="317"/>
        <v>405069.44834866043</v>
      </c>
      <c r="V499" s="347">
        <f t="shared" si="318"/>
        <v>1.5707938580824226</v>
      </c>
      <c r="W499" s="340" t="str">
        <f t="shared" si="295"/>
        <v>1+4010.58859749927i</v>
      </c>
      <c r="X499" s="337">
        <f t="shared" si="319"/>
        <v>4010.5887221692478</v>
      </c>
      <c r="Y499" s="339">
        <f t="shared" si="320"/>
        <v>1.5705469868401827</v>
      </c>
      <c r="Z499" s="337" t="str">
        <f t="shared" si="296"/>
        <v>1+40.400488282685i</v>
      </c>
      <c r="AA499" s="346">
        <f t="shared" si="321"/>
        <v>40.412862475694148</v>
      </c>
      <c r="AB499" s="347">
        <f t="shared" si="322"/>
        <v>1.5460492038235736</v>
      </c>
      <c r="AC499" s="732" t="str">
        <f t="shared" si="323"/>
        <v>0.0360111818248698-1.46953494801905i</v>
      </c>
      <c r="AD499" s="337">
        <f t="shared" si="324"/>
        <v>1.4699761115969796</v>
      </c>
      <c r="AE499" s="339">
        <f t="shared" si="325"/>
        <v>-1.5462960750658137</v>
      </c>
      <c r="AF499" s="736" t="str">
        <f t="shared" si="297"/>
        <v>-0.0483850443424983+0.0309825741436549i</v>
      </c>
      <c r="AG499" s="337">
        <f t="shared" si="326"/>
        <v>-24.813502108171704</v>
      </c>
      <c r="AH499" s="730">
        <f t="shared" si="327"/>
        <v>147.36719540755792</v>
      </c>
      <c r="AI499" s="360">
        <f t="shared" si="298"/>
        <v>-32.632804592442085</v>
      </c>
      <c r="AL499" s="337">
        <f t="shared" si="299"/>
        <v>3.346205542774257</v>
      </c>
      <c r="AM499" s="730">
        <f t="shared" si="300"/>
        <v>-88.596238978915451</v>
      </c>
      <c r="AN499" s="351"/>
      <c r="AO499" s="337">
        <f t="shared" si="301"/>
        <v>25.369414834096172</v>
      </c>
      <c r="AP499" s="730">
        <f t="shared" si="302"/>
        <v>-124.03656561352676</v>
      </c>
      <c r="AS499" s="351"/>
      <c r="AT499" s="351"/>
      <c r="AV499" s="405">
        <f t="shared" si="303"/>
        <v>0</v>
      </c>
      <c r="AW499" s="405">
        <f t="shared" si="328"/>
        <v>0</v>
      </c>
      <c r="AX499" s="405">
        <f t="shared" si="304"/>
        <v>0</v>
      </c>
      <c r="AY499" s="405">
        <f t="shared" si="305"/>
        <v>0</v>
      </c>
    </row>
    <row r="500" spans="2:51" ht="13.5" thickBot="1" x14ac:dyDescent="0.25">
      <c r="B500" s="345">
        <v>64197.75</v>
      </c>
      <c r="C500" s="728" t="str">
        <f t="shared" si="288"/>
        <v>2.2271548443541</v>
      </c>
      <c r="D500" s="728" t="str">
        <f t="shared" si="289"/>
        <v>1+49.0762404124019i</v>
      </c>
      <c r="E500" s="337">
        <f t="shared" si="307"/>
        <v>49.086427584576469</v>
      </c>
      <c r="F500" s="338">
        <f t="shared" si="308"/>
        <v>1.5504226872080227</v>
      </c>
      <c r="G500" s="338" t="str">
        <f t="shared" si="290"/>
        <v>1+0.201683179776994i</v>
      </c>
      <c r="H500" s="337">
        <f t="shared" si="309"/>
        <v>1.0201353366122357</v>
      </c>
      <c r="I500" s="338">
        <f t="shared" si="310"/>
        <v>0.19901347682998063</v>
      </c>
      <c r="J500" s="340">
        <f t="shared" si="291"/>
        <v>1</v>
      </c>
      <c r="K500" s="338">
        <f t="shared" si="311"/>
        <v>1</v>
      </c>
      <c r="L500" s="339">
        <f t="shared" si="312"/>
        <v>0</v>
      </c>
      <c r="M500" s="731" t="str">
        <f t="shared" si="292"/>
        <v>0.816828839775+0.869434329973375i</v>
      </c>
      <c r="N500" s="338">
        <f t="shared" si="313"/>
        <v>1.1929481998915226</v>
      </c>
      <c r="O500" s="339">
        <f t="shared" si="314"/>
        <v>0.81658453780936191</v>
      </c>
      <c r="P500" s="732" t="str">
        <f t="shared" si="306"/>
        <v>-0.0218179667649215-0.032083812573928i</v>
      </c>
      <c r="Q500" s="337">
        <f t="shared" si="315"/>
        <v>3.8799416271822429E-2</v>
      </c>
      <c r="R500" s="339">
        <f t="shared" si="316"/>
        <v>-2.1679937481874028</v>
      </c>
      <c r="S500" s="731" t="str">
        <f t="shared" si="293"/>
        <v>6000</v>
      </c>
      <c r="T500" s="337" t="str">
        <f t="shared" si="294"/>
        <v>1+407400.023149528i</v>
      </c>
      <c r="U500" s="346">
        <f t="shared" si="317"/>
        <v>407400.02315075533</v>
      </c>
      <c r="V500" s="347">
        <f t="shared" si="318"/>
        <v>1.5707938722049526</v>
      </c>
      <c r="W500" s="340" t="str">
        <f t="shared" si="295"/>
        <v>1+4033.66359553988i</v>
      </c>
      <c r="X500" s="337">
        <f t="shared" si="319"/>
        <v>4033.6637194966702</v>
      </c>
      <c r="Y500" s="339">
        <f t="shared" si="320"/>
        <v>1.5705484132156338</v>
      </c>
      <c r="Z500" s="337" t="str">
        <f t="shared" si="296"/>
        <v>1+40.6329332630911i</v>
      </c>
      <c r="AA500" s="346">
        <f t="shared" si="321"/>
        <v>40.645236689713279</v>
      </c>
      <c r="AB500" s="347">
        <f t="shared" si="322"/>
        <v>1.5461907150528811</v>
      </c>
      <c r="AC500" s="732" t="str">
        <f t="shared" si="323"/>
        <v>0.0356005974576301-1.46113842306145i</v>
      </c>
      <c r="AD500" s="337">
        <f t="shared" si="324"/>
        <v>1.4615720625018256</v>
      </c>
      <c r="AE500" s="339">
        <f t="shared" si="325"/>
        <v>-1.5464361740422001</v>
      </c>
      <c r="AF500" s="736" t="str">
        <f t="shared" si="297"/>
        <v>-0.0476556239622102+0.0307368666569541i</v>
      </c>
      <c r="AG500" s="337">
        <f t="shared" si="326"/>
        <v>-24.927091503937714</v>
      </c>
      <c r="AH500" s="730">
        <f t="shared" si="327"/>
        <v>147.17884215913713</v>
      </c>
      <c r="AI500" s="360">
        <f t="shared" si="298"/>
        <v>-32.821157840862867</v>
      </c>
      <c r="AL500" s="337">
        <f t="shared" si="299"/>
        <v>3.2964046603809405</v>
      </c>
      <c r="AM500" s="730">
        <f t="shared" si="300"/>
        <v>-88.604266058976506</v>
      </c>
      <c r="AN500" s="351"/>
      <c r="AO500" s="337">
        <f t="shared" si="301"/>
        <v>25.305626320723459</v>
      </c>
      <c r="AP500" s="730">
        <f t="shared" si="302"/>
        <v>-124.21689178188628</v>
      </c>
      <c r="AS500" s="351"/>
      <c r="AT500" s="351"/>
      <c r="AV500" s="405">
        <f t="shared" si="303"/>
        <v>0</v>
      </c>
      <c r="AW500" s="405">
        <f t="shared" si="328"/>
        <v>0</v>
      </c>
      <c r="AX500" s="405">
        <f t="shared" si="304"/>
        <v>0</v>
      </c>
      <c r="AY500" s="405">
        <f t="shared" si="305"/>
        <v>0</v>
      </c>
    </row>
    <row r="501" spans="2:51" ht="13.5" thickBot="1" x14ac:dyDescent="0.25">
      <c r="B501" s="345">
        <v>64565</v>
      </c>
      <c r="C501" s="728" t="str">
        <f t="shared" si="288"/>
        <v>2.2271548443541</v>
      </c>
      <c r="D501" s="728" t="str">
        <f t="shared" si="289"/>
        <v>1+49.3569862218961i</v>
      </c>
      <c r="E501" s="337">
        <f t="shared" si="307"/>
        <v>49.367115460683358</v>
      </c>
      <c r="F501" s="338">
        <f t="shared" si="308"/>
        <v>1.5505385420276556</v>
      </c>
      <c r="G501" s="338" t="str">
        <f t="shared" si="290"/>
        <v>1+0.202836929679025i</v>
      </c>
      <c r="H501" s="337">
        <f t="shared" si="309"/>
        <v>1.0203640625000538</v>
      </c>
      <c r="I501" s="338">
        <f t="shared" si="310"/>
        <v>0.20012188270849976</v>
      </c>
      <c r="J501" s="340">
        <f t="shared" si="291"/>
        <v>1</v>
      </c>
      <c r="K501" s="338">
        <f t="shared" si="311"/>
        <v>1</v>
      </c>
      <c r="L501" s="339">
        <f t="shared" si="312"/>
        <v>0</v>
      </c>
      <c r="M501" s="731" t="str">
        <f t="shared" si="292"/>
        <v>0.814727145555555+0.874408020759778i</v>
      </c>
      <c r="N501" s="338">
        <f t="shared" si="313"/>
        <v>1.1951442207843097</v>
      </c>
      <c r="O501" s="339">
        <f t="shared" si="314"/>
        <v>0.82071568000297279</v>
      </c>
      <c r="P501" s="732" t="str">
        <f t="shared" si="306"/>
        <v>-0.0217587663510178-0.0317817798074371i</v>
      </c>
      <c r="Q501" s="337">
        <f t="shared" si="315"/>
        <v>3.8516560605103375E-2</v>
      </c>
      <c r="R501" s="339">
        <f t="shared" si="316"/>
        <v>-2.1711323393221273</v>
      </c>
      <c r="S501" s="731" t="str">
        <f t="shared" si="293"/>
        <v>6000</v>
      </c>
      <c r="T501" s="337" t="str">
        <f t="shared" si="294"/>
        <v>1+409730.597951631i</v>
      </c>
      <c r="U501" s="346">
        <f t="shared" si="317"/>
        <v>409730.59795285127</v>
      </c>
      <c r="V501" s="347">
        <f t="shared" si="318"/>
        <v>1.5707938861668229</v>
      </c>
      <c r="W501" s="340" t="str">
        <f t="shared" si="295"/>
        <v>1+4056.7385935805i</v>
      </c>
      <c r="X501" s="337">
        <f t="shared" si="319"/>
        <v>4056.7387168322157</v>
      </c>
      <c r="Y501" s="339">
        <f t="shared" si="320"/>
        <v>1.5705498233644493</v>
      </c>
      <c r="Z501" s="337" t="str">
        <f t="shared" si="296"/>
        <v>1+40.8653782434973i</v>
      </c>
      <c r="AA501" s="346">
        <f t="shared" si="321"/>
        <v>40.8776117084169</v>
      </c>
      <c r="AB501" s="347">
        <f t="shared" si="322"/>
        <v>1.5463306174006293</v>
      </c>
      <c r="AC501" s="732" t="str">
        <f t="shared" si="323"/>
        <v>0.0351969938478473-1.45283724726187i</v>
      </c>
      <c r="AD501" s="337">
        <f t="shared" si="324"/>
        <v>1.4532635326764973</v>
      </c>
      <c r="AE501" s="339">
        <f t="shared" si="325"/>
        <v>-1.5465746802030029</v>
      </c>
      <c r="AF501" s="736" t="str">
        <f t="shared" si="297"/>
        <v>-0.0469395966539133+0.0304933231008709i</v>
      </c>
      <c r="AG501" s="337">
        <f t="shared" si="326"/>
        <v>-25.040162500785193</v>
      </c>
      <c r="AH501" s="730">
        <f t="shared" si="327"/>
        <v>146.99107831504969</v>
      </c>
      <c r="AI501" s="360">
        <f t="shared" si="298"/>
        <v>-33.008921684950309</v>
      </c>
      <c r="AL501" s="337">
        <f t="shared" si="299"/>
        <v>3.24688751527093</v>
      </c>
      <c r="AM501" s="730">
        <f t="shared" si="300"/>
        <v>-88.612201877427054</v>
      </c>
      <c r="AN501" s="351"/>
      <c r="AO501" s="337">
        <f t="shared" si="301"/>
        <v>25.242072468985999</v>
      </c>
      <c r="AP501" s="730">
        <f t="shared" si="302"/>
        <v>-124.39671980752327</v>
      </c>
      <c r="AS501" s="351"/>
      <c r="AT501" s="351"/>
      <c r="AV501" s="405">
        <f t="shared" si="303"/>
        <v>0</v>
      </c>
      <c r="AW501" s="405">
        <f t="shared" si="328"/>
        <v>0</v>
      </c>
      <c r="AX501" s="405">
        <f t="shared" si="304"/>
        <v>0</v>
      </c>
      <c r="AY501" s="405">
        <f t="shared" si="305"/>
        <v>0</v>
      </c>
    </row>
    <row r="502" spans="2:51" ht="13.5" thickBot="1" x14ac:dyDescent="0.25">
      <c r="B502" s="345">
        <v>64941</v>
      </c>
      <c r="C502" s="728" t="str">
        <f t="shared" si="288"/>
        <v>2.2271548443541</v>
      </c>
      <c r="D502" s="728" t="str">
        <f t="shared" si="289"/>
        <v>1+49.6444210057485i</v>
      </c>
      <c r="E502" s="337">
        <f t="shared" si="307"/>
        <v>49.654491609480836</v>
      </c>
      <c r="F502" s="338">
        <f t="shared" si="308"/>
        <v>1.5506558001761377</v>
      </c>
      <c r="G502" s="338" t="str">
        <f t="shared" si="290"/>
        <v>1+0.204018168516774i</v>
      </c>
      <c r="H502" s="337">
        <f t="shared" si="309"/>
        <v>1.0205995360987281</v>
      </c>
      <c r="I502" s="338">
        <f t="shared" si="310"/>
        <v>0.20125618103128984</v>
      </c>
      <c r="J502" s="340">
        <f t="shared" si="291"/>
        <v>1</v>
      </c>
      <c r="K502" s="338">
        <f t="shared" si="311"/>
        <v>1</v>
      </c>
      <c r="L502" s="339">
        <f t="shared" si="312"/>
        <v>0</v>
      </c>
      <c r="M502" s="731" t="str">
        <f t="shared" si="292"/>
        <v>0.8125629564+0.879500213368863i</v>
      </c>
      <c r="N502" s="338">
        <f t="shared" si="313"/>
        <v>1.1974051876576213</v>
      </c>
      <c r="O502" s="339">
        <f t="shared" si="314"/>
        <v>0.82493709605480758</v>
      </c>
      <c r="P502" s="732" t="str">
        <f t="shared" si="306"/>
        <v>-0.0216979448700285-0.0314760900572175i</v>
      </c>
      <c r="Q502" s="337">
        <f t="shared" si="315"/>
        <v>3.8230158996175559E-2</v>
      </c>
      <c r="R502" s="339">
        <f t="shared" si="316"/>
        <v>-2.1743367151996558</v>
      </c>
      <c r="S502" s="731" t="str">
        <f t="shared" si="293"/>
        <v>6000</v>
      </c>
      <c r="T502" s="337" t="str">
        <f t="shared" si="294"/>
        <v>1+412116.700403885i</v>
      </c>
      <c r="U502" s="346">
        <f t="shared" si="317"/>
        <v>412116.70040509821</v>
      </c>
      <c r="V502" s="347">
        <f t="shared" si="318"/>
        <v>1.5707939002977442</v>
      </c>
      <c r="W502" s="340" t="str">
        <f t="shared" si="295"/>
        <v>1+4080.36337033549i</v>
      </c>
      <c r="X502" s="337">
        <f t="shared" si="319"/>
        <v>4080.3634928735942</v>
      </c>
      <c r="Y502" s="339">
        <f t="shared" si="320"/>
        <v>1.5705512505874075</v>
      </c>
      <c r="Z502" s="337" t="str">
        <f t="shared" si="296"/>
        <v>1+41.1033613956626i</v>
      </c>
      <c r="AA502" s="346">
        <f t="shared" si="321"/>
        <v>41.115524051414532</v>
      </c>
      <c r="AB502" s="347">
        <f t="shared" si="322"/>
        <v>1.5464722146672789</v>
      </c>
      <c r="AC502" s="732" t="str">
        <f t="shared" si="323"/>
        <v>0.0347908420478059-1.4444353885192i</v>
      </c>
      <c r="AD502" s="337">
        <f t="shared" si="324"/>
        <v>1.4448543159422711</v>
      </c>
      <c r="AE502" s="339">
        <f t="shared" si="325"/>
        <v>-1.5467148643776156</v>
      </c>
      <c r="AF502" s="736" t="str">
        <f t="shared" si="297"/>
        <v>-0.0462200681435974+0.0302461997509446i</v>
      </c>
      <c r="AG502" s="337">
        <f t="shared" si="326"/>
        <v>-25.155396724249741</v>
      </c>
      <c r="AH502" s="730">
        <f t="shared" si="327"/>
        <v>146.79944913973398</v>
      </c>
      <c r="AI502" s="360">
        <f t="shared" si="298"/>
        <v>-33.20055086026602</v>
      </c>
      <c r="AL502" s="337">
        <f t="shared" si="299"/>
        <v>3.1964811913738438</v>
      </c>
      <c r="AM502" s="730">
        <f t="shared" si="300"/>
        <v>-88.620233838986891</v>
      </c>
      <c r="AN502" s="351"/>
      <c r="AO502" s="337">
        <f t="shared" si="301"/>
        <v>25.177244569418558</v>
      </c>
      <c r="AP502" s="730">
        <f t="shared" si="302"/>
        <v>-124.58031702127923</v>
      </c>
      <c r="AS502" s="351"/>
      <c r="AT502" s="351"/>
      <c r="AV502" s="405">
        <f t="shared" si="303"/>
        <v>0</v>
      </c>
      <c r="AW502" s="405">
        <f t="shared" si="328"/>
        <v>0</v>
      </c>
      <c r="AX502" s="405">
        <f t="shared" si="304"/>
        <v>0</v>
      </c>
      <c r="AY502" s="405">
        <f t="shared" si="305"/>
        <v>0</v>
      </c>
    </row>
    <row r="503" spans="2:51" ht="13.5" thickBot="1" x14ac:dyDescent="0.25">
      <c r="B503" s="345">
        <v>65317</v>
      </c>
      <c r="C503" s="728" t="str">
        <f t="shared" si="288"/>
        <v>2.2271548443541</v>
      </c>
      <c r="D503" s="728" t="str">
        <f t="shared" si="289"/>
        <v>1+49.931855789601i</v>
      </c>
      <c r="E503" s="337">
        <f t="shared" si="307"/>
        <v>49.941868433144457</v>
      </c>
      <c r="F503" s="338">
        <f t="shared" si="308"/>
        <v>1.5507717088663033</v>
      </c>
      <c r="G503" s="338" t="str">
        <f t="shared" si="290"/>
        <v>1+0.205199407354524i</v>
      </c>
      <c r="H503" s="337">
        <f t="shared" si="309"/>
        <v>1.0208363222273431</v>
      </c>
      <c r="I503" s="338">
        <f t="shared" si="310"/>
        <v>0.20238995460429043</v>
      </c>
      <c r="J503" s="340">
        <f t="shared" si="291"/>
        <v>1</v>
      </c>
      <c r="K503" s="338">
        <f t="shared" si="311"/>
        <v>1</v>
      </c>
      <c r="L503" s="339">
        <f t="shared" si="312"/>
        <v>0</v>
      </c>
      <c r="M503" s="731" t="str">
        <f t="shared" si="292"/>
        <v>0.810386200488889+0.884592405977951i</v>
      </c>
      <c r="N503" s="338">
        <f t="shared" si="313"/>
        <v>1.1996789231526399</v>
      </c>
      <c r="O503" s="339">
        <f t="shared" si="314"/>
        <v>0.82915024943697135</v>
      </c>
      <c r="P503" s="732" t="str">
        <f t="shared" si="306"/>
        <v>-0.0216369183838109-0.0311739265155415i</v>
      </c>
      <c r="Q503" s="337">
        <f t="shared" si="315"/>
        <v>3.7946935733258823E-2</v>
      </c>
      <c r="R503" s="339">
        <f t="shared" si="316"/>
        <v>-2.1775320036989849</v>
      </c>
      <c r="S503" s="731" t="str">
        <f t="shared" si="293"/>
        <v>6000</v>
      </c>
      <c r="T503" s="337" t="str">
        <f t="shared" si="294"/>
        <v>1+414502.80285614i</v>
      </c>
      <c r="U503" s="346">
        <f t="shared" si="317"/>
        <v>414502.80285734625</v>
      </c>
      <c r="V503" s="347">
        <f t="shared" si="318"/>
        <v>1.570793914265975</v>
      </c>
      <c r="W503" s="340" t="str">
        <f t="shared" si="295"/>
        <v>1+4103.98814709049i</v>
      </c>
      <c r="X503" s="337">
        <f t="shared" si="319"/>
        <v>4103.9882689231999</v>
      </c>
      <c r="Y503" s="339">
        <f t="shared" si="320"/>
        <v>1.5705526613786311</v>
      </c>
      <c r="Z503" s="337" t="str">
        <f t="shared" si="296"/>
        <v>1+41.341344547828i</v>
      </c>
      <c r="AA503" s="346">
        <f t="shared" si="321"/>
        <v>41.353437209284408</v>
      </c>
      <c r="AB503" s="347">
        <f t="shared" si="322"/>
        <v>1.5466121826717607</v>
      </c>
      <c r="AC503" s="732" t="str">
        <f t="shared" si="323"/>
        <v>0.0343916786596439-1.4361300920266i</v>
      </c>
      <c r="AD503" s="337">
        <f t="shared" si="324"/>
        <v>1.43654182980704</v>
      </c>
      <c r="AE503" s="339">
        <f t="shared" si="325"/>
        <v>-1.5468534355591044</v>
      </c>
      <c r="AF503" s="736" t="str">
        <f t="shared" si="297"/>
        <v>-0.045513943899836+0.0300013059264325i</v>
      </c>
      <c r="AG503" s="337">
        <f t="shared" si="326"/>
        <v>-25.2701002349745</v>
      </c>
      <c r="AH503" s="730">
        <f t="shared" si="327"/>
        <v>146.60843305053425</v>
      </c>
      <c r="AI503" s="360">
        <f t="shared" si="298"/>
        <v>-33.391566949465755</v>
      </c>
      <c r="AL503" s="337">
        <f t="shared" si="299"/>
        <v>3.1463655294954189</v>
      </c>
      <c r="AM503" s="730">
        <f t="shared" si="300"/>
        <v>-88.628173382848345</v>
      </c>
      <c r="AN503" s="351"/>
      <c r="AO503" s="337">
        <f t="shared" si="301"/>
        <v>25.112656720572204</v>
      </c>
      <c r="AP503" s="730">
        <f t="shared" si="302"/>
        <v>-124.76339356661742</v>
      </c>
      <c r="AS503" s="351"/>
      <c r="AT503" s="351"/>
      <c r="AV503" s="405">
        <f t="shared" si="303"/>
        <v>0</v>
      </c>
      <c r="AW503" s="405">
        <f t="shared" si="328"/>
        <v>0</v>
      </c>
      <c r="AX503" s="405">
        <f t="shared" si="304"/>
        <v>0</v>
      </c>
      <c r="AY503" s="405">
        <f t="shared" si="305"/>
        <v>0</v>
      </c>
    </row>
    <row r="504" spans="2:51" ht="13.5" thickBot="1" x14ac:dyDescent="0.25">
      <c r="B504" s="345">
        <v>65693</v>
      </c>
      <c r="C504" s="728" t="str">
        <f t="shared" si="288"/>
        <v>2.2271548443541</v>
      </c>
      <c r="D504" s="728" t="str">
        <f t="shared" si="289"/>
        <v>1+50.2192905734535i</v>
      </c>
      <c r="E504" s="337">
        <f t="shared" si="307"/>
        <v>50.229245920090769</v>
      </c>
      <c r="F504" s="338">
        <f t="shared" si="308"/>
        <v>1.5508862912570518</v>
      </c>
      <c r="G504" s="338" t="str">
        <f t="shared" si="290"/>
        <v>1+0.206380646192275i</v>
      </c>
      <c r="H504" s="337">
        <f t="shared" si="309"/>
        <v>1.0210744199727761</v>
      </c>
      <c r="I504" s="338">
        <f t="shared" si="310"/>
        <v>0.203523200878785</v>
      </c>
      <c r="J504" s="340">
        <f t="shared" si="291"/>
        <v>1</v>
      </c>
      <c r="K504" s="338">
        <f t="shared" si="311"/>
        <v>1</v>
      </c>
      <c r="L504" s="339">
        <f t="shared" si="312"/>
        <v>0</v>
      </c>
      <c r="M504" s="731" t="str">
        <f t="shared" si="292"/>
        <v>0.808196877822222+0.889684598587039i</v>
      </c>
      <c r="N504" s="338">
        <f t="shared" si="313"/>
        <v>1.2019654230819488</v>
      </c>
      <c r="O504" s="339">
        <f t="shared" si="314"/>
        <v>0.83335512736519901</v>
      </c>
      <c r="P504" s="732" t="str">
        <f t="shared" si="306"/>
        <v>-0.0215756948448443-0.030875235313904i</v>
      </c>
      <c r="Q504" s="337">
        <f t="shared" si="315"/>
        <v>3.7666839046126305E-2</v>
      </c>
      <c r="R504" s="339">
        <f t="shared" si="316"/>
        <v>-2.1807182177434656</v>
      </c>
      <c r="S504" s="731" t="str">
        <f t="shared" si="293"/>
        <v>6000</v>
      </c>
      <c r="T504" s="337" t="str">
        <f t="shared" si="294"/>
        <v>1+416888.905308395i</v>
      </c>
      <c r="U504" s="346">
        <f t="shared" si="317"/>
        <v>416888.90530959429</v>
      </c>
      <c r="V504" s="347">
        <f t="shared" si="318"/>
        <v>1.5707939280743088</v>
      </c>
      <c r="W504" s="340" t="str">
        <f t="shared" si="295"/>
        <v>1+4127.61292384549i</v>
      </c>
      <c r="X504" s="337">
        <f t="shared" si="319"/>
        <v>4127.613044980877</v>
      </c>
      <c r="Y504" s="339">
        <f t="shared" si="320"/>
        <v>1.5705540560202662</v>
      </c>
      <c r="Z504" s="337" t="str">
        <f t="shared" si="296"/>
        <v>1+41.5793276999934i</v>
      </c>
      <c r="AA504" s="346">
        <f t="shared" si="321"/>
        <v>41.5913511680426</v>
      </c>
      <c r="AB504" s="347">
        <f t="shared" si="322"/>
        <v>1.5467505493680245</v>
      </c>
      <c r="AC504" s="732" t="str">
        <f t="shared" si="323"/>
        <v>0.0339993443014297-1.42791970356819i</v>
      </c>
      <c r="AD504" s="337">
        <f t="shared" si="324"/>
        <v>1.4283244152681824</v>
      </c>
      <c r="AE504" s="339">
        <f t="shared" si="325"/>
        <v>-1.5469904214220671</v>
      </c>
      <c r="AF504" s="736" t="str">
        <f t="shared" si="297"/>
        <v>-0.0448209163346004+0.0297586220313027i</v>
      </c>
      <c r="AG504" s="337">
        <f t="shared" si="326"/>
        <v>-25.384279275660042</v>
      </c>
      <c r="AH504" s="730">
        <f t="shared" si="327"/>
        <v>146.41802772135952</v>
      </c>
      <c r="AI504" s="360">
        <f t="shared" si="298"/>
        <v>-33.581972278640478</v>
      </c>
      <c r="AL504" s="337">
        <f t="shared" si="299"/>
        <v>3.0965371986523444</v>
      </c>
      <c r="AM504" s="730">
        <f t="shared" si="300"/>
        <v>-88.636022094649064</v>
      </c>
      <c r="AN504" s="351"/>
      <c r="AO504" s="337">
        <f t="shared" si="301"/>
        <v>25.048306010729746</v>
      </c>
      <c r="AP504" s="730">
        <f t="shared" si="302"/>
        <v>-124.94595018399133</v>
      </c>
      <c r="AS504" s="351"/>
      <c r="AT504" s="351"/>
      <c r="AV504" s="405">
        <f t="shared" si="303"/>
        <v>0</v>
      </c>
      <c r="AW504" s="405">
        <f t="shared" si="328"/>
        <v>0</v>
      </c>
      <c r="AX504" s="405">
        <f t="shared" si="304"/>
        <v>0</v>
      </c>
      <c r="AY504" s="405">
        <f t="shared" si="305"/>
        <v>0</v>
      </c>
    </row>
    <row r="505" spans="2:51" ht="13.5" thickBot="1" x14ac:dyDescent="0.25">
      <c r="B505" s="345">
        <v>66069</v>
      </c>
      <c r="C505" s="728" t="str">
        <f t="shared" si="288"/>
        <v>2.2271548443541</v>
      </c>
      <c r="D505" s="728" t="str">
        <f t="shared" si="289"/>
        <v>1+50.5067253573058i</v>
      </c>
      <c r="E505" s="337">
        <f t="shared" si="307"/>
        <v>50.516624058999795</v>
      </c>
      <c r="F505" s="338">
        <f t="shared" si="308"/>
        <v>1.5509995699804386</v>
      </c>
      <c r="G505" s="338" t="str">
        <f t="shared" si="290"/>
        <v>1+0.207561885030024i</v>
      </c>
      <c r="H505" s="337">
        <f t="shared" si="309"/>
        <v>1.021313828417699</v>
      </c>
      <c r="I505" s="338">
        <f t="shared" si="310"/>
        <v>0.20465591731384172</v>
      </c>
      <c r="J505" s="340">
        <f t="shared" si="291"/>
        <v>1</v>
      </c>
      <c r="K505" s="338">
        <f t="shared" si="311"/>
        <v>1</v>
      </c>
      <c r="L505" s="339">
        <f t="shared" si="312"/>
        <v>0</v>
      </c>
      <c r="M505" s="731" t="str">
        <f t="shared" si="292"/>
        <v>0.8059949884+0.894776791196124i</v>
      </c>
      <c r="N505" s="338">
        <f t="shared" si="313"/>
        <v>1.2042646832773718</v>
      </c>
      <c r="O505" s="339">
        <f t="shared" si="314"/>
        <v>0.83755171742517631</v>
      </c>
      <c r="P505" s="732" t="str">
        <f t="shared" si="306"/>
        <v>-0.0215142820506078-0.0305799637401201i</v>
      </c>
      <c r="Q505" s="337">
        <f t="shared" si="315"/>
        <v>3.7389818326653647E-2</v>
      </c>
      <c r="R505" s="339">
        <f t="shared" si="316"/>
        <v>-2.183895370091772</v>
      </c>
      <c r="S505" s="731" t="str">
        <f t="shared" si="293"/>
        <v>6000</v>
      </c>
      <c r="T505" s="337" t="str">
        <f t="shared" si="294"/>
        <v>1+419275.007760648i</v>
      </c>
      <c r="U505" s="346">
        <f t="shared" si="317"/>
        <v>419275.00776184053</v>
      </c>
      <c r="V505" s="347">
        <f t="shared" si="318"/>
        <v>1.5707939417254757</v>
      </c>
      <c r="W505" s="340" t="str">
        <f t="shared" si="295"/>
        <v>1+4151.23770060048i</v>
      </c>
      <c r="X505" s="337">
        <f t="shared" si="319"/>
        <v>4151.237821046484</v>
      </c>
      <c r="Y505" s="339">
        <f t="shared" si="320"/>
        <v>1.5705554347880351</v>
      </c>
      <c r="Z505" s="337" t="str">
        <f t="shared" si="296"/>
        <v>1+41.8173108521587i</v>
      </c>
      <c r="AA505" s="346">
        <f t="shared" si="321"/>
        <v>41.829265914023274</v>
      </c>
      <c r="AB505" s="347">
        <f t="shared" si="322"/>
        <v>1.5468873420742877</v>
      </c>
      <c r="AC505" s="732" t="str">
        <f t="shared" si="323"/>
        <v>0.0336136841083032-1.41980260647677i</v>
      </c>
      <c r="AD505" s="337">
        <f t="shared" si="324"/>
        <v>1.4202004510341355</v>
      </c>
      <c r="AE505" s="339">
        <f t="shared" si="325"/>
        <v>-1.5471258490117281</v>
      </c>
      <c r="AF505" s="736" t="str">
        <f t="shared" si="297"/>
        <v>-0.0441406865048537+0.0295181284907256i</v>
      </c>
      <c r="AG505" s="337">
        <f t="shared" si="326"/>
        <v>-25.497939975910647</v>
      </c>
      <c r="AH505" s="730">
        <f t="shared" si="327"/>
        <v>146.22823087161422</v>
      </c>
      <c r="AI505" s="360">
        <f t="shared" si="298"/>
        <v>-33.771769128385785</v>
      </c>
      <c r="AL505" s="337">
        <f t="shared" si="299"/>
        <v>3.0469929247618515</v>
      </c>
      <c r="AM505" s="730">
        <f t="shared" si="300"/>
        <v>-88.643781523966268</v>
      </c>
      <c r="AN505" s="351"/>
      <c r="AO505" s="337">
        <f t="shared" si="301"/>
        <v>24.984189584369648</v>
      </c>
      <c r="AP505" s="730">
        <f t="shared" si="302"/>
        <v>-125.12798760441946</v>
      </c>
      <c r="AS505" s="351"/>
      <c r="AT505" s="351"/>
      <c r="AV505" s="405">
        <f t="shared" si="303"/>
        <v>0</v>
      </c>
      <c r="AW505" s="405">
        <f t="shared" si="328"/>
        <v>0</v>
      </c>
      <c r="AX505" s="405">
        <f t="shared" si="304"/>
        <v>0</v>
      </c>
      <c r="AY505" s="405">
        <f t="shared" si="305"/>
        <v>0</v>
      </c>
    </row>
    <row r="506" spans="2:51" ht="13.5" thickBot="1" x14ac:dyDescent="0.25">
      <c r="B506" s="345">
        <v>66453.75</v>
      </c>
      <c r="C506" s="728" t="str">
        <f t="shared" si="288"/>
        <v>2.2271548443541</v>
      </c>
      <c r="D506" s="728" t="str">
        <f t="shared" si="289"/>
        <v>1+50.8008491155165i</v>
      </c>
      <c r="E506" s="337">
        <f t="shared" si="307"/>
        <v>50.810690517424327</v>
      </c>
      <c r="F506" s="338">
        <f t="shared" si="308"/>
        <v>1.5511141583897909</v>
      </c>
      <c r="G506" s="338" t="str">
        <f t="shared" si="290"/>
        <v>1+0.208770612803492i</v>
      </c>
      <c r="H506" s="337">
        <f t="shared" si="309"/>
        <v>1.0215601640482783</v>
      </c>
      <c r="I506" s="338">
        <f t="shared" si="310"/>
        <v>0.20581444238588187</v>
      </c>
      <c r="J506" s="340">
        <f t="shared" si="291"/>
        <v>1</v>
      </c>
      <c r="K506" s="338">
        <f t="shared" si="311"/>
        <v>1</v>
      </c>
      <c r="L506" s="339">
        <f t="shared" si="312"/>
        <v>0</v>
      </c>
      <c r="M506" s="731" t="str">
        <f t="shared" si="292"/>
        <v>0.803728849375001+0.899987485627895i</v>
      </c>
      <c r="N506" s="338">
        <f t="shared" si="313"/>
        <v>1.2066306550077714</v>
      </c>
      <c r="O506" s="339">
        <f t="shared" si="314"/>
        <v>0.8418373755117603</v>
      </c>
      <c r="P506" s="732" t="str">
        <f t="shared" si="306"/>
        <v>-0.0214512521652839-0.030281306931281i</v>
      </c>
      <c r="Q506" s="337">
        <f t="shared" si="315"/>
        <v>3.7109483544305003E-2</v>
      </c>
      <c r="R506" s="339">
        <f t="shared" si="316"/>
        <v>-2.1871370915156687</v>
      </c>
      <c r="S506" s="731" t="str">
        <f t="shared" si="293"/>
        <v>6000</v>
      </c>
      <c r="T506" s="337" t="str">
        <f t="shared" si="294"/>
        <v>1+421716.637863055i</v>
      </c>
      <c r="U506" s="346">
        <f t="shared" si="317"/>
        <v>421716.63786424068</v>
      </c>
      <c r="V506" s="347">
        <f t="shared" si="318"/>
        <v>1.5707939555344097</v>
      </c>
      <c r="W506" s="340" t="str">
        <f t="shared" si="295"/>
        <v>1+4175.41225606985i</v>
      </c>
      <c r="X506" s="337">
        <f t="shared" si="319"/>
        <v>4175.4123758185024</v>
      </c>
      <c r="Y506" s="339">
        <f t="shared" si="320"/>
        <v>1.5705568294903067</v>
      </c>
      <c r="Z506" s="337" t="str">
        <f t="shared" si="296"/>
        <v>1+42.0608321760831i</v>
      </c>
      <c r="AA506" s="346">
        <f t="shared" si="321"/>
        <v>42.072718040847178</v>
      </c>
      <c r="AB506" s="347">
        <f t="shared" si="322"/>
        <v>1.5470257166125716</v>
      </c>
      <c r="AC506" s="732" t="str">
        <f t="shared" si="323"/>
        <v>0.0332258010794297-1.41159153907906i</v>
      </c>
      <c r="AD506" s="337">
        <f t="shared" si="324"/>
        <v>1.4119825165549889</v>
      </c>
      <c r="AE506" s="339">
        <f t="shared" si="325"/>
        <v>-1.5472628426566748</v>
      </c>
      <c r="AF506" s="736" t="str">
        <f t="shared" si="297"/>
        <v>-0.0434575716938008+0.0292742853786422i</v>
      </c>
      <c r="AG506" s="337">
        <f t="shared" si="326"/>
        <v>-25.613715409825339</v>
      </c>
      <c r="AH506" s="730">
        <f t="shared" si="327"/>
        <v>146.03464475799231</v>
      </c>
      <c r="AI506" s="360">
        <f t="shared" si="298"/>
        <v>-33.965355242007689</v>
      </c>
      <c r="AL506" s="337">
        <f t="shared" si="299"/>
        <v>2.9965863845890479</v>
      </c>
      <c r="AM506" s="730">
        <f t="shared" si="300"/>
        <v>-88.651630681641819</v>
      </c>
      <c r="AN506" s="351"/>
      <c r="AO506" s="337">
        <f t="shared" si="301"/>
        <v>24.918820690627758</v>
      </c>
      <c r="AP506" s="730">
        <f t="shared" si="302"/>
        <v>-125.3137245603657</v>
      </c>
      <c r="AS506" s="351"/>
      <c r="AT506" s="351"/>
      <c r="AV506" s="405">
        <f t="shared" si="303"/>
        <v>0</v>
      </c>
      <c r="AW506" s="405">
        <f t="shared" si="328"/>
        <v>0</v>
      </c>
      <c r="AX506" s="405">
        <f t="shared" si="304"/>
        <v>0</v>
      </c>
      <c r="AY506" s="405">
        <f t="shared" si="305"/>
        <v>0</v>
      </c>
    </row>
    <row r="507" spans="2:51" ht="13.5" thickBot="1" x14ac:dyDescent="0.25">
      <c r="B507" s="345">
        <v>66838.5</v>
      </c>
      <c r="C507" s="728" t="str">
        <f t="shared" si="288"/>
        <v>2.2271548443541</v>
      </c>
      <c r="D507" s="728" t="str">
        <f t="shared" si="289"/>
        <v>1+51.0949728737273i</v>
      </c>
      <c r="E507" s="337">
        <f t="shared" si="307"/>
        <v>51.104757635340853</v>
      </c>
      <c r="F507" s="338">
        <f t="shared" si="308"/>
        <v>1.5512274280708211</v>
      </c>
      <c r="G507" s="338" t="str">
        <f t="shared" si="290"/>
        <v>1+0.209979340576961i</v>
      </c>
      <c r="H507" s="337">
        <f t="shared" si="309"/>
        <v>1.0218078701346625</v>
      </c>
      <c r="I507" s="338">
        <f t="shared" si="310"/>
        <v>0.20697240731350805</v>
      </c>
      <c r="J507" s="340">
        <f t="shared" si="291"/>
        <v>1</v>
      </c>
      <c r="K507" s="338">
        <f t="shared" si="311"/>
        <v>1</v>
      </c>
      <c r="L507" s="339">
        <f t="shared" si="312"/>
        <v>0</v>
      </c>
      <c r="M507" s="731" t="str">
        <f t="shared" si="292"/>
        <v>0.8014495519+0.905198180059668i</v>
      </c>
      <c r="N507" s="338">
        <f t="shared" si="313"/>
        <v>1.2090099790423758</v>
      </c>
      <c r="O507" s="339">
        <f t="shared" si="314"/>
        <v>0.84611433037872052</v>
      </c>
      <c r="P507" s="732" t="str">
        <f t="shared" si="306"/>
        <v>-0.0213880401526452-0.0299861226554589i</v>
      </c>
      <c r="Q507" s="337">
        <f t="shared" si="315"/>
        <v>3.6832265929201108E-2</v>
      </c>
      <c r="R507" s="339">
        <f t="shared" si="316"/>
        <v>-2.1903693511360331</v>
      </c>
      <c r="S507" s="731" t="str">
        <f t="shared" si="293"/>
        <v>6000</v>
      </c>
      <c r="T507" s="337" t="str">
        <f t="shared" si="294"/>
        <v>1+424158.267965462i</v>
      </c>
      <c r="U507" s="346">
        <f t="shared" si="317"/>
        <v>424158.26796664076</v>
      </c>
      <c r="V507" s="347">
        <f t="shared" si="318"/>
        <v>1.5707939691843642</v>
      </c>
      <c r="W507" s="340" t="str">
        <f t="shared" si="295"/>
        <v>1+4199.58681153923i</v>
      </c>
      <c r="X507" s="337">
        <f t="shared" si="319"/>
        <v>4199.5869305985607</v>
      </c>
      <c r="Y507" s="339">
        <f t="shared" si="320"/>
        <v>1.5705582081356151</v>
      </c>
      <c r="Z507" s="337" t="str">
        <f t="shared" si="296"/>
        <v>1+42.3043535000077i</v>
      </c>
      <c r="AA507" s="346">
        <f t="shared" si="321"/>
        <v>42.316170963989805</v>
      </c>
      <c r="AB507" s="347">
        <f t="shared" si="322"/>
        <v>1.5471624989637469</v>
      </c>
      <c r="AC507" s="732" t="str">
        <f t="shared" si="323"/>
        <v>0.0328445922091681-1.4034748465039i</v>
      </c>
      <c r="AD507" s="337">
        <f t="shared" si="324"/>
        <v>1.4038591140162646</v>
      </c>
      <c r="AE507" s="339">
        <f t="shared" si="325"/>
        <v>-1.547398260012496</v>
      </c>
      <c r="AF507" s="736" t="str">
        <f t="shared" si="297"/>
        <v>-0.0427872503480842+0.0290326943997003i</v>
      </c>
      <c r="AG507" s="337">
        <f t="shared" si="326"/>
        <v>-25.728960731974727</v>
      </c>
      <c r="AH507" s="730">
        <f t="shared" si="327"/>
        <v>145.84169108049343</v>
      </c>
      <c r="AI507" s="360">
        <f t="shared" si="298"/>
        <v>-34.158308919506567</v>
      </c>
      <c r="AL507" s="337">
        <f t="shared" si="299"/>
        <v>2.9464705166248892</v>
      </c>
      <c r="AM507" s="730">
        <f t="shared" si="300"/>
        <v>-88.659389524603199</v>
      </c>
      <c r="AN507" s="351"/>
      <c r="AO507" s="337">
        <f t="shared" si="301"/>
        <v>24.853691236442522</v>
      </c>
      <c r="AP507" s="730">
        <f t="shared" si="302"/>
        <v>-125.49891939490348</v>
      </c>
      <c r="AS507" s="351"/>
      <c r="AT507" s="351"/>
      <c r="AV507" s="405">
        <f t="shared" si="303"/>
        <v>0</v>
      </c>
      <c r="AW507" s="405">
        <f t="shared" si="328"/>
        <v>0</v>
      </c>
      <c r="AX507" s="405">
        <f t="shared" si="304"/>
        <v>0</v>
      </c>
      <c r="AY507" s="405">
        <f t="shared" si="305"/>
        <v>0</v>
      </c>
    </row>
    <row r="508" spans="2:51" ht="13.5" thickBot="1" x14ac:dyDescent="0.25">
      <c r="B508" s="345">
        <v>67223.25</v>
      </c>
      <c r="C508" s="728" t="str">
        <f t="shared" si="288"/>
        <v>2.2271548443541</v>
      </c>
      <c r="D508" s="728" t="str">
        <f t="shared" si="289"/>
        <v>1+51.389096631938i</v>
      </c>
      <c r="E508" s="337">
        <f t="shared" si="307"/>
        <v>51.398825401429761</v>
      </c>
      <c r="F508" s="338">
        <f t="shared" si="308"/>
        <v>1.5513394016550925</v>
      </c>
      <c r="G508" s="338" t="str">
        <f t="shared" si="290"/>
        <v>1+0.21118806835043i</v>
      </c>
      <c r="H508" s="337">
        <f t="shared" si="309"/>
        <v>1.0220569456804185</v>
      </c>
      <c r="I508" s="338">
        <f t="shared" si="310"/>
        <v>0.2081298093997328</v>
      </c>
      <c r="J508" s="340">
        <f t="shared" si="291"/>
        <v>1</v>
      </c>
      <c r="K508" s="338">
        <f t="shared" si="311"/>
        <v>1</v>
      </c>
      <c r="L508" s="339">
        <f t="shared" si="312"/>
        <v>0</v>
      </c>
      <c r="M508" s="731" t="str">
        <f t="shared" si="292"/>
        <v>0.799157095975+0.910408874491438i</v>
      </c>
      <c r="N508" s="338">
        <f t="shared" si="313"/>
        <v>1.2114026509794182</v>
      </c>
      <c r="O508" s="339">
        <f t="shared" si="314"/>
        <v>0.85038256991146399</v>
      </c>
      <c r="P508" s="732" t="str">
        <f t="shared" si="306"/>
        <v>-0.0213246538882741-0.0296943579835982i</v>
      </c>
      <c r="Q508" s="337">
        <f t="shared" si="315"/>
        <v>3.6558114824382912E-2</v>
      </c>
      <c r="R508" s="339">
        <f t="shared" si="316"/>
        <v>-2.1935921621668242</v>
      </c>
      <c r="S508" s="731" t="str">
        <f t="shared" si="293"/>
        <v>6000</v>
      </c>
      <c r="T508" s="337" t="str">
        <f t="shared" si="294"/>
        <v>1+426599.898067869i</v>
      </c>
      <c r="U508" s="346">
        <f t="shared" si="317"/>
        <v>426599.89806904114</v>
      </c>
      <c r="V508" s="347">
        <f t="shared" si="318"/>
        <v>1.5707939826780684</v>
      </c>
      <c r="W508" s="340" t="str">
        <f t="shared" si="295"/>
        <v>1+4223.7613670086i</v>
      </c>
      <c r="X508" s="337">
        <f t="shared" si="319"/>
        <v>4223.761485386498</v>
      </c>
      <c r="Y508" s="339">
        <f t="shared" si="320"/>
        <v>1.5705595709996647</v>
      </c>
      <c r="Z508" s="337" t="str">
        <f t="shared" si="296"/>
        <v>1+42.5478748239322i</v>
      </c>
      <c r="AA508" s="346">
        <f t="shared" si="321"/>
        <v>42.559624669785364</v>
      </c>
      <c r="AB508" s="347">
        <f t="shared" si="322"/>
        <v>1.5472977164460018</v>
      </c>
      <c r="AC508" s="732" t="str">
        <f t="shared" si="323"/>
        <v>0.0324699052793576-1.39545091187555i</v>
      </c>
      <c r="AD508" s="337">
        <f t="shared" si="324"/>
        <v>1.3958286220747711</v>
      </c>
      <c r="AE508" s="339">
        <f t="shared" si="325"/>
        <v>-1.5475321281244052</v>
      </c>
      <c r="AF508" s="736" t="str">
        <f t="shared" si="297"/>
        <v>-0.0421294284176385+0.0287933347227638i</v>
      </c>
      <c r="AG508" s="337">
        <f t="shared" si="326"/>
        <v>-25.84368215894181</v>
      </c>
      <c r="AH508" s="730">
        <f t="shared" si="327"/>
        <v>145.64936753243717</v>
      </c>
      <c r="AI508" s="360">
        <f t="shared" si="298"/>
        <v>-34.350632467562832</v>
      </c>
      <c r="AL508" s="337">
        <f t="shared" si="299"/>
        <v>2.8966419895798974</v>
      </c>
      <c r="AM508" s="730">
        <f t="shared" si="300"/>
        <v>-88.667059602426988</v>
      </c>
      <c r="AN508" s="351"/>
      <c r="AO508" s="337">
        <f t="shared" si="301"/>
        <v>24.788798336520443</v>
      </c>
      <c r="AP508" s="730">
        <f t="shared" si="302"/>
        <v>-125.68357286513596</v>
      </c>
      <c r="AS508" s="351"/>
      <c r="AT508" s="351"/>
      <c r="AV508" s="405">
        <f t="shared" si="303"/>
        <v>0</v>
      </c>
      <c r="AW508" s="405">
        <f t="shared" si="328"/>
        <v>0</v>
      </c>
      <c r="AX508" s="405">
        <f t="shared" si="304"/>
        <v>0</v>
      </c>
      <c r="AY508" s="405">
        <f t="shared" si="305"/>
        <v>0</v>
      </c>
    </row>
    <row r="509" spans="2:51" ht="13.5" thickBot="1" x14ac:dyDescent="0.25">
      <c r="B509" s="345">
        <v>67608</v>
      </c>
      <c r="C509" s="728" t="str">
        <f t="shared" si="288"/>
        <v>2.2271548443541</v>
      </c>
      <c r="D509" s="728" t="str">
        <f t="shared" si="289"/>
        <v>1+51.6832203901486i</v>
      </c>
      <c r="E509" s="337">
        <f t="shared" si="307"/>
        <v>51.692893804629193</v>
      </c>
      <c r="F509" s="338">
        <f t="shared" si="308"/>
        <v>1.5514501012593189</v>
      </c>
      <c r="G509" s="338" t="str">
        <f t="shared" si="290"/>
        <v>1+0.212396796123899i</v>
      </c>
      <c r="H509" s="337">
        <f t="shared" si="309"/>
        <v>1.0223073896845787</v>
      </c>
      <c r="I509" s="338">
        <f t="shared" si="310"/>
        <v>0.20928664595622257</v>
      </c>
      <c r="J509" s="340">
        <f t="shared" si="291"/>
        <v>1</v>
      </c>
      <c r="K509" s="338">
        <f t="shared" si="311"/>
        <v>1</v>
      </c>
      <c r="L509" s="339">
        <f t="shared" si="312"/>
        <v>0</v>
      </c>
      <c r="M509" s="731" t="str">
        <f t="shared" si="292"/>
        <v>0.7968514816+0.915619568923209i</v>
      </c>
      <c r="N509" s="338">
        <f t="shared" si="313"/>
        <v>1.2138086664393355</v>
      </c>
      <c r="O509" s="339">
        <f t="shared" si="314"/>
        <v>0.85464208238997486</v>
      </c>
      <c r="P509" s="732" t="str">
        <f t="shared" si="306"/>
        <v>-0.0212611010941663-0.0294059611161712i</v>
      </c>
      <c r="Q509" s="337">
        <f t="shared" si="315"/>
        <v>3.6286980707991287E-2</v>
      </c>
      <c r="R509" s="339">
        <f t="shared" si="316"/>
        <v>-2.1968055376930713</v>
      </c>
      <c r="S509" s="731" t="str">
        <f t="shared" si="293"/>
        <v>6000</v>
      </c>
      <c r="T509" s="337" t="str">
        <f t="shared" si="294"/>
        <v>1+429041.528170275i</v>
      </c>
      <c r="U509" s="346">
        <f t="shared" si="317"/>
        <v>429041.52817144035</v>
      </c>
      <c r="V509" s="347">
        <f t="shared" si="318"/>
        <v>1.57079399601819</v>
      </c>
      <c r="W509" s="340" t="str">
        <f t="shared" si="295"/>
        <v>1+4247.93592247797i</v>
      </c>
      <c r="X509" s="337">
        <f t="shared" si="319"/>
        <v>4247.9360401821923</v>
      </c>
      <c r="Y509" s="339">
        <f t="shared" si="320"/>
        <v>1.570560918351884</v>
      </c>
      <c r="Z509" s="337" t="str">
        <f t="shared" si="296"/>
        <v>1+42.7913961478566i</v>
      </c>
      <c r="AA509" s="346">
        <f t="shared" si="321"/>
        <v>42.803079144879248</v>
      </c>
      <c r="AB509" s="347">
        <f t="shared" si="322"/>
        <v>1.5474313957562367</v>
      </c>
      <c r="AC509" s="732" t="str">
        <f t="shared" si="323"/>
        <v>0.032101592386008-1.38751815502331i</v>
      </c>
      <c r="AD509" s="337">
        <f t="shared" si="324"/>
        <v>1.3878894562439068</v>
      </c>
      <c r="AE509" s="339">
        <f t="shared" si="325"/>
        <v>-1.5476644734225424</v>
      </c>
      <c r="AF509" s="736" t="str">
        <f t="shared" si="297"/>
        <v>-0.0414838201155997+0.0285561855864716i</v>
      </c>
      <c r="AG509" s="337">
        <f t="shared" si="326"/>
        <v>-25.957885794381244</v>
      </c>
      <c r="AH509" s="730">
        <f t="shared" si="327"/>
        <v>145.45767184977086</v>
      </c>
      <c r="AI509" s="360">
        <f t="shared" si="298"/>
        <v>-34.542328150229139</v>
      </c>
      <c r="AL509" s="337">
        <f t="shared" si="299"/>
        <v>2.8470975290749752</v>
      </c>
      <c r="AM509" s="730">
        <f t="shared" si="300"/>
        <v>-88.674642429448653</v>
      </c>
      <c r="AN509" s="351"/>
      <c r="AO509" s="337">
        <f t="shared" si="301"/>
        <v>24.72413916158591</v>
      </c>
      <c r="AP509" s="730">
        <f t="shared" si="302"/>
        <v>-125.86768572078027</v>
      </c>
      <c r="AS509" s="351"/>
      <c r="AT509" s="351"/>
      <c r="AV509" s="405">
        <f t="shared" si="303"/>
        <v>0</v>
      </c>
      <c r="AW509" s="405">
        <f t="shared" si="328"/>
        <v>0</v>
      </c>
      <c r="AX509" s="405">
        <f t="shared" si="304"/>
        <v>0</v>
      </c>
      <c r="AY509" s="405">
        <f t="shared" si="305"/>
        <v>0</v>
      </c>
    </row>
    <row r="510" spans="2:51" ht="13.5" thickBot="1" x14ac:dyDescent="0.25">
      <c r="B510" s="345">
        <v>68001.75</v>
      </c>
      <c r="C510" s="728" t="str">
        <f t="shared" si="288"/>
        <v>2.2271548443541</v>
      </c>
      <c r="D510" s="728" t="str">
        <f t="shared" si="289"/>
        <v>1+51.9842242362707i</v>
      </c>
      <c r="E510" s="337">
        <f t="shared" si="307"/>
        <v>51.99384164924605</v>
      </c>
      <c r="F510" s="338">
        <f t="shared" si="308"/>
        <v>1.5515620938506558</v>
      </c>
      <c r="G510" s="338" t="str">
        <f t="shared" si="290"/>
        <v>1+0.21363379823125i</v>
      </c>
      <c r="H510" s="337">
        <f t="shared" si="309"/>
        <v>1.0225651078277169</v>
      </c>
      <c r="I510" s="338">
        <f t="shared" si="310"/>
        <v>0.2104699546933633</v>
      </c>
      <c r="J510" s="340">
        <f t="shared" si="291"/>
        <v>1</v>
      </c>
      <c r="K510" s="338">
        <f t="shared" si="311"/>
        <v>1</v>
      </c>
      <c r="L510" s="339">
        <f t="shared" si="312"/>
        <v>0</v>
      </c>
      <c r="M510" s="731" t="str">
        <f t="shared" si="292"/>
        <v>0.794478310975+0.920952150944028i</v>
      </c>
      <c r="N510" s="338">
        <f t="shared" si="313"/>
        <v>1.2162847737837224</v>
      </c>
      <c r="O510" s="339">
        <f t="shared" si="314"/>
        <v>0.85899218511505648</v>
      </c>
      <c r="P510" s="732" t="str">
        <f t="shared" si="306"/>
        <v>-0.0211958971667026-0.0291142521199174i</v>
      </c>
      <c r="Q510" s="337">
        <f t="shared" si="315"/>
        <v>3.60125774307192E-2</v>
      </c>
      <c r="R510" s="339">
        <f t="shared" si="316"/>
        <v>-2.2000843242723498</v>
      </c>
      <c r="S510" s="731" t="str">
        <f t="shared" si="293"/>
        <v>6000</v>
      </c>
      <c r="T510" s="337" t="str">
        <f t="shared" si="294"/>
        <v>1+431540.272427124i</v>
      </c>
      <c r="U510" s="346">
        <f t="shared" si="317"/>
        <v>431540.27242828265</v>
      </c>
      <c r="V510" s="347">
        <f t="shared" si="318"/>
        <v>1.5707940095140682</v>
      </c>
      <c r="W510" s="340" t="str">
        <f t="shared" si="295"/>
        <v>1+4272.67596462499i</v>
      </c>
      <c r="X510" s="337">
        <f t="shared" si="319"/>
        <v>4272.6760816476708</v>
      </c>
      <c r="Y510" s="339">
        <f t="shared" si="320"/>
        <v>1.5705622814354965</v>
      </c>
      <c r="Z510" s="337" t="str">
        <f t="shared" si="296"/>
        <v>1+43.0406138770191i</v>
      </c>
      <c r="AA510" s="346">
        <f t="shared" si="321"/>
        <v>43.052229244380001</v>
      </c>
      <c r="AB510" s="347">
        <f t="shared" si="322"/>
        <v>1.5475666367269976</v>
      </c>
      <c r="AC510" s="732" t="str">
        <f t="shared" si="323"/>
        <v>0.0317311134630971-1.37949262717645i</v>
      </c>
      <c r="AD510" s="337">
        <f t="shared" si="324"/>
        <v>1.3798575187300288</v>
      </c>
      <c r="AE510" s="339">
        <f t="shared" si="325"/>
        <v>-1.5477983648055693</v>
      </c>
      <c r="AF510" s="736" t="str">
        <f t="shared" si="297"/>
        <v>-0.0408354655631312+0.0283157562304461i</v>
      </c>
      <c r="AG510" s="337">
        <f t="shared" si="326"/>
        <v>-26.074231011562915</v>
      </c>
      <c r="AH510" s="730">
        <f t="shared" si="327"/>
        <v>145.26213980569355</v>
      </c>
      <c r="AI510" s="360">
        <f t="shared" si="298"/>
        <v>-34.73786019430645</v>
      </c>
      <c r="AL510" s="337">
        <f t="shared" si="299"/>
        <v>2.7966848870978622</v>
      </c>
      <c r="AM510" s="730">
        <f t="shared" si="300"/>
        <v>-88.682313840609254</v>
      </c>
      <c r="AN510" s="351"/>
      <c r="AO510" s="337">
        <f t="shared" si="301"/>
        <v>24.658206586381365</v>
      </c>
      <c r="AP510" s="730">
        <f t="shared" si="302"/>
        <v>-126.05554635369739</v>
      </c>
      <c r="AS510" s="351"/>
      <c r="AT510" s="351"/>
      <c r="AV510" s="405">
        <f t="shared" si="303"/>
        <v>0</v>
      </c>
      <c r="AW510" s="405">
        <f t="shared" si="328"/>
        <v>0</v>
      </c>
      <c r="AX510" s="405">
        <f t="shared" si="304"/>
        <v>0</v>
      </c>
      <c r="AY510" s="405">
        <f t="shared" si="305"/>
        <v>0</v>
      </c>
    </row>
    <row r="511" spans="2:51" ht="13.5" thickBot="1" x14ac:dyDescent="0.25">
      <c r="B511" s="345">
        <v>68395.5</v>
      </c>
      <c r="C511" s="728" t="str">
        <f t="shared" si="288"/>
        <v>2.2271548443541</v>
      </c>
      <c r="D511" s="728" t="str">
        <f t="shared" si="289"/>
        <v>1+52.2852280823928i</v>
      </c>
      <c r="E511" s="337">
        <f t="shared" si="307"/>
        <v>52.294790138481638</v>
      </c>
      <c r="F511" s="338">
        <f t="shared" si="308"/>
        <v>1.5516727974430264</v>
      </c>
      <c r="G511" s="338" t="str">
        <f t="shared" si="290"/>
        <v>1+0.214870800338601i</v>
      </c>
      <c r="H511" s="337">
        <f t="shared" si="309"/>
        <v>1.0228242570638177</v>
      </c>
      <c r="I511" s="338">
        <f t="shared" si="310"/>
        <v>0.21165266546465913</v>
      </c>
      <c r="J511" s="340">
        <f t="shared" si="291"/>
        <v>1</v>
      </c>
      <c r="K511" s="338">
        <f t="shared" si="311"/>
        <v>1</v>
      </c>
      <c r="L511" s="339">
        <f t="shared" si="312"/>
        <v>0</v>
      </c>
      <c r="M511" s="731" t="str">
        <f t="shared" si="292"/>
        <v>0.7920913591+0.926284732964847i</v>
      </c>
      <c r="N511" s="338">
        <f t="shared" si="313"/>
        <v>1.2187748470019568</v>
      </c>
      <c r="O511" s="339">
        <f t="shared" si="314"/>
        <v>0.86333312414423913</v>
      </c>
      <c r="P511" s="732" t="str">
        <f t="shared" si="306"/>
        <v>-0.0211305347150255-0.028825964043883i</v>
      </c>
      <c r="Q511" s="337">
        <f t="shared" si="315"/>
        <v>3.5741232496965369E-2</v>
      </c>
      <c r="R511" s="339">
        <f t="shared" si="316"/>
        <v>-2.2033532561226057</v>
      </c>
      <c r="S511" s="731" t="str">
        <f t="shared" si="293"/>
        <v>6000</v>
      </c>
      <c r="T511" s="337" t="str">
        <f t="shared" si="294"/>
        <v>1+434039.016683973i</v>
      </c>
      <c r="U511" s="346">
        <f t="shared" si="317"/>
        <v>434039.01668512501</v>
      </c>
      <c r="V511" s="347">
        <f t="shared" si="318"/>
        <v>1.5707940228545558</v>
      </c>
      <c r="W511" s="340" t="str">
        <f t="shared" si="295"/>
        <v>1+4297.41600677201i</v>
      </c>
      <c r="X511" s="337">
        <f t="shared" si="319"/>
        <v>4297.4161231209964</v>
      </c>
      <c r="Y511" s="339">
        <f t="shared" si="320"/>
        <v>1.5705636288246805</v>
      </c>
      <c r="Z511" s="337" t="str">
        <f t="shared" si="296"/>
        <v>1+43.2898316061817i</v>
      </c>
      <c r="AA511" s="346">
        <f t="shared" si="321"/>
        <v>43.301380122249775</v>
      </c>
      <c r="AB511" s="347">
        <f t="shared" si="322"/>
        <v>1.5477003213799663</v>
      </c>
      <c r="AC511" s="732" t="str">
        <f t="shared" si="323"/>
        <v>0.0313670100487982-1.37155935730333i</v>
      </c>
      <c r="AD511" s="337">
        <f t="shared" si="324"/>
        <v>1.3719179858598416</v>
      </c>
      <c r="AE511" s="339">
        <f t="shared" si="325"/>
        <v>-1.5479307154098416</v>
      </c>
      <c r="AF511" s="736" t="str">
        <f t="shared" si="297"/>
        <v>-0.0401993224124198+0.0280775983093853i</v>
      </c>
      <c r="AG511" s="337">
        <f t="shared" si="326"/>
        <v>-26.190046513261194</v>
      </c>
      <c r="AH511" s="730">
        <f t="shared" si="327"/>
        <v>145.06726067611714</v>
      </c>
      <c r="AI511" s="360">
        <f t="shared" si="298"/>
        <v>-34.932739323882856</v>
      </c>
      <c r="AL511" s="337">
        <f t="shared" si="299"/>
        <v>2.7465629948617458</v>
      </c>
      <c r="AM511" s="730">
        <f t="shared" si="300"/>
        <v>-88.689896971650072</v>
      </c>
      <c r="AN511" s="351"/>
      <c r="AO511" s="337">
        <f t="shared" si="301"/>
        <v>24.592512976919192</v>
      </c>
      <c r="AP511" s="730">
        <f t="shared" si="302"/>
        <v>-126.24284235223267</v>
      </c>
      <c r="AS511" s="351"/>
      <c r="AT511" s="351"/>
      <c r="AV511" s="405">
        <f t="shared" si="303"/>
        <v>0</v>
      </c>
      <c r="AW511" s="405">
        <f t="shared" si="328"/>
        <v>0</v>
      </c>
      <c r="AX511" s="405">
        <f t="shared" si="304"/>
        <v>0</v>
      </c>
      <c r="AY511" s="405">
        <f t="shared" si="305"/>
        <v>0</v>
      </c>
    </row>
    <row r="512" spans="2:51" ht="13.5" thickBot="1" x14ac:dyDescent="0.25">
      <c r="B512" s="345">
        <v>68789.25</v>
      </c>
      <c r="C512" s="728" t="str">
        <f t="shared" si="288"/>
        <v>2.2271548443541</v>
      </c>
      <c r="D512" s="728" t="str">
        <f t="shared" si="289"/>
        <v>1+52.5862319285149i</v>
      </c>
      <c r="E512" s="337">
        <f t="shared" si="307"/>
        <v>52.59573926127058</v>
      </c>
      <c r="F512" s="338">
        <f t="shared" si="308"/>
        <v>1.5517822341603784</v>
      </c>
      <c r="G512" s="338" t="str">
        <f t="shared" si="290"/>
        <v>1+0.216107802445952i</v>
      </c>
      <c r="H512" s="337">
        <f t="shared" si="309"/>
        <v>1.0230848363053862</v>
      </c>
      <c r="I512" s="338">
        <f t="shared" si="310"/>
        <v>0.21283477541700696</v>
      </c>
      <c r="J512" s="340">
        <f t="shared" si="291"/>
        <v>1</v>
      </c>
      <c r="K512" s="338">
        <f t="shared" si="311"/>
        <v>1</v>
      </c>
      <c r="L512" s="339">
        <f t="shared" si="312"/>
        <v>0</v>
      </c>
      <c r="M512" s="731" t="str">
        <f t="shared" si="292"/>
        <v>0.789690625975+0.931617314985666i</v>
      </c>
      <c r="N512" s="338">
        <f t="shared" si="313"/>
        <v>1.2212788814737972</v>
      </c>
      <c r="O512" s="339">
        <f t="shared" si="314"/>
        <v>0.86766488818054488</v>
      </c>
      <c r="P512" s="732" t="str">
        <f t="shared" si="306"/>
        <v>-0.0210650215402017-0.0285410448367924i</v>
      </c>
      <c r="Q512" s="337">
        <f t="shared" si="315"/>
        <v>3.5472896313452552E-2</v>
      </c>
      <c r="R512" s="339">
        <f t="shared" si="316"/>
        <v>-2.2066123469239169</v>
      </c>
      <c r="S512" s="731" t="str">
        <f t="shared" si="293"/>
        <v>6000</v>
      </c>
      <c r="T512" s="337" t="str">
        <f t="shared" si="294"/>
        <v>1+436537.760940822i</v>
      </c>
      <c r="U512" s="346">
        <f t="shared" si="317"/>
        <v>436537.76094196737</v>
      </c>
      <c r="V512" s="347">
        <f t="shared" si="318"/>
        <v>1.5707940360423216</v>
      </c>
      <c r="W512" s="340" t="str">
        <f t="shared" si="295"/>
        <v>1+4322.15604891903i</v>
      </c>
      <c r="X512" s="337">
        <f t="shared" si="319"/>
        <v>4322.1561646020336</v>
      </c>
      <c r="Y512" s="339">
        <f t="shared" si="320"/>
        <v>1.5705649607889407</v>
      </c>
      <c r="Z512" s="337" t="str">
        <f t="shared" si="296"/>
        <v>1+43.5390493353442i</v>
      </c>
      <c r="AA512" s="346">
        <f t="shared" si="321"/>
        <v>43.5505317651293</v>
      </c>
      <c r="AB512" s="347">
        <f t="shared" si="322"/>
        <v>1.5478324764213032</v>
      </c>
      <c r="AC512" s="732" t="str">
        <f t="shared" si="323"/>
        <v>0.0310091367165838-1.36371676448886i</v>
      </c>
      <c r="AD512" s="337">
        <f t="shared" si="324"/>
        <v>1.3640692725473558</v>
      </c>
      <c r="AE512" s="339">
        <f t="shared" si="325"/>
        <v>-1.5480615516746841</v>
      </c>
      <c r="AF512" s="736" t="str">
        <f t="shared" si="297"/>
        <v>-0.0395751094528399+0.0278416898573138i</v>
      </c>
      <c r="AG512" s="337">
        <f t="shared" si="326"/>
        <v>-26.305338490979317</v>
      </c>
      <c r="AH512" s="730">
        <f t="shared" si="327"/>
        <v>144.8730321623693</v>
      </c>
      <c r="AI512" s="360">
        <f t="shared" si="298"/>
        <v>-35.126967837630701</v>
      </c>
      <c r="AL512" s="337">
        <f t="shared" si="299"/>
        <v>2.6967285196224653</v>
      </c>
      <c r="AM512" s="730">
        <f t="shared" si="300"/>
        <v>-88.6973933374328</v>
      </c>
      <c r="AN512" s="351"/>
      <c r="AO512" s="337">
        <f t="shared" si="301"/>
        <v>24.527055474440331</v>
      </c>
      <c r="AP512" s="730">
        <f t="shared" si="302"/>
        <v>-126.42957450019797</v>
      </c>
      <c r="AS512" s="351"/>
      <c r="AT512" s="351"/>
      <c r="AV512" s="405">
        <f t="shared" si="303"/>
        <v>0</v>
      </c>
      <c r="AW512" s="405">
        <f t="shared" si="328"/>
        <v>0</v>
      </c>
      <c r="AX512" s="405">
        <f t="shared" si="304"/>
        <v>0</v>
      </c>
      <c r="AY512" s="405">
        <f t="shared" si="305"/>
        <v>0</v>
      </c>
    </row>
    <row r="513" spans="2:51" ht="13.5" thickBot="1" x14ac:dyDescent="0.25">
      <c r="B513" s="345">
        <v>69183</v>
      </c>
      <c r="C513" s="728" t="str">
        <f t="shared" si="288"/>
        <v>2.2271548443541</v>
      </c>
      <c r="D513" s="728" t="str">
        <f t="shared" si="289"/>
        <v>1+52.8872357746369i</v>
      </c>
      <c r="E513" s="337">
        <f t="shared" si="307"/>
        <v>52.896689006799221</v>
      </c>
      <c r="F513" s="338">
        <f t="shared" si="308"/>
        <v>1.5518904256232955</v>
      </c>
      <c r="G513" s="338" t="str">
        <f t="shared" si="290"/>
        <v>1+0.217344804553302i</v>
      </c>
      <c r="H513" s="337">
        <f t="shared" si="309"/>
        <v>1.023346844460036</v>
      </c>
      <c r="I513" s="338">
        <f t="shared" si="310"/>
        <v>0.21401628170691725</v>
      </c>
      <c r="J513" s="340">
        <f t="shared" si="291"/>
        <v>1</v>
      </c>
      <c r="K513" s="338">
        <f t="shared" si="311"/>
        <v>1</v>
      </c>
      <c r="L513" s="339">
        <f t="shared" si="312"/>
        <v>0</v>
      </c>
      <c r="M513" s="731" t="str">
        <f t="shared" si="292"/>
        <v>0.7872761116+0.936949897006484i</v>
      </c>
      <c r="N513" s="338">
        <f t="shared" si="313"/>
        <v>1.2237968726044681</v>
      </c>
      <c r="O513" s="339">
        <f t="shared" si="314"/>
        <v>0.87198746634711699</v>
      </c>
      <c r="P513" s="732" t="str">
        <f t="shared" si="306"/>
        <v>-0.0209993652905664-0.0282594435514735i</v>
      </c>
      <c r="Q513" s="337">
        <f t="shared" si="315"/>
        <v>3.5207520396153463E-2</v>
      </c>
      <c r="R513" s="339">
        <f t="shared" si="316"/>
        <v>-2.2098616102634949</v>
      </c>
      <c r="S513" s="731" t="str">
        <f t="shared" si="293"/>
        <v>6000</v>
      </c>
      <c r="T513" s="337" t="str">
        <f t="shared" si="294"/>
        <v>1+439036.505197671i</v>
      </c>
      <c r="U513" s="346">
        <f t="shared" si="317"/>
        <v>439036.50519880984</v>
      </c>
      <c r="V513" s="347">
        <f t="shared" si="318"/>
        <v>1.5707940490799728</v>
      </c>
      <c r="W513" s="340" t="str">
        <f t="shared" si="295"/>
        <v>1+4346.89609106605i</v>
      </c>
      <c r="X513" s="337">
        <f t="shared" si="319"/>
        <v>4346.8962060906515</v>
      </c>
      <c r="Y513" s="339">
        <f t="shared" si="320"/>
        <v>1.5705662775916469</v>
      </c>
      <c r="Z513" s="337" t="str">
        <f t="shared" si="296"/>
        <v>1+43.7882670645067i</v>
      </c>
      <c r="AA513" s="346">
        <f t="shared" si="321"/>
        <v>43.799684159963554</v>
      </c>
      <c r="AB513" s="347">
        <f t="shared" si="322"/>
        <v>1.547963127949719</v>
      </c>
      <c r="AC513" s="732" t="str">
        <f t="shared" si="323"/>
        <v>0.0306573521621961-1.3559633037144i</v>
      </c>
      <c r="AD513" s="337">
        <f t="shared" si="324"/>
        <v>1.3563098297445417</v>
      </c>
      <c r="AE513" s="339">
        <f t="shared" si="325"/>
        <v>-1.5481908994380449</v>
      </c>
      <c r="AF513" s="736" t="str">
        <f t="shared" si="297"/>
        <v>-0.0389625533760821+0.0276080090224367i</v>
      </c>
      <c r="AG513" s="337">
        <f t="shared" si="326"/>
        <v>-26.420113023430964</v>
      </c>
      <c r="AH513" s="730">
        <f t="shared" si="327"/>
        <v>144.67945200555488</v>
      </c>
      <c r="AI513" s="360">
        <f t="shared" si="298"/>
        <v>-35.320547994445121</v>
      </c>
      <c r="AL513" s="337">
        <f t="shared" si="299"/>
        <v>2.6471781855818737</v>
      </c>
      <c r="AM513" s="730">
        <f t="shared" si="300"/>
        <v>-88.704804418362826</v>
      </c>
      <c r="AN513" s="351"/>
      <c r="AO513" s="337">
        <f t="shared" si="301"/>
        <v>24.461831276029287</v>
      </c>
      <c r="AP513" s="730">
        <f t="shared" si="302"/>
        <v>-126.61574357608231</v>
      </c>
      <c r="AS513" s="351"/>
      <c r="AT513" s="351"/>
      <c r="AV513" s="405">
        <f t="shared" si="303"/>
        <v>0</v>
      </c>
      <c r="AW513" s="405">
        <f t="shared" si="328"/>
        <v>0</v>
      </c>
      <c r="AX513" s="405">
        <f t="shared" si="304"/>
        <v>0</v>
      </c>
      <c r="AY513" s="405">
        <f t="shared" si="305"/>
        <v>0</v>
      </c>
    </row>
    <row r="514" spans="2:51" ht="13.5" thickBot="1" x14ac:dyDescent="0.25">
      <c r="B514" s="345">
        <v>69586</v>
      </c>
      <c r="C514" s="728" t="str">
        <f t="shared" si="288"/>
        <v>2.2271548443541</v>
      </c>
      <c r="D514" s="728" t="str">
        <f t="shared" si="289"/>
        <v>1+53.1953108222236i</v>
      </c>
      <c r="E514" s="337">
        <f t="shared" si="307"/>
        <v>53.204709316685289</v>
      </c>
      <c r="F514" s="338">
        <f t="shared" si="308"/>
        <v>1.551999891298822</v>
      </c>
      <c r="G514" s="338" t="str">
        <f t="shared" si="290"/>
        <v>1+0.218610866392699i</v>
      </c>
      <c r="H514" s="337">
        <f t="shared" si="309"/>
        <v>1.0236164862412906</v>
      </c>
      <c r="I514" s="338">
        <f t="shared" si="310"/>
        <v>0.21522491595927828</v>
      </c>
      <c r="J514" s="340">
        <f t="shared" si="291"/>
        <v>1</v>
      </c>
      <c r="K514" s="338">
        <f t="shared" si="311"/>
        <v>1</v>
      </c>
      <c r="L514" s="339">
        <f t="shared" si="312"/>
        <v>0</v>
      </c>
      <c r="M514" s="731" t="str">
        <f t="shared" si="292"/>
        <v>0.784790604622222+0.942407752382714i</v>
      </c>
      <c r="N514" s="338">
        <f t="shared" si="313"/>
        <v>1.2263884640905391</v>
      </c>
      <c r="O514" s="339">
        <f t="shared" si="314"/>
        <v>0.87640206778367191</v>
      </c>
      <c r="P514" s="732" t="str">
        <f t="shared" si="306"/>
        <v>-0.0209320263096325-0.0279746105819046i</v>
      </c>
      <c r="Q514" s="337">
        <f t="shared" si="315"/>
        <v>3.4938926180355857E-2</v>
      </c>
      <c r="R514" s="339">
        <f t="shared" si="316"/>
        <v>-2.2131770431232147</v>
      </c>
      <c r="S514" s="731" t="str">
        <f t="shared" si="293"/>
        <v>6000</v>
      </c>
      <c r="T514" s="337" t="str">
        <f t="shared" si="294"/>
        <v>1+441593.950113253i</v>
      </c>
      <c r="U514" s="346">
        <f t="shared" si="317"/>
        <v>441593.95011438534</v>
      </c>
      <c r="V514" s="347">
        <f t="shared" si="318"/>
        <v>1.5707940622711192</v>
      </c>
      <c r="W514" s="340" t="str">
        <f t="shared" si="295"/>
        <v>1+4372.21732785399i</v>
      </c>
      <c r="X514" s="337">
        <f t="shared" si="319"/>
        <v>4372.217442212439</v>
      </c>
      <c r="Y514" s="339">
        <f t="shared" si="320"/>
        <v>1.5705676098973644</v>
      </c>
      <c r="Z514" s="337" t="str">
        <f t="shared" si="296"/>
        <v>1+44.0433394323861i</v>
      </c>
      <c r="AA514" s="346">
        <f t="shared" si="321"/>
        <v>44.054690424021551</v>
      </c>
      <c r="AB514" s="347">
        <f t="shared" si="322"/>
        <v>1.5480953184610506</v>
      </c>
      <c r="AC514" s="732" t="str">
        <f t="shared" si="323"/>
        <v>0.0303034651896188-1.34811841982339i</v>
      </c>
      <c r="AD514" s="337">
        <f t="shared" si="324"/>
        <v>1.3484589626197796</v>
      </c>
      <c r="AE514" s="339">
        <f t="shared" si="325"/>
        <v>-1.5483217708348054</v>
      </c>
      <c r="AF514" s="736" t="str">
        <f t="shared" si="297"/>
        <v>-0.038347400743474+0.0273711225942815i</v>
      </c>
      <c r="AG514" s="337">
        <f t="shared" si="326"/>
        <v>-26.537054252884946</v>
      </c>
      <c r="AH514" s="730">
        <f t="shared" si="327"/>
        <v>144.48199331674058</v>
      </c>
      <c r="AI514" s="360">
        <f t="shared" si="298"/>
        <v>-35.518006683259415</v>
      </c>
      <c r="AL514" s="337">
        <f t="shared" si="299"/>
        <v>2.5967546838691149</v>
      </c>
      <c r="AM514" s="730">
        <f t="shared" si="300"/>
        <v>-88.712302797056182</v>
      </c>
      <c r="AN514" s="351"/>
      <c r="AO514" s="337">
        <f t="shared" si="301"/>
        <v>24.395313548288073</v>
      </c>
      <c r="AP514" s="730">
        <f t="shared" si="302"/>
        <v>-126.80570388620328</v>
      </c>
      <c r="AS514" s="351"/>
      <c r="AT514" s="351"/>
      <c r="AV514" s="405">
        <f t="shared" si="303"/>
        <v>0</v>
      </c>
      <c r="AW514" s="405">
        <f t="shared" si="328"/>
        <v>0</v>
      </c>
      <c r="AX514" s="405">
        <f t="shared" si="304"/>
        <v>0</v>
      </c>
      <c r="AY514" s="405">
        <f t="shared" si="305"/>
        <v>0</v>
      </c>
    </row>
    <row r="515" spans="2:51" ht="13.5" thickBot="1" x14ac:dyDescent="0.25">
      <c r="B515" s="345">
        <v>69989</v>
      </c>
      <c r="C515" s="728" t="str">
        <f t="shared" si="288"/>
        <v>2.2271548443541</v>
      </c>
      <c r="D515" s="728" t="str">
        <f t="shared" si="289"/>
        <v>1+53.50338586981i</v>
      </c>
      <c r="E515" s="337">
        <f t="shared" si="307"/>
        <v>53.512730256769593</v>
      </c>
      <c r="F515" s="338">
        <f t="shared" si="308"/>
        <v>1.5521080967999654</v>
      </c>
      <c r="G515" s="338" t="str">
        <f t="shared" si="290"/>
        <v>1+0.219876928232096i</v>
      </c>
      <c r="H515" s="337">
        <f t="shared" si="309"/>
        <v>1.0238876225293392</v>
      </c>
      <c r="I515" s="338">
        <f t="shared" si="310"/>
        <v>0.21643291185719388</v>
      </c>
      <c r="J515" s="340">
        <f t="shared" si="291"/>
        <v>1</v>
      </c>
      <c r="K515" s="338">
        <f t="shared" si="311"/>
        <v>1</v>
      </c>
      <c r="L515" s="339">
        <f t="shared" si="312"/>
        <v>0</v>
      </c>
      <c r="M515" s="731" t="str">
        <f t="shared" si="292"/>
        <v>0.782290661288889+0.947865607758942i</v>
      </c>
      <c r="N515" s="338">
        <f t="shared" si="313"/>
        <v>1.2289946660226139</v>
      </c>
      <c r="O515" s="339">
        <f t="shared" si="314"/>
        <v>0.88080702496946717</v>
      </c>
      <c r="P515" s="732" t="str">
        <f t="shared" si="306"/>
        <v>-0.0208645531901072-0.0276931486722721i</v>
      </c>
      <c r="Q515" s="337">
        <f t="shared" si="315"/>
        <v>3.4673333603900541E-2</v>
      </c>
      <c r="R515" s="339">
        <f t="shared" si="316"/>
        <v>-2.2164822099122401</v>
      </c>
      <c r="S515" s="731" t="str">
        <f t="shared" si="293"/>
        <v>6000</v>
      </c>
      <c r="T515" s="337" t="str">
        <f t="shared" si="294"/>
        <v>1+444151.395028834i</v>
      </c>
      <c r="U515" s="346">
        <f t="shared" si="317"/>
        <v>444151.39502995973</v>
      </c>
      <c r="V515" s="347">
        <f t="shared" si="318"/>
        <v>1.5707940753103551</v>
      </c>
      <c r="W515" s="340" t="str">
        <f t="shared" si="295"/>
        <v>1+4397.53856464192i</v>
      </c>
      <c r="X515" s="337">
        <f t="shared" si="319"/>
        <v>4397.5386783418871</v>
      </c>
      <c r="Y515" s="339">
        <f t="shared" si="320"/>
        <v>1.5705689268601233</v>
      </c>
      <c r="Z515" s="337" t="str">
        <f t="shared" si="296"/>
        <v>1+44.2984118002654i</v>
      </c>
      <c r="AA515" s="346">
        <f t="shared" si="321"/>
        <v>44.309697449044869</v>
      </c>
      <c r="AB515" s="347">
        <f t="shared" si="322"/>
        <v>1.5482259874337181</v>
      </c>
      <c r="AC515" s="732" t="str">
        <f t="shared" si="323"/>
        <v>0.0299556695429206-1.34036374085707i</v>
      </c>
      <c r="AD515" s="337">
        <f t="shared" si="324"/>
        <v>1.3406984373609614</v>
      </c>
      <c r="AE515" s="339">
        <f t="shared" si="325"/>
        <v>-1.5484511358839499</v>
      </c>
      <c r="AF515" s="736" t="str">
        <f t="shared" si="297"/>
        <v>-0.0377439040110012+0.0271365237549738i</v>
      </c>
      <c r="AG515" s="337">
        <f t="shared" si="326"/>
        <v>-26.653465973992617</v>
      </c>
      <c r="AH515" s="730">
        <f t="shared" si="327"/>
        <v>144.28520913781023</v>
      </c>
      <c r="AI515" s="360">
        <f t="shared" si="298"/>
        <v>-35.714790862189773</v>
      </c>
      <c r="AL515" s="337">
        <f t="shared" si="299"/>
        <v>2.5466220638455694</v>
      </c>
      <c r="AM515" s="730">
        <f t="shared" si="300"/>
        <v>-88.719714868388664</v>
      </c>
      <c r="AN515" s="351"/>
      <c r="AO515" s="337">
        <f t="shared" si="301"/>
        <v>24.329034447203952</v>
      </c>
      <c r="AP515" s="730">
        <f t="shared" si="302"/>
        <v>-126.99507599380114</v>
      </c>
      <c r="AS515" s="351"/>
      <c r="AT515" s="351"/>
      <c r="AV515" s="405">
        <f t="shared" si="303"/>
        <v>0</v>
      </c>
      <c r="AW515" s="405">
        <f t="shared" si="328"/>
        <v>0</v>
      </c>
      <c r="AX515" s="405">
        <f t="shared" si="304"/>
        <v>0</v>
      </c>
      <c r="AY515" s="405">
        <f t="shared" si="305"/>
        <v>0</v>
      </c>
    </row>
    <row r="516" spans="2:51" ht="13.5" thickBot="1" x14ac:dyDescent="0.25">
      <c r="B516" s="345">
        <v>70392</v>
      </c>
      <c r="C516" s="728" t="str">
        <f t="shared" si="288"/>
        <v>2.2271548443541</v>
      </c>
      <c r="D516" s="728" t="str">
        <f t="shared" si="289"/>
        <v>1+53.8114609173965i</v>
      </c>
      <c r="E516" s="337">
        <f t="shared" si="307"/>
        <v>53.82075181623248</v>
      </c>
      <c r="F516" s="338">
        <f t="shared" si="308"/>
        <v>1.5522150637604828</v>
      </c>
      <c r="G516" s="338" t="str">
        <f t="shared" si="290"/>
        <v>1+0.221142990071492i</v>
      </c>
      <c r="H516" s="337">
        <f t="shared" si="309"/>
        <v>1.0241602521372131</v>
      </c>
      <c r="I516" s="338">
        <f t="shared" si="310"/>
        <v>0.21764026638351688</v>
      </c>
      <c r="J516" s="340">
        <f t="shared" si="291"/>
        <v>1</v>
      </c>
      <c r="K516" s="338">
        <f t="shared" si="311"/>
        <v>1</v>
      </c>
      <c r="L516" s="339">
        <f t="shared" si="312"/>
        <v>0</v>
      </c>
      <c r="M516" s="731" t="str">
        <f t="shared" si="292"/>
        <v>0.7797762816+0.95332346313517i</v>
      </c>
      <c r="N516" s="338">
        <f t="shared" si="313"/>
        <v>1.2316154735589988</v>
      </c>
      <c r="O516" s="339">
        <f t="shared" si="314"/>
        <v>0.8852023275887031</v>
      </c>
      <c r="P516" s="732" t="str">
        <f t="shared" si="306"/>
        <v>-0.0207969536582808-0.0274150065923018i</v>
      </c>
      <c r="Q516" s="337">
        <f t="shared" si="315"/>
        <v>3.4410694092398518E-2</v>
      </c>
      <c r="R516" s="339">
        <f t="shared" si="316"/>
        <v>-2.2197771249656686</v>
      </c>
      <c r="S516" s="731" t="str">
        <f t="shared" si="293"/>
        <v>6000</v>
      </c>
      <c r="T516" s="337" t="str">
        <f t="shared" si="294"/>
        <v>1+446708.839944415i</v>
      </c>
      <c r="U516" s="346">
        <f t="shared" si="317"/>
        <v>446708.8399455343</v>
      </c>
      <c r="V516" s="347">
        <f t="shared" si="318"/>
        <v>1.5707940882002895</v>
      </c>
      <c r="W516" s="340" t="str">
        <f t="shared" si="295"/>
        <v>1+4422.85980142985i</v>
      </c>
      <c r="X516" s="337">
        <f t="shared" si="319"/>
        <v>4422.8599144788768</v>
      </c>
      <c r="Y516" s="339">
        <f t="shared" si="320"/>
        <v>1.570570228743442</v>
      </c>
      <c r="Z516" s="337" t="str">
        <f t="shared" si="296"/>
        <v>1+44.5534841681447i</v>
      </c>
      <c r="AA516" s="346">
        <f t="shared" si="321"/>
        <v>44.564705221970449</v>
      </c>
      <c r="AB516" s="347">
        <f t="shared" si="322"/>
        <v>1.548355160982827</v>
      </c>
      <c r="AC516" s="732" t="str">
        <f t="shared" si="323"/>
        <v>0.0296138262462194-1.33269772064284i</v>
      </c>
      <c r="AD516" s="337">
        <f t="shared" si="324"/>
        <v>1.3330267039003993</v>
      </c>
      <c r="AE516" s="339">
        <f t="shared" si="325"/>
        <v>-1.5485790204396745</v>
      </c>
      <c r="AF516" s="736" t="str">
        <f t="shared" si="297"/>
        <v>-0.037151794169056+0.0269041894949422i</v>
      </c>
      <c r="AG516" s="337">
        <f t="shared" si="326"/>
        <v>-26.769354353792231</v>
      </c>
      <c r="AH516" s="730">
        <f t="shared" si="327"/>
        <v>144.08909716608665</v>
      </c>
      <c r="AI516" s="360">
        <f t="shared" si="298"/>
        <v>-35.910902833913354</v>
      </c>
      <c r="AL516" s="337">
        <f t="shared" si="299"/>
        <v>2.4967769903840971</v>
      </c>
      <c r="AM516" s="730">
        <f t="shared" si="300"/>
        <v>-88.727042113696598</v>
      </c>
      <c r="AN516" s="351"/>
      <c r="AO516" s="337">
        <f t="shared" si="301"/>
        <v>24.262991140865804</v>
      </c>
      <c r="AP516" s="730">
        <f t="shared" si="302"/>
        <v>-127.18386072021679</v>
      </c>
      <c r="AS516" s="351"/>
      <c r="AT516" s="351"/>
      <c r="AV516" s="405">
        <f t="shared" si="303"/>
        <v>0</v>
      </c>
      <c r="AW516" s="405">
        <f t="shared" si="328"/>
        <v>0</v>
      </c>
      <c r="AX516" s="405">
        <f t="shared" si="304"/>
        <v>0</v>
      </c>
      <c r="AY516" s="405">
        <f t="shared" si="305"/>
        <v>0</v>
      </c>
    </row>
    <row r="517" spans="2:51" ht="13.5" thickBot="1" x14ac:dyDescent="0.25">
      <c r="B517" s="345">
        <v>70795</v>
      </c>
      <c r="C517" s="728" t="str">
        <f t="shared" si="288"/>
        <v>2.2271548443541</v>
      </c>
      <c r="D517" s="728" t="str">
        <f t="shared" si="289"/>
        <v>1+54.1195359649831i</v>
      </c>
      <c r="E517" s="337">
        <f t="shared" si="307"/>
        <v>54.128773984500135</v>
      </c>
      <c r="F517" s="338">
        <f t="shared" si="308"/>
        <v>1.5523208133218149</v>
      </c>
      <c r="G517" s="338" t="str">
        <f t="shared" si="290"/>
        <v>1+0.222409051910889i</v>
      </c>
      <c r="H517" s="337">
        <f t="shared" si="309"/>
        <v>1.0244343738726756</v>
      </c>
      <c r="I517" s="338">
        <f t="shared" si="310"/>
        <v>0.21884697653178553</v>
      </c>
      <c r="J517" s="340">
        <f t="shared" si="291"/>
        <v>1</v>
      </c>
      <c r="K517" s="338">
        <f t="shared" si="311"/>
        <v>1</v>
      </c>
      <c r="L517" s="339">
        <f t="shared" si="312"/>
        <v>0</v>
      </c>
      <c r="M517" s="731" t="str">
        <f t="shared" si="292"/>
        <v>0.777247465555555+0.958781318511399i</v>
      </c>
      <c r="N517" s="338">
        <f t="shared" si="313"/>
        <v>1.2342508818870621</v>
      </c>
      <c r="O517" s="339">
        <f t="shared" si="314"/>
        <v>0.88958796577207921</v>
      </c>
      <c r="P517" s="732" t="str">
        <f t="shared" si="306"/>
        <v>-0.020729235288041-0.0271401341916544i</v>
      </c>
      <c r="Q517" s="337">
        <f t="shared" si="315"/>
        <v>3.4150960155872226E-2</v>
      </c>
      <c r="R517" s="339">
        <f t="shared" si="316"/>
        <v>-2.2230618025621087</v>
      </c>
      <c r="S517" s="731" t="str">
        <f t="shared" si="293"/>
        <v>6000</v>
      </c>
      <c r="T517" s="337" t="str">
        <f t="shared" si="294"/>
        <v>1+449266.284859997i</v>
      </c>
      <c r="U517" s="346">
        <f t="shared" si="317"/>
        <v>449266.28486110986</v>
      </c>
      <c r="V517" s="347">
        <f t="shared" si="318"/>
        <v>1.5707941009434725</v>
      </c>
      <c r="W517" s="340" t="str">
        <f t="shared" si="295"/>
        <v>1+4448.18103821779i</v>
      </c>
      <c r="X517" s="337">
        <f t="shared" si="319"/>
        <v>4448.1811506232862</v>
      </c>
      <c r="Y517" s="339">
        <f t="shared" si="320"/>
        <v>1.5705715158048399</v>
      </c>
      <c r="Z517" s="337" t="str">
        <f t="shared" si="296"/>
        <v>1+44.8085565360241i</v>
      </c>
      <c r="AA517" s="346">
        <f t="shared" si="321"/>
        <v>44.819713730032547</v>
      </c>
      <c r="AB517" s="347">
        <f t="shared" si="322"/>
        <v>1.548482864629342</v>
      </c>
      <c r="AC517" s="732" t="str">
        <f t="shared" si="323"/>
        <v>0.0292778002639774-1.3251188481265i</v>
      </c>
      <c r="AD517" s="337">
        <f t="shared" si="324"/>
        <v>1.3254422474209879</v>
      </c>
      <c r="AE517" s="339">
        <f t="shared" si="325"/>
        <v>-1.5487054497679744</v>
      </c>
      <c r="AF517" s="736" t="str">
        <f t="shared" si="297"/>
        <v>-0.036570809768432+0.0266740969594313i</v>
      </c>
      <c r="AG517" s="337">
        <f t="shared" si="326"/>
        <v>-26.884725446653853</v>
      </c>
      <c r="AH517" s="730">
        <f t="shared" si="327"/>
        <v>143.89365513583121</v>
      </c>
      <c r="AI517" s="360">
        <f t="shared" si="298"/>
        <v>-36.10634486416879</v>
      </c>
      <c r="AL517" s="337">
        <f t="shared" si="299"/>
        <v>2.447216185361047</v>
      </c>
      <c r="AM517" s="730">
        <f t="shared" si="300"/>
        <v>-88.734285980614857</v>
      </c>
      <c r="AN517" s="351"/>
      <c r="AO517" s="337">
        <f t="shared" si="301"/>
        <v>24.197180853027245</v>
      </c>
      <c r="AP517" s="730">
        <f t="shared" si="302"/>
        <v>-127.37205888355383</v>
      </c>
      <c r="AS517" s="351"/>
      <c r="AT517" s="351"/>
      <c r="AV517" s="405">
        <f t="shared" si="303"/>
        <v>0</v>
      </c>
      <c r="AW517" s="405">
        <f t="shared" si="328"/>
        <v>0</v>
      </c>
      <c r="AX517" s="405">
        <f t="shared" si="304"/>
        <v>0</v>
      </c>
      <c r="AY517" s="405">
        <f t="shared" si="305"/>
        <v>0</v>
      </c>
    </row>
    <row r="518" spans="2:51" ht="13.5" thickBot="1" x14ac:dyDescent="0.25">
      <c r="B518" s="345">
        <v>71207.25</v>
      </c>
      <c r="C518" s="728" t="str">
        <f t="shared" si="288"/>
        <v>2.2271548443541</v>
      </c>
      <c r="D518" s="728" t="str">
        <f t="shared" si="289"/>
        <v>1+54.4346822140341i</v>
      </c>
      <c r="E518" s="337">
        <f t="shared" si="307"/>
        <v>54.443866759653282</v>
      </c>
      <c r="F518" s="338">
        <f t="shared" si="308"/>
        <v>1.5524277520439844</v>
      </c>
      <c r="G518" s="338" t="str">
        <f t="shared" si="290"/>
        <v>1+0.223704173482332i</v>
      </c>
      <c r="H518" s="337">
        <f t="shared" si="309"/>
        <v>1.0247163301291793</v>
      </c>
      <c r="I518" s="338">
        <f t="shared" si="310"/>
        <v>0.22008071426482403</v>
      </c>
      <c r="J518" s="340">
        <f t="shared" si="291"/>
        <v>1</v>
      </c>
      <c r="K518" s="338">
        <f t="shared" si="311"/>
        <v>1</v>
      </c>
      <c r="L518" s="339">
        <f t="shared" si="312"/>
        <v>0</v>
      </c>
      <c r="M518" s="731" t="str">
        <f t="shared" si="292"/>
        <v>0.774645668775+0.964364447243038i</v>
      </c>
      <c r="N518" s="338">
        <f t="shared" si="313"/>
        <v>1.2369618827022266</v>
      </c>
      <c r="O518" s="339">
        <f t="shared" si="314"/>
        <v>0.89406425731987438</v>
      </c>
      <c r="P518" s="732" t="str">
        <f t="shared" si="306"/>
        <v>-0.0206598473672067-0.0268622846114658i</v>
      </c>
      <c r="Q518" s="337">
        <f t="shared" si="315"/>
        <v>3.3888222552734597E-2</v>
      </c>
      <c r="R518" s="339">
        <f t="shared" si="316"/>
        <v>-2.2264112950990338</v>
      </c>
      <c r="S518" s="731" t="str">
        <f t="shared" si="293"/>
        <v>6000</v>
      </c>
      <c r="T518" s="337" t="str">
        <f t="shared" si="294"/>
        <v>1+451882.430434311i</v>
      </c>
      <c r="U518" s="346">
        <f t="shared" si="317"/>
        <v>451882.43043541751</v>
      </c>
      <c r="V518" s="347">
        <f t="shared" si="318"/>
        <v>1.5707941138299024</v>
      </c>
      <c r="W518" s="340" t="str">
        <f t="shared" si="295"/>
        <v>1+4474.08346964664i</v>
      </c>
      <c r="X518" s="337">
        <f t="shared" si="319"/>
        <v>4474.0835814013717</v>
      </c>
      <c r="Y518" s="339">
        <f t="shared" si="320"/>
        <v>1.5705728173342144</v>
      </c>
      <c r="Z518" s="337" t="str">
        <f t="shared" si="296"/>
        <v>1+45.0694835426203i</v>
      </c>
      <c r="AA518" s="346">
        <f t="shared" si="321"/>
        <v>45.080576158679719</v>
      </c>
      <c r="AB518" s="347">
        <f t="shared" si="322"/>
        <v>1.5486120045445506</v>
      </c>
      <c r="AC518" s="732" t="str">
        <f t="shared" si="323"/>
        <v>0.0289399438614982-1.31745465028771i</v>
      </c>
      <c r="AD518" s="337">
        <f t="shared" si="324"/>
        <v>1.3177724674295708</v>
      </c>
      <c r="AE518" s="339">
        <f t="shared" si="325"/>
        <v>-1.5488333010402386</v>
      </c>
      <c r="AF518" s="736" t="str">
        <f t="shared" si="297"/>
        <v>-0.0359877366017217+0.0264410189795134i</v>
      </c>
      <c r="AG518" s="337">
        <f t="shared" si="326"/>
        <v>-27.00221559925275</v>
      </c>
      <c r="AH518" s="730">
        <f t="shared" si="327"/>
        <v>143.69441801164871</v>
      </c>
      <c r="AI518" s="360">
        <f t="shared" si="298"/>
        <v>-36.305581988351292</v>
      </c>
      <c r="AL518" s="337">
        <f t="shared" si="299"/>
        <v>2.396808589525206</v>
      </c>
      <c r="AM518" s="730">
        <f t="shared" si="300"/>
        <v>-88.741611318920974</v>
      </c>
      <c r="AN518" s="351"/>
      <c r="AO518" s="337">
        <f t="shared" si="301"/>
        <v>24.130098296264176</v>
      </c>
      <c r="AP518" s="730">
        <f t="shared" si="302"/>
        <v>-127.5639706694303</v>
      </c>
      <c r="AS518" s="351"/>
      <c r="AT518" s="351"/>
      <c r="AV518" s="405">
        <f t="shared" si="303"/>
        <v>0</v>
      </c>
      <c r="AW518" s="405">
        <f t="shared" si="328"/>
        <v>0</v>
      </c>
      <c r="AX518" s="405">
        <f t="shared" si="304"/>
        <v>0</v>
      </c>
      <c r="AY518" s="405">
        <f t="shared" si="305"/>
        <v>0</v>
      </c>
    </row>
    <row r="519" spans="2:51" ht="13.5" thickBot="1" x14ac:dyDescent="0.25">
      <c r="B519" s="345">
        <v>71619.5</v>
      </c>
      <c r="C519" s="728" t="str">
        <f t="shared" si="288"/>
        <v>2.2271548443541</v>
      </c>
      <c r="D519" s="728" t="str">
        <f t="shared" si="289"/>
        <v>1+54.749828463085i</v>
      </c>
      <c r="E519" s="337">
        <f t="shared" si="307"/>
        <v>54.758960150255156</v>
      </c>
      <c r="F519" s="338">
        <f t="shared" si="308"/>
        <v>1.5525334600761742</v>
      </c>
      <c r="G519" s="338" t="str">
        <f t="shared" si="290"/>
        <v>1+0.224999295053774i</v>
      </c>
      <c r="H519" s="337">
        <f t="shared" si="309"/>
        <v>1.0249998452559372</v>
      </c>
      <c r="I519" s="338">
        <f t="shared" si="310"/>
        <v>0.22131377136972355</v>
      </c>
      <c r="J519" s="340">
        <f t="shared" si="291"/>
        <v>1</v>
      </c>
      <c r="K519" s="338">
        <f t="shared" si="311"/>
        <v>1</v>
      </c>
      <c r="L519" s="339">
        <f t="shared" si="312"/>
        <v>0</v>
      </c>
      <c r="M519" s="731" t="str">
        <f t="shared" si="292"/>
        <v>0.772028765322223+0.969947575974675i</v>
      </c>
      <c r="N519" s="338">
        <f t="shared" si="313"/>
        <v>1.239688152167352</v>
      </c>
      <c r="O519" s="339">
        <f t="shared" si="314"/>
        <v>0.89853041620981311</v>
      </c>
      <c r="P519" s="732" t="str">
        <f t="shared" si="306"/>
        <v>-0.0205903506497006-0.0265877536974585i</v>
      </c>
      <c r="Q519" s="337">
        <f t="shared" si="315"/>
        <v>3.3628428249835647E-2</v>
      </c>
      <c r="R519" s="339">
        <f t="shared" si="316"/>
        <v>-2.2297501049162647</v>
      </c>
      <c r="S519" s="731" t="str">
        <f t="shared" si="293"/>
        <v>6000</v>
      </c>
      <c r="T519" s="337" t="str">
        <f t="shared" si="294"/>
        <v>1+454498.576008624i</v>
      </c>
      <c r="U519" s="346">
        <f t="shared" si="317"/>
        <v>454498.57600972411</v>
      </c>
      <c r="V519" s="347">
        <f t="shared" si="318"/>
        <v>1.570794126567981</v>
      </c>
      <c r="W519" s="340" t="str">
        <f t="shared" si="295"/>
        <v>1+4499.98590107548i</v>
      </c>
      <c r="X519" s="337">
        <f t="shared" si="319"/>
        <v>4499.9860121869378</v>
      </c>
      <c r="Y519" s="339">
        <f t="shared" si="320"/>
        <v>1.5705741038800871</v>
      </c>
      <c r="Z519" s="337" t="str">
        <f t="shared" si="296"/>
        <v>1+45.3304105492164i</v>
      </c>
      <c r="AA519" s="346">
        <f t="shared" si="321"/>
        <v>45.341439330490047</v>
      </c>
      <c r="AB519" s="347">
        <f t="shared" si="322"/>
        <v>1.5487396584989874</v>
      </c>
      <c r="AC519" s="732" t="str">
        <f t="shared" si="323"/>
        <v>0.0286079010874807-1.3098785561905i</v>
      </c>
      <c r="AD519" s="337">
        <f t="shared" si="324"/>
        <v>1.3101909189016461</v>
      </c>
      <c r="AE519" s="339">
        <f t="shared" si="325"/>
        <v>-1.5489596811868815</v>
      </c>
      <c r="AF519" s="736" t="str">
        <f t="shared" si="297"/>
        <v>-0.0354157751403187+0.0262102389525708i</v>
      </c>
      <c r="AG519" s="337">
        <f t="shared" si="326"/>
        <v>-27.119176912574648</v>
      </c>
      <c r="AH519" s="730">
        <f t="shared" si="327"/>
        <v>143.49587725150758</v>
      </c>
      <c r="AI519" s="360">
        <f t="shared" si="298"/>
        <v>-36.504122748492421</v>
      </c>
      <c r="AL519" s="337">
        <f t="shared" si="299"/>
        <v>2.3466916991314801</v>
      </c>
      <c r="AM519" s="730">
        <f t="shared" si="300"/>
        <v>-88.748852367937857</v>
      </c>
      <c r="AN519" s="351"/>
      <c r="AO519" s="337">
        <f t="shared" si="301"/>
        <v>24.063253873336009</v>
      </c>
      <c r="AP519" s="730">
        <f t="shared" si="302"/>
        <v>-127.75527038055445</v>
      </c>
      <c r="AS519" s="351"/>
      <c r="AT519" s="351"/>
      <c r="AV519" s="405">
        <f t="shared" si="303"/>
        <v>0</v>
      </c>
      <c r="AW519" s="405">
        <f t="shared" si="328"/>
        <v>0</v>
      </c>
      <c r="AX519" s="405">
        <f t="shared" si="304"/>
        <v>0</v>
      </c>
      <c r="AY519" s="405">
        <f t="shared" si="305"/>
        <v>0</v>
      </c>
    </row>
    <row r="520" spans="2:51" ht="13.5" thickBot="1" x14ac:dyDescent="0.25">
      <c r="B520" s="345">
        <v>72031.75</v>
      </c>
      <c r="C520" s="728" t="str">
        <f t="shared" si="288"/>
        <v>2.2271548443541</v>
      </c>
      <c r="D520" s="728" t="str">
        <f t="shared" si="289"/>
        <v>1+55.064974712136i</v>
      </c>
      <c r="E520" s="337">
        <f t="shared" si="307"/>
        <v>55.074054145742508</v>
      </c>
      <c r="F520" s="338">
        <f t="shared" si="308"/>
        <v>1.5526379585393613</v>
      </c>
      <c r="G520" s="338" t="str">
        <f t="shared" si="290"/>
        <v>1+0.226294416625216i</v>
      </c>
      <c r="H520" s="337">
        <f t="shared" si="309"/>
        <v>1.0252849179597576</v>
      </c>
      <c r="I520" s="338">
        <f t="shared" si="310"/>
        <v>0.22254614466312148</v>
      </c>
      <c r="J520" s="340">
        <f t="shared" si="291"/>
        <v>1</v>
      </c>
      <c r="K520" s="338">
        <f t="shared" si="311"/>
        <v>1</v>
      </c>
      <c r="L520" s="339">
        <f t="shared" si="312"/>
        <v>0</v>
      </c>
      <c r="M520" s="731" t="str">
        <f t="shared" si="292"/>
        <v>0.769396755197223+0.975530704706313i</v>
      </c>
      <c r="N520" s="338">
        <f t="shared" si="313"/>
        <v>1.2424296852268184</v>
      </c>
      <c r="O520" s="339">
        <f t="shared" si="314"/>
        <v>0.90298643330325923</v>
      </c>
      <c r="P520" s="732" t="str">
        <f t="shared" si="306"/>
        <v>-0.0205207527703622-0.0263164910787358i</v>
      </c>
      <c r="Q520" s="337">
        <f t="shared" si="315"/>
        <v>3.3371529736580981E-2</v>
      </c>
      <c r="R520" s="339">
        <f t="shared" si="316"/>
        <v>-2.233078247179499</v>
      </c>
      <c r="S520" s="731" t="str">
        <f t="shared" si="293"/>
        <v>6000</v>
      </c>
      <c r="T520" s="337" t="str">
        <f t="shared" si="294"/>
        <v>1+457114.721582937i</v>
      </c>
      <c r="U520" s="346">
        <f t="shared" si="317"/>
        <v>457114.72158403078</v>
      </c>
      <c r="V520" s="347">
        <f t="shared" si="318"/>
        <v>1.5707941391602553</v>
      </c>
      <c r="W520" s="340" t="str">
        <f t="shared" si="295"/>
        <v>1+4525.88833250433i</v>
      </c>
      <c r="X520" s="337">
        <f t="shared" si="319"/>
        <v>4525.8884429798782</v>
      </c>
      <c r="Y520" s="339">
        <f t="shared" si="320"/>
        <v>1.5705753756997172</v>
      </c>
      <c r="Z520" s="337" t="str">
        <f t="shared" si="296"/>
        <v>1+45.5913375558125i</v>
      </c>
      <c r="AA520" s="346">
        <f t="shared" si="321"/>
        <v>45.602303232710071</v>
      </c>
      <c r="AB520" s="347">
        <f t="shared" si="322"/>
        <v>1.5488658519893737</v>
      </c>
      <c r="AC520" s="732" t="str">
        <f t="shared" si="323"/>
        <v>0.0282815393409381-1.30238905604511i</v>
      </c>
      <c r="AD520" s="337">
        <f t="shared" si="324"/>
        <v>1.3026960884157002</v>
      </c>
      <c r="AE520" s="339">
        <f t="shared" si="325"/>
        <v>-1.5490846154499118</v>
      </c>
      <c r="AF520" s="736" t="str">
        <f t="shared" si="297"/>
        <v>-0.0348546684512349+0.0259817329521684i</v>
      </c>
      <c r="AG520" s="337">
        <f t="shared" si="326"/>
        <v>-27.235615518369659</v>
      </c>
      <c r="AH520" s="730">
        <f t="shared" si="327"/>
        <v>143.29803054021698</v>
      </c>
      <c r="AI520" s="360">
        <f t="shared" si="298"/>
        <v>-36.701969459783015</v>
      </c>
      <c r="AL520" s="337">
        <f t="shared" si="299"/>
        <v>2.2968621819604698</v>
      </c>
      <c r="AM520" s="730">
        <f t="shared" si="300"/>
        <v>-88.756010573926062</v>
      </c>
      <c r="AN520" s="351"/>
      <c r="AO520" s="337">
        <f t="shared" si="301"/>
        <v>23.996644784712014</v>
      </c>
      <c r="AP520" s="730">
        <f t="shared" si="302"/>
        <v>-127.9459588858569</v>
      </c>
      <c r="AS520" s="351"/>
      <c r="AT520" s="351"/>
      <c r="AV520" s="405">
        <f t="shared" si="303"/>
        <v>0</v>
      </c>
      <c r="AW520" s="405">
        <f t="shared" si="328"/>
        <v>0</v>
      </c>
      <c r="AX520" s="405">
        <f t="shared" si="304"/>
        <v>0</v>
      </c>
      <c r="AY520" s="405">
        <f t="shared" si="305"/>
        <v>0</v>
      </c>
    </row>
    <row r="521" spans="2:51" ht="13.5" thickBot="1" x14ac:dyDescent="0.25">
      <c r="B521" s="345">
        <v>72444</v>
      </c>
      <c r="C521" s="728" t="str">
        <f t="shared" si="288"/>
        <v>2.2271548443541</v>
      </c>
      <c r="D521" s="728" t="str">
        <f t="shared" si="289"/>
        <v>1+55.380120961187i</v>
      </c>
      <c r="E521" s="337">
        <f t="shared" si="307"/>
        <v>55.389148735792133</v>
      </c>
      <c r="F521" s="338">
        <f t="shared" si="308"/>
        <v>1.5527412680740229</v>
      </c>
      <c r="G521" s="338" t="str">
        <f t="shared" si="290"/>
        <v>1+0.227589538196659i</v>
      </c>
      <c r="H521" s="337">
        <f t="shared" si="309"/>
        <v>1.0255715469417863</v>
      </c>
      <c r="I521" s="338">
        <f t="shared" si="310"/>
        <v>0.2237778309734933</v>
      </c>
      <c r="J521" s="340">
        <f t="shared" si="291"/>
        <v>1</v>
      </c>
      <c r="K521" s="338">
        <f t="shared" si="311"/>
        <v>1</v>
      </c>
      <c r="L521" s="339">
        <f t="shared" si="312"/>
        <v>0</v>
      </c>
      <c r="M521" s="731" t="str">
        <f t="shared" si="292"/>
        <v>0.7667496384+0.981113833437952i</v>
      </c>
      <c r="N521" s="338">
        <f t="shared" si="313"/>
        <v>1.2451864768579219</v>
      </c>
      <c r="O521" s="339">
        <f t="shared" si="314"/>
        <v>0.90743229993400398</v>
      </c>
      <c r="P521" s="732" t="str">
        <f t="shared" si="306"/>
        <v>-0.0204510612118297-0.0260484474388138i</v>
      </c>
      <c r="Q521" s="337">
        <f t="shared" si="315"/>
        <v>3.3117480560312107E-2</v>
      </c>
      <c r="R521" s="339">
        <f t="shared" si="316"/>
        <v>-2.2363957370345342</v>
      </c>
      <c r="S521" s="731" t="str">
        <f t="shared" si="293"/>
        <v>6000</v>
      </c>
      <c r="T521" s="337" t="str">
        <f t="shared" si="294"/>
        <v>1+459730.867157251i</v>
      </c>
      <c r="U521" s="346">
        <f t="shared" si="317"/>
        <v>459730.86715833854</v>
      </c>
      <c r="V521" s="347">
        <f t="shared" si="318"/>
        <v>1.5707941516092143</v>
      </c>
      <c r="W521" s="340" t="str">
        <f t="shared" si="295"/>
        <v>1+4551.79076393318i</v>
      </c>
      <c r="X521" s="337">
        <f t="shared" si="319"/>
        <v>4551.7908737800553</v>
      </c>
      <c r="Y521" s="339">
        <f t="shared" si="320"/>
        <v>1.5705766330445083</v>
      </c>
      <c r="Z521" s="337" t="str">
        <f t="shared" si="296"/>
        <v>1+45.8522645624087i</v>
      </c>
      <c r="AA521" s="346">
        <f t="shared" si="321"/>
        <v>45.863167852876458</v>
      </c>
      <c r="AB521" s="347">
        <f t="shared" si="322"/>
        <v>1.548990609932529</v>
      </c>
      <c r="AC521" s="732" t="str">
        <f t="shared" si="323"/>
        <v>0.0279607297794047-1.29498467434622i</v>
      </c>
      <c r="AD521" s="337">
        <f t="shared" si="324"/>
        <v>1.2952864969578672</v>
      </c>
      <c r="AE521" s="339">
        <f t="shared" si="325"/>
        <v>-1.549208128497235</v>
      </c>
      <c r="AF521" s="736" t="str">
        <f t="shared" si="297"/>
        <v>-0.034304166820023+0.0257554772434262i</v>
      </c>
      <c r="AG521" s="337">
        <f t="shared" si="326"/>
        <v>-27.351537436105762</v>
      </c>
      <c r="AH521" s="730">
        <f t="shared" si="327"/>
        <v>143.10087559661963</v>
      </c>
      <c r="AI521" s="360">
        <f t="shared" si="298"/>
        <v>-36.89912440338037</v>
      </c>
      <c r="AL521" s="337">
        <f t="shared" si="299"/>
        <v>2.2473167627322854</v>
      </c>
      <c r="AM521" s="730">
        <f t="shared" si="300"/>
        <v>-88.763087350252476</v>
      </c>
      <c r="AN521" s="351"/>
      <c r="AO521" s="337">
        <f t="shared" si="301"/>
        <v>23.930268286204065</v>
      </c>
      <c r="AP521" s="730">
        <f t="shared" si="302"/>
        <v>-128.13603705312798</v>
      </c>
      <c r="AS521" s="351"/>
      <c r="AT521" s="351"/>
      <c r="AV521" s="405">
        <f t="shared" si="303"/>
        <v>0</v>
      </c>
      <c r="AW521" s="405">
        <f t="shared" si="328"/>
        <v>0</v>
      </c>
      <c r="AX521" s="405">
        <f t="shared" si="304"/>
        <v>0</v>
      </c>
      <c r="AY521" s="405">
        <f t="shared" si="305"/>
        <v>0</v>
      </c>
    </row>
    <row r="522" spans="2:51" ht="13.5" thickBot="1" x14ac:dyDescent="0.25">
      <c r="B522" s="345">
        <v>72865.75</v>
      </c>
      <c r="C522" s="728" t="str">
        <f t="shared" si="288"/>
        <v>2.2271548443541</v>
      </c>
      <c r="D522" s="728" t="str">
        <f t="shared" si="289"/>
        <v>1+55.7025295252556i</v>
      </c>
      <c r="E522" s="337">
        <f t="shared" si="307"/>
        <v>55.711505055167656</v>
      </c>
      <c r="F522" s="338">
        <f t="shared" si="308"/>
        <v>1.5528457489940897</v>
      </c>
      <c r="G522" s="338" t="str">
        <f t="shared" si="290"/>
        <v>1+0.228914504898311i</v>
      </c>
      <c r="H522" s="337">
        <f t="shared" si="309"/>
        <v>1.0258663902052931</v>
      </c>
      <c r="I522" s="338">
        <f t="shared" si="310"/>
        <v>0.22503718638811632</v>
      </c>
      <c r="J522" s="340">
        <f t="shared" si="291"/>
        <v>1</v>
      </c>
      <c r="K522" s="338">
        <f t="shared" si="311"/>
        <v>1</v>
      </c>
      <c r="L522" s="339">
        <f t="shared" si="312"/>
        <v>0</v>
      </c>
      <c r="M522" s="731" t="str">
        <f t="shared" si="292"/>
        <v>0.764025887863889+0.986825621291362i</v>
      </c>
      <c r="N522" s="338">
        <f t="shared" si="313"/>
        <v>1.2480225815918902</v>
      </c>
      <c r="O522" s="339">
        <f t="shared" si="314"/>
        <v>0.91197010574371173</v>
      </c>
      <c r="P522" s="732" t="str">
        <f t="shared" si="306"/>
        <v>-0.0203796743667312-0.0257775076794282i</v>
      </c>
      <c r="Q522" s="337">
        <f t="shared" si="315"/>
        <v>3.2860478229279934E-2</v>
      </c>
      <c r="R522" s="339">
        <f t="shared" si="316"/>
        <v>-2.2397786683496839</v>
      </c>
      <c r="S522" s="731" t="str">
        <f t="shared" si="293"/>
        <v>6000</v>
      </c>
      <c r="T522" s="337" t="str">
        <f t="shared" si="294"/>
        <v>1+462407.299894587i</v>
      </c>
      <c r="U522" s="346">
        <f t="shared" si="317"/>
        <v>462407.2998956684</v>
      </c>
      <c r="V522" s="347">
        <f t="shared" si="318"/>
        <v>1.5707941641992798</v>
      </c>
      <c r="W522" s="340" t="str">
        <f t="shared" si="295"/>
        <v>1+4578.29009796621i</v>
      </c>
      <c r="X522" s="337">
        <f t="shared" si="319"/>
        <v>4578.2902071772869</v>
      </c>
      <c r="Y522" s="339">
        <f t="shared" si="320"/>
        <v>1.5705779046410577</v>
      </c>
      <c r="Z522" s="337" t="str">
        <f t="shared" si="296"/>
        <v>1+46.1192044412006i</v>
      </c>
      <c r="AA522" s="346">
        <f t="shared" si="321"/>
        <v>46.130044637841586</v>
      </c>
      <c r="AB522" s="347">
        <f t="shared" si="322"/>
        <v>1.5491167826730734</v>
      </c>
      <c r="AC522" s="732" t="str">
        <f t="shared" si="323"/>
        <v>0.0276381424277847-1.28749624367695i</v>
      </c>
      <c r="AD522" s="337">
        <f t="shared" si="324"/>
        <v>1.2877928577217359</v>
      </c>
      <c r="AE522" s="339">
        <f t="shared" si="325"/>
        <v>-1.5493330422312954</v>
      </c>
      <c r="AF522" s="736" t="str">
        <f t="shared" si="297"/>
        <v>-0.0337517006513971+0.0255263117658485i</v>
      </c>
      <c r="AG522" s="337">
        <f t="shared" si="326"/>
        <v>-27.469602166404528</v>
      </c>
      <c r="AH522" s="730">
        <f t="shared" si="327"/>
        <v>142.89989088011396</v>
      </c>
      <c r="AI522" s="360">
        <f t="shared" si="298"/>
        <v>-37.100109119886042</v>
      </c>
      <c r="AL522" s="337">
        <f t="shared" si="299"/>
        <v>2.1969202421039387</v>
      </c>
      <c r="AM522" s="730">
        <f t="shared" si="300"/>
        <v>-88.77024438001736</v>
      </c>
      <c r="AN522" s="351"/>
      <c r="AO522" s="337">
        <f t="shared" si="301"/>
        <v>23.862600076533678</v>
      </c>
      <c r="AP522" s="730">
        <f t="shared" si="302"/>
        <v>-128.32986473986861</v>
      </c>
      <c r="AS522" s="351"/>
      <c r="AT522" s="351"/>
      <c r="AV522" s="405">
        <f t="shared" si="303"/>
        <v>0</v>
      </c>
      <c r="AW522" s="405">
        <f t="shared" si="328"/>
        <v>0</v>
      </c>
      <c r="AX522" s="405">
        <f t="shared" si="304"/>
        <v>0</v>
      </c>
      <c r="AY522" s="405">
        <f t="shared" si="305"/>
        <v>0</v>
      </c>
    </row>
    <row r="523" spans="2:51" ht="13.5" thickBot="1" x14ac:dyDescent="0.25">
      <c r="B523" s="345">
        <v>73287.5</v>
      </c>
      <c r="C523" s="728" t="str">
        <f t="shared" si="288"/>
        <v>2.2271548443541</v>
      </c>
      <c r="D523" s="728" t="str">
        <f t="shared" si="289"/>
        <v>1+56.0249380893241i</v>
      </c>
      <c r="E523" s="337">
        <f t="shared" si="307"/>
        <v>56.033861975707133</v>
      </c>
      <c r="F523" s="338">
        <f t="shared" si="308"/>
        <v>1.552949027779762</v>
      </c>
      <c r="G523" s="338" t="str">
        <f t="shared" si="290"/>
        <v>1+0.230239471599962i</v>
      </c>
      <c r="H523" s="337">
        <f t="shared" si="309"/>
        <v>1.0261628595318726</v>
      </c>
      <c r="I523" s="338">
        <f t="shared" si="310"/>
        <v>0.2262958161156815</v>
      </c>
      <c r="J523" s="340">
        <f t="shared" si="291"/>
        <v>1</v>
      </c>
      <c r="K523" s="338">
        <f t="shared" si="311"/>
        <v>1</v>
      </c>
      <c r="L523" s="339">
        <f t="shared" si="312"/>
        <v>0</v>
      </c>
      <c r="M523" s="731" t="str">
        <f t="shared" si="292"/>
        <v>0.761286326388889+0.992537409144772i</v>
      </c>
      <c r="N523" s="338">
        <f t="shared" si="313"/>
        <v>1.2508746457173503</v>
      </c>
      <c r="O523" s="339">
        <f t="shared" si="314"/>
        <v>0.91649727102678658</v>
      </c>
      <c r="P523" s="732" t="str">
        <f t="shared" si="306"/>
        <v>-0.0203082048452988-0.0255098357979795i</v>
      </c>
      <c r="Q523" s="337">
        <f t="shared" si="315"/>
        <v>3.2606362975322684E-2</v>
      </c>
      <c r="R523" s="339">
        <f t="shared" si="316"/>
        <v>-2.2431504826908659</v>
      </c>
      <c r="S523" s="731" t="str">
        <f t="shared" si="293"/>
        <v>6000</v>
      </c>
      <c r="T523" s="337" t="str">
        <f t="shared" si="294"/>
        <v>1+465083.732631923i</v>
      </c>
      <c r="U523" s="346">
        <f t="shared" si="317"/>
        <v>465083.73263299803</v>
      </c>
      <c r="V523" s="347">
        <f t="shared" si="318"/>
        <v>1.5707941766444402</v>
      </c>
      <c r="W523" s="340" t="str">
        <f t="shared" si="295"/>
        <v>1+4604.78943199924i</v>
      </c>
      <c r="X523" s="337">
        <f t="shared" si="319"/>
        <v>4604.7895405818372</v>
      </c>
      <c r="Y523" s="339">
        <f t="shared" si="320"/>
        <v>1.5705791616022104</v>
      </c>
      <c r="Z523" s="337" t="str">
        <f t="shared" si="296"/>
        <v>1+46.3861443199924i</v>
      </c>
      <c r="AA523" s="346">
        <f t="shared" si="321"/>
        <v>46.396922148728393</v>
      </c>
      <c r="AB523" s="347">
        <f t="shared" si="322"/>
        <v>1.5492415039112439</v>
      </c>
      <c r="AC523" s="732" t="str">
        <f t="shared" si="323"/>
        <v>0.0273211047987607-1.28009388120523i</v>
      </c>
      <c r="AD523" s="337">
        <f t="shared" si="324"/>
        <v>1.280385405831578</v>
      </c>
      <c r="AE523" s="339">
        <f t="shared" si="325"/>
        <v>-1.5494565189534737</v>
      </c>
      <c r="AF523" s="736" t="str">
        <f t="shared" si="297"/>
        <v>-0.0332098273083968+0.0252994518634936i</v>
      </c>
      <c r="AG523" s="337">
        <f t="shared" si="326"/>
        <v>-27.587138517576722</v>
      </c>
      <c r="AH523" s="730">
        <f t="shared" si="327"/>
        <v>142.6996254540137</v>
      </c>
      <c r="AI523" s="360">
        <f t="shared" si="298"/>
        <v>-37.300374545986301</v>
      </c>
      <c r="AL523" s="337">
        <f t="shared" si="299"/>
        <v>2.146814305959615</v>
      </c>
      <c r="AM523" s="730">
        <f t="shared" si="300"/>
        <v>-88.777319075066288</v>
      </c>
      <c r="AN523" s="351"/>
      <c r="AO523" s="337">
        <f t="shared" si="301"/>
        <v>23.79516966150582</v>
      </c>
      <c r="AP523" s="730">
        <f t="shared" si="302"/>
        <v>-128.52305547091999</v>
      </c>
      <c r="AS523" s="351"/>
      <c r="AT523" s="351"/>
      <c r="AV523" s="405">
        <f t="shared" si="303"/>
        <v>0</v>
      </c>
      <c r="AW523" s="405">
        <f t="shared" si="328"/>
        <v>0</v>
      </c>
      <c r="AX523" s="405">
        <f t="shared" si="304"/>
        <v>0</v>
      </c>
      <c r="AY523" s="405">
        <f t="shared" si="305"/>
        <v>0</v>
      </c>
    </row>
    <row r="524" spans="2:51" ht="13.5" thickBot="1" x14ac:dyDescent="0.25">
      <c r="B524" s="345">
        <v>73709.25</v>
      </c>
      <c r="C524" s="728" t="str">
        <f t="shared" si="288"/>
        <v>2.2271548443541</v>
      </c>
      <c r="D524" s="728" t="str">
        <f t="shared" si="289"/>
        <v>1+56.3473466533926i</v>
      </c>
      <c r="E524" s="337">
        <f t="shared" si="307"/>
        <v>56.356219487094705</v>
      </c>
      <c r="F524" s="338">
        <f t="shared" si="308"/>
        <v>1.5530511250574397</v>
      </c>
      <c r="G524" s="338" t="str">
        <f t="shared" si="290"/>
        <v>1+0.231564438301613i</v>
      </c>
      <c r="H524" s="337">
        <f t="shared" si="309"/>
        <v>1.0264609535125735</v>
      </c>
      <c r="I524" s="338">
        <f t="shared" si="310"/>
        <v>0.22755371679900424</v>
      </c>
      <c r="J524" s="340">
        <f t="shared" si="291"/>
        <v>1</v>
      </c>
      <c r="K524" s="338">
        <f t="shared" si="311"/>
        <v>1</v>
      </c>
      <c r="L524" s="339">
        <f t="shared" si="312"/>
        <v>0</v>
      </c>
      <c r="M524" s="731" t="str">
        <f t="shared" si="292"/>
        <v>0.758530953975+0.998249196998183i</v>
      </c>
      <c r="N524" s="338">
        <f t="shared" si="313"/>
        <v>1.2537426639648748</v>
      </c>
      <c r="O524" s="339">
        <f t="shared" si="314"/>
        <v>0.92101378801141742</v>
      </c>
      <c r="P524" s="732" t="str">
        <f t="shared" si="306"/>
        <v>-0.0202366601866499-0.0252453822253786i</v>
      </c>
      <c r="Q524" s="337">
        <f t="shared" si="315"/>
        <v>3.2355088304861772E-2</v>
      </c>
      <c r="R524" s="339">
        <f t="shared" si="316"/>
        <v>-2.2465111962698505</v>
      </c>
      <c r="S524" s="731" t="str">
        <f t="shared" si="293"/>
        <v>6000</v>
      </c>
      <c r="T524" s="337" t="str">
        <f t="shared" si="294"/>
        <v>1+467760.165369259i</v>
      </c>
      <c r="U524" s="346">
        <f t="shared" si="317"/>
        <v>467760.165370328</v>
      </c>
      <c r="V524" s="347">
        <f t="shared" si="318"/>
        <v>1.570794188947183</v>
      </c>
      <c r="W524" s="340" t="str">
        <f t="shared" si="295"/>
        <v>1+4631.28876603227i</v>
      </c>
      <c r="X524" s="337">
        <f t="shared" si="319"/>
        <v>4631.2888739935788</v>
      </c>
      <c r="Y524" s="339">
        <f t="shared" si="320"/>
        <v>1.5705804041791889</v>
      </c>
      <c r="Z524" s="337" t="str">
        <f t="shared" si="296"/>
        <v>1+46.6530841987842i</v>
      </c>
      <c r="AA524" s="346">
        <f t="shared" si="321"/>
        <v>46.663800373082012</v>
      </c>
      <c r="AB524" s="347">
        <f t="shared" si="322"/>
        <v>1.5493647985472949</v>
      </c>
      <c r="AC524" s="732" t="str">
        <f t="shared" si="323"/>
        <v>0.0270094903361923-1.27277611224729i</v>
      </c>
      <c r="AD524" s="337">
        <f t="shared" si="324"/>
        <v>1.2730626632163662</v>
      </c>
      <c r="AE524" s="339">
        <f t="shared" si="325"/>
        <v>-1.5495785833152891</v>
      </c>
      <c r="AF524" s="736" t="str">
        <f t="shared" si="297"/>
        <v>-0.0326783013187623+0.0250748727699839i</v>
      </c>
      <c r="AG524" s="337">
        <f t="shared" si="326"/>
        <v>-27.704152586865419</v>
      </c>
      <c r="AH524" s="730">
        <f t="shared" si="327"/>
        <v>142.50007697702458</v>
      </c>
      <c r="AI524" s="360">
        <f t="shared" si="298"/>
        <v>-37.499923022975423</v>
      </c>
      <c r="AL524" s="337">
        <f t="shared" si="299"/>
        <v>2.096995624044022</v>
      </c>
      <c r="AM524" s="730">
        <f t="shared" si="300"/>
        <v>-88.784312847827266</v>
      </c>
      <c r="AN524" s="351"/>
      <c r="AO524" s="337">
        <f t="shared" si="301"/>
        <v>23.727974274132695</v>
      </c>
      <c r="AP524" s="730">
        <f t="shared" si="302"/>
        <v>-128.71561017514821</v>
      </c>
      <c r="AS524" s="351"/>
      <c r="AT524" s="351"/>
      <c r="AV524" s="405">
        <f t="shared" si="303"/>
        <v>0</v>
      </c>
      <c r="AW524" s="405">
        <f t="shared" si="328"/>
        <v>0</v>
      </c>
      <c r="AX524" s="405">
        <f t="shared" si="304"/>
        <v>0</v>
      </c>
      <c r="AY524" s="405">
        <f t="shared" si="305"/>
        <v>0</v>
      </c>
    </row>
    <row r="525" spans="2:51" ht="13.5" thickBot="1" x14ac:dyDescent="0.25">
      <c r="B525" s="345">
        <v>74131</v>
      </c>
      <c r="C525" s="728" t="str">
        <f t="shared" ref="C525:C588" si="329">COMPLEX(Am*Afb,0)</f>
        <v>2.2271548443541</v>
      </c>
      <c r="D525" s="728" t="str">
        <f t="shared" ref="D525:D588" si="330">IMSUM(COMPLEX(1,0),IMDIV(COMPLEX(0,2*PI()*B525),COMPLEX(2*PI()*PS_Pole1,0)))</f>
        <v>1+56.6697552174612i</v>
      </c>
      <c r="E525" s="337">
        <f t="shared" si="307"/>
        <v>56.678577579249207</v>
      </c>
      <c r="F525" s="338">
        <f t="shared" si="308"/>
        <v>1.5531520609843736</v>
      </c>
      <c r="G525" s="338" t="str">
        <f t="shared" ref="G525:G588" si="331">IMSUM(COMPLEX(1,0),IMDIV(COMPLEX(0,2*PI()*B525),COMPLEX(2*PI()*PS_Zero1,0)))</f>
        <v>1+0.232889405003265i</v>
      </c>
      <c r="H525" s="337">
        <f t="shared" si="309"/>
        <v>1.0267606707323644</v>
      </c>
      <c r="I525" s="338">
        <f t="shared" si="310"/>
        <v>0.22881088509401648</v>
      </c>
      <c r="J525" s="340">
        <f t="shared" ref="J525:J588" si="332">IF(VIN_nom&gt;Vout, 1,IMSUB(COMPLEX(1,0),IMDIV(COMPLEX(0,2*PI()*B525),COMPLEX(2*PI()*PS_RHPZ,0))))</f>
        <v>1</v>
      </c>
      <c r="K525" s="338">
        <f t="shared" si="311"/>
        <v>1</v>
      </c>
      <c r="L525" s="339">
        <f t="shared" si="312"/>
        <v>0</v>
      </c>
      <c r="M525" s="731" t="str">
        <f t="shared" ref="M525:M588" si="333">IMSUM(COMPLEX(1,0),IMDIV(COMPLEX(0,2*PI()*B525),COMPLEX(Q*(2*PI()*PS_Pole2/2),0)),IMDIV(IMPOWER(COMPLEX(0,2*PI()*B525),2),IMPOWER(COMPLEX(2*PI()*PS_Pole2/2,0),2)))</f>
        <v>0.755759770622222+1.00396098485159i</v>
      </c>
      <c r="N525" s="338">
        <f t="shared" si="313"/>
        <v>1.2566266311021457</v>
      </c>
      <c r="O525" s="339">
        <f t="shared" si="314"/>
        <v>0.92551964942461673</v>
      </c>
      <c r="P525" s="732" t="str">
        <f t="shared" si="306"/>
        <v>-0.0201650477774212-0.0249840984228168i</v>
      </c>
      <c r="Q525" s="337">
        <f t="shared" si="315"/>
        <v>3.2106608756869298E-2</v>
      </c>
      <c r="R525" s="339">
        <f t="shared" si="316"/>
        <v>-2.2498608253149754</v>
      </c>
      <c r="S525" s="731" t="str">
        <f t="shared" ref="S525:S588" si="334">COMPLEX(AEA,0)</f>
        <v>6000</v>
      </c>
      <c r="T525" s="337" t="str">
        <f t="shared" ref="T525:T588" si="335">IMSUM(COMPLEX(1,0),IMDIV(COMPLEX(0,2*PI()*B525),COMPLEX(2*PI()*EA_Pole1,0)))</f>
        <v>1+470436.598106595i</v>
      </c>
      <c r="U525" s="346">
        <f t="shared" si="317"/>
        <v>470436.59810765786</v>
      </c>
      <c r="V525" s="347">
        <f t="shared" si="318"/>
        <v>1.5707942011099392</v>
      </c>
      <c r="W525" s="340" t="str">
        <f t="shared" ref="W525:W588" si="336">IMSUM(COMPLEX(1,0),IMDIV(COMPLEX(0,2*PI()*B525),COMPLEX(2*PI()*EA_Zero1,0)))</f>
        <v>1+4657.7881000653i</v>
      </c>
      <c r="X525" s="337">
        <f t="shared" si="319"/>
        <v>4657.7882074123891</v>
      </c>
      <c r="Y525" s="339">
        <f t="shared" si="320"/>
        <v>1.5705816326174991</v>
      </c>
      <c r="Z525" s="337" t="str">
        <f t="shared" ref="Z525:Z588" si="337">IMSUM(COMPLEX(1,0),IMDIV(COMPLEX(0,2*PI()*B525),COMPLEX(2*PI()*EA_Pole2,0)))</f>
        <v>1+46.9200240775761i</v>
      </c>
      <c r="AA525" s="346">
        <f t="shared" si="321"/>
        <v>46.930679298730816</v>
      </c>
      <c r="AB525" s="347">
        <f t="shared" si="322"/>
        <v>1.5494866909152589</v>
      </c>
      <c r="AC525" s="732" t="str">
        <f t="shared" si="323"/>
        <v>0.0267031760704302-1.2655414956023i</v>
      </c>
      <c r="AD525" s="337">
        <f t="shared" si="324"/>
        <v>1.2658231854029038</v>
      </c>
      <c r="AE525" s="339">
        <f t="shared" si="325"/>
        <v>-1.549699259407699</v>
      </c>
      <c r="AF525" s="736" t="str">
        <f t="shared" ref="AF525:AF588" si="338">IMPRODUCT(P525,AC525)</f>
        <v>-0.0321568841055557+0.024852549943984i</v>
      </c>
      <c r="AG525" s="337">
        <f t="shared" si="326"/>
        <v>-27.820650359602329</v>
      </c>
      <c r="AH525" s="730">
        <f t="shared" si="327"/>
        <v>142.30124313902124</v>
      </c>
      <c r="AI525" s="360">
        <f t="shared" ref="AI525:AI588" si="339">IF(AH525&gt;0,AH525-180,AH525+180)</f>
        <v>-37.698756860978762</v>
      </c>
      <c r="AL525" s="337">
        <f t="shared" ref="AL525:AL588" si="340">20*LOG10(IMABS(AC525))</f>
        <v>2.0474609229994121</v>
      </c>
      <c r="AM525" s="730">
        <f t="shared" ref="AM525:AM588" si="341">(180/PI())*IMARGUMENT(AC525)</f>
        <v>-88.79122707861049</v>
      </c>
      <c r="AN525" s="351"/>
      <c r="AO525" s="337">
        <f t="shared" ref="AO525:AO588" si="342">20*LOG10(IMABS(IMPRODUCT(COMPLEX(Am/Afb,0),P525)))</f>
        <v>23.661011202440424</v>
      </c>
      <c r="AP525" s="730">
        <f t="shared" ref="AP525:AP588" si="343">180/PI()*IMARGUMENT(IMPRODUCT(COMPLEX(Am/Afb,0),P525))</f>
        <v>-128.90752978236816</v>
      </c>
      <c r="AS525" s="351"/>
      <c r="AT525" s="351"/>
      <c r="AV525" s="405">
        <f t="shared" ref="AV525:AV588" si="344">SUM((AG526&lt;0)*(AG525&gt;0))*B525</f>
        <v>0</v>
      </c>
      <c r="AW525" s="405">
        <f t="shared" si="328"/>
        <v>0</v>
      </c>
      <c r="AX525" s="405">
        <f t="shared" ref="AX525:AX588" si="345">SUM((AL526&lt;0)*(AL525&gt;0))*B525</f>
        <v>0</v>
      </c>
      <c r="AY525" s="405">
        <f t="shared" ref="AY525:AY588" si="346">IF(AX525&gt;0,AM525,0)</f>
        <v>0</v>
      </c>
    </row>
    <row r="526" spans="2:51" ht="13.5" thickBot="1" x14ac:dyDescent="0.25">
      <c r="B526" s="345">
        <v>74562.75</v>
      </c>
      <c r="C526" s="728" t="str">
        <f t="shared" si="329"/>
        <v>2.2271548443541</v>
      </c>
      <c r="D526" s="728" t="str">
        <f t="shared" si="330"/>
        <v>1+56.9998083236534i</v>
      </c>
      <c r="E526" s="337">
        <f t="shared" si="307"/>
        <v>57.008579608101343</v>
      </c>
      <c r="F526" s="338">
        <f t="shared" si="308"/>
        <v>1.5532542077599585</v>
      </c>
      <c r="G526" s="338" t="str">
        <f t="shared" si="331"/>
        <v>1+0.234245787631452i</v>
      </c>
      <c r="H526" s="337">
        <f t="shared" si="309"/>
        <v>1.0270691744099223</v>
      </c>
      <c r="I526" s="338">
        <f t="shared" si="310"/>
        <v>0.23009709964602543</v>
      </c>
      <c r="J526" s="340">
        <f t="shared" si="332"/>
        <v>1</v>
      </c>
      <c r="K526" s="338">
        <f t="shared" si="311"/>
        <v>1</v>
      </c>
      <c r="L526" s="339">
        <f t="shared" si="312"/>
        <v>0</v>
      </c>
      <c r="M526" s="731" t="str">
        <f t="shared" si="333"/>
        <v>0.752906502775+1.0098082033595i</v>
      </c>
      <c r="N526" s="338">
        <f t="shared" si="313"/>
        <v>1.259595494392157</v>
      </c>
      <c r="O526" s="339">
        <f t="shared" si="314"/>
        <v>0.93012130347904531</v>
      </c>
      <c r="P526" s="732" t="str">
        <f t="shared" ref="P526:P589" si="347">(IMDIV(IMPRODUCT(C526,G526,J526),IMPRODUCT(D526,M526)))</f>
        <v>-0.0200916747617479-0.0247198531635854i</v>
      </c>
      <c r="Q526" s="337">
        <f t="shared" si="315"/>
        <v>3.1855086488048981E-2</v>
      </c>
      <c r="R526" s="339">
        <f t="shared" si="316"/>
        <v>-2.25327841159298</v>
      </c>
      <c r="S526" s="731" t="str">
        <f t="shared" si="334"/>
        <v>6000</v>
      </c>
      <c r="T526" s="337" t="str">
        <f t="shared" si="335"/>
        <v>1+473176.491015534i</v>
      </c>
      <c r="U526" s="346">
        <f t="shared" si="317"/>
        <v>473176.49101659073</v>
      </c>
      <c r="V526" s="347">
        <f t="shared" si="318"/>
        <v>1.5707942134185582</v>
      </c>
      <c r="W526" s="340" t="str">
        <f t="shared" si="336"/>
        <v>1+4684.91575262905i</v>
      </c>
      <c r="X526" s="337">
        <f t="shared" si="319"/>
        <v>4684.9158593545544</v>
      </c>
      <c r="Y526" s="339">
        <f t="shared" si="320"/>
        <v>1.5705828757879599</v>
      </c>
      <c r="Z526" s="337" t="str">
        <f t="shared" si="337"/>
        <v>1+47.1932932955213i</v>
      </c>
      <c r="AA526" s="346">
        <f t="shared" si="321"/>
        <v>47.203886832305415</v>
      </c>
      <c r="AB526" s="347">
        <f t="shared" si="322"/>
        <v>1.5496100457324613</v>
      </c>
      <c r="AC526" s="732" t="str">
        <f t="shared" si="323"/>
        <v>0.0263949643182491-1.25822000351709i</v>
      </c>
      <c r="AD526" s="337">
        <f t="shared" si="324"/>
        <v>1.2584968301080093</v>
      </c>
      <c r="AE526" s="339">
        <f t="shared" si="325"/>
        <v>-1.5498213833630599</v>
      </c>
      <c r="AF526" s="736" t="str">
        <f t="shared" si="338"/>
        <v>-0.0316333327728586+0.0246272674471855i</v>
      </c>
      <c r="AG526" s="337">
        <f t="shared" si="326"/>
        <v>-27.939381709246188</v>
      </c>
      <c r="AH526" s="730">
        <f t="shared" si="327"/>
        <v>142.09843268195013</v>
      </c>
      <c r="AI526" s="360">
        <f t="shared" si="339"/>
        <v>-37.901567318049871</v>
      </c>
      <c r="AL526" s="337">
        <f t="shared" si="340"/>
        <v>1.9970425197641728</v>
      </c>
      <c r="AM526" s="730">
        <f t="shared" si="341"/>
        <v>-88.798224265830115</v>
      </c>
      <c r="AN526" s="351"/>
      <c r="AO526" s="337">
        <f t="shared" si="342"/>
        <v>23.592698256031774</v>
      </c>
      <c r="AP526" s="730">
        <f t="shared" si="343"/>
        <v>-129.10334305221971</v>
      </c>
      <c r="AS526" s="351"/>
      <c r="AT526" s="351"/>
      <c r="AV526" s="405">
        <f t="shared" si="344"/>
        <v>0</v>
      </c>
      <c r="AW526" s="405">
        <f t="shared" si="328"/>
        <v>0</v>
      </c>
      <c r="AX526" s="405">
        <f t="shared" si="345"/>
        <v>0</v>
      </c>
      <c r="AY526" s="405">
        <f t="shared" si="346"/>
        <v>0</v>
      </c>
    </row>
    <row r="527" spans="2:51" ht="13.5" thickBot="1" x14ac:dyDescent="0.25">
      <c r="B527" s="345">
        <v>74994.5</v>
      </c>
      <c r="C527" s="728" t="str">
        <f t="shared" si="329"/>
        <v>2.2271548443541</v>
      </c>
      <c r="D527" s="728" t="str">
        <f t="shared" si="330"/>
        <v>1+57.3298614298456i</v>
      </c>
      <c r="E527" s="337">
        <f t="shared" si="307"/>
        <v>57.338582224932097</v>
      </c>
      <c r="F527" s="338">
        <f t="shared" si="308"/>
        <v>1.5533551787592328</v>
      </c>
      <c r="G527" s="338" t="str">
        <f t="shared" si="331"/>
        <v>1+0.23560217025964i</v>
      </c>
      <c r="H527" s="337">
        <f t="shared" si="309"/>
        <v>1.0273793761951096</v>
      </c>
      <c r="I527" s="338">
        <f t="shared" si="310"/>
        <v>0.2313825396171682</v>
      </c>
      <c r="J527" s="340">
        <f t="shared" si="332"/>
        <v>1</v>
      </c>
      <c r="K527" s="338">
        <f t="shared" si="311"/>
        <v>1</v>
      </c>
      <c r="L527" s="339">
        <f t="shared" si="312"/>
        <v>0</v>
      </c>
      <c r="M527" s="731" t="str">
        <f t="shared" si="333"/>
        <v>0.750036665322222+1.01565542186741i</v>
      </c>
      <c r="N527" s="338">
        <f t="shared" si="313"/>
        <v>1.2625810608813779</v>
      </c>
      <c r="O527" s="339">
        <f t="shared" si="314"/>
        <v>0.93471177682514239</v>
      </c>
      <c r="P527" s="732" t="str">
        <f t="shared" si="347"/>
        <v>-0.0200182459348128-0.0244588300140447i</v>
      </c>
      <c r="Q527" s="337">
        <f t="shared" si="315"/>
        <v>3.1606400237334575E-2</v>
      </c>
      <c r="R527" s="339">
        <f t="shared" si="316"/>
        <v>-2.2566844159672073</v>
      </c>
      <c r="S527" s="731" t="str">
        <f t="shared" si="334"/>
        <v>6000</v>
      </c>
      <c r="T527" s="337" t="str">
        <f t="shared" si="335"/>
        <v>1+475916.383924472i</v>
      </c>
      <c r="U527" s="346">
        <f t="shared" si="317"/>
        <v>475916.38392552256</v>
      </c>
      <c r="V527" s="347">
        <f t="shared" si="318"/>
        <v>1.5707942255854537</v>
      </c>
      <c r="W527" s="340" t="str">
        <f t="shared" si="336"/>
        <v>1+4712.04340519279i</v>
      </c>
      <c r="X527" s="337">
        <f t="shared" si="319"/>
        <v>4712.0435113038657</v>
      </c>
      <c r="Y527" s="339">
        <f t="shared" si="320"/>
        <v>1.5705841046443356</v>
      </c>
      <c r="Z527" s="337" t="str">
        <f t="shared" si="337"/>
        <v>1+47.4665625134664i</v>
      </c>
      <c r="AA527" s="346">
        <f t="shared" si="321"/>
        <v>47.477095075887007</v>
      </c>
      <c r="AB527" s="347">
        <f t="shared" si="322"/>
        <v>1.549731980854155</v>
      </c>
      <c r="AC527" s="732" t="str">
        <f t="shared" si="323"/>
        <v>0.026092057286637-1.25098270063594i</v>
      </c>
      <c r="AD527" s="337">
        <f t="shared" si="324"/>
        <v>1.2512547753131009</v>
      </c>
      <c r="AE527" s="339">
        <f t="shared" si="325"/>
        <v>-1.549942101795273</v>
      </c>
      <c r="AF527" s="736" t="str">
        <f t="shared" si="338"/>
        <v>-0.0311198904450741+0.024404298167636i</v>
      </c>
      <c r="AG527" s="337">
        <f t="shared" si="326"/>
        <v>-28.057584334197678</v>
      </c>
      <c r="AH527" s="730">
        <f t="shared" si="327"/>
        <v>141.89636634962852</v>
      </c>
      <c r="AI527" s="360">
        <f t="shared" si="339"/>
        <v>-38.103633650371478</v>
      </c>
      <c r="AL527" s="337">
        <f t="shared" si="340"/>
        <v>1.9469149588091861</v>
      </c>
      <c r="AM527" s="730">
        <f t="shared" si="341"/>
        <v>-88.805140922505359</v>
      </c>
      <c r="AN527" s="351"/>
      <c r="AO527" s="337">
        <f t="shared" si="342"/>
        <v>23.524623192035271</v>
      </c>
      <c r="AP527" s="730">
        <f t="shared" si="343"/>
        <v>-129.29849272786603</v>
      </c>
      <c r="AS527" s="351"/>
      <c r="AT527" s="351"/>
      <c r="AV527" s="405">
        <f t="shared" si="344"/>
        <v>0</v>
      </c>
      <c r="AW527" s="405">
        <f t="shared" si="328"/>
        <v>0</v>
      </c>
      <c r="AX527" s="405">
        <f t="shared" si="345"/>
        <v>0</v>
      </c>
      <c r="AY527" s="405">
        <f t="shared" si="346"/>
        <v>0</v>
      </c>
    </row>
    <row r="528" spans="2:51" ht="13.5" thickBot="1" x14ac:dyDescent="0.25">
      <c r="B528" s="345">
        <v>75426.25</v>
      </c>
      <c r="C528" s="728" t="str">
        <f t="shared" si="329"/>
        <v>2.2271548443541</v>
      </c>
      <c r="D528" s="728" t="str">
        <f t="shared" si="330"/>
        <v>1+57.6599145360379i</v>
      </c>
      <c r="E528" s="337">
        <f t="shared" si="307"/>
        <v>57.668585419647634</v>
      </c>
      <c r="F528" s="338">
        <f t="shared" si="308"/>
        <v>1.5534549941649365</v>
      </c>
      <c r="G528" s="338" t="str">
        <f t="shared" si="331"/>
        <v>1+0.236958552887827i</v>
      </c>
      <c r="H528" s="337">
        <f t="shared" si="309"/>
        <v>1.0276912745502382</v>
      </c>
      <c r="I528" s="338">
        <f t="shared" si="310"/>
        <v>0.23266720146277148</v>
      </c>
      <c r="J528" s="340">
        <f t="shared" si="332"/>
        <v>1</v>
      </c>
      <c r="K528" s="338">
        <f t="shared" si="311"/>
        <v>1</v>
      </c>
      <c r="L528" s="339">
        <f t="shared" si="312"/>
        <v>0</v>
      </c>
      <c r="M528" s="731" t="str">
        <f t="shared" si="333"/>
        <v>0.74715025826389+1.02150264037531i</v>
      </c>
      <c r="N528" s="338">
        <f t="shared" si="313"/>
        <v>1.2655833250788062</v>
      </c>
      <c r="O528" s="339">
        <f t="shared" si="314"/>
        <v>0.93929106325348344</v>
      </c>
      <c r="P528" s="732" t="str">
        <f t="shared" si="347"/>
        <v>-0.0199447687458446-0.0242009800699836i</v>
      </c>
      <c r="Q528" s="337">
        <f t="shared" si="315"/>
        <v>3.1360504407183298E-2</v>
      </c>
      <c r="R528" s="339">
        <f t="shared" si="316"/>
        <v>-2.2600788559556486</v>
      </c>
      <c r="S528" s="731" t="str">
        <f t="shared" si="334"/>
        <v>6000</v>
      </c>
      <c r="T528" s="337" t="str">
        <f t="shared" si="335"/>
        <v>1+478656.276833411i</v>
      </c>
      <c r="U528" s="346">
        <f t="shared" si="317"/>
        <v>478656.27683445555</v>
      </c>
      <c r="V528" s="347">
        <f t="shared" si="318"/>
        <v>1.570794237613059</v>
      </c>
      <c r="W528" s="340" t="str">
        <f t="shared" si="336"/>
        <v>1+4739.17105775654i</v>
      </c>
      <c r="X528" s="337">
        <f t="shared" si="319"/>
        <v>4739.1711632602219</v>
      </c>
      <c r="Y528" s="339">
        <f t="shared" si="320"/>
        <v>1.5705853194324335</v>
      </c>
      <c r="Z528" s="337" t="str">
        <f t="shared" si="337"/>
        <v>1+47.7398317314116i</v>
      </c>
      <c r="AA528" s="346">
        <f t="shared" si="321"/>
        <v>47.750304017288663</v>
      </c>
      <c r="AB528" s="347">
        <f t="shared" si="322"/>
        <v>1.5498525206455436</v>
      </c>
      <c r="AC528" s="732" t="str">
        <f t="shared" si="323"/>
        <v>0.0257943339532012-1.2438281437629i</v>
      </c>
      <c r="AD528" s="337">
        <f t="shared" si="324"/>
        <v>1.2440955746568472</v>
      </c>
      <c r="AE528" s="339">
        <f t="shared" si="325"/>
        <v>-1.5500614388261689</v>
      </c>
      <c r="AF528" s="736" t="str">
        <f t="shared" si="338"/>
        <v>-0.0306163221433403+0.0241836165250043i</v>
      </c>
      <c r="AG528" s="337">
        <f t="shared" si="326"/>
        <v>-28.175264308087137</v>
      </c>
      <c r="AH528" s="730">
        <f t="shared" si="327"/>
        <v>141.69504175627046</v>
      </c>
      <c r="AI528" s="360">
        <f t="shared" si="339"/>
        <v>-38.304958243729544</v>
      </c>
      <c r="AL528" s="337">
        <f t="shared" si="340"/>
        <v>1.8970749053545009</v>
      </c>
      <c r="AM528" s="730">
        <f t="shared" si="341"/>
        <v>-88.811978430715314</v>
      </c>
      <c r="AN528" s="351"/>
      <c r="AO528" s="337">
        <f t="shared" si="342"/>
        <v>23.456783271600479</v>
      </c>
      <c r="AP528" s="730">
        <f t="shared" si="343"/>
        <v>-129.49297981301424</v>
      </c>
      <c r="AS528" s="351"/>
      <c r="AT528" s="351"/>
      <c r="AV528" s="405">
        <f t="shared" si="344"/>
        <v>0</v>
      </c>
      <c r="AW528" s="405">
        <f t="shared" si="328"/>
        <v>0</v>
      </c>
      <c r="AX528" s="405">
        <f t="shared" si="345"/>
        <v>0</v>
      </c>
      <c r="AY528" s="405">
        <f t="shared" si="346"/>
        <v>0</v>
      </c>
    </row>
    <row r="529" spans="2:51" ht="13.5" thickBot="1" x14ac:dyDescent="0.25">
      <c r="B529" s="345">
        <v>75858</v>
      </c>
      <c r="C529" s="728" t="str">
        <f t="shared" si="329"/>
        <v>2.2271548443541</v>
      </c>
      <c r="D529" s="728" t="str">
        <f t="shared" si="330"/>
        <v>1+57.9899676422302i</v>
      </c>
      <c r="E529" s="337">
        <f t="shared" ref="E529:E592" si="348">IMABS(D529)</f>
        <v>57.998589182383611</v>
      </c>
      <c r="F529" s="338">
        <f t="shared" ref="F529:F592" si="349">IMARGUMENT(D529)</f>
        <v>1.5535536737005549</v>
      </c>
      <c r="G529" s="338" t="str">
        <f t="shared" si="331"/>
        <v>1+0.238314935516014i</v>
      </c>
      <c r="H529" s="337">
        <f t="shared" ref="H529:H592" si="350">IMABS(G529)</f>
        <v>1.0280048679310823</v>
      </c>
      <c r="I529" s="338">
        <f t="shared" ref="I529:I592" si="351">IMARGUMENT(G529)</f>
        <v>0.23395108165272832</v>
      </c>
      <c r="J529" s="340">
        <f t="shared" si="332"/>
        <v>1</v>
      </c>
      <c r="K529" s="338">
        <f t="shared" ref="K529:K592" si="352">IMABS(J529)</f>
        <v>1</v>
      </c>
      <c r="L529" s="339">
        <f t="shared" ref="L529:L592" si="353">IMARGUMENT(J529)</f>
        <v>0</v>
      </c>
      <c r="M529" s="731" t="str">
        <f t="shared" si="333"/>
        <v>0.7442472816+1.02734985888322i</v>
      </c>
      <c r="N529" s="338">
        <f t="shared" ref="N529:N592" si="354">IMABS(M529)</f>
        <v>1.2686022815352183</v>
      </c>
      <c r="O529" s="339">
        <f t="shared" ref="O529:O592" si="355">IMARGUMENT(M529)</f>
        <v>0.94385915708138213</v>
      </c>
      <c r="P529" s="732" t="str">
        <f t="shared" si="347"/>
        <v>-0.0198712504905234-0.0239462554369499i</v>
      </c>
      <c r="Q529" s="337">
        <f t="shared" ref="Q529:Q592" si="356">IMABS(P529)</f>
        <v>3.1117354410501851E-2</v>
      </c>
      <c r="R529" s="339">
        <f t="shared" ref="R529:R592" si="357">IMARGUMENT(P529)</f>
        <v>-2.2634617491292088</v>
      </c>
      <c r="S529" s="731" t="str">
        <f t="shared" si="334"/>
        <v>6000</v>
      </c>
      <c r="T529" s="337" t="str">
        <f t="shared" si="335"/>
        <v>1+481396.169742349i</v>
      </c>
      <c r="U529" s="346">
        <f t="shared" ref="U529:U592" si="358">IMABS(T529)</f>
        <v>481396.16974338767</v>
      </c>
      <c r="V529" s="347">
        <f t="shared" ref="V529:V592" si="359">IMARGUMENT(T529)</f>
        <v>1.570794249503753</v>
      </c>
      <c r="W529" s="340" t="str">
        <f t="shared" si="336"/>
        <v>1+4766.29871032029i</v>
      </c>
      <c r="X529" s="337">
        <f t="shared" ref="X529:X592" si="360">IMABS(W529)</f>
        <v>4766.2988152234921</v>
      </c>
      <c r="Y529" s="339">
        <f t="shared" ref="Y529:Y592" si="361">IMARGUMENT(W529)</f>
        <v>1.5705865203924649</v>
      </c>
      <c r="Z529" s="337" t="str">
        <f t="shared" si="337"/>
        <v>1+48.0131009493568i</v>
      </c>
      <c r="AA529" s="346">
        <f t="shared" ref="AA529:AA592" si="362">IMABS(Z529)</f>
        <v>48.02351364460047</v>
      </c>
      <c r="AB529" s="347">
        <f t="shared" ref="AB529:AB592" si="363">IMARGUMENT(Z529)</f>
        <v>1.5499716889175326</v>
      </c>
      <c r="AC529" s="732" t="str">
        <f t="shared" ref="AC529:AC592" si="364">IMPRODUCT(S529,IMDIV(W529,IMPRODUCT(T529,Z529)))</f>
        <v>0.0255016767267441-1.23675492248669i</v>
      </c>
      <c r="AD529" s="337">
        <f t="shared" ref="AD529:AD592" si="365">IMABS(AC529)</f>
        <v>1.2370178146699966</v>
      </c>
      <c r="AE529" s="339">
        <f t="shared" ref="AE529:AE592" si="366">IMARGUMENT(AC529)</f>
        <v>-1.5501794180288206</v>
      </c>
      <c r="AF529" s="736" t="str">
        <f t="shared" si="338"/>
        <v>-0.0301223994929369+0.0239651971951517i</v>
      </c>
      <c r="AG529" s="337">
        <f t="shared" ref="AG529:AG592" si="367">20*LOG10(IMABS(AF529))</f>
        <v>-28.292427592744581</v>
      </c>
      <c r="AH529" s="730">
        <f t="shared" ref="AH529:AH592" si="368">(180/PI())*IMARGUMENT(AF529)</f>
        <v>141.49445654449963</v>
      </c>
      <c r="AI529" s="360">
        <f t="shared" si="339"/>
        <v>-38.505543455500373</v>
      </c>
      <c r="AL529" s="337">
        <f t="shared" si="340"/>
        <v>1.8475190816230935</v>
      </c>
      <c r="AM529" s="730">
        <f t="shared" si="341"/>
        <v>-88.818738141097583</v>
      </c>
      <c r="AN529" s="351"/>
      <c r="AO529" s="337">
        <f t="shared" si="342"/>
        <v>23.389175810674466</v>
      </c>
      <c r="AP529" s="730">
        <f t="shared" si="343"/>
        <v>-129.68680531440285</v>
      </c>
      <c r="AS529" s="351"/>
      <c r="AT529" s="351"/>
      <c r="AV529" s="405">
        <f t="shared" si="344"/>
        <v>0</v>
      </c>
      <c r="AW529" s="405">
        <f t="shared" si="328"/>
        <v>0</v>
      </c>
      <c r="AX529" s="405">
        <f t="shared" si="345"/>
        <v>0</v>
      </c>
      <c r="AY529" s="405">
        <f t="shared" si="346"/>
        <v>0</v>
      </c>
    </row>
    <row r="530" spans="2:51" ht="13.5" thickBot="1" x14ac:dyDescent="0.25">
      <c r="B530" s="345">
        <v>76299.75</v>
      </c>
      <c r="C530" s="728" t="str">
        <f t="shared" si="329"/>
        <v>2.2271548443541</v>
      </c>
      <c r="D530" s="728" t="str">
        <f t="shared" si="330"/>
        <v>1+58.3276652905462i</v>
      </c>
      <c r="E530" s="337">
        <f t="shared" si="348"/>
        <v>58.336236922225183</v>
      </c>
      <c r="F530" s="338">
        <f t="shared" si="349"/>
        <v>1.553653483273354</v>
      </c>
      <c r="G530" s="338" t="str">
        <f t="shared" si="331"/>
        <v>1+0.239702734070738i</v>
      </c>
      <c r="H530" s="337">
        <f t="shared" si="350"/>
        <v>1.0283274773733253</v>
      </c>
      <c r="I530" s="338">
        <f t="shared" si="351"/>
        <v>0.23526388581180696</v>
      </c>
      <c r="J530" s="340">
        <f t="shared" si="332"/>
        <v>1</v>
      </c>
      <c r="K530" s="338">
        <f t="shared" si="352"/>
        <v>1</v>
      </c>
      <c r="L530" s="339">
        <f t="shared" si="353"/>
        <v>0</v>
      </c>
      <c r="M530" s="731" t="str">
        <f t="shared" si="333"/>
        <v>0.741259917774999+1.03333250804563i</v>
      </c>
      <c r="N530" s="338">
        <f t="shared" si="354"/>
        <v>1.2717084327327823</v>
      </c>
      <c r="O530" s="339">
        <f t="shared" si="355"/>
        <v>0.94852146521144143</v>
      </c>
      <c r="P530" s="732" t="str">
        <f t="shared" si="347"/>
        <v>-0.0197959943859424-0.0236888167916296i</v>
      </c>
      <c r="Q530" s="337">
        <f t="shared" si="356"/>
        <v>3.0871369174619637E-2</v>
      </c>
      <c r="R530" s="339">
        <f t="shared" si="357"/>
        <v>-2.266911062672988</v>
      </c>
      <c r="S530" s="731" t="str">
        <f t="shared" si="334"/>
        <v>6000</v>
      </c>
      <c r="T530" s="337" t="str">
        <f t="shared" si="335"/>
        <v>1+484199.522822891i</v>
      </c>
      <c r="U530" s="346">
        <f t="shared" si="358"/>
        <v>484199.52282392356</v>
      </c>
      <c r="V530" s="347">
        <f t="shared" si="359"/>
        <v>1.570794261530573</v>
      </c>
      <c r="W530" s="340" t="str">
        <f t="shared" si="336"/>
        <v>1+4794.05468141476i</v>
      </c>
      <c r="X530" s="337">
        <f t="shared" si="360"/>
        <v>4794.0547857106067</v>
      </c>
      <c r="Y530" s="339">
        <f t="shared" si="361"/>
        <v>1.5705877351012363</v>
      </c>
      <c r="Z530" s="337" t="str">
        <f t="shared" si="337"/>
        <v>1+48.2926995064553i</v>
      </c>
      <c r="AA530" s="346">
        <f t="shared" si="362"/>
        <v>48.303051928638915</v>
      </c>
      <c r="AB530" s="347">
        <f t="shared" si="363"/>
        <v>1.5500922220444118</v>
      </c>
      <c r="AC530" s="732" t="str">
        <f t="shared" si="364"/>
        <v>0.0252073654083566-1.22960061998713i</v>
      </c>
      <c r="AD530" s="337">
        <f t="shared" si="365"/>
        <v>1.2298589740061929</v>
      </c>
      <c r="AE530" s="339">
        <f t="shared" si="366"/>
        <v>-1.5502987484737485</v>
      </c>
      <c r="AF530" s="736" t="str">
        <f t="shared" si="338"/>
        <v>-0.0296267886778575+0.0237440343092583i</v>
      </c>
      <c r="AG530" s="337">
        <f t="shared" si="367"/>
        <v>-28.411775885751148</v>
      </c>
      <c r="AH530" s="730">
        <f t="shared" si="368"/>
        <v>141.28998830536196</v>
      </c>
      <c r="AI530" s="360">
        <f t="shared" si="339"/>
        <v>-38.710011694638041</v>
      </c>
      <c r="AL530" s="337">
        <f t="shared" si="340"/>
        <v>1.7971062885876521</v>
      </c>
      <c r="AM530" s="730">
        <f t="shared" si="341"/>
        <v>-88.825575271959366</v>
      </c>
      <c r="AN530" s="351"/>
      <c r="AO530" s="337">
        <f t="shared" si="342"/>
        <v>23.32024031070334</v>
      </c>
      <c r="AP530" s="730">
        <f t="shared" si="343"/>
        <v>-129.88443642267868</v>
      </c>
      <c r="AS530" s="351"/>
      <c r="AT530" s="351"/>
      <c r="AV530" s="405">
        <f t="shared" si="344"/>
        <v>0</v>
      </c>
      <c r="AW530" s="405">
        <f t="shared" si="328"/>
        <v>0</v>
      </c>
      <c r="AX530" s="405">
        <f t="shared" si="345"/>
        <v>0</v>
      </c>
      <c r="AY530" s="405">
        <f t="shared" si="346"/>
        <v>0</v>
      </c>
    </row>
    <row r="531" spans="2:51" ht="13.5" thickBot="1" x14ac:dyDescent="0.25">
      <c r="B531" s="345">
        <v>76741.5</v>
      </c>
      <c r="C531" s="728" t="str">
        <f t="shared" si="329"/>
        <v>2.2271548443541</v>
      </c>
      <c r="D531" s="728" t="str">
        <f t="shared" si="330"/>
        <v>1+58.6653629388622i</v>
      </c>
      <c r="E531" s="337">
        <f t="shared" si="348"/>
        <v>58.673885236520924</v>
      </c>
      <c r="F531" s="338">
        <f t="shared" si="349"/>
        <v>1.5537521441066309</v>
      </c>
      <c r="G531" s="338" t="str">
        <f t="shared" si="331"/>
        <v>1+0.241090532625461i</v>
      </c>
      <c r="H531" s="337">
        <f t="shared" si="350"/>
        <v>1.0286518579780179</v>
      </c>
      <c r="I531" s="338">
        <f t="shared" si="351"/>
        <v>0.23657586425739821</v>
      </c>
      <c r="J531" s="340">
        <f t="shared" si="332"/>
        <v>1</v>
      </c>
      <c r="K531" s="338">
        <f t="shared" si="352"/>
        <v>1</v>
      </c>
      <c r="L531" s="339">
        <f t="shared" si="353"/>
        <v>0</v>
      </c>
      <c r="M531" s="731" t="str">
        <f t="shared" si="333"/>
        <v>0.7382552079+1.03931515720803i</v>
      </c>
      <c r="N531" s="338">
        <f t="shared" si="354"/>
        <v>1.2748320469747472</v>
      </c>
      <c r="O531" s="339">
        <f t="shared" si="355"/>
        <v>0.95317204589031979</v>
      </c>
      <c r="P531" s="732" t="str">
        <f t="shared" si="347"/>
        <v>-0.0197207102642421-0.0234345515857779i</v>
      </c>
      <c r="Q531" s="337">
        <f t="shared" si="356"/>
        <v>3.0628167123624442E-2</v>
      </c>
      <c r="R531" s="339">
        <f t="shared" si="357"/>
        <v>-2.2703483257395534</v>
      </c>
      <c r="S531" s="731" t="str">
        <f t="shared" si="334"/>
        <v>6000</v>
      </c>
      <c r="T531" s="337" t="str">
        <f t="shared" si="335"/>
        <v>1+487002.875903431i</v>
      </c>
      <c r="U531" s="346">
        <f t="shared" si="358"/>
        <v>487002.87590445764</v>
      </c>
      <c r="V531" s="347">
        <f t="shared" si="359"/>
        <v>1.5707942734189322</v>
      </c>
      <c r="W531" s="340" t="str">
        <f t="shared" si="336"/>
        <v>1+4821.81065250922i</v>
      </c>
      <c r="X531" s="337">
        <f t="shared" si="360"/>
        <v>4821.8107562047044</v>
      </c>
      <c r="Y531" s="339">
        <f t="shared" si="361"/>
        <v>1.5705889358254601</v>
      </c>
      <c r="Z531" s="337" t="str">
        <f t="shared" si="337"/>
        <v>1+48.5722980635538i</v>
      </c>
      <c r="AA531" s="346">
        <f t="shared" si="362"/>
        <v>48.582590906359783</v>
      </c>
      <c r="AB531" s="347">
        <f t="shared" si="363"/>
        <v>1.5502113681038334</v>
      </c>
      <c r="AC531" s="732" t="str">
        <f t="shared" si="364"/>
        <v>0.0249181190425803-1.22252857837544i</v>
      </c>
      <c r="AD531" s="337">
        <f t="shared" si="365"/>
        <v>1.2227824980761275</v>
      </c>
      <c r="AE531" s="339">
        <f t="shared" si="366"/>
        <v>-1.5504167056973055</v>
      </c>
      <c r="AF531" s="736" t="str">
        <f t="shared" si="338"/>
        <v>-0.0291408120409956+0.0235251869377739i</v>
      </c>
      <c r="AG531" s="337">
        <f t="shared" si="367"/>
        <v>-28.53059555744171</v>
      </c>
      <c r="AH531" s="730">
        <f t="shared" si="368"/>
        <v>141.08628918749875</v>
      </c>
      <c r="AI531" s="360">
        <f t="shared" si="339"/>
        <v>-38.91371081250125</v>
      </c>
      <c r="AL531" s="337">
        <f t="shared" si="340"/>
        <v>1.7469842791419097</v>
      </c>
      <c r="AM531" s="730">
        <f t="shared" si="341"/>
        <v>-88.832333723032264</v>
      </c>
      <c r="AN531" s="351"/>
      <c r="AO531" s="337">
        <f t="shared" si="342"/>
        <v>23.251542648458511</v>
      </c>
      <c r="AP531" s="730">
        <f t="shared" si="343"/>
        <v>-130.0813770894691</v>
      </c>
      <c r="AS531" s="351"/>
      <c r="AT531" s="351"/>
      <c r="AV531" s="405">
        <f t="shared" si="344"/>
        <v>0</v>
      </c>
      <c r="AW531" s="405">
        <f t="shared" si="328"/>
        <v>0</v>
      </c>
      <c r="AX531" s="405">
        <f t="shared" si="345"/>
        <v>0</v>
      </c>
      <c r="AY531" s="405">
        <f t="shared" si="346"/>
        <v>0</v>
      </c>
    </row>
    <row r="532" spans="2:51" ht="13.5" thickBot="1" x14ac:dyDescent="0.25">
      <c r="B532" s="345">
        <v>77183.25</v>
      </c>
      <c r="C532" s="728" t="str">
        <f t="shared" si="329"/>
        <v>2.2271548443541</v>
      </c>
      <c r="D532" s="728" t="str">
        <f t="shared" si="330"/>
        <v>1+59.0030605871782i</v>
      </c>
      <c r="E532" s="337">
        <f t="shared" si="348"/>
        <v>59.011534115410186</v>
      </c>
      <c r="F532" s="338">
        <f t="shared" si="349"/>
        <v>1.5538496759168277</v>
      </c>
      <c r="G532" s="338" t="str">
        <f t="shared" si="331"/>
        <v>1+0.242478331180184i</v>
      </c>
      <c r="H532" s="337">
        <f t="shared" si="350"/>
        <v>1.0289780080701079</v>
      </c>
      <c r="I532" s="338">
        <f t="shared" si="351"/>
        <v>0.23788701325597023</v>
      </c>
      <c r="J532" s="340">
        <f t="shared" si="332"/>
        <v>1</v>
      </c>
      <c r="K532" s="338">
        <f t="shared" si="352"/>
        <v>1</v>
      </c>
      <c r="L532" s="339">
        <f t="shared" si="353"/>
        <v>0</v>
      </c>
      <c r="M532" s="731" t="str">
        <f t="shared" si="333"/>
        <v>0.735233151975+1.04529780637044i</v>
      </c>
      <c r="N532" s="338">
        <f t="shared" si="354"/>
        <v>1.2779731185615553</v>
      </c>
      <c r="O532" s="339">
        <f t="shared" si="355"/>
        <v>0.95781089470822389</v>
      </c>
      <c r="P532" s="732" t="str">
        <f t="shared" si="347"/>
        <v>-0.0196454054614959-0.0231834116208699i</v>
      </c>
      <c r="Q532" s="337">
        <f t="shared" si="356"/>
        <v>3.0387703600786593E-2</v>
      </c>
      <c r="R532" s="339">
        <f t="shared" si="357"/>
        <v>-2.2737735573690809</v>
      </c>
      <c r="S532" s="731" t="str">
        <f t="shared" si="334"/>
        <v>6000</v>
      </c>
      <c r="T532" s="337" t="str">
        <f t="shared" si="335"/>
        <v>1+489806.228983973i</v>
      </c>
      <c r="U532" s="346">
        <f t="shared" si="358"/>
        <v>489806.22898499377</v>
      </c>
      <c r="V532" s="347">
        <f t="shared" si="359"/>
        <v>1.5707942851712078</v>
      </c>
      <c r="W532" s="340" t="str">
        <f t="shared" si="336"/>
        <v>1+4849.56662360369i</v>
      </c>
      <c r="X532" s="337">
        <f t="shared" si="360"/>
        <v>4849.5667267056851</v>
      </c>
      <c r="Y532" s="339">
        <f t="shared" si="361"/>
        <v>1.5705901228052537</v>
      </c>
      <c r="Z532" s="337" t="str">
        <f t="shared" si="337"/>
        <v>1+48.8518966206523i</v>
      </c>
      <c r="AA532" s="346">
        <f t="shared" si="362"/>
        <v>48.862130565857434</v>
      </c>
      <c r="AB532" s="347">
        <f t="shared" si="363"/>
        <v>1.5503291508985739</v>
      </c>
      <c r="AC532" s="732" t="str">
        <f t="shared" si="364"/>
        <v>0.0246338220882313-1.2155373875828i</v>
      </c>
      <c r="AD532" s="337">
        <f t="shared" si="365"/>
        <v>1.215786973857794</v>
      </c>
      <c r="AE532" s="339">
        <f t="shared" si="366"/>
        <v>-1.550533313264528</v>
      </c>
      <c r="AF532" s="736" t="str">
        <f t="shared" si="338"/>
        <v>-0.0286642450198786+0.0233086287954049i</v>
      </c>
      <c r="AG532" s="337">
        <f t="shared" si="367"/>
        <v>-28.648892646997311</v>
      </c>
      <c r="AH532" s="730">
        <f t="shared" si="368"/>
        <v>140.88335674981087</v>
      </c>
      <c r="AI532" s="360">
        <f t="shared" si="339"/>
        <v>-39.116643250189128</v>
      </c>
      <c r="AL532" s="337">
        <f t="shared" si="340"/>
        <v>1.6971497194124918</v>
      </c>
      <c r="AM532" s="730">
        <f t="shared" si="341"/>
        <v>-88.839014844493406</v>
      </c>
      <c r="AN532" s="351"/>
      <c r="AO532" s="337">
        <f t="shared" si="342"/>
        <v>23.183080118632308</v>
      </c>
      <c r="AP532" s="730">
        <f t="shared" si="343"/>
        <v>-130.27762840569576</v>
      </c>
      <c r="AS532" s="351"/>
      <c r="AT532" s="351"/>
      <c r="AV532" s="405">
        <f t="shared" si="344"/>
        <v>0</v>
      </c>
      <c r="AW532" s="405">
        <f t="shared" si="328"/>
        <v>0</v>
      </c>
      <c r="AX532" s="405">
        <f t="shared" si="345"/>
        <v>0</v>
      </c>
      <c r="AY532" s="405">
        <f t="shared" si="346"/>
        <v>0</v>
      </c>
    </row>
    <row r="533" spans="2:51" ht="13.5" thickBot="1" x14ac:dyDescent="0.25">
      <c r="B533" s="345">
        <v>77625</v>
      </c>
      <c r="C533" s="728" t="str">
        <f t="shared" si="329"/>
        <v>2.2271548443541</v>
      </c>
      <c r="D533" s="728" t="str">
        <f t="shared" si="330"/>
        <v>1+59.3407582354942i</v>
      </c>
      <c r="E533" s="337">
        <f t="shared" si="348"/>
        <v>59.349183549256793</v>
      </c>
      <c r="F533" s="338">
        <f t="shared" si="349"/>
        <v>1.5539460979717907</v>
      </c>
      <c r="G533" s="338" t="str">
        <f t="shared" si="331"/>
        <v>1+0.243866129734908i</v>
      </c>
      <c r="H533" s="337">
        <f t="shared" si="350"/>
        <v>1.0293059259675341</v>
      </c>
      <c r="I533" s="338">
        <f t="shared" si="351"/>
        <v>0.23919732909011779</v>
      </c>
      <c r="J533" s="340">
        <f t="shared" si="332"/>
        <v>1</v>
      </c>
      <c r="K533" s="338">
        <f t="shared" si="352"/>
        <v>1</v>
      </c>
      <c r="L533" s="339">
        <f t="shared" si="353"/>
        <v>0</v>
      </c>
      <c r="M533" s="731" t="str">
        <f t="shared" si="333"/>
        <v>0.73219375+1.05128045553284i</v>
      </c>
      <c r="N533" s="338">
        <f t="shared" si="354"/>
        <v>1.2811316418402905</v>
      </c>
      <c r="O533" s="339">
        <f t="shared" si="355"/>
        <v>0.96243800780883026</v>
      </c>
      <c r="P533" s="732" t="str">
        <f t="shared" si="347"/>
        <v>-0.0195700871591336-0.0229353496863912i</v>
      </c>
      <c r="Q533" s="337">
        <f t="shared" si="356"/>
        <v>3.0149934936134281E-2</v>
      </c>
      <c r="R533" s="339">
        <f t="shared" si="357"/>
        <v>-2.2771867766905025</v>
      </c>
      <c r="S533" s="731" t="str">
        <f t="shared" si="334"/>
        <v>6000</v>
      </c>
      <c r="T533" s="337" t="str">
        <f t="shared" si="335"/>
        <v>1+492609.582064513i</v>
      </c>
      <c r="U533" s="346">
        <f t="shared" si="358"/>
        <v>492609.58206552808</v>
      </c>
      <c r="V533" s="347">
        <f t="shared" si="359"/>
        <v>1.5707942967897233</v>
      </c>
      <c r="W533" s="340" t="str">
        <f t="shared" si="336"/>
        <v>1+4877.32259469815i</v>
      </c>
      <c r="X533" s="337">
        <f t="shared" si="360"/>
        <v>4877.3226972134107</v>
      </c>
      <c r="Y533" s="339">
        <f t="shared" si="361"/>
        <v>1.5705912962752679</v>
      </c>
      <c r="Z533" s="337" t="str">
        <f t="shared" si="337"/>
        <v>1+49.1314951777507i</v>
      </c>
      <c r="AA533" s="346">
        <f t="shared" si="362"/>
        <v>49.141670895497036</v>
      </c>
      <c r="AB533" s="347">
        <f t="shared" si="363"/>
        <v>1.5504455936899588</v>
      </c>
      <c r="AC533" s="732" t="str">
        <f t="shared" si="364"/>
        <v>0.0243543622796259-1.20862566957155i</v>
      </c>
      <c r="AD533" s="337">
        <f t="shared" si="365"/>
        <v>1.2088710204605475</v>
      </c>
      <c r="AE533" s="339">
        <f t="shared" si="366"/>
        <v>-1.5506485942044141</v>
      </c>
      <c r="AF533" s="736" t="str">
        <f t="shared" si="338"/>
        <v>-0.0281968693640896+0.0230943338810092i</v>
      </c>
      <c r="AG533" s="337">
        <f t="shared" si="367"/>
        <v>-28.766673082183672</v>
      </c>
      <c r="AH533" s="730">
        <f t="shared" si="368"/>
        <v>140.68118857682711</v>
      </c>
      <c r="AI533" s="360">
        <f t="shared" si="339"/>
        <v>-39.318811423172889</v>
      </c>
      <c r="AL533" s="337">
        <f t="shared" si="340"/>
        <v>1.6475993325107241</v>
      </c>
      <c r="AM533" s="730">
        <f t="shared" si="341"/>
        <v>-88.84561995580718</v>
      </c>
      <c r="AN533" s="351"/>
      <c r="AO533" s="337">
        <f t="shared" si="342"/>
        <v>23.114850070347735</v>
      </c>
      <c r="AP533" s="730">
        <f t="shared" si="343"/>
        <v>-130.47319146736564</v>
      </c>
      <c r="AS533" s="351"/>
      <c r="AT533" s="351"/>
      <c r="AV533" s="405">
        <f t="shared" si="344"/>
        <v>0</v>
      </c>
      <c r="AW533" s="405">
        <f t="shared" si="328"/>
        <v>0</v>
      </c>
      <c r="AX533" s="405">
        <f t="shared" si="345"/>
        <v>0</v>
      </c>
      <c r="AY533" s="405">
        <f t="shared" si="346"/>
        <v>0</v>
      </c>
    </row>
    <row r="534" spans="2:51" ht="13.5" thickBot="1" x14ac:dyDescent="0.25">
      <c r="B534" s="345">
        <v>78077</v>
      </c>
      <c r="C534" s="728" t="str">
        <f t="shared" si="329"/>
        <v>2.2271548443541</v>
      </c>
      <c r="D534" s="728" t="str">
        <f t="shared" si="330"/>
        <v>1+59.6862915394871i</v>
      </c>
      <c r="E534" s="337">
        <f t="shared" si="348"/>
        <v>59.694668084650992</v>
      </c>
      <c r="F534" s="338">
        <f t="shared" si="349"/>
        <v>1.5540436282859103</v>
      </c>
      <c r="G534" s="338" t="str">
        <f t="shared" si="331"/>
        <v>1+0.24528612961433i</v>
      </c>
      <c r="H534" s="337">
        <f t="shared" si="350"/>
        <v>1.0296432806468354</v>
      </c>
      <c r="I534" s="338">
        <f t="shared" si="351"/>
        <v>0.24053718215690664</v>
      </c>
      <c r="J534" s="340">
        <f t="shared" si="332"/>
        <v>1</v>
      </c>
      <c r="K534" s="338">
        <f t="shared" si="352"/>
        <v>1</v>
      </c>
      <c r="L534" s="339">
        <f t="shared" si="353"/>
        <v>0</v>
      </c>
      <c r="M534" s="731" t="str">
        <f t="shared" si="333"/>
        <v>0.729065869822221+1.0574019211161i</v>
      </c>
      <c r="N534" s="338">
        <f t="shared" si="354"/>
        <v>1.2843815108135319</v>
      </c>
      <c r="O534" s="339">
        <f t="shared" si="355"/>
        <v>0.96716033381436983</v>
      </c>
      <c r="P534" s="732" t="str">
        <f t="shared" si="347"/>
        <v>-0.0194930145922625-0.0226846696812798i</v>
      </c>
      <c r="Q534" s="337">
        <f t="shared" si="356"/>
        <v>2.9909394116948169E-2</v>
      </c>
      <c r="R534" s="339">
        <f t="shared" si="357"/>
        <v>-2.2806667799433731</v>
      </c>
      <c r="S534" s="731" t="str">
        <f t="shared" si="334"/>
        <v>6000</v>
      </c>
      <c r="T534" s="337" t="str">
        <f t="shared" si="335"/>
        <v>1+495477.981820948i</v>
      </c>
      <c r="U534" s="346">
        <f t="shared" si="358"/>
        <v>495477.9818219571</v>
      </c>
      <c r="V534" s="347">
        <f t="shared" si="359"/>
        <v>1.5707943085417417</v>
      </c>
      <c r="W534" s="340" t="str">
        <f t="shared" si="336"/>
        <v>1+4905.72259228661i</v>
      </c>
      <c r="X534" s="337">
        <f t="shared" si="360"/>
        <v>4905.7226942083944</v>
      </c>
      <c r="Y534" s="339">
        <f t="shared" si="361"/>
        <v>1.5705924832290739</v>
      </c>
      <c r="Z534" s="337" t="str">
        <f t="shared" si="337"/>
        <v>1+49.4175813074815i</v>
      </c>
      <c r="AA534" s="346">
        <f t="shared" si="362"/>
        <v>49.427698128494164</v>
      </c>
      <c r="AB534" s="347">
        <f t="shared" si="363"/>
        <v>1.5505633750320658</v>
      </c>
      <c r="AC534" s="732" t="str">
        <f t="shared" si="364"/>
        <v>0.0240733111389623-1.20163443325237i</v>
      </c>
      <c r="AD534" s="337">
        <f t="shared" si="365"/>
        <v>1.201875549084404</v>
      </c>
      <c r="AE534" s="339">
        <f t="shared" si="366"/>
        <v>-1.5507652003447336</v>
      </c>
      <c r="AF534" s="736" t="str">
        <f t="shared" si="338"/>
        <v>-0.0277279416012977+0.0228773824306315i</v>
      </c>
      <c r="AG534" s="337">
        <f t="shared" si="367"/>
        <v>-28.88665769025803</v>
      </c>
      <c r="AH534" s="730">
        <f t="shared" si="368"/>
        <v>140.47511803804022</v>
      </c>
      <c r="AI534" s="360">
        <f t="shared" si="339"/>
        <v>-39.524881961959778</v>
      </c>
      <c r="AL534" s="337">
        <f t="shared" si="340"/>
        <v>1.5971899998553205</v>
      </c>
      <c r="AM534" s="730">
        <f t="shared" si="341"/>
        <v>-88.852300995512792</v>
      </c>
      <c r="AN534" s="351"/>
      <c r="AO534" s="337">
        <f t="shared" si="342"/>
        <v>23.045274794928801</v>
      </c>
      <c r="AP534" s="730">
        <f t="shared" si="343"/>
        <v>-130.67258096644687</v>
      </c>
      <c r="AS534" s="351"/>
      <c r="AT534" s="351"/>
      <c r="AV534" s="405">
        <f t="shared" si="344"/>
        <v>0</v>
      </c>
      <c r="AW534" s="405">
        <f t="shared" si="328"/>
        <v>0</v>
      </c>
      <c r="AX534" s="405">
        <f t="shared" si="345"/>
        <v>0</v>
      </c>
      <c r="AY534" s="405">
        <f t="shared" si="346"/>
        <v>0</v>
      </c>
    </row>
    <row r="535" spans="2:51" ht="13.5" thickBot="1" x14ac:dyDescent="0.25">
      <c r="B535" s="345">
        <v>78529</v>
      </c>
      <c r="C535" s="728" t="str">
        <f t="shared" si="329"/>
        <v>2.2271548443541</v>
      </c>
      <c r="D535" s="728" t="str">
        <f t="shared" si="330"/>
        <v>1+60.0318248434799i</v>
      </c>
      <c r="E535" s="337">
        <f t="shared" si="348"/>
        <v>60.040153181335668</v>
      </c>
      <c r="F535" s="338">
        <f t="shared" si="349"/>
        <v>1.5541400361764199</v>
      </c>
      <c r="G535" s="338" t="str">
        <f t="shared" si="331"/>
        <v>1+0.246706129493753i</v>
      </c>
      <c r="H535" s="337">
        <f t="shared" si="350"/>
        <v>1.0299824825354014</v>
      </c>
      <c r="I535" s="338">
        <f t="shared" si="351"/>
        <v>0.24187615512432623</v>
      </c>
      <c r="J535" s="340">
        <f t="shared" si="332"/>
        <v>1</v>
      </c>
      <c r="K535" s="338">
        <f t="shared" si="352"/>
        <v>1</v>
      </c>
      <c r="L535" s="339">
        <f t="shared" si="353"/>
        <v>0</v>
      </c>
      <c r="M535" s="731" t="str">
        <f t="shared" si="333"/>
        <v>0.725919829288888+1.06352338669937i</v>
      </c>
      <c r="N535" s="338">
        <f t="shared" si="354"/>
        <v>1.2876496389201941</v>
      </c>
      <c r="O535" s="339">
        <f t="shared" si="355"/>
        <v>0.97187036675282901</v>
      </c>
      <c r="P535" s="732" t="str">
        <f t="shared" si="347"/>
        <v>-0.0194159426213924-0.0224371152538009i</v>
      </c>
      <c r="Q535" s="337">
        <f t="shared" si="356"/>
        <v>2.9671585208571973E-2</v>
      </c>
      <c r="R535" s="339">
        <f t="shared" si="357"/>
        <v>-2.2841342478049214</v>
      </c>
      <c r="S535" s="731" t="str">
        <f t="shared" si="334"/>
        <v>6000</v>
      </c>
      <c r="T535" s="337" t="str">
        <f t="shared" si="335"/>
        <v>1+498346.381577381i</v>
      </c>
      <c r="U535" s="346">
        <f t="shared" si="358"/>
        <v>498346.38157838432</v>
      </c>
      <c r="V535" s="347">
        <f t="shared" si="359"/>
        <v>1.5707943201584746</v>
      </c>
      <c r="W535" s="340" t="str">
        <f t="shared" si="336"/>
        <v>1+4934.12258987506i</v>
      </c>
      <c r="X535" s="337">
        <f t="shared" si="360"/>
        <v>4934.1226912101984</v>
      </c>
      <c r="Y535" s="339">
        <f t="shared" si="361"/>
        <v>1.5705936565190586</v>
      </c>
      <c r="Z535" s="337" t="str">
        <f t="shared" si="337"/>
        <v>1+49.7036674372122i</v>
      </c>
      <c r="AA535" s="346">
        <f t="shared" si="362"/>
        <v>49.713726039284033</v>
      </c>
      <c r="AB535" s="347">
        <f t="shared" si="363"/>
        <v>1.5506798010659253</v>
      </c>
      <c r="AC535" s="732" t="str">
        <f t="shared" si="364"/>
        <v>0.0237970964522018-1.19472358043884i</v>
      </c>
      <c r="AD535" s="337">
        <f t="shared" si="365"/>
        <v>1.1949605581173617</v>
      </c>
      <c r="AE535" s="339">
        <f t="shared" si="366"/>
        <v>-1.5508804647053414</v>
      </c>
      <c r="AF535" s="736" t="str">
        <f t="shared" si="338"/>
        <v>-0.0272681937300116+0.0226627462904211i</v>
      </c>
      <c r="AG535" s="337">
        <f t="shared" si="367"/>
        <v>-29.006113599836137</v>
      </c>
      <c r="AH535" s="730">
        <f t="shared" si="368"/>
        <v>140.26984260258521</v>
      </c>
      <c r="AI535" s="360">
        <f t="shared" si="339"/>
        <v>-39.730157397414786</v>
      </c>
      <c r="AL535" s="337">
        <f t="shared" si="340"/>
        <v>1.5470714165672099</v>
      </c>
      <c r="AM535" s="730">
        <f t="shared" si="341"/>
        <v>-88.858905156903887</v>
      </c>
      <c r="AN535" s="351"/>
      <c r="AO535" s="337">
        <f t="shared" si="342"/>
        <v>22.975937468638804</v>
      </c>
      <c r="AP535" s="730">
        <f t="shared" si="343"/>
        <v>-130.8712522405109</v>
      </c>
      <c r="AS535" s="351"/>
      <c r="AT535" s="351"/>
      <c r="AV535" s="405">
        <f t="shared" si="344"/>
        <v>0</v>
      </c>
      <c r="AW535" s="405">
        <f t="shared" si="328"/>
        <v>0</v>
      </c>
      <c r="AX535" s="405">
        <f t="shared" si="345"/>
        <v>0</v>
      </c>
      <c r="AY535" s="405">
        <f t="shared" si="346"/>
        <v>0</v>
      </c>
    </row>
    <row r="536" spans="2:51" ht="13.5" thickBot="1" x14ac:dyDescent="0.25">
      <c r="B536" s="345">
        <v>78981</v>
      </c>
      <c r="C536" s="728" t="str">
        <f t="shared" si="329"/>
        <v>2.2271548443541</v>
      </c>
      <c r="D536" s="728" t="str">
        <f t="shared" si="330"/>
        <v>1+60.3773581474727i</v>
      </c>
      <c r="E536" s="337">
        <f t="shared" si="348"/>
        <v>60.38563882967695</v>
      </c>
      <c r="F536" s="338">
        <f t="shared" si="349"/>
        <v>1.5542353409067506</v>
      </c>
      <c r="G536" s="338" t="str">
        <f t="shared" si="331"/>
        <v>1+0.248126129373175i</v>
      </c>
      <c r="H536" s="337">
        <f t="shared" si="350"/>
        <v>1.0303235298088234</v>
      </c>
      <c r="I536" s="338">
        <f t="shared" si="351"/>
        <v>0.24321424406283892</v>
      </c>
      <c r="J536" s="340">
        <f t="shared" si="332"/>
        <v>1</v>
      </c>
      <c r="K536" s="338">
        <f t="shared" si="352"/>
        <v>1</v>
      </c>
      <c r="L536" s="339">
        <f t="shared" si="353"/>
        <v>0</v>
      </c>
      <c r="M536" s="731" t="str">
        <f t="shared" si="333"/>
        <v>0.7227556284+1.06964485228263i</v>
      </c>
      <c r="N536" s="338">
        <f t="shared" si="354"/>
        <v>1.2909360202576301</v>
      </c>
      <c r="O536" s="339">
        <f t="shared" si="355"/>
        <v>0.97656810425317409</v>
      </c>
      <c r="P536" s="732" t="str">
        <f t="shared" si="347"/>
        <v>-0.0193388784571874-0.0221926388663245i</v>
      </c>
      <c r="Q536" s="337">
        <f t="shared" si="356"/>
        <v>2.9436464458779076E-2</v>
      </c>
      <c r="R536" s="339">
        <f t="shared" si="357"/>
        <v>-2.2875892010970862</v>
      </c>
      <c r="S536" s="731" t="str">
        <f t="shared" si="334"/>
        <v>6000</v>
      </c>
      <c r="T536" s="337" t="str">
        <f t="shared" si="335"/>
        <v>1+501214.781333815i</v>
      </c>
      <c r="U536" s="346">
        <f t="shared" si="358"/>
        <v>501214.78133481264</v>
      </c>
      <c r="V536" s="347">
        <f t="shared" si="359"/>
        <v>1.570794331642245</v>
      </c>
      <c r="W536" s="340" t="str">
        <f t="shared" si="336"/>
        <v>1+4962.52258746351i</v>
      </c>
      <c r="X536" s="337">
        <f t="shared" si="360"/>
        <v>4962.5226882187171</v>
      </c>
      <c r="Y536" s="339">
        <f t="shared" si="361"/>
        <v>1.5705948163798125</v>
      </c>
      <c r="Z536" s="337" t="str">
        <f t="shared" si="337"/>
        <v>1+49.9897535669428i</v>
      </c>
      <c r="AA536" s="346">
        <f t="shared" si="362"/>
        <v>49.999754616234569</v>
      </c>
      <c r="AB536" s="347">
        <f t="shared" si="363"/>
        <v>1.5507948950478814</v>
      </c>
      <c r="AC536" s="732" t="str">
        <f t="shared" si="364"/>
        <v>0.0235256078967092-1.18789173325868i</v>
      </c>
      <c r="AD536" s="337">
        <f t="shared" si="365"/>
        <v>1.1881246669315559</v>
      </c>
      <c r="AE536" s="339">
        <f t="shared" si="366"/>
        <v>-1.5509944103103142</v>
      </c>
      <c r="AF536" s="736" t="str">
        <f t="shared" si="338"/>
        <v>-0.0268174111202481+0.0224503985296249i</v>
      </c>
      <c r="AG536" s="337">
        <f t="shared" si="367"/>
        <v>-29.125046815584849</v>
      </c>
      <c r="AH536" s="730">
        <f t="shared" si="368"/>
        <v>140.06535975827032</v>
      </c>
      <c r="AI536" s="360">
        <f t="shared" si="339"/>
        <v>-39.934640241729682</v>
      </c>
      <c r="AL536" s="337">
        <f t="shared" si="340"/>
        <v>1.4972402492646206</v>
      </c>
      <c r="AM536" s="730">
        <f t="shared" si="341"/>
        <v>-88.865433759162897</v>
      </c>
      <c r="AN536" s="351"/>
      <c r="AO536" s="337">
        <f t="shared" si="342"/>
        <v>22.906835420192628</v>
      </c>
      <c r="AP536" s="730">
        <f t="shared" si="343"/>
        <v>-131.06920648256693</v>
      </c>
      <c r="AS536" s="351"/>
      <c r="AT536" s="351"/>
      <c r="AV536" s="405">
        <f t="shared" si="344"/>
        <v>0</v>
      </c>
      <c r="AW536" s="405">
        <f t="shared" si="328"/>
        <v>0</v>
      </c>
      <c r="AX536" s="405">
        <f t="shared" si="345"/>
        <v>0</v>
      </c>
      <c r="AY536" s="405">
        <f t="shared" si="346"/>
        <v>0</v>
      </c>
    </row>
    <row r="537" spans="2:51" ht="13.5" thickBot="1" x14ac:dyDescent="0.25">
      <c r="B537" s="345">
        <v>79433</v>
      </c>
      <c r="C537" s="728" t="str">
        <f t="shared" si="329"/>
        <v>2.2271548443541</v>
      </c>
      <c r="D537" s="728" t="str">
        <f t="shared" si="330"/>
        <v>1+60.7228914514655i</v>
      </c>
      <c r="E537" s="337">
        <f t="shared" si="348"/>
        <v>60.731125020260095</v>
      </c>
      <c r="F537" s="338">
        <f t="shared" si="349"/>
        <v>1.5543295613020729</v>
      </c>
      <c r="G537" s="338" t="str">
        <f t="shared" si="331"/>
        <v>1+0.249546129252598i</v>
      </c>
      <c r="H537" s="337">
        <f t="shared" si="350"/>
        <v>1.0306664206351899</v>
      </c>
      <c r="I537" s="338">
        <f t="shared" si="351"/>
        <v>0.24455144506076065</v>
      </c>
      <c r="J537" s="340">
        <f t="shared" si="332"/>
        <v>1</v>
      </c>
      <c r="K537" s="338">
        <f t="shared" si="352"/>
        <v>1</v>
      </c>
      <c r="L537" s="339">
        <f t="shared" si="353"/>
        <v>0</v>
      </c>
      <c r="M537" s="731" t="str">
        <f t="shared" si="333"/>
        <v>0.719573267155556+1.07576631786589i</v>
      </c>
      <c r="N537" s="338">
        <f t="shared" si="354"/>
        <v>1.2942406489751652</v>
      </c>
      <c r="O537" s="339">
        <f t="shared" si="355"/>
        <v>0.98125354452446667</v>
      </c>
      <c r="P537" s="732" t="str">
        <f t="shared" si="347"/>
        <v>-0.0192618291542295-0.0219511939486771i</v>
      </c>
      <c r="Q537" s="337">
        <f t="shared" si="356"/>
        <v>2.9203989079219356E-2</v>
      </c>
      <c r="R537" s="339">
        <f t="shared" si="357"/>
        <v>-2.2910316607657801</v>
      </c>
      <c r="S537" s="731" t="str">
        <f t="shared" si="334"/>
        <v>6000</v>
      </c>
      <c r="T537" s="337" t="str">
        <f t="shared" si="335"/>
        <v>1+504083.181090248i</v>
      </c>
      <c r="U537" s="346">
        <f t="shared" si="358"/>
        <v>504083.18109123991</v>
      </c>
      <c r="V537" s="347">
        <f t="shared" si="359"/>
        <v>1.5707943429953224</v>
      </c>
      <c r="W537" s="340" t="str">
        <f t="shared" si="336"/>
        <v>1+4990.92258505196i</v>
      </c>
      <c r="X537" s="337">
        <f t="shared" si="360"/>
        <v>4990.922685233837</v>
      </c>
      <c r="Y537" s="339">
        <f t="shared" si="361"/>
        <v>1.5705959630405852</v>
      </c>
      <c r="Z537" s="337" t="str">
        <f t="shared" si="337"/>
        <v>1+50.2758396966735i</v>
      </c>
      <c r="AA537" s="346">
        <f t="shared" si="362"/>
        <v>50.285783847978458</v>
      </c>
      <c r="AB537" s="347">
        <f t="shared" si="363"/>
        <v>1.5509086797052858</v>
      </c>
      <c r="AC537" s="732" t="str">
        <f t="shared" si="364"/>
        <v>0.023258738277256-1.1811375451396i</v>
      </c>
      <c r="AD537" s="337">
        <f t="shared" si="365"/>
        <v>1.1813665262926027</v>
      </c>
      <c r="AE537" s="339">
        <f t="shared" si="366"/>
        <v>-1.5511070596600229</v>
      </c>
      <c r="AF537" s="736" t="str">
        <f t="shared" si="338"/>
        <v>-0.0263753851764632+0.0222403125271994i</v>
      </c>
      <c r="AG537" s="337">
        <f t="shared" si="367"/>
        <v>-29.243463231156362</v>
      </c>
      <c r="AH537" s="730">
        <f t="shared" si="368"/>
        <v>139.86166701580703</v>
      </c>
      <c r="AI537" s="360">
        <f t="shared" si="339"/>
        <v>-40.138332984192971</v>
      </c>
      <c r="AL537" s="337">
        <f t="shared" si="340"/>
        <v>1.4476932215412659</v>
      </c>
      <c r="AM537" s="730">
        <f t="shared" si="341"/>
        <v>-88.871888091466104</v>
      </c>
      <c r="AN537" s="351"/>
      <c r="AO537" s="337">
        <f t="shared" si="342"/>
        <v>22.837966032344518</v>
      </c>
      <c r="AP537" s="730">
        <f t="shared" si="343"/>
        <v>-131.26644489272687</v>
      </c>
      <c r="AS537" s="351"/>
      <c r="AT537" s="351"/>
      <c r="AV537" s="405">
        <f t="shared" si="344"/>
        <v>0</v>
      </c>
      <c r="AW537" s="405">
        <f t="shared" si="328"/>
        <v>0</v>
      </c>
      <c r="AX537" s="405">
        <f t="shared" si="345"/>
        <v>0</v>
      </c>
      <c r="AY537" s="405">
        <f t="shared" si="346"/>
        <v>0</v>
      </c>
    </row>
    <row r="538" spans="2:51" ht="13.5" thickBot="1" x14ac:dyDescent="0.25">
      <c r="B538" s="345">
        <v>79895.5</v>
      </c>
      <c r="C538" s="728" t="str">
        <f t="shared" si="329"/>
        <v>2.2271548443541</v>
      </c>
      <c r="D538" s="728" t="str">
        <f t="shared" si="330"/>
        <v>1+61.0764515246883i</v>
      </c>
      <c r="E538" s="337">
        <f t="shared" si="348"/>
        <v>61.08463743730988</v>
      </c>
      <c r="F538" s="338">
        <f t="shared" si="349"/>
        <v>1.5544248672244831</v>
      </c>
      <c r="G538" s="338" t="str">
        <f t="shared" si="331"/>
        <v>1+0.250999115854883i</v>
      </c>
      <c r="H538" s="337">
        <f t="shared" si="350"/>
        <v>1.0310191832162643</v>
      </c>
      <c r="I538" s="338">
        <f t="shared" si="351"/>
        <v>0.24591878617399124</v>
      </c>
      <c r="J538" s="340">
        <f t="shared" si="332"/>
        <v>1</v>
      </c>
      <c r="K538" s="338">
        <f t="shared" si="352"/>
        <v>1</v>
      </c>
      <c r="L538" s="339">
        <f t="shared" si="353"/>
        <v>0</v>
      </c>
      <c r="M538" s="731" t="str">
        <f t="shared" si="333"/>
        <v>0.716298181322222+1.08202998563638i</v>
      </c>
      <c r="N538" s="338">
        <f t="shared" si="354"/>
        <v>1.2976409265978734</v>
      </c>
      <c r="O538" s="339">
        <f t="shared" si="355"/>
        <v>0.9860350976756127</v>
      </c>
      <c r="P538" s="732" t="str">
        <f t="shared" si="347"/>
        <v>-0.0191830125706379-0.0217072305720923i</v>
      </c>
      <c r="Q538" s="337">
        <f t="shared" si="356"/>
        <v>2.8968807887022732E-2</v>
      </c>
      <c r="R538" s="339">
        <f t="shared" si="357"/>
        <v>-2.2945411787261039</v>
      </c>
      <c r="S538" s="731" t="str">
        <f t="shared" si="334"/>
        <v>6000</v>
      </c>
      <c r="T538" s="337" t="str">
        <f t="shared" si="335"/>
        <v>1+507018.214026865i</v>
      </c>
      <c r="U538" s="346">
        <f t="shared" si="358"/>
        <v>507018.21402785124</v>
      </c>
      <c r="V538" s="347">
        <f t="shared" si="359"/>
        <v>1.5707943544791645</v>
      </c>
      <c r="W538" s="340" t="str">
        <f t="shared" si="336"/>
        <v>1+5019.98231709767i</v>
      </c>
      <c r="X538" s="337">
        <f t="shared" si="360"/>
        <v>5019.9824166996132</v>
      </c>
      <c r="Y538" s="339">
        <f t="shared" si="361"/>
        <v>1.5705971229085867</v>
      </c>
      <c r="Z538" s="337" t="str">
        <f t="shared" si="337"/>
        <v>1+50.5685716325152i</v>
      </c>
      <c r="AA538" s="346">
        <f t="shared" si="362"/>
        <v>50.578458230286351</v>
      </c>
      <c r="AB538" s="347">
        <f t="shared" si="363"/>
        <v>1.5510237754572667</v>
      </c>
      <c r="AC538" s="732" t="str">
        <f t="shared" si="364"/>
        <v>0.0229903417338623-1.17430546994632i</v>
      </c>
      <c r="AD538" s="337">
        <f t="shared" si="365"/>
        <v>1.174530498777655</v>
      </c>
      <c r="AE538" s="339">
        <f t="shared" si="366"/>
        <v>-1.5512210070278445</v>
      </c>
      <c r="AF538" s="736" t="str">
        <f t="shared" si="338"/>
        <v>-0.0259319436126779+0.022027659942801i</v>
      </c>
      <c r="AG538" s="337">
        <f t="shared" si="367"/>
        <v>-29.364101557075802</v>
      </c>
      <c r="AH538" s="730">
        <f t="shared" si="368"/>
        <v>139.65405774529216</v>
      </c>
      <c r="AI538" s="360">
        <f t="shared" si="339"/>
        <v>-40.345942254707836</v>
      </c>
      <c r="AL538" s="337">
        <f t="shared" si="340"/>
        <v>1.3972859698053666</v>
      </c>
      <c r="AM538" s="730">
        <f t="shared" si="341"/>
        <v>-88.878416794728906</v>
      </c>
      <c r="AN538" s="351"/>
      <c r="AO538" s="337">
        <f t="shared" si="342"/>
        <v>22.767734958160975</v>
      </c>
      <c r="AP538" s="730">
        <f t="shared" si="343"/>
        <v>-131.46752545997879</v>
      </c>
      <c r="AS538" s="351"/>
      <c r="AT538" s="351"/>
      <c r="AV538" s="405">
        <f t="shared" si="344"/>
        <v>0</v>
      </c>
      <c r="AW538" s="405">
        <f t="shared" ref="AW538:AW601" si="369">IF(AV538&gt;0,AI538,0)</f>
        <v>0</v>
      </c>
      <c r="AX538" s="405">
        <f t="shared" si="345"/>
        <v>0</v>
      </c>
      <c r="AY538" s="405">
        <f t="shared" si="346"/>
        <v>0</v>
      </c>
    </row>
    <row r="539" spans="2:51" ht="13.5" thickBot="1" x14ac:dyDescent="0.25">
      <c r="B539" s="345">
        <v>80358</v>
      </c>
      <c r="C539" s="728" t="str">
        <f t="shared" si="329"/>
        <v>2.2271548443541</v>
      </c>
      <c r="D539" s="728" t="str">
        <f t="shared" si="330"/>
        <v>1+61.430011597911i</v>
      </c>
      <c r="E539" s="337">
        <f t="shared" si="348"/>
        <v>61.438150402819574</v>
      </c>
      <c r="F539" s="338">
        <f t="shared" si="349"/>
        <v>1.5545190763738621</v>
      </c>
      <c r="G539" s="338" t="str">
        <f t="shared" si="331"/>
        <v>1+0.252452102457169i</v>
      </c>
      <c r="H539" s="337">
        <f t="shared" si="350"/>
        <v>1.0313738720924848</v>
      </c>
      <c r="I539" s="338">
        <f t="shared" si="351"/>
        <v>0.24728518938478836</v>
      </c>
      <c r="J539" s="340">
        <f t="shared" si="332"/>
        <v>1</v>
      </c>
      <c r="K539" s="338">
        <f t="shared" si="352"/>
        <v>1</v>
      </c>
      <c r="L539" s="339">
        <f t="shared" si="353"/>
        <v>0</v>
      </c>
      <c r="M539" s="731" t="str">
        <f t="shared" si="333"/>
        <v>0.7130040816+1.08829365340686i</v>
      </c>
      <c r="N539" s="338">
        <f t="shared" si="354"/>
        <v>1.301060296997764</v>
      </c>
      <c r="O539" s="339">
        <f t="shared" si="355"/>
        <v>0.99080377366740546</v>
      </c>
      <c r="P539" s="732" t="str">
        <f t="shared" si="347"/>
        <v>-0.0191042260036145-0.0214663454810281i</v>
      </c>
      <c r="Q539" s="337">
        <f t="shared" si="356"/>
        <v>2.8736308731429579E-2</v>
      </c>
      <c r="R539" s="339">
        <f t="shared" si="357"/>
        <v>-2.2980376606564774</v>
      </c>
      <c r="S539" s="731" t="str">
        <f t="shared" si="334"/>
        <v>6000</v>
      </c>
      <c r="T539" s="337" t="str">
        <f t="shared" si="335"/>
        <v>1+509953.24696348i</v>
      </c>
      <c r="U539" s="346">
        <f t="shared" si="358"/>
        <v>509953.24696446053</v>
      </c>
      <c r="V539" s="347">
        <f t="shared" si="359"/>
        <v>1.5707943658308161</v>
      </c>
      <c r="W539" s="340" t="str">
        <f t="shared" si="336"/>
        <v>1+5049.04204914337i</v>
      </c>
      <c r="X539" s="337">
        <f t="shared" si="360"/>
        <v>5049.042148172055</v>
      </c>
      <c r="Y539" s="339">
        <f t="shared" si="361"/>
        <v>1.5705982694253617</v>
      </c>
      <c r="Z539" s="337" t="str">
        <f t="shared" si="337"/>
        <v>1+50.8613035683568i</v>
      </c>
      <c r="AA539" s="346">
        <f t="shared" si="362"/>
        <v>50.871133274899073</v>
      </c>
      <c r="AB539" s="347">
        <f t="shared" si="363"/>
        <v>1.5511375468583157</v>
      </c>
      <c r="AC539" s="732" t="str">
        <f t="shared" si="364"/>
        <v>0.0227265637178205-1.16755194788461i</v>
      </c>
      <c r="AD539" s="337">
        <f t="shared" si="365"/>
        <v>1.1677731148247792</v>
      </c>
      <c r="AE539" s="339">
        <f t="shared" si="366"/>
        <v>-1.5513336432637703</v>
      </c>
      <c r="AF539" s="736" t="str">
        <f t="shared" si="338"/>
        <v>-0.0254972468898891+0.0218173200149846i</v>
      </c>
      <c r="AG539" s="337">
        <f t="shared" si="367"/>
        <v>-29.484210933193317</v>
      </c>
      <c r="AH539" s="730">
        <f t="shared" si="368"/>
        <v>139.44727050659924</v>
      </c>
      <c r="AI539" s="360">
        <f t="shared" si="339"/>
        <v>-40.552729493400761</v>
      </c>
      <c r="AL539" s="337">
        <f t="shared" si="340"/>
        <v>1.347169448830301</v>
      </c>
      <c r="AM539" s="730">
        <f t="shared" si="341"/>
        <v>-88.884870375667688</v>
      </c>
      <c r="AN539" s="351"/>
      <c r="AO539" s="337">
        <f t="shared" si="342"/>
        <v>22.697742103018545</v>
      </c>
      <c r="AP539" s="730">
        <f t="shared" si="343"/>
        <v>-131.66785911773292</v>
      </c>
      <c r="AS539" s="351"/>
      <c r="AT539" s="351"/>
      <c r="AV539" s="405">
        <f t="shared" si="344"/>
        <v>0</v>
      </c>
      <c r="AW539" s="405">
        <f t="shared" si="369"/>
        <v>0</v>
      </c>
      <c r="AX539" s="405">
        <f t="shared" si="345"/>
        <v>0</v>
      </c>
      <c r="AY539" s="405">
        <f t="shared" si="346"/>
        <v>0</v>
      </c>
    </row>
    <row r="540" spans="2:51" ht="13.5" thickBot="1" x14ac:dyDescent="0.25">
      <c r="B540" s="345">
        <v>80820.5</v>
      </c>
      <c r="C540" s="728" t="str">
        <f t="shared" si="329"/>
        <v>2.2271548443541</v>
      </c>
      <c r="D540" s="728" t="str">
        <f t="shared" si="330"/>
        <v>1+61.7835716711338i</v>
      </c>
      <c r="E540" s="337">
        <f t="shared" si="348"/>
        <v>61.791663907376112</v>
      </c>
      <c r="F540" s="338">
        <f t="shared" si="349"/>
        <v>1.5546122075726194</v>
      </c>
      <c r="G540" s="338" t="str">
        <f t="shared" si="331"/>
        <v>1+0.253905089059454i</v>
      </c>
      <c r="H540" s="337">
        <f t="shared" si="350"/>
        <v>1.031730485277182</v>
      </c>
      <c r="I540" s="338">
        <f t="shared" si="351"/>
        <v>0.24865065056078189</v>
      </c>
      <c r="J540" s="340">
        <f t="shared" si="332"/>
        <v>1</v>
      </c>
      <c r="K540" s="338">
        <f t="shared" si="352"/>
        <v>1</v>
      </c>
      <c r="L540" s="339">
        <f t="shared" si="353"/>
        <v>0</v>
      </c>
      <c r="M540" s="731" t="str">
        <f t="shared" si="333"/>
        <v>0.709690967988889+1.09455732117735i</v>
      </c>
      <c r="N540" s="338">
        <f t="shared" si="354"/>
        <v>1.3044987540768074</v>
      </c>
      <c r="O540" s="339">
        <f t="shared" si="355"/>
        <v>0.99555957242320725</v>
      </c>
      <c r="P540" s="732" t="str">
        <f t="shared" si="347"/>
        <v>-0.0190254765235881-0.0212284917579431i</v>
      </c>
      <c r="Q540" s="337">
        <f t="shared" si="356"/>
        <v>2.850644873123729E-2</v>
      </c>
      <c r="R540" s="339">
        <f t="shared" si="357"/>
        <v>-2.3015211294350446</v>
      </c>
      <c r="S540" s="731" t="str">
        <f t="shared" si="334"/>
        <v>6000</v>
      </c>
      <c r="T540" s="337" t="str">
        <f t="shared" si="335"/>
        <v>1+512888.279900097i</v>
      </c>
      <c r="U540" s="346">
        <f t="shared" si="358"/>
        <v>512888.27990107186</v>
      </c>
      <c r="V540" s="347">
        <f t="shared" si="359"/>
        <v>1.570794377052547</v>
      </c>
      <c r="W540" s="340" t="str">
        <f t="shared" si="336"/>
        <v>1+5078.10178118908i</v>
      </c>
      <c r="X540" s="337">
        <f t="shared" si="360"/>
        <v>5078.1018796510671</v>
      </c>
      <c r="Y540" s="339">
        <f t="shared" si="361"/>
        <v>1.5705994028201196</v>
      </c>
      <c r="Z540" s="337" t="str">
        <f t="shared" si="337"/>
        <v>1+51.1540355041985i</v>
      </c>
      <c r="AA540" s="346">
        <f t="shared" si="362"/>
        <v>51.16380897045098</v>
      </c>
      <c r="AB540" s="347">
        <f t="shared" si="363"/>
        <v>1.5512500166327767</v>
      </c>
      <c r="AC540" s="732" t="str">
        <f t="shared" si="364"/>
        <v>0.0224672988805528-1.16087563243936i</v>
      </c>
      <c r="AD540" s="337">
        <f t="shared" si="365"/>
        <v>1.1610930253474407</v>
      </c>
      <c r="AE540" s="339">
        <f t="shared" si="366"/>
        <v>-1.5514449908652042</v>
      </c>
      <c r="AF540" s="736" t="str">
        <f t="shared" si="338"/>
        <v>-0.0250710898626363+0.0216092652226715i</v>
      </c>
      <c r="AG540" s="337">
        <f t="shared" si="367"/>
        <v>-29.603797329394492</v>
      </c>
      <c r="AH540" s="730">
        <f t="shared" si="368"/>
        <v>139.24130269990064</v>
      </c>
      <c r="AI540" s="360">
        <f t="shared" si="339"/>
        <v>-40.758697300099357</v>
      </c>
      <c r="AL540" s="337">
        <f t="shared" si="340"/>
        <v>1.2973403254624745</v>
      </c>
      <c r="AM540" s="730">
        <f t="shared" si="341"/>
        <v>-88.891250123288756</v>
      </c>
      <c r="AN540" s="351"/>
      <c r="AO540" s="337">
        <f t="shared" si="342"/>
        <v>22.62798483018517</v>
      </c>
      <c r="AP540" s="730">
        <f t="shared" si="343"/>
        <v>-131.86744717681054</v>
      </c>
      <c r="AS540" s="351"/>
      <c r="AT540" s="351"/>
      <c r="AV540" s="405">
        <f t="shared" si="344"/>
        <v>0</v>
      </c>
      <c r="AW540" s="405">
        <f t="shared" si="369"/>
        <v>0</v>
      </c>
      <c r="AX540" s="405">
        <f t="shared" si="345"/>
        <v>0</v>
      </c>
      <c r="AY540" s="405">
        <f t="shared" si="346"/>
        <v>0</v>
      </c>
    </row>
    <row r="541" spans="2:51" ht="13.5" thickBot="1" x14ac:dyDescent="0.25">
      <c r="B541" s="345">
        <v>81283</v>
      </c>
      <c r="C541" s="728" t="str">
        <f t="shared" si="329"/>
        <v>2.2271548443541</v>
      </c>
      <c r="D541" s="728" t="str">
        <f t="shared" si="330"/>
        <v>1+62.1371317443565i</v>
      </c>
      <c r="E541" s="337">
        <f t="shared" si="348"/>
        <v>62.145177941780133</v>
      </c>
      <c r="F541" s="338">
        <f t="shared" si="349"/>
        <v>1.5547042792149537</v>
      </c>
      <c r="G541" s="338" t="str">
        <f t="shared" si="331"/>
        <v>1+0.255358075661739i</v>
      </c>
      <c r="H541" s="337">
        <f t="shared" si="350"/>
        <v>1.0320890207756628</v>
      </c>
      <c r="I541" s="338">
        <f t="shared" si="351"/>
        <v>0.2500151655893515</v>
      </c>
      <c r="J541" s="340">
        <f t="shared" si="332"/>
        <v>1</v>
      </c>
      <c r="K541" s="338">
        <f t="shared" si="352"/>
        <v>1</v>
      </c>
      <c r="L541" s="339">
        <f t="shared" si="353"/>
        <v>0</v>
      </c>
      <c r="M541" s="731" t="str">
        <f t="shared" si="333"/>
        <v>0.706358840488889+1.10082098894784i</v>
      </c>
      <c r="N541" s="338">
        <f t="shared" si="354"/>
        <v>1.307956291794534</v>
      </c>
      <c r="O541" s="339">
        <f t="shared" si="355"/>
        <v>1.0003024944725833</v>
      </c>
      <c r="P541" s="732" t="str">
        <f t="shared" si="347"/>
        <v>-0.0189467710431785-0.0209936234333534i</v>
      </c>
      <c r="Q541" s="337">
        <f t="shared" si="356"/>
        <v>2.8279185946983559E-2</v>
      </c>
      <c r="R541" s="339">
        <f t="shared" si="357"/>
        <v>-2.3049916080981863</v>
      </c>
      <c r="S541" s="731" t="str">
        <f t="shared" si="334"/>
        <v>6000</v>
      </c>
      <c r="T541" s="337" t="str">
        <f t="shared" si="335"/>
        <v>1+515823.312836713i</v>
      </c>
      <c r="U541" s="346">
        <f t="shared" si="358"/>
        <v>515823.31283768232</v>
      </c>
      <c r="V541" s="347">
        <f t="shared" si="359"/>
        <v>1.5707943881465745</v>
      </c>
      <c r="W541" s="340" t="str">
        <f t="shared" si="336"/>
        <v>1+5107.16151323478i</v>
      </c>
      <c r="X541" s="337">
        <f t="shared" si="360"/>
        <v>5107.1616111365192</v>
      </c>
      <c r="Y541" s="339">
        <f t="shared" si="361"/>
        <v>1.5706005233168534</v>
      </c>
      <c r="Z541" s="337" t="str">
        <f t="shared" si="337"/>
        <v>1+51.4467674400401i</v>
      </c>
      <c r="AA541" s="346">
        <f t="shared" si="362"/>
        <v>51.456485305834583</v>
      </c>
      <c r="AB541" s="347">
        <f t="shared" si="363"/>
        <v>1.5513612069881173</v>
      </c>
      <c r="AC541" s="732" t="str">
        <f t="shared" si="364"/>
        <v>0.0222124448598181-1.15427520768407i</v>
      </c>
      <c r="AD541" s="337">
        <f t="shared" si="365"/>
        <v>1.1544889119349537</v>
      </c>
      <c r="AE541" s="339">
        <f t="shared" si="366"/>
        <v>-1.5515550718178384</v>
      </c>
      <c r="AF541" s="736" t="str">
        <f t="shared" si="338"/>
        <v>-0.0246532731556434+0.0214034683778862i</v>
      </c>
      <c r="AG541" s="337">
        <f t="shared" si="367"/>
        <v>-29.722866604973358</v>
      </c>
      <c r="AH541" s="730">
        <f t="shared" si="368"/>
        <v>139.03615174562188</v>
      </c>
      <c r="AI541" s="360">
        <f t="shared" si="339"/>
        <v>-40.963848254378121</v>
      </c>
      <c r="AL541" s="337">
        <f t="shared" si="340"/>
        <v>1.2477953235205645</v>
      </c>
      <c r="AM541" s="730">
        <f t="shared" si="341"/>
        <v>-88.897557297279477</v>
      </c>
      <c r="AN541" s="351"/>
      <c r="AO541" s="337">
        <f t="shared" si="342"/>
        <v>22.558460556548209</v>
      </c>
      <c r="AP541" s="730">
        <f t="shared" si="343"/>
        <v>-132.06629095709869</v>
      </c>
      <c r="AS541" s="351"/>
      <c r="AT541" s="351"/>
      <c r="AV541" s="405">
        <f t="shared" si="344"/>
        <v>0</v>
      </c>
      <c r="AW541" s="405">
        <f t="shared" si="369"/>
        <v>0</v>
      </c>
      <c r="AX541" s="405">
        <f t="shared" si="345"/>
        <v>0</v>
      </c>
      <c r="AY541" s="405">
        <f t="shared" si="346"/>
        <v>0</v>
      </c>
    </row>
    <row r="542" spans="2:51" ht="13.5" thickBot="1" x14ac:dyDescent="0.25">
      <c r="B542" s="345">
        <v>81756.25</v>
      </c>
      <c r="C542" s="728" t="str">
        <f t="shared" si="329"/>
        <v>2.2271548443541</v>
      </c>
      <c r="D542" s="728" t="str">
        <f t="shared" si="330"/>
        <v>1+62.4989097003623i</v>
      </c>
      <c r="E542" s="337">
        <f t="shared" si="348"/>
        <v>62.506909327961814</v>
      </c>
      <c r="F542" s="338">
        <f t="shared" si="349"/>
        <v>1.5547974128684148</v>
      </c>
      <c r="G542" s="338" t="str">
        <f t="shared" si="331"/>
        <v>1+0.256844834385051i</v>
      </c>
      <c r="H542" s="337">
        <f t="shared" si="350"/>
        <v>1.032457877567063</v>
      </c>
      <c r="I542" s="338">
        <f t="shared" si="351"/>
        <v>0.25141041271300035</v>
      </c>
      <c r="J542" s="340">
        <f t="shared" si="332"/>
        <v>1</v>
      </c>
      <c r="K542" s="338">
        <f t="shared" si="352"/>
        <v>1</v>
      </c>
      <c r="L542" s="339">
        <f t="shared" si="353"/>
        <v>0</v>
      </c>
      <c r="M542" s="731" t="str">
        <f t="shared" si="333"/>
        <v>0.702929581597222+1.10723024467191i</v>
      </c>
      <c r="N542" s="338">
        <f t="shared" si="354"/>
        <v>1.3115139386985804</v>
      </c>
      <c r="O542" s="339">
        <f t="shared" si="355"/>
        <v>1.0051423294640771</v>
      </c>
      <c r="P542" s="732" t="str">
        <f t="shared" si="347"/>
        <v>-0.018866288786328-0.0207563393115931i</v>
      </c>
      <c r="Q542" s="337">
        <f t="shared" si="356"/>
        <v>2.8049286518325396E-2</v>
      </c>
      <c r="R542" s="339">
        <f t="shared" si="357"/>
        <v>-2.3085293296194904</v>
      </c>
      <c r="S542" s="731" t="str">
        <f t="shared" si="334"/>
        <v>6000</v>
      </c>
      <c r="T542" s="337" t="str">
        <f t="shared" si="335"/>
        <v>1+518826.565457802i</v>
      </c>
      <c r="U542" s="346">
        <f t="shared" si="358"/>
        <v>518826.56545876578</v>
      </c>
      <c r="V542" s="347">
        <f t="shared" si="359"/>
        <v>1.5707943993685338</v>
      </c>
      <c r="W542" s="340" t="str">
        <f t="shared" si="336"/>
        <v>1+5136.89668770101i</v>
      </c>
      <c r="X542" s="337">
        <f t="shared" si="360"/>
        <v>5136.8967850360405</v>
      </c>
      <c r="Y542" s="339">
        <f t="shared" si="361"/>
        <v>1.5706016567347099</v>
      </c>
      <c r="Z542" s="337" t="str">
        <f t="shared" si="337"/>
        <v>1+51.7463034154717i</v>
      </c>
      <c r="AA542" s="346">
        <f t="shared" si="362"/>
        <v>51.755965039462431</v>
      </c>
      <c r="AB542" s="347">
        <f t="shared" si="363"/>
        <v>1.5514736800353499</v>
      </c>
      <c r="AC542" s="732" t="str">
        <f t="shared" si="364"/>
        <v>0.0219561292427983-1.14759858322808i</v>
      </c>
      <c r="AD542" s="337">
        <f t="shared" si="365"/>
        <v>1.1478085989564735</v>
      </c>
      <c r="AE542" s="339">
        <f t="shared" si="366"/>
        <v>-1.5516664226691739</v>
      </c>
      <c r="AF542" s="736" t="str">
        <f t="shared" si="338"/>
        <v>-0.0242341762619101+0.0211951974134291i</v>
      </c>
      <c r="AG542" s="337">
        <f t="shared" si="367"/>
        <v>-29.844174145908209</v>
      </c>
      <c r="AH542" s="730">
        <f t="shared" si="368"/>
        <v>138.82707529953174</v>
      </c>
      <c r="AI542" s="360">
        <f t="shared" si="339"/>
        <v>-41.172924700468258</v>
      </c>
      <c r="AL542" s="337">
        <f t="shared" si="340"/>
        <v>1.1973894799274123</v>
      </c>
      <c r="AM542" s="730">
        <f t="shared" si="341"/>
        <v>-88.903937231106184</v>
      </c>
      <c r="AN542" s="351"/>
      <c r="AO542" s="337">
        <f t="shared" si="342"/>
        <v>22.487558859206516</v>
      </c>
      <c r="AP542" s="730">
        <f t="shared" si="343"/>
        <v>-132.26898746936206</v>
      </c>
      <c r="AS542" s="351"/>
      <c r="AT542" s="351"/>
      <c r="AV542" s="405">
        <f t="shared" si="344"/>
        <v>0</v>
      </c>
      <c r="AW542" s="405">
        <f t="shared" si="369"/>
        <v>0</v>
      </c>
      <c r="AX542" s="405">
        <f t="shared" si="345"/>
        <v>0</v>
      </c>
      <c r="AY542" s="405">
        <f t="shared" si="346"/>
        <v>0</v>
      </c>
    </row>
    <row r="543" spans="2:51" ht="13.5" thickBot="1" x14ac:dyDescent="0.25">
      <c r="B543" s="345">
        <v>82229.5</v>
      </c>
      <c r="C543" s="728" t="str">
        <f t="shared" si="329"/>
        <v>2.2271548443541</v>
      </c>
      <c r="D543" s="728" t="str">
        <f t="shared" si="330"/>
        <v>1+62.8606876563681i</v>
      </c>
      <c r="E543" s="337">
        <f t="shared" si="348"/>
        <v>62.868641250081659</v>
      </c>
      <c r="F543" s="338">
        <f t="shared" si="349"/>
        <v>1.5548894747827717</v>
      </c>
      <c r="G543" s="338" t="str">
        <f t="shared" si="331"/>
        <v>1+0.258331593108362i</v>
      </c>
      <c r="H543" s="337">
        <f t="shared" si="350"/>
        <v>1.0328287428213374</v>
      </c>
      <c r="I543" s="338">
        <f t="shared" si="351"/>
        <v>0.25280466054636636</v>
      </c>
      <c r="J543" s="340">
        <f t="shared" si="332"/>
        <v>1</v>
      </c>
      <c r="K543" s="338">
        <f t="shared" si="352"/>
        <v>1</v>
      </c>
      <c r="L543" s="339">
        <f t="shared" si="353"/>
        <v>0</v>
      </c>
      <c r="M543" s="731" t="str">
        <f t="shared" si="333"/>
        <v>0.699480414655555+1.11363950039598i</v>
      </c>
      <c r="N543" s="338">
        <f t="shared" si="354"/>
        <v>1.3150915509305485</v>
      </c>
      <c r="O543" s="339">
        <f t="shared" si="355"/>
        <v>1.009968685233106</v>
      </c>
      <c r="P543" s="732" t="str">
        <f t="shared" si="347"/>
        <v>-0.0187858667492116-0.0205220865292458i</v>
      </c>
      <c r="Q543" s="337">
        <f t="shared" si="356"/>
        <v>2.7822020505940719E-2</v>
      </c>
      <c r="R543" s="339">
        <f t="shared" si="357"/>
        <v>-2.3120534994695094</v>
      </c>
      <c r="S543" s="731" t="str">
        <f t="shared" si="334"/>
        <v>6000</v>
      </c>
      <c r="T543" s="337" t="str">
        <f t="shared" si="335"/>
        <v>1+521829.818078891i</v>
      </c>
      <c r="U543" s="346">
        <f t="shared" si="358"/>
        <v>521829.81807984924</v>
      </c>
      <c r="V543" s="347">
        <f t="shared" si="359"/>
        <v>1.5707944104613232</v>
      </c>
      <c r="W543" s="340" t="str">
        <f t="shared" si="336"/>
        <v>1+5166.63186216724i</v>
      </c>
      <c r="X543" s="337">
        <f t="shared" si="360"/>
        <v>5166.6319589420837</v>
      </c>
      <c r="Y543" s="339">
        <f t="shared" si="361"/>
        <v>1.5706027771063973</v>
      </c>
      <c r="Z543" s="337" t="str">
        <f t="shared" si="337"/>
        <v>1+52.0458393909032i</v>
      </c>
      <c r="AA543" s="346">
        <f t="shared" si="362"/>
        <v>52.055445420279426</v>
      </c>
      <c r="AB543" s="347">
        <f t="shared" si="363"/>
        <v>1.5515848589457446</v>
      </c>
      <c r="AC543" s="732" t="str">
        <f t="shared" si="364"/>
        <v>0.0217042241700094-1.14099872509856i</v>
      </c>
      <c r="AD543" s="337">
        <f t="shared" si="365"/>
        <v>1.1412051366968874</v>
      </c>
      <c r="AE543" s="339">
        <f t="shared" si="366"/>
        <v>-1.5517764923006703</v>
      </c>
      <c r="AF543" s="736" t="str">
        <f t="shared" si="338"/>
        <v>-0.0238234072293846+0.0209892340442548i</v>
      </c>
      <c r="AG543" s="337">
        <f t="shared" si="367"/>
        <v>-29.964952316573964</v>
      </c>
      <c r="AH543" s="730">
        <f t="shared" si="368"/>
        <v>138.61884871550106</v>
      </c>
      <c r="AI543" s="360">
        <f t="shared" si="339"/>
        <v>-41.381151284498941</v>
      </c>
      <c r="AL543" s="337">
        <f t="shared" si="340"/>
        <v>1.1472743559870135</v>
      </c>
      <c r="AM543" s="730">
        <f t="shared" si="341"/>
        <v>-88.910243756443492</v>
      </c>
      <c r="AN543" s="351"/>
      <c r="AO543" s="337">
        <f t="shared" si="342"/>
        <v>22.416895812481155</v>
      </c>
      <c r="AP543" s="730">
        <f t="shared" si="343"/>
        <v>-132.47090752805542</v>
      </c>
      <c r="AS543" s="351"/>
      <c r="AT543" s="351"/>
      <c r="AV543" s="405">
        <f t="shared" si="344"/>
        <v>0</v>
      </c>
      <c r="AW543" s="405">
        <f t="shared" si="369"/>
        <v>0</v>
      </c>
      <c r="AX543" s="405">
        <f t="shared" si="345"/>
        <v>0</v>
      </c>
      <c r="AY543" s="405">
        <f t="shared" si="346"/>
        <v>0</v>
      </c>
    </row>
    <row r="544" spans="2:51" ht="13.5" thickBot="1" x14ac:dyDescent="0.25">
      <c r="B544" s="345">
        <v>82702.75</v>
      </c>
      <c r="C544" s="728" t="str">
        <f t="shared" si="329"/>
        <v>2.2271548443541</v>
      </c>
      <c r="D544" s="728" t="str">
        <f t="shared" si="330"/>
        <v>1+63.2224656123739i</v>
      </c>
      <c r="E544" s="337">
        <f t="shared" si="348"/>
        <v>63.23037369894157</v>
      </c>
      <c r="F544" s="338">
        <f t="shared" si="349"/>
        <v>1.5549804833502758</v>
      </c>
      <c r="G544" s="338" t="str">
        <f t="shared" si="331"/>
        <v>1+0.259818351831674i</v>
      </c>
      <c r="H544" s="337">
        <f t="shared" si="350"/>
        <v>1.0332016143756877</v>
      </c>
      <c r="I544" s="338">
        <f t="shared" si="351"/>
        <v>0.25419790474782755</v>
      </c>
      <c r="J544" s="340">
        <f t="shared" si="332"/>
        <v>1</v>
      </c>
      <c r="K544" s="338">
        <f t="shared" si="352"/>
        <v>1</v>
      </c>
      <c r="L544" s="339">
        <f t="shared" si="353"/>
        <v>0</v>
      </c>
      <c r="M544" s="731" t="str">
        <f t="shared" si="333"/>
        <v>0.696011339663888+1.12004875612005i</v>
      </c>
      <c r="N544" s="338">
        <f t="shared" si="354"/>
        <v>1.318689122206895</v>
      </c>
      <c r="O544" s="339">
        <f t="shared" si="355"/>
        <v>1.0147815642691758</v>
      </c>
      <c r="P544" s="732" t="str">
        <f t="shared" si="347"/>
        <v>-0.0187055118447103-0.0202908187519312i</v>
      </c>
      <c r="Q544" s="337">
        <f t="shared" si="356"/>
        <v>2.759734586869397E-2</v>
      </c>
      <c r="R544" s="339">
        <f t="shared" si="357"/>
        <v>-2.315564142871624</v>
      </c>
      <c r="S544" s="731" t="str">
        <f t="shared" si="334"/>
        <v>6000</v>
      </c>
      <c r="T544" s="337" t="str">
        <f t="shared" si="335"/>
        <v>1+524833.07069998i</v>
      </c>
      <c r="U544" s="346">
        <f t="shared" si="358"/>
        <v>524833.07070093264</v>
      </c>
      <c r="V544" s="347">
        <f t="shared" si="359"/>
        <v>1.5707944214271601</v>
      </c>
      <c r="W544" s="340" t="str">
        <f t="shared" si="336"/>
        <v>1+5196.36703663347i</v>
      </c>
      <c r="X544" s="337">
        <f t="shared" si="360"/>
        <v>5196.3671328545406</v>
      </c>
      <c r="Y544" s="339">
        <f t="shared" si="361"/>
        <v>1.5706038846558781</v>
      </c>
      <c r="Z544" s="337" t="str">
        <f t="shared" si="337"/>
        <v>1+52.3453753663347i</v>
      </c>
      <c r="AA544" s="346">
        <f t="shared" si="362"/>
        <v>52.354926437179522</v>
      </c>
      <c r="AB544" s="347">
        <f t="shared" si="363"/>
        <v>1.5516947659247211</v>
      </c>
      <c r="AC544" s="732" t="str">
        <f t="shared" si="364"/>
        <v>0.0214566290385784-1.13447431737743i</v>
      </c>
      <c r="AD544" s="337">
        <f t="shared" si="365"/>
        <v>1.1346772068384405</v>
      </c>
      <c r="AE544" s="339">
        <f t="shared" si="366"/>
        <v>-1.5518853026960031</v>
      </c>
      <c r="AF544" s="736" t="str">
        <f t="shared" si="338"/>
        <v>-0.023420769981255+0.0207855502103739i</v>
      </c>
      <c r="AG544" s="337">
        <f t="shared" si="367"/>
        <v>-30.085207051645536</v>
      </c>
      <c r="AH544" s="730">
        <f t="shared" si="368"/>
        <v>138.41146928876483</v>
      </c>
      <c r="AI544" s="360">
        <f t="shared" si="339"/>
        <v>-41.588530711235165</v>
      </c>
      <c r="AL544" s="337">
        <f t="shared" si="340"/>
        <v>1.097446618649395</v>
      </c>
      <c r="AM544" s="730">
        <f t="shared" si="341"/>
        <v>-88.916478132863219</v>
      </c>
      <c r="AN544" s="351"/>
      <c r="AO544" s="337">
        <f t="shared" si="342"/>
        <v>22.346468814747205</v>
      </c>
      <c r="AP544" s="730">
        <f t="shared" si="343"/>
        <v>-132.67205257837199</v>
      </c>
      <c r="AS544" s="351"/>
      <c r="AT544" s="351"/>
      <c r="AV544" s="405">
        <f t="shared" si="344"/>
        <v>0</v>
      </c>
      <c r="AW544" s="405">
        <f t="shared" si="369"/>
        <v>0</v>
      </c>
      <c r="AX544" s="405">
        <f t="shared" si="345"/>
        <v>0</v>
      </c>
      <c r="AY544" s="405">
        <f t="shared" si="346"/>
        <v>0</v>
      </c>
    </row>
    <row r="545" spans="2:51" ht="13.5" thickBot="1" x14ac:dyDescent="0.25">
      <c r="B545" s="345">
        <v>83176</v>
      </c>
      <c r="C545" s="728" t="str">
        <f t="shared" si="329"/>
        <v>2.2271548443541</v>
      </c>
      <c r="D545" s="728" t="str">
        <f t="shared" si="330"/>
        <v>1+63.5842435683796i</v>
      </c>
      <c r="E545" s="337">
        <f t="shared" si="348"/>
        <v>63.59210666555262</v>
      </c>
      <c r="F545" s="338">
        <f t="shared" si="349"/>
        <v>1.5550704565447639</v>
      </c>
      <c r="G545" s="338" t="str">
        <f t="shared" si="331"/>
        <v>1+0.261305110554985i</v>
      </c>
      <c r="H545" s="337">
        <f t="shared" si="350"/>
        <v>1.0335764900587441</v>
      </c>
      <c r="I545" s="338">
        <f t="shared" si="351"/>
        <v>0.25559014099759197</v>
      </c>
      <c r="J545" s="340">
        <f t="shared" si="332"/>
        <v>1</v>
      </c>
      <c r="K545" s="338">
        <f t="shared" si="352"/>
        <v>1</v>
      </c>
      <c r="L545" s="339">
        <f t="shared" si="353"/>
        <v>0</v>
      </c>
      <c r="M545" s="731" t="str">
        <f t="shared" si="333"/>
        <v>0.692522356622222+1.12645801184411i</v>
      </c>
      <c r="N545" s="338">
        <f t="shared" si="354"/>
        <v>1.3223066463076487</v>
      </c>
      <c r="O545" s="339">
        <f t="shared" si="355"/>
        <v>1.019580969693376</v>
      </c>
      <c r="P545" s="732" t="str">
        <f t="shared" si="347"/>
        <v>-0.0186252308259384-0.0200624905750418i</v>
      </c>
      <c r="Q545" s="337">
        <f t="shared" si="356"/>
        <v>2.737522148573646E-2</v>
      </c>
      <c r="R545" s="339">
        <f t="shared" si="357"/>
        <v>-2.3190612852405463</v>
      </c>
      <c r="S545" s="731" t="str">
        <f t="shared" si="334"/>
        <v>6000</v>
      </c>
      <c r="T545" s="337" t="str">
        <f t="shared" si="335"/>
        <v>1+527836.323321069i</v>
      </c>
      <c r="U545" s="346">
        <f t="shared" si="358"/>
        <v>527836.32332201628</v>
      </c>
      <c r="V545" s="347">
        <f t="shared" si="359"/>
        <v>1.5707944322682112</v>
      </c>
      <c r="W545" s="340" t="str">
        <f t="shared" si="336"/>
        <v>1+5226.10221109969i</v>
      </c>
      <c r="X545" s="337">
        <f t="shared" si="360"/>
        <v>5226.1023067732867</v>
      </c>
      <c r="Y545" s="339">
        <f t="shared" si="361"/>
        <v>1.5706049796020172</v>
      </c>
      <c r="Z545" s="337" t="str">
        <f t="shared" si="337"/>
        <v>1+52.6449113417661i</v>
      </c>
      <c r="AA545" s="346">
        <f t="shared" si="362"/>
        <v>52.654408079309107</v>
      </c>
      <c r="AB545" s="347">
        <f t="shared" si="363"/>
        <v>1.5518034226726336</v>
      </c>
      <c r="AC545" s="732" t="str">
        <f t="shared" si="364"/>
        <v>0.0212132460974121-1.12802407404134i</v>
      </c>
      <c r="AD545" s="337">
        <f t="shared" si="365"/>
        <v>1.1282235210395199</v>
      </c>
      <c r="AE545" s="339">
        <f t="shared" si="366"/>
        <v>-1.5519928753388279</v>
      </c>
      <c r="AF545" s="736" t="str">
        <f t="shared" si="338"/>
        <v>-0.0230260739590064+0.02058411820634i</v>
      </c>
      <c r="AG545" s="337">
        <f t="shared" si="367"/>
        <v>-30.204944175661225</v>
      </c>
      <c r="AH545" s="730">
        <f t="shared" si="368"/>
        <v>138.20493433224425</v>
      </c>
      <c r="AI545" s="360">
        <f t="shared" si="339"/>
        <v>-41.79506566775575</v>
      </c>
      <c r="AL545" s="337">
        <f t="shared" si="340"/>
        <v>1.0479029918362543</v>
      </c>
      <c r="AM545" s="730">
        <f t="shared" si="341"/>
        <v>-88.922641591288141</v>
      </c>
      <c r="AN545" s="351"/>
      <c r="AO545" s="337">
        <f t="shared" si="342"/>
        <v>22.276275317544648</v>
      </c>
      <c r="AP545" s="730">
        <f t="shared" si="343"/>
        <v>-132.87242407646767</v>
      </c>
      <c r="AS545" s="351"/>
      <c r="AT545" s="351"/>
      <c r="AV545" s="405">
        <f t="shared" si="344"/>
        <v>0</v>
      </c>
      <c r="AW545" s="405">
        <f t="shared" si="369"/>
        <v>0</v>
      </c>
      <c r="AX545" s="405">
        <f t="shared" si="345"/>
        <v>0</v>
      </c>
      <c r="AY545" s="405">
        <f t="shared" si="346"/>
        <v>0</v>
      </c>
    </row>
    <row r="546" spans="2:51" ht="13.5" thickBot="1" x14ac:dyDescent="0.25">
      <c r="B546" s="345">
        <v>83660.5</v>
      </c>
      <c r="C546" s="728" t="str">
        <f t="shared" si="329"/>
        <v>2.2271548443541</v>
      </c>
      <c r="D546" s="728" t="str">
        <f t="shared" si="330"/>
        <v>1+63.9546216342746i</v>
      </c>
      <c r="E546" s="337">
        <f t="shared" si="348"/>
        <v>63.962439199761803</v>
      </c>
      <c r="F546" s="338">
        <f t="shared" si="349"/>
        <v>1.5551615143190067</v>
      </c>
      <c r="G546" s="338" t="str">
        <f t="shared" si="331"/>
        <v>1+0.262827212195649i</v>
      </c>
      <c r="H546" s="337">
        <f t="shared" si="350"/>
        <v>1.0339623510895051</v>
      </c>
      <c r="I546" s="338">
        <f t="shared" si="351"/>
        <v>0.25701442453099976</v>
      </c>
      <c r="J546" s="340">
        <f t="shared" si="332"/>
        <v>1</v>
      </c>
      <c r="K546" s="338">
        <f t="shared" si="352"/>
        <v>1</v>
      </c>
      <c r="L546" s="339">
        <f t="shared" si="353"/>
        <v>0</v>
      </c>
      <c r="M546" s="731" t="str">
        <f t="shared" si="333"/>
        <v>0.688929810655555+1.13301962705449i</v>
      </c>
      <c r="N546" s="338">
        <f t="shared" si="354"/>
        <v>1.326030828940487</v>
      </c>
      <c r="O546" s="339">
        <f t="shared" si="355"/>
        <v>1.0244805116362252</v>
      </c>
      <c r="P546" s="732" t="str">
        <f t="shared" si="347"/>
        <v>-0.0185431248115147-0.019831733419518i</v>
      </c>
      <c r="Q546" s="337">
        <f t="shared" si="356"/>
        <v>2.7150416722367988E-2</v>
      </c>
      <c r="R546" s="339">
        <f t="shared" si="357"/>
        <v>-2.3226276014242306</v>
      </c>
      <c r="S546" s="731" t="str">
        <f t="shared" si="334"/>
        <v>6000</v>
      </c>
      <c r="T546" s="337" t="str">
        <f t="shared" si="335"/>
        <v>1+530910.968635211i</v>
      </c>
      <c r="U546" s="346">
        <f t="shared" si="358"/>
        <v>530910.9686361528</v>
      </c>
      <c r="V546" s="347">
        <f t="shared" si="359"/>
        <v>1.5707944432399146</v>
      </c>
      <c r="W546" s="340" t="str">
        <f t="shared" si="336"/>
        <v>1+5256.54424391298i</v>
      </c>
      <c r="X546" s="337">
        <f t="shared" si="360"/>
        <v>5256.5443390325054</v>
      </c>
      <c r="Y546" s="339">
        <f t="shared" si="361"/>
        <v>1.5706060877440042</v>
      </c>
      <c r="Z546" s="337" t="str">
        <f t="shared" si="337"/>
        <v>1+52.9515678237452i</v>
      </c>
      <c r="AA546" s="346">
        <f t="shared" si="362"/>
        <v>52.961009573012177</v>
      </c>
      <c r="AB546" s="347">
        <f t="shared" si="363"/>
        <v>1.5519133893643349</v>
      </c>
      <c r="AC546" s="732" t="str">
        <f t="shared" si="364"/>
        <v>0.0209683419121625-1.12149601445027i</v>
      </c>
      <c r="AD546" s="337">
        <f t="shared" si="365"/>
        <v>1.1216920173516369</v>
      </c>
      <c r="AE546" s="339">
        <f t="shared" si="366"/>
        <v>-1.5521017448602454</v>
      </c>
      <c r="AF546" s="736" t="str">
        <f t="shared" si="338"/>
        <v>-0.0226300285707974+0.0203802020045163i</v>
      </c>
      <c r="AG546" s="337">
        <f t="shared" si="367"/>
        <v>-30.326997420180177</v>
      </c>
      <c r="AH546" s="730">
        <f t="shared" si="368"/>
        <v>137.99436170241509</v>
      </c>
      <c r="AI546" s="360">
        <f t="shared" si="339"/>
        <v>-42.005638297584909</v>
      </c>
      <c r="AL546" s="337">
        <f t="shared" si="340"/>
        <v>0.99747258357961066</v>
      </c>
      <c r="AM546" s="730">
        <f t="shared" si="341"/>
        <v>-88.928879355382975</v>
      </c>
      <c r="AN546" s="351"/>
      <c r="AO546" s="337">
        <f t="shared" si="342"/>
        <v>22.204652481282352</v>
      </c>
      <c r="AP546" s="730">
        <f t="shared" si="343"/>
        <v>-133.07675894220193</v>
      </c>
      <c r="AS546" s="351"/>
      <c r="AT546" s="351"/>
      <c r="AV546" s="405">
        <f t="shared" si="344"/>
        <v>0</v>
      </c>
      <c r="AW546" s="405">
        <f t="shared" si="369"/>
        <v>0</v>
      </c>
      <c r="AX546" s="405">
        <f t="shared" si="345"/>
        <v>0</v>
      </c>
      <c r="AY546" s="405">
        <f t="shared" si="346"/>
        <v>0</v>
      </c>
    </row>
    <row r="547" spans="2:51" ht="13.5" thickBot="1" x14ac:dyDescent="0.25">
      <c r="B547" s="345">
        <v>84145</v>
      </c>
      <c r="C547" s="728" t="str">
        <f t="shared" si="329"/>
        <v>2.2271548443541</v>
      </c>
      <c r="D547" s="728" t="str">
        <f t="shared" si="330"/>
        <v>1+64.3249997001695i</v>
      </c>
      <c r="E547" s="337">
        <f t="shared" si="348"/>
        <v>64.332772258210724</v>
      </c>
      <c r="F547" s="338">
        <f t="shared" si="349"/>
        <v>1.5552515237417153</v>
      </c>
      <c r="G547" s="338" t="str">
        <f t="shared" si="331"/>
        <v>1+0.264349313836313i</v>
      </c>
      <c r="H547" s="337">
        <f t="shared" si="350"/>
        <v>1.0343503080319207</v>
      </c>
      <c r="I547" s="338">
        <f t="shared" si="351"/>
        <v>0.25843764252893775</v>
      </c>
      <c r="J547" s="340">
        <f t="shared" si="332"/>
        <v>1</v>
      </c>
      <c r="K547" s="338">
        <f t="shared" si="352"/>
        <v>1</v>
      </c>
      <c r="L547" s="339">
        <f t="shared" si="353"/>
        <v>0</v>
      </c>
      <c r="M547" s="731" t="str">
        <f t="shared" si="333"/>
        <v>0.685316398888889+1.13958124226487i</v>
      </c>
      <c r="N547" s="338">
        <f t="shared" si="354"/>
        <v>1.3297759113128718</v>
      </c>
      <c r="O547" s="339">
        <f t="shared" si="355"/>
        <v>1.0293659403821998</v>
      </c>
      <c r="P547" s="732" t="str">
        <f t="shared" si="347"/>
        <v>-0.0184611100619304-0.019603963852727i</v>
      </c>
      <c r="Q547" s="337">
        <f t="shared" si="356"/>
        <v>2.692820052394394E-2</v>
      </c>
      <c r="R547" s="339">
        <f t="shared" si="357"/>
        <v>-2.3261798215949772</v>
      </c>
      <c r="S547" s="731" t="str">
        <f t="shared" si="334"/>
        <v>6000</v>
      </c>
      <c r="T547" s="337" t="str">
        <f t="shared" si="335"/>
        <v>1+533985.613949352i</v>
      </c>
      <c r="U547" s="346">
        <f t="shared" si="358"/>
        <v>533985.61395028827</v>
      </c>
      <c r="V547" s="347">
        <f t="shared" si="359"/>
        <v>1.5707944540852694</v>
      </c>
      <c r="W547" s="340" t="str">
        <f t="shared" si="336"/>
        <v>1+5286.98627672626i</v>
      </c>
      <c r="X547" s="337">
        <f t="shared" si="360"/>
        <v>5286.9863712980959</v>
      </c>
      <c r="Y547" s="339">
        <f t="shared" si="361"/>
        <v>1.5706071831248105</v>
      </c>
      <c r="Z547" s="337" t="str">
        <f t="shared" si="337"/>
        <v>1+53.2582243057242i</v>
      </c>
      <c r="AA547" s="346">
        <f t="shared" si="362"/>
        <v>53.267611699782748</v>
      </c>
      <c r="AB547" s="347">
        <f t="shared" si="363"/>
        <v>1.5520220901465727</v>
      </c>
      <c r="AC547" s="732" t="str">
        <f t="shared" si="364"/>
        <v>0.0207276539625605-1.11504305175545i</v>
      </c>
      <c r="AD547" s="337">
        <f t="shared" si="365"/>
        <v>1.11523568939794</v>
      </c>
      <c r="AE547" s="339">
        <f t="shared" si="366"/>
        <v>-1.5522093611070316</v>
      </c>
      <c r="AF547" s="736" t="str">
        <f t="shared" si="338"/>
        <v>-0.0222419191819767+0.0201785883232142i</v>
      </c>
      <c r="AG547" s="337">
        <f t="shared" si="367"/>
        <v>-30.448520164198349</v>
      </c>
      <c r="AH547" s="730">
        <f t="shared" si="368"/>
        <v>137.78466852198227</v>
      </c>
      <c r="AI547" s="360">
        <f t="shared" si="339"/>
        <v>-42.215331478017731</v>
      </c>
      <c r="AL547" s="337">
        <f t="shared" si="340"/>
        <v>0.94733318244914555</v>
      </c>
      <c r="AM547" s="730">
        <f t="shared" si="341"/>
        <v>-88.935045312130853</v>
      </c>
      <c r="AN547" s="351"/>
      <c r="AO547" s="337">
        <f t="shared" si="342"/>
        <v>22.133269138394645</v>
      </c>
      <c r="AP547" s="730">
        <f t="shared" si="343"/>
        <v>-133.28028616588702</v>
      </c>
      <c r="AS547" s="351"/>
      <c r="AT547" s="351"/>
      <c r="AV547" s="405">
        <f t="shared" si="344"/>
        <v>0</v>
      </c>
      <c r="AW547" s="405">
        <f t="shared" si="369"/>
        <v>0</v>
      </c>
      <c r="AX547" s="405">
        <f t="shared" si="345"/>
        <v>0</v>
      </c>
      <c r="AY547" s="405">
        <f t="shared" si="346"/>
        <v>0</v>
      </c>
    </row>
    <row r="548" spans="2:51" ht="13.5" thickBot="1" x14ac:dyDescent="0.25">
      <c r="B548" s="345">
        <v>84629.5</v>
      </c>
      <c r="C548" s="728" t="str">
        <f t="shared" si="329"/>
        <v>2.2271548443541</v>
      </c>
      <c r="D548" s="728" t="str">
        <f t="shared" si="330"/>
        <v>1+64.6953777660645i</v>
      </c>
      <c r="E548" s="337">
        <f t="shared" si="348"/>
        <v>64.703105831897986</v>
      </c>
      <c r="F548" s="338">
        <f t="shared" si="349"/>
        <v>1.5553405028123981</v>
      </c>
      <c r="G548" s="338" t="str">
        <f t="shared" si="331"/>
        <v>1+0.265871415476977i</v>
      </c>
      <c r="H548" s="337">
        <f t="shared" si="350"/>
        <v>1.0347403585285206</v>
      </c>
      <c r="I548" s="338">
        <f t="shared" si="351"/>
        <v>0.25985979042757268</v>
      </c>
      <c r="J548" s="340">
        <f t="shared" si="332"/>
        <v>1</v>
      </c>
      <c r="K548" s="338">
        <f t="shared" si="352"/>
        <v>1</v>
      </c>
      <c r="L548" s="339">
        <f t="shared" si="353"/>
        <v>0</v>
      </c>
      <c r="M548" s="731" t="str">
        <f t="shared" si="333"/>
        <v>0.681682121322222+1.14614285747525i</v>
      </c>
      <c r="N548" s="338">
        <f t="shared" si="354"/>
        <v>1.3335418869581472</v>
      </c>
      <c r="O548" s="339">
        <f t="shared" si="355"/>
        <v>1.0342372612832571</v>
      </c>
      <c r="P548" s="732" t="str">
        <f t="shared" si="347"/>
        <v>-0.0183791933231401-0.0193791360200977i</v>
      </c>
      <c r="Q548" s="337">
        <f t="shared" si="356"/>
        <v>2.6708531597502805E-2</v>
      </c>
      <c r="R548" s="339">
        <f t="shared" si="357"/>
        <v>-2.3297179736680818</v>
      </c>
      <c r="S548" s="731" t="str">
        <f t="shared" si="334"/>
        <v>6000</v>
      </c>
      <c r="T548" s="337" t="str">
        <f t="shared" si="335"/>
        <v>1+537060.259263495i</v>
      </c>
      <c r="U548" s="346">
        <f t="shared" si="358"/>
        <v>537060.25926442596</v>
      </c>
      <c r="V548" s="347">
        <f t="shared" si="359"/>
        <v>1.570794464806446</v>
      </c>
      <c r="W548" s="340" t="str">
        <f t="shared" si="336"/>
        <v>1+5317.42830953955i</v>
      </c>
      <c r="X548" s="337">
        <f t="shared" si="360"/>
        <v>5317.4284035699666</v>
      </c>
      <c r="Y548" s="339">
        <f t="shared" si="361"/>
        <v>1.5706082659636078</v>
      </c>
      <c r="Z548" s="337" t="str">
        <f t="shared" si="337"/>
        <v>1+53.5648807877032i</v>
      </c>
      <c r="AA548" s="346">
        <f t="shared" si="362"/>
        <v>53.574214448751889</v>
      </c>
      <c r="AB548" s="347">
        <f t="shared" si="363"/>
        <v>1.5521295467509795</v>
      </c>
      <c r="AC548" s="732" t="str">
        <f t="shared" si="364"/>
        <v>0.0204910860307243-1.10866389797432i</v>
      </c>
      <c r="AD548" s="337">
        <f t="shared" si="365"/>
        <v>1.1088532469530545</v>
      </c>
      <c r="AE548" s="339">
        <f t="shared" si="366"/>
        <v>-1.5523157455938179</v>
      </c>
      <c r="AF548" s="736" t="str">
        <f t="shared" si="338"/>
        <v>-0.0218615581109758+0.0199792485678672i</v>
      </c>
      <c r="AG548" s="337">
        <f t="shared" si="367"/>
        <v>-30.569518315685073</v>
      </c>
      <c r="AH548" s="730">
        <f t="shared" si="368"/>
        <v>137.57585195881919</v>
      </c>
      <c r="AI548" s="360">
        <f t="shared" si="339"/>
        <v>-42.424148041180814</v>
      </c>
      <c r="AL548" s="337">
        <f t="shared" si="340"/>
        <v>0.89748145038087324</v>
      </c>
      <c r="AM548" s="730">
        <f t="shared" si="341"/>
        <v>-88.941140694229389</v>
      </c>
      <c r="AN548" s="351"/>
      <c r="AO548" s="337">
        <f t="shared" si="342"/>
        <v>22.062122718976195</v>
      </c>
      <c r="AP548" s="730">
        <f t="shared" si="343"/>
        <v>-133.48300734695135</v>
      </c>
      <c r="AS548" s="351"/>
      <c r="AT548" s="351"/>
      <c r="AV548" s="405">
        <f t="shared" si="344"/>
        <v>0</v>
      </c>
      <c r="AW548" s="405">
        <f t="shared" si="369"/>
        <v>0</v>
      </c>
      <c r="AX548" s="405">
        <f t="shared" si="345"/>
        <v>0</v>
      </c>
      <c r="AY548" s="405">
        <f t="shared" si="346"/>
        <v>0</v>
      </c>
    </row>
    <row r="549" spans="2:51" ht="13.5" thickBot="1" x14ac:dyDescent="0.25">
      <c r="B549" s="345">
        <v>85114</v>
      </c>
      <c r="C549" s="728" t="str">
        <f t="shared" si="329"/>
        <v>2.2271548443541</v>
      </c>
      <c r="D549" s="728" t="str">
        <f t="shared" si="330"/>
        <v>1+65.0657558319594i</v>
      </c>
      <c r="E549" s="337">
        <f t="shared" si="348"/>
        <v>65.073439912026771</v>
      </c>
      <c r="F549" s="338">
        <f t="shared" si="349"/>
        <v>1.5554284691208884</v>
      </c>
      <c r="G549" s="338" t="str">
        <f t="shared" si="331"/>
        <v>1+0.267393517117642i</v>
      </c>
      <c r="H549" s="337">
        <f t="shared" si="350"/>
        <v>1.0351325002126746</v>
      </c>
      <c r="I549" s="338">
        <f t="shared" si="351"/>
        <v>0.26128086368724679</v>
      </c>
      <c r="J549" s="340">
        <f t="shared" si="332"/>
        <v>1</v>
      </c>
      <c r="K549" s="338">
        <f t="shared" si="352"/>
        <v>1</v>
      </c>
      <c r="L549" s="339">
        <f t="shared" si="353"/>
        <v>0</v>
      </c>
      <c r="M549" s="731" t="str">
        <f t="shared" si="333"/>
        <v>0.678026977955556+1.15270447268563i</v>
      </c>
      <c r="N549" s="338">
        <f t="shared" si="354"/>
        <v>1.3373287494797232</v>
      </c>
      <c r="O549" s="339">
        <f t="shared" si="355"/>
        <v>1.0390944803485545</v>
      </c>
      <c r="P549" s="732" t="str">
        <f t="shared" si="347"/>
        <v>-0.0182973811788771-0.0191572049814958i</v>
      </c>
      <c r="Q549" s="337">
        <f t="shared" si="356"/>
        <v>2.649136955138736E-2</v>
      </c>
      <c r="R549" s="339">
        <f t="shared" si="357"/>
        <v>-2.3332420857821941</v>
      </c>
      <c r="S549" s="731" t="str">
        <f t="shared" si="334"/>
        <v>6000</v>
      </c>
      <c r="T549" s="337" t="str">
        <f t="shared" si="335"/>
        <v>1+540134.904577636i</v>
      </c>
      <c r="U549" s="346">
        <f t="shared" si="358"/>
        <v>540134.90457856166</v>
      </c>
      <c r="V549" s="347">
        <f t="shared" si="359"/>
        <v>1.5707944754055649</v>
      </c>
      <c r="W549" s="340" t="str">
        <f t="shared" si="336"/>
        <v>1+5347.87034235283i</v>
      </c>
      <c r="X549" s="337">
        <f t="shared" si="360"/>
        <v>5347.8704358479908</v>
      </c>
      <c r="Y549" s="339">
        <f t="shared" si="361"/>
        <v>1.570609336474577</v>
      </c>
      <c r="Z549" s="337" t="str">
        <f t="shared" si="337"/>
        <v>1+53.8715372696822i</v>
      </c>
      <c r="AA549" s="346">
        <f t="shared" si="362"/>
        <v>53.880817809297945</v>
      </c>
      <c r="AB549" s="347">
        <f t="shared" si="363"/>
        <v>1.552235780414658</v>
      </c>
      <c r="AC549" s="732" t="str">
        <f t="shared" si="364"/>
        <v>0.0202585446275946-1.10235729440034i</v>
      </c>
      <c r="AD549" s="337">
        <f t="shared" si="365"/>
        <v>1.1025434291437533</v>
      </c>
      <c r="AE549" s="339">
        <f t="shared" si="366"/>
        <v>-1.552420919345646</v>
      </c>
      <c r="AF549" s="736" t="str">
        <f t="shared" si="338"/>
        <v>-0.0214887629648548+0.0197821545189011i</v>
      </c>
      <c r="AG549" s="337">
        <f t="shared" si="367"/>
        <v>-30.689997672741455</v>
      </c>
      <c r="AH549" s="730">
        <f t="shared" si="368"/>
        <v>137.36790919605431</v>
      </c>
      <c r="AI549" s="360">
        <f t="shared" si="339"/>
        <v>-42.632090803945687</v>
      </c>
      <c r="AL549" s="337">
        <f t="shared" si="340"/>
        <v>0.84791410639866882</v>
      </c>
      <c r="AM549" s="730">
        <f t="shared" si="341"/>
        <v>-88.947166706324694</v>
      </c>
      <c r="AN549" s="351"/>
      <c r="AO549" s="337">
        <f t="shared" si="342"/>
        <v>21.991210705902006</v>
      </c>
      <c r="AP549" s="730">
        <f t="shared" si="343"/>
        <v>-133.68492409762089</v>
      </c>
      <c r="AS549" s="351"/>
      <c r="AT549" s="351"/>
      <c r="AV549" s="405">
        <f t="shared" si="344"/>
        <v>0</v>
      </c>
      <c r="AW549" s="405">
        <f t="shared" si="369"/>
        <v>0</v>
      </c>
      <c r="AX549" s="405">
        <f t="shared" si="345"/>
        <v>0</v>
      </c>
      <c r="AY549" s="405">
        <f t="shared" si="346"/>
        <v>0</v>
      </c>
    </row>
    <row r="550" spans="2:51" ht="13.5" thickBot="1" x14ac:dyDescent="0.25">
      <c r="B550" s="345">
        <v>85609.5</v>
      </c>
      <c r="C550" s="728" t="str">
        <f t="shared" si="329"/>
        <v>2.2271548443541</v>
      </c>
      <c r="D550" s="728" t="str">
        <f t="shared" si="330"/>
        <v>1+65.4445428941906i</v>
      </c>
      <c r="E550" s="337">
        <f t="shared" si="348"/>
        <v>65.452182504707622</v>
      </c>
      <c r="F550" s="338">
        <f t="shared" si="349"/>
        <v>1.5555174030008254</v>
      </c>
      <c r="G550" s="338" t="str">
        <f t="shared" si="331"/>
        <v>1+0.268950176277496i</v>
      </c>
      <c r="H550" s="337">
        <f t="shared" si="350"/>
        <v>1.0355357054779406</v>
      </c>
      <c r="I550" s="338">
        <f t="shared" si="351"/>
        <v>0.26273308451697464</v>
      </c>
      <c r="J550" s="340">
        <f t="shared" si="332"/>
        <v>1</v>
      </c>
      <c r="K550" s="338">
        <f t="shared" si="352"/>
        <v>1</v>
      </c>
      <c r="L550" s="339">
        <f t="shared" si="353"/>
        <v>0</v>
      </c>
      <c r="M550" s="731" t="str">
        <f t="shared" si="333"/>
        <v>0.674267267099999+1.15941506161596i</v>
      </c>
      <c r="N550" s="338">
        <f t="shared" si="354"/>
        <v>1.3412231852247565</v>
      </c>
      <c r="O550" s="339">
        <f t="shared" si="355"/>
        <v>1.0440473980562874</v>
      </c>
      <c r="P550" s="732" t="str">
        <f t="shared" si="347"/>
        <v>-0.0182138264645438-0.0189331855523137i</v>
      </c>
      <c r="Q550" s="337">
        <f t="shared" si="356"/>
        <v>2.6271828821740912E-2</v>
      </c>
      <c r="R550" s="339">
        <f t="shared" si="357"/>
        <v>-2.3368317165401367</v>
      </c>
      <c r="S550" s="731" t="str">
        <f t="shared" si="334"/>
        <v>6000</v>
      </c>
      <c r="T550" s="337" t="str">
        <f t="shared" si="335"/>
        <v>1+543279.356080541i</v>
      </c>
      <c r="U550" s="346">
        <f t="shared" si="358"/>
        <v>543279.35608146142</v>
      </c>
      <c r="V550" s="347">
        <f t="shared" si="359"/>
        <v>1.570794486121238</v>
      </c>
      <c r="W550" s="340" t="str">
        <f t="shared" si="336"/>
        <v>1+5379.00352554991i</v>
      </c>
      <c r="X550" s="337">
        <f t="shared" si="360"/>
        <v>5379.003618503928</v>
      </c>
      <c r="Y550" s="339">
        <f t="shared" si="361"/>
        <v>1.5706104187575196</v>
      </c>
      <c r="Z550" s="337" t="str">
        <f t="shared" si="337"/>
        <v>1+54.1851560247299i</v>
      </c>
      <c r="AA550" s="346">
        <f t="shared" si="362"/>
        <v>54.194382858598203</v>
      </c>
      <c r="AB550" s="347">
        <f t="shared" si="363"/>
        <v>1.5523431827125702</v>
      </c>
      <c r="AC550" s="732" t="str">
        <f t="shared" si="364"/>
        <v>0.0200247936734919-1.09598126456275i</v>
      </c>
      <c r="AD550" s="337">
        <f t="shared" si="365"/>
        <v>1.0961641868963932</v>
      </c>
      <c r="AE550" s="339">
        <f t="shared" si="366"/>
        <v>-1.5525272500762888</v>
      </c>
      <c r="AF550" s="736" t="str">
        <f t="shared" si="338"/>
        <v>-0.0211151447607832+0.0195828794268702i</v>
      </c>
      <c r="AG550" s="337">
        <f t="shared" si="367"/>
        <v>-30.812681705221621</v>
      </c>
      <c r="AH550" s="730">
        <f t="shared" si="368"/>
        <v>137.15614620151553</v>
      </c>
      <c r="AI550" s="360">
        <f t="shared" si="339"/>
        <v>-42.843853798484474</v>
      </c>
      <c r="AL550" s="337">
        <f t="shared" si="340"/>
        <v>0.79751218009584313</v>
      </c>
      <c r="AM550" s="730">
        <f t="shared" si="341"/>
        <v>-88.953259008423061</v>
      </c>
      <c r="AN550" s="351"/>
      <c r="AO550" s="337">
        <f t="shared" si="342"/>
        <v>21.918928599724673</v>
      </c>
      <c r="AP550" s="730">
        <f t="shared" si="343"/>
        <v>-133.89059479006136</v>
      </c>
      <c r="AS550" s="351"/>
      <c r="AT550" s="351"/>
      <c r="AV550" s="405">
        <f t="shared" si="344"/>
        <v>0</v>
      </c>
      <c r="AW550" s="405">
        <f t="shared" si="369"/>
        <v>0</v>
      </c>
      <c r="AX550" s="405">
        <f t="shared" si="345"/>
        <v>0</v>
      </c>
      <c r="AY550" s="405">
        <f t="shared" si="346"/>
        <v>0</v>
      </c>
    </row>
    <row r="551" spans="2:51" ht="13.5" thickBot="1" x14ac:dyDescent="0.25">
      <c r="B551" s="345">
        <v>86105</v>
      </c>
      <c r="C551" s="728" t="str">
        <f t="shared" si="329"/>
        <v>2.2271548443541</v>
      </c>
      <c r="D551" s="728" t="str">
        <f t="shared" si="330"/>
        <v>1+65.8233299564216i</v>
      </c>
      <c r="E551" s="337">
        <f t="shared" si="348"/>
        <v>65.830925609108277</v>
      </c>
      <c r="F551" s="338">
        <f t="shared" si="349"/>
        <v>1.5556053135601635</v>
      </c>
      <c r="G551" s="338" t="str">
        <f t="shared" si="331"/>
        <v>1+0.270506835437349i</v>
      </c>
      <c r="H551" s="337">
        <f t="shared" si="350"/>
        <v>1.0359410929287094</v>
      </c>
      <c r="I551" s="338">
        <f t="shared" si="351"/>
        <v>0.26418417183050308</v>
      </c>
      <c r="J551" s="340">
        <f t="shared" si="332"/>
        <v>1</v>
      </c>
      <c r="K551" s="338">
        <f t="shared" si="352"/>
        <v>1</v>
      </c>
      <c r="L551" s="339">
        <f t="shared" si="353"/>
        <v>0</v>
      </c>
      <c r="M551" s="731" t="str">
        <f t="shared" si="333"/>
        <v>0.670485732222223+1.16612565054628i</v>
      </c>
      <c r="N551" s="338">
        <f t="shared" si="354"/>
        <v>1.3451394537279602</v>
      </c>
      <c r="O551" s="339">
        <f t="shared" si="355"/>
        <v>1.0489855811057516</v>
      </c>
      <c r="P551" s="732" t="str">
        <f t="shared" si="347"/>
        <v>-0.0181303945706095-0.0187121036938914i</v>
      </c>
      <c r="Q551" s="337">
        <f t="shared" si="356"/>
        <v>2.6054827420977682E-2</v>
      </c>
      <c r="R551" s="339">
        <f t="shared" si="357"/>
        <v>-2.3404067228354135</v>
      </c>
      <c r="S551" s="731" t="str">
        <f t="shared" si="334"/>
        <v>6000</v>
      </c>
      <c r="T551" s="337" t="str">
        <f t="shared" si="335"/>
        <v>1+546423.807583445i</v>
      </c>
      <c r="U551" s="346">
        <f t="shared" si="358"/>
        <v>546423.80758436001</v>
      </c>
      <c r="V551" s="347">
        <f t="shared" si="359"/>
        <v>1.5707944967135823</v>
      </c>
      <c r="W551" s="340" t="str">
        <f t="shared" si="336"/>
        <v>1+5410.13670874698i</v>
      </c>
      <c r="X551" s="337">
        <f t="shared" si="360"/>
        <v>5410.1368011660852</v>
      </c>
      <c r="Y551" s="339">
        <f t="shared" si="361"/>
        <v>1.5706114885842475</v>
      </c>
      <c r="Z551" s="337" t="str">
        <f t="shared" si="337"/>
        <v>1+54.4987747797775i</v>
      </c>
      <c r="AA551" s="346">
        <f t="shared" si="362"/>
        <v>54.507948525851816</v>
      </c>
      <c r="AB551" s="347">
        <f t="shared" si="363"/>
        <v>1.552449349313999</v>
      </c>
      <c r="AC551" s="732" t="str">
        <f t="shared" si="364"/>
        <v>0.0197950647170988-1.08967854395278i</v>
      </c>
      <c r="AD551" s="337">
        <f t="shared" si="365"/>
        <v>1.0898583273702158</v>
      </c>
      <c r="AE551" s="339">
        <f t="shared" si="366"/>
        <v>-1.5526323574433336</v>
      </c>
      <c r="AF551" s="736" t="str">
        <f t="shared" si="338"/>
        <v>-0.0207490702413248+0.0193858946533775i</v>
      </c>
      <c r="AG551" s="337">
        <f t="shared" si="367"/>
        <v>-30.934835044477396</v>
      </c>
      <c r="AH551" s="730">
        <f t="shared" si="368"/>
        <v>136.94529122053615</v>
      </c>
      <c r="AI551" s="360">
        <f t="shared" si="339"/>
        <v>-43.054708779463851</v>
      </c>
      <c r="AL551" s="337">
        <f t="shared" si="340"/>
        <v>0.7474009378909553</v>
      </c>
      <c r="AM551" s="730">
        <f t="shared" si="341"/>
        <v>-88.959281216950458</v>
      </c>
      <c r="AN551" s="351"/>
      <c r="AO551" s="337">
        <f t="shared" si="342"/>
        <v>21.846886502673776</v>
      </c>
      <c r="AP551" s="730">
        <f t="shared" si="343"/>
        <v>-134.09542756251344</v>
      </c>
      <c r="AS551" s="351"/>
      <c r="AT551" s="351"/>
      <c r="AV551" s="405">
        <f t="shared" si="344"/>
        <v>0</v>
      </c>
      <c r="AW551" s="405">
        <f t="shared" si="369"/>
        <v>0</v>
      </c>
      <c r="AX551" s="405">
        <f t="shared" si="345"/>
        <v>0</v>
      </c>
      <c r="AY551" s="405">
        <f t="shared" si="346"/>
        <v>0</v>
      </c>
    </row>
    <row r="552" spans="2:51" ht="13.5" thickBot="1" x14ac:dyDescent="0.25">
      <c r="B552" s="345">
        <v>86600.5</v>
      </c>
      <c r="C552" s="728" t="str">
        <f t="shared" si="329"/>
        <v>2.2271548443541</v>
      </c>
      <c r="D552" s="728" t="str">
        <f t="shared" si="330"/>
        <v>1+66.2021170186527i</v>
      </c>
      <c r="E552" s="337">
        <f t="shared" si="348"/>
        <v>66.209669216447423</v>
      </c>
      <c r="F552" s="338">
        <f t="shared" si="349"/>
        <v>1.5556922183588406</v>
      </c>
      <c r="G552" s="338" t="str">
        <f t="shared" si="331"/>
        <v>1+0.272063494597203i</v>
      </c>
      <c r="H552" s="337">
        <f t="shared" si="350"/>
        <v>1.0363486600041718</v>
      </c>
      <c r="I552" s="338">
        <f t="shared" si="351"/>
        <v>0.26563412085064525</v>
      </c>
      <c r="J552" s="340">
        <f t="shared" si="332"/>
        <v>1</v>
      </c>
      <c r="K552" s="338">
        <f t="shared" si="352"/>
        <v>1</v>
      </c>
      <c r="L552" s="339">
        <f t="shared" si="353"/>
        <v>0</v>
      </c>
      <c r="M552" s="731" t="str">
        <f t="shared" si="333"/>
        <v>0.666682373322222+1.17283623947661i</v>
      </c>
      <c r="N552" s="338">
        <f t="shared" si="354"/>
        <v>1.3490775483745132</v>
      </c>
      <c r="O552" s="339">
        <f t="shared" si="355"/>
        <v>1.0539090379977596</v>
      </c>
      <c r="P552" s="732" t="str">
        <f t="shared" si="347"/>
        <v>-0.0180470920332222-0.0184939141444328i</v>
      </c>
      <c r="Q552" s="337">
        <f t="shared" si="356"/>
        <v>2.584032490579876E-2</v>
      </c>
      <c r="R552" s="339">
        <f t="shared" si="357"/>
        <v>-2.3439671355059555</v>
      </c>
      <c r="S552" s="731" t="str">
        <f t="shared" si="334"/>
        <v>6000</v>
      </c>
      <c r="T552" s="337" t="str">
        <f t="shared" si="335"/>
        <v>1+549568.25908635i</v>
      </c>
      <c r="U552" s="346">
        <f t="shared" si="358"/>
        <v>549568.25908725988</v>
      </c>
      <c r="V552" s="347">
        <f t="shared" si="359"/>
        <v>1.5707945071847145</v>
      </c>
      <c r="W552" s="340" t="str">
        <f t="shared" si="336"/>
        <v>1+5441.26989194406i</v>
      </c>
      <c r="X552" s="337">
        <f t="shared" si="360"/>
        <v>5441.2699838343733</v>
      </c>
      <c r="Y552" s="339">
        <f t="shared" si="361"/>
        <v>1.5706125461685723</v>
      </c>
      <c r="Z552" s="337" t="str">
        <f t="shared" si="337"/>
        <v>1+54.8123935348252i</v>
      </c>
      <c r="AA552" s="346">
        <f t="shared" si="362"/>
        <v>54.821514800455375</v>
      </c>
      <c r="AB552" s="347">
        <f t="shared" si="363"/>
        <v>1.5525543014202174</v>
      </c>
      <c r="AC552" s="732" t="str">
        <f t="shared" si="364"/>
        <v>0.0195692660231917-1.08344787588913i</v>
      </c>
      <c r="AD552" s="337">
        <f t="shared" si="365"/>
        <v>1.0836245917942957</v>
      </c>
      <c r="AE552" s="339">
        <f t="shared" si="366"/>
        <v>-1.5527362624363599</v>
      </c>
      <c r="AF552" s="736" t="str">
        <f t="shared" si="338"/>
        <v>-0.0203903603416048+0.0191911712036678i</v>
      </c>
      <c r="AG552" s="337">
        <f t="shared" si="367"/>
        <v>-31.056463552806093</v>
      </c>
      <c r="AH552" s="730">
        <f t="shared" si="368"/>
        <v>136.73534128361834</v>
      </c>
      <c r="AI552" s="360">
        <f t="shared" si="339"/>
        <v>-43.26465871638166</v>
      </c>
      <c r="AL552" s="337">
        <f t="shared" si="340"/>
        <v>0.6975770471815429</v>
      </c>
      <c r="AM552" s="730">
        <f t="shared" si="341"/>
        <v>-88.965234534521201</v>
      </c>
      <c r="AN552" s="351"/>
      <c r="AO552" s="337">
        <f t="shared" si="342"/>
        <v>21.775081885054487</v>
      </c>
      <c r="AP552" s="730">
        <f t="shared" si="343"/>
        <v>-134.29942418186036</v>
      </c>
      <c r="AS552" s="351"/>
      <c r="AT552" s="351"/>
      <c r="AV552" s="405">
        <f t="shared" si="344"/>
        <v>0</v>
      </c>
      <c r="AW552" s="405">
        <f t="shared" si="369"/>
        <v>0</v>
      </c>
      <c r="AX552" s="405">
        <f t="shared" si="345"/>
        <v>0</v>
      </c>
      <c r="AY552" s="405">
        <f t="shared" si="346"/>
        <v>0</v>
      </c>
    </row>
    <row r="553" spans="2:51" ht="13.5" thickBot="1" x14ac:dyDescent="0.25">
      <c r="B553" s="345">
        <v>87096</v>
      </c>
      <c r="C553" s="728" t="str">
        <f t="shared" si="329"/>
        <v>2.2271548443541</v>
      </c>
      <c r="D553" s="728" t="str">
        <f t="shared" si="330"/>
        <v>1+66.5809040808838i</v>
      </c>
      <c r="E553" s="337">
        <f t="shared" si="348"/>
        <v>66.58841331814304</v>
      </c>
      <c r="F553" s="338">
        <f t="shared" si="349"/>
        <v>1.5557781345573434</v>
      </c>
      <c r="G553" s="338" t="str">
        <f t="shared" si="331"/>
        <v>1+0.273620153757057i</v>
      </c>
      <c r="H553" s="337">
        <f t="shared" si="350"/>
        <v>1.0367584041337865</v>
      </c>
      <c r="I553" s="338">
        <f t="shared" si="351"/>
        <v>0.26708292682684798</v>
      </c>
      <c r="J553" s="340">
        <f t="shared" si="332"/>
        <v>1</v>
      </c>
      <c r="K553" s="338">
        <f t="shared" si="352"/>
        <v>1</v>
      </c>
      <c r="L553" s="339">
        <f t="shared" si="353"/>
        <v>0</v>
      </c>
      <c r="M553" s="731" t="str">
        <f t="shared" si="333"/>
        <v>0.6628571904+1.17954682840693i</v>
      </c>
      <c r="N553" s="338">
        <f t="shared" si="354"/>
        <v>1.353037462626157</v>
      </c>
      <c r="O553" s="339">
        <f t="shared" si="355"/>
        <v>1.0588177779117347</v>
      </c>
      <c r="P553" s="732" t="str">
        <f t="shared" si="347"/>
        <v>-0.0179639252244251-0.0182785725385358i</v>
      </c>
      <c r="Q553" s="337">
        <f t="shared" si="356"/>
        <v>2.56282817121096E-2</v>
      </c>
      <c r="R553" s="339">
        <f t="shared" si="357"/>
        <v>-2.3475129856422288</v>
      </c>
      <c r="S553" s="731" t="str">
        <f t="shared" si="334"/>
        <v>6000</v>
      </c>
      <c r="T553" s="337" t="str">
        <f t="shared" si="335"/>
        <v>1+552712.710589254i</v>
      </c>
      <c r="U553" s="346">
        <f t="shared" si="358"/>
        <v>552712.71059015871</v>
      </c>
      <c r="V553" s="347">
        <f t="shared" si="359"/>
        <v>1.5707945175367037</v>
      </c>
      <c r="W553" s="340" t="str">
        <f t="shared" si="336"/>
        <v>1+5472.40307514113i</v>
      </c>
      <c r="X553" s="337">
        <f t="shared" si="360"/>
        <v>5472.4031665086677</v>
      </c>
      <c r="Y553" s="339">
        <f t="shared" si="361"/>
        <v>1.5706135917194393</v>
      </c>
      <c r="Z553" s="337" t="str">
        <f t="shared" si="337"/>
        <v>1+55.1260122898729i</v>
      </c>
      <c r="AA553" s="346">
        <f t="shared" si="362"/>
        <v>55.135081672046319</v>
      </c>
      <c r="AB553" s="347">
        <f t="shared" si="363"/>
        <v>1.5526580597502988</v>
      </c>
      <c r="AC553" s="732" t="str">
        <f t="shared" si="364"/>
        <v>0.0193473084568419-1.07728803224097i</v>
      </c>
      <c r="AD553" s="337">
        <f t="shared" si="365"/>
        <v>1.0774617500190644</v>
      </c>
      <c r="AE553" s="339">
        <f t="shared" si="366"/>
        <v>-1.5528389855675635</v>
      </c>
      <c r="AF553" s="736" t="str">
        <f t="shared" si="338"/>
        <v>-0.0200388410446257+0.018998680475291i</v>
      </c>
      <c r="AG553" s="337">
        <f t="shared" si="367"/>
        <v>-31.177572983403429</v>
      </c>
      <c r="AH553" s="730">
        <f t="shared" si="368"/>
        <v>136.52629343414782</v>
      </c>
      <c r="AI553" s="360">
        <f t="shared" si="339"/>
        <v>-43.473706565852183</v>
      </c>
      <c r="AL553" s="337">
        <f t="shared" si="340"/>
        <v>0.64803723233038957</v>
      </c>
      <c r="AM553" s="730">
        <f t="shared" si="341"/>
        <v>-88.971120136397545</v>
      </c>
      <c r="AN553" s="351"/>
      <c r="AO553" s="337">
        <f t="shared" si="342"/>
        <v>21.703512269308305</v>
      </c>
      <c r="AP553" s="730">
        <f t="shared" si="343"/>
        <v>-134.50258642945471</v>
      </c>
      <c r="AS553" s="351"/>
      <c r="AT553" s="351"/>
      <c r="AV553" s="405">
        <f t="shared" si="344"/>
        <v>0</v>
      </c>
      <c r="AW553" s="405">
        <f t="shared" si="369"/>
        <v>0</v>
      </c>
      <c r="AX553" s="405">
        <f t="shared" si="345"/>
        <v>0</v>
      </c>
      <c r="AY553" s="405">
        <f t="shared" si="346"/>
        <v>0</v>
      </c>
    </row>
    <row r="554" spans="2:51" ht="13.5" thickBot="1" x14ac:dyDescent="0.25">
      <c r="B554" s="345">
        <v>87603.25</v>
      </c>
      <c r="C554" s="728" t="str">
        <f t="shared" si="329"/>
        <v>2.2271548443541</v>
      </c>
      <c r="D554" s="728" t="str">
        <f t="shared" si="330"/>
        <v>1+66.9686734801102i</v>
      </c>
      <c r="E554" s="337">
        <f t="shared" si="348"/>
        <v>66.976139241416519</v>
      </c>
      <c r="F554" s="338">
        <f t="shared" si="349"/>
        <v>1.5558650815886639</v>
      </c>
      <c r="G554" s="338" t="str">
        <f t="shared" si="331"/>
        <v>1+0.27521372663059i</v>
      </c>
      <c r="H554" s="337">
        <f t="shared" si="350"/>
        <v>1.0371801171088353</v>
      </c>
      <c r="I554" s="338">
        <f t="shared" si="351"/>
        <v>0.26856489999351779</v>
      </c>
      <c r="J554" s="340">
        <f t="shared" si="332"/>
        <v>1</v>
      </c>
      <c r="K554" s="338">
        <f t="shared" si="352"/>
        <v>1</v>
      </c>
      <c r="L554" s="339">
        <f t="shared" si="353"/>
        <v>0</v>
      </c>
      <c r="M554" s="731" t="str">
        <f t="shared" si="333"/>
        <v>0.658918692863889+1.18641654835629i</v>
      </c>
      <c r="N554" s="338">
        <f t="shared" si="354"/>
        <v>1.3571138751111158</v>
      </c>
      <c r="O554" s="339">
        <f t="shared" si="355"/>
        <v>1.0638276865258658</v>
      </c>
      <c r="P554" s="732" t="str">
        <f t="shared" si="347"/>
        <v>-0.0178789333243862-0.0180610290893701i</v>
      </c>
      <c r="Q554" s="337">
        <f t="shared" si="356"/>
        <v>2.5413717331097398E-2</v>
      </c>
      <c r="R554" s="339">
        <f t="shared" si="357"/>
        <v>-2.3511278681210106</v>
      </c>
      <c r="S554" s="731" t="str">
        <f t="shared" si="334"/>
        <v>6000</v>
      </c>
      <c r="T554" s="337" t="str">
        <f t="shared" si="335"/>
        <v>1+555931.727793792i</v>
      </c>
      <c r="U554" s="346">
        <f t="shared" si="358"/>
        <v>555931.72779469145</v>
      </c>
      <c r="V554" s="347">
        <f t="shared" si="359"/>
        <v>1.5707945280128699</v>
      </c>
      <c r="W554" s="340" t="str">
        <f t="shared" si="336"/>
        <v>1+5504.2745326118i</v>
      </c>
      <c r="X554" s="337">
        <f t="shared" si="360"/>
        <v>5504.2746234502911</v>
      </c>
      <c r="Y554" s="339">
        <f t="shared" si="361"/>
        <v>1.5706146498122038</v>
      </c>
      <c r="Z554" s="337" t="str">
        <f t="shared" si="337"/>
        <v>1+55.4470680184257i</v>
      </c>
      <c r="AA554" s="346">
        <f t="shared" si="362"/>
        <v>55.45608489462564</v>
      </c>
      <c r="AB554" s="347">
        <f t="shared" si="363"/>
        <v>1.5527630631102503</v>
      </c>
      <c r="AC554" s="732" t="str">
        <f t="shared" si="364"/>
        <v>0.0191239759320434-1.0710542281084i</v>
      </c>
      <c r="AD554" s="337">
        <f t="shared" si="365"/>
        <v>1.0712249465001875</v>
      </c>
      <c r="AE554" s="339">
        <f t="shared" si="366"/>
        <v>-1.5529429413109164</v>
      </c>
      <c r="AF554" s="736" t="str">
        <f t="shared" si="338"/>
        <v>-0.0196862578607448+0.018803908445539i</v>
      </c>
      <c r="AG554" s="337">
        <f t="shared" si="367"/>
        <v>-31.301022540280616</v>
      </c>
      <c r="AH554" s="730">
        <f t="shared" si="368"/>
        <v>136.31321969932739</v>
      </c>
      <c r="AI554" s="360">
        <f t="shared" si="339"/>
        <v>-43.686780300672609</v>
      </c>
      <c r="AL554" s="337">
        <f t="shared" si="340"/>
        <v>0.59761355792112769</v>
      </c>
      <c r="AM554" s="730">
        <f t="shared" si="341"/>
        <v>-88.977076361747805</v>
      </c>
      <c r="AN554" s="351"/>
      <c r="AO554" s="337">
        <f t="shared" si="342"/>
        <v>21.630486386840388</v>
      </c>
      <c r="AP554" s="730">
        <f t="shared" si="343"/>
        <v>-134.70970393892472</v>
      </c>
      <c r="AS554" s="351"/>
      <c r="AT554" s="351"/>
      <c r="AV554" s="405">
        <f t="shared" si="344"/>
        <v>0</v>
      </c>
      <c r="AW554" s="405">
        <f t="shared" si="369"/>
        <v>0</v>
      </c>
      <c r="AX554" s="405">
        <f t="shared" si="345"/>
        <v>0</v>
      </c>
      <c r="AY554" s="405">
        <f t="shared" si="346"/>
        <v>0</v>
      </c>
    </row>
    <row r="555" spans="2:51" ht="13.5" thickBot="1" x14ac:dyDescent="0.25">
      <c r="B555" s="345">
        <v>88110.5</v>
      </c>
      <c r="C555" s="728" t="str">
        <f t="shared" si="329"/>
        <v>2.2271548443541</v>
      </c>
      <c r="D555" s="728" t="str">
        <f t="shared" si="330"/>
        <v>1+67.3564428793367i</v>
      </c>
      <c r="E555" s="337">
        <f t="shared" si="348"/>
        <v>67.363865665186907</v>
      </c>
      <c r="F555" s="338">
        <f t="shared" si="349"/>
        <v>1.5559510277379982</v>
      </c>
      <c r="G555" s="338" t="str">
        <f t="shared" si="331"/>
        <v>1+0.276807299504124i</v>
      </c>
      <c r="H555" s="337">
        <f t="shared" si="350"/>
        <v>1.037604106130448</v>
      </c>
      <c r="I555" s="338">
        <f t="shared" si="351"/>
        <v>0.27004566527311963</v>
      </c>
      <c r="J555" s="340">
        <f t="shared" si="332"/>
        <v>1</v>
      </c>
      <c r="K555" s="338">
        <f t="shared" si="352"/>
        <v>1</v>
      </c>
      <c r="L555" s="339">
        <f t="shared" si="353"/>
        <v>0</v>
      </c>
      <c r="M555" s="731" t="str">
        <f t="shared" si="333"/>
        <v>0.654957323988889+1.19328626830565i</v>
      </c>
      <c r="N555" s="338">
        <f t="shared" si="354"/>
        <v>1.3612131406849959</v>
      </c>
      <c r="O555" s="339">
        <f t="shared" si="355"/>
        <v>1.0688221935098763</v>
      </c>
      <c r="P555" s="732" t="str">
        <f t="shared" si="347"/>
        <v>-0.0177940966671527-0.0178463789378509i</v>
      </c>
      <c r="Q555" s="337">
        <f t="shared" si="356"/>
        <v>2.5201649100670832E-2</v>
      </c>
      <c r="R555" s="339">
        <f t="shared" si="357"/>
        <v>-2.3547275559747538</v>
      </c>
      <c r="S555" s="731" t="str">
        <f t="shared" si="334"/>
        <v>6000</v>
      </c>
      <c r="T555" s="337" t="str">
        <f t="shared" si="335"/>
        <v>1+559150.74499833i</v>
      </c>
      <c r="U555" s="346">
        <f t="shared" si="358"/>
        <v>559150.7449992242</v>
      </c>
      <c r="V555" s="347">
        <f t="shared" si="359"/>
        <v>1.5707945383684143</v>
      </c>
      <c r="W555" s="340" t="str">
        <f t="shared" si="336"/>
        <v>1+5536.14599008247i</v>
      </c>
      <c r="X555" s="337">
        <f t="shared" si="360"/>
        <v>5536.1460803980062</v>
      </c>
      <c r="Y555" s="339">
        <f t="shared" si="361"/>
        <v>1.5706156957221402</v>
      </c>
      <c r="Z555" s="337" t="str">
        <f t="shared" si="337"/>
        <v>1+55.7681237469786i</v>
      </c>
      <c r="AA555" s="346">
        <f t="shared" si="362"/>
        <v>55.777088721609687</v>
      </c>
      <c r="AB555" s="347">
        <f t="shared" si="363"/>
        <v>1.5528668578575058</v>
      </c>
      <c r="AC555" s="732" t="str">
        <f t="shared" si="364"/>
        <v>0.0189044878003014-1.06489213075736i</v>
      </c>
      <c r="AD555" s="337">
        <f t="shared" si="365"/>
        <v>1.0650599184120777</v>
      </c>
      <c r="AE555" s="339">
        <f t="shared" si="366"/>
        <v>-1.5530457005037797</v>
      </c>
      <c r="AF555" s="736" t="str">
        <f t="shared" si="338"/>
        <v>-0.0193408567767929+0.0186114168618765i</v>
      </c>
      <c r="AG555" s="337">
        <f t="shared" si="367"/>
        <v>-31.423939971749611</v>
      </c>
      <c r="AH555" s="730">
        <f t="shared" si="368"/>
        <v>136.1010851096863</v>
      </c>
      <c r="AI555" s="360">
        <f t="shared" si="339"/>
        <v>-43.898914890313705</v>
      </c>
      <c r="AL555" s="337">
        <f t="shared" si="340"/>
        <v>0.54748082223190508</v>
      </c>
      <c r="AM555" s="730">
        <f t="shared" si="341"/>
        <v>-88.982964029805046</v>
      </c>
      <c r="AN555" s="351"/>
      <c r="AO555" s="337">
        <f t="shared" si="342"/>
        <v>21.557701691060622</v>
      </c>
      <c r="AP555" s="730">
        <f t="shared" si="343"/>
        <v>-134.9159508605087</v>
      </c>
      <c r="AS555" s="351"/>
      <c r="AT555" s="351"/>
      <c r="AV555" s="405">
        <f t="shared" si="344"/>
        <v>0</v>
      </c>
      <c r="AW555" s="405">
        <f t="shared" si="369"/>
        <v>0</v>
      </c>
      <c r="AX555" s="405">
        <f t="shared" si="345"/>
        <v>0</v>
      </c>
      <c r="AY555" s="405">
        <f t="shared" si="346"/>
        <v>0</v>
      </c>
    </row>
    <row r="556" spans="2:51" ht="13.5" thickBot="1" x14ac:dyDescent="0.25">
      <c r="B556" s="345">
        <v>88617.75</v>
      </c>
      <c r="C556" s="728" t="str">
        <f t="shared" si="329"/>
        <v>2.2271548443541</v>
      </c>
      <c r="D556" s="728" t="str">
        <f t="shared" si="330"/>
        <v>1+67.7442122785632i</v>
      </c>
      <c r="E556" s="337">
        <f t="shared" si="348"/>
        <v>67.751592580861384</v>
      </c>
      <c r="F556" s="338">
        <f t="shared" si="349"/>
        <v>1.5560359901875238</v>
      </c>
      <c r="G556" s="338" t="str">
        <f t="shared" si="331"/>
        <v>1+0.278400872377657i</v>
      </c>
      <c r="H556" s="337">
        <f t="shared" si="350"/>
        <v>1.0380303684096339</v>
      </c>
      <c r="I556" s="338">
        <f t="shared" si="351"/>
        <v>0.27152521765610144</v>
      </c>
      <c r="J556" s="340">
        <f t="shared" si="332"/>
        <v>1</v>
      </c>
      <c r="K556" s="338">
        <f t="shared" si="352"/>
        <v>1</v>
      </c>
      <c r="L556" s="339">
        <f t="shared" si="353"/>
        <v>0</v>
      </c>
      <c r="M556" s="731" t="str">
        <f t="shared" si="333"/>
        <v>0.650973083774999+1.20015598825501i</v>
      </c>
      <c r="N556" s="338">
        <f t="shared" si="354"/>
        <v>1.36533525258227</v>
      </c>
      <c r="O556" s="339">
        <f t="shared" si="355"/>
        <v>1.0738013108559152</v>
      </c>
      <c r="P556" s="732" t="str">
        <f t="shared" si="347"/>
        <v>-0.0177094215749505-0.017634577251679i</v>
      </c>
      <c r="Q556" s="337">
        <f t="shared" si="356"/>
        <v>2.4992037279196681E-2</v>
      </c>
      <c r="R556" s="339">
        <f t="shared" si="357"/>
        <v>-2.3583120833873386</v>
      </c>
      <c r="S556" s="731" t="str">
        <f t="shared" si="334"/>
        <v>6000</v>
      </c>
      <c r="T556" s="337" t="str">
        <f t="shared" si="335"/>
        <v>1+562369.762202867i</v>
      </c>
      <c r="U556" s="346">
        <f t="shared" si="358"/>
        <v>562369.76220375602</v>
      </c>
      <c r="V556" s="347">
        <f t="shared" si="359"/>
        <v>1.5707945486054078</v>
      </c>
      <c r="W556" s="340" t="str">
        <f t="shared" si="336"/>
        <v>1+5568.01744755314i</v>
      </c>
      <c r="X556" s="337">
        <f t="shared" si="360"/>
        <v>5568.0175373517086</v>
      </c>
      <c r="Y556" s="339">
        <f t="shared" si="361"/>
        <v>1.570616729658453</v>
      </c>
      <c r="Z556" s="337" t="str">
        <f t="shared" si="337"/>
        <v>1+56.0891794755314i</v>
      </c>
      <c r="AA556" s="346">
        <f t="shared" si="362"/>
        <v>56.098093142622709</v>
      </c>
      <c r="AB556" s="347">
        <f t="shared" si="363"/>
        <v>1.5529694647375749</v>
      </c>
      <c r="AC556" s="732" t="str">
        <f t="shared" si="364"/>
        <v>0.0186887563392051-1.05880051039811i</v>
      </c>
      <c r="AD556" s="337">
        <f t="shared" si="365"/>
        <v>1.0589654340122743</v>
      </c>
      <c r="AE556" s="339">
        <f t="shared" si="366"/>
        <v>-1.5531472836845295</v>
      </c>
      <c r="AF556" s="736" t="str">
        <f t="shared" si="338"/>
        <v>-0.0190024664594551+0.0184211762850114i</v>
      </c>
      <c r="AG556" s="337">
        <f t="shared" si="367"/>
        <v>-31.546331111582898</v>
      </c>
      <c r="AH556" s="730">
        <f t="shared" si="368"/>
        <v>135.88988652986961</v>
      </c>
      <c r="AI556" s="360">
        <f t="shared" si="339"/>
        <v>-44.110113470130386</v>
      </c>
      <c r="AL556" s="337">
        <f t="shared" si="340"/>
        <v>0.49763568821711024</v>
      </c>
      <c r="AM556" s="730">
        <f t="shared" si="341"/>
        <v>-88.988784317331522</v>
      </c>
      <c r="AN556" s="351"/>
      <c r="AO556" s="337">
        <f t="shared" si="342"/>
        <v>21.485155685242134</v>
      </c>
      <c r="AP556" s="730">
        <f t="shared" si="343"/>
        <v>-135.12132915279875</v>
      </c>
      <c r="AS556" s="351"/>
      <c r="AT556" s="351"/>
      <c r="AV556" s="405">
        <f t="shared" si="344"/>
        <v>0</v>
      </c>
      <c r="AW556" s="405">
        <f t="shared" si="369"/>
        <v>0</v>
      </c>
      <c r="AX556" s="405">
        <f t="shared" si="345"/>
        <v>0</v>
      </c>
      <c r="AY556" s="405">
        <f t="shared" si="346"/>
        <v>0</v>
      </c>
    </row>
    <row r="557" spans="2:51" ht="13.5" thickBot="1" x14ac:dyDescent="0.25">
      <c r="B557" s="345">
        <v>89125</v>
      </c>
      <c r="C557" s="728" t="str">
        <f t="shared" si="329"/>
        <v>2.2271548443541</v>
      </c>
      <c r="D557" s="728" t="str">
        <f t="shared" si="330"/>
        <v>1+68.1319816777897i</v>
      </c>
      <c r="E557" s="337">
        <f t="shared" si="348"/>
        <v>68.139319980042885</v>
      </c>
      <c r="F557" s="338">
        <f t="shared" si="349"/>
        <v>1.5561199857283941</v>
      </c>
      <c r="G557" s="338" t="str">
        <f t="shared" si="331"/>
        <v>1+0.27999444525119i</v>
      </c>
      <c r="H557" s="337">
        <f t="shared" si="350"/>
        <v>1.0384589011470418</v>
      </c>
      <c r="I557" s="338">
        <f t="shared" si="351"/>
        <v>0.27300355216235844</v>
      </c>
      <c r="J557" s="340">
        <f t="shared" si="332"/>
        <v>1</v>
      </c>
      <c r="K557" s="338">
        <f t="shared" si="352"/>
        <v>1</v>
      </c>
      <c r="L557" s="339">
        <f t="shared" si="353"/>
        <v>0</v>
      </c>
      <c r="M557" s="731" t="str">
        <f t="shared" si="333"/>
        <v>0.646965972222221+1.20702570820437i</v>
      </c>
      <c r="N557" s="338">
        <f t="shared" si="354"/>
        <v>1.3694802041211493</v>
      </c>
      <c r="O557" s="339">
        <f t="shared" si="355"/>
        <v>1.0787650512570561</v>
      </c>
      <c r="P557" s="732" t="str">
        <f t="shared" si="347"/>
        <v>-0.0176249142033297-0.0174255800815732i</v>
      </c>
      <c r="Q557" s="337">
        <f t="shared" si="356"/>
        <v>2.4784842986269928E-2</v>
      </c>
      <c r="R557" s="339">
        <f t="shared" si="357"/>
        <v>-2.3618814848230913</v>
      </c>
      <c r="S557" s="731" t="str">
        <f t="shared" si="334"/>
        <v>6000</v>
      </c>
      <c r="T557" s="337" t="str">
        <f t="shared" si="335"/>
        <v>1+565588.779407405i</v>
      </c>
      <c r="U557" s="346">
        <f t="shared" si="358"/>
        <v>565588.77940828912</v>
      </c>
      <c r="V557" s="347">
        <f t="shared" si="359"/>
        <v>1.5707945587258747</v>
      </c>
      <c r="W557" s="340" t="str">
        <f t="shared" si="336"/>
        <v>1+5599.88890502381i</v>
      </c>
      <c r="X557" s="337">
        <f t="shared" si="360"/>
        <v>5599.8889943112945</v>
      </c>
      <c r="Y557" s="339">
        <f t="shared" si="361"/>
        <v>1.5706177518255837</v>
      </c>
      <c r="Z557" s="337" t="str">
        <f t="shared" si="337"/>
        <v>1+56.4102352040843i</v>
      </c>
      <c r="AA557" s="346">
        <f t="shared" si="362"/>
        <v>56.419098147525467</v>
      </c>
      <c r="AB557" s="347">
        <f t="shared" si="363"/>
        <v>1.553070904023929</v>
      </c>
      <c r="AC557" s="732" t="str">
        <f t="shared" si="364"/>
        <v>0.0184766963139778-1.05277816519397i</v>
      </c>
      <c r="AD557" s="337">
        <f t="shared" si="365"/>
        <v>1.0529402895776478</v>
      </c>
      <c r="AE557" s="339">
        <f t="shared" si="366"/>
        <v>-1.5532477109242202</v>
      </c>
      <c r="AF557" s="736" t="str">
        <f t="shared" si="338"/>
        <v>-0.0186709204130141+0.0182331576854205i</v>
      </c>
      <c r="AG557" s="337">
        <f t="shared" si="367"/>
        <v>-31.668201684826734</v>
      </c>
      <c r="AH557" s="730">
        <f t="shared" si="368"/>
        <v>135.67962083523068</v>
      </c>
      <c r="AI557" s="360">
        <f t="shared" si="339"/>
        <v>-44.320379164769321</v>
      </c>
      <c r="AL557" s="337">
        <f t="shared" si="340"/>
        <v>0.44807487589961553</v>
      </c>
      <c r="AM557" s="730">
        <f t="shared" si="341"/>
        <v>-88.994538374313947</v>
      </c>
      <c r="AN557" s="351"/>
      <c r="AO557" s="337">
        <f t="shared" si="342"/>
        <v>21.412845924315764</v>
      </c>
      <c r="AP557" s="730">
        <f t="shared" si="343"/>
        <v>-135.32584079045535</v>
      </c>
      <c r="AS557" s="351"/>
      <c r="AT557" s="351"/>
      <c r="AV557" s="405">
        <f t="shared" si="344"/>
        <v>0</v>
      </c>
      <c r="AW557" s="405">
        <f t="shared" si="369"/>
        <v>0</v>
      </c>
      <c r="AX557" s="405">
        <f t="shared" si="345"/>
        <v>0</v>
      </c>
      <c r="AY557" s="405">
        <f t="shared" si="346"/>
        <v>0</v>
      </c>
    </row>
    <row r="558" spans="2:51" ht="13.5" thickBot="1" x14ac:dyDescent="0.25">
      <c r="B558" s="345">
        <v>89644</v>
      </c>
      <c r="C558" s="728" t="str">
        <f t="shared" si="329"/>
        <v>2.2271548443541</v>
      </c>
      <c r="D558" s="728" t="str">
        <f t="shared" si="330"/>
        <v>1+68.5287334140115i</v>
      </c>
      <c r="E558" s="337">
        <f t="shared" si="348"/>
        <v>68.536029235203415</v>
      </c>
      <c r="F558" s="338">
        <f t="shared" si="349"/>
        <v>1.5562049433023564</v>
      </c>
      <c r="G558" s="338" t="str">
        <f t="shared" si="331"/>
        <v>1+0.281624931838404i</v>
      </c>
      <c r="H558" s="337">
        <f t="shared" si="350"/>
        <v>1.0388997074948985</v>
      </c>
      <c r="I558" s="338">
        <f t="shared" si="351"/>
        <v>0.27451486530352071</v>
      </c>
      <c r="J558" s="340">
        <f t="shared" si="332"/>
        <v>1</v>
      </c>
      <c r="K558" s="338">
        <f t="shared" si="352"/>
        <v>1</v>
      </c>
      <c r="L558" s="339">
        <f t="shared" si="353"/>
        <v>0</v>
      </c>
      <c r="M558" s="731" t="str">
        <f t="shared" si="333"/>
        <v>0.642842367288888+1.21405455917276i</v>
      </c>
      <c r="N558" s="338">
        <f t="shared" si="354"/>
        <v>1.3737448022939871</v>
      </c>
      <c r="O558" s="339">
        <f t="shared" si="355"/>
        <v>1.0838278709399045</v>
      </c>
      <c r="P558" s="732" t="str">
        <f t="shared" si="347"/>
        <v>-0.0175386291348449-0.0172145994527863i</v>
      </c>
      <c r="Q558" s="337">
        <f t="shared" si="356"/>
        <v>2.4575311722326142E-2</v>
      </c>
      <c r="R558" s="339">
        <f t="shared" si="357"/>
        <v>-2.3655179489387383</v>
      </c>
      <c r="S558" s="731" t="str">
        <f t="shared" si="334"/>
        <v>6000</v>
      </c>
      <c r="T558" s="337" t="str">
        <f t="shared" si="335"/>
        <v>1+568882.362313575i</v>
      </c>
      <c r="U558" s="346">
        <f t="shared" si="358"/>
        <v>568882.36231445393</v>
      </c>
      <c r="V558" s="347">
        <f t="shared" si="359"/>
        <v>1.5707945689622298</v>
      </c>
      <c r="W558" s="340" t="str">
        <f t="shared" si="336"/>
        <v>1+5632.49863676807i</v>
      </c>
      <c r="X558" s="337">
        <f t="shared" si="360"/>
        <v>5632.4987255386186</v>
      </c>
      <c r="Y558" s="339">
        <f t="shared" si="361"/>
        <v>1.5706187856974225</v>
      </c>
      <c r="Z558" s="337" t="str">
        <f t="shared" si="337"/>
        <v>1+56.7387279061423i</v>
      </c>
      <c r="AA558" s="346">
        <f t="shared" si="362"/>
        <v>56.747539544963985</v>
      </c>
      <c r="AB558" s="347">
        <f t="shared" si="363"/>
        <v>1.5531735052499562</v>
      </c>
      <c r="AC558" s="732" t="str">
        <f t="shared" si="364"/>
        <v>0.0182634377146221-1.04668679341808i</v>
      </c>
      <c r="AD558" s="337">
        <f t="shared" si="365"/>
        <v>1.0468461189081124</v>
      </c>
      <c r="AE558" s="339">
        <f t="shared" si="366"/>
        <v>-1.5533492885147637</v>
      </c>
      <c r="AF558" s="736" t="str">
        <f t="shared" si="338"/>
        <v>-0.0183386095620176+0.0180430537252116i</v>
      </c>
      <c r="AG558" s="337">
        <f t="shared" si="367"/>
        <v>-31.792362348683817</v>
      </c>
      <c r="AH558" s="730">
        <f t="shared" si="368"/>
        <v>135.46544682182207</v>
      </c>
      <c r="AI558" s="360">
        <f t="shared" si="339"/>
        <v>-44.53455317817793</v>
      </c>
      <c r="AL558" s="337">
        <f t="shared" si="340"/>
        <v>0.39765694550329911</v>
      </c>
      <c r="AM558" s="730">
        <f t="shared" si="341"/>
        <v>-89.000358341545208</v>
      </c>
      <c r="AN558" s="351"/>
      <c r="AO558" s="337">
        <f t="shared" si="342"/>
        <v>21.339103190855017</v>
      </c>
      <c r="AP558" s="730">
        <f t="shared" si="343"/>
        <v>-135.53419483663268</v>
      </c>
      <c r="AS558" s="351"/>
      <c r="AT558" s="351"/>
      <c r="AV558" s="405">
        <f t="shared" si="344"/>
        <v>0</v>
      </c>
      <c r="AW558" s="405">
        <f t="shared" si="369"/>
        <v>0</v>
      </c>
      <c r="AX558" s="405">
        <f t="shared" si="345"/>
        <v>0</v>
      </c>
      <c r="AY558" s="405">
        <f t="shared" si="346"/>
        <v>0</v>
      </c>
    </row>
    <row r="559" spans="2:51" ht="13.5" thickBot="1" x14ac:dyDescent="0.25">
      <c r="B559" s="345">
        <v>90163</v>
      </c>
      <c r="C559" s="728" t="str">
        <f t="shared" si="329"/>
        <v>2.2271548443541</v>
      </c>
      <c r="D559" s="728" t="str">
        <f t="shared" si="330"/>
        <v>1+68.9254851502334i</v>
      </c>
      <c r="E559" s="337">
        <f t="shared" si="348"/>
        <v>68.932738979348869</v>
      </c>
      <c r="F559" s="338">
        <f t="shared" si="349"/>
        <v>1.5562889230107284</v>
      </c>
      <c r="G559" s="338" t="str">
        <f t="shared" si="331"/>
        <v>1+0.283255418425617i</v>
      </c>
      <c r="H559" s="337">
        <f t="shared" si="350"/>
        <v>1.0393428847437556</v>
      </c>
      <c r="I559" s="338">
        <f t="shared" si="351"/>
        <v>0.27602489303919964</v>
      </c>
      <c r="J559" s="340">
        <f t="shared" si="332"/>
        <v>1</v>
      </c>
      <c r="K559" s="338">
        <f t="shared" si="352"/>
        <v>1</v>
      </c>
      <c r="L559" s="339">
        <f t="shared" si="353"/>
        <v>0</v>
      </c>
      <c r="M559" s="731" t="str">
        <f t="shared" si="333"/>
        <v>0.638694819155556+1.22108341014116i</v>
      </c>
      <c r="N559" s="338">
        <f t="shared" si="354"/>
        <v>1.3780332965999453</v>
      </c>
      <c r="O559" s="339">
        <f t="shared" si="355"/>
        <v>1.0888746221230969</v>
      </c>
      <c r="P559" s="732" t="str">
        <f t="shared" si="347"/>
        <v>-0.0174525321639767-0.0170064644198464i</v>
      </c>
      <c r="Q559" s="337">
        <f t="shared" si="356"/>
        <v>2.4368231593575738E-2</v>
      </c>
      <c r="R559" s="339">
        <f t="shared" si="357"/>
        <v>-2.3691386520946254</v>
      </c>
      <c r="S559" s="731" t="str">
        <f t="shared" si="334"/>
        <v>6000</v>
      </c>
      <c r="T559" s="337" t="str">
        <f t="shared" si="335"/>
        <v>1+572175.945219745i</v>
      </c>
      <c r="U559" s="346">
        <f t="shared" si="358"/>
        <v>572175.94522061886</v>
      </c>
      <c r="V559" s="347">
        <f t="shared" si="359"/>
        <v>1.5707945790807392</v>
      </c>
      <c r="W559" s="340" t="str">
        <f t="shared" si="336"/>
        <v>1+5665.10836851233i</v>
      </c>
      <c r="X559" s="337">
        <f t="shared" si="360"/>
        <v>5665.1084567718945</v>
      </c>
      <c r="Y559" s="339">
        <f t="shared" si="361"/>
        <v>1.5706198076668298</v>
      </c>
      <c r="Z559" s="337" t="str">
        <f t="shared" si="337"/>
        <v>1+57.0672206082002i</v>
      </c>
      <c r="AA559" s="346">
        <f t="shared" si="362"/>
        <v>57.075981532909175</v>
      </c>
      <c r="AB559" s="347">
        <f t="shared" si="363"/>
        <v>1.5532749256458145</v>
      </c>
      <c r="AC559" s="732" t="str">
        <f t="shared" si="364"/>
        <v>0.0180538497024047-1.04066548413554i</v>
      </c>
      <c r="AD559" s="337">
        <f t="shared" si="365"/>
        <v>1.040822074785184</v>
      </c>
      <c r="AE559" s="339">
        <f t="shared" si="366"/>
        <v>-1.5534496970597238</v>
      </c>
      <c r="AF559" s="736" t="str">
        <f t="shared" si="338"/>
        <v>-0.0180131259215281+0.0178552156812107i</v>
      </c>
      <c r="AG559" s="337">
        <f t="shared" si="367"/>
        <v>-31.91598983784845</v>
      </c>
      <c r="AH559" s="730">
        <f t="shared" si="368"/>
        <v>135.25224282626681</v>
      </c>
      <c r="AI559" s="360">
        <f t="shared" si="339"/>
        <v>-44.747757173733191</v>
      </c>
      <c r="AL559" s="337">
        <f t="shared" si="340"/>
        <v>0.34752989197238454</v>
      </c>
      <c r="AM559" s="730">
        <f t="shared" si="341"/>
        <v>-89.006111327398457</v>
      </c>
      <c r="AN559" s="351"/>
      <c r="AO559" s="337">
        <f t="shared" si="342"/>
        <v>21.265602755221302</v>
      </c>
      <c r="AP559" s="730">
        <f t="shared" si="343"/>
        <v>-135.74164584633471</v>
      </c>
      <c r="AS559" s="351"/>
      <c r="AT559" s="351"/>
      <c r="AV559" s="405">
        <f t="shared" si="344"/>
        <v>0</v>
      </c>
      <c r="AW559" s="405">
        <f t="shared" si="369"/>
        <v>0</v>
      </c>
      <c r="AX559" s="405">
        <f t="shared" si="345"/>
        <v>0</v>
      </c>
      <c r="AY559" s="405">
        <f t="shared" si="346"/>
        <v>0</v>
      </c>
    </row>
    <row r="560" spans="2:51" ht="13.5" thickBot="1" x14ac:dyDescent="0.25">
      <c r="B560" s="345">
        <v>90682</v>
      </c>
      <c r="C560" s="728" t="str">
        <f t="shared" si="329"/>
        <v>2.2271548443541</v>
      </c>
      <c r="D560" s="728" t="str">
        <f t="shared" si="330"/>
        <v>1+69.3222368864552i</v>
      </c>
      <c r="E560" s="337">
        <f t="shared" si="348"/>
        <v>69.329449204085066</v>
      </c>
      <c r="F560" s="338">
        <f t="shared" si="349"/>
        <v>1.5563719416386577</v>
      </c>
      <c r="G560" s="338" t="str">
        <f t="shared" si="331"/>
        <v>1+0.28488590501283i</v>
      </c>
      <c r="H560" s="337">
        <f t="shared" si="350"/>
        <v>1.0397884298620461</v>
      </c>
      <c r="I560" s="338">
        <f t="shared" si="351"/>
        <v>0.27753363013112459</v>
      </c>
      <c r="J560" s="340">
        <f t="shared" si="332"/>
        <v>1</v>
      </c>
      <c r="K560" s="338">
        <f t="shared" si="352"/>
        <v>1</v>
      </c>
      <c r="L560" s="339">
        <f t="shared" si="353"/>
        <v>0</v>
      </c>
      <c r="M560" s="731" t="str">
        <f t="shared" si="333"/>
        <v>0.634523327822222+1.22811226110955i</v>
      </c>
      <c r="N560" s="338">
        <f t="shared" si="354"/>
        <v>1.3823456801531948</v>
      </c>
      <c r="O560" s="339">
        <f t="shared" si="355"/>
        <v>1.0939053206083957</v>
      </c>
      <c r="P560" s="732" t="str">
        <f t="shared" si="347"/>
        <v>-0.017366629363075-0.0168011306276823i</v>
      </c>
      <c r="Q560" s="337">
        <f t="shared" si="356"/>
        <v>2.4163563598998867E-2</v>
      </c>
      <c r="R560" s="339">
        <f t="shared" si="357"/>
        <v>-2.3727436321159283</v>
      </c>
      <c r="S560" s="731" t="str">
        <f t="shared" si="334"/>
        <v>6000</v>
      </c>
      <c r="T560" s="337" t="str">
        <f t="shared" si="335"/>
        <v>1+575469.528125916i</v>
      </c>
      <c r="U560" s="346">
        <f t="shared" si="358"/>
        <v>575469.52812678495</v>
      </c>
      <c r="V560" s="347">
        <f t="shared" si="359"/>
        <v>1.5707945890834261</v>
      </c>
      <c r="W560" s="340" t="str">
        <f t="shared" si="336"/>
        <v>1+5697.71810025659i</v>
      </c>
      <c r="X560" s="337">
        <f t="shared" si="360"/>
        <v>5697.7181880110184</v>
      </c>
      <c r="Y560" s="339">
        <f t="shared" si="361"/>
        <v>1.5706208179381691</v>
      </c>
      <c r="Z560" s="337" t="str">
        <f t="shared" si="337"/>
        <v>1+57.3957133102582i</v>
      </c>
      <c r="AA560" s="346">
        <f t="shared" si="362"/>
        <v>57.40442410122543</v>
      </c>
      <c r="AB560" s="347">
        <f t="shared" si="363"/>
        <v>1.5533751854779529</v>
      </c>
      <c r="AC560" s="732" t="str">
        <f t="shared" si="364"/>
        <v>0.0178478485294466-1.03471303584016i</v>
      </c>
      <c r="AD560" s="337">
        <f t="shared" si="365"/>
        <v>1.0348669538808792</v>
      </c>
      <c r="AE560" s="339">
        <f t="shared" si="366"/>
        <v>-1.5535489566232101</v>
      </c>
      <c r="AF560" s="736" t="str">
        <f t="shared" si="338"/>
        <v>-0.0176943058476554+0.0176696137560119i</v>
      </c>
      <c r="AG560" s="337">
        <f t="shared" si="367"/>
        <v>-32.039089947883049</v>
      </c>
      <c r="AH560" s="730">
        <f t="shared" si="368"/>
        <v>135.040005531753</v>
      </c>
      <c r="AI560" s="360">
        <f t="shared" si="339"/>
        <v>-44.959994468247004</v>
      </c>
      <c r="AL560" s="337">
        <f t="shared" si="340"/>
        <v>0.29769037925022829</v>
      </c>
      <c r="AM560" s="730">
        <f t="shared" si="341"/>
        <v>-89.011798481462534</v>
      </c>
      <c r="AN560" s="351"/>
      <c r="AO560" s="337">
        <f t="shared" si="342"/>
        <v>21.192342157908861</v>
      </c>
      <c r="AP560" s="730">
        <f t="shared" si="343"/>
        <v>-135.94819598678436</v>
      </c>
      <c r="AS560" s="351"/>
      <c r="AT560" s="351"/>
      <c r="AV560" s="405">
        <f t="shared" si="344"/>
        <v>0</v>
      </c>
      <c r="AW560" s="405">
        <f t="shared" si="369"/>
        <v>0</v>
      </c>
      <c r="AX560" s="405">
        <f t="shared" si="345"/>
        <v>0</v>
      </c>
      <c r="AY560" s="405">
        <f t="shared" si="346"/>
        <v>0</v>
      </c>
    </row>
    <row r="561" spans="2:51" ht="13.5" thickBot="1" x14ac:dyDescent="0.25">
      <c r="B561" s="345">
        <v>91201</v>
      </c>
      <c r="C561" s="728" t="str">
        <f t="shared" si="329"/>
        <v>2.2271548443541</v>
      </c>
      <c r="D561" s="728" t="str">
        <f t="shared" si="330"/>
        <v>1+69.718988622677i</v>
      </c>
      <c r="E561" s="337">
        <f t="shared" si="348"/>
        <v>69.726159901209002</v>
      </c>
      <c r="F561" s="338">
        <f t="shared" si="349"/>
        <v>1.5564540155893445</v>
      </c>
      <c r="G561" s="338" t="str">
        <f t="shared" si="331"/>
        <v>1+0.286516391600042i</v>
      </c>
      <c r="H561" s="337">
        <f t="shared" si="350"/>
        <v>1.0402363398072134</v>
      </c>
      <c r="I561" s="338">
        <f t="shared" si="351"/>
        <v>0.27904107137347667</v>
      </c>
      <c r="J561" s="340">
        <f t="shared" si="332"/>
        <v>1</v>
      </c>
      <c r="K561" s="338">
        <f t="shared" si="352"/>
        <v>1</v>
      </c>
      <c r="L561" s="339">
        <f t="shared" si="353"/>
        <v>0</v>
      </c>
      <c r="M561" s="731" t="str">
        <f t="shared" si="333"/>
        <v>0.630327893288889+1.23514111207794i</v>
      </c>
      <c r="N561" s="338">
        <f t="shared" si="354"/>
        <v>1.3866819461589381</v>
      </c>
      <c r="O561" s="339">
        <f t="shared" si="355"/>
        <v>1.0989199829171008</v>
      </c>
      <c r="P561" s="732" t="str">
        <f t="shared" si="347"/>
        <v>-0.0172809266356333-0.016598554590056i</v>
      </c>
      <c r="Q561" s="337">
        <f t="shared" si="356"/>
        <v>2.396126957957799E-2</v>
      </c>
      <c r="R561" s="339">
        <f t="shared" si="357"/>
        <v>-2.3763329271329674</v>
      </c>
      <c r="S561" s="731" t="str">
        <f t="shared" si="334"/>
        <v>6000</v>
      </c>
      <c r="T561" s="337" t="str">
        <f t="shared" si="335"/>
        <v>1+578763.111032086i</v>
      </c>
      <c r="U561" s="346">
        <f t="shared" si="358"/>
        <v>578763.11103294976</v>
      </c>
      <c r="V561" s="347">
        <f t="shared" si="359"/>
        <v>1.5707945989722678</v>
      </c>
      <c r="W561" s="340" t="str">
        <f t="shared" si="336"/>
        <v>1+5730.32783200085i</v>
      </c>
      <c r="X561" s="337">
        <f t="shared" si="360"/>
        <v>5730.3279192558921</v>
      </c>
      <c r="Y561" s="339">
        <f t="shared" si="361"/>
        <v>1.5706218167111516</v>
      </c>
      <c r="Z561" s="337" t="str">
        <f t="shared" si="337"/>
        <v>1+57.7242060123162i</v>
      </c>
      <c r="AA561" s="346">
        <f t="shared" si="362"/>
        <v>57.732867240007415</v>
      </c>
      <c r="AB561" s="347">
        <f t="shared" si="363"/>
        <v>1.5534743045517316</v>
      </c>
      <c r="AC561" s="732" t="str">
        <f t="shared" si="364"/>
        <v>0.0176453528225619-1.02882827433435i</v>
      </c>
      <c r="AD561" s="337">
        <f t="shared" si="365"/>
        <v>1.0289795802376398</v>
      </c>
      <c r="AE561" s="339">
        <f t="shared" si="366"/>
        <v>-1.5536470868128478</v>
      </c>
      <c r="AF561" s="736" t="str">
        <f t="shared" si="338"/>
        <v>-0.0173819903229184+0.017486218577351i</v>
      </c>
      <c r="AG561" s="337">
        <f t="shared" si="367"/>
        <v>-32.161668366277468</v>
      </c>
      <c r="AH561" s="730">
        <f t="shared" si="368"/>
        <v>134.82873163014045</v>
      </c>
      <c r="AI561" s="360">
        <f t="shared" si="339"/>
        <v>-45.171268369859547</v>
      </c>
      <c r="AL561" s="337">
        <f t="shared" si="340"/>
        <v>0.24813512832723217</v>
      </c>
      <c r="AM561" s="730">
        <f t="shared" si="341"/>
        <v>-89.017420927171599</v>
      </c>
      <c r="AN561" s="351"/>
      <c r="AO561" s="337">
        <f t="shared" si="342"/>
        <v>21.119318990437435</v>
      </c>
      <c r="AP561" s="730">
        <f t="shared" si="343"/>
        <v>-136.15384744268806</v>
      </c>
      <c r="AS561" s="351"/>
      <c r="AT561" s="351"/>
      <c r="AV561" s="405">
        <f t="shared" si="344"/>
        <v>0</v>
      </c>
      <c r="AW561" s="405">
        <f t="shared" si="369"/>
        <v>0</v>
      </c>
      <c r="AX561" s="405">
        <f t="shared" si="345"/>
        <v>0</v>
      </c>
      <c r="AY561" s="405">
        <f t="shared" si="346"/>
        <v>0</v>
      </c>
    </row>
    <row r="562" spans="2:51" ht="13.5" thickBot="1" x14ac:dyDescent="0.25">
      <c r="B562" s="345">
        <v>91732</v>
      </c>
      <c r="C562" s="728" t="str">
        <f t="shared" si="329"/>
        <v>2.2271548443541</v>
      </c>
      <c r="D562" s="728" t="str">
        <f t="shared" si="330"/>
        <v>1+70.1249138094474i</v>
      </c>
      <c r="E562" s="337">
        <f t="shared" si="348"/>
        <v>70.132043580537612</v>
      </c>
      <c r="F562" s="338">
        <f t="shared" si="349"/>
        <v>1.5565370262285643</v>
      </c>
      <c r="G562" s="338" t="str">
        <f t="shared" si="331"/>
        <v>1+0.288184577299099i</v>
      </c>
      <c r="H562" s="337">
        <f t="shared" si="350"/>
        <v>1.0406970503432114</v>
      </c>
      <c r="I562" s="338">
        <f t="shared" si="351"/>
        <v>0.28058202021469486</v>
      </c>
      <c r="J562" s="340">
        <f t="shared" si="332"/>
        <v>1</v>
      </c>
      <c r="K562" s="338">
        <f t="shared" si="352"/>
        <v>1</v>
      </c>
      <c r="L562" s="339">
        <f t="shared" si="353"/>
        <v>0</v>
      </c>
      <c r="M562" s="731" t="str">
        <f t="shared" si="333"/>
        <v>0.626010674488889+1.24233247983174i</v>
      </c>
      <c r="N562" s="338">
        <f t="shared" si="354"/>
        <v>1.3911431827884988</v>
      </c>
      <c r="O562" s="339">
        <f t="shared" si="355"/>
        <v>1.1040340125166217</v>
      </c>
      <c r="P562" s="732" t="str">
        <f t="shared" si="347"/>
        <v>-0.0171934553913972-0.0163941043840771i</v>
      </c>
      <c r="Q562" s="337">
        <f t="shared" si="356"/>
        <v>2.37567162472422E-2</v>
      </c>
      <c r="R562" s="339">
        <f t="shared" si="357"/>
        <v>-2.3799890185304906</v>
      </c>
      <c r="S562" s="731" t="str">
        <f t="shared" si="334"/>
        <v>6000</v>
      </c>
      <c r="T562" s="337" t="str">
        <f t="shared" si="335"/>
        <v>1+582132.84614418i</v>
      </c>
      <c r="U562" s="346">
        <f t="shared" si="358"/>
        <v>582132.84614503896</v>
      </c>
      <c r="V562" s="347">
        <f t="shared" si="359"/>
        <v>1.5707946089739446</v>
      </c>
      <c r="W562" s="340" t="str">
        <f t="shared" si="336"/>
        <v>1+5763.69154598198i</v>
      </c>
      <c r="X562" s="337">
        <f t="shared" si="360"/>
        <v>5763.6916327319377</v>
      </c>
      <c r="Y562" s="339">
        <f t="shared" si="361"/>
        <v>1.5706228268804776</v>
      </c>
      <c r="Z562" s="337" t="str">
        <f t="shared" si="337"/>
        <v>1+58.0602939213583i</v>
      </c>
      <c r="AA562" s="346">
        <f t="shared" si="362"/>
        <v>58.068905020109653</v>
      </c>
      <c r="AB562" s="347">
        <f t="shared" si="363"/>
        <v>1.5535745549544417</v>
      </c>
      <c r="AC562" s="732" t="str">
        <f t="shared" si="364"/>
        <v>0.0174417206540518-1.02287630461148i</v>
      </c>
      <c r="AD562" s="337">
        <f t="shared" si="365"/>
        <v>1.0230249987928013</v>
      </c>
      <c r="AE562" s="339">
        <f t="shared" si="366"/>
        <v>-1.5537463370479085</v>
      </c>
      <c r="AF562" s="736" t="str">
        <f t="shared" si="338"/>
        <v>-0.0170690243558143+0.0173008367252143i</v>
      </c>
      <c r="AG562" s="337">
        <f t="shared" si="367"/>
        <v>-32.286546864328038</v>
      </c>
      <c r="AH562" s="730">
        <f t="shared" si="368"/>
        <v>134.61356640396346</v>
      </c>
      <c r="AI562" s="360">
        <f t="shared" si="339"/>
        <v>-45.386433596036539</v>
      </c>
      <c r="AL562" s="337">
        <f t="shared" si="340"/>
        <v>0.19772492654265772</v>
      </c>
      <c r="AM562" s="730">
        <f t="shared" si="341"/>
        <v>-89.023107546756265</v>
      </c>
      <c r="AN562" s="351"/>
      <c r="AO562" s="337">
        <f t="shared" si="342"/>
        <v>21.044850694171426</v>
      </c>
      <c r="AP562" s="730">
        <f t="shared" si="343"/>
        <v>-136.36332604928018</v>
      </c>
      <c r="AS562" s="351"/>
      <c r="AT562" s="351"/>
      <c r="AV562" s="405">
        <f t="shared" si="344"/>
        <v>0</v>
      </c>
      <c r="AW562" s="405">
        <f t="shared" si="369"/>
        <v>0</v>
      </c>
      <c r="AX562" s="405">
        <f t="shared" si="345"/>
        <v>0</v>
      </c>
      <c r="AY562" s="405">
        <f t="shared" si="346"/>
        <v>0</v>
      </c>
    </row>
    <row r="563" spans="2:51" ht="13.5" thickBot="1" x14ac:dyDescent="0.25">
      <c r="B563" s="345">
        <v>92263</v>
      </c>
      <c r="C563" s="728" t="str">
        <f t="shared" si="329"/>
        <v>2.2271548443541</v>
      </c>
      <c r="D563" s="728" t="str">
        <f t="shared" si="330"/>
        <v>1+70.5308389962177i</v>
      </c>
      <c r="E563" s="337">
        <f t="shared" si="348"/>
        <v>70.53792773756814</v>
      </c>
      <c r="F563" s="338">
        <f t="shared" si="349"/>
        <v>1.5566190815609116</v>
      </c>
      <c r="G563" s="338" t="str">
        <f t="shared" si="331"/>
        <v>1+0.289852762998155i</v>
      </c>
      <c r="H563" s="337">
        <f t="shared" si="350"/>
        <v>1.0411602298482519</v>
      </c>
      <c r="I563" s="338">
        <f t="shared" si="351"/>
        <v>0.28212160166944006</v>
      </c>
      <c r="J563" s="340">
        <f t="shared" si="332"/>
        <v>1</v>
      </c>
      <c r="K563" s="338">
        <f t="shared" si="352"/>
        <v>1</v>
      </c>
      <c r="L563" s="339">
        <f t="shared" si="353"/>
        <v>0</v>
      </c>
      <c r="M563" s="731" t="str">
        <f t="shared" si="333"/>
        <v>0.621668392488888+1.24952384758552i</v>
      </c>
      <c r="N563" s="338">
        <f t="shared" si="354"/>
        <v>1.3956294049297757</v>
      </c>
      <c r="O563" s="339">
        <f t="shared" si="355"/>
        <v>1.1091312930517079</v>
      </c>
      <c r="P563" s="732" t="str">
        <f t="shared" si="347"/>
        <v>-0.0171062055545832-0.0161924515269122i</v>
      </c>
      <c r="Q563" s="337">
        <f t="shared" si="356"/>
        <v>2.355456972493988E-2</v>
      </c>
      <c r="R563" s="339">
        <f t="shared" si="357"/>
        <v>-2.3836287729431791</v>
      </c>
      <c r="S563" s="731" t="str">
        <f t="shared" si="334"/>
        <v>6000</v>
      </c>
      <c r="T563" s="337" t="str">
        <f t="shared" si="335"/>
        <v>1+585502.581256273i</v>
      </c>
      <c r="U563" s="346">
        <f t="shared" si="358"/>
        <v>585502.58125712688</v>
      </c>
      <c r="V563" s="347">
        <f t="shared" si="359"/>
        <v>1.5707946188604962</v>
      </c>
      <c r="W563" s="340" t="str">
        <f t="shared" si="336"/>
        <v>1+5797.0552599631i</v>
      </c>
      <c r="X563" s="337">
        <f t="shared" si="360"/>
        <v>5797.0553462137877</v>
      </c>
      <c r="Y563" s="339">
        <f t="shared" si="361"/>
        <v>1.570623825422176</v>
      </c>
      <c r="Z563" s="337" t="str">
        <f t="shared" si="337"/>
        <v>1+58.3963818304003i</v>
      </c>
      <c r="AA563" s="346">
        <f t="shared" si="362"/>
        <v>58.404943377097005</v>
      </c>
      <c r="AB563" s="347">
        <f t="shared" si="363"/>
        <v>1.5536736517578205</v>
      </c>
      <c r="AC563" s="732" t="str">
        <f t="shared" si="364"/>
        <v>0.0172415928684151-1.01699278546061i</v>
      </c>
      <c r="AD563" s="337">
        <f t="shared" si="365"/>
        <v>1.0171389276807621</v>
      </c>
      <c r="AE563" s="339">
        <f t="shared" si="366"/>
        <v>-1.5538444451961411</v>
      </c>
      <c r="AF563" s="736" t="str">
        <f t="shared" si="338"/>
        <v>-0.0167625446134859+0.0171177039788488i</v>
      </c>
      <c r="AG563" s="337">
        <f t="shared" si="367"/>
        <v>-32.410890976836541</v>
      </c>
      <c r="AH563" s="730">
        <f t="shared" si="368"/>
        <v>134.39940265482275</v>
      </c>
      <c r="AI563" s="360">
        <f t="shared" si="339"/>
        <v>-45.600597345177249</v>
      </c>
      <c r="AL563" s="337">
        <f t="shared" si="340"/>
        <v>0.14760551675253036</v>
      </c>
      <c r="AM563" s="730">
        <f t="shared" si="341"/>
        <v>-89.028728729585822</v>
      </c>
      <c r="AN563" s="351"/>
      <c r="AO563" s="337">
        <f t="shared" si="342"/>
        <v>20.970625991453055</v>
      </c>
      <c r="AP563" s="730">
        <f t="shared" si="343"/>
        <v>-136.57186861559137</v>
      </c>
      <c r="AS563" s="351"/>
      <c r="AT563" s="351"/>
      <c r="AV563" s="405">
        <f t="shared" si="344"/>
        <v>0</v>
      </c>
      <c r="AW563" s="405">
        <f t="shared" si="369"/>
        <v>0</v>
      </c>
      <c r="AX563" s="405">
        <f t="shared" si="345"/>
        <v>0</v>
      </c>
      <c r="AY563" s="405">
        <f t="shared" si="346"/>
        <v>0</v>
      </c>
    </row>
    <row r="564" spans="2:51" ht="13.5" thickBot="1" x14ac:dyDescent="0.25">
      <c r="B564" s="345">
        <v>92794</v>
      </c>
      <c r="C564" s="728" t="str">
        <f t="shared" si="329"/>
        <v>2.2271548443541</v>
      </c>
      <c r="D564" s="728" t="str">
        <f t="shared" si="330"/>
        <v>1+70.9367641829881i</v>
      </c>
      <c r="E564" s="337">
        <f t="shared" si="348"/>
        <v>70.94381236410166</v>
      </c>
      <c r="F564" s="338">
        <f t="shared" si="349"/>
        <v>1.5567001979818125</v>
      </c>
      <c r="G564" s="338" t="str">
        <f t="shared" si="331"/>
        <v>1+0.291520948697212i</v>
      </c>
      <c r="H564" s="337">
        <f t="shared" si="350"/>
        <v>1.0416258750287084</v>
      </c>
      <c r="I564" s="338">
        <f t="shared" si="351"/>
        <v>0.28365981026813197</v>
      </c>
      <c r="J564" s="340">
        <f t="shared" si="332"/>
        <v>1</v>
      </c>
      <c r="K564" s="338">
        <f t="shared" si="352"/>
        <v>1</v>
      </c>
      <c r="L564" s="339">
        <f t="shared" si="353"/>
        <v>0</v>
      </c>
      <c r="M564" s="731" t="str">
        <f t="shared" si="333"/>
        <v>0.617301047288888+1.25671521533932i</v>
      </c>
      <c r="N564" s="338">
        <f t="shared" si="354"/>
        <v>1.4001406055997774</v>
      </c>
      <c r="O564" s="339">
        <f t="shared" si="355"/>
        <v>1.1142118444759099</v>
      </c>
      <c r="P564" s="732" t="str">
        <f t="shared" si="347"/>
        <v>-0.0170191829202139-0.0159935521226292i</v>
      </c>
      <c r="Q564" s="337">
        <f t="shared" si="356"/>
        <v>2.3354791730412782E-2</v>
      </c>
      <c r="R564" s="339">
        <f t="shared" si="357"/>
        <v>-2.3872522321895899</v>
      </c>
      <c r="S564" s="731" t="str">
        <f t="shared" si="334"/>
        <v>6000</v>
      </c>
      <c r="T564" s="337" t="str">
        <f t="shared" si="335"/>
        <v>1+588872.316368367i</v>
      </c>
      <c r="U564" s="346">
        <f t="shared" si="358"/>
        <v>588872.31636921619</v>
      </c>
      <c r="V564" s="347">
        <f t="shared" si="359"/>
        <v>1.5707946286338994</v>
      </c>
      <c r="W564" s="340" t="str">
        <f t="shared" si="336"/>
        <v>1+5830.41897394423i</v>
      </c>
      <c r="X564" s="337">
        <f t="shared" si="360"/>
        <v>5830.4190597013603</v>
      </c>
      <c r="Y564" s="339">
        <f t="shared" si="361"/>
        <v>1.5706248125358591</v>
      </c>
      <c r="Z564" s="337" t="str">
        <f t="shared" si="337"/>
        <v>1+58.7324697394423i</v>
      </c>
      <c r="AA564" s="346">
        <f t="shared" si="362"/>
        <v>58.740982301069025</v>
      </c>
      <c r="AB564" s="347">
        <f t="shared" si="363"/>
        <v>1.553771614758056</v>
      </c>
      <c r="AC564" s="732" t="str">
        <f t="shared" si="364"/>
        <v>0.0170448895211989-1.01117654314793i</v>
      </c>
      <c r="AD564" s="337">
        <f t="shared" si="365"/>
        <v>1.0113201914682548</v>
      </c>
      <c r="AE564" s="339">
        <f t="shared" si="366"/>
        <v>-1.5539414308560962</v>
      </c>
      <c r="AF564" s="736" t="str">
        <f t="shared" si="338"/>
        <v>-0.0164623948406326+0.0169367902234824i</v>
      </c>
      <c r="AG564" s="337">
        <f t="shared" si="367"/>
        <v>-32.534706460514712</v>
      </c>
      <c r="AH564" s="730">
        <f t="shared" si="368"/>
        <v>134.18623686377722</v>
      </c>
      <c r="AI564" s="360">
        <f t="shared" si="339"/>
        <v>-45.813763136222775</v>
      </c>
      <c r="AL564" s="337">
        <f t="shared" si="340"/>
        <v>9.7773564286731118E-2</v>
      </c>
      <c r="AM564" s="730">
        <f t="shared" si="341"/>
        <v>-89.034285598574542</v>
      </c>
      <c r="AN564" s="351"/>
      <c r="AO564" s="337">
        <f t="shared" si="342"/>
        <v>20.896642460240685</v>
      </c>
      <c r="AP564" s="730">
        <f t="shared" si="343"/>
        <v>-136.77947753764835</v>
      </c>
      <c r="AS564" s="351"/>
      <c r="AT564" s="351"/>
      <c r="AV564" s="405">
        <f t="shared" si="344"/>
        <v>0</v>
      </c>
      <c r="AW564" s="405">
        <f t="shared" si="369"/>
        <v>0</v>
      </c>
      <c r="AX564" s="405">
        <f t="shared" si="345"/>
        <v>0</v>
      </c>
      <c r="AY564" s="405">
        <f t="shared" si="346"/>
        <v>0</v>
      </c>
    </row>
    <row r="565" spans="2:51" ht="13.5" thickBot="1" x14ac:dyDescent="0.25">
      <c r="B565" s="345">
        <v>93325</v>
      </c>
      <c r="C565" s="728" t="str">
        <f t="shared" si="329"/>
        <v>2.2271548443541</v>
      </c>
      <c r="D565" s="728" t="str">
        <f t="shared" si="330"/>
        <v>1+71.3426893697584i</v>
      </c>
      <c r="E565" s="337">
        <f t="shared" si="348"/>
        <v>71.349697452125469</v>
      </c>
      <c r="F565" s="338">
        <f t="shared" si="349"/>
        <v>1.5567803915136709</v>
      </c>
      <c r="G565" s="338" t="str">
        <f t="shared" si="331"/>
        <v>1+0.293189134396267i</v>
      </c>
      <c r="H565" s="337">
        <f t="shared" si="350"/>
        <v>1.0420939825793221</v>
      </c>
      <c r="I565" s="338">
        <f t="shared" si="351"/>
        <v>0.28519664057692173</v>
      </c>
      <c r="J565" s="340">
        <f t="shared" si="332"/>
        <v>1</v>
      </c>
      <c r="K565" s="338">
        <f t="shared" si="352"/>
        <v>1</v>
      </c>
      <c r="L565" s="339">
        <f t="shared" si="353"/>
        <v>0</v>
      </c>
      <c r="M565" s="731" t="str">
        <f t="shared" si="333"/>
        <v>0.612908638888889+1.2639065830931i</v>
      </c>
      <c r="N565" s="338">
        <f t="shared" si="354"/>
        <v>1.4046767779139462</v>
      </c>
      <c r="O565" s="339">
        <f t="shared" si="355"/>
        <v>1.1192756874781407</v>
      </c>
      <c r="P565" s="732" t="str">
        <f t="shared" si="347"/>
        <v>-0.0169323931124122-0.0157973631309479i</v>
      </c>
      <c r="Q565" s="337">
        <f t="shared" si="356"/>
        <v>2.3157344804711447E-2</v>
      </c>
      <c r="R565" s="339">
        <f t="shared" si="357"/>
        <v>-2.3908594384148878</v>
      </c>
      <c r="S565" s="731" t="str">
        <f t="shared" si="334"/>
        <v>6000</v>
      </c>
      <c r="T565" s="337" t="str">
        <f t="shared" si="335"/>
        <v>1+592242.05148046i</v>
      </c>
      <c r="U565" s="346">
        <f t="shared" si="358"/>
        <v>592242.05148130422</v>
      </c>
      <c r="V565" s="347">
        <f t="shared" si="359"/>
        <v>1.5707946382960851</v>
      </c>
      <c r="W565" s="340" t="str">
        <f t="shared" si="336"/>
        <v>1+5863.78268792535i</v>
      </c>
      <c r="X565" s="337">
        <f t="shared" si="360"/>
        <v>5863.782773194539</v>
      </c>
      <c r="Y565" s="339">
        <f t="shared" si="361"/>
        <v>1.5706257884165962</v>
      </c>
      <c r="Z565" s="337" t="str">
        <f t="shared" si="337"/>
        <v>1+59.0685576484843i</v>
      </c>
      <c r="AA565" s="346">
        <f t="shared" si="362"/>
        <v>59.077021782350478</v>
      </c>
      <c r="AB565" s="347">
        <f t="shared" si="363"/>
        <v>1.5538684633010085</v>
      </c>
      <c r="AC565" s="732" t="str">
        <f t="shared" si="364"/>
        <v>0.0168515329344866-1.00542643061449i</v>
      </c>
      <c r="AD565" s="337">
        <f t="shared" si="365"/>
        <v>1.0055676414545349</v>
      </c>
      <c r="AE565" s="339">
        <f t="shared" si="366"/>
        <v>-1.5540373131804976</v>
      </c>
      <c r="AF565" s="736" t="str">
        <f t="shared" si="338"/>
        <v>-0.0161684232060634+0.0167580657836948i</v>
      </c>
      <c r="AG565" s="337">
        <f t="shared" si="367"/>
        <v>-32.657998964712249</v>
      </c>
      <c r="AH565" s="730">
        <f t="shared" si="368"/>
        <v>133.97406551871609</v>
      </c>
      <c r="AI565" s="360">
        <f t="shared" si="339"/>
        <v>-46.025934481283912</v>
      </c>
      <c r="AL565" s="337">
        <f t="shared" si="340"/>
        <v>4.822579149267027E-2</v>
      </c>
      <c r="AM565" s="730">
        <f t="shared" si="341"/>
        <v>-89.039779251092654</v>
      </c>
      <c r="AN565" s="351"/>
      <c r="AO565" s="337">
        <f t="shared" si="342"/>
        <v>20.822897728837194</v>
      </c>
      <c r="AP565" s="730">
        <f t="shared" si="343"/>
        <v>-136.9861552301912</v>
      </c>
      <c r="AS565" s="351"/>
      <c r="AT565" s="351"/>
      <c r="AV565" s="405">
        <f t="shared" si="344"/>
        <v>0</v>
      </c>
      <c r="AW565" s="405">
        <f t="shared" si="369"/>
        <v>0</v>
      </c>
      <c r="AX565" s="405">
        <f t="shared" si="345"/>
        <v>93325</v>
      </c>
      <c r="AY565" s="405">
        <f t="shared" si="346"/>
        <v>-89.039779251092654</v>
      </c>
    </row>
    <row r="566" spans="2:51" ht="13.5" thickBot="1" x14ac:dyDescent="0.25">
      <c r="B566" s="345">
        <v>93868.5</v>
      </c>
      <c r="C566" s="728" t="str">
        <f t="shared" si="329"/>
        <v>2.2271548443541</v>
      </c>
      <c r="D566" s="728" t="str">
        <f t="shared" si="330"/>
        <v>1+71.7581702341834i</v>
      </c>
      <c r="E566" s="337">
        <f t="shared" si="348"/>
        <v>71.76513774360113</v>
      </c>
      <c r="F566" s="338">
        <f t="shared" si="349"/>
        <v>1.5568615334502001</v>
      </c>
      <c r="G566" s="338" t="str">
        <f t="shared" si="331"/>
        <v>1+0.294896590003493i</v>
      </c>
      <c r="H566" s="337">
        <f t="shared" si="350"/>
        <v>1.0425756561495614</v>
      </c>
      <c r="I566" s="338">
        <f t="shared" si="351"/>
        <v>0.28676821564963578</v>
      </c>
      <c r="J566" s="340">
        <f t="shared" si="332"/>
        <v>1</v>
      </c>
      <c r="K566" s="338">
        <f t="shared" si="352"/>
        <v>1</v>
      </c>
      <c r="L566" s="339">
        <f t="shared" si="353"/>
        <v>0</v>
      </c>
      <c r="M566" s="731" t="str">
        <f t="shared" si="333"/>
        <v>0.6083868759+1.27126723916502i</v>
      </c>
      <c r="N566" s="338">
        <f t="shared" si="354"/>
        <v>1.4093455871934371</v>
      </c>
      <c r="O566" s="339">
        <f t="shared" si="355"/>
        <v>1.1244414551374691</v>
      </c>
      <c r="P566" s="732" t="str">
        <f t="shared" si="347"/>
        <v>-0.0168438070365114-0.0155993185776243i</v>
      </c>
      <c r="Q566" s="337">
        <f t="shared" si="356"/>
        <v>2.2957625651827445E-2</v>
      </c>
      <c r="R566" s="339">
        <f t="shared" si="357"/>
        <v>-2.3945347729380346</v>
      </c>
      <c r="S566" s="731" t="str">
        <f t="shared" si="334"/>
        <v>6000</v>
      </c>
      <c r="T566" s="337" t="str">
        <f t="shared" si="335"/>
        <v>1+595691.111807057i</v>
      </c>
      <c r="U566" s="346">
        <f t="shared" si="358"/>
        <v>595691.11180789641</v>
      </c>
      <c r="V566" s="347">
        <f t="shared" si="359"/>
        <v>1.5707946480725181</v>
      </c>
      <c r="W566" s="340" t="str">
        <f t="shared" si="336"/>
        <v>1+5897.93180006987i</v>
      </c>
      <c r="X566" s="337">
        <f t="shared" si="360"/>
        <v>5897.9318848453495</v>
      </c>
      <c r="Y566" s="339">
        <f t="shared" si="361"/>
        <v>1.5706267758363037</v>
      </c>
      <c r="Z566" s="337" t="str">
        <f t="shared" si="337"/>
        <v>1+59.4125572314679i</v>
      </c>
      <c r="AA566" s="346">
        <f t="shared" si="362"/>
        <v>59.420972364834689</v>
      </c>
      <c r="AB566" s="347">
        <f t="shared" si="363"/>
        <v>1.5539664573198961</v>
      </c>
      <c r="AC566" s="732" t="str">
        <f t="shared" si="364"/>
        <v>0.016657011728595-0.999608270818824i</v>
      </c>
      <c r="AD566" s="337">
        <f t="shared" si="365"/>
        <v>0.99974704357108557</v>
      </c>
      <c r="AE566" s="339">
        <f t="shared" si="366"/>
        <v>-1.5541343295561105</v>
      </c>
      <c r="AF566" s="736" t="str">
        <f t="shared" si="338"/>
        <v>-0.0158737753606923+0.0165773707932675i</v>
      </c>
      <c r="AG566" s="337">
        <f t="shared" si="367"/>
        <v>-32.783658029984508</v>
      </c>
      <c r="AH566" s="730">
        <f t="shared" si="368"/>
        <v>133.75792573337475</v>
      </c>
      <c r="AI566" s="360">
        <f t="shared" si="339"/>
        <v>-46.242074266625252</v>
      </c>
      <c r="AL566" s="337">
        <f t="shared" si="340"/>
        <v>-2.1974295634760877E-3</v>
      </c>
      <c r="AM566" s="730">
        <f t="shared" si="341"/>
        <v>-89.045337879958922</v>
      </c>
      <c r="AN566" s="351"/>
      <c r="AO566" s="337">
        <f t="shared" si="342"/>
        <v>20.74766188462112</v>
      </c>
      <c r="AP566" s="730">
        <f t="shared" si="343"/>
        <v>-137.19673638666629</v>
      </c>
      <c r="AS566" s="351"/>
      <c r="AT566" s="351"/>
      <c r="AV566" s="405">
        <f t="shared" si="344"/>
        <v>0</v>
      </c>
      <c r="AW566" s="405">
        <f t="shared" si="369"/>
        <v>0</v>
      </c>
      <c r="AX566" s="405">
        <f t="shared" si="345"/>
        <v>0</v>
      </c>
      <c r="AY566" s="405">
        <f t="shared" si="346"/>
        <v>0</v>
      </c>
    </row>
    <row r="567" spans="2:51" ht="13.5" thickBot="1" x14ac:dyDescent="0.25">
      <c r="B567" s="345">
        <v>94412</v>
      </c>
      <c r="C567" s="728" t="str">
        <f t="shared" si="329"/>
        <v>2.2271548443541</v>
      </c>
      <c r="D567" s="728" t="str">
        <f t="shared" si="330"/>
        <v>1+72.1736510986084i</v>
      </c>
      <c r="E567" s="337">
        <f t="shared" si="348"/>
        <v>72.180578502140435</v>
      </c>
      <c r="F567" s="338">
        <f t="shared" si="349"/>
        <v>1.5569417413501925</v>
      </c>
      <c r="G567" s="338" t="str">
        <f t="shared" si="331"/>
        <v>1+0.296604045610719i</v>
      </c>
      <c r="H567" s="337">
        <f t="shared" si="350"/>
        <v>1.0430599023414933</v>
      </c>
      <c r="I567" s="338">
        <f t="shared" si="351"/>
        <v>0.28833833537288711</v>
      </c>
      <c r="J567" s="340">
        <f t="shared" si="332"/>
        <v>1</v>
      </c>
      <c r="K567" s="338">
        <f t="shared" si="352"/>
        <v>1</v>
      </c>
      <c r="L567" s="339">
        <f t="shared" si="353"/>
        <v>0</v>
      </c>
      <c r="M567" s="731" t="str">
        <f t="shared" si="333"/>
        <v>0.603838855822222+1.27862789523693i</v>
      </c>
      <c r="N567" s="338">
        <f t="shared" si="354"/>
        <v>1.41404054336455</v>
      </c>
      <c r="O567" s="339">
        <f t="shared" si="355"/>
        <v>1.1295897646292787</v>
      </c>
      <c r="P567" s="732" t="str">
        <f t="shared" si="347"/>
        <v>-0.0167554762667239-0.0154040249557087i</v>
      </c>
      <c r="Q567" s="337">
        <f t="shared" si="356"/>
        <v>2.2760271741805817E-2</v>
      </c>
      <c r="R567" s="339">
        <f t="shared" si="357"/>
        <v>-2.3981931706065849</v>
      </c>
      <c r="S567" s="731" t="str">
        <f t="shared" si="334"/>
        <v>6000</v>
      </c>
      <c r="T567" s="337" t="str">
        <f t="shared" si="335"/>
        <v>1+599140.172133653i</v>
      </c>
      <c r="U567" s="346">
        <f t="shared" si="358"/>
        <v>599140.17213448754</v>
      </c>
      <c r="V567" s="347">
        <f t="shared" si="359"/>
        <v>1.5707946577363916</v>
      </c>
      <c r="W567" s="340" t="str">
        <f t="shared" si="336"/>
        <v>1+5932.08091221439i</v>
      </c>
      <c r="X567" s="337">
        <f t="shared" si="360"/>
        <v>5932.0809965018443</v>
      </c>
      <c r="Y567" s="339">
        <f t="shared" si="361"/>
        <v>1.5706277518874863</v>
      </c>
      <c r="Z567" s="337" t="str">
        <f t="shared" si="337"/>
        <v>1+59.7565568144516i</v>
      </c>
      <c r="AA567" s="346">
        <f t="shared" si="362"/>
        <v>59.764923511360593</v>
      </c>
      <c r="AB567" s="347">
        <f t="shared" si="363"/>
        <v>1.554063323415392</v>
      </c>
      <c r="AC567" s="732" t="str">
        <f t="shared" si="364"/>
        <v>0.0164658389808569-0.993857041596894i</v>
      </c>
      <c r="AD567" s="337">
        <f t="shared" si="365"/>
        <v>0.993993432063348</v>
      </c>
      <c r="AE567" s="339">
        <f t="shared" si="366"/>
        <v>-1.5542302292642973</v>
      </c>
      <c r="AF567" s="736" t="str">
        <f t="shared" si="338"/>
        <v>-0.0155852916454208+0.0163989078784154i</v>
      </c>
      <c r="AG567" s="337">
        <f t="shared" si="367"/>
        <v>-32.908780846415084</v>
      </c>
      <c r="AH567" s="730">
        <f t="shared" si="368"/>
        <v>133.54282033865064</v>
      </c>
      <c r="AI567" s="360">
        <f t="shared" si="339"/>
        <v>-46.457179661349358</v>
      </c>
      <c r="AL567" s="337">
        <f t="shared" si="340"/>
        <v>-5.232970497263293E-2</v>
      </c>
      <c r="AM567" s="730">
        <f t="shared" si="341"/>
        <v>-89.050832528494567</v>
      </c>
      <c r="AN567" s="351"/>
      <c r="AO567" s="337">
        <f t="shared" si="342"/>
        <v>20.672671343599688</v>
      </c>
      <c r="AP567" s="730">
        <f t="shared" si="343"/>
        <v>-137.40634713285471</v>
      </c>
      <c r="AS567" s="351"/>
      <c r="AT567" s="351"/>
      <c r="AV567" s="405">
        <f t="shared" si="344"/>
        <v>0</v>
      </c>
      <c r="AW567" s="405">
        <f t="shared" si="369"/>
        <v>0</v>
      </c>
      <c r="AX567" s="405">
        <f t="shared" si="345"/>
        <v>0</v>
      </c>
      <c r="AY567" s="405">
        <f t="shared" si="346"/>
        <v>0</v>
      </c>
    </row>
    <row r="568" spans="2:51" ht="13.5" thickBot="1" x14ac:dyDescent="0.25">
      <c r="B568" s="345">
        <v>94955.5</v>
      </c>
      <c r="C568" s="728" t="str">
        <f t="shared" si="329"/>
        <v>2.2271548443541</v>
      </c>
      <c r="D568" s="728" t="str">
        <f t="shared" si="330"/>
        <v>1+72.5891319630334i</v>
      </c>
      <c r="E568" s="337">
        <f t="shared" si="348"/>
        <v>72.596019719724822</v>
      </c>
      <c r="F568" s="338">
        <f t="shared" si="349"/>
        <v>1.5570210312480846</v>
      </c>
      <c r="G568" s="338" t="str">
        <f t="shared" si="331"/>
        <v>1+0.298311501217945i</v>
      </c>
      <c r="H568" s="337">
        <f t="shared" si="350"/>
        <v>1.043546717573729</v>
      </c>
      <c r="I568" s="338">
        <f t="shared" si="351"/>
        <v>0.28990699403654219</v>
      </c>
      <c r="J568" s="340">
        <f t="shared" si="332"/>
        <v>1</v>
      </c>
      <c r="K568" s="338">
        <f t="shared" si="352"/>
        <v>1</v>
      </c>
      <c r="L568" s="339">
        <f t="shared" si="353"/>
        <v>0</v>
      </c>
      <c r="M568" s="731" t="str">
        <f t="shared" si="333"/>
        <v>0.599264578655556+1.28598855130884i</v>
      </c>
      <c r="N568" s="338">
        <f t="shared" si="354"/>
        <v>1.4187616393632265</v>
      </c>
      <c r="O568" s="339">
        <f t="shared" si="355"/>
        <v>1.1347206404457171</v>
      </c>
      <c r="P568" s="732" t="str">
        <f t="shared" si="347"/>
        <v>-0.0166674062994306-0.0152114387548121i</v>
      </c>
      <c r="Q568" s="337">
        <f t="shared" si="356"/>
        <v>2.2565245439429601E-2</v>
      </c>
      <c r="R568" s="339">
        <f t="shared" si="357"/>
        <v>-2.4018346776572619</v>
      </c>
      <c r="S568" s="731" t="str">
        <f t="shared" si="334"/>
        <v>6000</v>
      </c>
      <c r="T568" s="337" t="str">
        <f t="shared" si="335"/>
        <v>1+602589.23246025i</v>
      </c>
      <c r="U568" s="346">
        <f t="shared" si="358"/>
        <v>602589.23246107984</v>
      </c>
      <c r="V568" s="347">
        <f t="shared" si="359"/>
        <v>1.570794667289638</v>
      </c>
      <c r="W568" s="340" t="str">
        <f t="shared" si="336"/>
        <v>1+5966.23002435891i</v>
      </c>
      <c r="X568" s="337">
        <f t="shared" si="360"/>
        <v>5966.2301081639253</v>
      </c>
      <c r="Y568" s="339">
        <f t="shared" si="361"/>
        <v>1.570628716765355</v>
      </c>
      <c r="Z568" s="337" t="str">
        <f t="shared" si="337"/>
        <v>1+60.1005563974353i</v>
      </c>
      <c r="AA568" s="346">
        <f t="shared" si="362"/>
        <v>60.108875212245493</v>
      </c>
      <c r="AB568" s="347">
        <f t="shared" si="363"/>
        <v>1.5541590809480861</v>
      </c>
      <c r="AC568" s="732" t="str">
        <f t="shared" si="364"/>
        <v>0.0162779382838307-0.988171594941672i</v>
      </c>
      <c r="AD568" s="337">
        <f t="shared" si="365"/>
        <v>0.98830565733701037</v>
      </c>
      <c r="AE568" s="339">
        <f t="shared" si="366"/>
        <v>-1.5543250314723693</v>
      </c>
      <c r="AF568" s="736" t="str">
        <f t="shared" si="338"/>
        <v>-0.0153028227067939+0.0162226466051901i</v>
      </c>
      <c r="AG568" s="337">
        <f t="shared" si="367"/>
        <v>-33.033373139104491</v>
      </c>
      <c r="AH568" s="730">
        <f t="shared" si="368"/>
        <v>133.32874558716875</v>
      </c>
      <c r="AI568" s="360">
        <f t="shared" si="339"/>
        <v>-46.671254412831246</v>
      </c>
      <c r="AL568" s="337">
        <f t="shared" si="340"/>
        <v>-0.10217437210654857</v>
      </c>
      <c r="AM568" s="730">
        <f t="shared" si="341"/>
        <v>-89.056264294905617</v>
      </c>
      <c r="AN568" s="351"/>
      <c r="AO568" s="337">
        <f t="shared" si="342"/>
        <v>20.597923718044193</v>
      </c>
      <c r="AP568" s="730">
        <f t="shared" si="343"/>
        <v>-137.61499011792563</v>
      </c>
      <c r="AS568" s="351"/>
      <c r="AT568" s="351"/>
      <c r="AV568" s="405">
        <f t="shared" si="344"/>
        <v>0</v>
      </c>
      <c r="AW568" s="405">
        <f t="shared" si="369"/>
        <v>0</v>
      </c>
      <c r="AX568" s="405">
        <f t="shared" si="345"/>
        <v>0</v>
      </c>
      <c r="AY568" s="405">
        <f t="shared" si="346"/>
        <v>0</v>
      </c>
    </row>
    <row r="569" spans="2:51" ht="13.5" thickBot="1" x14ac:dyDescent="0.25">
      <c r="B569" s="345">
        <v>95499</v>
      </c>
      <c r="C569" s="728" t="str">
        <f t="shared" si="329"/>
        <v>2.2271548443541</v>
      </c>
      <c r="D569" s="728" t="str">
        <f t="shared" si="330"/>
        <v>1+73.0046128274584i</v>
      </c>
      <c r="E569" s="337">
        <f t="shared" si="348"/>
        <v>73.011461388518342</v>
      </c>
      <c r="F569" s="338">
        <f t="shared" si="349"/>
        <v>1.5570994188134097</v>
      </c>
      <c r="G569" s="338" t="str">
        <f t="shared" si="331"/>
        <v>1+0.300018956825171i</v>
      </c>
      <c r="H569" s="337">
        <f t="shared" si="350"/>
        <v>1.0440360982525765</v>
      </c>
      <c r="I569" s="338">
        <f t="shared" si="351"/>
        <v>0.29147418596985136</v>
      </c>
      <c r="J569" s="340">
        <f t="shared" si="332"/>
        <v>1</v>
      </c>
      <c r="K569" s="338">
        <f t="shared" si="352"/>
        <v>1</v>
      </c>
      <c r="L569" s="339">
        <f t="shared" si="353"/>
        <v>0</v>
      </c>
      <c r="M569" s="731" t="str">
        <f t="shared" si="333"/>
        <v>0.594664044400001+1.29334920738075i</v>
      </c>
      <c r="N569" s="338">
        <f t="shared" si="354"/>
        <v>1.4235088682318002</v>
      </c>
      <c r="O569" s="339">
        <f t="shared" si="355"/>
        <v>1.1398341078283127</v>
      </c>
      <c r="P569" s="732" t="str">
        <f t="shared" si="347"/>
        <v>-0.0165796024579748-0.0150215173095197i</v>
      </c>
      <c r="Q569" s="337">
        <f t="shared" si="356"/>
        <v>2.2372509916070749E-2</v>
      </c>
      <c r="R569" s="339">
        <f t="shared" si="357"/>
        <v>-2.4054593406718694</v>
      </c>
      <c r="S569" s="731" t="str">
        <f t="shared" si="334"/>
        <v>6000</v>
      </c>
      <c r="T569" s="337" t="str">
        <f t="shared" si="335"/>
        <v>1+606038.292786847i</v>
      </c>
      <c r="U569" s="346">
        <f t="shared" si="358"/>
        <v>606038.29278767202</v>
      </c>
      <c r="V569" s="347">
        <f t="shared" si="359"/>
        <v>1.5707946767341465</v>
      </c>
      <c r="W569" s="340" t="str">
        <f t="shared" si="336"/>
        <v>1+6000.37913650343i</v>
      </c>
      <c r="X569" s="337">
        <f t="shared" si="360"/>
        <v>6000.3792198314977</v>
      </c>
      <c r="Y569" s="339">
        <f t="shared" si="361"/>
        <v>1.570629670660677</v>
      </c>
      <c r="Z569" s="337" t="str">
        <f t="shared" si="337"/>
        <v>1+60.4445559804189i</v>
      </c>
      <c r="AA569" s="346">
        <f t="shared" si="362"/>
        <v>60.452827458027095</v>
      </c>
      <c r="AB569" s="347">
        <f t="shared" si="363"/>
        <v>1.5542537488380352</v>
      </c>
      <c r="AC569" s="732" t="str">
        <f t="shared" si="364"/>
        <v>0.0160932353969075-0.982550808944256i</v>
      </c>
      <c r="AD569" s="337">
        <f t="shared" si="365"/>
        <v>0.98268259594975627</v>
      </c>
      <c r="AE569" s="339">
        <f t="shared" si="366"/>
        <v>-1.5544187549115047</v>
      </c>
      <c r="AF569" s="736" t="str">
        <f t="shared" si="338"/>
        <v>-0.0150262234291821+0.0160485569929765i</v>
      </c>
      <c r="AG569" s="337">
        <f t="shared" si="367"/>
        <v>-33.15744052637119</v>
      </c>
      <c r="AH569" s="730">
        <f t="shared" si="368"/>
        <v>133.11569773677073</v>
      </c>
      <c r="AI569" s="360">
        <f t="shared" si="339"/>
        <v>-46.884302263229273</v>
      </c>
      <c r="AL569" s="337">
        <f t="shared" si="340"/>
        <v>-0.15173471125658466</v>
      </c>
      <c r="AM569" s="730">
        <f t="shared" si="341"/>
        <v>-89.061634252409519</v>
      </c>
      <c r="AN569" s="351"/>
      <c r="AO569" s="337">
        <f t="shared" si="342"/>
        <v>20.523416669927521</v>
      </c>
      <c r="AP569" s="730">
        <f t="shared" si="343"/>
        <v>-137.82266801081977</v>
      </c>
      <c r="AS569" s="351"/>
      <c r="AT569" s="351"/>
      <c r="AV569" s="405">
        <f t="shared" si="344"/>
        <v>0</v>
      </c>
      <c r="AW569" s="405">
        <f t="shared" si="369"/>
        <v>0</v>
      </c>
      <c r="AX569" s="405">
        <f t="shared" si="345"/>
        <v>0</v>
      </c>
      <c r="AY569" s="405">
        <f t="shared" si="346"/>
        <v>0</v>
      </c>
    </row>
    <row r="570" spans="2:51" ht="13.5" thickBot="1" x14ac:dyDescent="0.25">
      <c r="B570" s="345">
        <v>96611.5</v>
      </c>
      <c r="C570" s="728" t="str">
        <f t="shared" si="329"/>
        <v>2.2271548443541</v>
      </c>
      <c r="D570" s="728" t="str">
        <f t="shared" si="330"/>
        <v>1+73.855068138724i</v>
      </c>
      <c r="E570" s="337">
        <f t="shared" si="348"/>
        <v>73.861837844556533</v>
      </c>
      <c r="F570" s="338">
        <f t="shared" si="349"/>
        <v>1.5572571219563178</v>
      </c>
      <c r="G570" s="338" t="str">
        <f t="shared" si="331"/>
        <v>1+0.30351397865229i</v>
      </c>
      <c r="H570" s="337">
        <f t="shared" si="350"/>
        <v>1.0450458053297678</v>
      </c>
      <c r="I570" s="338">
        <f t="shared" si="351"/>
        <v>0.29467750204930693</v>
      </c>
      <c r="J570" s="340">
        <f t="shared" si="332"/>
        <v>1</v>
      </c>
      <c r="K570" s="338">
        <f t="shared" si="352"/>
        <v>1</v>
      </c>
      <c r="L570" s="339">
        <f t="shared" si="353"/>
        <v>0</v>
      </c>
      <c r="M570" s="731" t="str">
        <f t="shared" si="333"/>
        <v>0.585165247455555+1.30841586769354i</v>
      </c>
      <c r="N570" s="338">
        <f t="shared" si="354"/>
        <v>1.4333075209674857</v>
      </c>
      <c r="O570" s="339">
        <f t="shared" si="355"/>
        <v>1.1502467805643373</v>
      </c>
      <c r="P570" s="732" t="str">
        <f t="shared" si="347"/>
        <v>-0.0164007265665608-0.0146408982922035i</v>
      </c>
      <c r="Q570" s="337">
        <f t="shared" si="356"/>
        <v>2.1984988849525045E-2</v>
      </c>
      <c r="R570" s="339">
        <f t="shared" si="357"/>
        <v>-2.4128264004713471</v>
      </c>
      <c r="S570" s="731" t="str">
        <f t="shared" si="334"/>
        <v>6000</v>
      </c>
      <c r="T570" s="337" t="str">
        <f t="shared" si="335"/>
        <v>1+613098.236877627i</v>
      </c>
      <c r="U570" s="346">
        <f t="shared" si="358"/>
        <v>613098.23687844246</v>
      </c>
      <c r="V570" s="347">
        <f t="shared" si="359"/>
        <v>1.5707946957349133</v>
      </c>
      <c r="W570" s="340" t="str">
        <f t="shared" si="336"/>
        <v>1+6070.27957304581i</v>
      </c>
      <c r="X570" s="337">
        <f t="shared" si="360"/>
        <v>6070.2796554143388</v>
      </c>
      <c r="Y570" s="339">
        <f t="shared" si="361"/>
        <v>1.570631589738074</v>
      </c>
      <c r="Z570" s="337" t="str">
        <f t="shared" si="337"/>
        <v>1+61.1486949612273i</v>
      </c>
      <c r="AA570" s="346">
        <f t="shared" si="362"/>
        <v>61.156871203988388</v>
      </c>
      <c r="AB570" s="347">
        <f t="shared" si="363"/>
        <v>1.5544442056511314</v>
      </c>
      <c r="AC570" s="732" t="str">
        <f t="shared" si="364"/>
        <v>0.0157248344788651-0.971242572111186i</v>
      </c>
      <c r="AD570" s="337">
        <f t="shared" si="365"/>
        <v>0.97136985968298406</v>
      </c>
      <c r="AE570" s="339">
        <f t="shared" si="366"/>
        <v>-1.5546073116479706</v>
      </c>
      <c r="AF570" s="736" t="str">
        <f t="shared" si="338"/>
        <v>-0.0144777624259303+0.015698858152732i</v>
      </c>
      <c r="AG570" s="337">
        <f t="shared" si="367"/>
        <v>-33.409782530945847</v>
      </c>
      <c r="AH570" s="730">
        <f t="shared" si="368"/>
        <v>132.68279279764181</v>
      </c>
      <c r="AI570" s="360">
        <f t="shared" si="339"/>
        <v>-47.31720720235819</v>
      </c>
      <c r="AL570" s="337">
        <f t="shared" si="340"/>
        <v>-0.25230752470128076</v>
      </c>
      <c r="AM570" s="730">
        <f t="shared" si="341"/>
        <v>-89.072437757607787</v>
      </c>
      <c r="AN570" s="351"/>
      <c r="AO570" s="337">
        <f t="shared" si="342"/>
        <v>20.371647478797552</v>
      </c>
      <c r="AP570" s="730">
        <f t="shared" si="343"/>
        <v>-138.24476944475037</v>
      </c>
      <c r="AS570" s="351"/>
      <c r="AT570" s="351"/>
      <c r="AV570" s="405">
        <f t="shared" si="344"/>
        <v>0</v>
      </c>
      <c r="AW570" s="405">
        <f t="shared" si="369"/>
        <v>0</v>
      </c>
      <c r="AX570" s="405">
        <f t="shared" si="345"/>
        <v>0</v>
      </c>
      <c r="AY570" s="405">
        <f t="shared" si="346"/>
        <v>0</v>
      </c>
    </row>
    <row r="571" spans="2:51" ht="13.5" thickBot="1" x14ac:dyDescent="0.25">
      <c r="B571" s="345">
        <v>97724</v>
      </c>
      <c r="C571" s="728" t="str">
        <f t="shared" si="329"/>
        <v>2.2271548443541</v>
      </c>
      <c r="D571" s="728" t="str">
        <f t="shared" si="330"/>
        <v>1+74.7055234499895i</v>
      </c>
      <c r="E571" s="337">
        <f t="shared" si="348"/>
        <v>74.712216095742534</v>
      </c>
      <c r="F571" s="338">
        <f t="shared" si="349"/>
        <v>1.5574112351325671</v>
      </c>
      <c r="G571" s="338" t="str">
        <f t="shared" si="331"/>
        <v>1+0.307009000479409i</v>
      </c>
      <c r="H571" s="337">
        <f t="shared" si="350"/>
        <v>1.0460662151008251</v>
      </c>
      <c r="I571" s="338">
        <f t="shared" si="351"/>
        <v>0.2978746013826063</v>
      </c>
      <c r="J571" s="340">
        <f t="shared" si="332"/>
        <v>1</v>
      </c>
      <c r="K571" s="338">
        <f t="shared" si="352"/>
        <v>1</v>
      </c>
      <c r="L571" s="339">
        <f t="shared" si="353"/>
        <v>0</v>
      </c>
      <c r="M571" s="731" t="str">
        <f t="shared" si="333"/>
        <v>0.575556436622222+1.32348252800633i</v>
      </c>
      <c r="N571" s="338">
        <f t="shared" si="354"/>
        <v>1.4432155811504033</v>
      </c>
      <c r="O571" s="339">
        <f t="shared" si="355"/>
        <v>1.1605868559086365</v>
      </c>
      <c r="P571" s="732" t="str">
        <f t="shared" si="347"/>
        <v>-0.01622302917023-0.0142709213324144i</v>
      </c>
      <c r="Q571" s="337">
        <f t="shared" si="356"/>
        <v>2.160661637402057E-2</v>
      </c>
      <c r="R571" s="339">
        <f t="shared" si="357"/>
        <v>-2.4201234896585975</v>
      </c>
      <c r="S571" s="731" t="str">
        <f t="shared" si="334"/>
        <v>6000</v>
      </c>
      <c r="T571" s="337" t="str">
        <f t="shared" si="335"/>
        <v>1+620158.180968406i</v>
      </c>
      <c r="U571" s="346">
        <f t="shared" si="358"/>
        <v>620158.18096921232</v>
      </c>
      <c r="V571" s="347">
        <f t="shared" si="359"/>
        <v>1.5707947143030667</v>
      </c>
      <c r="W571" s="340" t="str">
        <f t="shared" si="336"/>
        <v>1+6140.18000958818i</v>
      </c>
      <c r="X571" s="337">
        <f t="shared" si="360"/>
        <v>6140.1800910190168</v>
      </c>
      <c r="Y571" s="339">
        <f t="shared" si="361"/>
        <v>1.5706334651215259</v>
      </c>
      <c r="Z571" s="337" t="str">
        <f t="shared" si="337"/>
        <v>1+61.8528339420357i</v>
      </c>
      <c r="AA571" s="346">
        <f t="shared" si="362"/>
        <v>61.860917117846256</v>
      </c>
      <c r="AB571" s="347">
        <f t="shared" si="363"/>
        <v>1.5546303272509008</v>
      </c>
      <c r="AC571" s="732" t="str">
        <f t="shared" si="364"/>
        <v>0.0153689391636905-0.96019160134197i</v>
      </c>
      <c r="AD571" s="337">
        <f t="shared" si="365"/>
        <v>0.96031459198466518</v>
      </c>
      <c r="AE571" s="339">
        <f t="shared" si="366"/>
        <v>-1.5547915764324416</v>
      </c>
      <c r="AF571" s="736" t="str">
        <f t="shared" si="338"/>
        <v>-0.0139521495551643+0.0153578874358129i</v>
      </c>
      <c r="AG571" s="337">
        <f t="shared" si="367"/>
        <v>-33.659994217747283</v>
      </c>
      <c r="AH571" s="730">
        <f t="shared" si="368"/>
        <v>132.25414279001885</v>
      </c>
      <c r="AI571" s="360">
        <f t="shared" si="339"/>
        <v>-47.745857209981153</v>
      </c>
      <c r="AL571" s="337">
        <f t="shared" si="340"/>
        <v>-0.35172943958815073</v>
      </c>
      <c r="AM571" s="730">
        <f t="shared" si="341"/>
        <v>-89.082995352070853</v>
      </c>
      <c r="AN571" s="351"/>
      <c r="AO571" s="337">
        <f t="shared" si="342"/>
        <v>20.220857706883017</v>
      </c>
      <c r="AP571" s="730">
        <f t="shared" si="343"/>
        <v>-138.66286185791037</v>
      </c>
      <c r="AS571" s="351"/>
      <c r="AT571" s="351"/>
      <c r="AV571" s="405">
        <f t="shared" si="344"/>
        <v>0</v>
      </c>
      <c r="AW571" s="405">
        <f t="shared" si="369"/>
        <v>0</v>
      </c>
      <c r="AX571" s="405">
        <f t="shared" si="345"/>
        <v>0</v>
      </c>
      <c r="AY571" s="405">
        <f t="shared" si="346"/>
        <v>0</v>
      </c>
    </row>
    <row r="572" spans="2:51" ht="13.5" thickBot="1" x14ac:dyDescent="0.25">
      <c r="B572" s="345">
        <v>98862</v>
      </c>
      <c r="C572" s="728" t="str">
        <f t="shared" si="329"/>
        <v>2.2271548443541</v>
      </c>
      <c r="D572" s="728" t="str">
        <f t="shared" si="330"/>
        <v>1+75.5754723436706i</v>
      </c>
      <c r="E572" s="337">
        <f t="shared" si="348"/>
        <v>75.582087957193409</v>
      </c>
      <c r="F572" s="338">
        <f t="shared" si="349"/>
        <v>1.5575652927716965</v>
      </c>
      <c r="G572" s="338" t="str">
        <f t="shared" si="331"/>
        <v>1+0.310584132919194i</v>
      </c>
      <c r="H572" s="337">
        <f t="shared" si="350"/>
        <v>1.0471210549029981</v>
      </c>
      <c r="I572" s="338">
        <f t="shared" si="351"/>
        <v>0.30113850133350162</v>
      </c>
      <c r="J572" s="340">
        <f t="shared" si="332"/>
        <v>1</v>
      </c>
      <c r="K572" s="338">
        <f t="shared" si="352"/>
        <v>1</v>
      </c>
      <c r="L572" s="339">
        <f t="shared" si="353"/>
        <v>0</v>
      </c>
      <c r="M572" s="731" t="str">
        <f t="shared" si="333"/>
        <v>0.565613553600001+1.33889453648808i</v>
      </c>
      <c r="N572" s="338">
        <f t="shared" si="354"/>
        <v>1.4534638873579393</v>
      </c>
      <c r="O572" s="339">
        <f t="shared" si="355"/>
        <v>1.171089081939868</v>
      </c>
      <c r="P572" s="732" t="str">
        <f t="shared" si="347"/>
        <v>-0.0160425189423331-0.0139031254224548i</v>
      </c>
      <c r="Q572" s="337">
        <f t="shared" si="356"/>
        <v>2.1228737845845318E-2</v>
      </c>
      <c r="R572" s="339">
        <f t="shared" si="357"/>
        <v>-2.4275158733780664</v>
      </c>
      <c r="S572" s="731" t="str">
        <f t="shared" si="334"/>
        <v>6000</v>
      </c>
      <c r="T572" s="337" t="str">
        <f t="shared" si="335"/>
        <v>1+627379.948496772i</v>
      </c>
      <c r="U572" s="346">
        <f t="shared" si="358"/>
        <v>627379.94849756896</v>
      </c>
      <c r="V572" s="347">
        <f t="shared" si="359"/>
        <v>1.5707947328644525</v>
      </c>
      <c r="W572" s="340" t="str">
        <f t="shared" si="336"/>
        <v>1+6211.68265838388i</v>
      </c>
      <c r="X572" s="337">
        <f t="shared" si="360"/>
        <v>6211.6827388773672</v>
      </c>
      <c r="Y572" s="339">
        <f t="shared" si="361"/>
        <v>1.5706353398214215</v>
      </c>
      <c r="Z572" s="337" t="str">
        <f t="shared" si="337"/>
        <v>1+62.573112737685i</v>
      </c>
      <c r="AA572" s="346">
        <f t="shared" si="362"/>
        <v>62.581102880047084</v>
      </c>
      <c r="AB572" s="347">
        <f t="shared" si="363"/>
        <v>1.5548163821308225</v>
      </c>
      <c r="AC572" s="732" t="str">
        <f t="shared" si="364"/>
        <v>0.015017241850952-0.949144461076692i</v>
      </c>
      <c r="AD572" s="337">
        <f t="shared" si="365"/>
        <v>0.94926325407938028</v>
      </c>
      <c r="AE572" s="339">
        <f t="shared" si="366"/>
        <v>-1.5549757751738533</v>
      </c>
      <c r="AF572" s="736" t="str">
        <f t="shared" si="338"/>
        <v>-0.013436988873233+0.0150178813988803i</v>
      </c>
      <c r="AG572" s="337">
        <f t="shared" si="367"/>
        <v>-33.913783126974593</v>
      </c>
      <c r="AH572" s="730">
        <f t="shared" si="368"/>
        <v>131.82003659187734</v>
      </c>
      <c r="AI572" s="360">
        <f t="shared" si="339"/>
        <v>-48.17996340812266</v>
      </c>
      <c r="AL572" s="337">
        <f t="shared" si="340"/>
        <v>-0.45226660626312776</v>
      </c>
      <c r="AM572" s="730">
        <f t="shared" si="341"/>
        <v>-89.093549162545372</v>
      </c>
      <c r="AN572" s="351"/>
      <c r="AO572" s="337">
        <f t="shared" si="342"/>
        <v>20.06760596433066</v>
      </c>
      <c r="AP572" s="730">
        <f t="shared" si="343"/>
        <v>-139.08641424557715</v>
      </c>
      <c r="AS572" s="351"/>
      <c r="AT572" s="351"/>
      <c r="AV572" s="405">
        <f t="shared" si="344"/>
        <v>0</v>
      </c>
      <c r="AW572" s="405">
        <f t="shared" si="369"/>
        <v>0</v>
      </c>
      <c r="AX572" s="405">
        <f t="shared" si="345"/>
        <v>0</v>
      </c>
      <c r="AY572" s="405">
        <f t="shared" si="346"/>
        <v>0</v>
      </c>
    </row>
    <row r="573" spans="2:51" ht="13.5" thickBot="1" x14ac:dyDescent="0.25">
      <c r="B573" s="345">
        <v>100000</v>
      </c>
      <c r="C573" s="728" t="str">
        <f t="shared" si="329"/>
        <v>2.2271548443541</v>
      </c>
      <c r="D573" s="728" t="str">
        <f t="shared" si="330"/>
        <v>1+76.4454212373517i</v>
      </c>
      <c r="E573" s="337">
        <f t="shared" si="348"/>
        <v>76.451961571670225</v>
      </c>
      <c r="F573" s="338">
        <f t="shared" si="349"/>
        <v>1.5577158446658164</v>
      </c>
      <c r="G573" s="338" t="str">
        <f t="shared" si="331"/>
        <v>1+0.31415926535898i</v>
      </c>
      <c r="H573" s="337">
        <f t="shared" si="350"/>
        <v>1.0481870272097886</v>
      </c>
      <c r="I573" s="338">
        <f t="shared" si="351"/>
        <v>0.30439579736461569</v>
      </c>
      <c r="J573" s="340">
        <f t="shared" si="332"/>
        <v>1</v>
      </c>
      <c r="K573" s="338">
        <f t="shared" si="352"/>
        <v>1</v>
      </c>
      <c r="L573" s="339">
        <f t="shared" si="353"/>
        <v>0</v>
      </c>
      <c r="M573" s="731" t="str">
        <f t="shared" si="333"/>
        <v>0.555555555555555+1.35430654496984i</v>
      </c>
      <c r="N573" s="338">
        <f t="shared" si="354"/>
        <v>1.4638265583930312</v>
      </c>
      <c r="O573" s="339">
        <f t="shared" si="355"/>
        <v>1.1815158740803746</v>
      </c>
      <c r="P573" s="732" t="str">
        <f t="shared" si="347"/>
        <v>-0.0158633220298106-0.0135457694033723i</v>
      </c>
      <c r="Q573" s="337">
        <f t="shared" si="356"/>
        <v>2.085983831554817E-2</v>
      </c>
      <c r="R573" s="339">
        <f t="shared" si="357"/>
        <v>-2.4348359213815729</v>
      </c>
      <c r="S573" s="731" t="str">
        <f t="shared" si="334"/>
        <v>6000</v>
      </c>
      <c r="T573" s="337" t="str">
        <f t="shared" si="335"/>
        <v>1+634601.716025139i</v>
      </c>
      <c r="U573" s="346">
        <f t="shared" si="358"/>
        <v>634601.71602592699</v>
      </c>
      <c r="V573" s="347">
        <f t="shared" si="359"/>
        <v>1.5707947510033808</v>
      </c>
      <c r="W573" s="340" t="str">
        <f t="shared" si="336"/>
        <v>1+6283.18530717959i</v>
      </c>
      <c r="X573" s="337">
        <f t="shared" si="360"/>
        <v>6283.1853867570608</v>
      </c>
      <c r="Y573" s="339">
        <f t="shared" si="361"/>
        <v>1.5706371718531484</v>
      </c>
      <c r="Z573" s="337" t="str">
        <f t="shared" si="337"/>
        <v>1+63.2933915333344i</v>
      </c>
      <c r="AA573" s="346">
        <f t="shared" si="362"/>
        <v>63.301290759288364</v>
      </c>
      <c r="AB573" s="347">
        <f t="shared" si="363"/>
        <v>1.5549982034707222</v>
      </c>
      <c r="AC573" s="732" t="str">
        <f t="shared" si="364"/>
        <v>0.0146774790375869-0.938348565165666i</v>
      </c>
      <c r="AD573" s="337">
        <f t="shared" si="365"/>
        <v>0.9384633493852399</v>
      </c>
      <c r="AE573" s="339">
        <f t="shared" si="366"/>
        <v>-1.5551557826209546</v>
      </c>
      <c r="AF573" s="736" t="str">
        <f t="shared" si="338"/>
        <v>-0.0129434868602784+0.0146865077189677i</v>
      </c>
      <c r="AG573" s="337">
        <f t="shared" si="367"/>
        <v>-34.165434913927903</v>
      </c>
      <c r="AH573" s="730">
        <f t="shared" si="368"/>
        <v>131.39031506844353</v>
      </c>
      <c r="AI573" s="360">
        <f t="shared" si="339"/>
        <v>-48.609684931556473</v>
      </c>
      <c r="AL573" s="337">
        <f t="shared" si="340"/>
        <v>-0.5516536717329934</v>
      </c>
      <c r="AM573" s="730">
        <f t="shared" si="341"/>
        <v>-89.103862829545193</v>
      </c>
      <c r="AN573" s="351"/>
      <c r="AO573" s="337">
        <f t="shared" si="342"/>
        <v>19.91534124284723</v>
      </c>
      <c r="AP573" s="730">
        <f t="shared" si="343"/>
        <v>-139.50582210201125</v>
      </c>
      <c r="AS573" s="351"/>
      <c r="AT573" s="351"/>
      <c r="AV573" s="405">
        <f t="shared" si="344"/>
        <v>0</v>
      </c>
      <c r="AW573" s="405">
        <f t="shared" si="369"/>
        <v>0</v>
      </c>
      <c r="AX573" s="405">
        <f t="shared" si="345"/>
        <v>0</v>
      </c>
      <c r="AY573" s="405">
        <f t="shared" si="346"/>
        <v>0</v>
      </c>
    </row>
    <row r="574" spans="2:51" ht="13.5" thickBot="1" x14ac:dyDescent="0.25">
      <c r="B574" s="345">
        <v>101165</v>
      </c>
      <c r="C574" s="728" t="str">
        <f t="shared" si="329"/>
        <v>2.2271548443541</v>
      </c>
      <c r="D574" s="728" t="str">
        <f t="shared" si="330"/>
        <v>1+77.3360103947668i</v>
      </c>
      <c r="E574" s="337">
        <f t="shared" si="348"/>
        <v>77.342475417971187</v>
      </c>
      <c r="F574" s="338">
        <f t="shared" si="349"/>
        <v>1.557866460525259</v>
      </c>
      <c r="G574" s="338" t="str">
        <f t="shared" si="331"/>
        <v>1+0.317819220800411i</v>
      </c>
      <c r="H574" s="337">
        <f t="shared" si="350"/>
        <v>1.0492897870036573</v>
      </c>
      <c r="I574" s="338">
        <f t="shared" si="351"/>
        <v>0.30772348362373253</v>
      </c>
      <c r="J574" s="340">
        <f t="shared" si="332"/>
        <v>1</v>
      </c>
      <c r="K574" s="338">
        <f t="shared" si="352"/>
        <v>1</v>
      </c>
      <c r="L574" s="339">
        <f t="shared" si="353"/>
        <v>0</v>
      </c>
      <c r="M574" s="731" t="str">
        <f t="shared" si="333"/>
        <v>0.545139678888888+1.37008421621874i</v>
      </c>
      <c r="N574" s="338">
        <f t="shared" si="354"/>
        <v>1.4745535015830382</v>
      </c>
      <c r="O574" s="339">
        <f t="shared" si="355"/>
        <v>1.1921122098329897</v>
      </c>
      <c r="P574" s="732" t="str">
        <f t="shared" si="347"/>
        <v>-0.0156812718239397-0.0131904028584854i</v>
      </c>
      <c r="Q574" s="337">
        <f t="shared" si="356"/>
        <v>2.0491193561757815E-2</v>
      </c>
      <c r="R574" s="339">
        <f t="shared" si="357"/>
        <v>-2.4422551867345197</v>
      </c>
      <c r="S574" s="731" t="str">
        <f t="shared" si="334"/>
        <v>6000</v>
      </c>
      <c r="T574" s="337" t="str">
        <f t="shared" si="335"/>
        <v>1+641994.826016831i</v>
      </c>
      <c r="U574" s="346">
        <f t="shared" si="358"/>
        <v>641994.82601760991</v>
      </c>
      <c r="V574" s="347">
        <f t="shared" si="359"/>
        <v>1.5707947691499446</v>
      </c>
      <c r="W574" s="340" t="str">
        <f t="shared" si="336"/>
        <v>1+6356.38441600823i</v>
      </c>
      <c r="X574" s="337">
        <f t="shared" si="360"/>
        <v>6356.3844946692998</v>
      </c>
      <c r="Y574" s="339">
        <f t="shared" si="361"/>
        <v>1.5706390046560355</v>
      </c>
      <c r="Z574" s="337" t="str">
        <f t="shared" si="337"/>
        <v>1+64.0307595446977i</v>
      </c>
      <c r="AA574" s="346">
        <f t="shared" si="362"/>
        <v>64.038567815582013</v>
      </c>
      <c r="AB574" s="347">
        <f t="shared" si="363"/>
        <v>1.5551801023901426</v>
      </c>
      <c r="AC574" s="732" t="str">
        <f t="shared" si="364"/>
        <v>0.0143414604283742-0.927547940557932i</v>
      </c>
      <c r="AD574" s="337">
        <f t="shared" si="365"/>
        <v>0.92765880555324842</v>
      </c>
      <c r="AE574" s="339">
        <f t="shared" si="366"/>
        <v>-1.5553358668840518</v>
      </c>
      <c r="AF574" s="736" t="str">
        <f t="shared" si="338"/>
        <v>-0.0124596233458472+0.0143559617449951i</v>
      </c>
      <c r="AG574" s="337">
        <f t="shared" si="367"/>
        <v>-34.420889458348732</v>
      </c>
      <c r="AH574" s="730">
        <f t="shared" si="368"/>
        <v>130.9549044083999</v>
      </c>
      <c r="AI574" s="360">
        <f t="shared" si="339"/>
        <v>-49.045095591600102</v>
      </c>
      <c r="AL574" s="337">
        <f t="shared" si="340"/>
        <v>-0.65223457287181419</v>
      </c>
      <c r="AM574" s="730">
        <f t="shared" si="341"/>
        <v>-89.114180897777388</v>
      </c>
      <c r="AN574" s="351"/>
      <c r="AO574" s="337">
        <f t="shared" si="342"/>
        <v>19.760467599565221</v>
      </c>
      <c r="AP574" s="730">
        <f t="shared" si="343"/>
        <v>-139.93091469382273</v>
      </c>
      <c r="AS574" s="351"/>
      <c r="AT574" s="351"/>
      <c r="AV574" s="405">
        <f t="shared" si="344"/>
        <v>0</v>
      </c>
      <c r="AW574" s="405">
        <f t="shared" si="369"/>
        <v>0</v>
      </c>
      <c r="AX574" s="405">
        <f t="shared" si="345"/>
        <v>0</v>
      </c>
      <c r="AY574" s="405">
        <f t="shared" si="346"/>
        <v>0</v>
      </c>
    </row>
    <row r="575" spans="2:51" ht="13.5" thickBot="1" x14ac:dyDescent="0.25">
      <c r="B575" s="345">
        <v>102330</v>
      </c>
      <c r="C575" s="728" t="str">
        <f t="shared" si="329"/>
        <v>2.2271548443541</v>
      </c>
      <c r="D575" s="728" t="str">
        <f t="shared" si="330"/>
        <v>1+78.2265995521819i</v>
      </c>
      <c r="E575" s="337">
        <f t="shared" si="348"/>
        <v>78.23299097885382</v>
      </c>
      <c r="F575" s="338">
        <f t="shared" si="349"/>
        <v>1.5580136475080417</v>
      </c>
      <c r="G575" s="338" t="str">
        <f t="shared" si="331"/>
        <v>1+0.321479176241844i</v>
      </c>
      <c r="H575" s="337">
        <f t="shared" si="350"/>
        <v>1.0504041416317504</v>
      </c>
      <c r="I575" s="338">
        <f t="shared" si="351"/>
        <v>0.31104414602598385</v>
      </c>
      <c r="J575" s="340">
        <f t="shared" si="332"/>
        <v>1</v>
      </c>
      <c r="K575" s="338">
        <f t="shared" si="352"/>
        <v>1</v>
      </c>
      <c r="L575" s="339">
        <f t="shared" si="353"/>
        <v>0</v>
      </c>
      <c r="M575" s="731" t="str">
        <f t="shared" si="333"/>
        <v>0.53460316+1.38586188746764i</v>
      </c>
      <c r="N575" s="338">
        <f t="shared" si="354"/>
        <v>1.4854001850738257</v>
      </c>
      <c r="O575" s="339">
        <f t="shared" si="355"/>
        <v>1.2026301097168317</v>
      </c>
      <c r="P575" s="732" t="str">
        <f t="shared" si="347"/>
        <v>-0.0155006720340846-0.0128452874476822i</v>
      </c>
      <c r="Q575" s="337">
        <f t="shared" si="356"/>
        <v>2.0131374595934434E-2</v>
      </c>
      <c r="R575" s="339">
        <f t="shared" si="357"/>
        <v>-2.4495996111988898</v>
      </c>
      <c r="S575" s="731" t="str">
        <f t="shared" si="334"/>
        <v>6000</v>
      </c>
      <c r="T575" s="337" t="str">
        <f t="shared" si="335"/>
        <v>1+649387.936008524i</v>
      </c>
      <c r="U575" s="346">
        <f t="shared" si="358"/>
        <v>649387.936009294</v>
      </c>
      <c r="V575" s="347">
        <f t="shared" si="359"/>
        <v>1.5707947868833205</v>
      </c>
      <c r="W575" s="340" t="str">
        <f t="shared" si="336"/>
        <v>1+6429.58352483687i</v>
      </c>
      <c r="X575" s="337">
        <f t="shared" si="360"/>
        <v>6429.5836026024035</v>
      </c>
      <c r="Y575" s="339">
        <f t="shared" si="361"/>
        <v>1.5706407957269708</v>
      </c>
      <c r="Z575" s="337" t="str">
        <f t="shared" si="337"/>
        <v>1+64.768127556061i</v>
      </c>
      <c r="AA575" s="346">
        <f t="shared" si="362"/>
        <v>64.775846942500024</v>
      </c>
      <c r="AB575" s="347">
        <f t="shared" si="363"/>
        <v>1.5553578605658775</v>
      </c>
      <c r="AC575" s="732" t="str">
        <f t="shared" si="364"/>
        <v>0.014016849166903-0.916993064336652i</v>
      </c>
      <c r="AD575" s="337">
        <f t="shared" si="365"/>
        <v>0.91710018651295167</v>
      </c>
      <c r="AE575" s="339">
        <f t="shared" si="366"/>
        <v>-1.5555118517222275</v>
      </c>
      <c r="AF575" s="736" t="str">
        <f t="shared" si="338"/>
        <v>-0.0119963100808226+0.014033958291153i</v>
      </c>
      <c r="AG575" s="337">
        <f t="shared" si="367"/>
        <v>-34.674195762968402</v>
      </c>
      <c r="AH575" s="730">
        <f t="shared" si="368"/>
        <v>130.52401669515302</v>
      </c>
      <c r="AI575" s="360">
        <f t="shared" si="339"/>
        <v>-49.475983304846977</v>
      </c>
      <c r="AL575" s="337">
        <f t="shared" si="340"/>
        <v>-0.75166436461376152</v>
      </c>
      <c r="AM575" s="730">
        <f t="shared" si="341"/>
        <v>-89.124264086263153</v>
      </c>
      <c r="AN575" s="351"/>
      <c r="AO575" s="337">
        <f t="shared" si="342"/>
        <v>19.606591086687505</v>
      </c>
      <c r="AP575" s="730">
        <f t="shared" si="343"/>
        <v>-140.35171921858378</v>
      </c>
      <c r="AS575" s="351"/>
      <c r="AT575" s="351"/>
      <c r="AV575" s="405">
        <f t="shared" si="344"/>
        <v>0</v>
      </c>
      <c r="AW575" s="405">
        <f t="shared" si="369"/>
        <v>0</v>
      </c>
      <c r="AX575" s="405">
        <f t="shared" si="345"/>
        <v>0</v>
      </c>
      <c r="AY575" s="405">
        <f t="shared" si="346"/>
        <v>0</v>
      </c>
    </row>
    <row r="576" spans="2:51" ht="13.5" thickBot="1" x14ac:dyDescent="0.25">
      <c r="B576" s="345">
        <v>103520</v>
      </c>
      <c r="C576" s="728" t="str">
        <f t="shared" si="329"/>
        <v>2.2271548443541</v>
      </c>
      <c r="D576" s="728" t="str">
        <f t="shared" si="330"/>
        <v>1+79.1363000649064i</v>
      </c>
      <c r="E576" s="337">
        <f t="shared" si="348"/>
        <v>79.142618025706625</v>
      </c>
      <c r="F576" s="338">
        <f t="shared" si="349"/>
        <v>1.5581605733181982</v>
      </c>
      <c r="G576" s="338" t="str">
        <f t="shared" si="331"/>
        <v>1+0.325217671499616i</v>
      </c>
      <c r="H576" s="337">
        <f t="shared" si="350"/>
        <v>1.0515543418462177</v>
      </c>
      <c r="I576" s="338">
        <f t="shared" si="351"/>
        <v>0.31442876291250743</v>
      </c>
      <c r="J576" s="340">
        <f t="shared" si="332"/>
        <v>1</v>
      </c>
      <c r="K576" s="338">
        <f t="shared" si="352"/>
        <v>1</v>
      </c>
      <c r="L576" s="339">
        <f t="shared" si="353"/>
        <v>0</v>
      </c>
      <c r="M576" s="731" t="str">
        <f t="shared" si="333"/>
        <v>0.523715982222222+1.40197813535278i</v>
      </c>
      <c r="N576" s="338">
        <f t="shared" si="354"/>
        <v>1.4966031945850726</v>
      </c>
      <c r="O576" s="339">
        <f t="shared" si="355"/>
        <v>1.2132930823306738</v>
      </c>
      <c r="P576" s="732" t="str">
        <f t="shared" si="347"/>
        <v>-0.0153177286346143-0.0125030072861555i</v>
      </c>
      <c r="Q576" s="337">
        <f t="shared" si="356"/>
        <v>1.9772657932643763E-2</v>
      </c>
      <c r="R576" s="339">
        <f t="shared" si="357"/>
        <v>-2.4570248927363632</v>
      </c>
      <c r="S576" s="731" t="str">
        <f t="shared" si="334"/>
        <v>6000</v>
      </c>
      <c r="T576" s="337" t="str">
        <f t="shared" si="335"/>
        <v>1+656939.696429223i</v>
      </c>
      <c r="U576" s="346">
        <f t="shared" si="358"/>
        <v>656939.69642998418</v>
      </c>
      <c r="V576" s="347">
        <f t="shared" si="359"/>
        <v>1.5707948045851634</v>
      </c>
      <c r="W576" s="340" t="str">
        <f t="shared" si="336"/>
        <v>1+6504.35342999231i</v>
      </c>
      <c r="X576" s="337">
        <f t="shared" si="360"/>
        <v>6504.3535068639012</v>
      </c>
      <c r="Y576" s="339">
        <f t="shared" si="361"/>
        <v>1.5706425836130593</v>
      </c>
      <c r="Z576" s="337" t="str">
        <f t="shared" si="337"/>
        <v>1+65.5213189153077i</v>
      </c>
      <c r="AA576" s="346">
        <f t="shared" si="362"/>
        <v>65.528949574989056</v>
      </c>
      <c r="AB576" s="347">
        <f t="shared" si="363"/>
        <v>1.5555353036286139</v>
      </c>
      <c r="AC576" s="732" t="str">
        <f t="shared" si="364"/>
        <v>0.0136965184722161-0.906456784945404i</v>
      </c>
      <c r="AD576" s="337">
        <f t="shared" si="365"/>
        <v>0.90656025590791167</v>
      </c>
      <c r="AE576" s="339">
        <f t="shared" si="366"/>
        <v>-1.5556875246007182</v>
      </c>
      <c r="AF576" s="736" t="str">
        <f t="shared" si="338"/>
        <v>-0.0115432353399539+0.0137136113805456i</v>
      </c>
      <c r="AG576" s="337">
        <f t="shared" si="367"/>
        <v>-34.93076542885926</v>
      </c>
      <c r="AH576" s="730">
        <f t="shared" si="368"/>
        <v>130.08851408684697</v>
      </c>
      <c r="AI576" s="360">
        <f t="shared" si="339"/>
        <v>-49.91148591315303</v>
      </c>
      <c r="AL576" s="337">
        <f t="shared" si="340"/>
        <v>-0.85206649130074708</v>
      </c>
      <c r="AM576" s="730">
        <f t="shared" si="341"/>
        <v>-89.134329400775584</v>
      </c>
      <c r="AN576" s="351"/>
      <c r="AO576" s="337">
        <f t="shared" si="342"/>
        <v>19.450423547483599</v>
      </c>
      <c r="AP576" s="730">
        <f t="shared" si="343"/>
        <v>-140.77715651237745</v>
      </c>
      <c r="AS576" s="351"/>
      <c r="AT576" s="351"/>
      <c r="AV576" s="405">
        <f t="shared" si="344"/>
        <v>0</v>
      </c>
      <c r="AW576" s="405">
        <f t="shared" si="369"/>
        <v>0</v>
      </c>
      <c r="AX576" s="405">
        <f t="shared" si="345"/>
        <v>0</v>
      </c>
      <c r="AY576" s="405">
        <f t="shared" si="346"/>
        <v>0</v>
      </c>
    </row>
    <row r="577" spans="2:51" ht="13.5" thickBot="1" x14ac:dyDescent="0.25">
      <c r="B577" s="345">
        <v>104710</v>
      </c>
      <c r="C577" s="728" t="str">
        <f t="shared" si="329"/>
        <v>2.2271548443541</v>
      </c>
      <c r="D577" s="728" t="str">
        <f t="shared" si="330"/>
        <v>1+80.0460005776308i</v>
      </c>
      <c r="E577" s="337">
        <f t="shared" si="348"/>
        <v>80.052246742200012</v>
      </c>
      <c r="F577" s="338">
        <f t="shared" si="349"/>
        <v>1.5583041601136529</v>
      </c>
      <c r="G577" s="338" t="str">
        <f t="shared" si="331"/>
        <v>1+0.328956166757387i</v>
      </c>
      <c r="H577" s="337">
        <f t="shared" si="350"/>
        <v>1.0527165618758516</v>
      </c>
      <c r="I577" s="338">
        <f t="shared" si="351"/>
        <v>0.3178059450471904</v>
      </c>
      <c r="J577" s="340">
        <f t="shared" si="332"/>
        <v>1</v>
      </c>
      <c r="K577" s="338">
        <f t="shared" si="352"/>
        <v>1</v>
      </c>
      <c r="L577" s="339">
        <f t="shared" si="353"/>
        <v>0</v>
      </c>
      <c r="M577" s="731" t="str">
        <f t="shared" si="333"/>
        <v>0.51270292888889+1.41809438323792i</v>
      </c>
      <c r="N577" s="338">
        <f t="shared" si="354"/>
        <v>1.5079310239736374</v>
      </c>
      <c r="O577" s="339">
        <f t="shared" si="355"/>
        <v>1.223874929755757</v>
      </c>
      <c r="P577" s="732" t="str">
        <f t="shared" si="347"/>
        <v>-0.0151363656194848-0.0121707419062176i</v>
      </c>
      <c r="Q577" s="337">
        <f t="shared" si="356"/>
        <v>1.9422577653712258E-2</v>
      </c>
      <c r="R577" s="339">
        <f t="shared" si="357"/>
        <v>-2.4643731448222193</v>
      </c>
      <c r="S577" s="731" t="str">
        <f t="shared" si="334"/>
        <v>6000</v>
      </c>
      <c r="T577" s="337" t="str">
        <f t="shared" si="335"/>
        <v>1+664491.456849922i</v>
      </c>
      <c r="U577" s="346">
        <f t="shared" si="358"/>
        <v>664491.45685067447</v>
      </c>
      <c r="V577" s="347">
        <f t="shared" si="359"/>
        <v>1.5707948218846532</v>
      </c>
      <c r="W577" s="340" t="str">
        <f t="shared" si="336"/>
        <v>1+6579.12333514774i</v>
      </c>
      <c r="X577" s="337">
        <f t="shared" si="360"/>
        <v>6579.1234111457079</v>
      </c>
      <c r="Y577" s="339">
        <f t="shared" si="361"/>
        <v>1.5706443308614937</v>
      </c>
      <c r="Z577" s="337" t="str">
        <f t="shared" si="337"/>
        <v>1+66.2745102745543i</v>
      </c>
      <c r="AA577" s="346">
        <f t="shared" si="362"/>
        <v>66.282054223839523</v>
      </c>
      <c r="AB577" s="347">
        <f t="shared" si="363"/>
        <v>1.5557087144379909</v>
      </c>
      <c r="AC577" s="732" t="str">
        <f t="shared" si="364"/>
        <v>0.0133870436913006-0.896159825516292i</v>
      </c>
      <c r="AD577" s="337">
        <f t="shared" si="365"/>
        <v>0.89625980932326965</v>
      </c>
      <c r="AE577" s="339">
        <f t="shared" si="366"/>
        <v>-1.5558592054611506</v>
      </c>
      <c r="AF577" s="736" t="str">
        <f t="shared" si="338"/>
        <v>-0.0111095611309553+0.0134016725188542i</v>
      </c>
      <c r="AG577" s="337">
        <f t="shared" si="367"/>
        <v>-35.185184231565586</v>
      </c>
      <c r="AH577" s="730">
        <f t="shared" si="368"/>
        <v>129.65765366680327</v>
      </c>
      <c r="AI577" s="360">
        <f t="shared" si="339"/>
        <v>-50.34234633319673</v>
      </c>
      <c r="AL577" s="337">
        <f t="shared" si="340"/>
        <v>-0.95132156122977884</v>
      </c>
      <c r="AM577" s="730">
        <f t="shared" si="341"/>
        <v>-89.144165989501531</v>
      </c>
      <c r="AN577" s="351"/>
      <c r="AO577" s="337">
        <f t="shared" si="342"/>
        <v>19.295259814706348</v>
      </c>
      <c r="AP577" s="730">
        <f t="shared" si="343"/>
        <v>-141.19818034369513</v>
      </c>
      <c r="AS577" s="351"/>
      <c r="AT577" s="351"/>
      <c r="AV577" s="405">
        <f t="shared" si="344"/>
        <v>0</v>
      </c>
      <c r="AW577" s="405">
        <f t="shared" si="369"/>
        <v>0</v>
      </c>
      <c r="AX577" s="405">
        <f t="shared" si="345"/>
        <v>0</v>
      </c>
      <c r="AY577" s="405">
        <f t="shared" si="346"/>
        <v>0</v>
      </c>
    </row>
    <row r="578" spans="2:51" ht="13.5" thickBot="1" x14ac:dyDescent="0.25">
      <c r="B578" s="345">
        <v>105930</v>
      </c>
      <c r="C578" s="728" t="str">
        <f t="shared" si="329"/>
        <v>2.2271548443541</v>
      </c>
      <c r="D578" s="728" t="str">
        <f t="shared" si="330"/>
        <v>1+80.9786347167266i</v>
      </c>
      <c r="E578" s="337">
        <f t="shared" si="348"/>
        <v>80.9848089494878</v>
      </c>
      <c r="F578" s="338">
        <f t="shared" si="349"/>
        <v>1.5584480181814861</v>
      </c>
      <c r="G578" s="338" t="str">
        <f t="shared" si="331"/>
        <v>1+0.332788909794767i</v>
      </c>
      <c r="H578" s="337">
        <f t="shared" si="350"/>
        <v>1.0539205181048472</v>
      </c>
      <c r="I578" s="338">
        <f t="shared" si="351"/>
        <v>0.32126049321090366</v>
      </c>
      <c r="J578" s="340">
        <f t="shared" si="332"/>
        <v>1</v>
      </c>
      <c r="K578" s="338">
        <f t="shared" si="352"/>
        <v>1</v>
      </c>
      <c r="L578" s="339">
        <f t="shared" si="353"/>
        <v>0</v>
      </c>
      <c r="M578" s="731" t="str">
        <f t="shared" si="333"/>
        <v>0.50128156+1.43461692308655i</v>
      </c>
      <c r="N578" s="338">
        <f t="shared" si="354"/>
        <v>1.5196739513469175</v>
      </c>
      <c r="O578" s="339">
        <f t="shared" si="355"/>
        <v>1.2346397242270648</v>
      </c>
      <c r="P578" s="732" t="str">
        <f t="shared" si="347"/>
        <v>-0.0149521020676128-0.0118401569825742i</v>
      </c>
      <c r="Q578" s="337">
        <f t="shared" si="356"/>
        <v>1.9072353646372844E-2</v>
      </c>
      <c r="R578" s="339">
        <f t="shared" si="357"/>
        <v>-2.4718272491976472</v>
      </c>
      <c r="S578" s="731" t="str">
        <f t="shared" si="334"/>
        <v>6000</v>
      </c>
      <c r="T578" s="337" t="str">
        <f t="shared" si="335"/>
        <v>1+672233.597785429i</v>
      </c>
      <c r="U578" s="346">
        <f t="shared" si="358"/>
        <v>672233.59778617276</v>
      </c>
      <c r="V578" s="347">
        <f t="shared" si="359"/>
        <v>1.5707948392167641</v>
      </c>
      <c r="W578" s="340" t="str">
        <f t="shared" si="336"/>
        <v>1+6655.77819589534i</v>
      </c>
      <c r="X578" s="337">
        <f t="shared" si="360"/>
        <v>6655.7782710180354</v>
      </c>
      <c r="Y578" s="339">
        <f t="shared" si="361"/>
        <v>1.5706460814046443</v>
      </c>
      <c r="Z578" s="337" t="str">
        <f t="shared" si="337"/>
        <v>1+67.0466896512611i</v>
      </c>
      <c r="AA578" s="346">
        <f t="shared" si="362"/>
        <v>67.054146726302633</v>
      </c>
      <c r="AB578" s="347">
        <f t="shared" si="363"/>
        <v>1.5558824531511326</v>
      </c>
      <c r="AC578" s="732" t="str">
        <f t="shared" si="364"/>
        <v>0.0130805293408852-0.88584328900938i</v>
      </c>
      <c r="AD578" s="337">
        <f t="shared" si="365"/>
        <v>0.88593985852923096</v>
      </c>
      <c r="AE578" s="339">
        <f t="shared" si="366"/>
        <v>-1.5560312109632524</v>
      </c>
      <c r="AF578" s="736" t="str">
        <f t="shared" si="338"/>
        <v>-0.0106841050136342+0.0130903437523668i</v>
      </c>
      <c r="AG578" s="337">
        <f t="shared" si="367"/>
        <v>-35.443829358853463</v>
      </c>
      <c r="AH578" s="730">
        <f t="shared" si="368"/>
        <v>129.22070975671781</v>
      </c>
      <c r="AI578" s="360">
        <f t="shared" si="339"/>
        <v>-50.77929024328219</v>
      </c>
      <c r="AL578" s="337">
        <f t="shared" si="340"/>
        <v>-1.0519151784081526</v>
      </c>
      <c r="AM578" s="730">
        <f t="shared" si="341"/>
        <v>-89.154021178824991</v>
      </c>
      <c r="AN578" s="351"/>
      <c r="AO578" s="337">
        <f t="shared" si="342"/>
        <v>19.137208304596843</v>
      </c>
      <c r="AP578" s="730">
        <f t="shared" si="343"/>
        <v>-141.6252690644572</v>
      </c>
      <c r="AS578" s="351"/>
      <c r="AT578" s="351"/>
      <c r="AV578" s="405">
        <f t="shared" si="344"/>
        <v>0</v>
      </c>
      <c r="AW578" s="405">
        <f t="shared" si="369"/>
        <v>0</v>
      </c>
      <c r="AX578" s="405">
        <f t="shared" si="345"/>
        <v>0</v>
      </c>
      <c r="AY578" s="405">
        <f t="shared" si="346"/>
        <v>0</v>
      </c>
    </row>
    <row r="579" spans="2:51" ht="13.5" thickBot="1" x14ac:dyDescent="0.25">
      <c r="B579" s="345">
        <v>107150</v>
      </c>
      <c r="C579" s="728" t="str">
        <f t="shared" si="329"/>
        <v>2.2271548443541</v>
      </c>
      <c r="D579" s="728" t="str">
        <f t="shared" si="330"/>
        <v>1+81.9112688558223i</v>
      </c>
      <c r="E579" s="337">
        <f t="shared" si="348"/>
        <v>81.917372794608127</v>
      </c>
      <c r="F579" s="338">
        <f t="shared" si="349"/>
        <v>1.5585886008338268</v>
      </c>
      <c r="G579" s="338" t="str">
        <f t="shared" si="331"/>
        <v>1+0.336621652832147i</v>
      </c>
      <c r="H579" s="337">
        <f t="shared" si="350"/>
        <v>1.0551370229289874</v>
      </c>
      <c r="I579" s="338">
        <f t="shared" si="351"/>
        <v>0.32470711668592461</v>
      </c>
      <c r="J579" s="340">
        <f t="shared" si="332"/>
        <v>1</v>
      </c>
      <c r="K579" s="338">
        <f t="shared" si="352"/>
        <v>1</v>
      </c>
      <c r="L579" s="339">
        <f t="shared" si="353"/>
        <v>0</v>
      </c>
      <c r="M579" s="731" t="str">
        <f t="shared" si="333"/>
        <v>0.489727888888888+1.45113946293519i</v>
      </c>
      <c r="N579" s="338">
        <f t="shared" si="354"/>
        <v>1.5315479574742015</v>
      </c>
      <c r="O579" s="339">
        <f t="shared" si="355"/>
        <v>1.2453200703014924</v>
      </c>
      <c r="P579" s="732" t="str">
        <f t="shared" si="347"/>
        <v>-0.0147695596892921-0.0115194205180088i</v>
      </c>
      <c r="Q579" s="337">
        <f t="shared" si="356"/>
        <v>1.8730641806576846E-2</v>
      </c>
      <c r="R579" s="339">
        <f t="shared" si="357"/>
        <v>-2.4792015544493946</v>
      </c>
      <c r="S579" s="731" t="str">
        <f t="shared" si="334"/>
        <v>6000</v>
      </c>
      <c r="T579" s="337" t="str">
        <f t="shared" si="335"/>
        <v>1+679975.738720936i</v>
      </c>
      <c r="U579" s="346">
        <f t="shared" si="358"/>
        <v>679975.73872167128</v>
      </c>
      <c r="V579" s="347">
        <f t="shared" si="359"/>
        <v>1.5707948561541913</v>
      </c>
      <c r="W579" s="340" t="str">
        <f t="shared" si="336"/>
        <v>1+6732.43305664293i</v>
      </c>
      <c r="X579" s="337">
        <f t="shared" si="360"/>
        <v>6732.4331309102845</v>
      </c>
      <c r="Y579" s="339">
        <f t="shared" si="361"/>
        <v>1.5706477920847506</v>
      </c>
      <c r="Z579" s="337" t="str">
        <f t="shared" si="337"/>
        <v>1+67.8188690279678i</v>
      </c>
      <c r="AA579" s="346">
        <f t="shared" si="362"/>
        <v>67.826241206723608</v>
      </c>
      <c r="AB579" s="347">
        <f t="shared" si="363"/>
        <v>1.5560522363883833</v>
      </c>
      <c r="AC579" s="732" t="str">
        <f t="shared" si="364"/>
        <v>0.0127844220686788-0.875761525311576i</v>
      </c>
      <c r="AD579" s="337">
        <f t="shared" si="365"/>
        <v>0.8758548342412048</v>
      </c>
      <c r="AE579" s="339">
        <f t="shared" si="366"/>
        <v>-1.5561993004578241</v>
      </c>
      <c r="AF579" s="736" t="str">
        <f t="shared" si="338"/>
        <v>-0.0102770855683933+0.012787342987786i</v>
      </c>
      <c r="AG579" s="337">
        <f t="shared" si="367"/>
        <v>-35.700304197213882</v>
      </c>
      <c r="AH579" s="730">
        <f t="shared" si="368"/>
        <v>128.78856237033204</v>
      </c>
      <c r="AI579" s="360">
        <f t="shared" si="339"/>
        <v>-51.211437629667955</v>
      </c>
      <c r="AL579" s="337">
        <f t="shared" si="340"/>
        <v>-1.1513573723527128</v>
      </c>
      <c r="AM579" s="730">
        <f t="shared" si="341"/>
        <v>-89.163651997444433</v>
      </c>
      <c r="AN579" s="351"/>
      <c r="AO579" s="337">
        <f t="shared" si="342"/>
        <v>18.980175660180961</v>
      </c>
      <c r="AP579" s="730">
        <f t="shared" si="343"/>
        <v>-142.04778563222345</v>
      </c>
      <c r="AS579" s="351"/>
      <c r="AT579" s="351"/>
      <c r="AV579" s="405">
        <f t="shared" si="344"/>
        <v>0</v>
      </c>
      <c r="AW579" s="405">
        <f t="shared" si="369"/>
        <v>0</v>
      </c>
      <c r="AX579" s="405">
        <f t="shared" si="345"/>
        <v>0</v>
      </c>
      <c r="AY579" s="405">
        <f t="shared" si="346"/>
        <v>0</v>
      </c>
    </row>
    <row r="580" spans="2:51" ht="13.5" thickBot="1" x14ac:dyDescent="0.25">
      <c r="B580" s="345">
        <v>108400</v>
      </c>
      <c r="C580" s="728" t="str">
        <f t="shared" si="329"/>
        <v>2.2271548443541</v>
      </c>
      <c r="D580" s="728" t="str">
        <f t="shared" si="330"/>
        <v>1+82.8668366212892i</v>
      </c>
      <c r="E580" s="337">
        <f t="shared" si="348"/>
        <v>82.872870178481435</v>
      </c>
      <c r="F580" s="338">
        <f t="shared" si="349"/>
        <v>1.5587293588368925</v>
      </c>
      <c r="G580" s="338" t="str">
        <f t="shared" si="331"/>
        <v>1+0.340548643649134i</v>
      </c>
      <c r="H580" s="337">
        <f t="shared" si="350"/>
        <v>1.0563964117182834</v>
      </c>
      <c r="I580" s="338">
        <f t="shared" si="351"/>
        <v>0.32823021696509236</v>
      </c>
      <c r="J580" s="340">
        <f t="shared" si="332"/>
        <v>1</v>
      </c>
      <c r="K580" s="338">
        <f t="shared" si="352"/>
        <v>1</v>
      </c>
      <c r="L580" s="339">
        <f t="shared" si="353"/>
        <v>0</v>
      </c>
      <c r="M580" s="731" t="str">
        <f t="shared" si="333"/>
        <v>0.477752888888889+1.46806829474731i</v>
      </c>
      <c r="N580" s="338">
        <f t="shared" si="354"/>
        <v>1.5438498440210933</v>
      </c>
      <c r="O580" s="339">
        <f t="shared" si="355"/>
        <v>1.2561759115354687</v>
      </c>
      <c r="P580" s="732" t="str">
        <f t="shared" si="347"/>
        <v>-0.0145843410622165-0.0112006734961564i</v>
      </c>
      <c r="Q580" s="337">
        <f t="shared" si="356"/>
        <v>1.8389075316245642E-2</v>
      </c>
      <c r="R580" s="339">
        <f t="shared" si="357"/>
        <v>-2.4866750534072701</v>
      </c>
      <c r="S580" s="731" t="str">
        <f t="shared" si="334"/>
        <v>6000</v>
      </c>
      <c r="T580" s="337" t="str">
        <f t="shared" si="335"/>
        <v>1+687908.26017125i</v>
      </c>
      <c r="U580" s="346">
        <f t="shared" si="358"/>
        <v>687908.26017197676</v>
      </c>
      <c r="V580" s="347">
        <f t="shared" si="359"/>
        <v>1.5707948731126866</v>
      </c>
      <c r="W580" s="340" t="str">
        <f t="shared" si="336"/>
        <v>1+6810.97287298267i</v>
      </c>
      <c r="X580" s="337">
        <f t="shared" si="360"/>
        <v>6810.972946393621</v>
      </c>
      <c r="Y580" s="339">
        <f t="shared" si="361"/>
        <v>1.5706495048927303</v>
      </c>
      <c r="Z580" s="337" t="str">
        <f t="shared" si="337"/>
        <v>1+68.6100364221344i</v>
      </c>
      <c r="AA580" s="346">
        <f t="shared" si="362"/>
        <v>68.617323598684678</v>
      </c>
      <c r="AB580" s="347">
        <f t="shared" si="363"/>
        <v>1.556222231666468</v>
      </c>
      <c r="AC580" s="732" t="str">
        <f t="shared" si="364"/>
        <v>0.0124913406218872-0.865667070930606i</v>
      </c>
      <c r="AD580" s="337">
        <f t="shared" si="365"/>
        <v>0.86575718956535774</v>
      </c>
      <c r="AE580" s="339">
        <f t="shared" si="366"/>
        <v>-1.5563675998864241</v>
      </c>
      <c r="AF580" s="736" t="str">
        <f t="shared" si="338"/>
        <v>-0.0098782321898217+0.0124852723809469i</v>
      </c>
      <c r="AG580" s="337">
        <f t="shared" si="367"/>
        <v>-35.960880033526543</v>
      </c>
      <c r="AH580" s="730">
        <f t="shared" si="368"/>
        <v>128.35071957489711</v>
      </c>
      <c r="AI580" s="360">
        <f t="shared" si="339"/>
        <v>-51.649280425102887</v>
      </c>
      <c r="AL580" s="337">
        <f t="shared" si="340"/>
        <v>-1.2520778644560289</v>
      </c>
      <c r="AM580" s="730">
        <f t="shared" si="341"/>
        <v>-89.173294844397688</v>
      </c>
      <c r="AN580" s="351"/>
      <c r="AO580" s="337">
        <f t="shared" si="342"/>
        <v>18.820320315971617</v>
      </c>
      <c r="AP580" s="730">
        <f t="shared" si="343"/>
        <v>-142.47598558070518</v>
      </c>
      <c r="AS580" s="351"/>
      <c r="AT580" s="351"/>
      <c r="AV580" s="405">
        <f t="shared" si="344"/>
        <v>0</v>
      </c>
      <c r="AW580" s="405">
        <f t="shared" si="369"/>
        <v>0</v>
      </c>
      <c r="AX580" s="405">
        <f t="shared" si="345"/>
        <v>0</v>
      </c>
      <c r="AY580" s="405">
        <f t="shared" si="346"/>
        <v>0</v>
      </c>
    </row>
    <row r="581" spans="2:51" ht="13.5" thickBot="1" x14ac:dyDescent="0.25">
      <c r="B581" s="345">
        <v>109650</v>
      </c>
      <c r="C581" s="728" t="str">
        <f t="shared" si="329"/>
        <v>2.2271548443541</v>
      </c>
      <c r="D581" s="728" t="str">
        <f t="shared" si="330"/>
        <v>1+83.8224043867561i</v>
      </c>
      <c r="E581" s="337">
        <f t="shared" si="348"/>
        <v>83.828369166868967</v>
      </c>
      <c r="F581" s="338">
        <f t="shared" si="349"/>
        <v>1.55886690804516</v>
      </c>
      <c r="G581" s="338" t="str">
        <f t="shared" si="331"/>
        <v>1+0.344475634466121i</v>
      </c>
      <c r="H581" s="337">
        <f t="shared" si="350"/>
        <v>1.0576688814278485</v>
      </c>
      <c r="I581" s="338">
        <f t="shared" si="351"/>
        <v>0.33174488357630011</v>
      </c>
      <c r="J581" s="340">
        <f t="shared" si="332"/>
        <v>1</v>
      </c>
      <c r="K581" s="338">
        <f t="shared" si="352"/>
        <v>1</v>
      </c>
      <c r="L581" s="339">
        <f t="shared" si="353"/>
        <v>0</v>
      </c>
      <c r="M581" s="731" t="str">
        <f t="shared" si="333"/>
        <v>0.465639+1.48499712655943i</v>
      </c>
      <c r="N581" s="338">
        <f t="shared" si="354"/>
        <v>1.5562892225453351</v>
      </c>
      <c r="O581" s="339">
        <f t="shared" si="355"/>
        <v>1.2669440322025622</v>
      </c>
      <c r="P581" s="732" t="str">
        <f t="shared" si="347"/>
        <v>-0.0144009819019508-0.010891590876153i</v>
      </c>
      <c r="Q581" s="337">
        <f t="shared" si="356"/>
        <v>1.8055886340853328E-2</v>
      </c>
      <c r="R581" s="339">
        <f t="shared" si="357"/>
        <v>-2.4940660566714188</v>
      </c>
      <c r="S581" s="731" t="str">
        <f t="shared" si="334"/>
        <v>6000</v>
      </c>
      <c r="T581" s="337" t="str">
        <f t="shared" si="335"/>
        <v>1+695840.781621564i</v>
      </c>
      <c r="U581" s="346">
        <f t="shared" si="358"/>
        <v>695840.78162228246</v>
      </c>
      <c r="V581" s="347">
        <f t="shared" si="359"/>
        <v>1.5707948896845312</v>
      </c>
      <c r="W581" s="340" t="str">
        <f t="shared" si="336"/>
        <v>1+6889.51268932242i</v>
      </c>
      <c r="X581" s="337">
        <f t="shared" si="360"/>
        <v>6889.5127618964916</v>
      </c>
      <c r="Y581" s="339">
        <f t="shared" si="361"/>
        <v>1.5706511786490014</v>
      </c>
      <c r="Z581" s="337" t="str">
        <f t="shared" si="337"/>
        <v>1+69.4012038163011i</v>
      </c>
      <c r="AA581" s="346">
        <f t="shared" si="362"/>
        <v>69.408407928375411</v>
      </c>
      <c r="AB581" s="347">
        <f t="shared" si="363"/>
        <v>1.5563883518971</v>
      </c>
      <c r="AC581" s="732" t="str">
        <f t="shared" si="364"/>
        <v>0.0122082224632647-0.855802624707708i</v>
      </c>
      <c r="AD581" s="337">
        <f t="shared" si="365"/>
        <v>0.85588969683734051</v>
      </c>
      <c r="AE581" s="339">
        <f t="shared" si="366"/>
        <v>-1.5565320629326298</v>
      </c>
      <c r="AF581" s="736" t="str">
        <f t="shared" si="338"/>
        <v>-0.00949686244980273+0.0121914311456628i</v>
      </c>
      <c r="AG581" s="337">
        <f t="shared" si="367"/>
        <v>-36.219267787025146</v>
      </c>
      <c r="AH581" s="730">
        <f t="shared" si="368"/>
        <v>127.91782324306048</v>
      </c>
      <c r="AI581" s="360">
        <f t="shared" si="339"/>
        <v>-52.082176756939518</v>
      </c>
      <c r="AL581" s="337">
        <f t="shared" si="340"/>
        <v>-1.3516440321946694</v>
      </c>
      <c r="AM581" s="730">
        <f t="shared" si="341"/>
        <v>-89.182717882831142</v>
      </c>
      <c r="AN581" s="351"/>
      <c r="AO581" s="337">
        <f t="shared" si="342"/>
        <v>18.66149873021164</v>
      </c>
      <c r="AP581" s="730">
        <f t="shared" si="343"/>
        <v>-142.89945887410829</v>
      </c>
      <c r="AS581" s="351"/>
      <c r="AT581" s="351"/>
      <c r="AV581" s="405">
        <f t="shared" si="344"/>
        <v>0</v>
      </c>
      <c r="AW581" s="405">
        <f t="shared" si="369"/>
        <v>0</v>
      </c>
      <c r="AX581" s="405">
        <f t="shared" si="345"/>
        <v>0</v>
      </c>
      <c r="AY581" s="405">
        <f t="shared" si="346"/>
        <v>0</v>
      </c>
    </row>
    <row r="582" spans="2:51" ht="13.5" thickBot="1" x14ac:dyDescent="0.25">
      <c r="B582" s="345">
        <v>110925</v>
      </c>
      <c r="C582" s="728" t="str">
        <f t="shared" si="329"/>
        <v>2.2271548443541</v>
      </c>
      <c r="D582" s="728" t="str">
        <f t="shared" si="330"/>
        <v>1+84.7970835075323i</v>
      </c>
      <c r="E582" s="337">
        <f t="shared" si="348"/>
        <v>84.802979731748863</v>
      </c>
      <c r="F582" s="338">
        <f t="shared" si="349"/>
        <v>1.559004015015576</v>
      </c>
      <c r="G582" s="338" t="str">
        <f t="shared" si="331"/>
        <v>1+0.348481165099448i</v>
      </c>
      <c r="H582" s="337">
        <f t="shared" si="350"/>
        <v>1.0589802275911806</v>
      </c>
      <c r="I582" s="338">
        <f t="shared" si="351"/>
        <v>0.33532109680218236</v>
      </c>
      <c r="J582" s="340">
        <f t="shared" si="332"/>
        <v>1</v>
      </c>
      <c r="K582" s="338">
        <f t="shared" si="352"/>
        <v>1</v>
      </c>
      <c r="L582" s="339">
        <f t="shared" si="353"/>
        <v>0</v>
      </c>
      <c r="M582" s="731" t="str">
        <f t="shared" si="333"/>
        <v>0.453139749999999+1.5022645350078i</v>
      </c>
      <c r="N582" s="338">
        <f t="shared" si="354"/>
        <v>1.5691189776980787</v>
      </c>
      <c r="O582" s="339">
        <f t="shared" si="355"/>
        <v>1.2778376534587754</v>
      </c>
      <c r="P582" s="732" t="str">
        <f t="shared" si="347"/>
        <v>-0.0142158943304044-0.0105859491382442i</v>
      </c>
      <c r="Q582" s="337">
        <f t="shared" si="356"/>
        <v>1.7724389150848528E-2</v>
      </c>
      <c r="R582" s="339">
        <f t="shared" si="357"/>
        <v>-2.5015205716721707</v>
      </c>
      <c r="S582" s="731" t="str">
        <f t="shared" si="334"/>
        <v>6000</v>
      </c>
      <c r="T582" s="337" t="str">
        <f t="shared" si="335"/>
        <v>1+703931.953500885i</v>
      </c>
      <c r="U582" s="346">
        <f t="shared" si="358"/>
        <v>703931.9535015953</v>
      </c>
      <c r="V582" s="347">
        <f t="shared" si="359"/>
        <v>1.5707949062030411</v>
      </c>
      <c r="W582" s="340" t="str">
        <f t="shared" si="336"/>
        <v>1+6969.62330198896i</v>
      </c>
      <c r="X582" s="337">
        <f t="shared" si="360"/>
        <v>6969.6233737288476</v>
      </c>
      <c r="Y582" s="339">
        <f t="shared" si="361"/>
        <v>1.5706528470184713</v>
      </c>
      <c r="Z582" s="337" t="str">
        <f t="shared" si="337"/>
        <v>1+70.2081945583512i</v>
      </c>
      <c r="AA582" s="346">
        <f t="shared" si="362"/>
        <v>70.215315872986665</v>
      </c>
      <c r="AB582" s="347">
        <f t="shared" si="363"/>
        <v>1.5565539382793459</v>
      </c>
      <c r="AC582" s="732" t="str">
        <f t="shared" si="364"/>
        <v>0.0119292431924219-0.845969786525304i</v>
      </c>
      <c r="AD582" s="337">
        <f t="shared" si="365"/>
        <v>0.84605389104761652</v>
      </c>
      <c r="AE582" s="339">
        <f t="shared" si="366"/>
        <v>-1.5566959974639156</v>
      </c>
      <c r="AF582" s="736" t="str">
        <f t="shared" si="338"/>
        <v>-0.00912497799331334+0.0118999347302658i</v>
      </c>
      <c r="AG582" s="337">
        <f t="shared" si="367"/>
        <v>-36.480613923153022</v>
      </c>
      <c r="AH582" s="730">
        <f t="shared" si="368"/>
        <v>127.48131823844133</v>
      </c>
      <c r="AI582" s="360">
        <f t="shared" si="339"/>
        <v>-52.518681761558668</v>
      </c>
      <c r="AL582" s="337">
        <f t="shared" si="340"/>
        <v>-1.4520394569692276</v>
      </c>
      <c r="AM582" s="730">
        <f t="shared" si="341"/>
        <v>-89.192110639590268</v>
      </c>
      <c r="AN582" s="351"/>
      <c r="AO582" s="337">
        <f t="shared" si="342"/>
        <v>18.500548018858325</v>
      </c>
      <c r="AP582" s="730">
        <f t="shared" si="343"/>
        <v>-143.3265711219683</v>
      </c>
      <c r="AS582" s="351"/>
      <c r="AT582" s="351"/>
      <c r="AV582" s="405">
        <f t="shared" si="344"/>
        <v>0</v>
      </c>
      <c r="AW582" s="405">
        <f t="shared" si="369"/>
        <v>0</v>
      </c>
      <c r="AX582" s="405">
        <f t="shared" si="345"/>
        <v>0</v>
      </c>
      <c r="AY582" s="405">
        <f t="shared" si="346"/>
        <v>0</v>
      </c>
    </row>
    <row r="583" spans="2:51" ht="13.5" thickBot="1" x14ac:dyDescent="0.25">
      <c r="B583" s="345">
        <v>112200</v>
      </c>
      <c r="C583" s="728" t="str">
        <f t="shared" si="329"/>
        <v>2.2271548443541</v>
      </c>
      <c r="D583" s="728" t="str">
        <f t="shared" si="330"/>
        <v>1+85.7717626283086i</v>
      </c>
      <c r="E583" s="337">
        <f t="shared" si="348"/>
        <v>85.777591854556718</v>
      </c>
      <c r="F583" s="338">
        <f t="shared" si="349"/>
        <v>1.5591380063468929</v>
      </c>
      <c r="G583" s="338" t="str">
        <f t="shared" si="331"/>
        <v>1+0.352486695732775i</v>
      </c>
      <c r="H583" s="337">
        <f t="shared" si="350"/>
        <v>1.0603050837700487</v>
      </c>
      <c r="I583" s="338">
        <f t="shared" si="351"/>
        <v>0.33888841856666552</v>
      </c>
      <c r="J583" s="340">
        <f t="shared" si="332"/>
        <v>1</v>
      </c>
      <c r="K583" s="338">
        <f t="shared" si="352"/>
        <v>1</v>
      </c>
      <c r="L583" s="339">
        <f t="shared" si="353"/>
        <v>0</v>
      </c>
      <c r="M583" s="731" t="str">
        <f t="shared" si="333"/>
        <v>0.440495999999999+1.51953194345616i</v>
      </c>
      <c r="N583" s="338">
        <f t="shared" si="354"/>
        <v>1.582091670289574</v>
      </c>
      <c r="O583" s="339">
        <f t="shared" si="355"/>
        <v>1.2886410514019684</v>
      </c>
      <c r="P583" s="732" t="str">
        <f t="shared" si="347"/>
        <v>-0.0140327853871921-0.010289698962714i</v>
      </c>
      <c r="Q583" s="337">
        <f t="shared" si="356"/>
        <v>1.7401062337290496E-2</v>
      </c>
      <c r="R583" s="339">
        <f t="shared" si="357"/>
        <v>-2.5088906391821961</v>
      </c>
      <c r="S583" s="731" t="str">
        <f t="shared" si="334"/>
        <v>6000</v>
      </c>
      <c r="T583" s="337" t="str">
        <f t="shared" si="335"/>
        <v>1+712023.125380206i</v>
      </c>
      <c r="U583" s="346">
        <f t="shared" si="358"/>
        <v>712023.12538090837</v>
      </c>
      <c r="V583" s="347">
        <f t="shared" si="359"/>
        <v>1.5707949223461304</v>
      </c>
      <c r="W583" s="340" t="str">
        <f t="shared" si="336"/>
        <v>1+7049.7339146555i</v>
      </c>
      <c r="X583" s="337">
        <f t="shared" si="360"/>
        <v>7049.733985580162</v>
      </c>
      <c r="Y583" s="339">
        <f t="shared" si="361"/>
        <v>1.5706544774704541</v>
      </c>
      <c r="Z583" s="337" t="str">
        <f t="shared" si="337"/>
        <v>1+71.0151853004012i</v>
      </c>
      <c r="AA583" s="346">
        <f t="shared" si="362"/>
        <v>71.022225699074781</v>
      </c>
      <c r="AB583" s="347">
        <f t="shared" si="363"/>
        <v>1.5567157620894394</v>
      </c>
      <c r="AC583" s="732" t="str">
        <f t="shared" si="364"/>
        <v>0.0116597179224608-0.836360288811624i</v>
      </c>
      <c r="AD583" s="337">
        <f t="shared" si="365"/>
        <v>0.83644155906022177</v>
      </c>
      <c r="AE583" s="339">
        <f t="shared" si="366"/>
        <v>-1.5568562069651155</v>
      </c>
      <c r="AF583" s="736" t="str">
        <f t="shared" si="338"/>
        <v>-0.00876951391552124+0.0116164894518512i</v>
      </c>
      <c r="AG583" s="337">
        <f t="shared" si="367"/>
        <v>-36.739772686531083</v>
      </c>
      <c r="AH583" s="730">
        <f t="shared" si="368"/>
        <v>127.04986514713387</v>
      </c>
      <c r="AI583" s="360">
        <f t="shared" si="339"/>
        <v>-52.950134852866128</v>
      </c>
      <c r="AL583" s="337">
        <f t="shared" si="340"/>
        <v>-1.5512879431481488</v>
      </c>
      <c r="AM583" s="730">
        <f t="shared" si="341"/>
        <v>-89.201289967846918</v>
      </c>
      <c r="AN583" s="351"/>
      <c r="AO583" s="337">
        <f t="shared" si="342"/>
        <v>18.340637741659222</v>
      </c>
      <c r="AP583" s="730">
        <f t="shared" si="343"/>
        <v>-143.74884488501931</v>
      </c>
      <c r="AS583" s="351"/>
      <c r="AT583" s="351"/>
      <c r="AV583" s="405">
        <f t="shared" si="344"/>
        <v>0</v>
      </c>
      <c r="AW583" s="405">
        <f t="shared" si="369"/>
        <v>0</v>
      </c>
      <c r="AX583" s="405">
        <f t="shared" si="345"/>
        <v>0</v>
      </c>
      <c r="AY583" s="405">
        <f t="shared" si="346"/>
        <v>0</v>
      </c>
    </row>
    <row r="584" spans="2:51" ht="13.5" thickBot="1" x14ac:dyDescent="0.25">
      <c r="B584" s="345">
        <v>113510</v>
      </c>
      <c r="C584" s="728" t="str">
        <f t="shared" si="329"/>
        <v>2.2271548443541</v>
      </c>
      <c r="D584" s="728" t="str">
        <f t="shared" si="330"/>
        <v>1+86.7731976465179i</v>
      </c>
      <c r="E584" s="337">
        <f t="shared" si="348"/>
        <v>86.778959603129948</v>
      </c>
      <c r="F584" s="338">
        <f t="shared" si="349"/>
        <v>1.5592725411001174</v>
      </c>
      <c r="G584" s="338" t="str">
        <f t="shared" si="331"/>
        <v>1+0.356602182108978i</v>
      </c>
      <c r="H584" s="337">
        <f t="shared" si="350"/>
        <v>1.0616803267862152</v>
      </c>
      <c r="I584" s="338">
        <f t="shared" si="351"/>
        <v>0.34254434562495384</v>
      </c>
      <c r="J584" s="340">
        <f t="shared" si="332"/>
        <v>1</v>
      </c>
      <c r="K584" s="338">
        <f t="shared" si="352"/>
        <v>1</v>
      </c>
      <c r="L584" s="339">
        <f t="shared" si="353"/>
        <v>0</v>
      </c>
      <c r="M584" s="731" t="str">
        <f t="shared" si="333"/>
        <v>0.427354662222222+1.53727335919527i</v>
      </c>
      <c r="N584" s="338">
        <f t="shared" si="354"/>
        <v>1.5955692990950219</v>
      </c>
      <c r="O584" s="339">
        <f t="shared" si="355"/>
        <v>1.2996476116632114</v>
      </c>
      <c r="P584" s="732" t="str">
        <f t="shared" si="347"/>
        <v>-0.0138467297088403-0.00999476635240413i</v>
      </c>
      <c r="Q584" s="337">
        <f t="shared" si="356"/>
        <v>1.7077098057598376E-2</v>
      </c>
      <c r="R584" s="339">
        <f t="shared" si="357"/>
        <v>-2.5163758071383739</v>
      </c>
      <c r="S584" s="731" t="str">
        <f t="shared" si="334"/>
        <v>6000</v>
      </c>
      <c r="T584" s="337" t="str">
        <f t="shared" si="335"/>
        <v>1+720336.407860135i</v>
      </c>
      <c r="U584" s="346">
        <f t="shared" si="358"/>
        <v>720336.40786082915</v>
      </c>
      <c r="V584" s="347">
        <f t="shared" si="359"/>
        <v>1.5707949385546396</v>
      </c>
      <c r="W584" s="340" t="str">
        <f t="shared" si="336"/>
        <v>1+7132.04364217955i</v>
      </c>
      <c r="X584" s="337">
        <f t="shared" si="360"/>
        <v>7132.0437122856829</v>
      </c>
      <c r="Y584" s="339">
        <f t="shared" si="361"/>
        <v>1.5706561145298548</v>
      </c>
      <c r="Z584" s="337" t="str">
        <f t="shared" si="337"/>
        <v>1+71.8443287294878i</v>
      </c>
      <c r="AA584" s="346">
        <f t="shared" si="362"/>
        <v>71.851287884008769</v>
      </c>
      <c r="AB584" s="347">
        <f t="shared" si="363"/>
        <v>1.5568782424335406</v>
      </c>
      <c r="AC584" s="732" t="str">
        <f t="shared" si="364"/>
        <v>0.0113921969947515-0.826711717665972i</v>
      </c>
      <c r="AD584" s="337">
        <f t="shared" si="365"/>
        <v>0.82679020693195748</v>
      </c>
      <c r="AE584" s="339">
        <f t="shared" si="366"/>
        <v>-1.5570170664583254</v>
      </c>
      <c r="AF584" s="736" t="str">
        <f t="shared" si="338"/>
        <v>-0.00842053513144227+0.0113333913544487i</v>
      </c>
      <c r="AG584" s="337">
        <f t="shared" si="367"/>
        <v>-37.003812078499585</v>
      </c>
      <c r="AH584" s="730">
        <f t="shared" si="368"/>
        <v>126.61178004424272</v>
      </c>
      <c r="AI584" s="360">
        <f t="shared" si="339"/>
        <v>-53.388219955757279</v>
      </c>
      <c r="AL584" s="337">
        <f t="shared" si="340"/>
        <v>-1.6520935218964343</v>
      </c>
      <c r="AM584" s="730">
        <f t="shared" si="341"/>
        <v>-89.210506537902461</v>
      </c>
      <c r="AN584" s="351"/>
      <c r="AO584" s="337">
        <f t="shared" si="342"/>
        <v>18.177403928438988</v>
      </c>
      <c r="AP584" s="730">
        <f t="shared" si="343"/>
        <v>-144.17771341785485</v>
      </c>
      <c r="AS584" s="351"/>
      <c r="AT584" s="351"/>
      <c r="AV584" s="405">
        <f t="shared" si="344"/>
        <v>0</v>
      </c>
      <c r="AW584" s="405">
        <f t="shared" si="369"/>
        <v>0</v>
      </c>
      <c r="AX584" s="405">
        <f t="shared" si="345"/>
        <v>0</v>
      </c>
      <c r="AY584" s="405">
        <f t="shared" si="346"/>
        <v>0</v>
      </c>
    </row>
    <row r="585" spans="2:51" ht="13.5" thickBot="1" x14ac:dyDescent="0.25">
      <c r="B585" s="345">
        <v>114820</v>
      </c>
      <c r="C585" s="728" t="str">
        <f t="shared" si="329"/>
        <v>2.2271548443541</v>
      </c>
      <c r="D585" s="728" t="str">
        <f t="shared" si="330"/>
        <v>1+87.7746326647272i</v>
      </c>
      <c r="E585" s="337">
        <f t="shared" si="348"/>
        <v>87.780328886532416</v>
      </c>
      <c r="F585" s="338">
        <f t="shared" si="349"/>
        <v>1.5594040063987458</v>
      </c>
      <c r="G585" s="338" t="str">
        <f t="shared" si="331"/>
        <v>1+0.36071766848518i</v>
      </c>
      <c r="H585" s="337">
        <f t="shared" si="350"/>
        <v>1.0630697231872348</v>
      </c>
      <c r="I585" s="338">
        <f t="shared" si="351"/>
        <v>0.34619076496734391</v>
      </c>
      <c r="J585" s="340">
        <f t="shared" si="332"/>
        <v>1</v>
      </c>
      <c r="K585" s="338">
        <f t="shared" si="352"/>
        <v>1</v>
      </c>
      <c r="L585" s="339">
        <f t="shared" si="353"/>
        <v>0</v>
      </c>
      <c r="M585" s="731" t="str">
        <f t="shared" si="333"/>
        <v>0.414060782222222+1.55501477493437i</v>
      </c>
      <c r="N585" s="338">
        <f t="shared" si="354"/>
        <v>1.6091977136569229</v>
      </c>
      <c r="O585" s="339">
        <f t="shared" si="355"/>
        <v>1.3105601011665486</v>
      </c>
      <c r="P585" s="732" t="str">
        <f t="shared" si="347"/>
        <v>-0.013662798476223-0.0097090852674535i</v>
      </c>
      <c r="Q585" s="337">
        <f t="shared" si="356"/>
        <v>1.6761217107733081E-2</v>
      </c>
      <c r="R585" s="339">
        <f t="shared" si="357"/>
        <v>-2.5237733425979525</v>
      </c>
      <c r="S585" s="731" t="str">
        <f t="shared" si="334"/>
        <v>6000</v>
      </c>
      <c r="T585" s="337" t="str">
        <f t="shared" si="335"/>
        <v>1+728649.690340064i</v>
      </c>
      <c r="U585" s="346">
        <f t="shared" si="358"/>
        <v>728649.69034075015</v>
      </c>
      <c r="V585" s="347">
        <f t="shared" si="359"/>
        <v>1.5707949543932977</v>
      </c>
      <c r="W585" s="340" t="str">
        <f t="shared" si="336"/>
        <v>1+7214.3533697036i</v>
      </c>
      <c r="X585" s="337">
        <f t="shared" si="360"/>
        <v>7214.3534390098803</v>
      </c>
      <c r="Y585" s="339">
        <f t="shared" si="361"/>
        <v>1.5706577142343039</v>
      </c>
      <c r="Z585" s="337" t="str">
        <f t="shared" si="337"/>
        <v>1+72.6734721585745i</v>
      </c>
      <c r="AA585" s="346">
        <f t="shared" si="362"/>
        <v>72.680351922532012</v>
      </c>
      <c r="AB585" s="347">
        <f t="shared" si="363"/>
        <v>1.5570370159584739</v>
      </c>
      <c r="AC585" s="732" t="str">
        <f t="shared" si="364"/>
        <v>0.0111337779891891-0.817283185502118i</v>
      </c>
      <c r="AD585" s="337">
        <f t="shared" si="365"/>
        <v>0.81735901923010679</v>
      </c>
      <c r="AE585" s="339">
        <f t="shared" si="366"/>
        <v>-1.5571742561174677</v>
      </c>
      <c r="AF585" s="736" t="str">
        <f t="shared" si="338"/>
        <v>-0.00808719070064138+0.0110582766616751i</v>
      </c>
      <c r="AG585" s="337">
        <f t="shared" si="367"/>
        <v>-37.265631784462734</v>
      </c>
      <c r="AH585" s="730">
        <f t="shared" si="368"/>
        <v>126.17892617955849</v>
      </c>
      <c r="AI585" s="360">
        <f t="shared" si="339"/>
        <v>-53.821073820441512</v>
      </c>
      <c r="AL585" s="337">
        <f t="shared" si="340"/>
        <v>-1.7517428149546841</v>
      </c>
      <c r="AM585" s="730">
        <f t="shared" si="341"/>
        <v>-89.219512841954412</v>
      </c>
      <c r="AN585" s="351"/>
      <c r="AO585" s="337">
        <f t="shared" si="342"/>
        <v>18.015233515534074</v>
      </c>
      <c r="AP585" s="730">
        <f t="shared" si="343"/>
        <v>-144.60156097848707</v>
      </c>
      <c r="AS585" s="351"/>
      <c r="AT585" s="351"/>
      <c r="AV585" s="405">
        <f t="shared" si="344"/>
        <v>0</v>
      </c>
      <c r="AW585" s="405">
        <f t="shared" si="369"/>
        <v>0</v>
      </c>
      <c r="AX585" s="405">
        <f t="shared" si="345"/>
        <v>0</v>
      </c>
      <c r="AY585" s="405">
        <f t="shared" si="346"/>
        <v>0</v>
      </c>
    </row>
    <row r="586" spans="2:51" ht="13.5" thickBot="1" x14ac:dyDescent="0.25">
      <c r="B586" s="345">
        <v>116155</v>
      </c>
      <c r="C586" s="728" t="str">
        <f t="shared" si="329"/>
        <v>2.2271548443541</v>
      </c>
      <c r="D586" s="728" t="str">
        <f t="shared" si="330"/>
        <v>1+88.7951790382458i</v>
      </c>
      <c r="E586" s="337">
        <f t="shared" si="348"/>
        <v>88.800809796049307</v>
      </c>
      <c r="F586" s="338">
        <f t="shared" si="349"/>
        <v>1.5595349302026993</v>
      </c>
      <c r="G586" s="338" t="str">
        <f t="shared" si="331"/>
        <v>1+0.364911694677722i</v>
      </c>
      <c r="H586" s="337">
        <f t="shared" si="350"/>
        <v>1.0645001385216288</v>
      </c>
      <c r="I586" s="338">
        <f t="shared" si="351"/>
        <v>0.34989692920411281</v>
      </c>
      <c r="J586" s="340">
        <f t="shared" si="332"/>
        <v>1</v>
      </c>
      <c r="K586" s="338">
        <f t="shared" si="352"/>
        <v>1</v>
      </c>
      <c r="L586" s="339">
        <f t="shared" si="353"/>
        <v>0</v>
      </c>
      <c r="M586" s="731" t="str">
        <f t="shared" si="333"/>
        <v>0.400356265555554+1.57309476730972i</v>
      </c>
      <c r="N586" s="338">
        <f t="shared" si="354"/>
        <v>1.623241290229771</v>
      </c>
      <c r="O586" s="339">
        <f t="shared" si="355"/>
        <v>1.3215846969828662</v>
      </c>
      <c r="P586" s="732" t="str">
        <f t="shared" si="347"/>
        <v>-0.0134775571200471-0.00942714255318238i</v>
      </c>
      <c r="Q586" s="337">
        <f t="shared" si="356"/>
        <v>1.6447357314844056E-2</v>
      </c>
      <c r="R586" s="339">
        <f t="shared" si="357"/>
        <v>-2.5312226979814545</v>
      </c>
      <c r="S586" s="731" t="str">
        <f t="shared" si="334"/>
        <v>6000</v>
      </c>
      <c r="T586" s="337" t="str">
        <f t="shared" si="335"/>
        <v>1+737121.623249i</v>
      </c>
      <c r="U586" s="346">
        <f t="shared" si="358"/>
        <v>737121.62324967829</v>
      </c>
      <c r="V586" s="347">
        <f t="shared" si="359"/>
        <v>1.5707949701666708</v>
      </c>
      <c r="W586" s="340" t="str">
        <f t="shared" si="336"/>
        <v>1+7298.23389355445i</v>
      </c>
      <c r="X586" s="337">
        <f t="shared" si="360"/>
        <v>7298.2339620641751</v>
      </c>
      <c r="Y586" s="339">
        <f t="shared" si="361"/>
        <v>1.5706593073449411</v>
      </c>
      <c r="Z586" s="337" t="str">
        <f t="shared" si="337"/>
        <v>1+73.5184389355445i</v>
      </c>
      <c r="AA586" s="346">
        <f t="shared" si="362"/>
        <v>73.525239635919476</v>
      </c>
      <c r="AB586" s="347">
        <f t="shared" si="363"/>
        <v>1.5571951357252205</v>
      </c>
      <c r="AC586" s="732" t="str">
        <f t="shared" si="364"/>
        <v>0.0108793688920568-0.807893395127364i</v>
      </c>
      <c r="AD586" s="337">
        <f t="shared" si="365"/>
        <v>0.80796664445873534</v>
      </c>
      <c r="AE586" s="339">
        <f t="shared" si="366"/>
        <v>-1.5573307985469502</v>
      </c>
      <c r="AF586" s="736" t="str">
        <f t="shared" si="338"/>
        <v>-0.00776275351931292+0.0107858680183038i</v>
      </c>
      <c r="AG586" s="337">
        <f t="shared" si="367"/>
        <v>-37.53020881009089</v>
      </c>
      <c r="AH586" s="730">
        <f t="shared" si="368"/>
        <v>125.74314033546661</v>
      </c>
      <c r="AI586" s="360">
        <f t="shared" si="339"/>
        <v>-54.256859664533394</v>
      </c>
      <c r="AL586" s="337">
        <f t="shared" si="340"/>
        <v>-1.8521313594222795</v>
      </c>
      <c r="AM586" s="730">
        <f t="shared" si="341"/>
        <v>-89.228482062478491</v>
      </c>
      <c r="AN586" s="351"/>
      <c r="AO586" s="337">
        <f t="shared" si="342"/>
        <v>17.851045034373492</v>
      </c>
      <c r="AP586" s="730">
        <f t="shared" si="343"/>
        <v>-145.02837760205477</v>
      </c>
      <c r="AS586" s="351"/>
      <c r="AT586" s="351"/>
      <c r="AV586" s="405">
        <f t="shared" si="344"/>
        <v>0</v>
      </c>
      <c r="AW586" s="405">
        <f t="shared" si="369"/>
        <v>0</v>
      </c>
      <c r="AX586" s="405">
        <f t="shared" si="345"/>
        <v>0</v>
      </c>
      <c r="AY586" s="405">
        <f t="shared" si="346"/>
        <v>0</v>
      </c>
    </row>
    <row r="587" spans="2:51" ht="13.5" thickBot="1" x14ac:dyDescent="0.25">
      <c r="B587" s="345">
        <v>117490</v>
      </c>
      <c r="C587" s="728" t="str">
        <f t="shared" si="329"/>
        <v>2.2271548443541</v>
      </c>
      <c r="D587" s="728" t="str">
        <f t="shared" si="330"/>
        <v>1+89.8157254117645i</v>
      </c>
      <c r="E587" s="337">
        <f t="shared" si="348"/>
        <v>89.821292193117998</v>
      </c>
      <c r="F587" s="338">
        <f t="shared" si="349"/>
        <v>1.5596628790919662</v>
      </c>
      <c r="G587" s="338" t="str">
        <f t="shared" si="331"/>
        <v>1+0.369105720870265i</v>
      </c>
      <c r="H587" s="337">
        <f t="shared" si="350"/>
        <v>1.0659451361018342</v>
      </c>
      <c r="I587" s="338">
        <f t="shared" si="351"/>
        <v>0.35359309592717891</v>
      </c>
      <c r="J587" s="340">
        <f t="shared" si="332"/>
        <v>1</v>
      </c>
      <c r="K587" s="338">
        <f t="shared" si="352"/>
        <v>1</v>
      </c>
      <c r="L587" s="339">
        <f t="shared" si="353"/>
        <v>0</v>
      </c>
      <c r="M587" s="731" t="str">
        <f t="shared" si="333"/>
        <v>0.386493328888888+1.59117475968507i</v>
      </c>
      <c r="N587" s="338">
        <f t="shared" si="354"/>
        <v>1.6374413605178217</v>
      </c>
      <c r="O587" s="339">
        <f t="shared" si="355"/>
        <v>1.3325128911575024</v>
      </c>
      <c r="P587" s="732" t="str">
        <f t="shared" si="347"/>
        <v>-0.0132945483767383-0.0091541569718864i</v>
      </c>
      <c r="Q587" s="337">
        <f t="shared" si="356"/>
        <v>1.6141363214034039E-2</v>
      </c>
      <c r="R587" s="339">
        <f t="shared" si="357"/>
        <v>-2.5385826743222899</v>
      </c>
      <c r="S587" s="731" t="str">
        <f t="shared" si="334"/>
        <v>6000</v>
      </c>
      <c r="T587" s="337" t="str">
        <f t="shared" si="335"/>
        <v>1+745593.556157935i</v>
      </c>
      <c r="U587" s="346">
        <f t="shared" si="358"/>
        <v>745593.5561586055</v>
      </c>
      <c r="V587" s="347">
        <f t="shared" si="359"/>
        <v>1.5707949855815884</v>
      </c>
      <c r="W587" s="340" t="str">
        <f t="shared" si="336"/>
        <v>1+7382.1144174053i</v>
      </c>
      <c r="X587" s="337">
        <f t="shared" si="360"/>
        <v>7382.1144851365707</v>
      </c>
      <c r="Y587" s="339">
        <f t="shared" si="361"/>
        <v>1.5706608642516007</v>
      </c>
      <c r="Z587" s="337" t="str">
        <f t="shared" si="337"/>
        <v>1+74.3634057125146i</v>
      </c>
      <c r="AA587" s="346">
        <f t="shared" si="362"/>
        <v>74.370129145807255</v>
      </c>
      <c r="AB587" s="347">
        <f t="shared" si="363"/>
        <v>1.5573496628239751</v>
      </c>
      <c r="AC587" s="732" t="str">
        <f t="shared" si="364"/>
        <v>0.0106335806382157-0.798716874987234i</v>
      </c>
      <c r="AD587" s="337">
        <f t="shared" si="365"/>
        <v>0.79878765603041357</v>
      </c>
      <c r="AE587" s="339">
        <f t="shared" si="366"/>
        <v>-1.5574837841539628</v>
      </c>
      <c r="AF587" s="736" t="str">
        <f t="shared" si="338"/>
        <v>-0.00745294830194041+0.0105212386674996i</v>
      </c>
      <c r="AG587" s="337">
        <f t="shared" si="367"/>
        <v>-37.792568898419397</v>
      </c>
      <c r="AH587" s="730">
        <f t="shared" si="368"/>
        <v>125.3126793242126</v>
      </c>
      <c r="AI587" s="360">
        <f t="shared" si="339"/>
        <v>-54.687320675787404</v>
      </c>
      <c r="AL587" s="337">
        <f t="shared" si="340"/>
        <v>-1.951373101347134</v>
      </c>
      <c r="AM587" s="730">
        <f t="shared" si="341"/>
        <v>-89.237247492086553</v>
      </c>
      <c r="AN587" s="351"/>
      <c r="AO587" s="337">
        <f t="shared" si="342"/>
        <v>17.68792668796987</v>
      </c>
      <c r="AP587" s="730">
        <f t="shared" si="343"/>
        <v>-145.45007318370077</v>
      </c>
      <c r="AS587" s="351"/>
      <c r="AT587" s="351"/>
      <c r="AV587" s="405">
        <f t="shared" si="344"/>
        <v>0</v>
      </c>
      <c r="AW587" s="405">
        <f t="shared" si="369"/>
        <v>0</v>
      </c>
      <c r="AX587" s="405">
        <f t="shared" si="345"/>
        <v>0</v>
      </c>
      <c r="AY587" s="405">
        <f t="shared" si="346"/>
        <v>0</v>
      </c>
    </row>
    <row r="588" spans="2:51" ht="13.5" thickBot="1" x14ac:dyDescent="0.25">
      <c r="B588" s="345">
        <v>118860</v>
      </c>
      <c r="C588" s="728" t="str">
        <f t="shared" si="329"/>
        <v>2.2271548443541</v>
      </c>
      <c r="D588" s="728" t="str">
        <f t="shared" si="330"/>
        <v>1+90.8630276827162i</v>
      </c>
      <c r="E588" s="337">
        <f t="shared" si="348"/>
        <v>90.868530304336105</v>
      </c>
      <c r="F588" s="338">
        <f t="shared" si="349"/>
        <v>1.5597911946284033</v>
      </c>
      <c r="G588" s="338" t="str">
        <f t="shared" si="331"/>
        <v>1+0.373409702805683i</v>
      </c>
      <c r="H588" s="337">
        <f t="shared" si="350"/>
        <v>1.0674431161188069</v>
      </c>
      <c r="I588" s="338">
        <f t="shared" si="351"/>
        <v>0.35737570868012708</v>
      </c>
      <c r="J588" s="340">
        <f t="shared" si="332"/>
        <v>1</v>
      </c>
      <c r="K588" s="338">
        <f t="shared" si="352"/>
        <v>1</v>
      </c>
      <c r="L588" s="339">
        <f t="shared" si="353"/>
        <v>0</v>
      </c>
      <c r="M588" s="731" t="str">
        <f t="shared" si="333"/>
        <v>0.372102239999999+1.60972875935115i</v>
      </c>
      <c r="N588" s="338">
        <f t="shared" si="354"/>
        <v>1.6521763694276739</v>
      </c>
      <c r="O588" s="339">
        <f t="shared" si="355"/>
        <v>1.3436280679245165</v>
      </c>
      <c r="P588" s="732" t="str">
        <f t="shared" si="347"/>
        <v>-0.0131090724748241-0.00888300230339274i</v>
      </c>
      <c r="Q588" s="337">
        <f t="shared" si="356"/>
        <v>1.5835261635737868E-2</v>
      </c>
      <c r="R588" s="339">
        <f t="shared" si="357"/>
        <v>-2.5460435538727912</v>
      </c>
      <c r="S588" s="731" t="str">
        <f t="shared" si="334"/>
        <v>6000</v>
      </c>
      <c r="T588" s="337" t="str">
        <f t="shared" si="335"/>
        <v>1+754287.59966748i</v>
      </c>
      <c r="U588" s="346">
        <f t="shared" si="358"/>
        <v>754287.59966814285</v>
      </c>
      <c r="V588" s="347">
        <f t="shared" si="359"/>
        <v>1.5707950010406346</v>
      </c>
      <c r="W588" s="340" t="str">
        <f t="shared" si="336"/>
        <v>1+7468.19405611366i</v>
      </c>
      <c r="X588" s="337">
        <f t="shared" si="360"/>
        <v>7468.1941230642487</v>
      </c>
      <c r="Y588" s="339">
        <f t="shared" si="361"/>
        <v>1.5706624256152393</v>
      </c>
      <c r="Z588" s="337" t="str">
        <f t="shared" si="337"/>
        <v>1+75.2305251765212i</v>
      </c>
      <c r="AA588" s="346">
        <f t="shared" si="362"/>
        <v>75.237171121296086</v>
      </c>
      <c r="AB588" s="347">
        <f t="shared" si="363"/>
        <v>1.5575046329345712</v>
      </c>
      <c r="AC588" s="732" t="str">
        <f t="shared" si="364"/>
        <v>0.0103899075753815-0.789513971324262i</v>
      </c>
      <c r="AD588" s="337">
        <f t="shared" si="365"/>
        <v>0.7895823333228984</v>
      </c>
      <c r="AE588" s="339">
        <f t="shared" si="366"/>
        <v>-1.5576372083599666</v>
      </c>
      <c r="AF588" s="736" t="str">
        <f t="shared" si="338"/>
        <v>-0.00714945647724657+0.0102575022970518i</v>
      </c>
      <c r="AG588" s="337">
        <f t="shared" si="367"/>
        <v>-38.059546682216677</v>
      </c>
      <c r="AH588" s="730">
        <f t="shared" si="368"/>
        <v>124.87641185503432</v>
      </c>
      <c r="AI588" s="360">
        <f t="shared" si="339"/>
        <v>-55.12358814496568</v>
      </c>
      <c r="AL588" s="337">
        <f t="shared" si="340"/>
        <v>-2.0520515488710682</v>
      </c>
      <c r="AM588" s="730">
        <f t="shared" si="341"/>
        <v>-89.246038051565719</v>
      </c>
      <c r="AN588" s="351"/>
      <c r="AO588" s="337">
        <f t="shared" si="342"/>
        <v>17.52162735169652</v>
      </c>
      <c r="AP588" s="730">
        <f t="shared" si="343"/>
        <v>-145.87755009339992</v>
      </c>
      <c r="AS588" s="351"/>
      <c r="AT588" s="351"/>
      <c r="AV588" s="405">
        <f t="shared" si="344"/>
        <v>0</v>
      </c>
      <c r="AW588" s="405">
        <f t="shared" si="369"/>
        <v>0</v>
      </c>
      <c r="AX588" s="405">
        <f t="shared" si="345"/>
        <v>0</v>
      </c>
      <c r="AY588" s="405">
        <f t="shared" si="346"/>
        <v>0</v>
      </c>
    </row>
    <row r="589" spans="2:51" ht="13.5" thickBot="1" x14ac:dyDescent="0.25">
      <c r="B589" s="345">
        <v>120230</v>
      </c>
      <c r="C589" s="728" t="str">
        <f t="shared" ref="C589:C613" si="370">COMPLEX(Am*Afb,0)</f>
        <v>2.2271548443541</v>
      </c>
      <c r="D589" s="728" t="str">
        <f t="shared" ref="D589:D612" si="371">IMSUM(COMPLEX(1,0),IMDIV(COMPLEX(0,2*PI()*B589),COMPLEX(2*PI()*PS_Pole1,0)))</f>
        <v>1+91.9103299536679i</v>
      </c>
      <c r="E589" s="337">
        <f t="shared" si="348"/>
        <v>91.915769877600979</v>
      </c>
      <c r="F589" s="338">
        <f t="shared" si="349"/>
        <v>1.5599165862484177</v>
      </c>
      <c r="G589" s="338" t="str">
        <f t="shared" ref="G589:G612" si="372">IMSUM(COMPLEX(1,0),IMDIV(COMPLEX(0,2*PI()*B589),COMPLEX(2*PI()*PS_Zero1,0)))</f>
        <v>1+0.377713684741101i</v>
      </c>
      <c r="H589" s="337">
        <f t="shared" si="350"/>
        <v>1.0689563263486024</v>
      </c>
      <c r="I589" s="338">
        <f t="shared" si="351"/>
        <v>0.3611476659736863</v>
      </c>
      <c r="J589" s="340">
        <f t="shared" ref="J589:J612" si="373">IF(VIN_nom&gt;Vout, 1,IMSUB(COMPLEX(1,0),IMDIV(COMPLEX(0,2*PI()*B589),COMPLEX(2*PI()*PS_RHPZ,0))))</f>
        <v>1</v>
      </c>
      <c r="K589" s="338">
        <f t="shared" si="352"/>
        <v>1</v>
      </c>
      <c r="L589" s="339">
        <f t="shared" si="353"/>
        <v>0</v>
      </c>
      <c r="M589" s="731" t="str">
        <f t="shared" ref="M589:M612" si="374">IMSUM(COMPLEX(1,0),IMDIV(COMPLEX(0,2*PI()*B589),COMPLEX(Q*(2*PI()*PS_Pole2/2),0)),IMDIV(IMPOWER(COMPLEX(0,2*PI()*B589),2),IMPOWER(COMPLEX(2*PI()*PS_Pole2/2,0),2)))</f>
        <v>0.357544315555555+1.62828275901724i</v>
      </c>
      <c r="N589" s="338">
        <f t="shared" si="354"/>
        <v>1.6670760873154189</v>
      </c>
      <c r="O589" s="339">
        <f t="shared" si="355"/>
        <v>1.3546431596188491</v>
      </c>
      <c r="P589" s="732" t="str">
        <f t="shared" si="347"/>
        <v>-0.012925964665946-0.00862063302341249i</v>
      </c>
      <c r="Q589" s="337">
        <f t="shared" si="356"/>
        <v>1.5536919780626868E-2</v>
      </c>
      <c r="R589" s="339">
        <f t="shared" si="357"/>
        <v>-2.5534120798935787</v>
      </c>
      <c r="S589" s="731" t="str">
        <f t="shared" ref="S589:S613" si="375">COMPLEX(AEA,0)</f>
        <v>6000</v>
      </c>
      <c r="T589" s="337" t="str">
        <f t="shared" ref="T589:T612" si="376">IMSUM(COMPLEX(1,0),IMDIV(COMPLEX(0,2*PI()*B589),COMPLEX(2*PI()*EA_Pole1,0)))</f>
        <v>1+762981.643177024i</v>
      </c>
      <c r="U589" s="346">
        <f t="shared" si="358"/>
        <v>762981.64317767927</v>
      </c>
      <c r="V589" s="347">
        <f t="shared" si="359"/>
        <v>1.5707950161473745</v>
      </c>
      <c r="W589" s="340" t="str">
        <f t="shared" ref="W589:W612" si="377">IMSUM(COMPLEX(1,0),IMDIV(COMPLEX(0,2*PI()*B589),COMPLEX(2*PI()*EA_Zero1,0)))</f>
        <v>1+7554.27369482202i</v>
      </c>
      <c r="X589" s="337">
        <f t="shared" si="360"/>
        <v>7554.2737610097192</v>
      </c>
      <c r="Y589" s="339">
        <f t="shared" si="361"/>
        <v>1.5706639513959428</v>
      </c>
      <c r="Z589" s="337" t="str">
        <f t="shared" ref="Z589:Z612" si="378">IMSUM(COMPLEX(1,0),IMDIV(COMPLEX(0,2*PI()*B589),COMPLEX(2*PI()*EA_Pole2,0)))</f>
        <v>1+76.0976446405279i</v>
      </c>
      <c r="AA589" s="346">
        <f t="shared" si="362"/>
        <v>76.104214862490139</v>
      </c>
      <c r="AB589" s="347">
        <f t="shared" si="363"/>
        <v>1.5576560719469505</v>
      </c>
      <c r="AC589" s="732" t="str">
        <f t="shared" si="364"/>
        <v>0.0101545148814839-0.78052068983157i</v>
      </c>
      <c r="AD589" s="337">
        <f t="shared" si="365"/>
        <v>0.78058674177033538</v>
      </c>
      <c r="AE589" s="339">
        <f t="shared" si="366"/>
        <v>-1.5577871366983824</v>
      </c>
      <c r="AF589" s="736" t="str">
        <f t="shared" ref="AF589:AF612" si="379">IMPRODUCT(P589,AC589)</f>
        <v>-0.00685983933477661+0.0100014445114786i</v>
      </c>
      <c r="AG589" s="337">
        <f t="shared" si="367"/>
        <v>-38.324278120918528</v>
      </c>
      <c r="AH589" s="730">
        <f t="shared" si="368"/>
        <v>124.44563615179023</v>
      </c>
      <c r="AI589" s="360">
        <f t="shared" ref="AI589:AI612" si="380">IF(AH589&gt;0,AH589-180,AH589+180)</f>
        <v>-55.554363848209775</v>
      </c>
      <c r="AL589" s="337">
        <f t="shared" ref="AL589:AL612" si="381">20*LOG10(IMABS(AC589))</f>
        <v>-2.1515765892758365</v>
      </c>
      <c r="AM589" s="730">
        <f t="shared" ref="AM589:AM612" si="382">(180/PI())*IMARGUMENT(AC589)</f>
        <v>-89.254628312586348</v>
      </c>
      <c r="AN589" s="351"/>
      <c r="AO589" s="337">
        <f t="shared" ref="AO589:AO612" si="383">20*LOG10(IMABS(IMPRODUCT(COMPLEX(Am/Afb,0),P589)))</f>
        <v>17.356420953399457</v>
      </c>
      <c r="AP589" s="730">
        <f t="shared" ref="AP589:AP612" si="384">180/PI()*IMARGUMENT(IMPRODUCT(COMPLEX(Am/Afb,0),P589))</f>
        <v>-146.29973553562343</v>
      </c>
      <c r="AS589" s="351"/>
      <c r="AT589" s="351"/>
      <c r="AV589" s="405">
        <f t="shared" ref="AV589:AV613" si="385">SUM((AG590&lt;0)*(AG589&gt;0))*B589</f>
        <v>0</v>
      </c>
      <c r="AW589" s="405">
        <f t="shared" si="369"/>
        <v>0</v>
      </c>
      <c r="AX589" s="405">
        <f t="shared" ref="AX589:AX613" si="386">SUM((AL590&lt;0)*(AL589&gt;0))*B589</f>
        <v>0</v>
      </c>
      <c r="AY589" s="405">
        <f t="shared" ref="AY589:AY613" si="387">IF(AX589&gt;0,AM589,0)</f>
        <v>0</v>
      </c>
    </row>
    <row r="590" spans="2:51" ht="13.5" thickBot="1" x14ac:dyDescent="0.25">
      <c r="B590" s="345">
        <v>126030</v>
      </c>
      <c r="C590" s="728" t="str">
        <f t="shared" si="370"/>
        <v>2.2271548443541</v>
      </c>
      <c r="D590" s="728" t="str">
        <f t="shared" si="371"/>
        <v>1+96.3441643854342i</v>
      </c>
      <c r="E590" s="337">
        <f t="shared" si="348"/>
        <v>96.349353973587</v>
      </c>
      <c r="F590" s="338">
        <f t="shared" si="349"/>
        <v>1.5604172436644839</v>
      </c>
      <c r="G590" s="338" t="str">
        <f t="shared" si="372"/>
        <v>1+0.395934922131921i</v>
      </c>
      <c r="H590" s="337">
        <f t="shared" si="350"/>
        <v>1.0755298520095156</v>
      </c>
      <c r="I590" s="338">
        <f t="shared" si="351"/>
        <v>0.37699709488560446</v>
      </c>
      <c r="J590" s="340">
        <f t="shared" si="373"/>
        <v>1</v>
      </c>
      <c r="K590" s="338">
        <f t="shared" si="352"/>
        <v>1</v>
      </c>
      <c r="L590" s="339">
        <f t="shared" si="353"/>
        <v>0</v>
      </c>
      <c r="M590" s="731" t="str">
        <f t="shared" si="374"/>
        <v>0.29406396+1.70683253862549i</v>
      </c>
      <c r="N590" s="338">
        <f t="shared" si="354"/>
        <v>1.7319789050336658</v>
      </c>
      <c r="O590" s="339">
        <f t="shared" si="355"/>
        <v>1.4001848752423576</v>
      </c>
      <c r="P590" s="732" t="str">
        <f t="shared" ref="P590:P612" si="388">(IMDIV(IMPRODUCT(C590,G590,J590),IMPRODUCT(D590,M590)))</f>
        <v>-0.0121770581391256-0.00760030717755067i</v>
      </c>
      <c r="Q590" s="337">
        <f t="shared" si="356"/>
        <v>1.4354282082945606E-2</v>
      </c>
      <c r="R590" s="339">
        <f t="shared" si="357"/>
        <v>-2.5836050240212352</v>
      </c>
      <c r="S590" s="731" t="str">
        <f t="shared" si="375"/>
        <v>6000</v>
      </c>
      <c r="T590" s="337" t="str">
        <f t="shared" si="376"/>
        <v>1+799788.542706482i</v>
      </c>
      <c r="U590" s="346">
        <f t="shared" si="358"/>
        <v>799788.54270710715</v>
      </c>
      <c r="V590" s="347">
        <f t="shared" si="359"/>
        <v>1.5707950764644072</v>
      </c>
      <c r="W590" s="340" t="str">
        <f t="shared" si="377"/>
        <v>1+7918.69844263843i</v>
      </c>
      <c r="X590" s="337">
        <f t="shared" si="360"/>
        <v>7918.6985057801185</v>
      </c>
      <c r="Y590" s="339">
        <f t="shared" si="361"/>
        <v>1.5706700434161409</v>
      </c>
      <c r="Z590" s="337" t="str">
        <f t="shared" si="378"/>
        <v>1+79.7686613494613i</v>
      </c>
      <c r="AA590" s="346">
        <f t="shared" si="362"/>
        <v>79.774929228956637</v>
      </c>
      <c r="AB590" s="347">
        <f t="shared" si="363"/>
        <v>1.5582607319615915</v>
      </c>
      <c r="AC590" s="732" t="str">
        <f t="shared" si="364"/>
        <v>0.00924152717585352-0.744611957519976i</v>
      </c>
      <c r="AD590" s="337">
        <f t="shared" si="365"/>
        <v>0.74466930452803848</v>
      </c>
      <c r="AE590" s="339">
        <f t="shared" si="366"/>
        <v>-1.5583857650098578</v>
      </c>
      <c r="AF590" s="736" t="str">
        <f t="shared" si="379"/>
        <v>-0.00577181421894381+0.0089969446524827i</v>
      </c>
      <c r="AG590" s="337">
        <f t="shared" si="367"/>
        <v>-39.421101420270091</v>
      </c>
      <c r="AH590" s="730">
        <f t="shared" si="368"/>
        <v>122.68140900645663</v>
      </c>
      <c r="AI590" s="360">
        <f t="shared" si="380"/>
        <v>-57.318590993543367</v>
      </c>
      <c r="AL590" s="337">
        <f t="shared" si="381"/>
        <v>-2.5607309504950315</v>
      </c>
      <c r="AM590" s="730">
        <f t="shared" si="382"/>
        <v>-89.288927188330931</v>
      </c>
      <c r="AN590" s="351"/>
      <c r="AO590" s="337">
        <f t="shared" si="383"/>
        <v>16.668752015267067</v>
      </c>
      <c r="AP590" s="730">
        <f t="shared" si="384"/>
        <v>-148.02966380521241</v>
      </c>
      <c r="AS590" s="351"/>
      <c r="AT590" s="351"/>
      <c r="AV590" s="405">
        <f t="shared" si="385"/>
        <v>0</v>
      </c>
      <c r="AW590" s="405">
        <f t="shared" si="369"/>
        <v>0</v>
      </c>
      <c r="AX590" s="405">
        <f t="shared" si="386"/>
        <v>0</v>
      </c>
      <c r="AY590" s="405">
        <f t="shared" si="387"/>
        <v>0</v>
      </c>
    </row>
    <row r="591" spans="2:51" ht="13.5" thickBot="1" x14ac:dyDescent="0.25">
      <c r="B591" s="345">
        <v>131830</v>
      </c>
      <c r="C591" s="728" t="str">
        <f t="shared" si="370"/>
        <v>2.2271548443541</v>
      </c>
      <c r="D591" s="728" t="str">
        <f t="shared" si="371"/>
        <v>1+100.777998817201i</v>
      </c>
      <c r="E591" s="337">
        <f t="shared" si="348"/>
        <v>100.78296009544353</v>
      </c>
      <c r="F591" s="338">
        <f t="shared" si="349"/>
        <v>1.560873851720803</v>
      </c>
      <c r="G591" s="338" t="str">
        <f t="shared" si="372"/>
        <v>1+0.414156159522742i</v>
      </c>
      <c r="H591" s="337">
        <f t="shared" si="350"/>
        <v>1.0823702344718404</v>
      </c>
      <c r="I591" s="338">
        <f t="shared" si="351"/>
        <v>0.39265008430681408</v>
      </c>
      <c r="J591" s="340">
        <f t="shared" si="373"/>
        <v>1</v>
      </c>
      <c r="K591" s="338">
        <f t="shared" si="352"/>
        <v>1</v>
      </c>
      <c r="L591" s="339">
        <f t="shared" si="353"/>
        <v>0</v>
      </c>
      <c r="M591" s="731" t="str">
        <f t="shared" si="374"/>
        <v>0.227593382222222+1.78538231823374i</v>
      </c>
      <c r="N591" s="338">
        <f t="shared" si="354"/>
        <v>1.7998302058508284</v>
      </c>
      <c r="O591" s="339">
        <f t="shared" si="355"/>
        <v>1.4440041798927157</v>
      </c>
      <c r="P591" s="732" t="str">
        <f t="shared" si="388"/>
        <v>-0.0114705130162815-0.00671098354794854i</v>
      </c>
      <c r="Q591" s="337">
        <f t="shared" si="356"/>
        <v>1.3289468350446504E-2</v>
      </c>
      <c r="R591" s="339">
        <f t="shared" si="357"/>
        <v>-2.6122279473067058</v>
      </c>
      <c r="S591" s="731" t="str">
        <f t="shared" si="375"/>
        <v>6000</v>
      </c>
      <c r="T591" s="337" t="str">
        <f t="shared" si="376"/>
        <v>1+836595.44223594i</v>
      </c>
      <c r="U591" s="346">
        <f t="shared" si="358"/>
        <v>836595.44223653781</v>
      </c>
      <c r="V591" s="347">
        <f t="shared" si="359"/>
        <v>1.5707951314740169</v>
      </c>
      <c r="W591" s="340" t="str">
        <f t="shared" si="377"/>
        <v>1+8283.12319045485i</v>
      </c>
      <c r="X591" s="337">
        <f t="shared" si="360"/>
        <v>8283.1232508185549</v>
      </c>
      <c r="Y591" s="339">
        <f t="shared" si="361"/>
        <v>1.5706755993866295</v>
      </c>
      <c r="Z591" s="337" t="str">
        <f t="shared" si="378"/>
        <v>1+83.4396780583947i</v>
      </c>
      <c r="AA591" s="346">
        <f t="shared" si="362"/>
        <v>83.445670196173481</v>
      </c>
      <c r="AB591" s="347">
        <f t="shared" si="363"/>
        <v>1.5588121946689208</v>
      </c>
      <c r="AC591" s="732" t="str">
        <f t="shared" si="364"/>
        <v>0.008446348293153-0.711861498467016i</v>
      </c>
      <c r="AD591" s="337">
        <f t="shared" si="365"/>
        <v>0.71191160532694975</v>
      </c>
      <c r="AE591" s="339">
        <f t="shared" si="366"/>
        <v>-1.5589317267563083</v>
      </c>
      <c r="AF591" s="736" t="str">
        <f t="shared" si="379"/>
        <v>-0.0048741747526668+0.00810873327951997i</v>
      </c>
      <c r="AG591" s="337">
        <f t="shared" si="367"/>
        <v>-40.481326401924413</v>
      </c>
      <c r="AH591" s="730">
        <f t="shared" si="368"/>
        <v>121.01015500102524</v>
      </c>
      <c r="AI591" s="360">
        <f t="shared" si="380"/>
        <v>-58.98984499897476</v>
      </c>
      <c r="AL591" s="337">
        <f t="shared" si="381"/>
        <v>-2.9514785458568662</v>
      </c>
      <c r="AM591" s="730">
        <f t="shared" si="382"/>
        <v>-89.320208492178139</v>
      </c>
      <c r="AN591" s="351"/>
      <c r="AO591" s="337">
        <f t="shared" si="383"/>
        <v>15.999274628974586</v>
      </c>
      <c r="AP591" s="730">
        <f t="shared" si="384"/>
        <v>-149.66963650679671</v>
      </c>
      <c r="AS591" s="351"/>
      <c r="AT591" s="351"/>
      <c r="AV591" s="405">
        <f t="shared" si="385"/>
        <v>0</v>
      </c>
      <c r="AW591" s="405">
        <f t="shared" si="369"/>
        <v>0</v>
      </c>
      <c r="AX591" s="405">
        <f t="shared" si="386"/>
        <v>0</v>
      </c>
      <c r="AY591" s="405">
        <f t="shared" si="387"/>
        <v>0</v>
      </c>
    </row>
    <row r="592" spans="2:51" ht="13.5" thickBot="1" x14ac:dyDescent="0.25">
      <c r="B592" s="345">
        <v>144540</v>
      </c>
      <c r="C592" s="728" t="str">
        <f t="shared" si="370"/>
        <v>2.2271548443541</v>
      </c>
      <c r="D592" s="728" t="str">
        <f t="shared" si="371"/>
        <v>1+110.494211856468i</v>
      </c>
      <c r="E592" s="337">
        <f t="shared" si="348"/>
        <v>110.49873688772209</v>
      </c>
      <c r="F592" s="338">
        <f t="shared" si="349"/>
        <v>1.5617463260553819</v>
      </c>
      <c r="G592" s="338" t="str">
        <f t="shared" si="372"/>
        <v>1+0.454085802149868i</v>
      </c>
      <c r="H592" s="337">
        <f t="shared" si="350"/>
        <v>1.0982685990749663</v>
      </c>
      <c r="I592" s="338">
        <f t="shared" si="351"/>
        <v>0.42624648237713397</v>
      </c>
      <c r="J592" s="340">
        <f t="shared" si="373"/>
        <v>1</v>
      </c>
      <c r="K592" s="338">
        <f t="shared" si="352"/>
        <v>1</v>
      </c>
      <c r="L592" s="339">
        <f t="shared" si="353"/>
        <v>0</v>
      </c>
      <c r="M592" s="731" t="str">
        <f t="shared" si="374"/>
        <v>0.071475040000001+1.95751468009941i</v>
      </c>
      <c r="N592" s="338">
        <f t="shared" si="354"/>
        <v>1.9588191351290445</v>
      </c>
      <c r="O592" s="339">
        <f t="shared" si="355"/>
        <v>1.5342993838343015</v>
      </c>
      <c r="P592" s="732" t="str">
        <f t="shared" si="388"/>
        <v>-0.0100661968646702-0.00513601663301353i</v>
      </c>
      <c r="Q592" s="337">
        <f t="shared" si="356"/>
        <v>1.1300751575576192E-2</v>
      </c>
      <c r="R592" s="339">
        <f t="shared" si="357"/>
        <v>-2.6697992275125473</v>
      </c>
      <c r="S592" s="731" t="str">
        <f t="shared" si="375"/>
        <v>6000</v>
      </c>
      <c r="T592" s="337" t="str">
        <f t="shared" si="376"/>
        <v>1+917253.320342734i</v>
      </c>
      <c r="U592" s="346">
        <f t="shared" si="358"/>
        <v>917253.32034327905</v>
      </c>
      <c r="V592" s="347">
        <f t="shared" si="359"/>
        <v>1.5707952365835256</v>
      </c>
      <c r="W592" s="340" t="str">
        <f t="shared" si="377"/>
        <v>1+9081.71604299737i</v>
      </c>
      <c r="X592" s="337">
        <f t="shared" si="360"/>
        <v>9081.7160980530443</v>
      </c>
      <c r="Y592" s="339">
        <f t="shared" si="361"/>
        <v>1.5706862154468624</v>
      </c>
      <c r="Z592" s="337" t="str">
        <f t="shared" si="378"/>
        <v>1+91.4842681222814i</v>
      </c>
      <c r="AA592" s="346">
        <f t="shared" si="362"/>
        <v>91.489733379595506</v>
      </c>
      <c r="AB592" s="347">
        <f t="shared" si="363"/>
        <v>1.5598659209927113</v>
      </c>
      <c r="AC592" s="732" t="str">
        <f t="shared" si="364"/>
        <v>0.00702638392503858-0.64928009412285i</v>
      </c>
      <c r="AD592" s="337">
        <f t="shared" si="365"/>
        <v>0.64931811209548063</v>
      </c>
      <c r="AE592" s="339">
        <f t="shared" si="366"/>
        <v>-1.5599749421293743</v>
      </c>
      <c r="AF592" s="736" t="str">
        <f t="shared" si="379"/>
        <v>-0.00340544232673574+0.00649969362304327i</v>
      </c>
      <c r="AG592" s="337">
        <f t="shared" si="367"/>
        <v>-42.688703096101335</v>
      </c>
      <c r="AH592" s="730">
        <f t="shared" si="368"/>
        <v>117.65179178606559</v>
      </c>
      <c r="AI592" s="360">
        <f t="shared" si="380"/>
        <v>-62.348208213934413</v>
      </c>
      <c r="AL592" s="337">
        <f t="shared" si="381"/>
        <v>-3.7508496547452519</v>
      </c>
      <c r="AM592" s="730">
        <f t="shared" si="382"/>
        <v>-89.379980330177986</v>
      </c>
      <c r="AN592" s="351"/>
      <c r="AO592" s="337">
        <f t="shared" si="383"/>
        <v>14.591269043686054</v>
      </c>
      <c r="AP592" s="730">
        <f t="shared" si="384"/>
        <v>-152.96822788375647</v>
      </c>
      <c r="AS592" s="351"/>
      <c r="AT592" s="351"/>
      <c r="AV592" s="405">
        <f t="shared" si="385"/>
        <v>0</v>
      </c>
      <c r="AW592" s="405">
        <f t="shared" si="369"/>
        <v>0</v>
      </c>
      <c r="AX592" s="405">
        <f t="shared" si="386"/>
        <v>0</v>
      </c>
      <c r="AY592" s="405">
        <f t="shared" si="387"/>
        <v>0</v>
      </c>
    </row>
    <row r="593" spans="2:51" ht="13.5" thickBot="1" x14ac:dyDescent="0.25">
      <c r="B593" s="345">
        <v>158490</v>
      </c>
      <c r="C593" s="728" t="str">
        <f t="shared" si="370"/>
        <v>2.2271548443541</v>
      </c>
      <c r="D593" s="728" t="str">
        <f t="shared" si="371"/>
        <v>1+121.158348119079i</v>
      </c>
      <c r="E593" s="337">
        <f t="shared" ref="E593:E612" si="389">IMABS(D593)</f>
        <v>121.16247487957618</v>
      </c>
      <c r="F593" s="338">
        <f t="shared" ref="F593:F612" si="390">IMARGUMENT(D593)</f>
        <v>1.5625428526529228</v>
      </c>
      <c r="G593" s="338" t="str">
        <f t="shared" si="372"/>
        <v>1+0.497911019667446i</v>
      </c>
      <c r="H593" s="337">
        <f t="shared" ref="H593:H612" si="391">IMABS(G593)</f>
        <v>1.1171013309034574</v>
      </c>
      <c r="I593" s="338">
        <f t="shared" ref="I593:I612" si="392">IMARGUMENT(G593)</f>
        <v>0.46197502869821372</v>
      </c>
      <c r="J593" s="340">
        <f t="shared" si="373"/>
        <v>1</v>
      </c>
      <c r="K593" s="338">
        <f t="shared" ref="K593:K612" si="393">IMABS(J593)</f>
        <v>1</v>
      </c>
      <c r="L593" s="339">
        <f t="shared" ref="L593:L612" si="394">IMARGUMENT(J593)</f>
        <v>0</v>
      </c>
      <c r="M593" s="731" t="str">
        <f t="shared" si="374"/>
        <v>-0.11640356+2.1464404431227i</v>
      </c>
      <c r="N593" s="338">
        <f t="shared" ref="N593:N612" si="395">IMABS(M593)</f>
        <v>2.1495944651616141</v>
      </c>
      <c r="O593" s="339">
        <f t="shared" ref="O593:O612" si="396">IMARGUMENT(M593)</f>
        <v>1.6249742319284726</v>
      </c>
      <c r="P593" s="732" t="str">
        <f t="shared" si="388"/>
        <v>-0.0087376229241732-0.00386066488093444i</v>
      </c>
      <c r="Q593" s="337">
        <f t="shared" ref="Q593:Q612" si="397">IMABS(P593)</f>
        <v>9.5525278166523828E-3</v>
      </c>
      <c r="R593" s="339">
        <f t="shared" ref="R593:R612" si="398">IMARGUMENT(P593)</f>
        <v>-2.725542055883182</v>
      </c>
      <c r="S593" s="731" t="str">
        <f t="shared" si="375"/>
        <v>6000</v>
      </c>
      <c r="T593" s="337" t="str">
        <f t="shared" si="376"/>
        <v>1+1005780.25972824i</v>
      </c>
      <c r="U593" s="346">
        <f t="shared" ref="U593:U612" si="399">IMABS(T593)</f>
        <v>1005780.2597287371</v>
      </c>
      <c r="V593" s="347">
        <f t="shared" ref="V593:V612" si="400">IMARGUMENT(T593)</f>
        <v>1.570795332541937</v>
      </c>
      <c r="W593" s="340" t="str">
        <f t="shared" si="377"/>
        <v>1+9958.22039334893i</v>
      </c>
      <c r="X593" s="337">
        <f t="shared" ref="X593:X612" si="401">IMABS(W593)</f>
        <v>9958.2204435587046</v>
      </c>
      <c r="Y593" s="339">
        <f t="shared" ref="Y593:Y612" si="402">IMARGUMENT(W593)</f>
        <v>1.5706959072463087</v>
      </c>
      <c r="Z593" s="337" t="str">
        <f t="shared" si="378"/>
        <v>1+100.313696241182i</v>
      </c>
      <c r="AA593" s="346">
        <f t="shared" ref="AA593:AA612" si="403">IMABS(Z593)</f>
        <v>100.31868048159392</v>
      </c>
      <c r="AB593" s="347">
        <f t="shared" ref="AB593:AB612" si="404">IMARGUMENT(Z593)</f>
        <v>1.5608279285176734</v>
      </c>
      <c r="AC593" s="732" t="str">
        <f t="shared" ref="AC593:AC612" si="405">IMPRODUCT(S593,IMDIV(W593,IMPRODUCT(T593,Z593)))</f>
        <v>0.00584403728177546-0.592143433931851i</v>
      </c>
      <c r="AD593" s="337">
        <f t="shared" ref="AD593:AD612" si="406">IMABS(AC593)</f>
        <v>0.5921722714889267</v>
      </c>
      <c r="AE593" s="339">
        <f t="shared" ref="AE593:AE612" si="407">IMARGUMENT(AC593)</f>
        <v>-1.5609273538133015</v>
      </c>
      <c r="AF593" s="736" t="str">
        <f t="shared" si="379"/>
        <v>-0.00233713035397958+0.00515136417322496i</v>
      </c>
      <c r="AG593" s="337">
        <f t="shared" ref="AG593:AG612" si="408">20*LOG10(IMABS(AF593))</f>
        <v>-44.948672426571086</v>
      </c>
      <c r="AH593" s="730">
        <f t="shared" ref="AH593:AH612" si="409">(180/PI())*IMARGUMENT(AF593)</f>
        <v>114.40339381245808</v>
      </c>
      <c r="AI593" s="360">
        <f t="shared" si="380"/>
        <v>-65.596606187541923</v>
      </c>
      <c r="AL593" s="337">
        <f t="shared" si="381"/>
        <v>-4.5510386468468491</v>
      </c>
      <c r="AM593" s="730">
        <f t="shared" si="382"/>
        <v>-89.434549500025966</v>
      </c>
      <c r="AN593" s="351"/>
      <c r="AO593" s="337">
        <f t="shared" si="383"/>
        <v>13.131488705317892</v>
      </c>
      <c r="AP593" s="730">
        <f t="shared" si="384"/>
        <v>-156.16205668751593</v>
      </c>
      <c r="AS593" s="351"/>
      <c r="AT593" s="351"/>
      <c r="AV593" s="405">
        <f t="shared" si="385"/>
        <v>0</v>
      </c>
      <c r="AW593" s="405">
        <f t="shared" si="369"/>
        <v>0</v>
      </c>
      <c r="AX593" s="405">
        <f t="shared" si="386"/>
        <v>0</v>
      </c>
      <c r="AY593" s="405">
        <f t="shared" si="387"/>
        <v>0</v>
      </c>
    </row>
    <row r="594" spans="2:51" ht="13.5" thickBot="1" x14ac:dyDescent="0.25">
      <c r="B594" s="345">
        <v>173780</v>
      </c>
      <c r="C594" s="728" t="str">
        <f t="shared" si="370"/>
        <v>2.2271548443541</v>
      </c>
      <c r="D594" s="728" t="str">
        <f t="shared" si="371"/>
        <v>1+132.84685302627i</v>
      </c>
      <c r="E594" s="337">
        <f t="shared" si="389"/>
        <v>132.85061670531823</v>
      </c>
      <c r="F594" s="338">
        <f t="shared" si="390"/>
        <v>1.5632690042404864</v>
      </c>
      <c r="G594" s="338" t="str">
        <f t="shared" si="372"/>
        <v>1+0.545945971340835i</v>
      </c>
      <c r="H594" s="337">
        <f t="shared" si="391"/>
        <v>1.1393230462091459</v>
      </c>
      <c r="I594" s="338">
        <f t="shared" si="392"/>
        <v>0.49972538567866376</v>
      </c>
      <c r="J594" s="340">
        <f t="shared" si="373"/>
        <v>1</v>
      </c>
      <c r="K594" s="338">
        <f t="shared" si="393"/>
        <v>1</v>
      </c>
      <c r="L594" s="339">
        <f t="shared" si="394"/>
        <v>0</v>
      </c>
      <c r="M594" s="731" t="str">
        <f t="shared" si="374"/>
        <v>-0.34219948444445+2.35351391384859i</v>
      </c>
      <c r="N594" s="338">
        <f t="shared" si="395"/>
        <v>2.3782615982757145</v>
      </c>
      <c r="O594" s="339">
        <f t="shared" si="396"/>
        <v>1.7151838907965398</v>
      </c>
      <c r="P594" s="732" t="str">
        <f t="shared" si="388"/>
        <v>-0.00750812802523661-0.0028506670336392i</v>
      </c>
      <c r="Q594" s="337">
        <f t="shared" si="397"/>
        <v>8.0310826779470216E-3</v>
      </c>
      <c r="R594" s="339">
        <f t="shared" si="398"/>
        <v>-2.7787275093583612</v>
      </c>
      <c r="S594" s="731" t="str">
        <f t="shared" si="375"/>
        <v>6000</v>
      </c>
      <c r="T594" s="337" t="str">
        <f t="shared" si="376"/>
        <v>1+1102810.86210849i</v>
      </c>
      <c r="U594" s="346">
        <f t="shared" si="399"/>
        <v>1102810.8621089435</v>
      </c>
      <c r="V594" s="347">
        <f t="shared" si="400"/>
        <v>1.5707954200210932</v>
      </c>
      <c r="W594" s="340" t="str">
        <f t="shared" si="377"/>
        <v>1+10918.9194268167i</v>
      </c>
      <c r="X594" s="337">
        <f t="shared" si="401"/>
        <v>10918.919472608775</v>
      </c>
      <c r="Y594" s="339">
        <f t="shared" si="402"/>
        <v>1.5707047426409968</v>
      </c>
      <c r="Z594" s="337" t="str">
        <f t="shared" si="378"/>
        <v>1+109.991255806629i</v>
      </c>
      <c r="AA594" s="346">
        <f t="shared" si="403"/>
        <v>109.99580152860061</v>
      </c>
      <c r="AB594" s="347">
        <f t="shared" si="404"/>
        <v>1.5617049454715055</v>
      </c>
      <c r="AC594" s="732" t="str">
        <f t="shared" si="405"/>
        <v>0.00486098613842935-0.540052744894884i</v>
      </c>
      <c r="AD594" s="337">
        <f t="shared" si="406"/>
        <v>0.54007462119112448</v>
      </c>
      <c r="AE594" s="339">
        <f t="shared" si="407"/>
        <v>-1.5617956228516017</v>
      </c>
      <c r="AF594" s="736" t="str">
        <f t="shared" si="379"/>
        <v>-0.00157600746255443+0.00404092809611544i</v>
      </c>
      <c r="AG594" s="337">
        <f t="shared" si="408"/>
        <v>-47.255442668427669</v>
      </c>
      <c r="AH594" s="730">
        <f t="shared" si="409"/>
        <v>111.30634364546442</v>
      </c>
      <c r="AI594" s="360">
        <f t="shared" si="380"/>
        <v>-68.693656354535577</v>
      </c>
      <c r="AL594" s="337">
        <f t="shared" si="381"/>
        <v>-5.3509246060374522</v>
      </c>
      <c r="AM594" s="730">
        <f t="shared" si="382"/>
        <v>-89.484297651402443</v>
      </c>
      <c r="AN594" s="351"/>
      <c r="AO594" s="337">
        <f t="shared" si="383"/>
        <v>11.624604422651911</v>
      </c>
      <c r="AP594" s="730">
        <f t="shared" si="384"/>
        <v>-159.20935870313301</v>
      </c>
      <c r="AS594" s="351"/>
      <c r="AT594" s="351"/>
      <c r="AV594" s="405">
        <f t="shared" si="385"/>
        <v>0</v>
      </c>
      <c r="AW594" s="405">
        <f t="shared" si="369"/>
        <v>0</v>
      </c>
      <c r="AX594" s="405">
        <f t="shared" si="386"/>
        <v>0</v>
      </c>
      <c r="AY594" s="405">
        <f t="shared" si="387"/>
        <v>0</v>
      </c>
    </row>
    <row r="595" spans="2:51" ht="13.5" thickBot="1" x14ac:dyDescent="0.25">
      <c r="B595" s="345">
        <v>190550</v>
      </c>
      <c r="C595" s="728" t="str">
        <f t="shared" si="370"/>
        <v>2.2271548443541</v>
      </c>
      <c r="D595" s="728" t="str">
        <f t="shared" si="371"/>
        <v>1+145.666750167774i</v>
      </c>
      <c r="E595" s="337">
        <f t="shared" si="389"/>
        <v>145.67018261964489</v>
      </c>
      <c r="F595" s="338">
        <f t="shared" si="390"/>
        <v>1.5639314500131019</v>
      </c>
      <c r="G595" s="338" t="str">
        <f t="shared" si="372"/>
        <v>1+0.598630480141535i</v>
      </c>
      <c r="H595" s="337">
        <f t="shared" si="391"/>
        <v>1.165486358459199</v>
      </c>
      <c r="I595" s="338">
        <f t="shared" si="392"/>
        <v>0.53941189191854444</v>
      </c>
      <c r="J595" s="340">
        <f t="shared" si="373"/>
        <v>1</v>
      </c>
      <c r="K595" s="338">
        <f t="shared" si="393"/>
        <v>1</v>
      </c>
      <c r="L595" s="339">
        <f t="shared" si="394"/>
        <v>0</v>
      </c>
      <c r="M595" s="731" t="str">
        <f t="shared" si="374"/>
        <v>-0.61374677777778+2.58063112144003i</v>
      </c>
      <c r="N595" s="338">
        <f t="shared" si="395"/>
        <v>2.652610429779962</v>
      </c>
      <c r="O595" s="339">
        <f t="shared" si="396"/>
        <v>1.8042867523158641</v>
      </c>
      <c r="P595" s="732" t="str">
        <f t="shared" si="388"/>
        <v>-0.00639165134901303-0.00206707606791184i</v>
      </c>
      <c r="Q595" s="337">
        <f t="shared" si="397"/>
        <v>6.7175896300588327E-3</v>
      </c>
      <c r="R595" s="339">
        <f t="shared" si="398"/>
        <v>-2.8288063104104211</v>
      </c>
      <c r="S595" s="731" t="str">
        <f t="shared" si="375"/>
        <v>6000</v>
      </c>
      <c r="T595" s="337" t="str">
        <f t="shared" si="376"/>
        <v>1+1209233.5698859i</v>
      </c>
      <c r="U595" s="346">
        <f t="shared" si="399"/>
        <v>1209233.5698863135</v>
      </c>
      <c r="V595" s="347">
        <f t="shared" si="400"/>
        <v>1.5707954998248017</v>
      </c>
      <c r="W595" s="340" t="str">
        <f t="shared" si="377"/>
        <v>1+11972.6096028307i</v>
      </c>
      <c r="X595" s="337">
        <f t="shared" si="401"/>
        <v>11972.609644592691</v>
      </c>
      <c r="Y595" s="339">
        <f t="shared" si="402"/>
        <v>1.5707128028155097</v>
      </c>
      <c r="Z595" s="337" t="str">
        <f t="shared" si="378"/>
        <v>1+120.605557566769i</v>
      </c>
      <c r="AA595" s="346">
        <f t="shared" si="403"/>
        <v>120.60970324145246</v>
      </c>
      <c r="AB595" s="347">
        <f t="shared" si="404"/>
        <v>1.5625050249275469</v>
      </c>
      <c r="AC595" s="732" t="str">
        <f t="shared" si="405"/>
        <v>0.00404307783601682-0.492530350331497i</v>
      </c>
      <c r="AD595" s="337">
        <f t="shared" si="406"/>
        <v>0.49254694443885783</v>
      </c>
      <c r="AE595" s="339">
        <f t="shared" si="407"/>
        <v>-1.5625877219368389</v>
      </c>
      <c r="AF595" s="736" t="str">
        <f t="shared" si="379"/>
        <v>-0.00104393964379521+0.00313972492869064i</v>
      </c>
      <c r="AG595" s="337">
        <f t="shared" si="408"/>
        <v>-49.606778020282761</v>
      </c>
      <c r="AH595" s="730">
        <f t="shared" si="409"/>
        <v>108.39165576756581</v>
      </c>
      <c r="AI595" s="360">
        <f t="shared" si="380"/>
        <v>-71.608344232434192</v>
      </c>
      <c r="AL595" s="337">
        <f t="shared" si="381"/>
        <v>-6.1510474154431609</v>
      </c>
      <c r="AM595" s="730">
        <f t="shared" si="382"/>
        <v>-89.529681585942711</v>
      </c>
      <c r="AN595" s="351"/>
      <c r="AO595" s="337">
        <f t="shared" si="383"/>
        <v>10.073391880202522</v>
      </c>
      <c r="AP595" s="730">
        <f t="shared" si="384"/>
        <v>-162.07866264649141</v>
      </c>
      <c r="AS595" s="351"/>
      <c r="AT595" s="351"/>
      <c r="AV595" s="405">
        <f t="shared" si="385"/>
        <v>0</v>
      </c>
      <c r="AW595" s="405">
        <f t="shared" si="369"/>
        <v>0</v>
      </c>
      <c r="AX595" s="405">
        <f t="shared" si="386"/>
        <v>0</v>
      </c>
      <c r="AY595" s="405">
        <f t="shared" si="387"/>
        <v>0</v>
      </c>
    </row>
    <row r="596" spans="2:51" ht="13.5" thickBot="1" x14ac:dyDescent="0.25">
      <c r="B596" s="345">
        <v>208930</v>
      </c>
      <c r="C596" s="728" t="str">
        <f t="shared" si="370"/>
        <v>2.2271548443541</v>
      </c>
      <c r="D596" s="728" t="str">
        <f t="shared" si="371"/>
        <v>1+159.717418591199i</v>
      </c>
      <c r="E596" s="337">
        <f t="shared" si="389"/>
        <v>159.7205490894527</v>
      </c>
      <c r="F596" s="338">
        <f t="shared" si="390"/>
        <v>1.5645353507399411</v>
      </c>
      <c r="G596" s="338" t="str">
        <f t="shared" si="372"/>
        <v>1+0.656372953114515i</v>
      </c>
      <c r="H596" s="337">
        <f t="shared" si="391"/>
        <v>1.1961711639979746</v>
      </c>
      <c r="I596" s="338">
        <f t="shared" si="392"/>
        <v>0.5808422900103315</v>
      </c>
      <c r="J596" s="340">
        <f t="shared" si="373"/>
        <v>1</v>
      </c>
      <c r="K596" s="338">
        <f t="shared" si="393"/>
        <v>1</v>
      </c>
      <c r="L596" s="339">
        <f t="shared" si="394"/>
        <v>0</v>
      </c>
      <c r="M596" s="731" t="str">
        <f t="shared" si="374"/>
        <v>-0.94007755111111+2.82955266440549i</v>
      </c>
      <c r="N596" s="338">
        <f t="shared" si="395"/>
        <v>2.981629434176432</v>
      </c>
      <c r="O596" s="339">
        <f t="shared" si="396"/>
        <v>1.8915584126961706</v>
      </c>
      <c r="P596" s="732" t="str">
        <f t="shared" si="388"/>
        <v>-0.00539684232586154-0.00147238290625488i</v>
      </c>
      <c r="Q596" s="337">
        <f t="shared" si="397"/>
        <v>5.5940878177627995E-3</v>
      </c>
      <c r="R596" s="339">
        <f t="shared" si="398"/>
        <v>-2.8752514734257804</v>
      </c>
      <c r="S596" s="731" t="str">
        <f t="shared" si="375"/>
        <v>6000</v>
      </c>
      <c r="T596" s="337" t="str">
        <f t="shared" si="376"/>
        <v>1+1325873.36529132i</v>
      </c>
      <c r="U596" s="346">
        <f t="shared" si="399"/>
        <v>1325873.3652916972</v>
      </c>
      <c r="V596" s="347">
        <f t="shared" si="400"/>
        <v>1.5707955725750546</v>
      </c>
      <c r="W596" s="340" t="str">
        <f t="shared" si="377"/>
        <v>1+13127.4590622903i</v>
      </c>
      <c r="X596" s="337">
        <f t="shared" si="401"/>
        <v>13127.459100378401</v>
      </c>
      <c r="Y596" s="339">
        <f t="shared" si="402"/>
        <v>1.5707201505910082</v>
      </c>
      <c r="Z596" s="337" t="str">
        <f t="shared" si="378"/>
        <v>1+132.238882930595i</v>
      </c>
      <c r="AA596" s="346">
        <f t="shared" si="403"/>
        <v>132.24266391271618</v>
      </c>
      <c r="AB596" s="347">
        <f t="shared" si="404"/>
        <v>1.5632343985870429</v>
      </c>
      <c r="AC596" s="732" t="str">
        <f t="shared" si="405"/>
        <v>0.00336305075575708-0.449206589092711i</v>
      </c>
      <c r="AD596" s="337">
        <f t="shared" si="406"/>
        <v>0.44921917790171595</v>
      </c>
      <c r="AE596" s="339">
        <f t="shared" si="407"/>
        <v>-1.5633098205710894</v>
      </c>
      <c r="AF596" s="736" t="str">
        <f t="shared" si="379"/>
        <v>-0.000679553957819858+0.00241934543462579i</v>
      </c>
      <c r="AG596" s="337">
        <f t="shared" si="408"/>
        <v>-51.996248629827832</v>
      </c>
      <c r="AH596" s="730">
        <f t="shared" si="409"/>
        <v>105.68917074385399</v>
      </c>
      <c r="AI596" s="360">
        <f t="shared" si="380"/>
        <v>-74.310829256146008</v>
      </c>
      <c r="AL596" s="337">
        <f t="shared" si="381"/>
        <v>-6.9508342254555444</v>
      </c>
      <c r="AM596" s="730">
        <f t="shared" si="382"/>
        <v>-89.571054790077426</v>
      </c>
      <c r="AN596" s="351"/>
      <c r="AO596" s="337">
        <f t="shared" si="383"/>
        <v>8.4837080806698424</v>
      </c>
      <c r="AP596" s="730">
        <f t="shared" si="384"/>
        <v>-164.73977446606858</v>
      </c>
      <c r="AS596" s="351"/>
      <c r="AT596" s="351"/>
      <c r="AV596" s="405">
        <f t="shared" si="385"/>
        <v>0</v>
      </c>
      <c r="AW596" s="405">
        <f t="shared" si="369"/>
        <v>0</v>
      </c>
      <c r="AX596" s="405">
        <f t="shared" si="386"/>
        <v>0</v>
      </c>
      <c r="AY596" s="405">
        <f t="shared" si="387"/>
        <v>0</v>
      </c>
    </row>
    <row r="597" spans="2:51" ht="13.5" thickBot="1" x14ac:dyDescent="0.25">
      <c r="B597" s="345">
        <v>229090</v>
      </c>
      <c r="C597" s="728" t="str">
        <f t="shared" si="370"/>
        <v>2.2271548443541</v>
      </c>
      <c r="D597" s="728" t="str">
        <f t="shared" si="371"/>
        <v>1+175.128815512649i</v>
      </c>
      <c r="E597" s="337">
        <f t="shared" si="389"/>
        <v>175.13167053067087</v>
      </c>
      <c r="F597" s="338">
        <f t="shared" si="390"/>
        <v>1.5650863062655072</v>
      </c>
      <c r="G597" s="338" t="str">
        <f t="shared" si="372"/>
        <v>1+0.719707461010885i</v>
      </c>
      <c r="H597" s="337">
        <f t="shared" si="391"/>
        <v>1.2320628350188696</v>
      </c>
      <c r="I597" s="338">
        <f t="shared" si="392"/>
        <v>0.62383036358576016</v>
      </c>
      <c r="J597" s="340">
        <f t="shared" si="373"/>
        <v>1</v>
      </c>
      <c r="K597" s="338">
        <f t="shared" si="393"/>
        <v>1</v>
      </c>
      <c r="L597" s="339">
        <f t="shared" si="394"/>
        <v>0</v>
      </c>
      <c r="M597" s="731" t="str">
        <f t="shared" si="374"/>
        <v>-1.33254347111111+3.10258086387141i</v>
      </c>
      <c r="N597" s="338">
        <f t="shared" si="395"/>
        <v>3.376637398250204</v>
      </c>
      <c r="O597" s="339">
        <f t="shared" si="396"/>
        <v>1.9764682475836084</v>
      </c>
      <c r="P597" s="732" t="str">
        <f t="shared" si="388"/>
        <v>-0.00452438162593902-0.00103013322875918i</v>
      </c>
      <c r="Q597" s="337">
        <f t="shared" si="397"/>
        <v>4.6401727948567201E-3</v>
      </c>
      <c r="R597" s="339">
        <f t="shared" si="398"/>
        <v>-2.9177241902633573</v>
      </c>
      <c r="S597" s="731" t="str">
        <f t="shared" si="375"/>
        <v>6000</v>
      </c>
      <c r="T597" s="337" t="str">
        <f t="shared" si="376"/>
        <v>1+1453809.07124199i</v>
      </c>
      <c r="U597" s="346">
        <f t="shared" si="399"/>
        <v>1453809.0712423341</v>
      </c>
      <c r="V597" s="347">
        <f t="shared" si="400"/>
        <v>1.5707956389466642</v>
      </c>
      <c r="W597" s="340" t="str">
        <f t="shared" si="377"/>
        <v>1+14394.1492202177i</v>
      </c>
      <c r="X597" s="337">
        <f t="shared" si="401"/>
        <v>14394.149254954036</v>
      </c>
      <c r="Y597" s="339">
        <f t="shared" si="402"/>
        <v>1.5707268541235291</v>
      </c>
      <c r="Z597" s="337" t="str">
        <f t="shared" si="378"/>
        <v>1+144.998830663715i</v>
      </c>
      <c r="AA597" s="346">
        <f t="shared" si="403"/>
        <v>145.00227892638344</v>
      </c>
      <c r="AB597" s="347">
        <f t="shared" si="404"/>
        <v>1.5638998287922747</v>
      </c>
      <c r="AC597" s="732" t="str">
        <f t="shared" si="405"/>
        <v>0.00279722205827753-0.409680154680565i</v>
      </c>
      <c r="AD597" s="337">
        <f t="shared" si="406"/>
        <v>0.40968970403261901</v>
      </c>
      <c r="AE597" s="339">
        <f t="shared" si="407"/>
        <v>-1.5639686136154098</v>
      </c>
      <c r="AF597" s="736" t="str">
        <f t="shared" si="379"/>
        <v>-0.000434680840583793+0.00185066785295815i</v>
      </c>
      <c r="AG597" s="337">
        <f t="shared" si="408"/>
        <v>-54.420215934504519</v>
      </c>
      <c r="AH597" s="730">
        <f t="shared" si="409"/>
        <v>103.21791726359452</v>
      </c>
      <c r="AI597" s="360">
        <f t="shared" si="380"/>
        <v>-76.782082736405485</v>
      </c>
      <c r="AL597" s="337">
        <f t="shared" si="381"/>
        <v>-7.7508990044619601</v>
      </c>
      <c r="AM597" s="730">
        <f t="shared" si="382"/>
        <v>-89.608800851089569</v>
      </c>
      <c r="AN597" s="351"/>
      <c r="AO597" s="337">
        <f t="shared" si="383"/>
        <v>6.859805554999582</v>
      </c>
      <c r="AP597" s="730">
        <f t="shared" si="384"/>
        <v>-167.17328188531596</v>
      </c>
      <c r="AS597" s="351"/>
      <c r="AT597" s="351"/>
      <c r="AV597" s="405">
        <f t="shared" si="385"/>
        <v>0</v>
      </c>
      <c r="AW597" s="405">
        <f t="shared" si="369"/>
        <v>0</v>
      </c>
      <c r="AX597" s="405">
        <f t="shared" si="386"/>
        <v>0</v>
      </c>
      <c r="AY597" s="405">
        <f t="shared" si="387"/>
        <v>0</v>
      </c>
    </row>
    <row r="598" spans="2:51" ht="13.5" thickBot="1" x14ac:dyDescent="0.25">
      <c r="B598" s="345">
        <v>251190</v>
      </c>
      <c r="C598" s="728" t="str">
        <f t="shared" si="370"/>
        <v>2.2271548443541</v>
      </c>
      <c r="D598" s="728" t="str">
        <f t="shared" si="371"/>
        <v>1+192.023253606104i</v>
      </c>
      <c r="E598" s="337">
        <f t="shared" si="389"/>
        <v>192.02585743975763</v>
      </c>
      <c r="F598" s="338">
        <f t="shared" si="390"/>
        <v>1.5655886712567666</v>
      </c>
      <c r="G598" s="338" t="str">
        <f t="shared" si="372"/>
        <v>1+0.78913665865522i</v>
      </c>
      <c r="H598" s="337">
        <f t="shared" si="391"/>
        <v>1.2738668164425688</v>
      </c>
      <c r="I598" s="338">
        <f t="shared" si="392"/>
        <v>0.6680817632512166</v>
      </c>
      <c r="J598" s="340">
        <f t="shared" si="373"/>
        <v>1</v>
      </c>
      <c r="K598" s="338">
        <f t="shared" si="393"/>
        <v>1</v>
      </c>
      <c r="L598" s="339">
        <f t="shared" si="394"/>
        <v>0</v>
      </c>
      <c r="M598" s="731" t="str">
        <f t="shared" si="374"/>
        <v>-1.80428516+3.40188261030974i</v>
      </c>
      <c r="N598" s="338">
        <f t="shared" si="395"/>
        <v>3.8507467110839735</v>
      </c>
      <c r="O598" s="339">
        <f t="shared" si="396"/>
        <v>2.0584503012250224</v>
      </c>
      <c r="P598" s="732" t="str">
        <f t="shared" si="388"/>
        <v>-0.00377088586395305-0.00070816338163738i</v>
      </c>
      <c r="Q598" s="337">
        <f t="shared" si="397"/>
        <v>3.8368053865231464E-3</v>
      </c>
      <c r="R598" s="339">
        <f t="shared" si="398"/>
        <v>-2.9559572092305721</v>
      </c>
      <c r="S598" s="731" t="str">
        <f t="shared" si="375"/>
        <v>6000</v>
      </c>
      <c r="T598" s="337" t="str">
        <f t="shared" si="376"/>
        <v>1+1594056.05048354i</v>
      </c>
      <c r="U598" s="346">
        <f t="shared" si="399"/>
        <v>1594056.0504838536</v>
      </c>
      <c r="V598" s="347">
        <f t="shared" si="400"/>
        <v>1.5707956994643835</v>
      </c>
      <c r="W598" s="340" t="str">
        <f t="shared" si="377"/>
        <v>1+15782.7331731044i</v>
      </c>
      <c r="X598" s="337">
        <f t="shared" si="401"/>
        <v>15782.73320478459</v>
      </c>
      <c r="Y598" s="339">
        <f t="shared" si="402"/>
        <v>1.5707329664131622</v>
      </c>
      <c r="Z598" s="337" t="str">
        <f t="shared" si="378"/>
        <v>1+158.986670192582i</v>
      </c>
      <c r="AA598" s="346">
        <f t="shared" si="403"/>
        <v>158.98981507922088</v>
      </c>
      <c r="AB598" s="347">
        <f t="shared" si="404"/>
        <v>1.5645065742530122</v>
      </c>
      <c r="AC598" s="732" t="str">
        <f t="shared" si="405"/>
        <v>0.00232668715184659-0.373638958771132i</v>
      </c>
      <c r="AD598" s="337">
        <f t="shared" si="406"/>
        <v>0.37364620295766188</v>
      </c>
      <c r="AE598" s="339">
        <f t="shared" si="407"/>
        <v>-1.5645693073042335</v>
      </c>
      <c r="AF598" s="736" t="str">
        <f t="shared" si="379"/>
        <v>-0.000273371100245574+0.00140730219321073i</v>
      </c>
      <c r="AG598" s="337">
        <f t="shared" si="408"/>
        <v>-56.871393112295145</v>
      </c>
      <c r="AH598" s="730">
        <f t="shared" si="409"/>
        <v>100.9929094255797</v>
      </c>
      <c r="AI598" s="360">
        <f t="shared" si="380"/>
        <v>-79.007090574420303</v>
      </c>
      <c r="AL598" s="337">
        <f t="shared" si="381"/>
        <v>-8.550788534871824</v>
      </c>
      <c r="AM598" s="730">
        <f t="shared" si="382"/>
        <v>-89.643218064239306</v>
      </c>
      <c r="AN598" s="351"/>
      <c r="AO598" s="337">
        <f t="shared" si="383"/>
        <v>5.2085179076188481</v>
      </c>
      <c r="AP598" s="730">
        <f t="shared" si="384"/>
        <v>-169.36387251018104</v>
      </c>
      <c r="AS598" s="351"/>
      <c r="AT598" s="351"/>
      <c r="AV598" s="405">
        <f t="shared" si="385"/>
        <v>0</v>
      </c>
      <c r="AW598" s="405">
        <f t="shared" si="369"/>
        <v>0</v>
      </c>
      <c r="AX598" s="405">
        <f t="shared" si="386"/>
        <v>0</v>
      </c>
      <c r="AY598" s="405">
        <f t="shared" si="387"/>
        <v>0</v>
      </c>
    </row>
    <row r="599" spans="2:51" ht="13.5" thickBot="1" x14ac:dyDescent="0.25">
      <c r="B599" s="345">
        <v>275420</v>
      </c>
      <c r="C599" s="728" t="str">
        <f t="shared" si="370"/>
        <v>2.2271548443541</v>
      </c>
      <c r="D599" s="728" t="str">
        <f t="shared" si="371"/>
        <v>1+210.545979171914i</v>
      </c>
      <c r="E599" s="337">
        <f t="shared" si="389"/>
        <v>210.54835393671459</v>
      </c>
      <c r="F599" s="338">
        <f t="shared" si="390"/>
        <v>1.5660468061219959</v>
      </c>
      <c r="G599" s="338" t="str">
        <f t="shared" si="372"/>
        <v>1+0.8652574486517i</v>
      </c>
      <c r="H599" s="337">
        <f t="shared" si="391"/>
        <v>1.3223730383092545</v>
      </c>
      <c r="I599" s="338">
        <f t="shared" si="392"/>
        <v>0.7132853806319529</v>
      </c>
      <c r="J599" s="340">
        <f t="shared" si="373"/>
        <v>1</v>
      </c>
      <c r="K599" s="338">
        <f t="shared" si="393"/>
        <v>1</v>
      </c>
      <c r="L599" s="339">
        <f t="shared" si="394"/>
        <v>0</v>
      </c>
      <c r="M599" s="731" t="str">
        <f t="shared" si="374"/>
        <v>-2.37138561777778+3.73003108615593i</v>
      </c>
      <c r="N599" s="338">
        <f t="shared" si="395"/>
        <v>4.4200228112412372</v>
      </c>
      <c r="O599" s="339">
        <f t="shared" si="396"/>
        <v>2.1370921626060015</v>
      </c>
      <c r="P599" s="732" t="str">
        <f t="shared" si="388"/>
        <v>-0.00312830416413511-0.000478362993515688i</v>
      </c>
      <c r="Q599" s="337">
        <f t="shared" si="397"/>
        <v>3.1646671384065591E-3</v>
      </c>
      <c r="R599" s="339">
        <f t="shared" si="398"/>
        <v>-2.9898535880960457</v>
      </c>
      <c r="S599" s="731" t="str">
        <f t="shared" si="375"/>
        <v>6000</v>
      </c>
      <c r="T599" s="337" t="str">
        <f t="shared" si="376"/>
        <v>1+1747820.04627643i</v>
      </c>
      <c r="U599" s="346">
        <f t="shared" si="399"/>
        <v>1747820.0462767158</v>
      </c>
      <c r="V599" s="347">
        <f t="shared" si="400"/>
        <v>1.5707957546536158</v>
      </c>
      <c r="W599" s="340" t="str">
        <f t="shared" si="377"/>
        <v>1+17305.148973034i</v>
      </c>
      <c r="X599" s="337">
        <f t="shared" si="401"/>
        <v>17305.149001927133</v>
      </c>
      <c r="Y599" s="339">
        <f t="shared" si="402"/>
        <v>1.5707385405255934</v>
      </c>
      <c r="Z599" s="337" t="str">
        <f t="shared" si="378"/>
        <v>1+174.322658961109i</v>
      </c>
      <c r="AA599" s="346">
        <f t="shared" si="403"/>
        <v>174.32552718196814</v>
      </c>
      <c r="AB599" s="347">
        <f t="shared" si="404"/>
        <v>1.5650599008071655</v>
      </c>
      <c r="AC599" s="732" t="str">
        <f t="shared" si="405"/>
        <v>0.00193532820335249-0.340770417465085i</v>
      </c>
      <c r="AD599" s="337">
        <f t="shared" si="406"/>
        <v>0.34077591304929844</v>
      </c>
      <c r="AE599" s="339">
        <f t="shared" si="407"/>
        <v>-1.5651171149351877</v>
      </c>
      <c r="AF599" s="736" t="str">
        <f t="shared" si="379"/>
        <v>-0.000169066252277704+0.00106510772657729i</v>
      </c>
      <c r="AG599" s="337">
        <f t="shared" si="408"/>
        <v>-59.344061450250791</v>
      </c>
      <c r="AH599" s="730">
        <f t="shared" si="409"/>
        <v>99.019402910572879</v>
      </c>
      <c r="AI599" s="360">
        <f t="shared" si="380"/>
        <v>-80.980597089427121</v>
      </c>
      <c r="AL599" s="337">
        <f t="shared" si="381"/>
        <v>-9.3506221982632365</v>
      </c>
      <c r="AM599" s="730">
        <f t="shared" si="382"/>
        <v>-89.674605129478039</v>
      </c>
      <c r="AN599" s="351"/>
      <c r="AO599" s="337">
        <f t="shared" si="383"/>
        <v>3.5356832330545873</v>
      </c>
      <c r="AP599" s="730">
        <f t="shared" si="384"/>
        <v>-171.30599195994904</v>
      </c>
      <c r="AS599" s="351"/>
      <c r="AT599" s="351"/>
      <c r="AV599" s="405">
        <f t="shared" si="385"/>
        <v>0</v>
      </c>
      <c r="AW599" s="405">
        <f t="shared" si="369"/>
        <v>0</v>
      </c>
      <c r="AX599" s="405">
        <f t="shared" si="386"/>
        <v>0</v>
      </c>
      <c r="AY599" s="405">
        <f t="shared" si="387"/>
        <v>0</v>
      </c>
    </row>
    <row r="600" spans="2:51" ht="13.5" thickBot="1" x14ac:dyDescent="0.25">
      <c r="B600" s="345">
        <v>302000</v>
      </c>
      <c r="C600" s="728" t="str">
        <f t="shared" si="370"/>
        <v>2.2271548443541</v>
      </c>
      <c r="D600" s="728" t="str">
        <f t="shared" si="371"/>
        <v>1+230.865172136803i</v>
      </c>
      <c r="E600" s="337">
        <f t="shared" si="389"/>
        <v>230.86733789290264</v>
      </c>
      <c r="F600" s="338">
        <f t="shared" si="390"/>
        <v>1.5664648213679115</v>
      </c>
      <c r="G600" s="338" t="str">
        <f t="shared" si="372"/>
        <v>1+0.94876098138412i</v>
      </c>
      <c r="H600" s="337">
        <f t="shared" si="391"/>
        <v>1.3784583416980576</v>
      </c>
      <c r="I600" s="338">
        <f t="shared" si="392"/>
        <v>0.75911109364588014</v>
      </c>
      <c r="J600" s="340">
        <f t="shared" si="373"/>
        <v>1</v>
      </c>
      <c r="K600" s="338">
        <f t="shared" si="393"/>
        <v>1</v>
      </c>
      <c r="L600" s="339">
        <f t="shared" si="394"/>
        <v>0</v>
      </c>
      <c r="M600" s="731" t="str">
        <f t="shared" si="374"/>
        <v>-3.05351111111113+4.09000576580893i</v>
      </c>
      <c r="N600" s="338">
        <f t="shared" si="395"/>
        <v>5.1041235555214977</v>
      </c>
      <c r="O600" s="339">
        <f t="shared" si="396"/>
        <v>2.2121041933107199</v>
      </c>
      <c r="P600" s="732" t="str">
        <f t="shared" si="388"/>
        <v>-0.00258590840177268-0.000317409055101743i</v>
      </c>
      <c r="Q600" s="337">
        <f t="shared" si="397"/>
        <v>2.6053158677248941E-3</v>
      </c>
      <c r="R600" s="339">
        <f t="shared" si="398"/>
        <v>-3.0194579210327519</v>
      </c>
      <c r="S600" s="731" t="str">
        <f t="shared" si="375"/>
        <v>6000</v>
      </c>
      <c r="T600" s="337" t="str">
        <f t="shared" si="376"/>
        <v>1+1916497.18239592i</v>
      </c>
      <c r="U600" s="346">
        <f t="shared" si="399"/>
        <v>1916497.1823961807</v>
      </c>
      <c r="V600" s="347">
        <f t="shared" si="400"/>
        <v>1.5707958050096265</v>
      </c>
      <c r="W600" s="340" t="str">
        <f t="shared" si="377"/>
        <v>1+18975.2196276824i</v>
      </c>
      <c r="X600" s="337">
        <f t="shared" si="401"/>
        <v>18975.219654032557</v>
      </c>
      <c r="Y600" s="339">
        <f t="shared" si="402"/>
        <v>1.5707436264826633</v>
      </c>
      <c r="Z600" s="337" t="str">
        <f t="shared" si="378"/>
        <v>1+191.14604243067i</v>
      </c>
      <c r="AA600" s="346">
        <f t="shared" si="403"/>
        <v>191.1486582137251</v>
      </c>
      <c r="AB600" s="347">
        <f t="shared" si="404"/>
        <v>1.5655647726166666</v>
      </c>
      <c r="AC600" s="732" t="str">
        <f t="shared" si="405"/>
        <v>0.00160965977945459-0.310779810978529i</v>
      </c>
      <c r="AD600" s="337">
        <f t="shared" si="406"/>
        <v>0.31078397950418196</v>
      </c>
      <c r="AE600" s="339">
        <f t="shared" si="407"/>
        <v>-1.5656169511436298</v>
      </c>
      <c r="AF600" s="736" t="str">
        <f t="shared" si="379"/>
        <v>-0.00010280675889508+0.000803137203721072i</v>
      </c>
      <c r="AG600" s="337">
        <f t="shared" si="408"/>
        <v>-61.833619840559024</v>
      </c>
      <c r="AH600" s="730">
        <f t="shared" si="409"/>
        <v>97.29456107280788</v>
      </c>
      <c r="AI600" s="360">
        <f t="shared" si="380"/>
        <v>-82.70543892719212</v>
      </c>
      <c r="AL600" s="337">
        <f t="shared" si="381"/>
        <v>-10.150827531801864</v>
      </c>
      <c r="AM600" s="730">
        <f t="shared" si="382"/>
        <v>-89.70324363466959</v>
      </c>
      <c r="AN600" s="351"/>
      <c r="AO600" s="337">
        <f t="shared" si="383"/>
        <v>1.8463301762849473</v>
      </c>
      <c r="AP600" s="730">
        <f t="shared" si="384"/>
        <v>-173.00219529252249</v>
      </c>
      <c r="AS600" s="351"/>
      <c r="AT600" s="351"/>
      <c r="AV600" s="405">
        <f t="shared" si="385"/>
        <v>0</v>
      </c>
      <c r="AW600" s="405">
        <f t="shared" si="369"/>
        <v>0</v>
      </c>
      <c r="AX600" s="405">
        <f t="shared" si="386"/>
        <v>0</v>
      </c>
      <c r="AY600" s="405">
        <f t="shared" si="387"/>
        <v>0</v>
      </c>
    </row>
    <row r="601" spans="2:51" ht="13.5" thickBot="1" x14ac:dyDescent="0.25">
      <c r="B601" s="345">
        <v>331130</v>
      </c>
      <c r="C601" s="728" t="str">
        <f t="shared" si="370"/>
        <v>2.2271548443541</v>
      </c>
      <c r="D601" s="728" t="str">
        <f t="shared" si="371"/>
        <v>1+253.133723343243i</v>
      </c>
      <c r="E601" s="337">
        <f t="shared" si="389"/>
        <v>253.13569857610656</v>
      </c>
      <c r="F601" s="338">
        <f t="shared" si="390"/>
        <v>1.5668458662053673</v>
      </c>
      <c r="G601" s="338" t="str">
        <f t="shared" si="372"/>
        <v>1+1.04027557538319i</v>
      </c>
      <c r="H601" s="337">
        <f t="shared" si="391"/>
        <v>1.4429737602391899</v>
      </c>
      <c r="I601" s="338">
        <f t="shared" si="392"/>
        <v>0.80513586235856061</v>
      </c>
      <c r="J601" s="340">
        <f t="shared" si="373"/>
        <v>1</v>
      </c>
      <c r="K601" s="338">
        <f t="shared" si="393"/>
        <v>1</v>
      </c>
      <c r="L601" s="339">
        <f t="shared" si="394"/>
        <v>0</v>
      </c>
      <c r="M601" s="731" t="str">
        <f t="shared" si="374"/>
        <v>-3.8732034177778+4.48451526235864i</v>
      </c>
      <c r="N601" s="338">
        <f t="shared" si="395"/>
        <v>5.9255870471889294</v>
      </c>
      <c r="O601" s="339">
        <f t="shared" si="396"/>
        <v>2.2831811248940848</v>
      </c>
      <c r="P601" s="732" t="str">
        <f t="shared" si="388"/>
        <v>-0.00213250624373991-0.000206861808863048i</v>
      </c>
      <c r="Q601" s="337">
        <f t="shared" si="397"/>
        <v>2.1425159713653929E-3</v>
      </c>
      <c r="R601" s="339">
        <f t="shared" si="398"/>
        <v>-3.044891128740892</v>
      </c>
      <c r="S601" s="731" t="str">
        <f t="shared" si="375"/>
        <v>6000</v>
      </c>
      <c r="T601" s="337" t="str">
        <f t="shared" si="376"/>
        <v>1+2101356.66227404i</v>
      </c>
      <c r="U601" s="346">
        <f t="shared" si="399"/>
        <v>2101356.6622742778</v>
      </c>
      <c r="V601" s="347">
        <f t="shared" si="400"/>
        <v>1.5707958509118549</v>
      </c>
      <c r="W601" s="340" t="str">
        <f t="shared" si="377"/>
        <v>1+20805.5115076638i</v>
      </c>
      <c r="X601" s="337">
        <f t="shared" si="401"/>
        <v>20805.511531695891</v>
      </c>
      <c r="Y601" s="339">
        <f t="shared" si="402"/>
        <v>1.5707482626077287</v>
      </c>
      <c r="Z601" s="337" t="str">
        <f t="shared" si="378"/>
        <v>1+209.58340738433i</v>
      </c>
      <c r="AA601" s="346">
        <f t="shared" si="403"/>
        <v>209.58579305579383</v>
      </c>
      <c r="AB601" s="347">
        <f t="shared" si="404"/>
        <v>1.5660249929191552</v>
      </c>
      <c r="AC601" s="732" t="str">
        <f t="shared" si="405"/>
        <v>0.00133891473001537-0.283441339283791i</v>
      </c>
      <c r="AD601" s="337">
        <f t="shared" si="406"/>
        <v>0.28344450163593471</v>
      </c>
      <c r="AE601" s="339">
        <f t="shared" si="407"/>
        <v>-1.5660725812232816</v>
      </c>
      <c r="AF601" s="736" t="str">
        <f t="shared" si="379"/>
        <v>-0.000061488432172403+0.000604163455433722i</v>
      </c>
      <c r="AG601" s="337">
        <f t="shared" si="408"/>
        <v>-64.332157902981578</v>
      </c>
      <c r="AH601" s="730">
        <f t="shared" si="409"/>
        <v>95.811239931068641</v>
      </c>
      <c r="AI601" s="360">
        <f t="shared" si="380"/>
        <v>-84.188760068931359</v>
      </c>
      <c r="AL601" s="337">
        <f t="shared" si="381"/>
        <v>-10.950639264011198</v>
      </c>
      <c r="AM601" s="730">
        <f t="shared" si="382"/>
        <v>-89.729349315252847</v>
      </c>
      <c r="AN601" s="351"/>
      <c r="AO601" s="337">
        <f t="shared" si="383"/>
        <v>0.14760384607175248</v>
      </c>
      <c r="AP601" s="730">
        <f t="shared" si="384"/>
        <v>-174.4594107536785</v>
      </c>
      <c r="AS601" s="351"/>
      <c r="AT601" s="351"/>
      <c r="AV601" s="405">
        <f t="shared" si="385"/>
        <v>0</v>
      </c>
      <c r="AW601" s="405">
        <f t="shared" si="369"/>
        <v>0</v>
      </c>
      <c r="AX601" s="405">
        <f t="shared" si="386"/>
        <v>0</v>
      </c>
      <c r="AY601" s="405">
        <f t="shared" si="387"/>
        <v>0</v>
      </c>
    </row>
    <row r="602" spans="2:51" ht="13.5" thickBot="1" x14ac:dyDescent="0.25">
      <c r="B602" s="345">
        <v>363080</v>
      </c>
      <c r="C602" s="728" t="str">
        <f t="shared" si="370"/>
        <v>2.2271548443541</v>
      </c>
      <c r="D602" s="728" t="str">
        <f t="shared" si="371"/>
        <v>1+277.558035428576i</v>
      </c>
      <c r="E602" s="337">
        <f t="shared" si="389"/>
        <v>277.55983684778795</v>
      </c>
      <c r="F602" s="338">
        <f t="shared" si="390"/>
        <v>1.5671934922682484</v>
      </c>
      <c r="G602" s="338" t="str">
        <f t="shared" si="372"/>
        <v>1+1.14064946066538i</v>
      </c>
      <c r="H602" s="337">
        <f t="shared" si="391"/>
        <v>1.516931505413551</v>
      </c>
      <c r="I602" s="338">
        <f t="shared" si="392"/>
        <v>0.8510079654322612</v>
      </c>
      <c r="J602" s="340">
        <f t="shared" si="373"/>
        <v>1</v>
      </c>
      <c r="K602" s="338">
        <f t="shared" si="393"/>
        <v>1</v>
      </c>
      <c r="L602" s="339">
        <f t="shared" si="394"/>
        <v>0</v>
      </c>
      <c r="M602" s="731" t="str">
        <f t="shared" si="374"/>
        <v>-4.85898161777776+4.91721620347649i</v>
      </c>
      <c r="N602" s="338">
        <f t="shared" si="395"/>
        <v>6.9129384167395793</v>
      </c>
      <c r="O602" s="339">
        <f t="shared" si="396"/>
        <v>2.3502377882110443</v>
      </c>
      <c r="P602" s="732" t="str">
        <f t="shared" si="388"/>
        <v>-0.00175577531999415-0.000132229614670597i</v>
      </c>
      <c r="Q602" s="337">
        <f t="shared" si="397"/>
        <v>1.7607474677807987E-3</v>
      </c>
      <c r="R602" s="339">
        <f t="shared" si="398"/>
        <v>-3.0664233150470328</v>
      </c>
      <c r="S602" s="731" t="str">
        <f t="shared" si="375"/>
        <v>6000</v>
      </c>
      <c r="T602" s="337" t="str">
        <f t="shared" si="376"/>
        <v>1+2304111.91054407i</v>
      </c>
      <c r="U602" s="346">
        <f t="shared" si="399"/>
        <v>2304111.9105442869</v>
      </c>
      <c r="V602" s="347">
        <f t="shared" si="400"/>
        <v>1.5707958927881995</v>
      </c>
      <c r="W602" s="340" t="str">
        <f t="shared" si="377"/>
        <v>1+22812.9892133076i</v>
      </c>
      <c r="X602" s="337">
        <f t="shared" si="401"/>
        <v>22812.989235224934</v>
      </c>
      <c r="Y602" s="339">
        <f t="shared" si="402"/>
        <v>1.5707524921185194</v>
      </c>
      <c r="Z602" s="337" t="str">
        <f t="shared" si="378"/>
        <v>1+229.80564597923i</v>
      </c>
      <c r="AA602" s="346">
        <f t="shared" si="403"/>
        <v>229.80782172052193</v>
      </c>
      <c r="AB602" s="347">
        <f t="shared" si="404"/>
        <v>1.5664448510774458</v>
      </c>
      <c r="AC602" s="732" t="str">
        <f t="shared" si="405"/>
        <v>0.00111364555415009-0.258500293569781i</v>
      </c>
      <c r="AD602" s="337">
        <f t="shared" si="406"/>
        <v>0.25850269240780305</v>
      </c>
      <c r="AE602" s="339">
        <f t="shared" si="407"/>
        <v>-1.5664882517471259</v>
      </c>
      <c r="AF602" s="736" t="str">
        <f t="shared" si="379"/>
        <v>-0.0000361367055901663+0.000453721178738559i</v>
      </c>
      <c r="AG602" s="337">
        <f t="shared" si="408"/>
        <v>-66.836757134269959</v>
      </c>
      <c r="AH602" s="730">
        <f t="shared" si="409"/>
        <v>94.553720365353129</v>
      </c>
      <c r="AI602" s="360">
        <f t="shared" si="380"/>
        <v>-85.446279634646871</v>
      </c>
      <c r="AL602" s="337">
        <f t="shared" si="381"/>
        <v>-11.750698583952996</v>
      </c>
      <c r="AM602" s="730">
        <f t="shared" si="382"/>
        <v>-89.753165481937117</v>
      </c>
      <c r="AN602" s="351"/>
      <c r="AO602" s="337">
        <f t="shared" si="383"/>
        <v>-1.5569360652748256</v>
      </c>
      <c r="AP602" s="730">
        <f t="shared" si="384"/>
        <v>-175.69311415270977</v>
      </c>
      <c r="AS602" s="351"/>
      <c r="AT602" s="351"/>
      <c r="AV602" s="405">
        <f t="shared" si="385"/>
        <v>0</v>
      </c>
      <c r="AW602" s="405">
        <f t="shared" ref="AW602:AW612" si="410">IF(AV602&gt;0,AI602,0)</f>
        <v>0</v>
      </c>
      <c r="AX602" s="405">
        <f t="shared" si="386"/>
        <v>0</v>
      </c>
      <c r="AY602" s="405">
        <f t="shared" si="387"/>
        <v>0</v>
      </c>
    </row>
    <row r="603" spans="2:51" ht="13.5" thickBot="1" x14ac:dyDescent="0.25">
      <c r="B603" s="345">
        <v>398110</v>
      </c>
      <c r="C603" s="728" t="str">
        <f t="shared" si="370"/>
        <v>2.2271548443541</v>
      </c>
      <c r="D603" s="728" t="str">
        <f t="shared" si="371"/>
        <v>1+304.336866488021i</v>
      </c>
      <c r="E603" s="337">
        <f t="shared" si="389"/>
        <v>304.33850939989094</v>
      </c>
      <c r="F603" s="338">
        <f t="shared" si="390"/>
        <v>1.5675105060112879</v>
      </c>
      <c r="G603" s="338" t="str">
        <f t="shared" si="372"/>
        <v>1+1.25069945132063i</v>
      </c>
      <c r="H603" s="337">
        <f t="shared" si="391"/>
        <v>1.6013272986912215</v>
      </c>
      <c r="I603" s="338">
        <f t="shared" si="392"/>
        <v>0.89632824807762534</v>
      </c>
      <c r="J603" s="340">
        <f t="shared" si="373"/>
        <v>1</v>
      </c>
      <c r="K603" s="338">
        <f t="shared" si="393"/>
        <v>1</v>
      </c>
      <c r="L603" s="339">
        <f t="shared" si="394"/>
        <v>0</v>
      </c>
      <c r="M603" s="731" t="str">
        <f t="shared" si="374"/>
        <v>-6.04406987111114+5.39162978617944i</v>
      </c>
      <c r="N603" s="338">
        <f t="shared" si="395"/>
        <v>8.0994106179456526</v>
      </c>
      <c r="O603" s="339">
        <f t="shared" si="396"/>
        <v>2.4131856300875869</v>
      </c>
      <c r="P603" s="732" t="str">
        <f t="shared" si="388"/>
        <v>-0.00144447064030402-0.000082749839731346i</v>
      </c>
      <c r="Q603" s="337">
        <f t="shared" si="397"/>
        <v>1.4468389567176677E-3</v>
      </c>
      <c r="R603" s="339">
        <f t="shared" si="398"/>
        <v>-3.0843678880212488</v>
      </c>
      <c r="S603" s="731" t="str">
        <f t="shared" si="375"/>
        <v>6000</v>
      </c>
      <c r="T603" s="337" t="str">
        <f t="shared" si="376"/>
        <v>1+2526412.89166768i</v>
      </c>
      <c r="U603" s="346">
        <f t="shared" si="399"/>
        <v>2526412.8916678778</v>
      </c>
      <c r="V603" s="347">
        <f t="shared" si="400"/>
        <v>1.5707959309767772</v>
      </c>
      <c r="W603" s="340" t="str">
        <f t="shared" si="377"/>
        <v>1+25013.9890264127i</v>
      </c>
      <c r="X603" s="337">
        <f t="shared" si="401"/>
        <v>25013.989046401515</v>
      </c>
      <c r="Y603" s="339">
        <f t="shared" si="402"/>
        <v>1.5707563491648429</v>
      </c>
      <c r="Z603" s="337" t="str">
        <f t="shared" si="378"/>
        <v>1+251.977321033358i</v>
      </c>
      <c r="AA603" s="346">
        <f t="shared" si="403"/>
        <v>251.97930533110843</v>
      </c>
      <c r="AB603" s="347">
        <f t="shared" si="404"/>
        <v>1.5668277365027603</v>
      </c>
      <c r="AC603" s="732" t="str">
        <f t="shared" si="405"/>
        <v>0.00092628973529646-0.235755400770336i</v>
      </c>
      <c r="AD603" s="337">
        <f t="shared" si="406"/>
        <v>0.23575722047278944</v>
      </c>
      <c r="AE603" s="339">
        <f t="shared" si="407"/>
        <v>-1.5668673183146944</v>
      </c>
      <c r="AF603" s="736" t="str">
        <f t="shared" si="379"/>
        <v>-0.0000208467199565953+0.000340465104378718i</v>
      </c>
      <c r="AG603" s="337">
        <f t="shared" si="408"/>
        <v>-69.342296071346993</v>
      </c>
      <c r="AH603" s="730">
        <f t="shared" si="409"/>
        <v>93.503853154289828</v>
      </c>
      <c r="AI603" s="360">
        <f t="shared" si="380"/>
        <v>-86.496146845710172</v>
      </c>
      <c r="AL603" s="337">
        <f t="shared" si="381"/>
        <v>-12.550699947340242</v>
      </c>
      <c r="AM603" s="730">
        <f t="shared" si="382"/>
        <v>-89.774884396413299</v>
      </c>
      <c r="AN603" s="351"/>
      <c r="AO603" s="337">
        <f t="shared" si="383"/>
        <v>-3.2624736389646292</v>
      </c>
      <c r="AP603" s="730">
        <f t="shared" si="384"/>
        <v>-176.72126244929686</v>
      </c>
      <c r="AS603" s="351"/>
      <c r="AT603" s="351"/>
      <c r="AV603" s="405">
        <f t="shared" si="385"/>
        <v>0</v>
      </c>
      <c r="AW603" s="405">
        <f t="shared" si="410"/>
        <v>0</v>
      </c>
      <c r="AX603" s="405">
        <f t="shared" si="386"/>
        <v>0</v>
      </c>
      <c r="AY603" s="405">
        <f t="shared" si="387"/>
        <v>0</v>
      </c>
    </row>
    <row r="604" spans="2:51" ht="13.5" thickBot="1" x14ac:dyDescent="0.25">
      <c r="B604" s="345">
        <v>436520</v>
      </c>
      <c r="C604" s="728" t="str">
        <f t="shared" si="370"/>
        <v>2.2271548443541</v>
      </c>
      <c r="D604" s="728" t="str">
        <f t="shared" si="371"/>
        <v>1+333.699552785287i</v>
      </c>
      <c r="E604" s="337">
        <f t="shared" si="389"/>
        <v>333.70105113574419</v>
      </c>
      <c r="F604" s="338">
        <f t="shared" si="390"/>
        <v>1.5677996281231406</v>
      </c>
      <c r="G604" s="338" t="str">
        <f t="shared" si="372"/>
        <v>1+1.37136802514501i</v>
      </c>
      <c r="H604" s="337">
        <f t="shared" si="391"/>
        <v>1.6972478488394453</v>
      </c>
      <c r="I604" s="338">
        <f t="shared" si="392"/>
        <v>0.94074139958527458</v>
      </c>
      <c r="J604" s="340">
        <f t="shared" si="373"/>
        <v>1</v>
      </c>
      <c r="K604" s="338">
        <f t="shared" si="393"/>
        <v>1</v>
      </c>
      <c r="L604" s="339">
        <f t="shared" si="394"/>
        <v>0</v>
      </c>
      <c r="M604" s="731" t="str">
        <f t="shared" si="374"/>
        <v>-7.46887601777776+5.91181893010234i</v>
      </c>
      <c r="N604" s="338">
        <f t="shared" si="395"/>
        <v>9.5254245066166021</v>
      </c>
      <c r="O604" s="339">
        <f t="shared" si="396"/>
        <v>2.4720394141423823</v>
      </c>
      <c r="P604" s="732" t="str">
        <f t="shared" si="388"/>
        <v>-0.00118812331240359-0.0000505197267286498i</v>
      </c>
      <c r="Q604" s="337">
        <f t="shared" si="397"/>
        <v>1.1891968921358719E-3</v>
      </c>
      <c r="R604" s="339">
        <f t="shared" si="398"/>
        <v>-3.099097642680249</v>
      </c>
      <c r="S604" s="731" t="str">
        <f t="shared" si="375"/>
        <v>6000</v>
      </c>
      <c r="T604" s="337" t="str">
        <f t="shared" si="376"/>
        <v>1+2770163.41079293i</v>
      </c>
      <c r="U604" s="346">
        <f t="shared" si="399"/>
        <v>2770163.4107931107</v>
      </c>
      <c r="V604" s="347">
        <f t="shared" si="400"/>
        <v>1.5707959658053621</v>
      </c>
      <c r="W604" s="340" t="str">
        <f t="shared" si="377"/>
        <v>1+27427.3605029003i</v>
      </c>
      <c r="X604" s="337">
        <f t="shared" si="401"/>
        <v>27427.360521130271</v>
      </c>
      <c r="Y604" s="339">
        <f t="shared" si="402"/>
        <v>1.5707598668519338</v>
      </c>
      <c r="Z604" s="337" t="str">
        <f t="shared" si="378"/>
        <v>1+276.288312721311i</v>
      </c>
      <c r="AA604" s="346">
        <f t="shared" si="403"/>
        <v>276.29012241915007</v>
      </c>
      <c r="AB604" s="347">
        <f t="shared" si="404"/>
        <v>1.5671769350678952</v>
      </c>
      <c r="AC604" s="732" t="str">
        <f t="shared" si="405"/>
        <v>0.000770452524241494-0.215011520238392i</v>
      </c>
      <c r="AD604" s="337">
        <f t="shared" si="406"/>
        <v>0.21501290061835027</v>
      </c>
      <c r="AE604" s="339">
        <f t="shared" si="407"/>
        <v>-1.5672130340213235</v>
      </c>
      <c r="AF604" s="736" t="str">
        <f t="shared" si="379"/>
        <v>-0.0000117777158511066+0.000255421276579588i</v>
      </c>
      <c r="AG604" s="337">
        <f t="shared" si="408"/>
        <v>-71.84563432810431</v>
      </c>
      <c r="AH604" s="730">
        <f t="shared" si="409"/>
        <v>92.640092328164698</v>
      </c>
      <c r="AI604" s="360">
        <f t="shared" si="380"/>
        <v>-87.359907671835302</v>
      </c>
      <c r="AL604" s="337">
        <f t="shared" si="381"/>
        <v>-13.350709638964052</v>
      </c>
      <c r="AM604" s="730">
        <f t="shared" si="382"/>
        <v>-89.794692447314532</v>
      </c>
      <c r="AN604" s="351"/>
      <c r="AO604" s="337">
        <f t="shared" si="383"/>
        <v>-4.9658022040981296</v>
      </c>
      <c r="AP604" s="730">
        <f t="shared" si="384"/>
        <v>-177.56521522452076</v>
      </c>
      <c r="AS604" s="351"/>
      <c r="AT604" s="351"/>
      <c r="AV604" s="405">
        <f t="shared" si="385"/>
        <v>0</v>
      </c>
      <c r="AW604" s="405">
        <f t="shared" si="410"/>
        <v>0</v>
      </c>
      <c r="AX604" s="405">
        <f t="shared" si="386"/>
        <v>0</v>
      </c>
      <c r="AY604" s="405">
        <f t="shared" si="387"/>
        <v>0</v>
      </c>
    </row>
    <row r="605" spans="2:51" ht="13.5" thickBot="1" x14ac:dyDescent="0.25">
      <c r="B605" s="345">
        <v>478630</v>
      </c>
      <c r="C605" s="728" t="str">
        <f t="shared" si="370"/>
        <v>2.2271548443541</v>
      </c>
      <c r="D605" s="728" t="str">
        <f t="shared" si="371"/>
        <v>1+365.890719668337i</v>
      </c>
      <c r="E605" s="337">
        <f t="shared" si="389"/>
        <v>365.89208619402189</v>
      </c>
      <c r="F605" s="338">
        <f t="shared" si="390"/>
        <v>1.5680632771262641</v>
      </c>
      <c r="G605" s="338" t="str">
        <f t="shared" si="372"/>
        <v>1+1.50366049178769i</v>
      </c>
      <c r="H605" s="337">
        <f t="shared" si="391"/>
        <v>1.8058224925399498</v>
      </c>
      <c r="I605" s="338">
        <f t="shared" si="392"/>
        <v>0.98391812830328063</v>
      </c>
      <c r="J605" s="340">
        <f t="shared" si="373"/>
        <v>1</v>
      </c>
      <c r="K605" s="338">
        <f t="shared" si="393"/>
        <v>1</v>
      </c>
      <c r="L605" s="339">
        <f t="shared" si="394"/>
        <v>0</v>
      </c>
      <c r="M605" s="731" t="str">
        <f t="shared" si="374"/>
        <v>-9.1816300844445+6.48211741618916i</v>
      </c>
      <c r="N605" s="338">
        <f t="shared" si="395"/>
        <v>11.2392249379056</v>
      </c>
      <c r="O605" s="339">
        <f t="shared" si="396"/>
        <v>2.5268594282568806</v>
      </c>
      <c r="P605" s="732" t="str">
        <f t="shared" si="388"/>
        <v>-0.000977536292255711-0.0000299102838045052i</v>
      </c>
      <c r="Q605" s="337">
        <f t="shared" si="397"/>
        <v>9.7799377695070681E-4</v>
      </c>
      <c r="R605" s="339">
        <f t="shared" si="398"/>
        <v>-3.1110045770798633</v>
      </c>
      <c r="S605" s="731" t="str">
        <f t="shared" si="375"/>
        <v>6000</v>
      </c>
      <c r="T605" s="337" t="str">
        <f t="shared" si="376"/>
        <v>1+3037394.19341112i</v>
      </c>
      <c r="U605" s="346">
        <f t="shared" si="399"/>
        <v>3037394.1934112846</v>
      </c>
      <c r="V605" s="347">
        <f t="shared" si="400"/>
        <v>1.5707959975653214</v>
      </c>
      <c r="W605" s="340" t="str">
        <f t="shared" si="377"/>
        <v>1+30073.2098357537i</v>
      </c>
      <c r="X605" s="337">
        <f t="shared" si="401"/>
        <v>30073.209852379794</v>
      </c>
      <c r="Y605" s="339">
        <f t="shared" si="402"/>
        <v>1.5707630746078141</v>
      </c>
      <c r="Z605" s="337" t="str">
        <f t="shared" si="378"/>
        <v>1+302.941159895999i</v>
      </c>
      <c r="AA605" s="346">
        <f t="shared" si="403"/>
        <v>302.94281037703013</v>
      </c>
      <c r="AB605" s="347">
        <f t="shared" si="404"/>
        <v>1.5674953677300063</v>
      </c>
      <c r="AC605" s="732" t="str">
        <f t="shared" si="405"/>
        <v>0.000640848393621996-0.196095174939925i</v>
      </c>
      <c r="AD605" s="337">
        <f t="shared" si="406"/>
        <v>0.19609622209870184</v>
      </c>
      <c r="AE605" s="339">
        <f t="shared" si="407"/>
        <v>-1.5675282906875136</v>
      </c>
      <c r="AF605" s="736" t="str">
        <f t="shared" si="379"/>
        <v>-6.49171489774653E-06+0.00019167098228268i</v>
      </c>
      <c r="AG605" s="337">
        <f t="shared" si="408"/>
        <v>-74.343893636514451</v>
      </c>
      <c r="AH605" s="730">
        <f t="shared" si="409"/>
        <v>91.93981236369163</v>
      </c>
      <c r="AI605" s="360">
        <f t="shared" si="380"/>
        <v>-88.06018763630837</v>
      </c>
      <c r="AL605" s="337">
        <f t="shared" si="381"/>
        <v>-14.15061546346141</v>
      </c>
      <c r="AM605" s="730">
        <f t="shared" si="382"/>
        <v>-89.812755323750594</v>
      </c>
      <c r="AN605" s="351"/>
      <c r="AO605" s="337">
        <f t="shared" si="383"/>
        <v>-6.664155688010899</v>
      </c>
      <c r="AP605" s="730">
        <f t="shared" si="384"/>
        <v>-178.24743231255778</v>
      </c>
      <c r="AS605" s="351"/>
      <c r="AT605" s="351"/>
      <c r="AV605" s="405">
        <f t="shared" si="385"/>
        <v>0</v>
      </c>
      <c r="AW605" s="405">
        <f t="shared" si="410"/>
        <v>0</v>
      </c>
      <c r="AX605" s="405">
        <f t="shared" si="386"/>
        <v>0</v>
      </c>
      <c r="AY605" s="405">
        <f t="shared" si="387"/>
        <v>0</v>
      </c>
    </row>
    <row r="606" spans="2:51" ht="13.5" thickBot="1" x14ac:dyDescent="0.25">
      <c r="B606" s="345">
        <v>524810</v>
      </c>
      <c r="C606" s="728" t="str">
        <f t="shared" si="370"/>
        <v>2.2271548443541</v>
      </c>
      <c r="D606" s="728" t="str">
        <f t="shared" si="371"/>
        <v>1+401.193215195745i</v>
      </c>
      <c r="E606" s="337">
        <f t="shared" si="389"/>
        <v>401.19446147610188</v>
      </c>
      <c r="F606" s="338">
        <f t="shared" si="390"/>
        <v>1.5683037673717259</v>
      </c>
      <c r="G606" s="338" t="str">
        <f t="shared" si="372"/>
        <v>1+1.64873924053046i</v>
      </c>
      <c r="H606" s="337">
        <f t="shared" si="391"/>
        <v>1.9283000501127823</v>
      </c>
      <c r="I606" s="338">
        <f t="shared" si="392"/>
        <v>1.0255935357575166</v>
      </c>
      <c r="J606" s="340">
        <f t="shared" si="373"/>
        <v>1</v>
      </c>
      <c r="K606" s="338">
        <f t="shared" si="393"/>
        <v>1</v>
      </c>
      <c r="L606" s="339">
        <f t="shared" si="394"/>
        <v>0</v>
      </c>
      <c r="M606" s="731" t="str">
        <f t="shared" si="374"/>
        <v>-11.2411349377778+7.10753617865623i</v>
      </c>
      <c r="N606" s="338">
        <f t="shared" si="395"/>
        <v>13.299631018198811</v>
      </c>
      <c r="O606" s="339">
        <f t="shared" si="396"/>
        <v>2.5777759500033204</v>
      </c>
      <c r="P606" s="732" t="str">
        <f t="shared" si="388"/>
        <v>-0.000804699555647537-0.0000169868911502623i</v>
      </c>
      <c r="Q606" s="337">
        <f t="shared" si="397"/>
        <v>8.0487882897383638E-4</v>
      </c>
      <c r="R606" s="339">
        <f t="shared" si="398"/>
        <v>-3.12048618161753</v>
      </c>
      <c r="S606" s="731" t="str">
        <f t="shared" si="375"/>
        <v>6000</v>
      </c>
      <c r="T606" s="337" t="str">
        <f t="shared" si="376"/>
        <v>1+3330453.26587153i</v>
      </c>
      <c r="U606" s="346">
        <f t="shared" si="399"/>
        <v>3330453.2658716799</v>
      </c>
      <c r="V606" s="347">
        <f t="shared" si="400"/>
        <v>1.5707960265354663</v>
      </c>
      <c r="W606" s="340" t="str">
        <f t="shared" si="377"/>
        <v>1+32974.7848106092i</v>
      </c>
      <c r="X606" s="337">
        <f t="shared" si="401"/>
        <v>32974.784825772302</v>
      </c>
      <c r="Y606" s="339">
        <f t="shared" si="402"/>
        <v>1.5707660005924533</v>
      </c>
      <c r="Z606" s="337" t="str">
        <f t="shared" si="378"/>
        <v>1+332.170048106092i</v>
      </c>
      <c r="AA606" s="346">
        <f t="shared" si="403"/>
        <v>332.17155335579753</v>
      </c>
      <c r="AB606" s="347">
        <f t="shared" si="404"/>
        <v>1.5677858296574552</v>
      </c>
      <c r="AC606" s="732" t="str">
        <f t="shared" si="405"/>
        <v>0.00053303008903449-0.178840349704054i</v>
      </c>
      <c r="AD606" s="337">
        <f t="shared" si="406"/>
        <v>0.17884114404505508</v>
      </c>
      <c r="AE606" s="339">
        <f t="shared" si="407"/>
        <v>-1.5678158556004684</v>
      </c>
      <c r="AF606" s="736" t="str">
        <f t="shared" si="379"/>
        <v>-3.46687062949043E-06+0.0001439036954146i</v>
      </c>
      <c r="AG606" s="337">
        <f t="shared" si="408"/>
        <v>-76.83604112968888</v>
      </c>
      <c r="AH606" s="730">
        <f t="shared" si="409"/>
        <v>91.380080184822887</v>
      </c>
      <c r="AI606" s="360">
        <f t="shared" si="380"/>
        <v>-88.619919815177113</v>
      </c>
      <c r="AL606" s="337">
        <f t="shared" si="381"/>
        <v>-14.950651212351055</v>
      </c>
      <c r="AM606" s="730">
        <f t="shared" si="382"/>
        <v>-89.829231579598954</v>
      </c>
      <c r="AN606" s="351"/>
      <c r="AO606" s="337">
        <f t="shared" si="383"/>
        <v>-8.3562674322956934</v>
      </c>
      <c r="AP606" s="730">
        <f t="shared" si="384"/>
        <v>-178.79068823557816</v>
      </c>
      <c r="AS606" s="351"/>
      <c r="AT606" s="351"/>
      <c r="AV606" s="405">
        <f t="shared" si="385"/>
        <v>0</v>
      </c>
      <c r="AW606" s="405">
        <f t="shared" si="410"/>
        <v>0</v>
      </c>
      <c r="AX606" s="405">
        <f t="shared" si="386"/>
        <v>0</v>
      </c>
      <c r="AY606" s="405">
        <f t="shared" si="387"/>
        <v>0</v>
      </c>
    </row>
    <row r="607" spans="2:51" ht="13.5" thickBot="1" x14ac:dyDescent="0.25">
      <c r="B607" s="345">
        <v>575440</v>
      </c>
      <c r="C607" s="728" t="str">
        <f t="shared" si="370"/>
        <v>2.2271548443541</v>
      </c>
      <c r="D607" s="728" t="str">
        <f t="shared" si="371"/>
        <v>1+439.897531968216i</v>
      </c>
      <c r="E607" s="337">
        <f t="shared" si="389"/>
        <v>439.89866859508402</v>
      </c>
      <c r="F607" s="338">
        <f t="shared" si="390"/>
        <v>1.5685230740376788</v>
      </c>
      <c r="G607" s="338" t="str">
        <f t="shared" si="372"/>
        <v>1+1.80779807658171i</v>
      </c>
      <c r="H607" s="337">
        <f t="shared" si="391"/>
        <v>2.065946244627999</v>
      </c>
      <c r="I607" s="338">
        <f t="shared" si="392"/>
        <v>1.065530920867473</v>
      </c>
      <c r="J607" s="340">
        <f t="shared" si="373"/>
        <v>1</v>
      </c>
      <c r="K607" s="338">
        <f t="shared" si="393"/>
        <v>1</v>
      </c>
      <c r="L607" s="339">
        <f t="shared" si="394"/>
        <v>0</v>
      </c>
      <c r="M607" s="731" t="str">
        <f t="shared" si="374"/>
        <v>-13.7169419377777+7.79322158237445i</v>
      </c>
      <c r="N607" s="338">
        <f t="shared" si="395"/>
        <v>15.776209898335896</v>
      </c>
      <c r="O607" s="339">
        <f t="shared" si="396"/>
        <v>2.6249248187800092</v>
      </c>
      <c r="P607" s="732" t="str">
        <f t="shared" si="388"/>
        <v>-0.000662938884778229-9.06670637314667E-06i</v>
      </c>
      <c r="Q607" s="337">
        <f t="shared" si="397"/>
        <v>6.6300088243942705E-4</v>
      </c>
      <c r="R607" s="339">
        <f t="shared" si="398"/>
        <v>-3.1279169719502149</v>
      </c>
      <c r="S607" s="731" t="str">
        <f t="shared" si="375"/>
        <v>6000</v>
      </c>
      <c r="T607" s="337" t="str">
        <f t="shared" si="376"/>
        <v>1+3651752.11469505i</v>
      </c>
      <c r="U607" s="346">
        <f t="shared" si="399"/>
        <v>3651752.1146951867</v>
      </c>
      <c r="V607" s="347">
        <f t="shared" si="400"/>
        <v>1.5707960529537461</v>
      </c>
      <c r="W607" s="340" t="str">
        <f t="shared" si="377"/>
        <v>1+36155.9615316342i</v>
      </c>
      <c r="X607" s="337">
        <f t="shared" si="401"/>
        <v>36155.961545463178</v>
      </c>
      <c r="Y607" s="339">
        <f t="shared" si="402"/>
        <v>1.570768668838715</v>
      </c>
      <c r="Z607" s="337" t="str">
        <f t="shared" si="378"/>
        <v>1+364.215492239419i</v>
      </c>
      <c r="AA607" s="346">
        <f t="shared" si="403"/>
        <v>364.21686505048376</v>
      </c>
      <c r="AB607" s="347">
        <f t="shared" si="404"/>
        <v>1.56805070639023</v>
      </c>
      <c r="AC607" s="732" t="str">
        <f t="shared" si="405"/>
        <v>0.000443359987532267-0.163105355209511i</v>
      </c>
      <c r="AD607" s="337">
        <f t="shared" si="406"/>
        <v>0.16310595778848574</v>
      </c>
      <c r="AE607" s="339">
        <f t="shared" si="407"/>
        <v>-1.5680780905052611</v>
      </c>
      <c r="AF607" s="736" t="str">
        <f t="shared" si="379"/>
        <v>-1.77274893926236E-06+0.000108124862469126i</v>
      </c>
      <c r="AG607" s="337">
        <f t="shared" si="408"/>
        <v>-79.320321374165829</v>
      </c>
      <c r="AH607" s="730">
        <f t="shared" si="409"/>
        <v>90.939302307027774</v>
      </c>
      <c r="AI607" s="360">
        <f t="shared" si="380"/>
        <v>-89.060697692972226</v>
      </c>
      <c r="AL607" s="337">
        <f t="shared" si="381"/>
        <v>-15.750603502994929</v>
      </c>
      <c r="AM607" s="730">
        <f t="shared" si="382"/>
        <v>-89.844256532884586</v>
      </c>
      <c r="AN607" s="351"/>
      <c r="AO607" s="337">
        <f t="shared" si="383"/>
        <v>-10.040595386128814</v>
      </c>
      <c r="AP607" s="730">
        <f t="shared" si="384"/>
        <v>-179.21644116008761</v>
      </c>
      <c r="AS607" s="351"/>
      <c r="AT607" s="351"/>
      <c r="AV607" s="405">
        <f t="shared" si="385"/>
        <v>0</v>
      </c>
      <c r="AW607" s="405">
        <f t="shared" si="410"/>
        <v>0</v>
      </c>
      <c r="AX607" s="405">
        <f t="shared" si="386"/>
        <v>0</v>
      </c>
      <c r="AY607" s="405">
        <f t="shared" si="387"/>
        <v>0</v>
      </c>
    </row>
    <row r="608" spans="2:51" ht="13.5" thickBot="1" x14ac:dyDescent="0.25">
      <c r="B608" s="345">
        <v>630960</v>
      </c>
      <c r="C608" s="728" t="str">
        <f t="shared" si="370"/>
        <v>2.2271548443541</v>
      </c>
      <c r="D608" s="728" t="str">
        <f t="shared" si="371"/>
        <v>1+482.340029839194i</v>
      </c>
      <c r="E608" s="337">
        <f t="shared" si="389"/>
        <v>482.3410664511934</v>
      </c>
      <c r="F608" s="338">
        <f t="shared" si="390"/>
        <v>1.568723103538719</v>
      </c>
      <c r="G608" s="338" t="str">
        <f t="shared" si="372"/>
        <v>1+1.98221930070901i</v>
      </c>
      <c r="H608" s="337">
        <f t="shared" si="391"/>
        <v>2.2201786766166633</v>
      </c>
      <c r="I608" s="338">
        <f t="shared" si="392"/>
        <v>1.1035671198151167</v>
      </c>
      <c r="J608" s="340">
        <f t="shared" si="373"/>
        <v>1</v>
      </c>
      <c r="K608" s="338">
        <f t="shared" si="393"/>
        <v>1</v>
      </c>
      <c r="L608" s="339">
        <f t="shared" si="394"/>
        <v>0</v>
      </c>
      <c r="M608" s="731" t="str">
        <f t="shared" si="374"/>
        <v>-16.6938009599999+8.54513257614171i</v>
      </c>
      <c r="N608" s="338">
        <f t="shared" si="395"/>
        <v>18.753727129185066</v>
      </c>
      <c r="O608" s="339">
        <f t="shared" si="396"/>
        <v>2.6684905603053877</v>
      </c>
      <c r="P608" s="732" t="str">
        <f t="shared" si="388"/>
        <v>-0.000546616575512982-4.34356661571212E-06i</v>
      </c>
      <c r="Q608" s="337">
        <f t="shared" si="397"/>
        <v>5.4663383283189181E-4</v>
      </c>
      <c r="R608" s="339">
        <f t="shared" si="398"/>
        <v>-3.13364654402899</v>
      </c>
      <c r="S608" s="731" t="str">
        <f t="shared" si="375"/>
        <v>6000</v>
      </c>
      <c r="T608" s="337" t="str">
        <f t="shared" si="376"/>
        <v>1+4004082.98743221i</v>
      </c>
      <c r="U608" s="346">
        <f t="shared" si="399"/>
        <v>4004082.9874323341</v>
      </c>
      <c r="V608" s="347">
        <f t="shared" si="400"/>
        <v>1.570796077049823</v>
      </c>
      <c r="W608" s="340" t="str">
        <f t="shared" si="377"/>
        <v>1+39644.3860141803i</v>
      </c>
      <c r="X608" s="337">
        <f t="shared" si="401"/>
        <v>39644.386026792425</v>
      </c>
      <c r="Y608" s="339">
        <f t="shared" si="402"/>
        <v>1.5707711025424784</v>
      </c>
      <c r="Z608" s="337" t="str">
        <f t="shared" si="378"/>
        <v>1+399.355983218726i</v>
      </c>
      <c r="AA608" s="346">
        <f t="shared" si="403"/>
        <v>399.35723523256138</v>
      </c>
      <c r="AB608" s="347">
        <f t="shared" si="404"/>
        <v>1.5682923004325269</v>
      </c>
      <c r="AC608" s="732" t="str">
        <f t="shared" si="405"/>
        <v>0.000368768219120319-0.148753428826618i</v>
      </c>
      <c r="AD608" s="337">
        <f t="shared" si="406"/>
        <v>0.14875388592462094</v>
      </c>
      <c r="AE608" s="339">
        <f t="shared" si="407"/>
        <v>-1.5683172749398715</v>
      </c>
      <c r="AF608" s="736" t="str">
        <f t="shared" si="379"/>
        <v>-8.47695248517577E-07+0.0000813094880916945i</v>
      </c>
      <c r="AG608" s="337">
        <f t="shared" si="408"/>
        <v>-81.796703446040965</v>
      </c>
      <c r="AH608" s="730">
        <f t="shared" si="409"/>
        <v>90.597317749869575</v>
      </c>
      <c r="AI608" s="360">
        <f t="shared" si="380"/>
        <v>-89.402682250130425</v>
      </c>
      <c r="AL608" s="337">
        <f t="shared" si="381"/>
        <v>-16.550633605961156</v>
      </c>
      <c r="AM608" s="730">
        <f t="shared" si="382"/>
        <v>-89.85796079151298</v>
      </c>
      <c r="AN608" s="351"/>
      <c r="AO608" s="337">
        <f t="shared" si="383"/>
        <v>-11.716947355037675</v>
      </c>
      <c r="AP608" s="730">
        <f t="shared" si="384"/>
        <v>-179.54472145861743</v>
      </c>
      <c r="AS608" s="351"/>
      <c r="AT608" s="351"/>
      <c r="AV608" s="405">
        <f t="shared" si="385"/>
        <v>0</v>
      </c>
      <c r="AW608" s="405">
        <f t="shared" si="410"/>
        <v>0</v>
      </c>
      <c r="AX608" s="405">
        <f t="shared" si="386"/>
        <v>0</v>
      </c>
      <c r="AY608" s="405">
        <f t="shared" si="387"/>
        <v>0</v>
      </c>
    </row>
    <row r="609" spans="2:51" ht="13.5" thickBot="1" x14ac:dyDescent="0.25">
      <c r="B609" s="345">
        <v>691830</v>
      </c>
      <c r="C609" s="728" t="str">
        <f t="shared" si="370"/>
        <v>2.2271548443541</v>
      </c>
      <c r="D609" s="728" t="str">
        <f t="shared" si="371"/>
        <v>1+528.87235774637i</v>
      </c>
      <c r="E609" s="337">
        <f t="shared" si="389"/>
        <v>528.87330315322629</v>
      </c>
      <c r="F609" s="338">
        <f t="shared" si="390"/>
        <v>1.5689055136456973</v>
      </c>
      <c r="G609" s="338" t="str">
        <f t="shared" si="372"/>
        <v>1+2.17344804553302i</v>
      </c>
      <c r="H609" s="337">
        <f t="shared" si="391"/>
        <v>2.3924624148837332</v>
      </c>
      <c r="I609" s="338">
        <f t="shared" si="392"/>
        <v>1.1395763621253692</v>
      </c>
      <c r="J609" s="340">
        <f t="shared" si="373"/>
        <v>1</v>
      </c>
      <c r="K609" s="338">
        <f t="shared" si="393"/>
        <v>1</v>
      </c>
      <c r="L609" s="339">
        <f t="shared" si="394"/>
        <v>0</v>
      </c>
      <c r="M609" s="731" t="str">
        <f t="shared" si="374"/>
        <v>-20.27238884+9.36949897006484i</v>
      </c>
      <c r="N609" s="338">
        <f t="shared" si="395"/>
        <v>22.3328739805293</v>
      </c>
      <c r="O609" s="339">
        <f t="shared" si="396"/>
        <v>2.7086558731803461</v>
      </c>
      <c r="P609" s="732" t="str">
        <f t="shared" si="388"/>
        <v>-0.000451124537769764-1.62749697567262E-06i</v>
      </c>
      <c r="Q609" s="337">
        <f t="shared" si="397"/>
        <v>4.5112747347550122E-4</v>
      </c>
      <c r="R609" s="339">
        <f t="shared" si="398"/>
        <v>-3.1379850247006722</v>
      </c>
      <c r="S609" s="731" t="str">
        <f t="shared" si="375"/>
        <v>6000</v>
      </c>
      <c r="T609" s="337" t="str">
        <f t="shared" si="376"/>
        <v>1+4390365.05197671i</v>
      </c>
      <c r="U609" s="346">
        <f t="shared" si="399"/>
        <v>4390365.0519768232</v>
      </c>
      <c r="V609" s="347">
        <f t="shared" si="400"/>
        <v>1.5707960990234042</v>
      </c>
      <c r="W609" s="340" t="str">
        <f t="shared" si="377"/>
        <v>1+43468.9609106605i</v>
      </c>
      <c r="X609" s="337">
        <f t="shared" si="401"/>
        <v>43468.960922162958</v>
      </c>
      <c r="Y609" s="339">
        <f t="shared" si="402"/>
        <v>1.57077332187417</v>
      </c>
      <c r="Z609" s="337" t="str">
        <f t="shared" si="378"/>
        <v>1+437.882670645067i</v>
      </c>
      <c r="AA609" s="346">
        <f t="shared" si="403"/>
        <v>437.88381250196517</v>
      </c>
      <c r="AB609" s="347">
        <f t="shared" si="404"/>
        <v>1.5685126139910119</v>
      </c>
      <c r="AC609" s="732" t="str">
        <f t="shared" si="405"/>
        <v>0.000306731810944096-0.135665642522558i</v>
      </c>
      <c r="AD609" s="337">
        <f t="shared" si="406"/>
        <v>0.13566598927314963</v>
      </c>
      <c r="AE609" s="339">
        <f t="shared" si="407"/>
        <v>-1.5685353911402464</v>
      </c>
      <c r="AF609" s="736" t="str">
        <f t="shared" si="379"/>
        <v>-3.59169669339584E-07+0.0000612016010691324i</v>
      </c>
      <c r="AG609" s="337">
        <f t="shared" si="408"/>
        <v>-84.264594754146614</v>
      </c>
      <c r="AH609" s="730">
        <f t="shared" si="409"/>
        <v>90.336243980158216</v>
      </c>
      <c r="AI609" s="360">
        <f t="shared" si="380"/>
        <v>-89.663756019841784</v>
      </c>
      <c r="AL609" s="337">
        <f t="shared" si="381"/>
        <v>-17.350580279274741</v>
      </c>
      <c r="AM609" s="730">
        <f t="shared" si="382"/>
        <v>-89.870457929237901</v>
      </c>
      <c r="AN609" s="351"/>
      <c r="AO609" s="337">
        <f t="shared" si="383"/>
        <v>-13.384891989829732</v>
      </c>
      <c r="AP609" s="730">
        <f t="shared" si="384"/>
        <v>-179.79329809060391</v>
      </c>
      <c r="AS609" s="351"/>
      <c r="AT609" s="351"/>
      <c r="AV609" s="405">
        <f t="shared" si="385"/>
        <v>0</v>
      </c>
      <c r="AW609" s="405">
        <f t="shared" si="410"/>
        <v>0</v>
      </c>
      <c r="AX609" s="405">
        <f t="shared" si="386"/>
        <v>0</v>
      </c>
      <c r="AY609" s="405">
        <f t="shared" si="387"/>
        <v>0</v>
      </c>
    </row>
    <row r="610" spans="2:51" ht="13.5" thickBot="1" x14ac:dyDescent="0.25">
      <c r="B610" s="345">
        <v>758580</v>
      </c>
      <c r="C610" s="728" t="str">
        <f t="shared" si="370"/>
        <v>2.2271548443541</v>
      </c>
      <c r="D610" s="728" t="str">
        <f t="shared" si="371"/>
        <v>1+579.899676422302i</v>
      </c>
      <c r="E610" s="337">
        <f t="shared" si="389"/>
        <v>579.90053863976584</v>
      </c>
      <c r="F610" s="338">
        <f t="shared" si="390"/>
        <v>1.5690718922945284</v>
      </c>
      <c r="G610" s="338" t="str">
        <f t="shared" si="372"/>
        <v>1+2.38314935516015i</v>
      </c>
      <c r="H610" s="337">
        <f t="shared" si="391"/>
        <v>2.5844536848239787</v>
      </c>
      <c r="I610" s="338">
        <f t="shared" si="392"/>
        <v>1.1734975111449828</v>
      </c>
      <c r="J610" s="340">
        <f t="shared" si="373"/>
        <v>1</v>
      </c>
      <c r="K610" s="338">
        <f t="shared" si="393"/>
        <v>1</v>
      </c>
      <c r="L610" s="339">
        <f t="shared" si="394"/>
        <v>0</v>
      </c>
      <c r="M610" s="731" t="str">
        <f t="shared" si="374"/>
        <v>-24.57527184+10.2734985888322i</v>
      </c>
      <c r="N610" s="338">
        <f t="shared" si="395"/>
        <v>26.636230199948233</v>
      </c>
      <c r="O610" s="339">
        <f t="shared" si="396"/>
        <v>2.7456301277733735</v>
      </c>
      <c r="P610" s="732" t="str">
        <f t="shared" si="388"/>
        <v>-0.000372642909427597-1.44639365206182E-07i</v>
      </c>
      <c r="Q610" s="337">
        <f t="shared" si="397"/>
        <v>3.7264293749809648E-4</v>
      </c>
      <c r="R610" s="339">
        <f t="shared" si="398"/>
        <v>-3.1412045089229195</v>
      </c>
      <c r="S610" s="731" t="str">
        <f t="shared" si="375"/>
        <v>6000</v>
      </c>
      <c r="T610" s="337" t="str">
        <f t="shared" si="376"/>
        <v>1+4813961.69742349i</v>
      </c>
      <c r="U610" s="346">
        <f t="shared" si="399"/>
        <v>4813961.6974235931</v>
      </c>
      <c r="V610" s="347">
        <f t="shared" si="400"/>
        <v>1.5707961190657822</v>
      </c>
      <c r="W610" s="340" t="str">
        <f t="shared" si="377"/>
        <v>1+47662.9871032029i</v>
      </c>
      <c r="X610" s="337">
        <f t="shared" si="401"/>
        <v>47662.98711369322</v>
      </c>
      <c r="Y610" s="339">
        <f t="shared" si="402"/>
        <v>1.5707753461543488</v>
      </c>
      <c r="Z610" s="337" t="str">
        <f t="shared" si="378"/>
        <v>1+480.131009493568i</v>
      </c>
      <c r="AA610" s="346">
        <f t="shared" si="403"/>
        <v>480.13205087487404</v>
      </c>
      <c r="AB610" s="347">
        <f t="shared" si="404"/>
        <v>1.5687135649356101</v>
      </c>
      <c r="AC610" s="732" t="str">
        <f t="shared" si="405"/>
        <v>0.000255126284408535-0.123728074824184i</v>
      </c>
      <c r="AD610" s="337">
        <f t="shared" si="406"/>
        <v>0.12372833785806658</v>
      </c>
      <c r="AE610" s="339">
        <f t="shared" si="407"/>
        <v>-1.5687343378470437</v>
      </c>
      <c r="AF610" s="736" t="str">
        <f t="shared" si="379"/>
        <v>-1.12966951094202E-07+0.0000461063528790555i</v>
      </c>
      <c r="AG610" s="337">
        <f t="shared" si="408"/>
        <v>-86.724758531340484</v>
      </c>
      <c r="AH610" s="730">
        <f t="shared" si="409"/>
        <v>90.140382315366963</v>
      </c>
      <c r="AI610" s="360">
        <f t="shared" si="380"/>
        <v>-89.859617684633037</v>
      </c>
      <c r="AL610" s="337">
        <f t="shared" si="381"/>
        <v>-18.150616425214089</v>
      </c>
      <c r="AM610" s="730">
        <f t="shared" si="382"/>
        <v>-89.881856735885407</v>
      </c>
      <c r="AN610" s="351"/>
      <c r="AO610" s="337">
        <f t="shared" si="383"/>
        <v>-15.045019621084263</v>
      </c>
      <c r="AP610" s="730">
        <f t="shared" si="384"/>
        <v>-179.97776094874763</v>
      </c>
      <c r="AS610" s="351"/>
      <c r="AT610" s="351"/>
      <c r="AV610" s="405">
        <f t="shared" si="385"/>
        <v>0</v>
      </c>
      <c r="AW610" s="405">
        <f t="shared" si="410"/>
        <v>0</v>
      </c>
      <c r="AX610" s="405">
        <f t="shared" si="386"/>
        <v>0</v>
      </c>
      <c r="AY610" s="405">
        <f t="shared" si="387"/>
        <v>0</v>
      </c>
    </row>
    <row r="611" spans="2:51" ht="13.5" thickBot="1" x14ac:dyDescent="0.25">
      <c r="B611" s="345">
        <v>831760</v>
      </c>
      <c r="C611" s="728" t="str">
        <f t="shared" si="370"/>
        <v>2.2271548443541</v>
      </c>
      <c r="D611" s="728" t="str">
        <f t="shared" si="371"/>
        <v>1+635.842435683796i</v>
      </c>
      <c r="E611" s="337">
        <f t="shared" si="389"/>
        <v>635.84322204164619</v>
      </c>
      <c r="F611" s="338">
        <f t="shared" si="390"/>
        <v>1.5692236114185683</v>
      </c>
      <c r="G611" s="338" t="str">
        <f t="shared" si="372"/>
        <v>1+2.61305110554984i</v>
      </c>
      <c r="H611" s="337">
        <f t="shared" si="391"/>
        <v>2.7978627700827721</v>
      </c>
      <c r="I611" s="338">
        <f t="shared" si="392"/>
        <v>1.2052970125756532</v>
      </c>
      <c r="J611" s="340">
        <f t="shared" si="373"/>
        <v>1</v>
      </c>
      <c r="K611" s="338">
        <f t="shared" si="393"/>
        <v>1</v>
      </c>
      <c r="L611" s="339">
        <f t="shared" si="394"/>
        <v>0</v>
      </c>
      <c r="M611" s="731" t="str">
        <f t="shared" si="374"/>
        <v>-29.7477643377778+11.2645801184411i</v>
      </c>
      <c r="N611" s="338">
        <f t="shared" si="395"/>
        <v>31.809122093210039</v>
      </c>
      <c r="O611" s="339">
        <f t="shared" si="396"/>
        <v>2.7796085082744195</v>
      </c>
      <c r="P611" s="732" t="str">
        <f t="shared" si="388"/>
        <v>-0.000308087638595647+5.98446673054018E-07i</v>
      </c>
      <c r="Q611" s="337">
        <f t="shared" si="397"/>
        <v>3.0808821982325534E-4</v>
      </c>
      <c r="R611" s="339">
        <f t="shared" si="398"/>
        <v>3.1396502000622508</v>
      </c>
      <c r="S611" s="731" t="str">
        <f t="shared" si="375"/>
        <v>6000</v>
      </c>
      <c r="T611" s="337" t="str">
        <f t="shared" si="376"/>
        <v>1+5278363.23321069i</v>
      </c>
      <c r="U611" s="346">
        <f t="shared" si="399"/>
        <v>5278363.2332107853</v>
      </c>
      <c r="V611" s="347">
        <f t="shared" si="400"/>
        <v>1.5707961373422281</v>
      </c>
      <c r="W611" s="340" t="str">
        <f t="shared" si="377"/>
        <v>1+52261.0221109969i</v>
      </c>
      <c r="X611" s="337">
        <f t="shared" si="401"/>
        <v>52261.022120564252</v>
      </c>
      <c r="Y611" s="339">
        <f t="shared" si="402"/>
        <v>1.5707771920753775</v>
      </c>
      <c r="Z611" s="337" t="str">
        <f t="shared" si="378"/>
        <v>1+526.449113417661i</v>
      </c>
      <c r="AA611" s="346">
        <f t="shared" si="403"/>
        <v>526.45006317621551</v>
      </c>
      <c r="AB611" s="347">
        <f t="shared" si="404"/>
        <v>1.5688968102570364</v>
      </c>
      <c r="AC611" s="732" t="str">
        <f t="shared" si="405"/>
        <v>0.000212208236249624-0.112842299230745i</v>
      </c>
      <c r="AD611" s="337">
        <f t="shared" si="406"/>
        <v>0.11284249876716008</v>
      </c>
      <c r="AE611" s="339">
        <f t="shared" si="407"/>
        <v>-1.5689157555238871</v>
      </c>
      <c r="AF611" s="736" t="str">
        <f t="shared" si="379"/>
        <v>2.15136415771149E-09+0.0000347654444990166i</v>
      </c>
      <c r="AG611" s="337">
        <f t="shared" si="408"/>
        <v>-89.177044253428818</v>
      </c>
      <c r="AH611" s="730">
        <f t="shared" si="409"/>
        <v>89.996454407873927</v>
      </c>
      <c r="AI611" s="360">
        <f t="shared" si="380"/>
        <v>-90.003545592126073</v>
      </c>
      <c r="AL611" s="337">
        <f t="shared" si="381"/>
        <v>-18.950546109182444</v>
      </c>
      <c r="AM611" s="730">
        <f t="shared" si="382"/>
        <v>-89.892251203097601</v>
      </c>
      <c r="AN611" s="351"/>
      <c r="AO611" s="337">
        <f t="shared" si="383"/>
        <v>-16.697375659204212</v>
      </c>
      <c r="AP611" s="730">
        <f t="shared" si="384"/>
        <v>179.88870561097153</v>
      </c>
      <c r="AS611" s="351"/>
      <c r="AT611" s="351"/>
      <c r="AV611" s="405">
        <f t="shared" si="385"/>
        <v>0</v>
      </c>
      <c r="AW611" s="405">
        <f t="shared" si="410"/>
        <v>0</v>
      </c>
      <c r="AX611" s="405">
        <f t="shared" si="386"/>
        <v>0</v>
      </c>
      <c r="AY611" s="405">
        <f t="shared" si="387"/>
        <v>0</v>
      </c>
    </row>
    <row r="612" spans="2:51" ht="13.5" thickBot="1" x14ac:dyDescent="0.25">
      <c r="B612" s="345">
        <v>912010</v>
      </c>
      <c r="C612" s="728" t="str">
        <f t="shared" si="370"/>
        <v>2.2271548443541</v>
      </c>
      <c r="D612" s="728" t="str">
        <f t="shared" si="371"/>
        <v>1+697.18988622677i</v>
      </c>
      <c r="E612" s="337">
        <f t="shared" si="389"/>
        <v>697.19060339113616</v>
      </c>
      <c r="F612" s="338">
        <f t="shared" si="390"/>
        <v>1.5693619983085128</v>
      </c>
      <c r="G612" s="338" t="str">
        <f t="shared" si="372"/>
        <v>1+2.86516391600042i</v>
      </c>
      <c r="H612" s="337">
        <f t="shared" si="391"/>
        <v>3.0346604860430206</v>
      </c>
      <c r="I612" s="338">
        <f t="shared" si="392"/>
        <v>1.2349946728081396</v>
      </c>
      <c r="J612" s="340">
        <f t="shared" si="373"/>
        <v>1</v>
      </c>
      <c r="K612" s="338">
        <f t="shared" si="393"/>
        <v>1</v>
      </c>
      <c r="L612" s="339">
        <f t="shared" si="394"/>
        <v>0</v>
      </c>
      <c r="M612" s="731" t="str">
        <f t="shared" si="374"/>
        <v>-35.9672106711111+12.3514111207794i</v>
      </c>
      <c r="N612" s="338">
        <f t="shared" si="395"/>
        <v>38.028904797990187</v>
      </c>
      <c r="O612" s="339">
        <f t="shared" si="396"/>
        <v>2.8108028844107062</v>
      </c>
      <c r="P612" s="732" t="str">
        <f t="shared" si="388"/>
        <v>-0.000254913244032607+9.11970378313737E-07i</v>
      </c>
      <c r="Q612" s="337">
        <f t="shared" si="397"/>
        <v>2.5491487534704286E-4</v>
      </c>
      <c r="R612" s="339">
        <f t="shared" si="398"/>
        <v>3.1380150972685072</v>
      </c>
      <c r="S612" s="731" t="str">
        <f t="shared" si="375"/>
        <v>6000</v>
      </c>
      <c r="T612" s="337" t="str">
        <f t="shared" si="376"/>
        <v>1+5787631.11032086i</v>
      </c>
      <c r="U612" s="346">
        <f t="shared" si="399"/>
        <v>5787631.1103209453</v>
      </c>
      <c r="V612" s="347">
        <f t="shared" si="400"/>
        <v>1.5707961540126338</v>
      </c>
      <c r="W612" s="340" t="str">
        <f t="shared" si="377"/>
        <v>1+57303.2783200085i</v>
      </c>
      <c r="X612" s="337">
        <f t="shared" si="401"/>
        <v>57303.278328734006</v>
      </c>
      <c r="Y612" s="339">
        <f t="shared" si="402"/>
        <v>1.5707788757863468</v>
      </c>
      <c r="Z612" s="337" t="str">
        <f t="shared" si="378"/>
        <v>1+577.242060123162i</v>
      </c>
      <c r="AA612" s="346">
        <f t="shared" si="403"/>
        <v>577.24292631025992</v>
      </c>
      <c r="AB612" s="347">
        <f t="shared" si="404"/>
        <v>1.5690639530322961</v>
      </c>
      <c r="AC612" s="732" t="str">
        <f t="shared" si="405"/>
        <v>0.000176505954363495-0.10291309000527i</v>
      </c>
      <c r="AD612" s="337">
        <f t="shared" si="406"/>
        <v>0.10291324136759433</v>
      </c>
      <c r="AE612" s="339">
        <f t="shared" si="407"/>
        <v>-1.5690812312585831</v>
      </c>
      <c r="AF612" s="736" t="str">
        <f t="shared" si="379"/>
        <v>4.8859984207672E-08+0.000026234070594865i</v>
      </c>
      <c r="AG612" s="337">
        <f t="shared" si="408"/>
        <v>-91.622671277779602</v>
      </c>
      <c r="AH612" s="730">
        <f t="shared" si="409"/>
        <v>89.893288857512459</v>
      </c>
      <c r="AI612" s="360">
        <f t="shared" si="380"/>
        <v>-90.106711142487541</v>
      </c>
      <c r="AL612" s="337">
        <f t="shared" si="381"/>
        <v>-19.750574859871197</v>
      </c>
      <c r="AM612" s="730">
        <f t="shared" si="382"/>
        <v>-89.901732264307512</v>
      </c>
      <c r="AN612" s="351"/>
      <c r="AO612" s="337">
        <f t="shared" si="383"/>
        <v>-18.342973932866276</v>
      </c>
      <c r="AP612" s="730">
        <f t="shared" si="384"/>
        <v>179.79502112181996</v>
      </c>
      <c r="AS612" s="351"/>
      <c r="AT612" s="351"/>
      <c r="AV612" s="405">
        <f t="shared" si="385"/>
        <v>0</v>
      </c>
      <c r="AW612" s="405">
        <f t="shared" si="410"/>
        <v>0</v>
      </c>
      <c r="AX612" s="405">
        <f t="shared" si="386"/>
        <v>0</v>
      </c>
      <c r="AY612" s="405">
        <f t="shared" si="387"/>
        <v>0</v>
      </c>
    </row>
    <row r="613" spans="2:51" x14ac:dyDescent="0.2">
      <c r="B613" s="345">
        <v>1000000</v>
      </c>
      <c r="C613" s="728" t="str">
        <f t="shared" si="370"/>
        <v>2.2271548443541</v>
      </c>
      <c r="D613" s="728" t="str">
        <f t="shared" ref="D613" si="411">IMSUM(COMPLEX(1,0),IMDIV(COMPLEX(0,2*PI()*B613),COMPLEX(2*PI()*PS_Pole1,0)))</f>
        <v>1+764.454212373517i</v>
      </c>
      <c r="E613" s="337">
        <f t="shared" ref="E613" si="412">IMABS(D613)</f>
        <v>764.45486643464722</v>
      </c>
      <c r="F613" s="338">
        <f t="shared" ref="F613" si="413">IMARGUMENT(D613)</f>
        <v>1.5694882047211094</v>
      </c>
      <c r="G613" s="338" t="str">
        <f t="shared" ref="G613" si="414">IMSUM(COMPLEX(1,0),IMDIV(COMPLEX(0,2*PI()*B613),COMPLEX(2*PI()*PS_Zero1,0)))</f>
        <v>1+3.14159265358979i</v>
      </c>
      <c r="H613" s="337">
        <f t="shared" ref="H613" si="415">IMABS(G613)</f>
        <v>3.296908309475612</v>
      </c>
      <c r="I613" s="338">
        <f t="shared" ref="I613" si="416">IMARGUMENT(G613)</f>
        <v>1.2626272556789113</v>
      </c>
      <c r="J613" s="340">
        <f t="shared" ref="J613" si="417">IF(VIN_nom&gt;Vout, 1,IMSUB(COMPLEX(1,0),IMDIV(COMPLEX(0,2*PI()*B613),COMPLEX(2*PI()*PS_RHPZ,0))))</f>
        <v>1</v>
      </c>
      <c r="K613" s="338">
        <f t="shared" ref="K613" si="418">IMABS(J613)</f>
        <v>1</v>
      </c>
      <c r="L613" s="339">
        <f t="shared" ref="L613" si="419">IMARGUMENT(J613)</f>
        <v>0</v>
      </c>
      <c r="M613" s="731" t="str">
        <f t="shared" ref="M613" si="420">IMSUM(COMPLEX(1,0),IMDIV(COMPLEX(0,2*PI()*B613),COMPLEX(Q*(2*PI()*PS_Pole2/2),0)),IMDIV(IMPOWER(COMPLEX(0,2*PI()*B613),2),IMPOWER(COMPLEX(2*PI()*PS_Pole2/2,0),2)))</f>
        <v>-43.4444444444445+13.5430654496984i</v>
      </c>
      <c r="N613" s="338">
        <f t="shared" ref="N613" si="421">IMABS(M613)</f>
        <v>45.506421248668182</v>
      </c>
      <c r="O613" s="339">
        <f t="shared" ref="O613" si="422">IMARGUMENT(M613)</f>
        <v>2.8394067318079306</v>
      </c>
      <c r="P613" s="732" t="str">
        <f t="shared" ref="P613" si="423">(IMDIV(IMPRODUCT(C613,G613,J613),IMPRODUCT(D613,M613)))</f>
        <v>-0.000211070725755484+9.86768585674793E-07i</v>
      </c>
      <c r="Q613" s="337">
        <f t="shared" ref="Q613" si="424">IMABS(P613)</f>
        <v>2.1107303234470386E-4</v>
      </c>
      <c r="R613" s="339">
        <f t="shared" ref="R613" si="425">IMARGUMENT(P613)</f>
        <v>3.1369176263294571</v>
      </c>
      <c r="S613" s="731" t="str">
        <f t="shared" si="375"/>
        <v>6000</v>
      </c>
      <c r="T613" s="337" t="str">
        <f t="shared" ref="T613" si="426">IMSUM(COMPLEX(1,0),IMDIV(COMPLEX(0,2*PI()*B613),COMPLEX(2*PI()*EA_Pole1,0)))</f>
        <v>1+6346017.16025139i</v>
      </c>
      <c r="U613" s="346">
        <f t="shared" ref="U613" si="427">IMABS(T613)</f>
        <v>6346017.1602514694</v>
      </c>
      <c r="V613" s="347">
        <f t="shared" ref="V613" si="428">IMARGUMENT(T613)</f>
        <v>1.5707961692157451</v>
      </c>
      <c r="W613" s="340" t="str">
        <f t="shared" ref="W613" si="429">IMSUM(COMPLEX(1,0),IMDIV(COMPLEX(0,2*PI()*B613),COMPLEX(2*PI()*EA_Zero1,0)))</f>
        <v>1+62831.8530717959i</v>
      </c>
      <c r="X613" s="337">
        <f t="shared" ref="X613" si="430">IMABS(W613)</f>
        <v>62831.853079753651</v>
      </c>
      <c r="Y613" s="339">
        <f t="shared" ref="Y613" si="431">IMARGUMENT(W613)</f>
        <v>1.5707804113005888</v>
      </c>
      <c r="Z613" s="337" t="str">
        <f t="shared" ref="Z613" si="432">IMSUM(COMPLEX(1,0),IMDIV(COMPLEX(0,2*PI()*B613),COMPLEX(2*PI()*EA_Pole2,0)))</f>
        <v>1+632.933915333344i</v>
      </c>
      <c r="AA613" s="346">
        <f t="shared" ref="AA613" si="433">IMABS(Z613)</f>
        <v>632.93470530473883</v>
      </c>
      <c r="AB613" s="347">
        <f t="shared" ref="AB613" si="434">IMARGUMENT(Z613)</f>
        <v>1.5692163843337623</v>
      </c>
      <c r="AC613" s="732" t="str">
        <f t="shared" ref="AC613" si="435">IMPRODUCT(S613,IMDIV(W613,IMPRODUCT(T613,Z613)))</f>
        <v>0.000146811062117348-0.093857814131919i</v>
      </c>
      <c r="AD613" s="337">
        <f t="shared" ref="AD613" si="436">IMABS(AC613)</f>
        <v>9.385792895173968E-2</v>
      </c>
      <c r="AE613" s="339">
        <f t="shared" ref="AE613" si="437">IMARGUMENT(AC613)</f>
        <v>-1.5692321422489186</v>
      </c>
      <c r="AF613" s="736" t="str">
        <f t="shared" ref="AF613" si="438">IMPRODUCT(P613,AC613)</f>
        <v>6.16284250754392E-08+0.0000198107818151916i</v>
      </c>
      <c r="AG613" s="337">
        <f t="shared" ref="AG613" si="439">20*LOG10(IMABS(AF613))</f>
        <v>-94.061925673189378</v>
      </c>
      <c r="AH613" s="730">
        <f t="shared" ref="AH613" si="440">(180/PI())*IMARGUMENT(AF613)</f>
        <v>89.821761841738279</v>
      </c>
      <c r="AI613" s="360">
        <f t="shared" ref="AI613" si="441">IF(AH613&gt;0,AH613-180,AH613+180)</f>
        <v>-90.178238158261721</v>
      </c>
      <c r="AL613" s="337">
        <f t="shared" ref="AL613" si="442">20*LOG10(IMABS(AC613))</f>
        <v>-20.550580661271805</v>
      </c>
      <c r="AM613" s="730">
        <f t="shared" ref="AM613" si="443">(180/PI())*IMARGUMENT(AC613)</f>
        <v>-89.910378827135872</v>
      </c>
      <c r="AN613" s="351"/>
      <c r="AO613" s="337">
        <f t="shared" ref="AO613" si="444">20*LOG10(IMABS(IMPRODUCT(COMPLEX(Am/Afb,0),P613)))</f>
        <v>-19.982222526875447</v>
      </c>
      <c r="AP613" s="730">
        <f t="shared" ref="AP613" si="445">180/PI()*IMARGUMENT(IMPRODUCT(COMPLEX(Am/Afb,0),P613))</f>
        <v>179.73214066887414</v>
      </c>
      <c r="AS613" s="351"/>
      <c r="AT613" s="351"/>
      <c r="AV613" s="405">
        <f t="shared" si="385"/>
        <v>0</v>
      </c>
      <c r="AW613" s="405">
        <f>IF(AV613&gt;0,AI617,0)</f>
        <v>0</v>
      </c>
      <c r="AX613" s="405">
        <f t="shared" si="386"/>
        <v>0</v>
      </c>
      <c r="AY613" s="405">
        <f t="shared" si="387"/>
        <v>0</v>
      </c>
    </row>
    <row r="614" spans="2:51" x14ac:dyDescent="0.2">
      <c r="B614" s="348"/>
      <c r="C614" s="348"/>
      <c r="D614" s="348"/>
      <c r="E614" s="349"/>
      <c r="F614" s="349"/>
      <c r="G614" s="349"/>
      <c r="H614" s="349"/>
      <c r="I614" s="349"/>
      <c r="J614" s="349"/>
      <c r="K614" s="338"/>
      <c r="L614" s="339"/>
      <c r="M614" s="349"/>
      <c r="N614" s="349"/>
      <c r="O614" s="349"/>
      <c r="P614" s="349"/>
      <c r="Q614" s="349"/>
      <c r="R614" s="349"/>
      <c r="S614" s="349"/>
      <c r="T614" s="349"/>
      <c r="U614" s="349"/>
      <c r="V614" s="349"/>
      <c r="W614" s="349"/>
      <c r="X614" s="349"/>
      <c r="Y614" s="349"/>
      <c r="Z614" s="349"/>
      <c r="AA614" s="349"/>
      <c r="AB614" s="349"/>
      <c r="AC614" s="349"/>
      <c r="AD614" s="349"/>
      <c r="AE614" s="349"/>
      <c r="AF614" s="350"/>
      <c r="AG614" s="424"/>
      <c r="AH614" s="342"/>
      <c r="AI614" s="351"/>
      <c r="AO614" s="343"/>
      <c r="AP614" s="344"/>
      <c r="AS614" s="351"/>
      <c r="AT614" s="351"/>
    </row>
    <row r="615" spans="2:51" x14ac:dyDescent="0.2">
      <c r="B615" s="348"/>
      <c r="C615" s="348"/>
      <c r="D615" s="348"/>
      <c r="E615" s="349"/>
      <c r="F615" s="349"/>
      <c r="G615" s="349"/>
      <c r="H615" s="349"/>
      <c r="I615" s="349"/>
      <c r="J615" s="349"/>
      <c r="K615" s="338"/>
      <c r="L615" s="339"/>
      <c r="M615" s="349"/>
      <c r="N615" s="349"/>
      <c r="O615" s="349"/>
      <c r="P615" s="349"/>
      <c r="Q615" s="349"/>
      <c r="R615" s="349"/>
      <c r="S615" s="349"/>
      <c r="T615" s="349"/>
      <c r="U615" s="349"/>
      <c r="V615" s="349"/>
      <c r="W615" s="349"/>
      <c r="X615" s="349"/>
      <c r="Y615" s="349"/>
      <c r="Z615" s="349"/>
      <c r="AA615" s="349"/>
      <c r="AB615" s="349"/>
      <c r="AC615" s="349"/>
      <c r="AD615" s="349"/>
      <c r="AE615" s="349"/>
      <c r="AF615" s="350"/>
      <c r="AG615" s="351"/>
      <c r="AH615" s="342"/>
      <c r="AI615" s="351"/>
      <c r="AO615" s="343"/>
      <c r="AP615" s="344"/>
      <c r="AS615" s="351"/>
      <c r="AT615" s="351"/>
    </row>
    <row r="616" spans="2:51" ht="13.5" thickBot="1" x14ac:dyDescent="0.25">
      <c r="B616" s="405" t="s">
        <v>476</v>
      </c>
      <c r="K616" s="338"/>
      <c r="L616" s="339"/>
      <c r="M616" s="349"/>
      <c r="N616" s="349"/>
      <c r="O616" s="349"/>
      <c r="P616" s="349"/>
      <c r="Q616" s="349"/>
      <c r="R616" s="349"/>
      <c r="S616" s="349"/>
      <c r="T616" s="349"/>
      <c r="AG616" s="341"/>
      <c r="AH616" s="342"/>
      <c r="AI616" s="351"/>
      <c r="AO616" s="343"/>
      <c r="AP616" s="344"/>
      <c r="AS616" s="351"/>
      <c r="AT616" s="351"/>
    </row>
    <row r="617" spans="2:51" x14ac:dyDescent="0.2">
      <c r="B617" s="352">
        <f>R4*1000</f>
        <v>16312.5</v>
      </c>
      <c r="C617" s="728" t="str">
        <f t="shared" ref="C617" si="446">COMPLEX(Am*Afb,0)</f>
        <v>2.2271548443541</v>
      </c>
      <c r="D617" s="728" t="str">
        <f t="shared" ref="D617" si="447">IMSUM(COMPLEX(1,0),IMDIV(COMPLEX(0,2*PI()*B617),COMPLEX(2*PI()*PS_Pole1,0)))</f>
        <v>1+12.470159339343i</v>
      </c>
      <c r="E617" s="337">
        <f t="shared" ref="E617" si="448">IMABS(D617)</f>
        <v>12.51019080384482</v>
      </c>
      <c r="F617" s="338">
        <f t="shared" ref="F617" si="449">IMARGUMENT(D617)</f>
        <v>1.490776124149215</v>
      </c>
      <c r="G617" s="338" t="str">
        <f t="shared" ref="G617" si="450">IMSUM(COMPLEX(1,0),IMDIV(COMPLEX(0,2*PI()*B617),COMPLEX(2*PI()*PS_Zero1,0)))</f>
        <v>1+0.0512472301616835i</v>
      </c>
      <c r="H617" s="337">
        <f t="shared" ref="H617" si="451">IMABS(G617)</f>
        <v>1.0013122782625032</v>
      </c>
      <c r="I617" s="338">
        <f t="shared" ref="I617" si="452">IMARGUMENT(G617)</f>
        <v>5.1202437555296833E-2</v>
      </c>
      <c r="J617" s="340">
        <f t="shared" ref="J617" si="453">IF(VIN_nom&gt;Vout, 1,IMSUB(COMPLEX(1,0),IMDIV(COMPLEX(0,2*PI()*B617),COMPLEX(2*PI()*PS_RHPZ,0))))</f>
        <v>1</v>
      </c>
      <c r="K617" s="338">
        <f t="shared" ref="K617" si="454">IMABS(J617)</f>
        <v>1</v>
      </c>
      <c r="L617" s="339">
        <f t="shared" ref="L617" si="455">IMARGUMENT(J617)</f>
        <v>0</v>
      </c>
      <c r="M617" s="731" t="str">
        <f t="shared" ref="M617" si="456">IMSUM(COMPLEX(1,0),IMDIV(COMPLEX(0,2*PI()*B617),COMPLEX(Q*(2*PI()*PS_Pole2/2),0)),IMDIV(IMPOWER(COMPLEX(0,2*PI()*B617),2),IMPOWER(COMPLEX(2*PI()*PS_Pole2/2,0),2)))</f>
        <v>0.9881734375+0.220921255148205i</v>
      </c>
      <c r="N617" s="338">
        <f t="shared" ref="N617" si="457">IMABS(M617)</f>
        <v>1.0125675007409751</v>
      </c>
      <c r="O617" s="339">
        <f t="shared" ref="O617" si="458">IMARGUMENT(M617)</f>
        <v>0.2199484208192661</v>
      </c>
      <c r="P617" s="732" t="str">
        <f t="shared" ref="P617" si="459">(IMDIV(IMPRODUCT(C617,G617,J617),IMPRODUCT(D617,M617)))</f>
        <v>-0.0155995439654516-0.17535588620172i</v>
      </c>
      <c r="Q617" s="337">
        <f t="shared" ref="Q617" si="460">IMABS(P617)</f>
        <v>0.17604838141124909</v>
      </c>
      <c r="R617" s="339">
        <f t="shared" ref="R617" si="461">IMARGUMENT(P617)</f>
        <v>-1.6595221074131843</v>
      </c>
      <c r="S617" s="731" t="str">
        <f t="shared" ref="S617" si="462">COMPLEX(AEA,0)</f>
        <v>6000</v>
      </c>
      <c r="T617" s="337" t="str">
        <f t="shared" ref="T617" si="463">IMSUM(COMPLEX(1,0),IMDIV(COMPLEX(0,2*PI()*B617),COMPLEX(2*PI()*EA_Pole1,0)))</f>
        <v>1+103519.404926601i</v>
      </c>
      <c r="U617" s="346">
        <f t="shared" ref="U617" si="464">IMABS(T617)</f>
        <v>103519.40493143101</v>
      </c>
      <c r="V617" s="347">
        <f t="shared" ref="V617" si="465">IMARGUMENT(T617)</f>
        <v>1.5707866667702792</v>
      </c>
      <c r="W617" s="340" t="str">
        <f t="shared" ref="W617" si="466">IMSUM(COMPLEX(1,0),IMDIV(COMPLEX(0,2*PI()*B617),COMPLEX(2*PI()*EA_Zero1,0)))</f>
        <v>1+1024.94460323367i</v>
      </c>
      <c r="X617" s="337">
        <f t="shared" ref="X617" si="467">IMABS(W617)</f>
        <v>1024.945091064797</v>
      </c>
      <c r="Y617" s="339">
        <f t="shared" ref="Y617" si="468">IMARGUMENT(W617)</f>
        <v>1.5698206646180928</v>
      </c>
      <c r="Z617" s="337" t="str">
        <f t="shared" ref="Z617" si="469">IMSUM(COMPLEX(1,0),IMDIV(COMPLEX(0,2*PI()*B617),COMPLEX(2*PI()*EA_Pole2,0)))</f>
        <v>1+10.3247344938752i</v>
      </c>
      <c r="AA617" s="346">
        <f t="shared" ref="AA617" si="470">IMABS(Z617)</f>
        <v>10.373048846362209</v>
      </c>
      <c r="AB617" s="347">
        <f t="shared" ref="AB617" si="471">IMARGUMENT(Z617)</f>
        <v>1.4742427027365659</v>
      </c>
      <c r="AC617" s="732" t="str">
        <f t="shared" ref="AC617" si="472">IMPRODUCT(S617,IMDIV(W617,IMPRODUCT(T617,Z617)))</f>
        <v>0.546592613158648-5.70080989202869i</v>
      </c>
      <c r="AD617" s="337">
        <f t="shared" ref="AD617" si="473">IMABS(AC617)</f>
        <v>5.7269535452814493</v>
      </c>
      <c r="AE617" s="339">
        <f t="shared" ref="AE617" si="474">IMARGUMENT(AC617)</f>
        <v>-1.4752087048887521</v>
      </c>
      <c r="AF617" s="736" t="str">
        <f t="shared" ref="AF617" si="475">IMPRODUCT(P617,AC617)</f>
        <v>-1.00819716618438-0.00691819752236571i</v>
      </c>
      <c r="AG617" s="337">
        <f t="shared" ref="AG617" si="476">20*LOG10(IMABS(AF617))</f>
        <v>7.1113936572484604E-2</v>
      </c>
      <c r="AH617" s="730">
        <f t="shared" ref="AH617" si="477">(180/PI())*IMARGUMENT(AF617)</f>
        <v>-179.60684545451721</v>
      </c>
      <c r="AI617" s="360">
        <f t="shared" ref="AI617" si="478">IF(AH617&gt;0,AH617-180,AH617+180)</f>
        <v>0.39315454548278694</v>
      </c>
      <c r="AJ617" s="405" t="s">
        <v>477</v>
      </c>
      <c r="AL617" s="337">
        <f t="shared" ref="AL617" si="479">20*LOG10(IMABS(AC617))</f>
        <v>15.158473206147322</v>
      </c>
      <c r="AM617" s="730">
        <f t="shared" ref="AM617" si="480">(180/PI())*IMARGUMENT(AC617)</f>
        <v>-84.523232691085667</v>
      </c>
      <c r="AN617" s="351"/>
      <c r="AO617" s="337">
        <f t="shared" ref="AO617" si="481">20*LOG10(IMABS(IMPRODUCT(COMPLEX(Am/Afb,0),P617)))</f>
        <v>38.441763215467319</v>
      </c>
      <c r="AP617" s="730">
        <f t="shared" ref="AP617" si="482">180/PI()*IMARGUMENT(IMPRODUCT(COMPLEX(Am/Afb,0),P617))</f>
        <v>-95.083612763431532</v>
      </c>
      <c r="AS617" s="351"/>
      <c r="AT617" s="351"/>
    </row>
    <row r="618" spans="2:51" x14ac:dyDescent="0.2">
      <c r="B618" s="352">
        <f>B617</f>
        <v>16312.5</v>
      </c>
      <c r="C618" s="728"/>
      <c r="D618" s="728"/>
      <c r="E618" s="337"/>
      <c r="F618" s="338"/>
      <c r="G618" s="338"/>
      <c r="H618" s="337"/>
      <c r="I618" s="338"/>
      <c r="J618" s="340"/>
      <c r="K618" s="338"/>
      <c r="L618" s="339"/>
      <c r="M618" s="731"/>
      <c r="N618" s="338"/>
      <c r="O618" s="339"/>
      <c r="P618" s="732"/>
      <c r="Q618" s="337"/>
      <c r="R618" s="339"/>
      <c r="S618" s="731"/>
      <c r="T618" s="337"/>
      <c r="U618" s="346"/>
      <c r="V618" s="347"/>
      <c r="W618" s="340"/>
      <c r="X618" s="337"/>
      <c r="Y618" s="339"/>
      <c r="Z618" s="337"/>
      <c r="AA618" s="346"/>
      <c r="AB618" s="347"/>
      <c r="AC618" s="732"/>
      <c r="AD618" s="337"/>
      <c r="AE618" s="339"/>
      <c r="AF618" s="736"/>
      <c r="AG618" s="337"/>
      <c r="AH618" s="342">
        <v>0</v>
      </c>
      <c r="AI618" s="344">
        <f>IF(AH618&gt;=0,AH618,AH618+180)</f>
        <v>0</v>
      </c>
      <c r="AL618" s="343"/>
      <c r="AM618" s="344"/>
      <c r="AN618" s="351"/>
      <c r="AO618" s="343"/>
      <c r="AP618" s="344"/>
      <c r="AS618" s="351"/>
      <c r="AT618" s="351"/>
    </row>
    <row r="619" spans="2:51" x14ac:dyDescent="0.2">
      <c r="B619" s="405">
        <f>B618</f>
        <v>16312.5</v>
      </c>
      <c r="C619" s="728"/>
      <c r="D619" s="728"/>
      <c r="E619" s="337"/>
      <c r="F619" s="338"/>
      <c r="G619" s="338"/>
      <c r="H619" s="337"/>
      <c r="I619" s="338"/>
      <c r="J619" s="340"/>
      <c r="K619" s="338"/>
      <c r="L619" s="339"/>
      <c r="M619" s="731"/>
      <c r="N619" s="338"/>
      <c r="O619" s="339"/>
      <c r="P619" s="732"/>
      <c r="Q619" s="337"/>
      <c r="R619" s="339"/>
      <c r="S619" s="731"/>
      <c r="T619" s="337"/>
      <c r="U619" s="346"/>
      <c r="V619" s="347"/>
      <c r="W619" s="340"/>
      <c r="X619" s="337"/>
      <c r="Y619" s="339"/>
      <c r="Z619" s="337"/>
      <c r="AA619" s="346"/>
      <c r="AB619" s="347"/>
      <c r="AC619" s="732"/>
      <c r="AD619" s="337"/>
      <c r="AE619" s="339"/>
      <c r="AF619" s="736"/>
      <c r="AG619" s="337"/>
      <c r="AH619" s="342">
        <f>AH617</f>
        <v>-179.60684545451721</v>
      </c>
      <c r="AI619" s="360">
        <f t="shared" ref="AI619:AI620" si="483">IF(AH619&gt;0,AH619-180,AH619+180)</f>
        <v>0.39315454548278694</v>
      </c>
      <c r="AL619" s="343"/>
      <c r="AM619" s="344"/>
      <c r="AN619" s="351"/>
      <c r="AO619" s="343"/>
      <c r="AP619" s="344"/>
      <c r="AS619" s="351"/>
      <c r="AT619" s="351"/>
    </row>
    <row r="620" spans="2:51" ht="13.5" thickBot="1" x14ac:dyDescent="0.25">
      <c r="B620" s="352">
        <v>1000000</v>
      </c>
      <c r="C620" s="728"/>
      <c r="D620" s="728"/>
      <c r="E620" s="337"/>
      <c r="F620" s="338"/>
      <c r="G620" s="338"/>
      <c r="H620" s="337"/>
      <c r="I620" s="338"/>
      <c r="J620" s="340"/>
      <c r="K620" s="338"/>
      <c r="L620" s="339"/>
      <c r="M620" s="731"/>
      <c r="N620" s="338"/>
      <c r="O620" s="339"/>
      <c r="P620" s="732"/>
      <c r="Q620" s="337"/>
      <c r="R620" s="339"/>
      <c r="S620" s="731"/>
      <c r="T620" s="337"/>
      <c r="U620" s="346"/>
      <c r="V620" s="347"/>
      <c r="W620" s="340"/>
      <c r="X620" s="337"/>
      <c r="Y620" s="339"/>
      <c r="Z620" s="337"/>
      <c r="AA620" s="346"/>
      <c r="AB620" s="347"/>
      <c r="AC620" s="732"/>
      <c r="AD620" s="337"/>
      <c r="AE620" s="339"/>
      <c r="AF620" s="736"/>
      <c r="AG620" s="337"/>
      <c r="AH620" s="342">
        <f>AH617</f>
        <v>-179.60684545451721</v>
      </c>
      <c r="AI620" s="360">
        <f t="shared" si="483"/>
        <v>0.39315454548278694</v>
      </c>
      <c r="AL620" s="343"/>
      <c r="AM620" s="344"/>
      <c r="AN620" s="351"/>
      <c r="AO620" s="343"/>
      <c r="AP620" s="344"/>
      <c r="AS620" s="351"/>
      <c r="AT620" s="351"/>
    </row>
    <row r="621" spans="2:51" ht="13.5" thickBot="1" x14ac:dyDescent="0.25">
      <c r="B621" s="352"/>
      <c r="C621" s="728"/>
      <c r="D621" s="728"/>
      <c r="E621" s="337"/>
      <c r="F621" s="338"/>
      <c r="G621" s="338"/>
      <c r="H621" s="337"/>
      <c r="I621" s="338"/>
      <c r="J621" s="340"/>
      <c r="K621" s="338"/>
      <c r="L621" s="339"/>
      <c r="M621" s="731"/>
      <c r="N621" s="338"/>
      <c r="O621" s="339"/>
      <c r="P621" s="732"/>
      <c r="Q621" s="337"/>
      <c r="R621" s="339"/>
      <c r="S621" s="731"/>
      <c r="T621" s="337"/>
      <c r="U621" s="346"/>
      <c r="V621" s="347"/>
      <c r="W621" s="340"/>
      <c r="X621" s="337"/>
      <c r="Y621" s="339"/>
      <c r="Z621" s="337"/>
      <c r="AA621" s="346"/>
      <c r="AB621" s="347"/>
      <c r="AC621" s="732"/>
      <c r="AD621" s="337"/>
      <c r="AE621" s="339"/>
      <c r="AF621" s="736"/>
      <c r="AG621" s="337"/>
      <c r="AH621" s="730"/>
      <c r="AI621" s="360"/>
      <c r="AL621" s="343"/>
      <c r="AM621" s="344"/>
      <c r="AN621" s="351"/>
      <c r="AO621" s="343"/>
      <c r="AP621" s="344"/>
      <c r="AS621" s="351"/>
      <c r="AT621" s="351"/>
    </row>
    <row r="622" spans="2:51" ht="13.5" thickBot="1" x14ac:dyDescent="0.25">
      <c r="B622" s="425">
        <f>PS_Pole1</f>
        <v>1308.1228199333864</v>
      </c>
      <c r="C622" s="728" t="str">
        <f t="shared" ref="C622:C629" si="484">COMPLEX(Am*Afb,0)</f>
        <v>2.2271548443541</v>
      </c>
      <c r="D622" s="728" t="str">
        <f t="shared" ref="D622:D629" si="485">IMSUM(COMPLEX(1,0),IMDIV(COMPLEX(0,2*PI()*B622),COMPLEX(2*PI()*PS_Pole1,0)))</f>
        <v>1+i</v>
      </c>
      <c r="E622" s="337">
        <f t="shared" ref="E622:E629" si="486">IMABS(D622)</f>
        <v>1.4142135623730951</v>
      </c>
      <c r="F622" s="338">
        <f t="shared" ref="F622:F629" si="487">IMARGUMENT(D622)</f>
        <v>0.78539816339744828</v>
      </c>
      <c r="G622" s="338" t="str">
        <f t="shared" ref="G622:G629" si="488">IMSUM(COMPLEX(1,0),IMDIV(COMPLEX(0,2*PI()*B622),COMPLEX(2*PI()*PS_Zero1,0)))</f>
        <v>1+0.00410958904109589i</v>
      </c>
      <c r="H622" s="337">
        <f t="shared" ref="H622:H629" si="489">IMABS(G622)</f>
        <v>1.00000844432539</v>
      </c>
      <c r="I622" s="338">
        <f t="shared" ref="I622:I629" si="490">IMARGUMENT(G622)</f>
        <v>4.1095659060945864E-3</v>
      </c>
      <c r="J622" s="340">
        <f t="shared" ref="J622:J629" si="491">IF(VIN_nom&gt;Vout, 1,IMSUB(COMPLEX(1,0),IMDIV(COMPLEX(0,2*PI()*B622),COMPLEX(2*PI()*PS_RHPZ,0))))</f>
        <v>1</v>
      </c>
      <c r="K622" s="338">
        <f t="shared" ref="K622:K629" si="492">IMABS(J622)</f>
        <v>1</v>
      </c>
      <c r="L622" s="339">
        <f t="shared" ref="L622:L629" si="493">IMARGUMENT(J622)</f>
        <v>0</v>
      </c>
      <c r="M622" s="731" t="str">
        <f t="shared" ref="M622:M629" si="494">IMSUM(COMPLEX(1,0),IMDIV(COMPLEX(0,2*PI()*B622),COMPLEX(Q*(2*PI()*PS_Pole2/2),0)),IMDIV(IMPOWER(COMPLEX(0,2*PI()*B622),2),IMPOWER(COMPLEX(2*PI()*PS_Pole2/2,0),2)))</f>
        <v>0.999923947319465+0.0177159929666019i</v>
      </c>
      <c r="N622" s="338">
        <f t="shared" ref="N622:N629" si="495">IMABS(M622)</f>
        <v>1.0000808751444719</v>
      </c>
      <c r="O622" s="339">
        <f t="shared" ref="O622:O629" si="496">IMARGUMENT(M622)</f>
        <v>1.7715486918009424E-2</v>
      </c>
      <c r="P622" s="732" t="str">
        <f t="shared" ref="P622:P629" si="497">(IMDIV(IMPRODUCT(C622,G622,J622),IMPRODUCT(D622,M622)))</f>
        <v>1.09824402541141-1.12854338878608i</v>
      </c>
      <c r="Q622" s="337">
        <f t="shared" ref="Q622:Q629" si="498">IMABS(P622)</f>
        <v>1.5747222357370292</v>
      </c>
      <c r="R622" s="339">
        <f t="shared" ref="R622:R629" si="499">IMARGUMENT(P622)</f>
        <v>-0.79900408440936665</v>
      </c>
      <c r="S622" s="731" t="str">
        <f t="shared" ref="S622:S629" si="500">COMPLEX(AEA,0)</f>
        <v>6000</v>
      </c>
      <c r="T622" s="337" t="str">
        <f t="shared" ref="T622:T629" si="501">IMSUM(COMPLEX(1,0),IMDIV(COMPLEX(0,2*PI()*B622),COMPLEX(2*PI()*EA_Pole1,0)))</f>
        <v>1+8301.3698630137i</v>
      </c>
      <c r="U622" s="346">
        <f t="shared" ref="U622:U629" si="502">IMABS(T622)</f>
        <v>8301.3699232447234</v>
      </c>
      <c r="V622" s="347">
        <f t="shared" ref="V622:V629" si="503">IMARGUMENT(T622)</f>
        <v>1.5706758647492747</v>
      </c>
      <c r="W622" s="340" t="str">
        <f t="shared" ref="W622:W629" si="504">IMSUM(COMPLEX(1,0),IMDIV(COMPLEX(0,2*PI()*B622),COMPLEX(2*PI()*EA_Zero1,0)))</f>
        <v>1+82.1917808219178i</v>
      </c>
      <c r="X622" s="337">
        <f t="shared" ref="X622:X629" si="505">IMABS(W622)</f>
        <v>82.197863930142219</v>
      </c>
      <c r="Y622" s="339">
        <f t="shared" ref="Y622:Y629" si="506">IMARGUMENT(W622)</f>
        <v>1.5586302604097924</v>
      </c>
      <c r="Z622" s="337" t="str">
        <f t="shared" ref="Z622:Z629" si="507">IMSUM(COMPLEX(1,0),IMDIV(COMPLEX(0,2*PI()*B622),COMPLEX(2*PI()*EA_Pole2,0)))</f>
        <v>1+0.827955298157332i</v>
      </c>
      <c r="AA622" s="346">
        <f t="shared" ref="AA622:AA629" si="508">IMABS(Z622)</f>
        <v>1.2982719190319094</v>
      </c>
      <c r="AB622" s="347">
        <f t="shared" ref="AB622:AB629" si="509">IMARGUMENT(Z622)</f>
        <v>0.69155594745837212</v>
      </c>
      <c r="AC622" s="732" t="str">
        <f t="shared" ref="AC622:AC629" si="510">IMPRODUCT(S622,IMDIV(W622,IMPRODUCT(T622,Z622)))</f>
        <v>34.8936105385165-29.6059658228859i</v>
      </c>
      <c r="AD622" s="337">
        <f t="shared" ref="AD622:AD629" si="511">IMABS(AC622)</f>
        <v>45.761089024623942</v>
      </c>
      <c r="AE622" s="339">
        <f t="shared" ref="AE622:AE629" si="512">IMARGUMENT(AC622)</f>
        <v>-0.703601551797854</v>
      </c>
      <c r="AF622" s="736" t="str">
        <f t="shared" ref="AF622:AF629" si="513">IMPRODUCT(P622,AC622)</f>
        <v>4.91008230091384-71.8935285656379i</v>
      </c>
      <c r="AG622" s="337">
        <f t="shared" ref="AG622:AG629" si="514">20*LOG10(IMABS(AF622))</f>
        <v>37.154006224402323</v>
      </c>
      <c r="AH622" s="730">
        <f t="shared" ref="AH622:AH629" si="515">(180/PI())*IMARGUMENT(AF622)</f>
        <v>-86.092961227243705</v>
      </c>
      <c r="AI622" s="360">
        <f t="shared" ref="AI622:AI629" si="516">IF(AH622&gt;0,AH622-180,AH622+180)</f>
        <v>93.907038772756295</v>
      </c>
      <c r="AJ622" s="405" t="s">
        <v>454</v>
      </c>
      <c r="AL622" s="337">
        <f t="shared" ref="AL622:AL628" si="517">20*LOG10(IMABS(AC622))</f>
        <v>33.209927025383386</v>
      </c>
      <c r="AM622" s="730">
        <f t="shared" ref="AM622:AM628" si="518">(180/PI())*IMARGUMENT(AC622)</f>
        <v>-40.313399376872411</v>
      </c>
      <c r="AN622" s="351"/>
      <c r="AO622" s="337">
        <f t="shared" ref="AO622:AO628" si="519">20*LOG10(IMABS(IMPRODUCT(COMPLEX(Am/Afb,0),P622)))</f>
        <v>57.473201684061067</v>
      </c>
      <c r="AP622" s="730">
        <f t="shared" ref="AP622:AP628" si="520">180/PI()*IMARGUMENT(IMPRODUCT(COMPLEX(Am/Afb,0),P622))</f>
        <v>-45.779561850371273</v>
      </c>
      <c r="AS622" s="351"/>
      <c r="AT622" s="351"/>
    </row>
    <row r="623" spans="2:51" ht="13.5" thickBot="1" x14ac:dyDescent="0.25">
      <c r="B623" s="425">
        <f>PS_Zero1</f>
        <v>318309.88618379069</v>
      </c>
      <c r="C623" s="728" t="str">
        <f t="shared" si="484"/>
        <v>2.2271548443541</v>
      </c>
      <c r="D623" s="728" t="str">
        <f t="shared" si="485"/>
        <v>1+243.333333333333i</v>
      </c>
      <c r="E623" s="337">
        <f t="shared" si="486"/>
        <v>243.33538811917791</v>
      </c>
      <c r="F623" s="338">
        <f t="shared" si="487"/>
        <v>1.566686760888802</v>
      </c>
      <c r="G623" s="338" t="str">
        <f t="shared" si="488"/>
        <v>1+i</v>
      </c>
      <c r="H623" s="337">
        <f t="shared" si="489"/>
        <v>1.4142135623730951</v>
      </c>
      <c r="I623" s="338">
        <f t="shared" si="490"/>
        <v>0.78539816339744828</v>
      </c>
      <c r="J623" s="340">
        <f t="shared" si="491"/>
        <v>1</v>
      </c>
      <c r="K623" s="338">
        <f t="shared" si="492"/>
        <v>1</v>
      </c>
      <c r="L623" s="339">
        <f t="shared" si="493"/>
        <v>0</v>
      </c>
      <c r="M623" s="731" t="str">
        <f t="shared" si="494"/>
        <v>-3.50316371743724+4.31089162187313i</v>
      </c>
      <c r="N623" s="338">
        <f t="shared" si="495"/>
        <v>5.5548125626977409</v>
      </c>
      <c r="O623" s="339">
        <f t="shared" si="496"/>
        <v>2.2531917216778679</v>
      </c>
      <c r="P623" s="732" t="str">
        <f t="shared" si="497"/>
        <v>-0.00231683235009378-0.000249114753157918i</v>
      </c>
      <c r="Q623" s="337">
        <f t="shared" si="498"/>
        <v>2.3301867518896414E-3</v>
      </c>
      <c r="R623" s="339">
        <f t="shared" si="499"/>
        <v>-3.0344803191692233</v>
      </c>
      <c r="S623" s="731" t="str">
        <f t="shared" si="500"/>
        <v>6000</v>
      </c>
      <c r="T623" s="337" t="str">
        <f t="shared" si="501"/>
        <v>1+2020000i</v>
      </c>
      <c r="U623" s="346">
        <f t="shared" si="502"/>
        <v>2020000.0000002475</v>
      </c>
      <c r="V623" s="347">
        <f t="shared" si="503"/>
        <v>1.5707958317453916</v>
      </c>
      <c r="W623" s="340" t="str">
        <f t="shared" si="504"/>
        <v>1+20000i</v>
      </c>
      <c r="X623" s="337">
        <f t="shared" si="505"/>
        <v>20000.000024999998</v>
      </c>
      <c r="Y623" s="339">
        <f t="shared" si="506"/>
        <v>1.5707463267949382</v>
      </c>
      <c r="Z623" s="337" t="str">
        <f t="shared" si="507"/>
        <v>1+201.469122551618i</v>
      </c>
      <c r="AA623" s="346">
        <f t="shared" si="508"/>
        <v>201.47160430621201</v>
      </c>
      <c r="AB623" s="347">
        <f t="shared" si="509"/>
        <v>1.5658328277970646</v>
      </c>
      <c r="AC623" s="732" t="str">
        <f t="shared" si="510"/>
        <v>0.0014489350247617-0.294856556221268i</v>
      </c>
      <c r="AD623" s="337">
        <f t="shared" si="511"/>
        <v>0.2948601162574751</v>
      </c>
      <c r="AE623" s="339">
        <f t="shared" si="512"/>
        <v>-1.565882332747518</v>
      </c>
      <c r="AF623" s="736" t="str">
        <f t="shared" si="513"/>
        <v>-0.0000768100577586068+0.000682772256999644i</v>
      </c>
      <c r="AG623" s="337">
        <f t="shared" si="514"/>
        <v>-63.259864775733384</v>
      </c>
      <c r="AH623" s="730">
        <f t="shared" si="515"/>
        <v>96.418635815559711</v>
      </c>
      <c r="AI623" s="360">
        <f t="shared" si="516"/>
        <v>-83.581364184440289</v>
      </c>
      <c r="AJ623" s="405" t="s">
        <v>449</v>
      </c>
      <c r="AL623" s="337">
        <f t="shared" si="517"/>
        <v>-10.607679351318088</v>
      </c>
      <c r="AM623" s="730">
        <f t="shared" si="518"/>
        <v>-89.718448880532804</v>
      </c>
      <c r="AN623" s="351"/>
      <c r="AO623" s="337">
        <f t="shared" si="519"/>
        <v>0.87693706062679844</v>
      </c>
      <c r="AP623" s="730">
        <f t="shared" si="520"/>
        <v>-173.86291530390744</v>
      </c>
      <c r="AS623" s="351"/>
      <c r="AT623" s="351"/>
    </row>
    <row r="624" spans="2:51" ht="13.5" thickBot="1" x14ac:dyDescent="0.25">
      <c r="B624" s="425">
        <f>EA_Pole1</f>
        <v>0.157579151576134</v>
      </c>
      <c r="C624" s="728" t="str">
        <f t="shared" si="484"/>
        <v>2.2271548443541</v>
      </c>
      <c r="D624" s="728" t="str">
        <f t="shared" si="485"/>
        <v>1+0.00012046204620462i</v>
      </c>
      <c r="E624" s="337">
        <f t="shared" si="486"/>
        <v>1.0000000072555522</v>
      </c>
      <c r="F624" s="338">
        <f t="shared" si="487"/>
        <v>1.2046204562194089E-4</v>
      </c>
      <c r="G624" s="338" t="str">
        <f t="shared" si="488"/>
        <v>1+4.95049504950495E-07i</v>
      </c>
      <c r="H624" s="337">
        <f t="shared" si="489"/>
        <v>1.0000000000001226</v>
      </c>
      <c r="I624" s="338">
        <f t="shared" si="490"/>
        <v>4.9504950495045454E-7</v>
      </c>
      <c r="J624" s="340">
        <f t="shared" si="491"/>
        <v>1</v>
      </c>
      <c r="K624" s="338">
        <f t="shared" si="492"/>
        <v>1</v>
      </c>
      <c r="L624" s="339">
        <f t="shared" si="493"/>
        <v>0</v>
      </c>
      <c r="M624" s="731" t="str">
        <f t="shared" si="494"/>
        <v>0.999999999998896+2.13410476330353E-06i</v>
      </c>
      <c r="N624" s="338">
        <f t="shared" si="495"/>
        <v>1.0000000000011733</v>
      </c>
      <c r="O624" s="339">
        <f t="shared" si="496"/>
        <v>2.1341047633026462E-6</v>
      </c>
      <c r="P624" s="732" t="str">
        <f t="shared" si="497"/>
        <v>2.22715481159055-0.000271938055677462i</v>
      </c>
      <c r="Q624" s="337">
        <f t="shared" si="498"/>
        <v>2.2271548281925178</v>
      </c>
      <c r="R624" s="339">
        <f t="shared" si="499"/>
        <v>-1.2210110088029387E-4</v>
      </c>
      <c r="S624" s="731" t="str">
        <f t="shared" si="500"/>
        <v>6000</v>
      </c>
      <c r="T624" s="337" t="str">
        <f t="shared" si="501"/>
        <v>1+i</v>
      </c>
      <c r="U624" s="346">
        <f t="shared" si="502"/>
        <v>1.4142135623730951</v>
      </c>
      <c r="V624" s="347">
        <f t="shared" si="503"/>
        <v>0.78539816339744828</v>
      </c>
      <c r="W624" s="340" t="str">
        <f t="shared" si="504"/>
        <v>1+0.0099009900990099i</v>
      </c>
      <c r="X624" s="337">
        <f t="shared" si="505"/>
        <v>1.0000490136013038</v>
      </c>
      <c r="Y624" s="339">
        <f t="shared" si="506"/>
        <v>9.9006665879885717E-3</v>
      </c>
      <c r="Z624" s="337" t="str">
        <f t="shared" si="507"/>
        <v>1+0.0000997371893819889i</v>
      </c>
      <c r="AA624" s="346">
        <f t="shared" si="508"/>
        <v>1.0000000049737534</v>
      </c>
      <c r="AB624" s="347">
        <f t="shared" si="509"/>
        <v>9.9737189051276774E-5</v>
      </c>
      <c r="AC624" s="732" t="str">
        <f t="shared" si="510"/>
        <v>3029.40669108462-2970.59917421183i</v>
      </c>
      <c r="AD624" s="337">
        <f t="shared" si="511"/>
        <v>4242.8486131155178</v>
      </c>
      <c r="AE624" s="339">
        <f t="shared" si="512"/>
        <v>-0.77559723399850922</v>
      </c>
      <c r="AF624" s="736" t="str">
        <f t="shared" si="513"/>
        <v>6746.14986935009-6616.80805511822i</v>
      </c>
      <c r="AG624" s="337">
        <f t="shared" si="514"/>
        <v>79.508158914764977</v>
      </c>
      <c r="AH624" s="730">
        <f t="shared" si="515"/>
        <v>-44.445443987889426</v>
      </c>
      <c r="AI624" s="360">
        <f t="shared" si="516"/>
        <v>135.55455601211057</v>
      </c>
      <c r="AJ624" s="405" t="s">
        <v>457</v>
      </c>
      <c r="AK624" s="405">
        <f>EA_Pole1</f>
        <v>0.157579151576134</v>
      </c>
      <c r="AL624" s="337">
        <f t="shared" si="517"/>
        <v>72.553150724130418</v>
      </c>
      <c r="AM624" s="730">
        <f t="shared" si="518"/>
        <v>-44.438448110135099</v>
      </c>
      <c r="AN624" s="351"/>
      <c r="AO624" s="337">
        <f t="shared" si="519"/>
        <v>60.484130675676724</v>
      </c>
      <c r="AP624" s="730">
        <f t="shared" si="520"/>
        <v>-6.9958777543419389E-3</v>
      </c>
      <c r="AS624" s="351"/>
      <c r="AT624" s="351"/>
    </row>
    <row r="625" spans="1:46" ht="13.5" thickBot="1" x14ac:dyDescent="0.25">
      <c r="B625" s="425">
        <f>EA_Zero1</f>
        <v>15.915494309189533</v>
      </c>
      <c r="C625" s="728" t="str">
        <f t="shared" si="484"/>
        <v>2.2271548443541</v>
      </c>
      <c r="D625" s="728" t="str">
        <f t="shared" si="485"/>
        <v>1+0.0121666666666667i</v>
      </c>
      <c r="E625" s="337">
        <f t="shared" si="486"/>
        <v>1.0000740111500637</v>
      </c>
      <c r="F625" s="338">
        <f t="shared" si="487"/>
        <v>1.2166066385104262E-2</v>
      </c>
      <c r="G625" s="338" t="str">
        <f t="shared" si="488"/>
        <v>1+0.00005i</v>
      </c>
      <c r="H625" s="337">
        <f t="shared" si="489"/>
        <v>1.0000000012499999</v>
      </c>
      <c r="I625" s="338">
        <f t="shared" si="490"/>
        <v>4.9999999958333334E-5</v>
      </c>
      <c r="J625" s="340">
        <f t="shared" si="491"/>
        <v>1</v>
      </c>
      <c r="K625" s="338">
        <f t="shared" si="492"/>
        <v>1</v>
      </c>
      <c r="L625" s="339">
        <f t="shared" si="493"/>
        <v>0</v>
      </c>
      <c r="M625" s="731" t="str">
        <f t="shared" si="494"/>
        <v>0.999999988742091+0.000215544581093656i</v>
      </c>
      <c r="N625" s="338">
        <f t="shared" si="495"/>
        <v>1.0000000119718242</v>
      </c>
      <c r="O625" s="339">
        <f t="shared" si="496"/>
        <v>2.1554458018220853E-4</v>
      </c>
      <c r="P625" s="732" t="str">
        <f t="shared" si="497"/>
        <v>2.22682067287183-0.027461678261439i</v>
      </c>
      <c r="Q625" s="337">
        <f t="shared" si="498"/>
        <v>2.2269899983839809</v>
      </c>
      <c r="R625" s="339">
        <f t="shared" si="499"/>
        <v>-1.2331610965328092E-2</v>
      </c>
      <c r="S625" s="731" t="str">
        <f t="shared" si="500"/>
        <v>6000</v>
      </c>
      <c r="T625" s="337" t="str">
        <f t="shared" si="501"/>
        <v>1+101i</v>
      </c>
      <c r="U625" s="346">
        <f t="shared" si="502"/>
        <v>101.00495037373169</v>
      </c>
      <c r="V625" s="347">
        <f t="shared" si="503"/>
        <v>1.560895660206908</v>
      </c>
      <c r="W625" s="340" t="str">
        <f t="shared" si="504"/>
        <v>1+i</v>
      </c>
      <c r="X625" s="337">
        <f t="shared" si="505"/>
        <v>1.4142135623730951</v>
      </c>
      <c r="Y625" s="339">
        <f t="shared" si="506"/>
        <v>0.78539816339744828</v>
      </c>
      <c r="Z625" s="337" t="str">
        <f t="shared" si="507"/>
        <v>1+0.0100734561275809i</v>
      </c>
      <c r="AA625" s="346">
        <f t="shared" si="508"/>
        <v>1.0000507359721078</v>
      </c>
      <c r="AB625" s="347">
        <f t="shared" si="509"/>
        <v>1.0073115415288592E-2</v>
      </c>
      <c r="AC625" s="732" t="str">
        <f t="shared" si="510"/>
        <v>59.3897709739878-59.4102578998534i</v>
      </c>
      <c r="AD625" s="337">
        <f t="shared" si="511"/>
        <v>84.004307270935911</v>
      </c>
      <c r="AE625" s="339">
        <f t="shared" si="512"/>
        <v>-0.78557061222474844</v>
      </c>
      <c r="AF625" s="736" t="str">
        <f t="shared" si="513"/>
        <v>130.618864374125-133.926933254549i</v>
      </c>
      <c r="AG625" s="337">
        <f t="shared" si="514"/>
        <v>45.440396428128132</v>
      </c>
      <c r="AH625" s="730">
        <f t="shared" si="515"/>
        <v>-45.716429852896781</v>
      </c>
      <c r="AI625" s="360">
        <f t="shared" si="516"/>
        <v>134.28357014710321</v>
      </c>
      <c r="AJ625" s="405" t="s">
        <v>452</v>
      </c>
      <c r="AK625" s="405">
        <f>EA_Zero1</f>
        <v>15.915494309189533</v>
      </c>
      <c r="AL625" s="337">
        <f t="shared" si="517"/>
        <v>38.486031096485519</v>
      </c>
      <c r="AM625" s="730">
        <f t="shared" si="518"/>
        <v>-45.009880589986281</v>
      </c>
      <c r="AN625" s="351"/>
      <c r="AO625" s="337">
        <f t="shared" si="519"/>
        <v>60.483487816684686</v>
      </c>
      <c r="AP625" s="730">
        <f t="shared" si="520"/>
        <v>-0.70654926291054776</v>
      </c>
      <c r="AS625" s="351"/>
      <c r="AT625" s="351"/>
    </row>
    <row r="626" spans="1:46" ht="13.5" thickBot="1" x14ac:dyDescent="0.25">
      <c r="B626" s="425">
        <f>PS_Pole2</f>
        <v>300000</v>
      </c>
      <c r="C626" s="728" t="str">
        <f t="shared" si="484"/>
        <v>2.2271548443541</v>
      </c>
      <c r="D626" s="728" t="str">
        <f t="shared" si="485"/>
        <v>1+229.336263712055i</v>
      </c>
      <c r="E626" s="337">
        <f t="shared" si="486"/>
        <v>229.33844390639186</v>
      </c>
      <c r="F626" s="338">
        <f t="shared" si="487"/>
        <v>1.5664359450298719</v>
      </c>
      <c r="G626" s="338" t="str">
        <f t="shared" si="488"/>
        <v>1+0.94247779607694i</v>
      </c>
      <c r="H626" s="337">
        <f t="shared" si="489"/>
        <v>1.3741413304671561</v>
      </c>
      <c r="I626" s="338">
        <f t="shared" si="490"/>
        <v>0.75579401615930863</v>
      </c>
      <c r="J626" s="340">
        <f t="shared" si="491"/>
        <v>1</v>
      </c>
      <c r="K626" s="338">
        <f t="shared" si="492"/>
        <v>1</v>
      </c>
      <c r="L626" s="339">
        <f t="shared" si="493"/>
        <v>0</v>
      </c>
      <c r="M626" s="731" t="str">
        <f t="shared" si="494"/>
        <v>-3.00000000000001+4.06291963490953i</v>
      </c>
      <c r="N626" s="338">
        <f t="shared" si="495"/>
        <v>5.0504768051871549</v>
      </c>
      <c r="O626" s="339">
        <f t="shared" si="496"/>
        <v>2.2068224715465208</v>
      </c>
      <c r="P626" s="732" t="str">
        <f t="shared" si="497"/>
        <v>-0.00262191240879474-0.000327135283178826i</v>
      </c>
      <c r="Q626" s="337">
        <f t="shared" si="498"/>
        <v>2.6422418838729215E-3</v>
      </c>
      <c r="R626" s="339">
        <f t="shared" si="499"/>
        <v>-3.0174644004170852</v>
      </c>
      <c r="S626" s="731" t="str">
        <f t="shared" si="500"/>
        <v>6000</v>
      </c>
      <c r="T626" s="337" t="str">
        <f t="shared" si="501"/>
        <v>1+1903805.14807542i</v>
      </c>
      <c r="U626" s="346">
        <f t="shared" si="502"/>
        <v>1903805.1480756828</v>
      </c>
      <c r="V626" s="347">
        <f t="shared" si="503"/>
        <v>1.5707958015310581</v>
      </c>
      <c r="W626" s="340" t="str">
        <f t="shared" si="504"/>
        <v>1+18849.5559215388i</v>
      </c>
      <c r="X626" s="337">
        <f t="shared" si="505"/>
        <v>18849.555948064619</v>
      </c>
      <c r="Y626" s="339">
        <f t="shared" si="506"/>
        <v>1.570743275147249</v>
      </c>
      <c r="Z626" s="337" t="str">
        <f t="shared" si="507"/>
        <v>1+189.880174600003i</v>
      </c>
      <c r="AA626" s="346">
        <f t="shared" si="508"/>
        <v>189.88280782137076</v>
      </c>
      <c r="AB626" s="347">
        <f t="shared" si="509"/>
        <v>1.5655298962315558</v>
      </c>
      <c r="AC626" s="732" t="str">
        <f t="shared" si="510"/>
        <v>0.00163119285304547-0.312851562981681i</v>
      </c>
      <c r="AD626" s="337">
        <f t="shared" si="511"/>
        <v>0.31285581543293156</v>
      </c>
      <c r="AE626" s="339">
        <f t="shared" si="512"/>
        <v>-1.5655824226153647</v>
      </c>
      <c r="AF626" s="736" t="str">
        <f t="shared" si="513"/>
        <v>-0.000106621629431488+0.000819735774356598i</v>
      </c>
      <c r="AG626" s="337">
        <f t="shared" si="514"/>
        <v>-61.653663905787219</v>
      </c>
      <c r="AH626" s="730">
        <f t="shared" si="515"/>
        <v>97.41075972940034</v>
      </c>
      <c r="AI626" s="360">
        <f t="shared" si="516"/>
        <v>-82.58924027059966</v>
      </c>
      <c r="AJ626" s="405" t="s">
        <v>450</v>
      </c>
      <c r="AL626" s="337">
        <f t="shared" si="517"/>
        <v>-10.093115356995391</v>
      </c>
      <c r="AM626" s="730">
        <f t="shared" si="518"/>
        <v>-89.701265295727211</v>
      </c>
      <c r="AN626" s="351"/>
      <c r="AO626" s="337">
        <f t="shared" si="519"/>
        <v>1.9685739362503352</v>
      </c>
      <c r="AP626" s="730">
        <f t="shared" si="520"/>
        <v>-172.88797497487249</v>
      </c>
      <c r="AS626" s="351"/>
      <c r="AT626" s="351"/>
    </row>
    <row r="627" spans="1:46" ht="13.5" thickBot="1" x14ac:dyDescent="0.25">
      <c r="B627" s="404">
        <f>Fp2_u</f>
        <v>1579.9437757626504</v>
      </c>
      <c r="C627" s="728" t="str">
        <f t="shared" si="484"/>
        <v>2.2271548443541</v>
      </c>
      <c r="D627" s="728" t="str">
        <f t="shared" si="485"/>
        <v>1+1.20779467469508i</v>
      </c>
      <c r="E627" s="337">
        <f t="shared" si="486"/>
        <v>1.5680459101129005</v>
      </c>
      <c r="F627" s="338">
        <f t="shared" si="487"/>
        <v>0.87924037933652588</v>
      </c>
      <c r="G627" s="338" t="str">
        <f t="shared" si="488"/>
        <v>1+0.00496353975902086i</v>
      </c>
      <c r="H627" s="337">
        <f t="shared" si="489"/>
        <v>1.0000123182875995</v>
      </c>
      <c r="I627" s="338">
        <f t="shared" si="490"/>
        <v>4.96349899783216E-3</v>
      </c>
      <c r="J627" s="340">
        <f t="shared" si="491"/>
        <v>1</v>
      </c>
      <c r="K627" s="338">
        <f t="shared" si="492"/>
        <v>1</v>
      </c>
      <c r="L627" s="339">
        <f t="shared" si="493"/>
        <v>0</v>
      </c>
      <c r="M627" s="731" t="str">
        <f t="shared" si="494"/>
        <v>0.99988905678513+0.0213972819619972i</v>
      </c>
      <c r="N627" s="338">
        <f t="shared" si="495"/>
        <v>1.0001179778176263</v>
      </c>
      <c r="O627" s="339">
        <f t="shared" si="496"/>
        <v>2.1396390382063125E-2</v>
      </c>
      <c r="P627" s="732" t="str">
        <f t="shared" si="497"/>
        <v>0.887607929640074-1.10864121077154i</v>
      </c>
      <c r="Q627" s="337">
        <f t="shared" si="498"/>
        <v>1.4201877238523521</v>
      </c>
      <c r="R627" s="339">
        <f t="shared" si="499"/>
        <v>-0.89567327072075387</v>
      </c>
      <c r="S627" s="731" t="str">
        <f t="shared" si="500"/>
        <v>6000</v>
      </c>
      <c r="T627" s="337" t="str">
        <f t="shared" si="501"/>
        <v>1+10026.3503132221i</v>
      </c>
      <c r="U627" s="346">
        <f t="shared" si="502"/>
        <v>10026.350363090694</v>
      </c>
      <c r="V627" s="347">
        <f t="shared" si="503"/>
        <v>1.5706965896058454</v>
      </c>
      <c r="W627" s="340" t="str">
        <f t="shared" si="504"/>
        <v>1+99.2707951804172i</v>
      </c>
      <c r="X627" s="337">
        <f t="shared" si="505"/>
        <v>99.275831780712593</v>
      </c>
      <c r="Y627" s="339">
        <f t="shared" si="506"/>
        <v>1.5607232113796081</v>
      </c>
      <c r="Z627" s="337" t="str">
        <f t="shared" si="507"/>
        <v>1+i</v>
      </c>
      <c r="AA627" s="346">
        <f t="shared" si="508"/>
        <v>1.4142135623730951</v>
      </c>
      <c r="AB627" s="347">
        <f t="shared" si="509"/>
        <v>0.78539816339744828</v>
      </c>
      <c r="AC627" s="732" t="str">
        <f t="shared" si="510"/>
        <v>29.4067507696546-29.9992489185052i</v>
      </c>
      <c r="AD627" s="337">
        <f t="shared" si="511"/>
        <v>42.008474460553984</v>
      </c>
      <c r="AE627" s="339">
        <f t="shared" si="512"/>
        <v>-0.7953715416236854</v>
      </c>
      <c r="AF627" s="736" t="str">
        <f t="shared" si="513"/>
        <v>-7.15673847515364-59.2291070014384i</v>
      </c>
      <c r="AG627" s="337">
        <f t="shared" si="514"/>
        <v>35.513653293528222</v>
      </c>
      <c r="AH627" s="730">
        <f t="shared" si="515"/>
        <v>-96.889730714828659</v>
      </c>
      <c r="AI627" s="360">
        <f t="shared" si="516"/>
        <v>83.110269285171341</v>
      </c>
      <c r="AJ627" s="405" t="s">
        <v>462</v>
      </c>
      <c r="AL627" s="337">
        <f t="shared" si="517"/>
        <v>32.466738208054224</v>
      </c>
      <c r="AM627" s="730">
        <f t="shared" si="518"/>
        <v>-45.571432479851055</v>
      </c>
      <c r="AN627" s="351"/>
      <c r="AO627" s="337">
        <f t="shared" si="519"/>
        <v>56.576037570516135</v>
      </c>
      <c r="AP627" s="730">
        <f t="shared" si="520"/>
        <v>-51.318298234977625</v>
      </c>
      <c r="AS627" s="351"/>
      <c r="AT627" s="351"/>
    </row>
    <row r="628" spans="1:46" ht="13.5" thickBot="1" x14ac:dyDescent="0.25">
      <c r="B628" s="404">
        <f>PS_RHPZ</f>
        <v>10000000</v>
      </c>
      <c r="C628" s="728" t="str">
        <f t="shared" si="484"/>
        <v>2.2271548443541</v>
      </c>
      <c r="D628" s="728" t="str">
        <f t="shared" si="485"/>
        <v>1+7644.54212373517i</v>
      </c>
      <c r="E628" s="337">
        <f t="shared" si="486"/>
        <v>7644.5421891413098</v>
      </c>
      <c r="F628" s="338">
        <f t="shared" si="487"/>
        <v>1.5706655145136494</v>
      </c>
      <c r="G628" s="338" t="str">
        <f t="shared" si="488"/>
        <v>1+31.415926535898i</v>
      </c>
      <c r="H628" s="337">
        <f t="shared" si="489"/>
        <v>31.431838000806444</v>
      </c>
      <c r="I628" s="338">
        <f t="shared" si="490"/>
        <v>1.5389760821571943</v>
      </c>
      <c r="J628" s="340">
        <f t="shared" si="491"/>
        <v>1</v>
      </c>
      <c r="K628" s="338">
        <f t="shared" si="492"/>
        <v>1</v>
      </c>
      <c r="L628" s="339">
        <f t="shared" si="493"/>
        <v>0</v>
      </c>
      <c r="M628" s="731" t="str">
        <f t="shared" si="494"/>
        <v>-4443.44444444445+135.430654496985i</v>
      </c>
      <c r="N628" s="338">
        <f t="shared" si="495"/>
        <v>4445.5078442222693</v>
      </c>
      <c r="O628" s="339">
        <f t="shared" si="496"/>
        <v>3.1111233311434723</v>
      </c>
      <c r="P628" s="732" t="str">
        <f t="shared" si="497"/>
        <v>-2.05990411021342E-06+2.5133106659597E-09i</v>
      </c>
      <c r="Q628" s="337">
        <f t="shared" si="498"/>
        <v>2.0599056434712351E-6</v>
      </c>
      <c r="R628" s="339">
        <f t="shared" si="499"/>
        <v>3.1403725436796588</v>
      </c>
      <c r="S628" s="731" t="str">
        <f t="shared" si="500"/>
        <v>6000</v>
      </c>
      <c r="T628" s="337" t="str">
        <f t="shared" si="501"/>
        <v>1+63460171.6025139i</v>
      </c>
      <c r="U628" s="346">
        <f t="shared" si="502"/>
        <v>63460171.602513902</v>
      </c>
      <c r="V628" s="347">
        <f t="shared" si="503"/>
        <v>1.5707963110369814</v>
      </c>
      <c r="W628" s="340" t="str">
        <f t="shared" si="504"/>
        <v>1+628318.530717959i</v>
      </c>
      <c r="X628" s="337">
        <f t="shared" si="505"/>
        <v>628318.53071875486</v>
      </c>
      <c r="Y628" s="339">
        <f t="shared" si="506"/>
        <v>1.5707947352454656</v>
      </c>
      <c r="Z628" s="337" t="str">
        <f t="shared" si="507"/>
        <v>1+6329.33915333344i</v>
      </c>
      <c r="AA628" s="346">
        <f t="shared" si="508"/>
        <v>6329.3392323306289</v>
      </c>
      <c r="AB628" s="347">
        <f t="shared" si="509"/>
        <v>1.570638332418635</v>
      </c>
      <c r="AC628" s="732" t="str">
        <f t="shared" si="510"/>
        <v>1.46811424925296E-06-0.0093858043765374i</v>
      </c>
      <c r="AD628" s="337">
        <f t="shared" si="511"/>
        <v>9.3858044913575772E-3</v>
      </c>
      <c r="AE628" s="339">
        <f t="shared" si="512"/>
        <v>-1.5706399082101508</v>
      </c>
      <c r="AF628" s="736" t="str">
        <f t="shared" si="513"/>
        <v>2.05652676718636E-11+1.93338607027157E-08i</v>
      </c>
      <c r="AG628" s="337">
        <f t="shared" si="514"/>
        <v>-154.27362338126335</v>
      </c>
      <c r="AH628" s="730">
        <f t="shared" si="515"/>
        <v>89.939054976350576</v>
      </c>
      <c r="AI628" s="360">
        <f t="shared" si="516"/>
        <v>-90.060945023649424</v>
      </c>
      <c r="AJ628" s="405" t="s">
        <v>578</v>
      </c>
      <c r="AL628" s="337">
        <f t="shared" si="517"/>
        <v>-40.550569929828022</v>
      </c>
      <c r="AM628" s="730">
        <f t="shared" si="518"/>
        <v>-89.991037875256652</v>
      </c>
      <c r="AN628" s="351"/>
      <c r="AO628" s="337">
        <f t="shared" si="519"/>
        <v>-60.193930966393197</v>
      </c>
      <c r="AP628" s="730">
        <f t="shared" si="520"/>
        <v>179.93009285160721</v>
      </c>
      <c r="AS628" s="351"/>
      <c r="AT628" s="351"/>
    </row>
    <row r="629" spans="1:46" x14ac:dyDescent="0.2">
      <c r="B629" s="404">
        <f>Fp2_u</f>
        <v>1579.9437757626504</v>
      </c>
      <c r="C629" s="728" t="str">
        <f t="shared" si="484"/>
        <v>2.2271548443541</v>
      </c>
      <c r="D629" s="728" t="str">
        <f t="shared" si="485"/>
        <v>1+1.20779467469508i</v>
      </c>
      <c r="E629" s="337">
        <f t="shared" si="486"/>
        <v>1.5680459101129005</v>
      </c>
      <c r="F629" s="338">
        <f t="shared" si="487"/>
        <v>0.87924037933652588</v>
      </c>
      <c r="G629" s="338" t="str">
        <f t="shared" si="488"/>
        <v>1+0.00496353975902086i</v>
      </c>
      <c r="H629" s="337">
        <f t="shared" si="489"/>
        <v>1.0000123182875995</v>
      </c>
      <c r="I629" s="338">
        <f t="shared" si="490"/>
        <v>4.96349899783216E-3</v>
      </c>
      <c r="J629" s="340">
        <f t="shared" si="491"/>
        <v>1</v>
      </c>
      <c r="K629" s="338">
        <f t="shared" si="492"/>
        <v>1</v>
      </c>
      <c r="L629" s="339">
        <f t="shared" si="493"/>
        <v>0</v>
      </c>
      <c r="M629" s="731" t="str">
        <f t="shared" si="494"/>
        <v>0.99988905678513+0.0213972819619972i</v>
      </c>
      <c r="N629" s="338">
        <f t="shared" si="495"/>
        <v>1.0001179778176263</v>
      </c>
      <c r="O629" s="339">
        <f t="shared" si="496"/>
        <v>2.1396390382063125E-2</v>
      </c>
      <c r="P629" s="732" t="str">
        <f t="shared" si="497"/>
        <v>0.887607929640074-1.10864121077154i</v>
      </c>
      <c r="Q629" s="337">
        <f t="shared" si="498"/>
        <v>1.4201877238523521</v>
      </c>
      <c r="R629" s="339">
        <f t="shared" si="499"/>
        <v>-0.89567327072075387</v>
      </c>
      <c r="S629" s="731" t="str">
        <f t="shared" si="500"/>
        <v>6000</v>
      </c>
      <c r="T629" s="337" t="str">
        <f t="shared" si="501"/>
        <v>1+10026.3503132221i</v>
      </c>
      <c r="U629" s="346">
        <f t="shared" si="502"/>
        <v>10026.350363090694</v>
      </c>
      <c r="V629" s="347">
        <f t="shared" si="503"/>
        <v>1.5706965896058454</v>
      </c>
      <c r="W629" s="340" t="str">
        <f t="shared" si="504"/>
        <v>1+99.2707951804172i</v>
      </c>
      <c r="X629" s="337">
        <f t="shared" si="505"/>
        <v>99.275831780712593</v>
      </c>
      <c r="Y629" s="339">
        <f t="shared" si="506"/>
        <v>1.5607232113796081</v>
      </c>
      <c r="Z629" s="337" t="str">
        <f t="shared" si="507"/>
        <v>1+i</v>
      </c>
      <c r="AA629" s="346">
        <f t="shared" si="508"/>
        <v>1.4142135623730951</v>
      </c>
      <c r="AB629" s="347">
        <f t="shared" si="509"/>
        <v>0.78539816339744828</v>
      </c>
      <c r="AC629" s="732" t="str">
        <f t="shared" si="510"/>
        <v>29.4067507696546-29.9992489185052i</v>
      </c>
      <c r="AD629" s="337">
        <f t="shared" si="511"/>
        <v>42.008474460553984</v>
      </c>
      <c r="AE629" s="339">
        <f t="shared" si="512"/>
        <v>-0.7953715416236854</v>
      </c>
      <c r="AF629" s="736" t="str">
        <f t="shared" si="513"/>
        <v>-7.15673847515364-59.2291070014384i</v>
      </c>
      <c r="AG629" s="337">
        <f t="shared" si="514"/>
        <v>35.513653293528222</v>
      </c>
      <c r="AH629" s="730">
        <f t="shared" si="515"/>
        <v>-96.889730714828659</v>
      </c>
      <c r="AI629" s="360">
        <f t="shared" si="516"/>
        <v>83.110269285171341</v>
      </c>
    </row>
    <row r="631" spans="1:46" x14ac:dyDescent="0.2">
      <c r="F631" s="405" t="s">
        <v>478</v>
      </c>
      <c r="H631" s="405" t="s">
        <v>479</v>
      </c>
    </row>
    <row r="632" spans="1:46" x14ac:dyDescent="0.2">
      <c r="A632" s="405" t="s">
        <v>454</v>
      </c>
      <c r="B632" s="405" t="s">
        <v>575</v>
      </c>
      <c r="E632" s="353">
        <f>PS_Pole1</f>
        <v>1308.1228199333864</v>
      </c>
      <c r="F632" s="353">
        <f>AG622</f>
        <v>37.154006224402323</v>
      </c>
      <c r="G632" s="353"/>
      <c r="H632" s="353">
        <f>AO622</f>
        <v>57.473201684061067</v>
      </c>
    </row>
    <row r="633" spans="1:46" x14ac:dyDescent="0.2">
      <c r="A633" s="405" t="s">
        <v>449</v>
      </c>
      <c r="B633" s="405" t="s">
        <v>586</v>
      </c>
      <c r="E633" s="353">
        <f>PS_Zero1</f>
        <v>318309.88618379069</v>
      </c>
      <c r="F633" s="353">
        <f>AG623</f>
        <v>-63.259864775733384</v>
      </c>
      <c r="G633" s="353"/>
      <c r="H633" s="353">
        <f>AO623</f>
        <v>0.87693706062679844</v>
      </c>
    </row>
    <row r="634" spans="1:46" x14ac:dyDescent="0.2">
      <c r="A634" s="405" t="s">
        <v>457</v>
      </c>
      <c r="B634" s="405" t="s">
        <v>587</v>
      </c>
      <c r="E634" s="353">
        <f>EA_Pole1</f>
        <v>0.157579151576134</v>
      </c>
      <c r="F634" s="353">
        <f>AG624</f>
        <v>79.508158914764977</v>
      </c>
      <c r="G634" s="353"/>
      <c r="H634" s="353">
        <f>AO624</f>
        <v>60.484130675676724</v>
      </c>
    </row>
    <row r="635" spans="1:46" x14ac:dyDescent="0.2">
      <c r="A635" s="405" t="s">
        <v>452</v>
      </c>
      <c r="B635" s="405" t="s">
        <v>588</v>
      </c>
      <c r="E635" s="353">
        <f>EA_Zero1</f>
        <v>15.915494309189533</v>
      </c>
      <c r="F635" s="353">
        <f>AG625</f>
        <v>45.440396428128132</v>
      </c>
      <c r="G635" s="353"/>
      <c r="H635" s="353">
        <f>AO625</f>
        <v>60.483487816684686</v>
      </c>
    </row>
    <row r="636" spans="1:46" x14ac:dyDescent="0.2">
      <c r="A636" s="405" t="s">
        <v>450</v>
      </c>
      <c r="B636" s="405" t="s">
        <v>585</v>
      </c>
      <c r="E636" s="405">
        <f>PS_Pole2</f>
        <v>300000</v>
      </c>
      <c r="F636" s="353">
        <f>AG626</f>
        <v>-61.653663905787219</v>
      </c>
      <c r="G636" s="353"/>
      <c r="H636" s="353">
        <f>AO626</f>
        <v>1.9685739362503352</v>
      </c>
    </row>
    <row r="637" spans="1:46" x14ac:dyDescent="0.2">
      <c r="A637" s="405" t="s">
        <v>574</v>
      </c>
      <c r="B637" s="405" t="s">
        <v>589</v>
      </c>
      <c r="E637" s="404">
        <f>PS_RHPZ</f>
        <v>10000000</v>
      </c>
      <c r="F637" s="353">
        <f>AG628</f>
        <v>-154.27362338126335</v>
      </c>
      <c r="G637" s="353"/>
      <c r="H637" s="353">
        <f>AO628</f>
        <v>-60.193930966393197</v>
      </c>
    </row>
    <row r="639" spans="1:46" x14ac:dyDescent="0.2">
      <c r="A639" s="353">
        <f>R4*1000</f>
        <v>16312.5</v>
      </c>
    </row>
    <row r="640" spans="1:46" x14ac:dyDescent="0.2">
      <c r="A640" s="353">
        <f>R4*1000</f>
        <v>16312.5</v>
      </c>
    </row>
    <row r="687" spans="48:49" x14ac:dyDescent="0.2">
      <c r="AV687" s="405" t="s">
        <v>48</v>
      </c>
      <c r="AW687" s="353">
        <f>SUM(AW689:AW1306)</f>
        <v>0</v>
      </c>
    </row>
  </sheetData>
  <mergeCells count="18">
    <mergeCell ref="AG10:AI10"/>
    <mergeCell ref="AL10:AM10"/>
    <mergeCell ref="AO10:AP10"/>
    <mergeCell ref="D11:F11"/>
    <mergeCell ref="G11:I11"/>
    <mergeCell ref="J11:L11"/>
    <mergeCell ref="M11:O11"/>
    <mergeCell ref="P11:R11"/>
    <mergeCell ref="T11:V11"/>
    <mergeCell ref="W11:Y11"/>
    <mergeCell ref="B2:D2"/>
    <mergeCell ref="E2:G2"/>
    <mergeCell ref="Q2:S2"/>
    <mergeCell ref="B10:B12"/>
    <mergeCell ref="C10:R10"/>
    <mergeCell ref="S10:AE10"/>
    <mergeCell ref="Z11:AB11"/>
    <mergeCell ref="AC11:AE11"/>
  </mergeCells>
  <pageMargins left="0.75" right="0.75" top="1" bottom="1" header="0.5" footer="0.5"/>
  <pageSetup scale="48" orientation="portrait" horizontalDpi="300" verticalDpi="300" r:id="rId1"/>
  <headerFooter alignWithMargins="0"/>
  <colBreaks count="1" manualBreakCount="1">
    <brk id="35" max="1048575" man="1"/>
  </col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A0F15-EACF-486C-93AC-407C8EFBC619}">
  <sheetPr codeName="Sheet20"/>
  <dimension ref="A1:BO687"/>
  <sheetViews>
    <sheetView zoomScaleNormal="100" workbookViewId="0">
      <pane ySplit="11" topLeftCell="A12" activePane="bottomLeft" state="frozen"/>
      <selection activeCell="A93" sqref="A93"/>
      <selection pane="bottomLeft" activeCell="B7" sqref="B7"/>
    </sheetView>
  </sheetViews>
  <sheetFormatPr defaultColWidth="9.140625" defaultRowHeight="12.75" x14ac:dyDescent="0.2"/>
  <cols>
    <col min="1" max="1" width="9.140625" style="405"/>
    <col min="2" max="2" width="10" style="405" bestFit="1" customWidth="1"/>
    <col min="3" max="3" width="16.140625" style="405" customWidth="1"/>
    <col min="4" max="6" width="15.7109375" style="405" customWidth="1"/>
    <col min="7" max="7" width="10" style="405" customWidth="1"/>
    <col min="8" max="9" width="10.85546875" style="405" customWidth="1"/>
    <col min="10" max="10" width="10.140625" style="405" customWidth="1"/>
    <col min="11" max="33" width="11.85546875" style="405" customWidth="1"/>
    <col min="34" max="34" width="20.140625" style="405" customWidth="1"/>
    <col min="35" max="36" width="11.85546875" style="405" customWidth="1"/>
    <col min="37" max="37" width="14.28515625" style="405" customWidth="1"/>
    <col min="38" max="39" width="11" style="405" customWidth="1"/>
    <col min="40" max="40" width="12" style="405" customWidth="1"/>
    <col min="41" max="42" width="11.42578125" style="405" customWidth="1"/>
    <col min="43" max="43" width="10.85546875" style="405" customWidth="1"/>
    <col min="44" max="47" width="11.42578125" style="405" customWidth="1"/>
    <col min="48" max="48" width="12.140625" style="405" customWidth="1"/>
    <col min="49" max="49" width="9.42578125" style="405" customWidth="1"/>
    <col min="50" max="50" width="16.140625" style="405" bestFit="1" customWidth="1"/>
    <col min="51" max="51" width="13.140625" style="353" customWidth="1"/>
    <col min="52" max="53" width="9.140625" style="405"/>
    <col min="54" max="54" width="13.5703125" style="405" customWidth="1"/>
    <col min="55" max="56" width="10.5703125" style="405" customWidth="1"/>
    <col min="57" max="57" width="9.28515625" style="405" bestFit="1" customWidth="1"/>
    <col min="58" max="58" width="11.28515625" style="405" bestFit="1" customWidth="1"/>
    <col min="59" max="60" width="9.140625" style="405"/>
    <col min="61" max="62" width="11.28515625" style="405" customWidth="1"/>
    <col min="63" max="63" width="9.140625" style="405"/>
    <col min="64" max="64" width="12.28515625" style="405" customWidth="1"/>
    <col min="65" max="65" width="8.85546875" style="405" customWidth="1"/>
    <col min="66" max="16384" width="9.140625" style="405"/>
  </cols>
  <sheetData>
    <row r="1" spans="1:67" ht="13.5" thickBot="1" x14ac:dyDescent="0.25"/>
    <row r="2" spans="1:67" x14ac:dyDescent="0.2">
      <c r="A2" s="405" t="s">
        <v>5</v>
      </c>
      <c r="B2" s="405">
        <f>Vout</f>
        <v>14.6</v>
      </c>
      <c r="D2" s="903" t="s">
        <v>1201</v>
      </c>
      <c r="E2" s="904"/>
      <c r="F2" s="904"/>
      <c r="G2" s="903" t="s">
        <v>445</v>
      </c>
      <c r="H2" s="904"/>
      <c r="I2" s="905"/>
      <c r="J2" s="714"/>
      <c r="K2" s="716"/>
      <c r="L2" s="715"/>
      <c r="M2" s="714" t="s">
        <v>551</v>
      </c>
      <c r="N2" s="715"/>
      <c r="O2" s="718"/>
      <c r="P2" s="719"/>
      <c r="Q2" s="718"/>
      <c r="R2" s="714" t="s">
        <v>552</v>
      </c>
      <c r="S2" s="715"/>
      <c r="T2" s="903" t="s">
        <v>446</v>
      </c>
      <c r="U2" s="904"/>
      <c r="V2" s="905"/>
      <c r="W2"/>
      <c r="X2"/>
      <c r="Y2"/>
      <c r="Z2"/>
      <c r="AA2"/>
      <c r="AB2"/>
      <c r="AC2"/>
      <c r="AD2"/>
      <c r="AE2"/>
      <c r="AF2"/>
      <c r="AG2"/>
      <c r="AH2"/>
      <c r="AI2"/>
      <c r="AJ2"/>
      <c r="AK2"/>
      <c r="AL2"/>
      <c r="AY2" s="405"/>
    </row>
    <row r="3" spans="1:67" x14ac:dyDescent="0.2">
      <c r="A3" s="405" t="s">
        <v>4</v>
      </c>
      <c r="B3" s="405">
        <f>Vin</f>
        <v>20</v>
      </c>
      <c r="D3" s="321"/>
      <c r="E3" s="402"/>
      <c r="F3" s="323"/>
      <c r="G3" s="324" t="s">
        <v>448</v>
      </c>
      <c r="H3" s="322">
        <f>Acs</f>
        <v>40</v>
      </c>
      <c r="I3" s="323" t="s">
        <v>550</v>
      </c>
      <c r="J3" s="414" t="s">
        <v>464</v>
      </c>
      <c r="K3" s="423">
        <f>gm</f>
        <v>5.9999999999999995E-4</v>
      </c>
      <c r="L3" s="745"/>
      <c r="M3" s="324" t="s">
        <v>577</v>
      </c>
      <c r="N3" s="326"/>
      <c r="O3" s="325">
        <f>Fesr</f>
        <v>318309.88618379069</v>
      </c>
      <c r="P3" s="323" t="s">
        <v>10</v>
      </c>
      <c r="Q3" s="324" t="s">
        <v>450</v>
      </c>
      <c r="R3" s="325">
        <f>Fsw/2</f>
        <v>300000</v>
      </c>
      <c r="S3" s="323" t="s">
        <v>10</v>
      </c>
      <c r="T3" s="326" t="s">
        <v>451</v>
      </c>
      <c r="U3" s="325">
        <f>Am*Afb*AEA</f>
        <v>13362.929066124625</v>
      </c>
      <c r="V3" s="323" t="s">
        <v>30</v>
      </c>
      <c r="W3"/>
      <c r="X3"/>
      <c r="Y3"/>
      <c r="Z3"/>
      <c r="AA3"/>
      <c r="AB3"/>
      <c r="AC3"/>
      <c r="AD3"/>
      <c r="AE3"/>
      <c r="AF3"/>
      <c r="AG3"/>
      <c r="AH3"/>
      <c r="AI3"/>
      <c r="AJ3"/>
      <c r="AK3"/>
      <c r="AL3"/>
    </row>
    <row r="4" spans="1:67" x14ac:dyDescent="0.2">
      <c r="A4" s="405" t="s">
        <v>1203</v>
      </c>
      <c r="B4" s="353">
        <f>'Variable Management'!B253</f>
        <v>5</v>
      </c>
      <c r="D4" s="324" t="s">
        <v>942</v>
      </c>
      <c r="E4" s="357">
        <f>1/(2*Pi*RcIL*Cc1IL)</f>
        <v>99.596334850998332</v>
      </c>
      <c r="F4" s="323" t="s">
        <v>10</v>
      </c>
      <c r="G4" s="324" t="s">
        <v>453</v>
      </c>
      <c r="H4" s="330">
        <f>Am</f>
        <v>32.516460727569928</v>
      </c>
      <c r="I4" s="323" t="s">
        <v>30</v>
      </c>
      <c r="J4" s="415"/>
      <c r="K4" s="415"/>
      <c r="L4" s="746"/>
      <c r="M4" s="324" t="s">
        <v>576</v>
      </c>
      <c r="N4" s="326"/>
      <c r="O4" s="325">
        <f>Fp_dominant</f>
        <v>1308.1228199333864</v>
      </c>
      <c r="P4" s="323" t="s">
        <v>10</v>
      </c>
      <c r="Q4" s="324" t="s">
        <v>455</v>
      </c>
      <c r="R4" s="400">
        <f>Q*PS_Pole2</f>
        <v>147677.05342844216</v>
      </c>
      <c r="S4" s="323"/>
      <c r="T4" s="326" t="s">
        <v>456</v>
      </c>
      <c r="U4" s="357">
        <f>BM8/1000</f>
        <v>18.515000000000001</v>
      </c>
      <c r="V4" s="323" t="s">
        <v>3</v>
      </c>
      <c r="W4"/>
      <c r="X4"/>
      <c r="Y4"/>
      <c r="Z4"/>
      <c r="AA4"/>
      <c r="AB4"/>
      <c r="AC4"/>
      <c r="AD4"/>
      <c r="AE4"/>
      <c r="AF4"/>
      <c r="AG4"/>
      <c r="AH4"/>
      <c r="AI4"/>
      <c r="AJ4"/>
      <c r="AK4"/>
      <c r="AL4"/>
      <c r="AV4" s="630"/>
    </row>
    <row r="5" spans="1:67" x14ac:dyDescent="0.2">
      <c r="A5" s="405" t="s">
        <v>1216</v>
      </c>
      <c r="B5" s="405">
        <f>Rout</f>
        <v>1.2166666666666666</v>
      </c>
      <c r="D5" s="324" t="s">
        <v>943</v>
      </c>
      <c r="E5" s="330">
        <f>1/(2*Pi*(RoEA_IL+RcIL)*Cc1IL)</f>
        <v>0.16902642432534409</v>
      </c>
      <c r="F5" s="323" t="s">
        <v>10</v>
      </c>
      <c r="G5" s="324" t="s">
        <v>29</v>
      </c>
      <c r="H5" s="402">
        <f>Q</f>
        <v>0.49225684476147386</v>
      </c>
      <c r="I5" s="323"/>
      <c r="J5" s="415"/>
      <c r="K5" s="415"/>
      <c r="L5" s="746"/>
      <c r="M5" s="324" t="s">
        <v>578</v>
      </c>
      <c r="N5" s="326"/>
      <c r="O5" s="325">
        <f>IF(VIN_nom&gt;Vout, 10000000,Frhp)</f>
        <v>10000000</v>
      </c>
      <c r="P5" s="323" t="s">
        <v>10</v>
      </c>
      <c r="Q5" s="324" t="s">
        <v>458</v>
      </c>
      <c r="R5" s="322">
        <f>PS_Pole2^2+0.01</f>
        <v>90000000000.009995</v>
      </c>
      <c r="S5" s="323"/>
      <c r="T5" s="326" t="s">
        <v>459</v>
      </c>
      <c r="U5" s="330">
        <f>BM9</f>
        <v>-4.9242717103255416</v>
      </c>
      <c r="V5" s="382" t="s">
        <v>519</v>
      </c>
      <c r="W5"/>
      <c r="X5"/>
      <c r="Y5"/>
      <c r="Z5"/>
      <c r="AA5"/>
      <c r="AB5"/>
      <c r="AC5"/>
      <c r="AD5"/>
      <c r="AE5"/>
      <c r="AF5"/>
      <c r="AG5"/>
      <c r="AH5"/>
      <c r="AI5"/>
      <c r="AJ5"/>
      <c r="AK5"/>
      <c r="AL5"/>
      <c r="AV5" s="630"/>
    </row>
    <row r="6" spans="1:67" x14ac:dyDescent="0.2">
      <c r="A6" s="405" t="s">
        <v>1204</v>
      </c>
      <c r="B6" s="405">
        <f>Cout-B7</f>
        <v>6.1000000000000005E-5</v>
      </c>
      <c r="D6" s="324" t="s">
        <v>941</v>
      </c>
      <c r="E6" s="325">
        <f>gm_IL_DAC*RoEA_IL</f>
        <v>10000</v>
      </c>
      <c r="F6" s="323" t="s">
        <v>30</v>
      </c>
      <c r="G6" s="324" t="s">
        <v>486</v>
      </c>
      <c r="H6" s="402">
        <f>mc</f>
        <v>1.5624284931506849</v>
      </c>
      <c r="I6" s="414"/>
      <c r="J6" s="416"/>
      <c r="K6" s="329"/>
      <c r="L6" s="747"/>
      <c r="M6" s="327"/>
      <c r="N6" s="399"/>
      <c r="O6" s="328"/>
      <c r="P6" s="329"/>
      <c r="Q6" s="327"/>
      <c r="R6" s="426"/>
      <c r="S6" s="329"/>
      <c r="T6" s="399" t="s">
        <v>461</v>
      </c>
      <c r="U6" s="328">
        <f>180/Pi</f>
        <v>57.295779513082323</v>
      </c>
      <c r="V6" s="329"/>
      <c r="W6"/>
      <c r="X6"/>
      <c r="Y6"/>
      <c r="Z6"/>
      <c r="AA6"/>
      <c r="AB6"/>
      <c r="AC6"/>
      <c r="AD6"/>
      <c r="AE6"/>
      <c r="AF6"/>
      <c r="AG6"/>
      <c r="AH6"/>
      <c r="AI6"/>
      <c r="AJ6"/>
      <c r="AK6"/>
      <c r="AL6"/>
      <c r="AV6" s="630"/>
      <c r="AX6" s="628"/>
      <c r="BB6" s="405">
        <f>20*LOG10(IMPRODUCT(COMPLEX($B$15,0),IMABS(AS13)))</f>
        <v>39.968403347465255</v>
      </c>
      <c r="BC6" s="405">
        <f>(180/PI())*IMARGUMENT(AS13)</f>
        <v>-4.8841351916767142</v>
      </c>
      <c r="BL6" s="723" t="s">
        <v>50</v>
      </c>
      <c r="BM6" s="723"/>
    </row>
    <row r="7" spans="1:67" ht="13.5" thickBot="1" x14ac:dyDescent="0.25">
      <c r="A7" s="405" t="s">
        <v>1066</v>
      </c>
      <c r="B7" s="405">
        <f>Co2_u</f>
        <v>3.8999999999999999E-5</v>
      </c>
      <c r="D7" s="737" t="s">
        <v>944</v>
      </c>
      <c r="E7" s="738">
        <f>1/(2*Pi*RcIL*(Cc2IL+Cbw_IL))</f>
        <v>2053.4628879370248</v>
      </c>
      <c r="F7" s="739" t="s">
        <v>10</v>
      </c>
      <c r="G7" s="396" t="s">
        <v>463</v>
      </c>
      <c r="H7" s="398">
        <f>k</f>
        <v>1.146633743280969</v>
      </c>
      <c r="I7" s="398"/>
      <c r="J7" s="417"/>
      <c r="K7" s="397"/>
      <c r="L7" s="396"/>
      <c r="M7" s="396"/>
      <c r="N7" s="396"/>
      <c r="O7" s="396"/>
      <c r="P7" s="397"/>
      <c r="Q7" s="396"/>
      <c r="R7" s="396"/>
      <c r="S7" s="397"/>
      <c r="T7" s="396" t="s">
        <v>1197</v>
      </c>
      <c r="U7" s="396">
        <f>20*LOG(Adc)</f>
        <v>82.518033261337521</v>
      </c>
      <c r="V7" s="397" t="s">
        <v>856</v>
      </c>
      <c r="W7"/>
      <c r="X7"/>
      <c r="Y7"/>
      <c r="Z7"/>
      <c r="AA7"/>
      <c r="AB7"/>
      <c r="AC7"/>
      <c r="AD7"/>
      <c r="AE7"/>
      <c r="AF7"/>
      <c r="AG7"/>
      <c r="AH7"/>
      <c r="AI7"/>
      <c r="AJ7"/>
      <c r="AK7"/>
      <c r="AL7"/>
      <c r="AV7" s="630"/>
      <c r="BL7" s="405" t="s">
        <v>478</v>
      </c>
      <c r="BN7" s="405" t="s">
        <v>920</v>
      </c>
    </row>
    <row r="8" spans="1:67" x14ac:dyDescent="0.2">
      <c r="A8" s="405" t="s">
        <v>1205</v>
      </c>
      <c r="B8" s="405">
        <f>CoutEsr</f>
        <v>5.0000000000000001E-3</v>
      </c>
      <c r="D8" s="403"/>
      <c r="E8" s="403"/>
      <c r="F8" s="403"/>
      <c r="G8" s="404"/>
      <c r="K8" s="406"/>
      <c r="L8" s="406"/>
      <c r="M8" s="406"/>
      <c r="N8" s="406"/>
      <c r="O8" s="406"/>
      <c r="P8" s="406"/>
      <c r="Q8" s="406"/>
      <c r="R8" s="406"/>
      <c r="S8" s="406"/>
      <c r="T8" s="406"/>
      <c r="U8" s="406"/>
      <c r="V8" s="406"/>
      <c r="W8" s="406"/>
      <c r="X8" s="406"/>
      <c r="Y8" s="406"/>
      <c r="Z8" s="406"/>
      <c r="AA8" s="406"/>
      <c r="AB8" s="406"/>
      <c r="AC8" s="406"/>
      <c r="AD8" s="406"/>
      <c r="AE8" s="406"/>
      <c r="AF8" s="406"/>
      <c r="AG8" s="406"/>
      <c r="AH8" s="406"/>
      <c r="AI8" s="406"/>
      <c r="AJ8" s="406"/>
      <c r="BL8" s="405" t="s">
        <v>47</v>
      </c>
      <c r="BM8" s="405">
        <f>SUM(BL12:BL613)</f>
        <v>18515</v>
      </c>
      <c r="BN8" s="405" t="s">
        <v>47</v>
      </c>
      <c r="BO8" s="405">
        <f>SUM(BN12:BN613)</f>
        <v>2290.9</v>
      </c>
    </row>
    <row r="9" spans="1:67" ht="13.5" thickBot="1" x14ac:dyDescent="0.25">
      <c r="A9" s="405" t="s">
        <v>1206</v>
      </c>
      <c r="B9" s="405">
        <f>CoutEsr</f>
        <v>5.0000000000000001E-3</v>
      </c>
      <c r="BL9" s="405" t="s">
        <v>48</v>
      </c>
      <c r="BM9" s="353">
        <f>SUM(BM13:BM613)</f>
        <v>-4.9242717103255416</v>
      </c>
      <c r="BN9" s="405" t="s">
        <v>48</v>
      </c>
      <c r="BO9" s="353">
        <f>SUM(BO13:BO613)</f>
        <v>-89.707319393769481</v>
      </c>
    </row>
    <row r="10" spans="1:67" ht="15" x14ac:dyDescent="0.25">
      <c r="A10" s="405" t="s">
        <v>1209</v>
      </c>
      <c r="B10" s="405">
        <f>Rdcr</f>
        <v>5.7999999999999996E-3</v>
      </c>
      <c r="D10" s="906" t="s">
        <v>591</v>
      </c>
      <c r="E10" s="909" t="s">
        <v>465</v>
      </c>
      <c r="F10" s="910"/>
      <c r="G10" s="910"/>
      <c r="H10" s="910"/>
      <c r="I10" s="910"/>
      <c r="J10" s="910"/>
      <c r="K10" s="910"/>
      <c r="L10" s="910"/>
      <c r="M10" s="910"/>
      <c r="N10" s="910"/>
      <c r="O10" s="910"/>
      <c r="P10" s="910"/>
      <c r="Q10" s="910"/>
      <c r="R10" s="910"/>
      <c r="S10" s="910"/>
      <c r="T10" s="910"/>
      <c r="U10" s="911"/>
      <c r="V10" s="909" t="s">
        <v>466</v>
      </c>
      <c r="W10" s="910"/>
      <c r="X10" s="910"/>
      <c r="Y10" s="910"/>
      <c r="Z10" s="910"/>
      <c r="AA10" s="910"/>
      <c r="AB10" s="910"/>
      <c r="AC10" s="910"/>
      <c r="AD10" s="910"/>
      <c r="AE10" s="910"/>
      <c r="AF10" s="910"/>
      <c r="AG10" s="910"/>
      <c r="AH10" s="911"/>
      <c r="AI10" s="909" t="s">
        <v>939</v>
      </c>
      <c r="AJ10" s="910"/>
      <c r="AK10" s="910"/>
      <c r="AL10" s="910"/>
      <c r="AM10" s="910"/>
      <c r="AN10" s="910"/>
      <c r="AO10" s="910"/>
      <c r="AP10" s="910"/>
      <c r="AQ10" s="910"/>
      <c r="AR10" s="910"/>
      <c r="AS10" s="910"/>
      <c r="AT10" s="910"/>
      <c r="AU10" s="911"/>
      <c r="AV10" s="720"/>
      <c r="AW10" s="915" t="s">
        <v>468</v>
      </c>
      <c r="AX10" s="916"/>
      <c r="AY10" s="917"/>
      <c r="BB10" s="918" t="s">
        <v>1217</v>
      </c>
      <c r="BC10" s="919"/>
      <c r="BE10" s="918" t="s">
        <v>470</v>
      </c>
      <c r="BF10" s="919"/>
    </row>
    <row r="11" spans="1:67" ht="13.15" customHeight="1" x14ac:dyDescent="0.2">
      <c r="A11" s="405" t="s">
        <v>1207</v>
      </c>
      <c r="B11" s="405">
        <f>IF(B3&gt;=Vout,Vout/B3,(Vout-Vin)/Vout)</f>
        <v>0.73</v>
      </c>
      <c r="D11" s="907"/>
      <c r="F11" s="912"/>
      <c r="G11" s="913"/>
      <c r="H11" s="914"/>
      <c r="I11" s="912"/>
      <c r="J11" s="913"/>
      <c r="K11" s="914"/>
      <c r="L11" s="743"/>
      <c r="M11" s="742" t="s">
        <v>1219</v>
      </c>
      <c r="N11" s="743"/>
      <c r="O11" s="744"/>
      <c r="P11" s="912"/>
      <c r="Q11" s="913"/>
      <c r="R11" s="914"/>
      <c r="V11" s="724"/>
      <c r="W11" s="913" t="s">
        <v>454</v>
      </c>
      <c r="X11" s="913"/>
      <c r="Y11" s="920"/>
      <c r="Z11" s="921" t="s">
        <v>449</v>
      </c>
      <c r="AA11" s="913"/>
      <c r="AB11" s="914"/>
      <c r="AC11" s="912" t="s">
        <v>457</v>
      </c>
      <c r="AD11" s="913"/>
      <c r="AE11" s="914"/>
      <c r="AF11" s="912" t="s">
        <v>49</v>
      </c>
      <c r="AG11" s="913"/>
      <c r="AH11" s="914"/>
      <c r="AI11" s="724"/>
      <c r="AJ11" s="913" t="s">
        <v>454</v>
      </c>
      <c r="AK11" s="913"/>
      <c r="AL11" s="920"/>
      <c r="AM11" s="921" t="s">
        <v>449</v>
      </c>
      <c r="AN11" s="913"/>
      <c r="AO11" s="914"/>
      <c r="AP11" s="912" t="s">
        <v>457</v>
      </c>
      <c r="AQ11" s="913"/>
      <c r="AR11" s="914"/>
      <c r="AS11" s="912" t="s">
        <v>49</v>
      </c>
      <c r="AT11" s="913"/>
      <c r="AU11" s="914"/>
      <c r="AV11" s="717"/>
      <c r="AW11" s="326"/>
      <c r="AX11" s="322"/>
      <c r="AY11" s="358"/>
      <c r="BB11" s="324"/>
      <c r="BC11" s="323"/>
      <c r="BE11" s="324"/>
      <c r="BF11" s="323"/>
    </row>
    <row r="12" spans="1:67" ht="13.5" thickBot="1" x14ac:dyDescent="0.25">
      <c r="B12" s="405" t="str">
        <f>IF(Vin&lt;Vout,"Boost","Buck")</f>
        <v>Buck</v>
      </c>
      <c r="D12" s="908"/>
      <c r="E12" s="331" t="s">
        <v>1222</v>
      </c>
      <c r="F12" s="331" t="s">
        <v>1211</v>
      </c>
      <c r="G12" s="331" t="s">
        <v>1212</v>
      </c>
      <c r="H12" s="332" t="s">
        <v>1210</v>
      </c>
      <c r="I12" s="331" t="s">
        <v>1213</v>
      </c>
      <c r="J12" s="332" t="s">
        <v>1215</v>
      </c>
      <c r="K12" s="332" t="s">
        <v>1226</v>
      </c>
      <c r="L12" s="748"/>
      <c r="M12" s="742" t="s">
        <v>1219</v>
      </c>
      <c r="N12" s="743" t="s">
        <v>1232</v>
      </c>
      <c r="O12" s="743" t="s">
        <v>1220</v>
      </c>
      <c r="P12" s="744" t="s">
        <v>1223</v>
      </c>
      <c r="Q12" s="744" t="s">
        <v>1221</v>
      </c>
      <c r="R12" s="332" t="s">
        <v>1218</v>
      </c>
      <c r="S12" s="744" t="s">
        <v>1224</v>
      </c>
      <c r="T12" s="744" t="s">
        <v>1218</v>
      </c>
      <c r="U12" s="744" t="s">
        <v>1225</v>
      </c>
      <c r="V12" s="725" t="s">
        <v>1200</v>
      </c>
      <c r="W12" s="331" t="s">
        <v>1199</v>
      </c>
      <c r="X12" s="332" t="s">
        <v>471</v>
      </c>
      <c r="Y12" s="332" t="s">
        <v>472</v>
      </c>
      <c r="Z12" s="331" t="s">
        <v>1199</v>
      </c>
      <c r="AA12" s="332" t="s">
        <v>471</v>
      </c>
      <c r="AB12" s="332" t="s">
        <v>472</v>
      </c>
      <c r="AC12" s="331" t="s">
        <v>1199</v>
      </c>
      <c r="AD12" s="332" t="s">
        <v>471</v>
      </c>
      <c r="AE12" s="332" t="s">
        <v>472</v>
      </c>
      <c r="AF12" s="331" t="s">
        <v>1199</v>
      </c>
      <c r="AG12" s="332" t="s">
        <v>471</v>
      </c>
      <c r="AH12" s="332" t="s">
        <v>472</v>
      </c>
      <c r="AI12" s="725" t="s">
        <v>1202</v>
      </c>
      <c r="AJ12" s="331" t="s">
        <v>1199</v>
      </c>
      <c r="AK12" s="332" t="s">
        <v>471</v>
      </c>
      <c r="AL12" s="332" t="s">
        <v>472</v>
      </c>
      <c r="AM12" s="331" t="s">
        <v>1199</v>
      </c>
      <c r="AN12" s="332" t="s">
        <v>471</v>
      </c>
      <c r="AO12" s="332" t="s">
        <v>472</v>
      </c>
      <c r="AP12" s="331" t="s">
        <v>1199</v>
      </c>
      <c r="AQ12" s="332" t="s">
        <v>471</v>
      </c>
      <c r="AR12" s="332" t="s">
        <v>472</v>
      </c>
      <c r="AS12" s="331" t="s">
        <v>1199</v>
      </c>
      <c r="AT12" s="332" t="s">
        <v>471</v>
      </c>
      <c r="AU12" s="332" t="s">
        <v>472</v>
      </c>
      <c r="AV12" s="331" t="s">
        <v>1199</v>
      </c>
      <c r="AW12" s="726" t="s">
        <v>474</v>
      </c>
      <c r="AX12" s="332" t="s">
        <v>984</v>
      </c>
      <c r="AY12" s="359" t="s">
        <v>473</v>
      </c>
      <c r="BB12" s="334" t="s">
        <v>474</v>
      </c>
      <c r="BC12" s="335" t="s">
        <v>475</v>
      </c>
      <c r="BD12" s="727"/>
      <c r="BE12" s="334" t="s">
        <v>474</v>
      </c>
      <c r="BF12" s="335" t="s">
        <v>475</v>
      </c>
      <c r="BI12" s="727"/>
      <c r="BJ12" s="727"/>
    </row>
    <row r="13" spans="1:67" ht="13.5" thickBot="1" x14ac:dyDescent="0.25">
      <c r="A13" s="405" t="s">
        <v>60</v>
      </c>
      <c r="B13" s="405">
        <f>L</f>
        <v>2.6400000000000001E-6</v>
      </c>
      <c r="D13" s="336">
        <v>1</v>
      </c>
      <c r="E13" s="340" t="str">
        <f t="shared" ref="E13:E76" si="0">COMPLEX(0,2*PI()*D13*L)</f>
        <v>0.0000165876092109541i</v>
      </c>
      <c r="F13" s="728" t="str">
        <f>IMSUM(COMPLEX($B$8,0),IMDIV(COMPLEX(1,0),COMPLEX(0,2*PI()*D13*$B$6)))</f>
        <v>0.005-2609.09742773599i</v>
      </c>
      <c r="G13" s="337" t="str">
        <f>IMSUM(COMPLEX($B$9,0),IMDIV(COMPLEX(1,0),COMPLEX(0,2*PI()*D13*$B$7)))</f>
        <v>0.005-4080.89597671526i</v>
      </c>
      <c r="H13" s="338" t="str">
        <f>IMDIV(COMPLEX(1,0),IMSUM(IMDIV(COMPLEX(1,0),COMPLEX($B$5,0)), IMDIV(COMPLEX(1,0),G13)))</f>
        <v>1.21666655807792-0.000362733491263849i</v>
      </c>
      <c r="I13" s="338" t="str">
        <f>IMSUM(H13,COMPLEX($B$15,0))</f>
        <v>1.22666655807792-0.000362733491263849i</v>
      </c>
      <c r="J13" s="337" t="str">
        <f>IMDIV(COMPLEX(1,0),IMSUM(IMDIV(COMPLEX(1,0),F13),IMDIV(COMPLEX(1,0),IMSUM(COMPLEX($B$15,0),H13))))</f>
        <v>1.2266659447515-0.000939450072456746i</v>
      </c>
      <c r="K13" s="338" t="str">
        <f t="shared" ref="K13:K76" si="1">IMSUM(COMPLEX(1,0),COMPLEX(0,2*PI()*D13/(Fsw*PI()*(-2)/PI())),IMPRODUCT(COMPLEX(0,2*PI()*D13/(Fsw*PI())),COMPLEX(0,2*PI()*D13/(Fsw*PI()))))</f>
        <v>0.999999999988889-5.23598775598299E-06i</v>
      </c>
      <c r="L13" s="732"/>
      <c r="M13" s="732" t="str">
        <f t="shared" ref="M13:M76" si="2">IF(Vin&gt;=Vout,IMDIV(COMPLEX(Vin,0),IMSUM(E13,J13)),IMDIV(IMSUM(COMPLEX(Vout,0),IMPRODUCT(J13,COMPLEX($B$4,0))),IMSUM(E13,IMPRODUCT(J13,COMPLEX((1-$B$11)^2,0)))))</f>
        <v>16.304348193126+0.0122663150464925i</v>
      </c>
      <c r="N13" s="337">
        <f t="shared" ref="N13:N76" si="3">IF(Vin&gt;=Vout,0,IMSUB(IMPRODUCT(M13,COMPLEX(1-$B$11,0)),COMPLEX($B$4/(1-$B$11),0)))</f>
        <v>0</v>
      </c>
      <c r="O13" s="730" t="str">
        <f t="shared" ref="O13:O76" si="4">IMDIV(IF(Vin&gt;=Vout,M13,N13),IMPRODUCT(I13,IMSUM(IMDIV(COMPLEX(1,0),F13),IMDIV(COMPLEX(1,0),I13))))</f>
        <v>16.3043480747795+0.00460082889397584i</v>
      </c>
      <c r="P13" s="731" t="str">
        <f t="shared" ref="P13:P76" si="5">IF(Vin&gt;=Vout,IMDIV(IMPRODUCT(COMPLEX(Vin,0),J13),IMSUM(J13,E13)),IMPRODUCT(N13,J13))</f>
        <v>20.0000002034688-0.000270450156266882i</v>
      </c>
      <c r="Q13" s="729" t="str">
        <f t="shared" ref="Q13:Q76" si="6">IF(Vin&gt;=Vout,IMDIV(IMPRODUCT(P13,H13),IMSUM(COMPLEX($B$15,0),H13)),IMPRODUCT(O13,H13))</f>
        <v>19.836956722721-0.000316458445206629i</v>
      </c>
      <c r="R13" s="730"/>
      <c r="S13" s="405" t="str">
        <f>IMDIV(IMPRODUCT(COMPLEX($B$34,0),M13),IMSUM(COMPLEX(1,0),IMPRODUCT(M13,COMPLEX($B$29,0),K13,COMPLEX($B$34,0))))</f>
        <v>22.5426978131636+0.00746825655405002i</v>
      </c>
      <c r="T13" s="405" t="str">
        <f>IMDIV(IMPRODUCT(COMPLEX($B$34,0),O13),IMSUM(COMPLEX(1,0),IMPRODUCT(M13,COMPLEX($B$29,0),K13,COMPLEX($B$34,0))))</f>
        <v>22.5426931871672-0.00313018504080865i</v>
      </c>
      <c r="U13" s="405" t="str">
        <f>IMDIV(IMPRODUCT(COMPLEX($B$34,0),Q13),IMSUM(COMPLEX(1,0),IMPRODUCT(M13,COMPLEX($B$29,0),K13,COMPLEX($B$34,0))))</f>
        <v>27.4269397944142-0.0119853812620184i</v>
      </c>
      <c r="V13" s="731" t="str">
        <f t="shared" ref="V13:V76" si="7">COMPLEX(AEA,0)</f>
        <v>6000</v>
      </c>
      <c r="W13" s="733" t="str">
        <f>IMSUM(COMPLEX(1,0),IMDIV(COMPLEX(0,2*PI()*D13),COMPLEX(2*PI()*'Stability Calculations'!EA_Pole1,0)))</f>
        <v>1+6.34601716025139i</v>
      </c>
      <c r="X13" s="734">
        <f t="shared" ref="X13" si="8">IMABS(W13)</f>
        <v>6.424323606279895</v>
      </c>
      <c r="Y13" s="735">
        <f t="shared" ref="Y13" si="9">IMARGUMENT(W13)</f>
        <v>1.4145023736411506</v>
      </c>
      <c r="Z13" s="340" t="str">
        <f>IMSUM(COMPLEX(1,0),IMDIV(COMPLEX(0,2*PI()*D13),COMPLEX(2*PI()*'Stability Calculations'!EA_Zero1,0)))</f>
        <v>1+0.0628318530717959i</v>
      </c>
      <c r="AA13" s="734">
        <f t="shared" ref="AA13" si="10">IMABS(Z13)</f>
        <v>1.0019719765344917</v>
      </c>
      <c r="AB13" s="735">
        <f t="shared" ref="AB13" si="11">IMARGUMENT(Z13)</f>
        <v>6.2749364969321514E-2</v>
      </c>
      <c r="AC13" s="733" t="str">
        <f>IMSUM(COMPLEX(1,0),IMDIV(COMPLEX(0,2*PI()*D13),COMPLEX(2*PI()*'Stability Calculations'!EA_Pole2,0)))</f>
        <v>1+0.000632933915333344i</v>
      </c>
      <c r="AD13" s="734">
        <f t="shared" ref="AD13" si="12">IMABS(AC13)</f>
        <v>1.0000002003026505</v>
      </c>
      <c r="AE13" s="735">
        <f t="shared" ref="AE13" si="13">IMARGUMENT(AC13)</f>
        <v>6.3293383081446195E-4</v>
      </c>
      <c r="AF13" s="732" t="str">
        <f>IMPRODUCT(V13,IMDIV(Z13,IMPRODUCT(W13,AC13)))</f>
        <v>202.765582751726-913.560502215312i</v>
      </c>
      <c r="AG13" s="337">
        <f>IMABS(AF13)</f>
        <v>935.79200293470149</v>
      </c>
      <c r="AH13" s="730">
        <f>IMARGUMENT(AF13)</f>
        <v>-1.3523859425026448</v>
      </c>
      <c r="AI13" s="731" t="str">
        <f t="shared" ref="AI13:AI76" si="14">COMPLEX(AIL,0)</f>
        <v>10000</v>
      </c>
      <c r="AJ13" s="733" t="str">
        <f t="shared" ref="AJ13" si="15">IMSUM(COMPLEX(1,0),IMDIV(COMPLEX(0,2*PI()*D13),COMPLEX(2*PI()*IL_Pole1,0)))</f>
        <v>1+5.91623471886971i</v>
      </c>
      <c r="AK13" s="734">
        <f>IMABS(AJ13)</f>
        <v>6.000152768785088</v>
      </c>
      <c r="AL13" s="735">
        <f>IMARGUMENT(AJ13)</f>
        <v>1.4033525512370213</v>
      </c>
      <c r="AM13" s="340" t="str">
        <f t="shared" ref="AM13" si="16">IMSUM(COMPLEX(1,0),IMDIV(COMPLEX(0,2*PI()*D13),COMPLEX(2*PI()*IL_Zero1,0)))</f>
        <v>1+0.010040530120873i</v>
      </c>
      <c r="AN13" s="734">
        <f>IMABS(AM13)</f>
        <v>1.0000504048522294</v>
      </c>
      <c r="AO13" s="735">
        <f>IMARGUMENT(AM13)</f>
        <v>1.0040192738485609E-2</v>
      </c>
      <c r="AP13" s="733" t="str">
        <f t="shared" ref="AP13" si="17">IMSUM(COMPLEX(1,0),IMDIV(COMPLEX(0,2*PI()*D13),COMPLEX(2*PI()*IL_Pole2,0)))</f>
        <v>1+0.000486982260977032i</v>
      </c>
      <c r="AQ13" s="734">
        <f>IMABS(AP13)</f>
        <v>1.0000001185758542</v>
      </c>
      <c r="AR13" s="735">
        <f>IMARGUMENT(AP13)</f>
        <v>4.869822224808101E-4</v>
      </c>
      <c r="AS13" s="732" t="str">
        <f>_xlfn.SWITCH(IMONLIM_select,0,COMPLEX(1,0),1,IMPRODUCT(gm_IL,IMDIV(COMPLEX(1,0),IMSUM(COMPLEX(1/20000000,0),COMPLEX(0,2*PI()*D13*CISET),COMPLEX(1/RISET,0)))),2,IMPRODUCT(gm_IL_DAC,IMDIV(COMPLEX(1,0),IMSUM(COMPLEX(1/20000000,0),COMPLEX(0,2*PI()*D13*CcIL)))),3,IMPRODUCT(AI13,IMDIV(AM13,IMPRODUCT(AJ13,AP13))))</f>
        <v>9927.51003531055-848.31883859408i</v>
      </c>
      <c r="AT13" s="337">
        <f>IMABS(AS13)</f>
        <v>9963.6890935589345</v>
      </c>
      <c r="AU13" s="730">
        <f>IMARGUMENT(AS13)</f>
        <v>-8.5244240207283009E-2</v>
      </c>
      <c r="AV13" s="732" t="str">
        <f>IMPRODUCT(T13,AS13,COMPLEX($B$15,0),IMPRODUCT(COMPLEX(0.1,0),AF13))</f>
        <v>27878.1778841255-208329.715135826i</v>
      </c>
      <c r="AW13" s="337">
        <f>20*LOG10(IMABS(AV13))</f>
        <v>106.45210602491116</v>
      </c>
      <c r="AX13" s="730">
        <f>(180/PI())*IMARGUMENT(AV13)</f>
        <v>-82.378097824566424</v>
      </c>
      <c r="AY13" s="360">
        <f t="shared" ref="AY13" si="18">IF(AX13&gt;0,AX13-180,AX13+180)</f>
        <v>97.621902175433576</v>
      </c>
      <c r="BB13" s="337">
        <f>20*LOG10(IMPRODUCT(COMPLEX($B$15,0),IMABS(AS13)))</f>
        <v>39.968403347465255</v>
      </c>
      <c r="BC13" s="730">
        <f>(180/PI())*IMARGUMENT(AS13)</f>
        <v>-4.8841351916767142</v>
      </c>
      <c r="BD13" s="351"/>
      <c r="BE13" s="337">
        <f t="shared" ref="BE13:BE76" si="19">20*LOG10(IMABS(M13))</f>
        <v>24.246071287870798</v>
      </c>
      <c r="BF13" s="730">
        <f t="shared" ref="BF13:BF76" si="20">180/PI()*IMARGUMENT(IMPRODUCT(COMPLEX(1,0),M13))</f>
        <v>4.3105553280580217E-2</v>
      </c>
      <c r="BI13" s="351"/>
      <c r="BJ13" s="351"/>
      <c r="BL13" s="405">
        <f t="shared" ref="BL13:BL76" si="21">SUM((AW14&lt;0)*(AW13&gt;0))*D13</f>
        <v>0</v>
      </c>
      <c r="BM13" s="405">
        <f t="shared" ref="BM13:BM76" si="22">IF(BL13&gt;0,AY11,0)</f>
        <v>0</v>
      </c>
      <c r="BN13" s="405">
        <f t="shared" ref="BN13:BN76" si="23">SUM((BB14&lt;0)*(BB13&gt;0))*D13</f>
        <v>0</v>
      </c>
      <c r="BO13" s="405">
        <f t="shared" ref="BO13:BO76" si="24">IF(BN13&gt;0,BC13,0)</f>
        <v>0</v>
      </c>
    </row>
    <row r="14" spans="1:67" ht="13.5" thickBot="1" x14ac:dyDescent="0.25">
      <c r="D14" s="345">
        <v>1.0965</v>
      </c>
      <c r="E14" s="340" t="str">
        <f t="shared" si="0"/>
        <v>0.0000181883134998112i</v>
      </c>
      <c r="F14" s="728" t="str">
        <f t="shared" ref="F14:F77" si="25">IMSUM(COMPLEX($B$8,0),IMDIV(COMPLEX(1,0),COMPLEX(0,2*PI()*D14*$B$6)))</f>
        <v>0.005-2379.47781827268i</v>
      </c>
      <c r="G14" s="337" t="str">
        <f t="shared" ref="G14:G77" si="26">IMSUM(COMPLEX($B$9,0),IMDIV(COMPLEX(1,0),COMPLEX(0,2*PI()*D14*$B$7)))</f>
        <v>0.005-3721.74735678547i</v>
      </c>
      <c r="H14" s="338" t="str">
        <f t="shared" ref="H14:H77" si="27">IMDIV(COMPLEX(1,0),IMSUM(IMDIV(COMPLEX(1,0),COMPLEX($B$5,0)), IMDIV(COMPLEX(1,0),G14)))</f>
        <v>1.21666653610908-0.000397737265959522i</v>
      </c>
      <c r="I14" s="338" t="str">
        <f t="shared" ref="I14:I77" si="28">IMSUM(H14,COMPLEX($B$15,0))</f>
        <v>1.22666653610908-0.000397737265959522i</v>
      </c>
      <c r="J14" s="337" t="str">
        <f t="shared" ref="J14:J77" si="29">IMDIV(COMPLEX(1,0),IMSUM(IMDIV(COMPLEX(1,0),F14),IMDIV(COMPLEX(1,0),IMSUM(COMPLEX($B$15,0),H14))))</f>
        <v>1.22666579869931-0.0010301068813852i</v>
      </c>
      <c r="K14" s="338" t="str">
        <f t="shared" si="1"/>
        <v>0.999999999986641-5.74126057443535E-06i</v>
      </c>
      <c r="L14" s="732"/>
      <c r="M14" s="732" t="str">
        <f t="shared" si="2"/>
        <v>16.3043482673826+0.0134500144754413i</v>
      </c>
      <c r="N14" s="337">
        <f t="shared" si="3"/>
        <v>0</v>
      </c>
      <c r="O14" s="730" t="str">
        <f t="shared" si="4"/>
        <v>16.3043481250932+0.00504480889195737i</v>
      </c>
      <c r="P14" s="731" t="str">
        <f t="shared" si="5"/>
        <v>20.0000002446331-0.000296548597697237i</v>
      </c>
      <c r="Q14" s="729" t="str">
        <f t="shared" si="6"/>
        <v>19.8369567633822-0.000346996686616802i</v>
      </c>
      <c r="R14" s="730"/>
      <c r="S14" s="405" t="str">
        <f t="shared" ref="S14:S77" si="30">IMDIV(IMPRODUCT(COMPLEX($B$34,0),M14),IMSUM(COMPLEX(1,0),IMPRODUCT(M14,COMPLEX($B$29,0),K14,COMPLEX($B$34,0))))</f>
        <v>22.5426984840329+0.0081889429937344i</v>
      </c>
      <c r="T14" s="405" t="str">
        <f t="shared" ref="T14:T77" si="31">IMDIV(IMPRODUCT(COMPLEX($B$34,0),O14),IMSUM(COMPLEX(1,0),IMPRODUCT(M14,COMPLEX($B$29,0),K14,COMPLEX($B$34,0))))</f>
        <v>22.542692922141-0.00343224777176918i</v>
      </c>
      <c r="U14" s="405" t="str">
        <f t="shared" ref="U14:U77" si="32">IMDIV(IMPRODUCT(COMPLEX($B$34,0),Q14),IMSUM(COMPLEX(1,0),IMPRODUCT(M14,COMPLEX($B$29,0),K14,COMPLEX($B$34,0))))</f>
        <v>27.4269387470191-0.013141970057764i</v>
      </c>
      <c r="V14" s="731" t="str">
        <f t="shared" si="7"/>
        <v>6000</v>
      </c>
      <c r="W14" s="733" t="str">
        <f>IMSUM(COMPLEX(1,0),IMDIV(COMPLEX(0,2*PI()*D14),COMPLEX(2*PI()*'Stability Calculations'!EA_Pole1,0)))</f>
        <v>1+6.95840781621565i</v>
      </c>
      <c r="X14" s="734">
        <f t="shared" ref="X14:X77" si="33">IMABS(W14)</f>
        <v>7.0298961113782505</v>
      </c>
      <c r="Y14" s="735">
        <f t="shared" ref="Y14:Y77" si="34">IMARGUMENT(W14)</f>
        <v>1.4280625565931209</v>
      </c>
      <c r="Z14" s="340" t="str">
        <f>IMSUM(COMPLEX(1,0),IMDIV(COMPLEX(0,2*PI()*D14),COMPLEX(2*PI()*'Stability Calculations'!EA_Zero1,0)))</f>
        <v>1+0.0688951268932242i</v>
      </c>
      <c r="AA14" s="734">
        <f t="shared" ref="AA14:AA77" si="35">IMABS(Z14)</f>
        <v>1.0023704597151861</v>
      </c>
      <c r="AB14" s="735">
        <f t="shared" ref="AB14:AB77" si="36">IMARGUMENT(Z14)</f>
        <v>6.8786431823268185E-2</v>
      </c>
      <c r="AC14" s="733" t="str">
        <f>IMSUM(COMPLEX(1,0),IMDIV(COMPLEX(0,2*PI()*D14),COMPLEX(2*PI()*'Stability Calculations'!EA_Pole2,0)))</f>
        <v>1+0.000694012038163012i</v>
      </c>
      <c r="AD14" s="734">
        <f t="shared" ref="AD14:AD77" si="37">IMABS(AC14)</f>
        <v>1.0000002408263255</v>
      </c>
      <c r="AE14" s="735">
        <f t="shared" ref="AE14:AE77" si="38">IMARGUMENT(AC14)</f>
        <v>6.9401192673878469E-4</v>
      </c>
      <c r="AF14" s="732" t="str">
        <f t="shared" ref="AF14:AF77" si="39">IMPRODUCT(V14,IMDIV(Z14,IMPRODUCT(W14,AC14)))</f>
        <v>179.03298308507-836.578016824602i</v>
      </c>
      <c r="AG14" s="337">
        <f t="shared" ref="AG14:AG77" si="40">IMABS(AF14)</f>
        <v>855.52065274107963</v>
      </c>
      <c r="AH14" s="730">
        <f t="shared" ref="AH14:AH77" si="41">IMARGUMENT(AF14)</f>
        <v>-1.3599701366965911</v>
      </c>
      <c r="AI14" s="731" t="str">
        <f t="shared" si="14"/>
        <v>10000</v>
      </c>
      <c r="AJ14" s="733" t="str">
        <f t="shared" ref="AJ14:AJ77" si="42">IMSUM(COMPLEX(1,0),IMDIV(COMPLEX(0,2*PI()*D14),COMPLEX(2*PI()*IL_Pole1,0)))</f>
        <v>1+6.48715136924064i</v>
      </c>
      <c r="AK14" s="734">
        <f t="shared" ref="AK14:AK77" si="43">IMABS(AJ14)</f>
        <v>6.5637742867530653</v>
      </c>
      <c r="AL14" s="735">
        <f t="shared" ref="AL14:AL77" si="44">IMARGUMENT(AJ14)</f>
        <v>1.4178493454703436</v>
      </c>
      <c r="AM14" s="340" t="str">
        <f t="shared" ref="AM14:AM77" si="45">IMSUM(COMPLEX(1,0),IMDIV(COMPLEX(0,2*PI()*D14),COMPLEX(2*PI()*IL_Zero1,0)))</f>
        <v>1+0.0110094412775372i</v>
      </c>
      <c r="AN14" s="734">
        <f t="shared" ref="AN14:AN77" si="46">IMABS(AM14)</f>
        <v>1.0000606020623168</v>
      </c>
      <c r="AO14" s="735">
        <f t="shared" ref="AO14:AO77" si="47">IMARGUMENT(AM14)</f>
        <v>1.1008996499841023E-2</v>
      </c>
      <c r="AP14" s="733" t="str">
        <f t="shared" ref="AP14:AP77" si="48">IMSUM(COMPLEX(1,0),IMDIV(COMPLEX(0,2*PI()*D14),COMPLEX(2*PI()*IL_Pole2,0)))</f>
        <v>1+0.000533976049161316i</v>
      </c>
      <c r="AQ14" s="734">
        <f t="shared" ref="AQ14:AQ77" si="49">IMABS(AP14)</f>
        <v>1.0000001425652003</v>
      </c>
      <c r="AR14" s="735">
        <f t="shared" ref="AR14:AR77" si="50">IMARGUMENT(AP14)</f>
        <v>5.3397599841038606E-4</v>
      </c>
      <c r="AS14" s="732" t="str">
        <f t="shared" ref="AS14:AS77" si="51">_xlfn.SWITCH(IMONLIM_select,0,COMPLEX(1,0),1,IMPRODUCT(gm_IL,IMDIV(COMPLEX(1,0),IMSUM(COMPLEX(1/20000000,0),COMPLEX(0,2*PI()*D14*CISET),COMPLEX(1/RISET,0)))),2,IMPRODUCT(gm_IL,IMDIV(COMPLEX(1,0),IMSUM(COMPLEX(1/20000000,0),COMPLEX(0,2*PI()*D14*CcIL)))),3,IMPRODUCT(AI14,IMDIV(AM14,IMPRODUCT(AJ14,AP14))))</f>
        <v>19825.9441184341-1857.63887271179i</v>
      </c>
      <c r="AT14" s="337">
        <f t="shared" ref="AT14:AT77" si="52">IMABS(AS14)</f>
        <v>19912.781884224056</v>
      </c>
      <c r="AU14" s="730">
        <f t="shared" ref="AU14:AU77" si="53">IMARGUMENT(AS14)</f>
        <v>-9.3424611994076492E-2</v>
      </c>
      <c r="AV14" s="732" t="str">
        <f t="shared" ref="AV14:AV77" si="54">IMPRODUCT(T14,AS14,COMPLEX($B$15,0),IMPRODUCT(COMPLEX(0.1,0),AF14))</f>
        <v>44924.4791660897-381396.022147113i</v>
      </c>
      <c r="AW14" s="337">
        <f t="shared" ref="AW14:AW77" si="55">20*LOG10(IMABS(AV14))</f>
        <v>111.68736469873132</v>
      </c>
      <c r="AX14" s="730">
        <f t="shared" ref="AX14:AX77" si="56">(180/PI())*IMARGUMENT(AV14)</f>
        <v>-83.282108660865916</v>
      </c>
      <c r="AY14" s="360">
        <f t="shared" ref="AY14:AY77" si="57">IF(AX14&gt;0,AX14-180,AX14+180)</f>
        <v>96.717891339134084</v>
      </c>
      <c r="BB14" s="337">
        <f t="shared" ref="BB14:BB77" si="58">20*LOG10(IMPRODUCT(COMPLEX($B$15,0),IMABS(AS14)))</f>
        <v>45.98263873402086</v>
      </c>
      <c r="BC14" s="730">
        <f t="shared" ref="BC14:BC77" si="59">(180/PI())*IMARGUMENT(AS14)</f>
        <v>-5.3528359699078729</v>
      </c>
      <c r="BD14" s="351"/>
      <c r="BE14" s="337">
        <f t="shared" si="19"/>
        <v>24.24607182474027</v>
      </c>
      <c r="BF14" s="730">
        <f t="shared" si="20"/>
        <v>4.7265237247526813E-2</v>
      </c>
      <c r="BI14" s="351"/>
      <c r="BJ14" s="351"/>
      <c r="BL14" s="405">
        <f t="shared" si="21"/>
        <v>0</v>
      </c>
      <c r="BM14" s="405">
        <f t="shared" si="22"/>
        <v>0</v>
      </c>
      <c r="BN14" s="405">
        <f t="shared" si="23"/>
        <v>0</v>
      </c>
      <c r="BO14" s="405">
        <f t="shared" si="24"/>
        <v>0</v>
      </c>
    </row>
    <row r="15" spans="1:67" ht="13.5" thickBot="1" x14ac:dyDescent="0.25">
      <c r="A15" s="405" t="s">
        <v>1214</v>
      </c>
      <c r="B15" s="405">
        <f>Rsns_Selected</f>
        <v>0.01</v>
      </c>
      <c r="D15" s="345">
        <v>1.2022999999999999</v>
      </c>
      <c r="E15" s="340" t="str">
        <f t="shared" si="0"/>
        <v>0.0000199432825543301i</v>
      </c>
      <c r="F15" s="728" t="str">
        <f t="shared" si="25"/>
        <v>0.005-2170.08852011643i</v>
      </c>
      <c r="G15" s="337" t="str">
        <f t="shared" si="26"/>
        <v>0.005-3394.24101864365i</v>
      </c>
      <c r="H15" s="338" t="str">
        <f t="shared" si="27"/>
        <v>1.21666650969888-0.000436114459133783i</v>
      </c>
      <c r="I15" s="338" t="str">
        <f t="shared" si="28"/>
        <v>1.22666650969888-0.000436114459133783i</v>
      </c>
      <c r="J15" s="337" t="str">
        <f t="shared" si="29"/>
        <v>1.22666562312029-0.00112950052495908i</v>
      </c>
      <c r="K15" s="338" t="str">
        <f t="shared" si="1"/>
        <v>0.999999999983939-6.29522807901835E-06i</v>
      </c>
      <c r="L15" s="732"/>
      <c r="M15" s="732" t="str">
        <f t="shared" si="2"/>
        <v>16.3043483566514+0.0147477906455022i</v>
      </c>
      <c r="N15" s="337">
        <f t="shared" si="3"/>
        <v>0</v>
      </c>
      <c r="O15" s="730" t="str">
        <f t="shared" si="4"/>
        <v>16.3043481855785+0.00553157660268012i</v>
      </c>
      <c r="P15" s="731" t="str">
        <f t="shared" si="5"/>
        <v>20.0000002941194-0.000325162226140922i</v>
      </c>
      <c r="Q15" s="729" t="str">
        <f t="shared" si="6"/>
        <v>19.8369568122636-0.000380477992167718i</v>
      </c>
      <c r="R15" s="730"/>
      <c r="S15" s="405" t="str">
        <f t="shared" si="30"/>
        <v>22.5426992905295+0.008979084087603i</v>
      </c>
      <c r="T15" s="405" t="str">
        <f t="shared" si="31"/>
        <v>22.5426926035352-0.00376342117157987i</v>
      </c>
      <c r="U15" s="405" t="str">
        <f t="shared" si="32"/>
        <v>27.4269374878756-0.014410022693563i</v>
      </c>
      <c r="V15" s="731" t="str">
        <f t="shared" si="7"/>
        <v>6000</v>
      </c>
      <c r="W15" s="733" t="str">
        <f>IMSUM(COMPLEX(1,0),IMDIV(COMPLEX(0,2*PI()*D15),COMPLEX(2*PI()*'Stability Calculations'!EA_Pole1,0)))</f>
        <v>1+7.62981643177024i</v>
      </c>
      <c r="X15" s="734">
        <f t="shared" si="33"/>
        <v>7.6950697711269092</v>
      </c>
      <c r="Y15" s="735">
        <f t="shared" si="34"/>
        <v>1.4404744086897907</v>
      </c>
      <c r="Z15" s="340" t="str">
        <f>IMSUM(COMPLEX(1,0),IMDIV(COMPLEX(0,2*PI()*D15),COMPLEX(2*PI()*'Stability Calculations'!EA_Zero1,0)))</f>
        <v>1+0.0755427369482202i</v>
      </c>
      <c r="AA15" s="734">
        <f t="shared" si="35"/>
        <v>1.002849293316612</v>
      </c>
      <c r="AB15" s="735">
        <f t="shared" si="36"/>
        <v>7.5399526942825895E-2</v>
      </c>
      <c r="AC15" s="733" t="str">
        <f>IMSUM(COMPLEX(1,0),IMDIV(COMPLEX(0,2*PI()*D15),COMPLEX(2*PI()*'Stability Calculations'!EA_Pole2,0)))</f>
        <v>1+0.000760976446405279i</v>
      </c>
      <c r="AD15" s="734">
        <f t="shared" si="37"/>
        <v>1.0000002895425342</v>
      </c>
      <c r="AE15" s="735">
        <f t="shared" si="38"/>
        <v>7.6097629951527631E-4</v>
      </c>
      <c r="AF15" s="732" t="str">
        <f t="shared" si="39"/>
        <v>159.147336267863-765.574658148012i</v>
      </c>
      <c r="AG15" s="337">
        <f t="shared" si="40"/>
        <v>781.9414503910134</v>
      </c>
      <c r="AH15" s="730">
        <f t="shared" si="41"/>
        <v>-1.3658358580464807</v>
      </c>
      <c r="AI15" s="731" t="str">
        <f t="shared" si="14"/>
        <v>10000</v>
      </c>
      <c r="AJ15" s="733" t="str">
        <f t="shared" si="42"/>
        <v>1+7.11308900249705i</v>
      </c>
      <c r="AK15" s="734">
        <f t="shared" si="43"/>
        <v>7.1830380172629233</v>
      </c>
      <c r="AL15" s="735">
        <f t="shared" si="44"/>
        <v>1.4311257971352449</v>
      </c>
      <c r="AM15" s="340" t="str">
        <f t="shared" si="45"/>
        <v>1+0.0120717293643256i</v>
      </c>
      <c r="AN15" s="734">
        <f t="shared" si="46"/>
        <v>1.000072860670584</v>
      </c>
      <c r="AO15" s="735">
        <f t="shared" si="47"/>
        <v>1.2071143024699232E-2</v>
      </c>
      <c r="AP15" s="733" t="str">
        <f t="shared" si="48"/>
        <v>1+0.000585498772372686i</v>
      </c>
      <c r="AQ15" s="734">
        <f t="shared" si="49"/>
        <v>1.0000001714043916</v>
      </c>
      <c r="AR15" s="735">
        <f t="shared" si="50"/>
        <v>5.8549870546798681E-4</v>
      </c>
      <c r="AS15" s="732" t="str">
        <f t="shared" si="51"/>
        <v>19791.1025032469-2033.30070843254i</v>
      </c>
      <c r="AT15" s="337">
        <f t="shared" si="52"/>
        <v>19895.277079370822</v>
      </c>
      <c r="AU15" s="730">
        <f t="shared" si="53"/>
        <v>-0.1023789232237985</v>
      </c>
      <c r="AV15" s="732" t="str">
        <f t="shared" si="54"/>
        <v>35853.5716192659-348857.791066942i</v>
      </c>
      <c r="AW15" s="337">
        <f t="shared" si="55"/>
        <v>110.89860044820159</v>
      </c>
      <c r="AX15" s="730">
        <f t="shared" si="56"/>
        <v>-84.1320757090256</v>
      </c>
      <c r="AY15" s="360">
        <f t="shared" si="57"/>
        <v>95.8679242909744</v>
      </c>
      <c r="BB15" s="337">
        <f t="shared" si="58"/>
        <v>45.974999837935499</v>
      </c>
      <c r="BC15" s="730">
        <f t="shared" si="59"/>
        <v>-5.8658802118175419</v>
      </c>
      <c r="BD15" s="351"/>
      <c r="BE15" s="337">
        <f t="shared" si="19"/>
        <v>24.246072470146753</v>
      </c>
      <c r="BF15" s="730">
        <f t="shared" si="20"/>
        <v>5.1825802061932727E-2</v>
      </c>
      <c r="BI15" s="351"/>
      <c r="BJ15" s="351"/>
      <c r="BL15" s="405">
        <f t="shared" si="21"/>
        <v>0</v>
      </c>
      <c r="BM15" s="405">
        <f t="shared" si="22"/>
        <v>0</v>
      </c>
      <c r="BN15" s="405">
        <f t="shared" si="23"/>
        <v>0</v>
      </c>
      <c r="BO15" s="405">
        <f t="shared" si="24"/>
        <v>0</v>
      </c>
    </row>
    <row r="16" spans="1:67" ht="13.5" thickBot="1" x14ac:dyDescent="0.25">
      <c r="D16" s="345">
        <v>1.3183</v>
      </c>
      <c r="E16" s="340" t="str">
        <f t="shared" si="0"/>
        <v>0.0000218674452228008i</v>
      </c>
      <c r="F16" s="728" t="str">
        <f t="shared" si="25"/>
        <v>0.005-1979.13785006143i</v>
      </c>
      <c r="G16" s="337" t="str">
        <f t="shared" si="26"/>
        <v>0.005-3095.57458599353i</v>
      </c>
      <c r="H16" s="338" t="str">
        <f t="shared" si="27"/>
        <v>1.21666647794867-0.000478191529910172i</v>
      </c>
      <c r="I16" s="338" t="str">
        <f t="shared" si="28"/>
        <v>1.22666647794867-0.000478191529910172i</v>
      </c>
      <c r="J16" s="337" t="str">
        <f t="shared" si="29"/>
        <v>1.22666541204008-0.00123847649086095i</v>
      </c>
      <c r="K16" s="338" t="str">
        <f t="shared" si="1"/>
        <v>0.99999999998069-6.90260265871237E-06i</v>
      </c>
      <c r="L16" s="732"/>
      <c r="M16" s="732" t="str">
        <f t="shared" si="2"/>
        <v>16.3043484639697+0.0161706832440254i</v>
      </c>
      <c r="N16" s="337">
        <f t="shared" si="3"/>
        <v>0</v>
      </c>
      <c r="O16" s="730" t="str">
        <f t="shared" si="4"/>
        <v>16.3043482582935+0.0060652727735206i</v>
      </c>
      <c r="P16" s="731" t="str">
        <f t="shared" si="5"/>
        <v>20.0000003536115-0.000356534446929302i</v>
      </c>
      <c r="Q16" s="729" t="str">
        <f t="shared" si="6"/>
        <v>19.8369568710286-0.000417187174664505i</v>
      </c>
      <c r="R16" s="730"/>
      <c r="S16" s="405" t="str">
        <f t="shared" si="30"/>
        <v>22.5427002600959+0.00984540122166791i</v>
      </c>
      <c r="T16" s="405" t="str">
        <f t="shared" si="31"/>
        <v>22.5426922205089-0.00412652238905395i</v>
      </c>
      <c r="U16" s="405" t="str">
        <f t="shared" si="32"/>
        <v>27.4269359741395-0.0158003259424862i</v>
      </c>
      <c r="V16" s="731" t="str">
        <f t="shared" si="7"/>
        <v>6000</v>
      </c>
      <c r="W16" s="733" t="str">
        <f>IMSUM(COMPLEX(1,0),IMDIV(COMPLEX(0,2*PI()*D16),COMPLEX(2*PI()*'Stability Calculations'!EA_Pole1,0)))</f>
        <v>1+8.3659544223594i</v>
      </c>
      <c r="X16" s="734">
        <f t="shared" si="33"/>
        <v>8.4255084948621821</v>
      </c>
      <c r="Y16" s="735">
        <f t="shared" si="34"/>
        <v>1.4518286960193363</v>
      </c>
      <c r="Z16" s="340" t="str">
        <f>IMSUM(COMPLEX(1,0),IMDIV(COMPLEX(0,2*PI()*D16),COMPLEX(2*PI()*'Stability Calculations'!EA_Zero1,0)))</f>
        <v>1+0.0828312319045485i</v>
      </c>
      <c r="AA16" s="734">
        <f t="shared" si="35"/>
        <v>1.0034246424016231</v>
      </c>
      <c r="AB16" s="735">
        <f t="shared" si="36"/>
        <v>8.2642572548559362E-2</v>
      </c>
      <c r="AC16" s="733" t="str">
        <f>IMSUM(COMPLEX(1,0),IMDIV(COMPLEX(0,2*PI()*D16),COMPLEX(2*PI()*'Stability Calculations'!EA_Pole2,0)))</f>
        <v>1+0.000834396780583947i</v>
      </c>
      <c r="AD16" s="734">
        <f t="shared" si="37"/>
        <v>1.0000003481089332</v>
      </c>
      <c r="AE16" s="735">
        <f t="shared" si="38"/>
        <v>8.3439658694334543E-4</v>
      </c>
      <c r="AF16" s="732" t="str">
        <f t="shared" si="39"/>
        <v>142.504765443745-700.207704453384i</v>
      </c>
      <c r="AG16" s="337">
        <f t="shared" si="40"/>
        <v>714.5617101063101</v>
      </c>
      <c r="AH16" s="730">
        <f t="shared" si="41"/>
        <v>-1.3700205200577189</v>
      </c>
      <c r="AI16" s="731" t="str">
        <f t="shared" si="14"/>
        <v>10000</v>
      </c>
      <c r="AJ16" s="733" t="str">
        <f t="shared" si="42"/>
        <v>1+7.79937222988594i</v>
      </c>
      <c r="AK16" s="734">
        <f t="shared" si="43"/>
        <v>7.8632186272744553</v>
      </c>
      <c r="AL16" s="735">
        <f t="shared" si="44"/>
        <v>1.4432766162538824</v>
      </c>
      <c r="AM16" s="340" t="str">
        <f t="shared" si="45"/>
        <v>1+0.0132364308583468i</v>
      </c>
      <c r="AN16" s="734">
        <f t="shared" si="46"/>
        <v>1.000087597714254</v>
      </c>
      <c r="AO16" s="735">
        <f t="shared" si="47"/>
        <v>1.323565791835005E-2</v>
      </c>
      <c r="AP16" s="733" t="str">
        <f t="shared" si="48"/>
        <v>1+0.000641988714646021i</v>
      </c>
      <c r="AQ16" s="734">
        <f t="shared" si="49"/>
        <v>1.0000002060747335</v>
      </c>
      <c r="AR16" s="735">
        <f t="shared" si="50"/>
        <v>6.4198862644759813E-4</v>
      </c>
      <c r="AS16" s="732" t="str">
        <f t="shared" si="51"/>
        <v>19749.3778356351-2224.7768018447i</v>
      </c>
      <c r="AT16" s="337">
        <f t="shared" si="52"/>
        <v>19874.293867020817</v>
      </c>
      <c r="AU16" s="730">
        <f t="shared" si="53"/>
        <v>-0.11217755467892415</v>
      </c>
      <c r="AV16" s="732" t="str">
        <f t="shared" si="54"/>
        <v>28268.2018525405-318887.522797651i</v>
      </c>
      <c r="AW16" s="337">
        <f t="shared" si="55"/>
        <v>110.10674473479222</v>
      </c>
      <c r="AX16" s="730">
        <f t="shared" si="56"/>
        <v>-84.934182287033678</v>
      </c>
      <c r="AY16" s="360">
        <f t="shared" si="57"/>
        <v>95.065817712966322</v>
      </c>
      <c r="BB16" s="337">
        <f t="shared" si="58"/>
        <v>45.965834142691648</v>
      </c>
      <c r="BC16" s="730">
        <f t="shared" si="59"/>
        <v>-6.4273004392003745</v>
      </c>
      <c r="BD16" s="351"/>
      <c r="BE16" s="337">
        <f t="shared" si="19"/>
        <v>24.246073246051225</v>
      </c>
      <c r="BF16" s="730">
        <f t="shared" si="20"/>
        <v>5.6826042449898209E-2</v>
      </c>
      <c r="BI16" s="351"/>
      <c r="BJ16" s="351"/>
      <c r="BL16" s="405">
        <f t="shared" si="21"/>
        <v>0</v>
      </c>
      <c r="BM16" s="405">
        <f t="shared" si="22"/>
        <v>0</v>
      </c>
      <c r="BN16" s="405">
        <f t="shared" si="23"/>
        <v>0</v>
      </c>
      <c r="BO16" s="405">
        <f t="shared" si="24"/>
        <v>0</v>
      </c>
    </row>
    <row r="17" spans="1:67" ht="13.5" thickBot="1" x14ac:dyDescent="0.25">
      <c r="D17" s="345">
        <v>1.4454</v>
      </c>
      <c r="E17" s="340" t="str">
        <f t="shared" si="0"/>
        <v>0.0000239757303535131i</v>
      </c>
      <c r="F17" s="728" t="str">
        <f t="shared" si="25"/>
        <v>0.005-1805.10407343018i</v>
      </c>
      <c r="G17" s="337" t="str">
        <f t="shared" si="26"/>
        <v>0.005-2823.36790972413i</v>
      </c>
      <c r="H17" s="338" t="str">
        <f t="shared" si="27"/>
        <v>1.21666643980511-0.000524294937096319i</v>
      </c>
      <c r="I17" s="338" t="str">
        <f t="shared" si="28"/>
        <v>1.22666643980511-0.000524294937096319i</v>
      </c>
      <c r="J17" s="337" t="str">
        <f t="shared" si="29"/>
        <v>1.22666515845605-0.00135788026138204i</v>
      </c>
      <c r="K17" s="338" t="str">
        <f t="shared" si="1"/>
        <v>0.999999999976787-7.56809670249781E-06i</v>
      </c>
      <c r="L17" s="732"/>
      <c r="M17" s="732" t="str">
        <f t="shared" si="2"/>
        <v>16.3043485928982+0.0177297319595426i</v>
      </c>
      <c r="N17" s="337">
        <f t="shared" si="3"/>
        <v>0</v>
      </c>
      <c r="O17" s="730" t="str">
        <f t="shared" si="4"/>
        <v>16.3043483456508+0.00665003815228104i</v>
      </c>
      <c r="P17" s="731" t="str">
        <f t="shared" si="5"/>
        <v>20.0000004250833-0.000390908665452953i</v>
      </c>
      <c r="Q17" s="729" t="str">
        <f t="shared" si="6"/>
        <v>19.8369569416268-0.000457409046975768i</v>
      </c>
      <c r="R17" s="730"/>
      <c r="S17" s="405" t="str">
        <f t="shared" si="30"/>
        <v>22.5427014248977+0.0107946157680196i</v>
      </c>
      <c r="T17" s="405" t="str">
        <f t="shared" si="31"/>
        <v>22.542691760355-0.00452436856750714i</v>
      </c>
      <c r="U17" s="405" t="str">
        <f t="shared" si="32"/>
        <v>27.4269341555919-0.0173236665558726i</v>
      </c>
      <c r="V17" s="731" t="str">
        <f t="shared" si="7"/>
        <v>6000</v>
      </c>
      <c r="W17" s="733" t="str">
        <f>IMSUM(COMPLEX(1,0),IMDIV(COMPLEX(0,2*PI()*D17),COMPLEX(2*PI()*'Stability Calculations'!EA_Pole1,0)))</f>
        <v>1+9.17253320342734i</v>
      </c>
      <c r="X17" s="734">
        <f t="shared" si="33"/>
        <v>9.2268827546456347</v>
      </c>
      <c r="Y17" s="735">
        <f t="shared" si="34"/>
        <v>1.4622040628769104</v>
      </c>
      <c r="Z17" s="340" t="str">
        <f>IMSUM(COMPLEX(1,0),IMDIV(COMPLEX(0,2*PI()*D17),COMPLEX(2*PI()*'Stability Calculations'!EA_Zero1,0)))</f>
        <v>1+0.0908171604299737i</v>
      </c>
      <c r="AA17" s="734">
        <f t="shared" si="35"/>
        <v>1.004115410014488</v>
      </c>
      <c r="AB17" s="735">
        <f t="shared" si="36"/>
        <v>9.0568709494642907E-2</v>
      </c>
      <c r="AC17" s="733" t="str">
        <f>IMSUM(COMPLEX(1,0),IMDIV(COMPLEX(0,2*PI()*D17),COMPLEX(2*PI()*'Stability Calculations'!EA_Pole2,0)))</f>
        <v>1+0.000914842681222814i</v>
      </c>
      <c r="AD17" s="734">
        <f t="shared" si="37"/>
        <v>1.0000004184684781</v>
      </c>
      <c r="AE17" s="735">
        <f t="shared" si="38"/>
        <v>9.1484242600100565E-4</v>
      </c>
      <c r="AF17" s="732" t="str">
        <f t="shared" si="39"/>
        <v>128.598512003041-640.16066622189i</v>
      </c>
      <c r="AG17" s="337">
        <f t="shared" si="40"/>
        <v>652.94965798830947</v>
      </c>
      <c r="AH17" s="730">
        <f t="shared" si="41"/>
        <v>-1.3725501958082689</v>
      </c>
      <c r="AI17" s="731" t="str">
        <f t="shared" si="14"/>
        <v>10000</v>
      </c>
      <c r="AJ17" s="733" t="str">
        <f t="shared" si="42"/>
        <v>1+8.55132566265427i</v>
      </c>
      <c r="AK17" s="734">
        <f t="shared" si="43"/>
        <v>8.6095975857626161</v>
      </c>
      <c r="AL17" s="735">
        <f t="shared" si="44"/>
        <v>1.4543841252292513</v>
      </c>
      <c r="AM17" s="340" t="str">
        <f t="shared" si="45"/>
        <v>1+0.0145125822367098i</v>
      </c>
      <c r="AN17" s="734">
        <f t="shared" si="46"/>
        <v>1.0001053019773354</v>
      </c>
      <c r="AO17" s="735">
        <f t="shared" si="47"/>
        <v>1.4511563509397481E-2</v>
      </c>
      <c r="AP17" s="733" t="str">
        <f t="shared" si="48"/>
        <v>1+0.000703884160016202i</v>
      </c>
      <c r="AQ17" s="734">
        <f t="shared" si="49"/>
        <v>1.0000002477264247</v>
      </c>
      <c r="AR17" s="735">
        <f t="shared" si="50"/>
        <v>7.038840437690846E-4</v>
      </c>
      <c r="AS17" s="732" t="str">
        <f t="shared" si="51"/>
        <v>19699.4833830125-2433.10955418441i</v>
      </c>
      <c r="AT17" s="337">
        <f t="shared" si="52"/>
        <v>19849.172971694541</v>
      </c>
      <c r="AU17" s="730">
        <f t="shared" si="53"/>
        <v>-0.1228889676657569</v>
      </c>
      <c r="AV17" s="732" t="str">
        <f t="shared" si="54"/>
        <v>21937.4068682464-291340.046534782i</v>
      </c>
      <c r="AW17" s="337">
        <f t="shared" si="55"/>
        <v>109.31255793017328</v>
      </c>
      <c r="AX17" s="730">
        <f t="shared" si="56"/>
        <v>-85.693851976354566</v>
      </c>
      <c r="AY17" s="360">
        <f t="shared" si="57"/>
        <v>94.306148023645434</v>
      </c>
      <c r="BB17" s="337">
        <f t="shared" si="58"/>
        <v>45.954848326454261</v>
      </c>
      <c r="BC17" s="730">
        <f t="shared" si="59"/>
        <v>-7.0410191959675101</v>
      </c>
      <c r="BD17" s="351"/>
      <c r="BE17" s="337">
        <f t="shared" si="19"/>
        <v>24.246074178194661</v>
      </c>
      <c r="BF17" s="730">
        <f t="shared" si="20"/>
        <v>6.2304753053206118E-2</v>
      </c>
      <c r="BI17" s="351"/>
      <c r="BJ17" s="351"/>
      <c r="BL17" s="405">
        <f t="shared" si="21"/>
        <v>0</v>
      </c>
      <c r="BM17" s="405">
        <f t="shared" si="22"/>
        <v>0</v>
      </c>
      <c r="BN17" s="405">
        <f t="shared" si="23"/>
        <v>0</v>
      </c>
      <c r="BO17" s="405">
        <f t="shared" si="24"/>
        <v>0</v>
      </c>
    </row>
    <row r="18" spans="1:67" ht="13.5" thickBot="1" x14ac:dyDescent="0.25">
      <c r="B18" s="405" t="str">
        <f>IF(Vin&gt;=Vout,P13,Q13)</f>
        <v>20.0000002034688-0.000270450156266882i</v>
      </c>
      <c r="D18" s="345">
        <v>1.5849</v>
      </c>
      <c r="E18" s="340" t="str">
        <f t="shared" si="0"/>
        <v>0.0000262897018384412i</v>
      </c>
      <c r="F18" s="728" t="str">
        <f t="shared" si="25"/>
        <v>0.005-1646.22211353145i</v>
      </c>
      <c r="G18" s="337" t="str">
        <f t="shared" si="26"/>
        <v>0.005-2574.86022885688i</v>
      </c>
      <c r="H18" s="338" t="str">
        <f t="shared" si="27"/>
        <v>1.21666639390174-0.000574896232409143i</v>
      </c>
      <c r="I18" s="338" t="str">
        <f t="shared" si="28"/>
        <v>1.22666639390174-0.000574896232409143i</v>
      </c>
      <c r="J18" s="337" t="str">
        <f t="shared" si="29"/>
        <v>1.22666485328377-0.00148893309052826i</v>
      </c>
      <c r="K18" s="338" t="str">
        <f t="shared" si="1"/>
        <v>0.99999999997209-8.29851699445744E-06i</v>
      </c>
      <c r="L18" s="732"/>
      <c r="M18" s="732" t="str">
        <f t="shared" si="2"/>
        <v>16.3043487480556+0.019440883008425i</v>
      </c>
      <c r="N18" s="337">
        <f t="shared" si="3"/>
        <v>0</v>
      </c>
      <c r="O18" s="730" t="str">
        <f t="shared" si="4"/>
        <v>16.30434845078+0.00729185381897684i</v>
      </c>
      <c r="P18" s="731" t="str">
        <f t="shared" si="5"/>
        <v>20.000000511095-0.000428636467256328i</v>
      </c>
      <c r="Q18" s="729" t="str">
        <f t="shared" si="6"/>
        <v>19.8369570265872-0.000501555005446113i</v>
      </c>
      <c r="R18" s="730"/>
      <c r="S18" s="405" t="str">
        <f t="shared" si="30"/>
        <v>22.5427028266632+0.0118364363799i</v>
      </c>
      <c r="T18" s="405" t="str">
        <f t="shared" si="31"/>
        <v>22.542691206589-0.00496102891579479i</v>
      </c>
      <c r="U18" s="405" t="str">
        <f t="shared" si="32"/>
        <v>27.4269319670843-0.0189956254040531i</v>
      </c>
      <c r="V18" s="731" t="str">
        <f t="shared" si="7"/>
        <v>6000</v>
      </c>
      <c r="W18" s="733" t="str">
        <f>IMSUM(COMPLEX(1,0),IMDIV(COMPLEX(0,2*PI()*D18),COMPLEX(2*PI()*'Stability Calculations'!EA_Pole1,0)))</f>
        <v>1+10.0578025972824i</v>
      </c>
      <c r="X18" s="734">
        <f t="shared" si="33"/>
        <v>10.107392991563184</v>
      </c>
      <c r="Y18" s="735">
        <f t="shared" si="34"/>
        <v>1.471696720517123</v>
      </c>
      <c r="Z18" s="340" t="str">
        <f>IMSUM(COMPLEX(1,0),IMDIV(COMPLEX(0,2*PI()*D18),COMPLEX(2*PI()*'Stability Calculations'!EA_Zero1,0)))</f>
        <v>1+0.0995822039334893i</v>
      </c>
      <c r="AA18" s="734">
        <f t="shared" si="35"/>
        <v>1.0049460758370328</v>
      </c>
      <c r="AB18" s="735">
        <f t="shared" si="36"/>
        <v>9.9254975930842787E-2</v>
      </c>
      <c r="AC18" s="733" t="str">
        <f>IMSUM(COMPLEX(1,0),IMDIV(COMPLEX(0,2*PI()*D18),COMPLEX(2*PI()*'Stability Calculations'!EA_Pole2,0)))</f>
        <v>1+0.00100313696241182i</v>
      </c>
      <c r="AD18" s="734">
        <f t="shared" si="37"/>
        <v>1.000000503141756</v>
      </c>
      <c r="AE18" s="735">
        <f t="shared" si="38"/>
        <v>1.0031366259318764E-3</v>
      </c>
      <c r="AF18" s="732" t="str">
        <f t="shared" si="39"/>
        <v>116.969372633193-584.981053236647i</v>
      </c>
      <c r="AG18" s="337">
        <f t="shared" si="40"/>
        <v>596.56069832001128</v>
      </c>
      <c r="AH18" s="730">
        <f t="shared" si="41"/>
        <v>-1.3734448812122124</v>
      </c>
      <c r="AI18" s="731" t="str">
        <f t="shared" si="14"/>
        <v>10000</v>
      </c>
      <c r="AJ18" s="733" t="str">
        <f t="shared" si="42"/>
        <v>1+9.3766404059366i</v>
      </c>
      <c r="AK18" s="734">
        <f t="shared" si="43"/>
        <v>9.4298136409073798</v>
      </c>
      <c r="AL18" s="735">
        <f t="shared" si="44"/>
        <v>1.4645499149179924</v>
      </c>
      <c r="AM18" s="340" t="str">
        <f t="shared" si="45"/>
        <v>1+0.0159132361885716i</v>
      </c>
      <c r="AN18" s="734">
        <f t="shared" si="46"/>
        <v>1.0001266075282635</v>
      </c>
      <c r="AO18" s="735">
        <f t="shared" si="47"/>
        <v>1.591189315059784E-2</v>
      </c>
      <c r="AP18" s="733" t="str">
        <f t="shared" si="48"/>
        <v>1+0.000771818185422498i</v>
      </c>
      <c r="AQ18" s="734">
        <f t="shared" si="49"/>
        <v>1.0000002978516114</v>
      </c>
      <c r="AR18" s="735">
        <f t="shared" si="50"/>
        <v>7.7181803216433648E-4</v>
      </c>
      <c r="AS18" s="732" t="str">
        <f t="shared" si="51"/>
        <v>19639.7717889524-2659.84959291272i</v>
      </c>
      <c r="AT18" s="337">
        <f t="shared" si="52"/>
        <v>19819.067480056889</v>
      </c>
      <c r="AU18" s="730">
        <f t="shared" si="53"/>
        <v>-0.13461277234830171</v>
      </c>
      <c r="AV18" s="732" t="str">
        <f t="shared" si="54"/>
        <v>16652.1351457367-266007.779257672i</v>
      </c>
      <c r="AW18" s="337">
        <f t="shared" si="55"/>
        <v>108.51487254737398</v>
      </c>
      <c r="AX18" s="730">
        <f t="shared" si="56"/>
        <v>-86.417948043020274</v>
      </c>
      <c r="AY18" s="360">
        <f t="shared" si="57"/>
        <v>93.582051956979726</v>
      </c>
      <c r="BB18" s="337">
        <f t="shared" si="58"/>
        <v>45.941664327109152</v>
      </c>
      <c r="BC18" s="730">
        <f t="shared" si="59"/>
        <v>-7.7127437241130394</v>
      </c>
      <c r="BD18" s="351"/>
      <c r="BE18" s="337">
        <f t="shared" si="19"/>
        <v>24.246075299970407</v>
      </c>
      <c r="BF18" s="730">
        <f t="shared" si="20"/>
        <v>6.8317970604919898E-2</v>
      </c>
      <c r="BI18" s="351"/>
      <c r="BJ18" s="351"/>
      <c r="BL18" s="405">
        <f t="shared" si="21"/>
        <v>0</v>
      </c>
      <c r="BM18" s="405">
        <f t="shared" si="22"/>
        <v>0</v>
      </c>
      <c r="BN18" s="405">
        <f t="shared" si="23"/>
        <v>0</v>
      </c>
      <c r="BO18" s="405">
        <f t="shared" si="24"/>
        <v>0</v>
      </c>
    </row>
    <row r="19" spans="1:67" ht="13.5" thickBot="1" x14ac:dyDescent="0.25">
      <c r="D19" s="345">
        <v>1.7378</v>
      </c>
      <c r="E19" s="340" t="str">
        <f t="shared" si="0"/>
        <v>0.0000288259472867961i</v>
      </c>
      <c r="F19" s="728" t="str">
        <f t="shared" si="25"/>
        <v>0.005-1501.37957632408i</v>
      </c>
      <c r="G19" s="337" t="str">
        <f t="shared" si="26"/>
        <v>0.005-2348.31164501972i</v>
      </c>
      <c r="H19" s="338" t="str">
        <f t="shared" si="27"/>
        <v>1.21666633873424-0.000630358147008738i</v>
      </c>
      <c r="I19" s="338" t="str">
        <f t="shared" si="28"/>
        <v>1.22666633873424-0.000630358147008738i</v>
      </c>
      <c r="J19" s="337" t="str">
        <f t="shared" si="29"/>
        <v>1.22666448652236-0.0016325743885898i</v>
      </c>
      <c r="K19" s="338" t="str">
        <f t="shared" si="1"/>
        <v>0.999999999966445-9.09909952234724E-06i</v>
      </c>
      <c r="L19" s="732"/>
      <c r="M19" s="732" t="str">
        <f t="shared" si="2"/>
        <v>16.3043489345265+0.0213164027144357i</v>
      </c>
      <c r="N19" s="337">
        <f t="shared" si="3"/>
        <v>0</v>
      </c>
      <c r="O19" s="730" t="str">
        <f t="shared" si="4"/>
        <v>16.304348577126+0.00799532060564226i</v>
      </c>
      <c r="P19" s="731" t="str">
        <f t="shared" si="5"/>
        <v>20.0000006144655-0.000469988302932257i</v>
      </c>
      <c r="Q19" s="729" t="str">
        <f t="shared" si="6"/>
        <v>19.8369571286942-0.000549941508988692i</v>
      </c>
      <c r="R19" s="730"/>
      <c r="S19" s="405" t="str">
        <f t="shared" si="30"/>
        <v>22.5427045113302+0.0129783312111353i</v>
      </c>
      <c r="T19" s="405" t="str">
        <f t="shared" si="31"/>
        <v>22.5426905410629-0.00543963357839449i</v>
      </c>
      <c r="U19" s="405" t="str">
        <f t="shared" si="32"/>
        <v>27.4269293368967-0.0208281877079371i</v>
      </c>
      <c r="V19" s="731" t="str">
        <f t="shared" si="7"/>
        <v>6000</v>
      </c>
      <c r="W19" s="733" t="str">
        <f>IMSUM(COMPLEX(1,0),IMDIV(COMPLEX(0,2*PI()*D19),COMPLEX(2*PI()*'Stability Calculations'!EA_Pole1,0)))</f>
        <v>1+11.0281086210849i</v>
      </c>
      <c r="X19" s="734">
        <f t="shared" si="33"/>
        <v>11.073354494390898</v>
      </c>
      <c r="Y19" s="735">
        <f t="shared" si="34"/>
        <v>1.4803662556813939</v>
      </c>
      <c r="Z19" s="340" t="str">
        <f>IMSUM(COMPLEX(1,0),IMDIV(COMPLEX(0,2*PI()*D19),COMPLEX(2*PI()*'Stability Calculations'!EA_Zero1,0)))</f>
        <v>1+0.109189194268167i</v>
      </c>
      <c r="AA19" s="734">
        <f t="shared" si="35"/>
        <v>1.0059434776094189</v>
      </c>
      <c r="AB19" s="735">
        <f t="shared" si="36"/>
        <v>0.10875834406992553</v>
      </c>
      <c r="AC19" s="733" t="str">
        <f>IMSUM(COMPLEX(1,0),IMDIV(COMPLEX(0,2*PI()*D19),COMPLEX(2*PI()*'Stability Calculations'!EA_Pole2,0)))</f>
        <v>1+0.00109991255806629i</v>
      </c>
      <c r="AD19" s="734">
        <f t="shared" si="37"/>
        <v>1.0000006049036347</v>
      </c>
      <c r="AE19" s="735">
        <f t="shared" si="38"/>
        <v>1.0999121145057417E-3</v>
      </c>
      <c r="AF19" s="732" t="str">
        <f t="shared" si="39"/>
        <v>107.265655680948-534.402396503267i</v>
      </c>
      <c r="AG19" s="337">
        <f t="shared" si="40"/>
        <v>545.06131974035611</v>
      </c>
      <c r="AH19" s="730">
        <f t="shared" si="41"/>
        <v>-1.3727078237259744</v>
      </c>
      <c r="AI19" s="731" t="str">
        <f t="shared" si="14"/>
        <v>10000</v>
      </c>
      <c r="AJ19" s="733" t="str">
        <f t="shared" si="42"/>
        <v>1+10.2812326944518i</v>
      </c>
      <c r="AK19" s="734">
        <f t="shared" si="43"/>
        <v>10.329750515741637</v>
      </c>
      <c r="AL19" s="735">
        <f t="shared" si="44"/>
        <v>1.4738367168110003</v>
      </c>
      <c r="AM19" s="340" t="str">
        <f t="shared" si="45"/>
        <v>1+0.0174484332440531i</v>
      </c>
      <c r="AN19" s="734">
        <f t="shared" si="46"/>
        <v>1.0001522123270399</v>
      </c>
      <c r="AO19" s="735">
        <f t="shared" si="47"/>
        <v>1.7446662854933119E-2</v>
      </c>
      <c r="AP19" s="733" t="str">
        <f t="shared" si="48"/>
        <v>1+0.000846277773125887i</v>
      </c>
      <c r="AQ19" s="734">
        <f t="shared" si="49"/>
        <v>1.0000003580929706</v>
      </c>
      <c r="AR19" s="735">
        <f t="shared" si="50"/>
        <v>8.4627757109518979E-4</v>
      </c>
      <c r="AS19" s="732" t="str">
        <f t="shared" si="51"/>
        <v>19568.4865107337-2905.86749421013i</v>
      </c>
      <c r="AT19" s="337">
        <f t="shared" si="52"/>
        <v>19783.066754542226</v>
      </c>
      <c r="AU19" s="730">
        <f t="shared" si="53"/>
        <v>-0.14741999548568033</v>
      </c>
      <c r="AV19" s="732" t="str">
        <f t="shared" si="54"/>
        <v>12252.5237480514-242768.49343905i</v>
      </c>
      <c r="AW19" s="337">
        <f t="shared" si="55"/>
        <v>107.71489483473263</v>
      </c>
      <c r="AX19" s="730">
        <f t="shared" si="56"/>
        <v>-87.110734041889359</v>
      </c>
      <c r="AY19" s="360">
        <f t="shared" si="57"/>
        <v>92.889265958110641</v>
      </c>
      <c r="BB19" s="337">
        <f t="shared" si="58"/>
        <v>45.9258723289812</v>
      </c>
      <c r="BC19" s="730">
        <f t="shared" si="59"/>
        <v>-8.4465435571671321</v>
      </c>
      <c r="BD19" s="351"/>
      <c r="BE19" s="337">
        <f t="shared" si="19"/>
        <v>24.246076648140541</v>
      </c>
      <c r="BF19" s="730">
        <f t="shared" si="20"/>
        <v>7.4908800036154063E-2</v>
      </c>
      <c r="BI19" s="351"/>
      <c r="BJ19" s="351"/>
      <c r="BL19" s="405">
        <f t="shared" si="21"/>
        <v>0</v>
      </c>
      <c r="BM19" s="405">
        <f t="shared" si="22"/>
        <v>0</v>
      </c>
      <c r="BN19" s="405">
        <f t="shared" si="23"/>
        <v>0</v>
      </c>
      <c r="BO19" s="405">
        <f t="shared" si="24"/>
        <v>0</v>
      </c>
    </row>
    <row r="20" spans="1:67" ht="13.5" thickBot="1" x14ac:dyDescent="0.25">
      <c r="D20" s="345">
        <v>1.9055</v>
      </c>
      <c r="E20" s="340" t="str">
        <f t="shared" si="0"/>
        <v>0.0000316076893514731i</v>
      </c>
      <c r="F20" s="728" t="str">
        <f t="shared" si="25"/>
        <v>0.005-1369.24556690422i</v>
      </c>
      <c r="G20" s="337" t="str">
        <f t="shared" si="26"/>
        <v>0.005-2141.64050208096i</v>
      </c>
      <c r="H20" s="338" t="str">
        <f t="shared" si="27"/>
        <v>1.21666627238857-0.000691188504636065i</v>
      </c>
      <c r="I20" s="338" t="str">
        <f t="shared" si="28"/>
        <v>1.22666627238857-0.000691188504636065i</v>
      </c>
      <c r="J20" s="337" t="str">
        <f t="shared" si="29"/>
        <v>1.22666404544709-0.00179011933196683i</v>
      </c>
      <c r="K20" s="338" t="str">
        <f t="shared" si="1"/>
        <v>0.999999999959656-9.97717466902558E-06i</v>
      </c>
      <c r="L20" s="732"/>
      <c r="M20" s="732" t="str">
        <f t="shared" si="2"/>
        <v>16.3043491587805+0.0233734639304044i</v>
      </c>
      <c r="N20" s="337">
        <f t="shared" si="3"/>
        <v>0</v>
      </c>
      <c r="O20" s="730" t="str">
        <f t="shared" si="4"/>
        <v>16.3043487290725+0.00876687967696673i</v>
      </c>
      <c r="P20" s="731" t="str">
        <f t="shared" si="5"/>
        <v>20.0000007387812-0.000515342803288638i</v>
      </c>
      <c r="Q20" s="729" t="str">
        <f t="shared" si="6"/>
        <v>19.8369572514904-0.000603011600058298i</v>
      </c>
      <c r="R20" s="730"/>
      <c r="S20" s="405" t="str">
        <f t="shared" si="30"/>
        <v>22.5427065373484+0.0142307556822297i</v>
      </c>
      <c r="T20" s="405" t="str">
        <f t="shared" si="31"/>
        <v>22.5426897406864-0.00596456475960889i</v>
      </c>
      <c r="U20" s="405" t="str">
        <f t="shared" si="32"/>
        <v>27.4269261737743-0.0228381327848333i</v>
      </c>
      <c r="V20" s="731" t="str">
        <f t="shared" si="7"/>
        <v>6000</v>
      </c>
      <c r="W20" s="733" t="str">
        <f>IMSUM(COMPLEX(1,0),IMDIV(COMPLEX(0,2*PI()*D20),COMPLEX(2*PI()*'Stability Calculations'!EA_Pole1,0)))</f>
        <v>1+12.092335698859i</v>
      </c>
      <c r="X20" s="734">
        <f t="shared" si="33"/>
        <v>12.133613750812236</v>
      </c>
      <c r="Y20" s="735">
        <f t="shared" si="34"/>
        <v>1.4882870635093195</v>
      </c>
      <c r="Z20" s="340" t="str">
        <f>IMSUM(COMPLEX(1,0),IMDIV(COMPLEX(0,2*PI()*D20),COMPLEX(2*PI()*'Stability Calculations'!EA_Zero1,0)))</f>
        <v>1+0.119726096028307i</v>
      </c>
      <c r="AA20" s="734">
        <f t="shared" si="35"/>
        <v>1.0071416673289708</v>
      </c>
      <c r="AB20" s="735">
        <f t="shared" si="36"/>
        <v>0.11915890153063194</v>
      </c>
      <c r="AC20" s="733" t="str">
        <f>IMSUM(COMPLEX(1,0),IMDIV(COMPLEX(0,2*PI()*D20),COMPLEX(2*PI()*'Stability Calculations'!EA_Pole2,0)))</f>
        <v>1+0.00120605557566769i</v>
      </c>
      <c r="AD20" s="734">
        <f t="shared" si="37"/>
        <v>1.0000007272847613</v>
      </c>
      <c r="AE20" s="735">
        <f t="shared" si="38"/>
        <v>1.2060549909040934E-3</v>
      </c>
      <c r="AF20" s="732" t="str">
        <f t="shared" si="39"/>
        <v>99.1678806303714-488.052094783696i</v>
      </c>
      <c r="AG20" s="337">
        <f t="shared" si="40"/>
        <v>498.02521599962523</v>
      </c>
      <c r="AH20" s="730">
        <f t="shared" si="41"/>
        <v>-1.3703342169695913</v>
      </c>
      <c r="AI20" s="731" t="str">
        <f t="shared" si="14"/>
        <v>10000</v>
      </c>
      <c r="AJ20" s="733" t="str">
        <f t="shared" si="42"/>
        <v>1+11.2733852568062i</v>
      </c>
      <c r="AK20" s="734">
        <f t="shared" si="43"/>
        <v>11.317650601974574</v>
      </c>
      <c r="AL20" s="735">
        <f t="shared" si="44"/>
        <v>1.4823233915316372</v>
      </c>
      <c r="AM20" s="340" t="str">
        <f t="shared" si="45"/>
        <v>1+0.0191322301453235i</v>
      </c>
      <c r="AN20" s="734">
        <f t="shared" si="46"/>
        <v>1.0001830043698672</v>
      </c>
      <c r="AO20" s="735">
        <f t="shared" si="47"/>
        <v>1.9129896256485302E-2</v>
      </c>
      <c r="AP20" s="733" t="str">
        <f t="shared" si="48"/>
        <v>1+0.000927944698291734i</v>
      </c>
      <c r="AQ20" s="734">
        <f t="shared" si="49"/>
        <v>1.000000430540589</v>
      </c>
      <c r="AR20" s="735">
        <f t="shared" si="50"/>
        <v>9.2794443194657637E-4</v>
      </c>
      <c r="AS20" s="732" t="str">
        <f t="shared" si="51"/>
        <v>19483.4396237608-3172.43958216431i</v>
      </c>
      <c r="AT20" s="337">
        <f t="shared" si="52"/>
        <v>19740.03020451629</v>
      </c>
      <c r="AU20" s="730">
        <f t="shared" si="53"/>
        <v>-0.16141095326560478</v>
      </c>
      <c r="AV20" s="732" t="str">
        <f t="shared" si="54"/>
        <v>8593.64356602891-221451.250281894i</v>
      </c>
      <c r="AW20" s="337">
        <f t="shared" si="55"/>
        <v>106.91209788714158</v>
      </c>
      <c r="AX20" s="730">
        <f t="shared" si="56"/>
        <v>-87.777693419945038</v>
      </c>
      <c r="AY20" s="360">
        <f t="shared" si="57"/>
        <v>92.222306580054962</v>
      </c>
      <c r="BB20" s="337">
        <f t="shared" si="58"/>
        <v>45.906956257092546</v>
      </c>
      <c r="BC20" s="730">
        <f t="shared" si="59"/>
        <v>-9.2481663893025274</v>
      </c>
      <c r="BD20" s="351"/>
      <c r="BE20" s="337">
        <f t="shared" si="19"/>
        <v>24.246078269479881</v>
      </c>
      <c r="BF20" s="730">
        <f t="shared" si="20"/>
        <v>8.2137588281646232E-2</v>
      </c>
      <c r="BI20" s="351"/>
      <c r="BJ20" s="351"/>
      <c r="BL20" s="405">
        <f t="shared" si="21"/>
        <v>0</v>
      </c>
      <c r="BM20" s="405">
        <f t="shared" si="22"/>
        <v>0</v>
      </c>
      <c r="BN20" s="405">
        <f t="shared" si="23"/>
        <v>0</v>
      </c>
      <c r="BO20" s="405">
        <f t="shared" si="24"/>
        <v>0</v>
      </c>
    </row>
    <row r="21" spans="1:67" ht="13.5" thickBot="1" x14ac:dyDescent="0.25">
      <c r="B21" s="405">
        <f>20*LOG10(IMABS(H13))</f>
        <v>1.7034318055375752</v>
      </c>
      <c r="D21" s="345">
        <v>2.0893000000000002</v>
      </c>
      <c r="E21" s="340" t="str">
        <f t="shared" si="0"/>
        <v>0.0000346564919244464i</v>
      </c>
      <c r="F21" s="728" t="str">
        <f t="shared" si="25"/>
        <v>0.005-1248.79023009428i</v>
      </c>
      <c r="G21" s="337" t="str">
        <f t="shared" si="26"/>
        <v>0.005-1953.2360009167i</v>
      </c>
      <c r="H21" s="338" t="str">
        <f t="shared" si="27"/>
        <v>1.21666619265795-0.000757858854742797i</v>
      </c>
      <c r="I21" s="338" t="str">
        <f t="shared" si="28"/>
        <v>1.22666619265795-0.000757858854742797i</v>
      </c>
      <c r="J21" s="337" t="str">
        <f t="shared" si="29"/>
        <v>1.22666351538722-0.00196278913600819i</v>
      </c>
      <c r="K21" s="338" t="str">
        <f t="shared" si="1"/>
        <v>0.999999999951498-0.0000109395492185753i</v>
      </c>
      <c r="L21" s="732"/>
      <c r="M21" s="732" t="str">
        <f t="shared" si="2"/>
        <v>16.3043494282769+0.0256280128811731i</v>
      </c>
      <c r="N21" s="337">
        <f t="shared" si="3"/>
        <v>0</v>
      </c>
      <c r="O21" s="730" t="str">
        <f t="shared" si="4"/>
        <v>16.3043489116736+0.00961251211601733i</v>
      </c>
      <c r="P21" s="731" t="str">
        <f t="shared" si="5"/>
        <v>20.000000888177-0.00056505155429449i</v>
      </c>
      <c r="Q21" s="729" t="str">
        <f t="shared" si="6"/>
        <v>19.8369573990603-0.000661176675454685i</v>
      </c>
      <c r="R21" s="730"/>
      <c r="S21" s="405" t="str">
        <f t="shared" si="30"/>
        <v>22.5427089721064+0.0156034183466029i</v>
      </c>
      <c r="T21" s="405" t="str">
        <f t="shared" si="31"/>
        <v>22.5426887788375-0.00653989162887715i</v>
      </c>
      <c r="U21" s="405" t="str">
        <f t="shared" si="32"/>
        <v>27.4269223725067-0.0250410413492548i</v>
      </c>
      <c r="V21" s="731" t="str">
        <f t="shared" si="7"/>
        <v>6000</v>
      </c>
      <c r="W21" s="733" t="str">
        <f>IMSUM(COMPLEX(1,0),IMDIV(COMPLEX(0,2*PI()*D21),COMPLEX(2*PI()*'Stability Calculations'!EA_Pole1,0)))</f>
        <v>1+13.2587336529132i</v>
      </c>
      <c r="X21" s="734">
        <f t="shared" si="33"/>
        <v>13.29639116748951</v>
      </c>
      <c r="Y21" s="735">
        <f t="shared" si="34"/>
        <v>1.4955168685047695</v>
      </c>
      <c r="Z21" s="340" t="str">
        <f>IMSUM(COMPLEX(1,0),IMDIV(COMPLEX(0,2*PI()*D21),COMPLEX(2*PI()*'Stability Calculations'!EA_Zero1,0)))</f>
        <v>1+0.131274590622903i</v>
      </c>
      <c r="AA21" s="734">
        <f t="shared" si="35"/>
        <v>1.00857970341625</v>
      </c>
      <c r="AB21" s="735">
        <f t="shared" si="36"/>
        <v>0.13052820721848013</v>
      </c>
      <c r="AC21" s="733" t="str">
        <f>IMSUM(COMPLEX(1,0),IMDIV(COMPLEX(0,2*PI()*D21),COMPLEX(2*PI()*'Stability Calculations'!EA_Pole2,0)))</f>
        <v>1+0.00132238882930595i</v>
      </c>
      <c r="AD21" s="734">
        <f t="shared" si="37"/>
        <v>1.0000008743557258</v>
      </c>
      <c r="AE21" s="735">
        <f t="shared" si="38"/>
        <v>1.3223880584809255E-3</v>
      </c>
      <c r="AF21" s="732" t="str">
        <f t="shared" si="39"/>
        <v>92.4184142017686-445.639291255912i</v>
      </c>
      <c r="AG21" s="337">
        <f t="shared" si="40"/>
        <v>455.12145762932471</v>
      </c>
      <c r="AH21" s="730">
        <f t="shared" si="41"/>
        <v>-1.3663110493447708</v>
      </c>
      <c r="AI21" s="731" t="str">
        <f t="shared" si="14"/>
        <v>10000</v>
      </c>
      <c r="AJ21" s="733" t="str">
        <f t="shared" si="42"/>
        <v>1+12.3607891981345i</v>
      </c>
      <c r="AK21" s="734">
        <f t="shared" si="43"/>
        <v>12.401173718673508</v>
      </c>
      <c r="AL21" s="735">
        <f t="shared" si="44"/>
        <v>1.4900711517986855</v>
      </c>
      <c r="AM21" s="340" t="str">
        <f t="shared" si="45"/>
        <v>1+0.0209776795815399i</v>
      </c>
      <c r="AN21" s="734">
        <f t="shared" si="46"/>
        <v>1.0002200073187029</v>
      </c>
      <c r="AO21" s="735">
        <f t="shared" si="47"/>
        <v>2.0974603226619142E-2</v>
      </c>
      <c r="AP21" s="733" t="str">
        <f t="shared" si="48"/>
        <v>1+0.00101745203785931i</v>
      </c>
      <c r="AQ21" s="734">
        <f t="shared" si="49"/>
        <v>1.0000005176041906</v>
      </c>
      <c r="AR21" s="735">
        <f t="shared" si="50"/>
        <v>1.0174516867678114E-3</v>
      </c>
      <c r="AS21" s="732" t="str">
        <f t="shared" si="51"/>
        <v>19382.2078184428-3460.37229955839i</v>
      </c>
      <c r="AT21" s="337">
        <f t="shared" si="52"/>
        <v>19688.680919981824</v>
      </c>
      <c r="AU21" s="730">
        <f t="shared" si="53"/>
        <v>-0.17667204433952347</v>
      </c>
      <c r="AV21" s="732" t="str">
        <f t="shared" si="54"/>
        <v>5558.94687471782-201922.703062714i</v>
      </c>
      <c r="AW21" s="337">
        <f t="shared" si="55"/>
        <v>106.10699331944926</v>
      </c>
      <c r="AX21" s="730">
        <f t="shared" si="56"/>
        <v>-88.423041288086111</v>
      </c>
      <c r="AY21" s="360">
        <f t="shared" si="57"/>
        <v>91.576958711913889</v>
      </c>
      <c r="BB21" s="337">
        <f t="shared" si="58"/>
        <v>45.884332414826474</v>
      </c>
      <c r="BC21" s="730">
        <f t="shared" si="59"/>
        <v>-10.122562498602841</v>
      </c>
      <c r="BD21" s="351"/>
      <c r="BE21" s="337">
        <f t="shared" si="19"/>
        <v>24.246080217916681</v>
      </c>
      <c r="BF21" s="730">
        <f t="shared" si="20"/>
        <v>9.0060371469889919E-2</v>
      </c>
      <c r="BI21" s="351"/>
      <c r="BJ21" s="351"/>
      <c r="BL21" s="405">
        <f t="shared" si="21"/>
        <v>0</v>
      </c>
      <c r="BM21" s="405">
        <f t="shared" si="22"/>
        <v>0</v>
      </c>
      <c r="BN21" s="405">
        <f t="shared" si="23"/>
        <v>0</v>
      </c>
      <c r="BO21" s="405">
        <f t="shared" si="24"/>
        <v>0</v>
      </c>
    </row>
    <row r="22" spans="1:67" ht="13.5" thickBot="1" x14ac:dyDescent="0.25">
      <c r="B22" s="405">
        <f>20*LOG10(IMABS(I13))</f>
        <v>1.7745308899299541</v>
      </c>
      <c r="D22" s="345">
        <v>2.2909000000000002</v>
      </c>
      <c r="E22" s="340" t="str">
        <f t="shared" si="0"/>
        <v>0.0000380005539413748i</v>
      </c>
      <c r="F22" s="728" t="str">
        <f t="shared" si="25"/>
        <v>0.005-1138.89625375878i</v>
      </c>
      <c r="G22" s="337" t="str">
        <f t="shared" si="26"/>
        <v>0.005-1781.35055075091i</v>
      </c>
      <c r="H22" s="338" t="str">
        <f t="shared" si="27"/>
        <v>1.2166660967689-0.00083098583876637i</v>
      </c>
      <c r="I22" s="338" t="str">
        <f t="shared" si="28"/>
        <v>1.2266660967689-0.00083098583876637i</v>
      </c>
      <c r="J22" s="337" t="str">
        <f t="shared" si="29"/>
        <v>1.22666287790447-0.00215218077201708i</v>
      </c>
      <c r="K22" s="338" t="str">
        <f t="shared" si="1"/>
        <v>0.999999999941686-0.0000119951243501814i</v>
      </c>
      <c r="L22" s="732"/>
      <c r="M22" s="732" t="str">
        <f t="shared" si="2"/>
        <v>16.3043497523904+0.0281009023228759i</v>
      </c>
      <c r="N22" s="337">
        <f t="shared" si="3"/>
        <v>0</v>
      </c>
      <c r="O22" s="730" t="str">
        <f t="shared" si="4"/>
        <v>16.3043491312815+0.0105400393393189i</v>
      </c>
      <c r="P22" s="731" t="str">
        <f t="shared" si="5"/>
        <v>20.0000010678499-0.000619574322244668i</v>
      </c>
      <c r="Q22" s="729" t="str">
        <f t="shared" si="6"/>
        <v>19.8369575765371-0.000724974715637847i</v>
      </c>
      <c r="R22" s="730"/>
      <c r="S22" s="405" t="str">
        <f t="shared" si="30"/>
        <v>22.5427119002989+0.0171090149981276i</v>
      </c>
      <c r="T22" s="405" t="str">
        <f t="shared" si="31"/>
        <v>22.5426876220583-0.00717093540510788i</v>
      </c>
      <c r="U22" s="405" t="str">
        <f t="shared" si="32"/>
        <v>27.4269178008645-0.0274572881711788i</v>
      </c>
      <c r="V22" s="731" t="str">
        <f t="shared" si="7"/>
        <v>6000</v>
      </c>
      <c r="W22" s="733" t="str">
        <f>IMSUM(COMPLEX(1,0),IMDIV(COMPLEX(0,2*PI()*D22),COMPLEX(2*PI()*'Stability Calculations'!EA_Pole1,0)))</f>
        <v>1+14.5380907124199i</v>
      </c>
      <c r="X22" s="734">
        <f t="shared" si="33"/>
        <v>14.572442539346302</v>
      </c>
      <c r="Y22" s="735">
        <f t="shared" si="34"/>
        <v>1.5021196783607937</v>
      </c>
      <c r="Z22" s="340" t="str">
        <f>IMSUM(COMPLEX(1,0),IMDIV(COMPLEX(0,2*PI()*D22),COMPLEX(2*PI()*'Stability Calculations'!EA_Zero1,0)))</f>
        <v>1+0.143941492202177i</v>
      </c>
      <c r="AA22" s="734">
        <f t="shared" si="35"/>
        <v>1.0103064649785181</v>
      </c>
      <c r="AB22" s="735">
        <f t="shared" si="36"/>
        <v>0.14295955526534934</v>
      </c>
      <c r="AC22" s="733" t="str">
        <f>IMSUM(COMPLEX(1,0),IMDIV(COMPLEX(0,2*PI()*D22),COMPLEX(2*PI()*'Stability Calculations'!EA_Pole2,0)))</f>
        <v>1+0.00144998830663716i</v>
      </c>
      <c r="AD22" s="734">
        <f t="shared" si="37"/>
        <v>1.0000010512324922</v>
      </c>
      <c r="AE22" s="735">
        <f t="shared" si="38"/>
        <v>1.4499872904546937E-3</v>
      </c>
      <c r="AF22" s="732" t="str">
        <f t="shared" si="39"/>
        <v>86.7907330554324-406.824324281605i</v>
      </c>
      <c r="AG22" s="337">
        <f t="shared" si="40"/>
        <v>415.97916074183786</v>
      </c>
      <c r="AH22" s="730">
        <f t="shared" si="41"/>
        <v>-1.3606101103858992</v>
      </c>
      <c r="AI22" s="731" t="str">
        <f t="shared" si="14"/>
        <v>10000</v>
      </c>
      <c r="AJ22" s="733" t="str">
        <f t="shared" si="42"/>
        <v>1+13.5535021174586i</v>
      </c>
      <c r="AK22" s="734">
        <f t="shared" si="43"/>
        <v>13.590342881912683</v>
      </c>
      <c r="AL22" s="735">
        <f t="shared" si="44"/>
        <v>1.4971481053205771</v>
      </c>
      <c r="AM22" s="340" t="str">
        <f t="shared" si="45"/>
        <v>1+0.0230018504539079i</v>
      </c>
      <c r="AN22" s="734">
        <f t="shared" si="46"/>
        <v>1.0002645075800221</v>
      </c>
      <c r="AO22" s="735">
        <f t="shared" si="47"/>
        <v>2.2997795095572399E-2</v>
      </c>
      <c r="AP22" s="733" t="str">
        <f t="shared" si="48"/>
        <v>1+0.00111562766167228i</v>
      </c>
      <c r="AQ22" s="734">
        <f t="shared" si="49"/>
        <v>1.0000006223123461</v>
      </c>
      <c r="AR22" s="735">
        <f t="shared" si="50"/>
        <v>1.1156271988265699E-3</v>
      </c>
      <c r="AS22" s="732" t="str">
        <f t="shared" si="51"/>
        <v>19261.8447776544-3770.70700461272i</v>
      </c>
      <c r="AT22" s="337">
        <f t="shared" si="52"/>
        <v>19627.452599690248</v>
      </c>
      <c r="AU22" s="730">
        <f t="shared" si="53"/>
        <v>-0.19331574598986867</v>
      </c>
      <c r="AV22" s="732" t="str">
        <f t="shared" si="54"/>
        <v>3046.3617096261-184027.077677882i</v>
      </c>
      <c r="AW22" s="337">
        <f t="shared" si="55"/>
        <v>105.29882453077539</v>
      </c>
      <c r="AX22" s="730">
        <f t="shared" si="56"/>
        <v>-89.051619304048614</v>
      </c>
      <c r="AY22" s="360">
        <f t="shared" si="57"/>
        <v>90.948380695951386</v>
      </c>
      <c r="BB22" s="337">
        <f t="shared" si="58"/>
        <v>45.85727874422826</v>
      </c>
      <c r="BC22" s="730">
        <f t="shared" si="59"/>
        <v>-11.076176358642543</v>
      </c>
      <c r="BD22" s="351"/>
      <c r="BE22" s="337">
        <f t="shared" si="19"/>
        <v>24.24608256122837</v>
      </c>
      <c r="BF22" s="730">
        <f t="shared" si="20"/>
        <v>9.8750427574176625E-2</v>
      </c>
      <c r="BI22" s="351"/>
      <c r="BJ22" s="351"/>
      <c r="BL22" s="405">
        <f t="shared" si="21"/>
        <v>0</v>
      </c>
      <c r="BM22" s="405">
        <f t="shared" si="22"/>
        <v>0</v>
      </c>
      <c r="BN22" s="405">
        <f t="shared" si="23"/>
        <v>0</v>
      </c>
      <c r="BO22" s="405">
        <f t="shared" si="24"/>
        <v>0</v>
      </c>
    </row>
    <row r="23" spans="1:67" ht="13.5" thickBot="1" x14ac:dyDescent="0.25">
      <c r="B23" s="405">
        <f>20*LOG10(IMABS(J13))</f>
        <v>1.7745287145683801</v>
      </c>
      <c r="D23" s="345">
        <v>2.5118999999999998</v>
      </c>
      <c r="E23" s="340" t="str">
        <f t="shared" si="0"/>
        <v>0.0000416664155769956i</v>
      </c>
      <c r="F23" s="728" t="str">
        <f t="shared" si="25"/>
        <v>0.005-1038.69478392292i</v>
      </c>
      <c r="G23" s="337" t="str">
        <f t="shared" si="26"/>
        <v>0.005-1624.6251748538i</v>
      </c>
      <c r="H23" s="338" t="str">
        <f t="shared" si="27"/>
        <v>1.21666598151087-0.000911149823145506i</v>
      </c>
      <c r="I23" s="338" t="str">
        <f t="shared" si="28"/>
        <v>1.22666598151087-0.000911149823145506i</v>
      </c>
      <c r="J23" s="337" t="str">
        <f t="shared" si="29"/>
        <v>1.22666211165491-0.00235979723813909i</v>
      </c>
      <c r="K23" s="338" t="str">
        <f t="shared" si="1"/>
        <v>0.999999999929893-0.0000131522776442537i</v>
      </c>
      <c r="L23" s="732"/>
      <c r="M23" s="732" t="str">
        <f t="shared" si="2"/>
        <v>16.3043501419726+0.0308117583863096i</v>
      </c>
      <c r="N23" s="337">
        <f t="shared" si="3"/>
        <v>0</v>
      </c>
      <c r="O23" s="730" t="str">
        <f t="shared" si="4"/>
        <v>16.3043493952483+0.0115568226827275i</v>
      </c>
      <c r="P23" s="731" t="str">
        <f t="shared" si="5"/>
        <v>20.0000012838155-0.000679343828728348i</v>
      </c>
      <c r="Q23" s="729" t="str">
        <f t="shared" si="6"/>
        <v>19.836957789863-0.000794912055555632i</v>
      </c>
      <c r="R23" s="730"/>
      <c r="S23" s="405" t="str">
        <f t="shared" si="30"/>
        <v>22.5427154199671+0.0187594945323295i</v>
      </c>
      <c r="T23" s="405" t="str">
        <f t="shared" si="31"/>
        <v>22.5426862316164-0.0078627042600022i</v>
      </c>
      <c r="U23" s="405" t="str">
        <f t="shared" si="32"/>
        <v>27.4269123057797-0.0301060493689878i</v>
      </c>
      <c r="V23" s="731" t="str">
        <f t="shared" si="7"/>
        <v>6000</v>
      </c>
      <c r="W23" s="733" t="str">
        <f>IMSUM(COMPLEX(1,0),IMDIV(COMPLEX(0,2*PI()*D23),COMPLEX(2*PI()*'Stability Calculations'!EA_Pole1,0)))</f>
        <v>1+15.9405605048354i</v>
      </c>
      <c r="X23" s="734">
        <f t="shared" si="33"/>
        <v>15.97189623082739</v>
      </c>
      <c r="Y23" s="735">
        <f t="shared" si="34"/>
        <v>1.508145375679437</v>
      </c>
      <c r="Z23" s="340" t="str">
        <f>IMSUM(COMPLEX(1,0),IMDIV(COMPLEX(0,2*PI()*D23),COMPLEX(2*PI()*'Stability Calculations'!EA_Zero1,0)))</f>
        <v>1+0.157827331731044i</v>
      </c>
      <c r="AA23" s="734">
        <f t="shared" si="35"/>
        <v>1.0123781243395873</v>
      </c>
      <c r="AB23" s="735">
        <f t="shared" si="36"/>
        <v>0.15653611077191312</v>
      </c>
      <c r="AC23" s="733" t="str">
        <f>IMSUM(COMPLEX(1,0),IMDIV(COMPLEX(0,2*PI()*D23),COMPLEX(2*PI()*'Stability Calculations'!EA_Pole2,0)))</f>
        <v>1+0.00158986670192583i</v>
      </c>
      <c r="AD23" s="734">
        <f t="shared" si="37"/>
        <v>1.0000012638372664</v>
      </c>
      <c r="AE23" s="735">
        <f t="shared" si="38"/>
        <v>1.5898653623718242E-3</v>
      </c>
      <c r="AF23" s="732" t="str">
        <f t="shared" si="39"/>
        <v>82.1027384006904-371.341248414446i</v>
      </c>
      <c r="AG23" s="337">
        <f t="shared" si="40"/>
        <v>380.30932466466226</v>
      </c>
      <c r="AH23" s="730">
        <f t="shared" si="41"/>
        <v>-1.353199130269896</v>
      </c>
      <c r="AI23" s="731" t="str">
        <f t="shared" si="14"/>
        <v>10000</v>
      </c>
      <c r="AJ23" s="733" t="str">
        <f t="shared" si="42"/>
        <v>1+14.8609899903288i</v>
      </c>
      <c r="AK23" s="734">
        <f t="shared" si="43"/>
        <v>14.894597124214297</v>
      </c>
      <c r="AL23" s="735">
        <f t="shared" si="44"/>
        <v>1.5036073467047351</v>
      </c>
      <c r="AM23" s="340" t="str">
        <f t="shared" si="45"/>
        <v>1+0.0252208076106208i</v>
      </c>
      <c r="AN23" s="734">
        <f t="shared" si="46"/>
        <v>1.0003179940081715</v>
      </c>
      <c r="AO23" s="735">
        <f t="shared" si="47"/>
        <v>2.5215462090030522E-2</v>
      </c>
      <c r="AP23" s="733" t="str">
        <f t="shared" si="48"/>
        <v>1+0.00122325074134821i</v>
      </c>
      <c r="AQ23" s="734">
        <f t="shared" si="49"/>
        <v>1.0000007481709083</v>
      </c>
      <c r="AR23" s="735">
        <f t="shared" si="50"/>
        <v>1.223250131214784E-3</v>
      </c>
      <c r="AS23" s="732" t="str">
        <f t="shared" si="51"/>
        <v>19119.1328073401-4103.82953375178i</v>
      </c>
      <c r="AT23" s="337">
        <f t="shared" si="52"/>
        <v>19554.607031254855</v>
      </c>
      <c r="AU23" s="730">
        <f t="shared" si="53"/>
        <v>-0.21143698373639117</v>
      </c>
      <c r="AV23" s="732" t="str">
        <f t="shared" si="54"/>
        <v>974.252778036651-167642.61460258i</v>
      </c>
      <c r="AW23" s="337">
        <f t="shared" si="55"/>
        <v>104.48783518535765</v>
      </c>
      <c r="AX23" s="730">
        <f t="shared" si="56"/>
        <v>-89.667030103955994</v>
      </c>
      <c r="AY23" s="360">
        <f t="shared" si="57"/>
        <v>90.332969896044006</v>
      </c>
      <c r="BB23" s="337">
        <f t="shared" si="58"/>
        <v>45.82498185616199</v>
      </c>
      <c r="BC23" s="730">
        <f t="shared" si="59"/>
        <v>-12.114446801071441</v>
      </c>
      <c r="BD23" s="351"/>
      <c r="BE23" s="337">
        <f t="shared" si="19"/>
        <v>24.246085377873282</v>
      </c>
      <c r="BF23" s="730">
        <f t="shared" si="20"/>
        <v>0.10827672357221384</v>
      </c>
      <c r="BI23" s="351"/>
      <c r="BJ23" s="351"/>
      <c r="BL23" s="405">
        <f t="shared" si="21"/>
        <v>0</v>
      </c>
      <c r="BM23" s="405">
        <f t="shared" si="22"/>
        <v>0</v>
      </c>
      <c r="BN23" s="405">
        <f t="shared" si="23"/>
        <v>0</v>
      </c>
      <c r="BO23" s="405">
        <f t="shared" si="24"/>
        <v>0</v>
      </c>
    </row>
    <row r="24" spans="1:67" ht="13.5" thickBot="1" x14ac:dyDescent="0.25">
      <c r="B24" s="405">
        <f>20*LOG10(IMABS(P13))</f>
        <v>26.020600002439146</v>
      </c>
      <c r="D24" s="345">
        <v>2.7542</v>
      </c>
      <c r="E24" s="340" t="str">
        <f t="shared" si="0"/>
        <v>0.0000456855932888098i</v>
      </c>
      <c r="F24" s="728" t="str">
        <f t="shared" si="25"/>
        <v>0.005-947.315891270052i</v>
      </c>
      <c r="G24" s="337" t="str">
        <f t="shared" si="26"/>
        <v>0.005-1481.6992145506i</v>
      </c>
      <c r="H24" s="338" t="str">
        <f t="shared" si="27"/>
        <v>1.21666584295438-0.000999039992016802i</v>
      </c>
      <c r="I24" s="338" t="str">
        <f t="shared" si="28"/>
        <v>1.22666584295438-0.000999039992016802i</v>
      </c>
      <c r="J24" s="337" t="str">
        <f t="shared" si="29"/>
        <v>1.22666119051546-0.00258742332744693i</v>
      </c>
      <c r="K24" s="338" t="str">
        <f t="shared" si="1"/>
        <v>0.999999999915715-0.0000144209574775283i</v>
      </c>
      <c r="L24" s="732"/>
      <c r="M24" s="732" t="str">
        <f t="shared" si="2"/>
        <v>16.3043506103059+0.0337838871055701i</v>
      </c>
      <c r="N24" s="337">
        <f t="shared" si="3"/>
        <v>0</v>
      </c>
      <c r="O24" s="730" t="str">
        <f t="shared" si="4"/>
        <v>16.3043497125743+0.0126716037339332i</v>
      </c>
      <c r="P24" s="731" t="str">
        <f t="shared" si="5"/>
        <v>20.0000015434369-0.000744873930820608i</v>
      </c>
      <c r="Q24" s="729" t="str">
        <f t="shared" si="6"/>
        <v>19.8369580463111-0.000871589968159923i</v>
      </c>
      <c r="R24" s="730"/>
      <c r="S24" s="405" t="str">
        <f t="shared" si="30"/>
        <v>22.5427196511061+0.0205690462181639i</v>
      </c>
      <c r="T24" s="405" t="str">
        <f t="shared" si="31"/>
        <v>22.5426845601092-0.0086211453798929i</v>
      </c>
      <c r="U24" s="405" t="str">
        <f t="shared" si="32"/>
        <v>27.426905699911-0.0330100965138288i</v>
      </c>
      <c r="V24" s="731" t="str">
        <f t="shared" si="7"/>
        <v>6000</v>
      </c>
      <c r="W24" s="733" t="str">
        <f>IMSUM(COMPLEX(1,0),IMDIV(COMPLEX(0,2*PI()*D24),COMPLEX(2*PI()*'Stability Calculations'!EA_Pole1,0)))</f>
        <v>1+17.4782004627643i</v>
      </c>
      <c r="X24" s="734">
        <f t="shared" si="33"/>
        <v>17.50678415405223</v>
      </c>
      <c r="Y24" s="735">
        <f t="shared" si="34"/>
        <v>1.5136445056973888</v>
      </c>
      <c r="Z24" s="340" t="str">
        <f>IMSUM(COMPLEX(1,0),IMDIV(COMPLEX(0,2*PI()*D24),COMPLEX(2*PI()*'Stability Calculations'!EA_Zero1,0)))</f>
        <v>1+0.17305148973034i</v>
      </c>
      <c r="AA24" s="734">
        <f t="shared" si="35"/>
        <v>1.0148629553283979</v>
      </c>
      <c r="AB24" s="735">
        <f t="shared" si="36"/>
        <v>0.1713544326505233</v>
      </c>
      <c r="AC24" s="733" t="str">
        <f>IMSUM(COMPLEX(1,0),IMDIV(COMPLEX(0,2*PI()*D24),COMPLEX(2*PI()*'Stability Calculations'!EA_Pole2,0)))</f>
        <v>1+0.00174322658961109i</v>
      </c>
      <c r="AD24" s="734">
        <f t="shared" si="37"/>
        <v>1.0000015194183169</v>
      </c>
      <c r="AE24" s="735">
        <f t="shared" si="38"/>
        <v>1.7432248238193609E-3</v>
      </c>
      <c r="AF24" s="732" t="str">
        <f t="shared" si="39"/>
        <v>78.1979651131944-338.913254644123i</v>
      </c>
      <c r="AG24" s="337">
        <f t="shared" si="40"/>
        <v>347.81764751276859</v>
      </c>
      <c r="AH24" s="730">
        <f t="shared" si="41"/>
        <v>-1.3440332978706848</v>
      </c>
      <c r="AI24" s="731" t="str">
        <f t="shared" si="14"/>
        <v>10000</v>
      </c>
      <c r="AJ24" s="733" t="str">
        <f t="shared" si="42"/>
        <v>1+16.2944936627109i</v>
      </c>
      <c r="AK24" s="734">
        <f t="shared" si="43"/>
        <v>16.325150036802899</v>
      </c>
      <c r="AL24" s="735">
        <f t="shared" si="44"/>
        <v>1.5095027752987853</v>
      </c>
      <c r="AM24" s="340" t="str">
        <f t="shared" si="45"/>
        <v>1+0.0276536280589083i</v>
      </c>
      <c r="AN24" s="734">
        <f t="shared" si="46"/>
        <v>1.0003822885001616</v>
      </c>
      <c r="AO24" s="735">
        <f t="shared" si="47"/>
        <v>2.7646582168380902E-2</v>
      </c>
      <c r="AP24" s="733" t="str">
        <f t="shared" si="48"/>
        <v>1+0.00134124654318294i</v>
      </c>
      <c r="AQ24" s="734">
        <f t="shared" si="49"/>
        <v>1.0000008994707403</v>
      </c>
      <c r="AR24" s="735">
        <f t="shared" si="50"/>
        <v>1.3412457389087656E-3</v>
      </c>
      <c r="AS24" s="732" t="str">
        <f t="shared" si="51"/>
        <v>18950.3471906511-4459.96470465908i</v>
      </c>
      <c r="AT24" s="337">
        <f t="shared" si="52"/>
        <v>19468.100672973284</v>
      </c>
      <c r="AU24" s="730">
        <f t="shared" si="53"/>
        <v>-0.23114364202278012</v>
      </c>
      <c r="AV24" s="732" t="str">
        <f t="shared" si="54"/>
        <v>-727.050073402272-152642.663720459i</v>
      </c>
      <c r="AW24" s="337">
        <f t="shared" si="55"/>
        <v>103.67361725053144</v>
      </c>
      <c r="AX24" s="730">
        <f t="shared" si="56"/>
        <v>-90.27290263853132</v>
      </c>
      <c r="AY24" s="360">
        <f t="shared" si="57"/>
        <v>89.72709736146868</v>
      </c>
      <c r="BB24" s="337">
        <f t="shared" si="58"/>
        <v>45.786471667808812</v>
      </c>
      <c r="BC24" s="730">
        <f t="shared" si="59"/>
        <v>-13.24355514918804</v>
      </c>
      <c r="BD24" s="351"/>
      <c r="BE24" s="337">
        <f t="shared" si="19"/>
        <v>24.246088763878038</v>
      </c>
      <c r="BF24" s="730">
        <f t="shared" si="20"/>
        <v>0.11872115748063485</v>
      </c>
      <c r="BI24" s="351"/>
      <c r="BJ24" s="351"/>
      <c r="BL24" s="405">
        <f t="shared" si="21"/>
        <v>0</v>
      </c>
      <c r="BM24" s="405">
        <f t="shared" si="22"/>
        <v>0</v>
      </c>
      <c r="BN24" s="405">
        <f t="shared" si="23"/>
        <v>0</v>
      </c>
      <c r="BO24" s="405">
        <f t="shared" si="24"/>
        <v>0</v>
      </c>
    </row>
    <row r="25" spans="1:67" ht="13.5" thickBot="1" x14ac:dyDescent="0.25">
      <c r="B25" s="405">
        <f>20*LOG10(IMABS(Q13))</f>
        <v>25.949500918046763</v>
      </c>
      <c r="D25" s="345">
        <v>3.02</v>
      </c>
      <c r="E25" s="340" t="str">
        <f t="shared" si="0"/>
        <v>0.0000500945798170814i</v>
      </c>
      <c r="F25" s="728" t="str">
        <f t="shared" si="25"/>
        <v>0.005-863.939545607946i</v>
      </c>
      <c r="G25" s="337" t="str">
        <f t="shared" si="26"/>
        <v>0.005-1351.29005851499i</v>
      </c>
      <c r="H25" s="338" t="str">
        <f t="shared" si="27"/>
        <v>1.21666567629451-0.00109545434641907i</v>
      </c>
      <c r="I25" s="338" t="str">
        <f t="shared" si="28"/>
        <v>1.22666567629451-0.00109545434641907i</v>
      </c>
      <c r="J25" s="337" t="str">
        <f t="shared" si="29"/>
        <v>1.22666008254306-0.00283712561436291i</v>
      </c>
      <c r="K25" s="338" t="str">
        <f t="shared" si="1"/>
        <v>0.999999999898662-0.0000158126830230686i</v>
      </c>
      <c r="L25" s="732"/>
      <c r="M25" s="732" t="str">
        <f t="shared" si="2"/>
        <v>16.3043511736312+0.0370442744210264i</v>
      </c>
      <c r="N25" s="337">
        <f t="shared" si="3"/>
        <v>0</v>
      </c>
      <c r="O25" s="730" t="str">
        <f t="shared" si="4"/>
        <v>16.3043500942635+0.0138945043335295i</v>
      </c>
      <c r="P25" s="731" t="str">
        <f t="shared" si="5"/>
        <v>20.0000018557174-0.000816759621233177i</v>
      </c>
      <c r="Q25" s="729" t="str">
        <f t="shared" si="6"/>
        <v>19.8369583547748-0.000955704664568463i</v>
      </c>
      <c r="R25" s="730"/>
      <c r="S25" s="405" t="str">
        <f t="shared" si="30"/>
        <v>22.5427247404446+0.0225540996629554i</v>
      </c>
      <c r="T25" s="405" t="str">
        <f t="shared" si="31"/>
        <v>22.542682549571-0.0094531449518982i</v>
      </c>
      <c r="U25" s="405" t="str">
        <f t="shared" si="32"/>
        <v>27.4268977541776-0.0361957965748843i</v>
      </c>
      <c r="V25" s="731" t="str">
        <f t="shared" si="7"/>
        <v>6000</v>
      </c>
      <c r="W25" s="733" t="str">
        <f>IMSUM(COMPLEX(1,0),IMDIV(COMPLEX(0,2*PI()*D25),COMPLEX(2*PI()*'Stability Calculations'!EA_Pole1,0)))</f>
        <v>1+19.1649718239591i</v>
      </c>
      <c r="X25" s="734">
        <f t="shared" si="33"/>
        <v>19.191043353948899</v>
      </c>
      <c r="Y25" s="735">
        <f t="shared" si="34"/>
        <v>1.5186650763075349</v>
      </c>
      <c r="Z25" s="340" t="str">
        <f>IMSUM(COMPLEX(1,0),IMDIV(COMPLEX(0,2*PI()*D25),COMPLEX(2*PI()*'Stability Calculations'!EA_Zero1,0)))</f>
        <v>1+0.189752196276823i</v>
      </c>
      <c r="AA25" s="734">
        <f t="shared" si="35"/>
        <v>1.0178437483189047</v>
      </c>
      <c r="AB25" s="735">
        <f t="shared" si="36"/>
        <v>0.18752276595214182</v>
      </c>
      <c r="AC25" s="733" t="str">
        <f>IMSUM(COMPLEX(1,0),IMDIV(COMPLEX(0,2*PI()*D25),COMPLEX(2*PI()*'Stability Calculations'!EA_Pole2,0)))</f>
        <v>1+0.00191146042430669i</v>
      </c>
      <c r="AD25" s="734">
        <f t="shared" si="37"/>
        <v>1.0000018268388082</v>
      </c>
      <c r="AE25" s="735">
        <f t="shared" si="38"/>
        <v>1.911458096356278E-3</v>
      </c>
      <c r="AF25" s="732" t="str">
        <f t="shared" si="39"/>
        <v>74.9447155727754-309.273065037443i</v>
      </c>
      <c r="AG25" s="337">
        <f t="shared" si="40"/>
        <v>318.2240392395563</v>
      </c>
      <c r="AH25" s="730">
        <f t="shared" si="41"/>
        <v>-1.3330537684517503</v>
      </c>
      <c r="AI25" s="731" t="str">
        <f t="shared" si="14"/>
        <v>10000</v>
      </c>
      <c r="AJ25" s="733" t="str">
        <f t="shared" si="42"/>
        <v>1+17.8670288509865i</v>
      </c>
      <c r="AK25" s="734">
        <f t="shared" si="43"/>
        <v>17.894991477002272</v>
      </c>
      <c r="AL25" s="735">
        <f t="shared" si="44"/>
        <v>1.5148856440712897</v>
      </c>
      <c r="AM25" s="340" t="str">
        <f t="shared" si="45"/>
        <v>1+0.0303224009650363i</v>
      </c>
      <c r="AN25" s="734">
        <f t="shared" si="46"/>
        <v>1.0004596183756167</v>
      </c>
      <c r="AO25" s="735">
        <f t="shared" si="47"/>
        <v>3.0313112798179616E-2</v>
      </c>
      <c r="AP25" s="733" t="str">
        <f t="shared" si="48"/>
        <v>1+0.00147068642815063i</v>
      </c>
      <c r="AQ25" s="734">
        <f t="shared" si="49"/>
        <v>1.0000010814587001</v>
      </c>
      <c r="AR25" s="735">
        <f t="shared" si="50"/>
        <v>1.4706853678270108E-3</v>
      </c>
      <c r="AS25" s="732" t="str">
        <f t="shared" si="51"/>
        <v>18751.2333876918-4838.9992967708i</v>
      </c>
      <c r="AT25" s="337">
        <f t="shared" si="52"/>
        <v>19365.553639228496</v>
      </c>
      <c r="AU25" s="730">
        <f t="shared" si="53"/>
        <v>-0.2525528420662681</v>
      </c>
      <c r="AV25" s="732" t="str">
        <f t="shared" si="54"/>
        <v>-2115.63645084305-138905.092328856i</v>
      </c>
      <c r="AW25" s="337">
        <f t="shared" si="55"/>
        <v>102.85537069794066</v>
      </c>
      <c r="AX25" s="730">
        <f t="shared" si="56"/>
        <v>-90.872593406645663</v>
      </c>
      <c r="AY25" s="360">
        <f t="shared" si="57"/>
        <v>89.127406593354337</v>
      </c>
      <c r="BB25" s="337">
        <f t="shared" si="58"/>
        <v>45.74059834973135</v>
      </c>
      <c r="BC25" s="730">
        <f t="shared" si="59"/>
        <v>-14.4702119544312</v>
      </c>
      <c r="BD25" s="351"/>
      <c r="BE25" s="337">
        <f t="shared" si="19"/>
        <v>24.24609283666312</v>
      </c>
      <c r="BF25" s="730">
        <f t="shared" si="20"/>
        <v>0.13017855814265444</v>
      </c>
      <c r="BI25" s="351"/>
      <c r="BJ25" s="351"/>
      <c r="BL25" s="405">
        <f t="shared" si="21"/>
        <v>0</v>
      </c>
      <c r="BM25" s="405">
        <f t="shared" si="22"/>
        <v>0</v>
      </c>
      <c r="BN25" s="405">
        <f t="shared" si="23"/>
        <v>0</v>
      </c>
      <c r="BO25" s="405">
        <f t="shared" si="24"/>
        <v>0</v>
      </c>
    </row>
    <row r="26" spans="1:67" ht="13.5" thickBot="1" x14ac:dyDescent="0.25">
      <c r="B26" s="405">
        <f>20*LOG10(IMABS(M13))</f>
        <v>24.246071287870798</v>
      </c>
      <c r="D26" s="345">
        <v>3.3113000000000001</v>
      </c>
      <c r="E26" s="340" t="str">
        <f t="shared" si="0"/>
        <v>0.0000549265503802323i</v>
      </c>
      <c r="F26" s="728" t="str">
        <f t="shared" si="25"/>
        <v>0.005-787.937495163829i</v>
      </c>
      <c r="G26" s="337" t="str">
        <f t="shared" si="26"/>
        <v>0.005-1232.4150565383i</v>
      </c>
      <c r="H26" s="338" t="str">
        <f t="shared" si="27"/>
        <v>1.21666547602377-0.00120111833700487i</v>
      </c>
      <c r="I26" s="338" t="str">
        <f t="shared" si="28"/>
        <v>1.22666547602377-0.00120111833700487i</v>
      </c>
      <c r="J26" s="337" t="str">
        <f t="shared" si="29"/>
        <v>1.22665875112434-0.00311078272035948i</v>
      </c>
      <c r="K26" s="338" t="str">
        <f t="shared" si="1"/>
        <v>0.99999999987817-0.0000173379262563865i</v>
      </c>
      <c r="L26" s="732"/>
      <c r="M26" s="732" t="str">
        <f t="shared" si="2"/>
        <v>16.3043518505647+0.0406174530238284i</v>
      </c>
      <c r="N26" s="337">
        <f t="shared" si="3"/>
        <v>0</v>
      </c>
      <c r="O26" s="730" t="str">
        <f t="shared" si="4"/>
        <v>16.3043505529294+0.0152347261612997i</v>
      </c>
      <c r="P26" s="731" t="str">
        <f t="shared" si="5"/>
        <v>20.0000022309766-0.000895541803337044i</v>
      </c>
      <c r="Q26" s="729" t="str">
        <f t="shared" si="6"/>
        <v>19.8369587254473-0.0010478890649501i</v>
      </c>
      <c r="R26" s="730"/>
      <c r="S26" s="405" t="str">
        <f t="shared" si="30"/>
        <v>22.5427308561656+0.0247295906601975i</v>
      </c>
      <c r="T26" s="405" t="str">
        <f t="shared" si="31"/>
        <v>22.5426801335614-0.0103649630619564i</v>
      </c>
      <c r="U26" s="405" t="str">
        <f t="shared" si="32"/>
        <v>27.4268882060039-0.0396871191914009i</v>
      </c>
      <c r="V26" s="731" t="str">
        <f t="shared" si="7"/>
        <v>6000</v>
      </c>
      <c r="W26" s="733" t="str">
        <f>IMSUM(COMPLEX(1,0),IMDIV(COMPLEX(0,2*PI()*D26),COMPLEX(2*PI()*'Stability Calculations'!EA_Pole1,0)))</f>
        <v>1+21.0135666227404i</v>
      </c>
      <c r="X26" s="734">
        <f t="shared" si="33"/>
        <v>21.037347318717472</v>
      </c>
      <c r="Y26" s="735">
        <f t="shared" si="34"/>
        <v>1.5232438974630658</v>
      </c>
      <c r="Z26" s="340" t="str">
        <f>IMSUM(COMPLEX(1,0),IMDIV(COMPLEX(0,2*PI()*D26),COMPLEX(2*PI()*'Stability Calculations'!EA_Zero1,0)))</f>
        <v>1+0.208055115076638i</v>
      </c>
      <c r="AA26" s="734">
        <f t="shared" si="35"/>
        <v>1.0214141818623594</v>
      </c>
      <c r="AB26" s="735">
        <f t="shared" si="36"/>
        <v>0.20512872926494671</v>
      </c>
      <c r="AC26" s="733" t="str">
        <f>IMSUM(COMPLEX(1,0),IMDIV(COMPLEX(0,2*PI()*D26),COMPLEX(2*PI()*'Stability Calculations'!EA_Pole2,0)))</f>
        <v>1+0.0020958340738433i</v>
      </c>
      <c r="AD26" s="734">
        <f t="shared" si="37"/>
        <v>1.0000021962578207</v>
      </c>
      <c r="AE26" s="735">
        <f t="shared" si="38"/>
        <v>2.0958310051867003E-3</v>
      </c>
      <c r="AF26" s="732" t="str">
        <f t="shared" si="39"/>
        <v>72.2374123582692-282.215419286388i</v>
      </c>
      <c r="AG26" s="337">
        <f t="shared" si="40"/>
        <v>291.31389707188777</v>
      </c>
      <c r="AH26" s="730">
        <f t="shared" si="41"/>
        <v>-1.3202109992033058</v>
      </c>
      <c r="AI26" s="731" t="str">
        <f t="shared" si="14"/>
        <v>10000</v>
      </c>
      <c r="AJ26" s="733" t="str">
        <f t="shared" si="42"/>
        <v>1+19.5904280245933i</v>
      </c>
      <c r="AK26" s="734">
        <f t="shared" si="43"/>
        <v>19.615934089070816</v>
      </c>
      <c r="AL26" s="735">
        <f t="shared" si="44"/>
        <v>1.5197952556626502</v>
      </c>
      <c r="AM26" s="340" t="str">
        <f t="shared" si="45"/>
        <v>1+0.0332472073892467i</v>
      </c>
      <c r="AN26" s="734">
        <f t="shared" si="46"/>
        <v>1.0005525357517133</v>
      </c>
      <c r="AO26" s="735">
        <f t="shared" si="47"/>
        <v>3.3234965276947817E-2</v>
      </c>
      <c r="AP26" s="733" t="str">
        <f t="shared" si="48"/>
        <v>1+0.00161254436077325i</v>
      </c>
      <c r="AQ26" s="734">
        <f t="shared" si="49"/>
        <v>1.0000013001488126</v>
      </c>
      <c r="AR26" s="735">
        <f t="shared" si="50"/>
        <v>1.6125429630760983E-3</v>
      </c>
      <c r="AS26" s="732" t="str">
        <f t="shared" si="51"/>
        <v>18517.4296351836-5239.59849699348i</v>
      </c>
      <c r="AT26" s="337">
        <f t="shared" si="52"/>
        <v>19244.443164292181</v>
      </c>
      <c r="AU26" s="730">
        <f t="shared" si="53"/>
        <v>-0.27574672581793674</v>
      </c>
      <c r="AV26" s="732" t="str">
        <f t="shared" si="54"/>
        <v>-3237.60562259263-126336.716718736i</v>
      </c>
      <c r="AW26" s="337">
        <f t="shared" si="55"/>
        <v>102.03344294051251</v>
      </c>
      <c r="AX26" s="730">
        <f t="shared" si="56"/>
        <v>-91.467986112704693</v>
      </c>
      <c r="AY26" s="360">
        <f t="shared" si="57"/>
        <v>88.532013887295307</v>
      </c>
      <c r="BB26" s="337">
        <f t="shared" si="58"/>
        <v>45.686106987049335</v>
      </c>
      <c r="BC26" s="730">
        <f t="shared" si="59"/>
        <v>-15.799123603918868</v>
      </c>
      <c r="BD26" s="351"/>
      <c r="BE26" s="337">
        <f t="shared" si="19"/>
        <v>24.246097730817485</v>
      </c>
      <c r="BF26" s="730">
        <f t="shared" si="20"/>
        <v>0.1427351323065518</v>
      </c>
      <c r="BI26" s="351"/>
      <c r="BJ26" s="351"/>
      <c r="BL26" s="405">
        <f t="shared" si="21"/>
        <v>0</v>
      </c>
      <c r="BM26" s="405">
        <f t="shared" si="22"/>
        <v>0</v>
      </c>
      <c r="BN26" s="405">
        <f t="shared" si="23"/>
        <v>0</v>
      </c>
      <c r="BO26" s="405">
        <f t="shared" si="24"/>
        <v>0</v>
      </c>
    </row>
    <row r="27" spans="1:67" ht="13.5" thickBot="1" x14ac:dyDescent="0.25">
      <c r="A27" s="405" t="s">
        <v>1230</v>
      </c>
      <c r="B27" s="628">
        <v>4.0000000000000002E-4</v>
      </c>
      <c r="D27" s="345">
        <v>3.6307999999999998</v>
      </c>
      <c r="E27" s="340" t="str">
        <f t="shared" si="0"/>
        <v>0.0000602262915231322i</v>
      </c>
      <c r="F27" s="728" t="str">
        <f t="shared" si="25"/>
        <v>0.005-718.601252543787i</v>
      </c>
      <c r="G27" s="337" t="str">
        <f t="shared" si="26"/>
        <v>0.005-1123.96606167105i</v>
      </c>
      <c r="H27" s="338" t="str">
        <f t="shared" si="27"/>
        <v>1.21666523517431-0.00131701132218396i</v>
      </c>
      <c r="I27" s="338" t="str">
        <f t="shared" si="28"/>
        <v>1.22666523517431-0.00131701132218396i</v>
      </c>
      <c r="J27" s="337" t="str">
        <f t="shared" si="29"/>
        <v>1.22665714993769-0.0034109307849172i</v>
      </c>
      <c r="K27" s="338" t="str">
        <f t="shared" si="1"/>
        <v>0.999999999853526-0.000019010824344423i</v>
      </c>
      <c r="L27" s="732"/>
      <c r="M27" s="732" t="str">
        <f t="shared" si="2"/>
        <v>16.3043526646581+0.044536542046917i</v>
      </c>
      <c r="N27" s="337">
        <f t="shared" si="3"/>
        <v>0</v>
      </c>
      <c r="O27" s="730" t="str">
        <f t="shared" si="4"/>
        <v>16.30435110453+0.0167046914849094i</v>
      </c>
      <c r="P27" s="731" t="str">
        <f t="shared" si="5"/>
        <v>20.0000026822708-0.000981950696677618i</v>
      </c>
      <c r="Q27" s="729" t="str">
        <f t="shared" si="6"/>
        <v>19.8369591712255-0.00114899761152679i</v>
      </c>
      <c r="R27" s="730"/>
      <c r="S27" s="405" t="str">
        <f t="shared" si="30"/>
        <v>22.5427382110469+0.027115682532377i</v>
      </c>
      <c r="T27" s="405" t="str">
        <f t="shared" si="31"/>
        <v>22.5426772280226-0.0113650508265873i</v>
      </c>
      <c r="U27" s="405" t="str">
        <f t="shared" si="32"/>
        <v>27.4268767231903-0.0435164233783423i</v>
      </c>
      <c r="V27" s="731" t="str">
        <f t="shared" si="7"/>
        <v>6000</v>
      </c>
      <c r="W27" s="733" t="str">
        <f>IMSUM(COMPLEX(1,0),IMDIV(COMPLEX(0,2*PI()*D27),COMPLEX(2*PI()*'Stability Calculations'!EA_Pole1,0)))</f>
        <v>1+23.0411191054407i</v>
      </c>
      <c r="X27" s="734">
        <f t="shared" si="33"/>
        <v>23.062809231121534</v>
      </c>
      <c r="Y27" s="735">
        <f t="shared" si="34"/>
        <v>1.5274228764270381</v>
      </c>
      <c r="Z27" s="340" t="str">
        <f>IMSUM(COMPLEX(1,0),IMDIV(COMPLEX(0,2*PI()*D27),COMPLEX(2*PI()*'Stability Calculations'!EA_Zero1,0)))</f>
        <v>1+0.228129892133076i</v>
      </c>
      <c r="AA27" s="734">
        <f t="shared" si="35"/>
        <v>1.0256915948201237</v>
      </c>
      <c r="AB27" s="735">
        <f t="shared" si="36"/>
        <v>0.22429151442927597</v>
      </c>
      <c r="AC27" s="733" t="str">
        <f>IMSUM(COMPLEX(1,0),IMDIV(COMPLEX(0,2*PI()*D27),COMPLEX(2*PI()*'Stability Calculations'!EA_Pole2,0)))</f>
        <v>1+0.0022980564597923i</v>
      </c>
      <c r="AD27" s="734">
        <f t="shared" si="37"/>
        <v>1.00000264052826</v>
      </c>
      <c r="AE27" s="735">
        <f t="shared" si="38"/>
        <v>2.2980524144110936E-3</v>
      </c>
      <c r="AF27" s="732" t="str">
        <f t="shared" si="39"/>
        <v>69.9829597734714-257.501853207902i</v>
      </c>
      <c r="AG27" s="337">
        <f t="shared" si="40"/>
        <v>266.84231123298127</v>
      </c>
      <c r="AH27" s="730">
        <f t="shared" si="41"/>
        <v>-1.305429414412173</v>
      </c>
      <c r="AI27" s="731" t="str">
        <f t="shared" si="14"/>
        <v>10000</v>
      </c>
      <c r="AJ27" s="733" t="str">
        <f t="shared" si="42"/>
        <v>1+21.4806650172721i</v>
      </c>
      <c r="AK27" s="734">
        <f t="shared" si="43"/>
        <v>21.503929166183962</v>
      </c>
      <c r="AL27" s="735">
        <f t="shared" si="44"/>
        <v>1.5242764202712118</v>
      </c>
      <c r="AM27" s="340" t="str">
        <f t="shared" si="45"/>
        <v>1+0.0364551567628655i</v>
      </c>
      <c r="AN27" s="734">
        <f t="shared" si="46"/>
        <v>1.0006642686009155</v>
      </c>
      <c r="AO27" s="735">
        <f t="shared" si="47"/>
        <v>3.6439020255322689E-2</v>
      </c>
      <c r="AP27" s="733" t="str">
        <f t="shared" si="48"/>
        <v>1+0.0017681351931554i</v>
      </c>
      <c r="AQ27" s="734">
        <f t="shared" si="49"/>
        <v>1.0000015631498089</v>
      </c>
      <c r="AR27" s="735">
        <f t="shared" si="50"/>
        <v>1.7681333505839567E-3</v>
      </c>
      <c r="AS27" s="732" t="str">
        <f t="shared" si="51"/>
        <v>18243.8607271888-5660.27917250684i</v>
      </c>
      <c r="AT27" s="337">
        <f t="shared" si="52"/>
        <v>19101.759461991362</v>
      </c>
      <c r="AU27" s="730">
        <f t="shared" si="53"/>
        <v>-0.30083980439872537</v>
      </c>
      <c r="AV27" s="732" t="str">
        <f t="shared" si="54"/>
        <v>-4133.00052044829-114829.239537999i</v>
      </c>
      <c r="AW27" s="337">
        <f t="shared" si="55"/>
        <v>101.20667226924763</v>
      </c>
      <c r="AX27" s="730">
        <f t="shared" si="56"/>
        <v>-92.061333071359115</v>
      </c>
      <c r="AY27" s="360">
        <f t="shared" si="57"/>
        <v>87.938666928640885</v>
      </c>
      <c r="BB27" s="337">
        <f t="shared" si="58"/>
        <v>45.621467438610217</v>
      </c>
      <c r="BC27" s="730">
        <f t="shared" si="59"/>
        <v>-17.236851101588183</v>
      </c>
      <c r="BD27" s="351"/>
      <c r="BE27" s="337">
        <f t="shared" si="19"/>
        <v>24.246103616617475</v>
      </c>
      <c r="BF27" s="730">
        <f t="shared" si="20"/>
        <v>0.15650725909019333</v>
      </c>
      <c r="BI27" s="351"/>
      <c r="BJ27" s="351"/>
      <c r="BL27" s="405">
        <f t="shared" si="21"/>
        <v>0</v>
      </c>
      <c r="BM27" s="405">
        <f t="shared" si="22"/>
        <v>0</v>
      </c>
      <c r="BN27" s="405">
        <f t="shared" si="23"/>
        <v>0</v>
      </c>
      <c r="BO27" s="405">
        <f t="shared" si="24"/>
        <v>0</v>
      </c>
    </row>
    <row r="28" spans="1:67" ht="13.5" thickBot="1" x14ac:dyDescent="0.25">
      <c r="A28" s="405" t="s">
        <v>1231</v>
      </c>
      <c r="B28" s="628">
        <v>25000</v>
      </c>
      <c r="D28" s="345">
        <v>3.9811000000000001</v>
      </c>
      <c r="E28" s="340" t="str">
        <f t="shared" si="0"/>
        <v>0.0000660369310297294i</v>
      </c>
      <c r="F28" s="728" t="str">
        <f t="shared" si="25"/>
        <v>0.005-655.370984837355i</v>
      </c>
      <c r="G28" s="337" t="str">
        <f t="shared" si="26"/>
        <v>0.005-1025.06743782253i</v>
      </c>
      <c r="H28" s="338" t="str">
        <f t="shared" si="27"/>
        <v>1.2166649456287-0.00144407638036723i</v>
      </c>
      <c r="I28" s="338" t="str">
        <f t="shared" si="28"/>
        <v>1.2266649456287-0.00144407638036723i</v>
      </c>
      <c r="J28" s="337" t="str">
        <f t="shared" si="29"/>
        <v>1.22665522501985-0.00374001188903441i</v>
      </c>
      <c r="K28" s="338" t="str">
        <f t="shared" si="1"/>
        <v>0.999999999823898-0.0000208449908553439i</v>
      </c>
      <c r="L28" s="732"/>
      <c r="M28" s="732" t="str">
        <f t="shared" si="2"/>
        <v>16.3043536433497+0.0488334340165956i</v>
      </c>
      <c r="N28" s="337">
        <f t="shared" si="3"/>
        <v>0</v>
      </c>
      <c r="O28" s="730" t="str">
        <f t="shared" si="4"/>
        <v>16.3043517676565+0.0183163624980951i</v>
      </c>
      <c r="P28" s="731" t="str">
        <f t="shared" si="5"/>
        <v>20.0000032248101-0.00107668947703021i</v>
      </c>
      <c r="Q28" s="729" t="str">
        <f t="shared" si="6"/>
        <v>19.8369597071336-0.00125985310201116i</v>
      </c>
      <c r="R28" s="730"/>
      <c r="S28" s="405" t="str">
        <f t="shared" si="30"/>
        <v>22.5427470529706+0.0297317914832938i</v>
      </c>
      <c r="T28" s="405" t="str">
        <f t="shared" si="31"/>
        <v>22.5426737350293-0.0124615462280996i</v>
      </c>
      <c r="U28" s="405" t="str">
        <f t="shared" si="32"/>
        <v>27.4268629187306-0.0477148691551415i</v>
      </c>
      <c r="V28" s="731" t="str">
        <f t="shared" si="7"/>
        <v>6000</v>
      </c>
      <c r="W28" s="733" t="str">
        <f>IMSUM(COMPLEX(1,0),IMDIV(COMPLEX(0,2*PI()*D28),COMPLEX(2*PI()*'Stability Calculations'!EA_Pole1,0)))</f>
        <v>1+25.2641289166768i</v>
      </c>
      <c r="X28" s="734">
        <f t="shared" si="33"/>
        <v>25.283912077019743</v>
      </c>
      <c r="Y28" s="735">
        <f t="shared" si="34"/>
        <v>1.5312351666328359</v>
      </c>
      <c r="Z28" s="340" t="str">
        <f>IMSUM(COMPLEX(1,0),IMDIV(COMPLEX(0,2*PI()*D28),COMPLEX(2*PI()*'Stability Calculations'!EA_Zero1,0)))</f>
        <v>1+0.250139890264127i</v>
      </c>
      <c r="AA28" s="734">
        <f t="shared" si="35"/>
        <v>1.0308103437108833</v>
      </c>
      <c r="AB28" s="735">
        <f t="shared" si="36"/>
        <v>0.24511032021762408</v>
      </c>
      <c r="AC28" s="733" t="str">
        <f>IMSUM(COMPLEX(1,0),IMDIV(COMPLEX(0,2*PI()*D28),COMPLEX(2*PI()*'Stability Calculations'!EA_Pole2,0)))</f>
        <v>1+0.00251977321033358i</v>
      </c>
      <c r="AD28" s="734">
        <f t="shared" si="37"/>
        <v>1.0000031746234765</v>
      </c>
      <c r="AE28" s="735">
        <f t="shared" si="38"/>
        <v>2.5197678774579713E-3</v>
      </c>
      <c r="AF28" s="732" t="str">
        <f t="shared" si="39"/>
        <v>68.106624361989-234.943268800937i</v>
      </c>
      <c r="AG28" s="337">
        <f t="shared" si="40"/>
        <v>244.61572279159489</v>
      </c>
      <c r="AH28" s="730">
        <f t="shared" si="41"/>
        <v>-1.28864461429267</v>
      </c>
      <c r="AI28" s="731" t="str">
        <f t="shared" si="14"/>
        <v>10000</v>
      </c>
      <c r="AJ28" s="733" t="str">
        <f t="shared" si="42"/>
        <v>1+23.5531220392922i</v>
      </c>
      <c r="AK28" s="734">
        <f t="shared" si="43"/>
        <v>23.574341089366463</v>
      </c>
      <c r="AL28" s="735">
        <f t="shared" si="44"/>
        <v>1.5283645941507407</v>
      </c>
      <c r="AM28" s="340" t="str">
        <f t="shared" si="45"/>
        <v>1+0.0399723544642075i</v>
      </c>
      <c r="AN28" s="734">
        <f t="shared" si="46"/>
        <v>1.0007985756991324</v>
      </c>
      <c r="AO28" s="735">
        <f t="shared" si="47"/>
        <v>3.9951085719228834E-2</v>
      </c>
      <c r="AP28" s="733" t="str">
        <f t="shared" si="48"/>
        <v>1+0.00193872507917567i</v>
      </c>
      <c r="AQ28" s="734">
        <f t="shared" si="49"/>
        <v>1.0000018793257004</v>
      </c>
      <c r="AR28" s="735">
        <f t="shared" si="50"/>
        <v>1.9387226501816205E-3</v>
      </c>
      <c r="AS28" s="732" t="str">
        <f t="shared" si="51"/>
        <v>17925.4932958574-6098.0780593003i</v>
      </c>
      <c r="AT28" s="337">
        <f t="shared" si="52"/>
        <v>18934.356760057846</v>
      </c>
      <c r="AU28" s="730">
        <f t="shared" si="53"/>
        <v>-0.32790903360629586</v>
      </c>
      <c r="AV28" s="732" t="str">
        <f t="shared" si="54"/>
        <v>-4833.49272488796-104297.656271252i</v>
      </c>
      <c r="AW28" s="337">
        <f t="shared" si="55"/>
        <v>100.37480831379412</v>
      </c>
      <c r="AX28" s="730">
        <f t="shared" si="56"/>
        <v>-92.653374373419894</v>
      </c>
      <c r="AY28" s="360">
        <f t="shared" si="57"/>
        <v>87.346625626580106</v>
      </c>
      <c r="BB28" s="337">
        <f t="shared" si="58"/>
        <v>45.545011116200513</v>
      </c>
      <c r="BC28" s="730">
        <f t="shared" si="59"/>
        <v>-18.787803689854229</v>
      </c>
      <c r="BD28" s="351"/>
      <c r="BE28" s="337">
        <f t="shared" si="19"/>
        <v>24.246110692431131</v>
      </c>
      <c r="BF28" s="730">
        <f t="shared" si="20"/>
        <v>0.17160700528142006</v>
      </c>
      <c r="BI28" s="351"/>
      <c r="BJ28" s="351"/>
      <c r="BL28" s="405">
        <f t="shared" si="21"/>
        <v>0</v>
      </c>
      <c r="BM28" s="405">
        <f t="shared" si="22"/>
        <v>0</v>
      </c>
      <c r="BN28" s="405">
        <f t="shared" si="23"/>
        <v>0</v>
      </c>
      <c r="BO28" s="405">
        <f t="shared" si="24"/>
        <v>0</v>
      </c>
    </row>
    <row r="29" spans="1:67" ht="13.5" thickBot="1" x14ac:dyDescent="0.25">
      <c r="A29" s="405" t="s">
        <v>1229</v>
      </c>
      <c r="B29" s="628">
        <f>Rs * B27 *B28</f>
        <v>2.5000000000000005E-2</v>
      </c>
      <c r="D29" s="345">
        <v>4.3651999999999997</v>
      </c>
      <c r="E29" s="340" t="str">
        <f t="shared" si="0"/>
        <v>0.0000724082317276569i</v>
      </c>
      <c r="F29" s="728" t="str">
        <f t="shared" si="25"/>
        <v>0.005-597.703983262162i</v>
      </c>
      <c r="G29" s="337" t="str">
        <f t="shared" si="26"/>
        <v>0.005-934.870332794666i</v>
      </c>
      <c r="H29" s="338" t="str">
        <f t="shared" si="27"/>
        <v>1.21666459751443-0.00158340167404648i</v>
      </c>
      <c r="I29" s="338" t="str">
        <f t="shared" si="28"/>
        <v>1.22666459751443-0.00158340167404648i</v>
      </c>
      <c r="J29" s="337" t="str">
        <f t="shared" si="29"/>
        <v>1.22665291074053-0.00410084373477097i</v>
      </c>
      <c r="K29" s="338" t="str">
        <f t="shared" si="1"/>
        <v>0.999999999788278-0.0000228561337524169i</v>
      </c>
      <c r="L29" s="732"/>
      <c r="M29" s="732" t="str">
        <f t="shared" si="2"/>
        <v>16.3043548200094+0.0535449280200131i</v>
      </c>
      <c r="N29" s="337">
        <f t="shared" si="3"/>
        <v>0</v>
      </c>
      <c r="O29" s="730" t="str">
        <f t="shared" si="4"/>
        <v>16.3043525649192+0.0200835417386943i</v>
      </c>
      <c r="P29" s="731" t="str">
        <f t="shared" si="5"/>
        <v>20.0000038770936-0.00118056950197725i</v>
      </c>
      <c r="Q29" s="729" t="str">
        <f t="shared" si="6"/>
        <v>19.8369603514444-0.00138140491936422i</v>
      </c>
      <c r="R29" s="730"/>
      <c r="S29" s="405" t="str">
        <f t="shared" si="30"/>
        <v>22.5427576834137+0.0326003206088578i</v>
      </c>
      <c r="T29" s="405" t="str">
        <f t="shared" si="31"/>
        <v>22.5426695354832-0.0136638391607289i</v>
      </c>
      <c r="U29" s="405" t="str">
        <f t="shared" si="32"/>
        <v>27.4268463219437-0.0523184100529507i</v>
      </c>
      <c r="V29" s="731" t="str">
        <f t="shared" si="7"/>
        <v>6000</v>
      </c>
      <c r="W29" s="733" t="str">
        <f>IMSUM(COMPLEX(1,0),IMDIV(COMPLEX(0,2*PI()*D29),COMPLEX(2*PI()*'Stability Calculations'!EA_Pole1,0)))</f>
        <v>1+27.7016341079293i</v>
      </c>
      <c r="X29" s="734">
        <f t="shared" si="33"/>
        <v>27.719677708256135</v>
      </c>
      <c r="Y29" s="735">
        <f t="shared" si="34"/>
        <v>1.5347130416978869</v>
      </c>
      <c r="Z29" s="340" t="str">
        <f>IMSUM(COMPLEX(1,0),IMDIV(COMPLEX(0,2*PI()*D29),COMPLEX(2*PI()*'Stability Calculations'!EA_Zero1,0)))</f>
        <v>1+0.274273605029003i</v>
      </c>
      <c r="AA29" s="734">
        <f t="shared" si="35"/>
        <v>1.0369310538389742</v>
      </c>
      <c r="AB29" s="735">
        <f t="shared" si="36"/>
        <v>0.26769076194620528</v>
      </c>
      <c r="AC29" s="733" t="str">
        <f>IMSUM(COMPLEX(1,0),IMDIV(COMPLEX(0,2*PI()*D29),COMPLEX(2*PI()*'Stability Calculations'!EA_Pole2,0)))</f>
        <v>1+0.00276288312721311i</v>
      </c>
      <c r="AD29" s="734">
        <f t="shared" si="37"/>
        <v>1.0000038167543035</v>
      </c>
      <c r="AE29" s="735">
        <f t="shared" si="38"/>
        <v>2.7628760970678486E-3</v>
      </c>
      <c r="AF29" s="732" t="str">
        <f t="shared" si="39"/>
        <v>66.5450233314294-214.353992025536i</v>
      </c>
      <c r="AG29" s="337">
        <f t="shared" si="40"/>
        <v>224.44570396303877</v>
      </c>
      <c r="AH29" s="730">
        <f t="shared" si="41"/>
        <v>-1.269785155848749</v>
      </c>
      <c r="AI29" s="731" t="str">
        <f t="shared" si="14"/>
        <v>10000</v>
      </c>
      <c r="AJ29" s="733" t="str">
        <f t="shared" si="42"/>
        <v>1+25.82554779481i</v>
      </c>
      <c r="AK29" s="734">
        <f t="shared" si="43"/>
        <v>25.844901216720015</v>
      </c>
      <c r="AL29" s="735">
        <f t="shared" si="44"/>
        <v>1.5320943145022952</v>
      </c>
      <c r="AM29" s="340" t="str">
        <f t="shared" si="45"/>
        <v>1+0.0438289220836347i</v>
      </c>
      <c r="AN29" s="734">
        <f t="shared" si="46"/>
        <v>1.0009600263801814</v>
      </c>
      <c r="AO29" s="735">
        <f t="shared" si="47"/>
        <v>4.3800889640383756E-2</v>
      </c>
      <c r="AP29" s="733" t="str">
        <f t="shared" si="48"/>
        <v>1+0.00212577496561694i</v>
      </c>
      <c r="AQ29" s="734">
        <f t="shared" si="49"/>
        <v>1.0000022594570497</v>
      </c>
      <c r="AR29" s="735">
        <f t="shared" si="50"/>
        <v>2.125771763557183E-3</v>
      </c>
      <c r="AS29" s="732" t="str">
        <f t="shared" si="51"/>
        <v>17557.1348626931-6549.02379496887i</v>
      </c>
      <c r="AT29" s="337">
        <f t="shared" si="52"/>
        <v>18738.801916180819</v>
      </c>
      <c r="AU29" s="730">
        <f t="shared" si="53"/>
        <v>-0.35702671831951865</v>
      </c>
      <c r="AV29" s="732" t="str">
        <f t="shared" si="54"/>
        <v>-5365.48772406132-94659.0174680688i</v>
      </c>
      <c r="AW29" s="337">
        <f t="shared" si="55"/>
        <v>99.537170836896649</v>
      </c>
      <c r="AX29" s="730">
        <f t="shared" si="56"/>
        <v>-93.244183267499835</v>
      </c>
      <c r="AY29" s="360">
        <f t="shared" si="57"/>
        <v>86.755816732500165</v>
      </c>
      <c r="BB29" s="337">
        <f t="shared" si="58"/>
        <v>45.454836407849697</v>
      </c>
      <c r="BC29" s="730">
        <f t="shared" si="59"/>
        <v>-20.456124133114489</v>
      </c>
      <c r="BD29" s="351"/>
      <c r="BE29" s="337">
        <f t="shared" si="19"/>
        <v>24.246119199515466</v>
      </c>
      <c r="BF29" s="730">
        <f t="shared" si="20"/>
        <v>0.18816367740317799</v>
      </c>
      <c r="BI29" s="351"/>
      <c r="BJ29" s="351"/>
      <c r="BL29" s="405">
        <f t="shared" si="21"/>
        <v>0</v>
      </c>
      <c r="BM29" s="405">
        <f t="shared" si="22"/>
        <v>0</v>
      </c>
      <c r="BN29" s="405">
        <f t="shared" si="23"/>
        <v>0</v>
      </c>
      <c r="BO29" s="405">
        <f t="shared" si="24"/>
        <v>0</v>
      </c>
    </row>
    <row r="30" spans="1:67" ht="13.5" thickBot="1" x14ac:dyDescent="0.25">
      <c r="A30" s="405" t="s">
        <v>1227</v>
      </c>
      <c r="B30" s="405">
        <f>IF(Vin&gt;=Vout,MAX(Vout,Vin/2),MAX(Vout-Vin,5))</f>
        <v>14.6</v>
      </c>
      <c r="D30" s="345">
        <v>4.7862999999999998</v>
      </c>
      <c r="E30" s="340" t="str">
        <f t="shared" si="0"/>
        <v>0.0000793932739663896i</v>
      </c>
      <c r="F30" s="728" t="str">
        <f t="shared" si="25"/>
        <v>0.005-545.117821226416i</v>
      </c>
      <c r="G30" s="337" t="str">
        <f t="shared" si="26"/>
        <v>0.005-852.62018191824i</v>
      </c>
      <c r="H30" s="338" t="str">
        <f t="shared" si="27"/>
        <v>1.21666417904784-0.00173614790047127i</v>
      </c>
      <c r="I30" s="338" t="str">
        <f t="shared" si="28"/>
        <v>1.22666417904784-0.00173614790047127i</v>
      </c>
      <c r="J30" s="337" t="str">
        <f t="shared" si="29"/>
        <v>1.22665012876572-0.00449643171044501i</v>
      </c>
      <c r="K30" s="338" t="str">
        <f t="shared" si="1"/>
        <v>0.999999999745459-0.0000250610081964614i</v>
      </c>
      <c r="L30" s="732"/>
      <c r="M30" s="732" t="str">
        <f t="shared" si="2"/>
        <v>16.304356234468+0.0587102764519739i</v>
      </c>
      <c r="N30" s="337">
        <f t="shared" si="3"/>
        <v>0</v>
      </c>
      <c r="O30" s="730" t="str">
        <f t="shared" si="4"/>
        <v>16.3043535233057+0.0220209519264084i</v>
      </c>
      <c r="P30" s="731" t="str">
        <f t="shared" si="5"/>
        <v>20.0000046612011-0.00129445622136875i</v>
      </c>
      <c r="Q30" s="729" t="str">
        <f t="shared" si="6"/>
        <v>19.8369611259681-0.00151466574063281i</v>
      </c>
      <c r="R30" s="730"/>
      <c r="S30" s="405" t="str">
        <f t="shared" si="30"/>
        <v>22.5427704622125+0.0357451661301125i</v>
      </c>
      <c r="T30" s="405" t="str">
        <f t="shared" si="31"/>
        <v>22.5426644872312-0.0149819453479524i</v>
      </c>
      <c r="U30" s="405" t="str">
        <f t="shared" si="32"/>
        <v>27.4268263710352-0.057365395857841i</v>
      </c>
      <c r="V30" s="731" t="str">
        <f t="shared" si="7"/>
        <v>6000</v>
      </c>
      <c r="W30" s="733" t="str">
        <f>IMSUM(COMPLEX(1,0),IMDIV(COMPLEX(0,2*PI()*D30),COMPLEX(2*PI()*'Stability Calculations'!EA_Pole1,0)))</f>
        <v>1+30.3739419341112i</v>
      </c>
      <c r="X30" s="734">
        <f t="shared" si="33"/>
        <v>30.390398954550744</v>
      </c>
      <c r="Y30" s="735">
        <f t="shared" si="34"/>
        <v>1.5378852568415875</v>
      </c>
      <c r="Z30" s="340" t="str">
        <f>IMSUM(COMPLEX(1,0),IMDIV(COMPLEX(0,2*PI()*D30),COMPLEX(2*PI()*'Stability Calculations'!EA_Zero1,0)))</f>
        <v>1+0.300732098357537i</v>
      </c>
      <c r="AA30" s="734">
        <f t="shared" si="35"/>
        <v>1.0442412532468381</v>
      </c>
      <c r="AB30" s="735">
        <f t="shared" si="36"/>
        <v>0.29212830893943093</v>
      </c>
      <c r="AC30" s="733" t="str">
        <f>IMSUM(COMPLEX(1,0),IMDIV(COMPLEX(0,2*PI()*D30),COMPLEX(2*PI()*'Stability Calculations'!EA_Pole2,0)))</f>
        <v>1+0.00302941159895999i</v>
      </c>
      <c r="AD30" s="734">
        <f t="shared" si="37"/>
        <v>1.0000045886567901</v>
      </c>
      <c r="AE30" s="735">
        <f t="shared" si="38"/>
        <v>3.0294023317030214E-3</v>
      </c>
      <c r="AF30" s="732" t="str">
        <f t="shared" si="39"/>
        <v>65.245648662816-195.56781593897i</v>
      </c>
      <c r="AG30" s="337">
        <f t="shared" si="40"/>
        <v>206.16441327389768</v>
      </c>
      <c r="AH30" s="730">
        <f t="shared" si="41"/>
        <v>-1.2487863502338599</v>
      </c>
      <c r="AI30" s="731" t="str">
        <f t="shared" si="14"/>
        <v>10000</v>
      </c>
      <c r="AJ30" s="733" t="str">
        <f t="shared" si="42"/>
        <v>1+28.3168742349261i</v>
      </c>
      <c r="AK30" s="734">
        <f t="shared" si="43"/>
        <v>28.334526049267556</v>
      </c>
      <c r="AL30" s="735">
        <f t="shared" si="44"/>
        <v>1.5354963641385908</v>
      </c>
      <c r="AM30" s="340" t="str">
        <f t="shared" si="45"/>
        <v>1+0.0480569893175344i</v>
      </c>
      <c r="AN30" s="734">
        <f t="shared" si="46"/>
        <v>1.001154071170999</v>
      </c>
      <c r="AO30" s="735">
        <f t="shared" si="47"/>
        <v>4.8020045037812584E-2</v>
      </c>
      <c r="AP30" s="733" t="str">
        <f t="shared" si="48"/>
        <v>1+0.00233084319571437i</v>
      </c>
      <c r="AQ30" s="734">
        <f t="shared" si="49"/>
        <v>1.0000027164113121</v>
      </c>
      <c r="AR30" s="735">
        <f t="shared" si="50"/>
        <v>2.3308389747031806E-3</v>
      </c>
      <c r="AS30" s="732" t="str">
        <f t="shared" si="51"/>
        <v>17133.8871397727-7007.68537228847i</v>
      </c>
      <c r="AT30" s="337">
        <f t="shared" si="52"/>
        <v>18511.55700624489</v>
      </c>
      <c r="AU30" s="730">
        <f t="shared" si="53"/>
        <v>-0.38823711619708295</v>
      </c>
      <c r="AV30" s="732" t="str">
        <f t="shared" si="54"/>
        <v>-5750.56592592438-85839.9868487056i</v>
      </c>
      <c r="AW30" s="337">
        <f t="shared" si="55"/>
        <v>98.693239887412133</v>
      </c>
      <c r="AX30" s="730">
        <f t="shared" si="56"/>
        <v>-93.832614589922713</v>
      </c>
      <c r="AY30" s="360">
        <f t="shared" si="57"/>
        <v>86.167385410077287</v>
      </c>
      <c r="BB30" s="337">
        <f t="shared" si="58"/>
        <v>45.348858975578999</v>
      </c>
      <c r="BC30" s="730">
        <f t="shared" si="59"/>
        <v>-22.244348208422988</v>
      </c>
      <c r="BD30" s="351"/>
      <c r="BE30" s="337">
        <f t="shared" si="19"/>
        <v>24.246129425828848</v>
      </c>
      <c r="BF30" s="730">
        <f t="shared" si="20"/>
        <v>0.20631519990236968</v>
      </c>
      <c r="BI30" s="351"/>
      <c r="BJ30" s="351"/>
      <c r="BL30" s="405">
        <f t="shared" si="21"/>
        <v>0</v>
      </c>
      <c r="BM30" s="405">
        <f t="shared" si="22"/>
        <v>0</v>
      </c>
      <c r="BN30" s="405">
        <f t="shared" si="23"/>
        <v>0</v>
      </c>
      <c r="BO30" s="405">
        <f t="shared" si="24"/>
        <v>0</v>
      </c>
    </row>
    <row r="31" spans="1:67" ht="13.5" thickBot="1" x14ac:dyDescent="0.25">
      <c r="A31" s="405" t="s">
        <v>484</v>
      </c>
      <c r="B31" s="405">
        <f>IF(Vin&gt;=Vout,B29*(Vin-Vout)/L,B29*Vin/L)</f>
        <v>51136.363636363647</v>
      </c>
      <c r="D31" s="345">
        <v>5.2481</v>
      </c>
      <c r="E31" s="340" t="str">
        <f t="shared" si="0"/>
        <v>0.0000870534319000083i</v>
      </c>
      <c r="F31" s="728" t="str">
        <f t="shared" si="25"/>
        <v>0.005-497.150859879955i</v>
      </c>
      <c r="G31" s="337" t="str">
        <f t="shared" si="26"/>
        <v>0.005-777.59493468403i</v>
      </c>
      <c r="H31" s="338" t="str">
        <f t="shared" si="27"/>
        <v>1.21666367586217-0.00190365710729985i</v>
      </c>
      <c r="I31" s="338" t="str">
        <f t="shared" si="28"/>
        <v>1.22666367586217-0.00190365710729985i</v>
      </c>
      <c r="J31" s="337" t="str">
        <f t="shared" si="29"/>
        <v>1.22664678359083-0.00493025065063461i</v>
      </c>
      <c r="K31" s="338" t="str">
        <f t="shared" si="1"/>
        <v>0.999999999693972-0.0000274789873421743i</v>
      </c>
      <c r="L31" s="732"/>
      <c r="M31" s="732" t="str">
        <f t="shared" si="2"/>
        <v>16.3043579352868+0.064374864925888i</v>
      </c>
      <c r="N31" s="337">
        <f t="shared" si="3"/>
        <v>0</v>
      </c>
      <c r="O31" s="730" t="str">
        <f t="shared" si="4"/>
        <v>16.3043546757197+0.0241456162173885i</v>
      </c>
      <c r="P31" s="731" t="str">
        <f t="shared" si="5"/>
        <v>20.0000056040529-0.00141935031319288i</v>
      </c>
      <c r="Q31" s="729" t="str">
        <f t="shared" si="6"/>
        <v>19.8369620572957-0.00166080647536675i</v>
      </c>
      <c r="R31" s="730"/>
      <c r="S31" s="405" t="str">
        <f t="shared" si="30"/>
        <v>22.5427858280823+0.0391939576764673i</v>
      </c>
      <c r="T31" s="405" t="str">
        <f t="shared" si="31"/>
        <v>22.5426584169592-0.0164274453215097i</v>
      </c>
      <c r="U31" s="405" t="str">
        <f t="shared" si="32"/>
        <v>27.4268023810599-0.0629001679227709i</v>
      </c>
      <c r="V31" s="731" t="str">
        <f t="shared" si="7"/>
        <v>6000</v>
      </c>
      <c r="W31" s="733" t="str">
        <f>IMSUM(COMPLEX(1,0),IMDIV(COMPLEX(0,2*PI()*D31),COMPLEX(2*PI()*'Stability Calculations'!EA_Pole1,0)))</f>
        <v>1+33.3045326587153i</v>
      </c>
      <c r="X31" s="734">
        <f t="shared" si="33"/>
        <v>33.319542247987656</v>
      </c>
      <c r="Y31" s="735">
        <f t="shared" si="34"/>
        <v>1.540779402263452</v>
      </c>
      <c r="Z31" s="340" t="str">
        <f>IMSUM(COMPLEX(1,0),IMDIV(COMPLEX(0,2*PI()*D31),COMPLEX(2*PI()*'Stability Calculations'!EA_Zero1,0)))</f>
        <v>1+0.329747848106092i</v>
      </c>
      <c r="AA31" s="734">
        <f t="shared" si="35"/>
        <v>1.0529642174977258</v>
      </c>
      <c r="AB31" s="735">
        <f t="shared" si="36"/>
        <v>0.31852015415130946</v>
      </c>
      <c r="AC31" s="733" t="str">
        <f>IMSUM(COMPLEX(1,0),IMDIV(COMPLEX(0,2*PI()*D31),COMPLEX(2*PI()*'Stability Calculations'!EA_Pole2,0)))</f>
        <v>1+0.00332170048106092i</v>
      </c>
      <c r="AD31" s="734">
        <f t="shared" si="37"/>
        <v>1.0000055168318251</v>
      </c>
      <c r="AE31" s="735">
        <f t="shared" si="38"/>
        <v>3.3216882642661469E-3</v>
      </c>
      <c r="AF31" s="732" t="str">
        <f t="shared" si="39"/>
        <v>64.1642296321878-178.424405435421i</v>
      </c>
      <c r="AG31" s="337">
        <f t="shared" si="40"/>
        <v>189.61096175927068</v>
      </c>
      <c r="AH31" s="730">
        <f t="shared" si="41"/>
        <v>-1.2255809363764099</v>
      </c>
      <c r="AI31" s="731" t="str">
        <f t="shared" si="14"/>
        <v>10000</v>
      </c>
      <c r="AJ31" s="733" t="str">
        <f t="shared" si="42"/>
        <v>1+31.0489914281001i</v>
      </c>
      <c r="AK31" s="734">
        <f t="shared" si="43"/>
        <v>31.065090836857912</v>
      </c>
      <c r="AL31" s="735">
        <f t="shared" si="44"/>
        <v>1.53860029072756</v>
      </c>
      <c r="AM31" s="340" t="str">
        <f t="shared" si="45"/>
        <v>1+0.0526937061273535i</v>
      </c>
      <c r="AN31" s="734">
        <f t="shared" si="46"/>
        <v>1.0013873509613729</v>
      </c>
      <c r="AO31" s="735">
        <f t="shared" si="47"/>
        <v>5.2645016966778181E-2</v>
      </c>
      <c r="AP31" s="733" t="str">
        <f t="shared" si="48"/>
        <v>1+0.00255573160383356i</v>
      </c>
      <c r="AQ31" s="734">
        <f t="shared" si="49"/>
        <v>1.0000032658766824</v>
      </c>
      <c r="AR31" s="735">
        <f t="shared" si="50"/>
        <v>2.55572603937678E-3</v>
      </c>
      <c r="AS31" s="732" t="str">
        <f t="shared" si="51"/>
        <v>16651.2123059767-7467.35393970476i</v>
      </c>
      <c r="AT31" s="337">
        <f t="shared" si="52"/>
        <v>18248.951918385177</v>
      </c>
      <c r="AU31" s="730">
        <f t="shared" si="53"/>
        <v>-0.42157008653242911</v>
      </c>
      <c r="AV31" s="732" t="str">
        <f t="shared" si="54"/>
        <v>-6006.72064802405-77770.5332243822i</v>
      </c>
      <c r="AW31" s="337">
        <f t="shared" si="55"/>
        <v>97.842132273224038</v>
      </c>
      <c r="AX31" s="730">
        <f t="shared" si="56"/>
        <v>-94.416554811224145</v>
      </c>
      <c r="AY31" s="360">
        <f t="shared" si="57"/>
        <v>85.583445188775855</v>
      </c>
      <c r="BB31" s="337">
        <f t="shared" si="58"/>
        <v>45.224758538444306</v>
      </c>
      <c r="BC31" s="730">
        <f t="shared" si="59"/>
        <v>-24.154186727273093</v>
      </c>
      <c r="BD31" s="351"/>
      <c r="BE31" s="337">
        <f t="shared" si="19"/>
        <v>24.246141722451732</v>
      </c>
      <c r="BF31" s="730">
        <f t="shared" si="20"/>
        <v>0.22622104564252529</v>
      </c>
      <c r="BI31" s="351"/>
      <c r="BJ31" s="351"/>
      <c r="BL31" s="405">
        <f t="shared" si="21"/>
        <v>0</v>
      </c>
      <c r="BM31" s="405">
        <f t="shared" si="22"/>
        <v>0</v>
      </c>
      <c r="BN31" s="405">
        <f t="shared" si="23"/>
        <v>0</v>
      </c>
      <c r="BO31" s="405">
        <f t="shared" si="24"/>
        <v>0</v>
      </c>
    </row>
    <row r="32" spans="1:67" ht="13.5" thickBot="1" x14ac:dyDescent="0.25">
      <c r="A32" s="405" t="s">
        <v>482</v>
      </c>
      <c r="B32" s="405">
        <f>IF(Vin&gt;=Vout,B29*B30/L,B29*(Vout-Vin)/L)</f>
        <v>138257.57575757577</v>
      </c>
      <c r="D32" s="345">
        <v>5.7544000000000004</v>
      </c>
      <c r="E32" s="340" t="str">
        <f t="shared" si="0"/>
        <v>0.0000954517384435143i</v>
      </c>
      <c r="F32" s="728" t="str">
        <f t="shared" si="25"/>
        <v>0.005-453.409117846515i</v>
      </c>
      <c r="G32" s="337" t="str">
        <f t="shared" si="26"/>
        <v>0.005-709.178363811219i</v>
      </c>
      <c r="H32" s="338" t="str">
        <f t="shared" si="27"/>
        <v>1.2166630709646-0.00208730759505019i</v>
      </c>
      <c r="I32" s="338" t="str">
        <f t="shared" si="28"/>
        <v>1.2266630709646-0.00208730759505019i</v>
      </c>
      <c r="J32" s="337" t="str">
        <f t="shared" si="29"/>
        <v>1.22664276225653-0.00540586898529668i</v>
      </c>
      <c r="K32" s="338" t="str">
        <f t="shared" si="1"/>
        <v>0.999999999632076-0.0000301299679430285i</v>
      </c>
      <c r="L32" s="732"/>
      <c r="M32" s="732" t="str">
        <f t="shared" si="2"/>
        <v>16.3043599799045+0.0705853057632768i</v>
      </c>
      <c r="N32" s="337">
        <f t="shared" si="3"/>
        <v>0</v>
      </c>
      <c r="O32" s="730" t="str">
        <f t="shared" si="4"/>
        <v>16.3043560610795+0.0264750178782718i</v>
      </c>
      <c r="P32" s="731" t="str">
        <f t="shared" si="5"/>
        <v>20.0000067374901-0.00155627950429099i</v>
      </c>
      <c r="Q32" s="729" t="str">
        <f t="shared" si="6"/>
        <v>19.8369631768793-0.00182102968307366i</v>
      </c>
      <c r="R32" s="730"/>
      <c r="S32" s="405" t="str">
        <f t="shared" si="30"/>
        <v>22.542804299928+0.042975070800088i</v>
      </c>
      <c r="T32" s="405" t="str">
        <f t="shared" si="31"/>
        <v>22.5426511196744-0.0180122322751306i</v>
      </c>
      <c r="U32" s="405" t="str">
        <f t="shared" si="32"/>
        <v>27.4267735418776-0.0689682647294525i</v>
      </c>
      <c r="V32" s="731" t="str">
        <f t="shared" si="7"/>
        <v>6000</v>
      </c>
      <c r="W32" s="733" t="str">
        <f>IMSUM(COMPLEX(1,0),IMDIV(COMPLEX(0,2*PI()*D32),COMPLEX(2*PI()*'Stability Calculations'!EA_Pole1,0)))</f>
        <v>1+36.5175211469505i</v>
      </c>
      <c r="X32" s="734">
        <f t="shared" si="33"/>
        <v>36.531210638548195</v>
      </c>
      <c r="Y32" s="735">
        <f t="shared" si="34"/>
        <v>1.5434190537009351</v>
      </c>
      <c r="Z32" s="340" t="str">
        <f>IMSUM(COMPLEX(1,0),IMDIV(COMPLEX(0,2*PI()*D32),COMPLEX(2*PI()*'Stability Calculations'!EA_Zero1,0)))</f>
        <v>1+0.361559615316342i</v>
      </c>
      <c r="AA32" s="734">
        <f t="shared" si="35"/>
        <v>1.0633557050336926</v>
      </c>
      <c r="AB32" s="735">
        <f t="shared" si="36"/>
        <v>0.34693557306899775</v>
      </c>
      <c r="AC32" s="733" t="str">
        <f>IMSUM(COMPLEX(1,0),IMDIV(COMPLEX(0,2*PI()*D32),COMPLEX(2*PI()*'Stability Calculations'!EA_Pole2,0)))</f>
        <v>1+0.00364215492239419i</v>
      </c>
      <c r="AD32" s="734">
        <f t="shared" si="37"/>
        <v>1.0000066326242434</v>
      </c>
      <c r="AE32" s="735">
        <f t="shared" si="38"/>
        <v>3.6421388177722697E-3</v>
      </c>
      <c r="AF32" s="732" t="str">
        <f t="shared" si="39"/>
        <v>63.2644997261784-162.786431139169i</v>
      </c>
      <c r="AG32" s="337">
        <f t="shared" si="40"/>
        <v>174.64769992367789</v>
      </c>
      <c r="AH32" s="730">
        <f t="shared" si="41"/>
        <v>-1.2001256194497096</v>
      </c>
      <c r="AI32" s="731" t="str">
        <f t="shared" si="14"/>
        <v>10000</v>
      </c>
      <c r="AJ32" s="733" t="str">
        <f t="shared" si="42"/>
        <v>1+34.0443810662638i</v>
      </c>
      <c r="AK32" s="734">
        <f t="shared" si="43"/>
        <v>34.059064611127845</v>
      </c>
      <c r="AL32" s="735">
        <f t="shared" si="44"/>
        <v>1.5414313473721941</v>
      </c>
      <c r="AM32" s="340" t="str">
        <f t="shared" si="45"/>
        <v>1+0.0577772265275514i</v>
      </c>
      <c r="AN32" s="734">
        <f t="shared" si="46"/>
        <v>1.0016677133187513</v>
      </c>
      <c r="AO32" s="735">
        <f t="shared" si="47"/>
        <v>5.77130641928221E-2</v>
      </c>
      <c r="AP32" s="733" t="str">
        <f t="shared" si="48"/>
        <v>1+0.00280229072256623i</v>
      </c>
      <c r="AQ32" s="734">
        <f t="shared" si="49"/>
        <v>1.0000039264089386</v>
      </c>
      <c r="AR32" s="735">
        <f t="shared" si="50"/>
        <v>2.8022833872934968E-3</v>
      </c>
      <c r="AS32" s="732" t="str">
        <f t="shared" si="51"/>
        <v>16105.7877435712-7919.55529246788i</v>
      </c>
      <c r="AT32" s="337">
        <f t="shared" si="52"/>
        <v>17947.583538499668</v>
      </c>
      <c r="AU32" s="730">
        <f t="shared" si="53"/>
        <v>-0.45700256241841786</v>
      </c>
      <c r="AV32" s="732" t="str">
        <f t="shared" si="54"/>
        <v>-6148.88613491641-70392.008269453i</v>
      </c>
      <c r="AW32" s="337">
        <f t="shared" si="55"/>
        <v>96.983479645797829</v>
      </c>
      <c r="AX32" s="730">
        <f t="shared" si="56"/>
        <v>-94.992231913643167</v>
      </c>
      <c r="AY32" s="360">
        <f t="shared" si="57"/>
        <v>85.007768086356833</v>
      </c>
      <c r="BB32" s="337">
        <f t="shared" si="58"/>
        <v>45.080119669382611</v>
      </c>
      <c r="BC32" s="730">
        <f t="shared" si="59"/>
        <v>-26.184318053239313</v>
      </c>
      <c r="BD32" s="351"/>
      <c r="BE32" s="337">
        <f t="shared" si="19"/>
        <v>24.246156504634225</v>
      </c>
      <c r="BF32" s="730">
        <f t="shared" si="20"/>
        <v>0.24804499257430887</v>
      </c>
      <c r="BI32" s="351"/>
      <c r="BJ32" s="351"/>
      <c r="BL32" s="405">
        <f t="shared" si="21"/>
        <v>0</v>
      </c>
      <c r="BM32" s="405">
        <f t="shared" si="22"/>
        <v>0</v>
      </c>
      <c r="BN32" s="405">
        <f t="shared" si="23"/>
        <v>0</v>
      </c>
      <c r="BO32" s="405">
        <f t="shared" si="24"/>
        <v>0</v>
      </c>
    </row>
    <row r="33" spans="1:67" ht="13.5" thickBot="1" x14ac:dyDescent="0.25">
      <c r="A33" s="405" t="s">
        <v>486</v>
      </c>
      <c r="B33" s="405">
        <f>1+B32/B31</f>
        <v>3.7037037037037033</v>
      </c>
      <c r="D33" s="345">
        <v>6.3095999999999997</v>
      </c>
      <c r="E33" s="340" t="str">
        <f t="shared" si="0"/>
        <v>0.000104661179077436i</v>
      </c>
      <c r="F33" s="728" t="str">
        <f t="shared" si="25"/>
        <v>0.005-413.512334812982i</v>
      </c>
      <c r="G33" s="337" t="str">
        <f t="shared" si="26"/>
        <v>0.005-646.775703169024i</v>
      </c>
      <c r="H33" s="338" t="str">
        <f t="shared" si="27"/>
        <v>1.2166623436491-0.00228869527602597i</v>
      </c>
      <c r="I33" s="338" t="str">
        <f t="shared" si="28"/>
        <v>1.2266623436491-0.00228869527602597i</v>
      </c>
      <c r="J33" s="337" t="str">
        <f t="shared" si="29"/>
        <v>1.22663792712254-0.00592741833137701i</v>
      </c>
      <c r="K33" s="338" t="str">
        <f t="shared" si="1"/>
        <v>0.999999999557655-0.0000330369883451503i</v>
      </c>
      <c r="L33" s="732"/>
      <c r="M33" s="732" t="str">
        <f t="shared" si="2"/>
        <v>16.304362438311+0.0773955711805375i</v>
      </c>
      <c r="N33" s="337">
        <f t="shared" si="3"/>
        <v>0</v>
      </c>
      <c r="O33" s="730" t="str">
        <f t="shared" si="4"/>
        <v>16.3043577268079+0.0290294007111619i</v>
      </c>
      <c r="P33" s="731" t="str">
        <f t="shared" si="5"/>
        <v>20.0000081003117-0.00170643379689938i</v>
      </c>
      <c r="Q33" s="729" t="str">
        <f t="shared" si="6"/>
        <v>19.8369645230436-0.00199672780401111i</v>
      </c>
      <c r="R33" s="730"/>
      <c r="S33" s="405" t="str">
        <f t="shared" si="30"/>
        <v>22.5428265100416+0.0471213607595976i</v>
      </c>
      <c r="T33" s="405" t="str">
        <f t="shared" si="31"/>
        <v>22.5426423455909-0.0197500770209994i</v>
      </c>
      <c r="U33" s="405" t="str">
        <f t="shared" si="32"/>
        <v>27.4267388663219-0.0756224140411152i</v>
      </c>
      <c r="V33" s="731" t="str">
        <f t="shared" si="7"/>
        <v>6000</v>
      </c>
      <c r="W33" s="733" t="str">
        <f>IMSUM(COMPLEX(1,0),IMDIV(COMPLEX(0,2*PI()*D33),COMPLEX(2*PI()*'Stability Calculations'!EA_Pole1,0)))</f>
        <v>1+40.0408298743221i</v>
      </c>
      <c r="X33" s="734">
        <f t="shared" si="33"/>
        <v>40.0533151814479</v>
      </c>
      <c r="Y33" s="735">
        <f t="shared" si="34"/>
        <v>1.5458270099191522</v>
      </c>
      <c r="Z33" s="340" t="str">
        <f>IMSUM(COMPLEX(1,0),IMDIV(COMPLEX(0,2*PI()*D33),COMPLEX(2*PI()*'Stability Calculations'!EA_Zero1,0)))</f>
        <v>1+0.396443860141803i</v>
      </c>
      <c r="AA33" s="734">
        <f t="shared" si="35"/>
        <v>1.0757173114922589</v>
      </c>
      <c r="AB33" s="735">
        <f t="shared" si="36"/>
        <v>0.37743698507316203</v>
      </c>
      <c r="AC33" s="733" t="str">
        <f>IMSUM(COMPLEX(1,0),IMDIV(COMPLEX(0,2*PI()*D33),COMPLEX(2*PI()*'Stability Calculations'!EA_Pole2,0)))</f>
        <v>1+0.00399355983218726i</v>
      </c>
      <c r="AD33" s="734">
        <f t="shared" si="37"/>
        <v>1.0000079742282724</v>
      </c>
      <c r="AE33" s="735">
        <f t="shared" si="38"/>
        <v>3.9935386019339519E-3</v>
      </c>
      <c r="AF33" s="732" t="str">
        <f t="shared" si="39"/>
        <v>62.5158081510504-148.520590184459i</v>
      </c>
      <c r="AG33" s="337">
        <f t="shared" si="40"/>
        <v>161.14152778697039</v>
      </c>
      <c r="AH33" s="730">
        <f t="shared" si="41"/>
        <v>-1.1723835634479258</v>
      </c>
      <c r="AI33" s="731" t="str">
        <f t="shared" si="14"/>
        <v>10000</v>
      </c>
      <c r="AJ33" s="733" t="str">
        <f t="shared" si="42"/>
        <v>1+37.3290745821803i</v>
      </c>
      <c r="AK33" s="734">
        <f t="shared" si="43"/>
        <v>37.34246656505136</v>
      </c>
      <c r="AL33" s="735">
        <f t="shared" si="44"/>
        <v>1.5440139620724265</v>
      </c>
      <c r="AM33" s="340" t="str">
        <f t="shared" si="45"/>
        <v>1+0.0633517288506601i</v>
      </c>
      <c r="AN33" s="734">
        <f t="shared" si="46"/>
        <v>1.0020047113404045</v>
      </c>
      <c r="AO33" s="735">
        <f t="shared" si="47"/>
        <v>6.326717953745653E-2</v>
      </c>
      <c r="AP33" s="733" t="str">
        <f t="shared" si="48"/>
        <v>1+0.00307266327386068i</v>
      </c>
      <c r="AQ33" s="734">
        <f t="shared" si="49"/>
        <v>1.0000047206186551</v>
      </c>
      <c r="AR33" s="735">
        <f t="shared" si="50"/>
        <v>3.0726536039782522E-3</v>
      </c>
      <c r="AS33" s="732" t="str">
        <f t="shared" si="51"/>
        <v>15495.4982947107-8354.60941593513i</v>
      </c>
      <c r="AT33" s="337">
        <f t="shared" si="52"/>
        <v>17604.259879194418</v>
      </c>
      <c r="AU33" s="730">
        <f t="shared" si="53"/>
        <v>-0.4944855067047112</v>
      </c>
      <c r="AV33" s="732" t="str">
        <f t="shared" si="54"/>
        <v>-6190.02521319179-63648.1881639528i</v>
      </c>
      <c r="AW33" s="337">
        <f t="shared" si="55"/>
        <v>96.116604707866003</v>
      </c>
      <c r="AX33" s="730">
        <f t="shared" si="56"/>
        <v>-95.55476072988516</v>
      </c>
      <c r="AY33" s="360">
        <f t="shared" si="57"/>
        <v>84.44523927011484</v>
      </c>
      <c r="BB33" s="337">
        <f t="shared" si="58"/>
        <v>44.912355422388721</v>
      </c>
      <c r="BC33" s="730">
        <f t="shared" si="59"/>
        <v>-28.331932564567925</v>
      </c>
      <c r="BD33" s="351"/>
      <c r="BE33" s="337">
        <f t="shared" si="19"/>
        <v>24.246174278361927</v>
      </c>
      <c r="BF33" s="730">
        <f t="shared" si="20"/>
        <v>0.27197667442534174</v>
      </c>
      <c r="BI33" s="351"/>
      <c r="BJ33" s="351"/>
      <c r="BL33" s="405">
        <f t="shared" si="21"/>
        <v>0</v>
      </c>
      <c r="BM33" s="405">
        <f t="shared" si="22"/>
        <v>0</v>
      </c>
      <c r="BN33" s="405">
        <f t="shared" si="23"/>
        <v>0</v>
      </c>
      <c r="BO33" s="405">
        <f t="shared" si="24"/>
        <v>0</v>
      </c>
    </row>
    <row r="34" spans="1:67" ht="13.5" thickBot="1" x14ac:dyDescent="0.25">
      <c r="A34" s="405" t="s">
        <v>1228</v>
      </c>
      <c r="B34" s="405">
        <f>Fsw/(B31+B32)</f>
        <v>3.1679999999999997</v>
      </c>
      <c r="D34" s="345">
        <v>6.9183000000000003</v>
      </c>
      <c r="E34" s="340" t="str">
        <f t="shared" si="0"/>
        <v>0.000114758056804144i</v>
      </c>
      <c r="F34" s="728" t="str">
        <f t="shared" si="25"/>
        <v>0.005-377.129848045906i</v>
      </c>
      <c r="G34" s="337" t="str">
        <f t="shared" si="26"/>
        <v>0.005-589.869762328212i</v>
      </c>
      <c r="H34" s="338" t="str">
        <f t="shared" si="27"/>
        <v>1.21666146931848-0.0025094885733897i</v>
      </c>
      <c r="I34" s="338" t="str">
        <f t="shared" si="28"/>
        <v>1.22666146931848-0.0025094885733897i</v>
      </c>
      <c r="J34" s="337" t="str">
        <f t="shared" si="29"/>
        <v>1.22663211468699-0.00649921758430217i</v>
      </c>
      <c r="K34" s="338" t="str">
        <f t="shared" si="1"/>
        <v>0.99999999946819-0.0000362241340922171i</v>
      </c>
      <c r="L34" s="732"/>
      <c r="M34" s="732" t="str">
        <f t="shared" si="2"/>
        <v>16.3043653936493+0.0848620867910803i</v>
      </c>
      <c r="N34" s="337">
        <f t="shared" si="3"/>
        <v>0</v>
      </c>
      <c r="O34" s="730" t="str">
        <f t="shared" si="4"/>
        <v>16.3043597292394+0.0318299287322154i</v>
      </c>
      <c r="P34" s="731" t="str">
        <f t="shared" si="5"/>
        <v>20.0000097386082-0.00187105728999955i</v>
      </c>
      <c r="Q34" s="729" t="str">
        <f t="shared" si="6"/>
        <v>19.8369661413158-0.00218935657732165i</v>
      </c>
      <c r="R34" s="730"/>
      <c r="S34" s="405" t="str">
        <f t="shared" si="30"/>
        <v>22.5428532095338+0.051667174885628i</v>
      </c>
      <c r="T34" s="405" t="str">
        <f t="shared" si="31"/>
        <v>22.5426317979825-0.0216553757847104i</v>
      </c>
      <c r="U34" s="405" t="str">
        <f t="shared" si="32"/>
        <v>27.4266971817207-0.0829177382320374i</v>
      </c>
      <c r="V34" s="731" t="str">
        <f t="shared" si="7"/>
        <v>6000</v>
      </c>
      <c r="W34" s="733" t="str">
        <f>IMSUM(COMPLEX(1,0),IMDIV(COMPLEX(0,2*PI()*D34),COMPLEX(2*PI()*'Stability Calculations'!EA_Pole1,0)))</f>
        <v>1+43.9036505197671i</v>
      </c>
      <c r="X34" s="734">
        <f t="shared" si="33"/>
        <v>43.915037617675402</v>
      </c>
      <c r="Y34" s="735">
        <f t="shared" si="34"/>
        <v>1.5480231152479933</v>
      </c>
      <c r="Z34" s="340" t="str">
        <f>IMSUM(COMPLEX(1,0),IMDIV(COMPLEX(0,2*PI()*D34),COMPLEX(2*PI()*'Stability Calculations'!EA_Zero1,0)))</f>
        <v>1+0.434689609106605i</v>
      </c>
      <c r="AA34" s="734">
        <f t="shared" si="35"/>
        <v>1.0903921571000283</v>
      </c>
      <c r="AB34" s="735">
        <f t="shared" si="36"/>
        <v>0.41004912360101625</v>
      </c>
      <c r="AC34" s="733" t="str">
        <f>IMSUM(COMPLEX(1,0),IMDIV(COMPLEX(0,2*PI()*D34),COMPLEX(2*PI()*'Stability Calculations'!EA_Pole2,0)))</f>
        <v>1+0.00437882670645067i</v>
      </c>
      <c r="AD34" s="734">
        <f t="shared" si="37"/>
        <v>1.0000095870157071</v>
      </c>
      <c r="AE34" s="735">
        <f t="shared" si="38"/>
        <v>4.3787987200515424E-3</v>
      </c>
      <c r="AF34" s="732" t="str">
        <f t="shared" si="39"/>
        <v>61.892936281215-135.510653774606i</v>
      </c>
      <c r="AG34" s="337">
        <f t="shared" si="40"/>
        <v>148.97608146253441</v>
      </c>
      <c r="AH34" s="730">
        <f t="shared" si="41"/>
        <v>-1.1423527903670285</v>
      </c>
      <c r="AI34" s="731" t="str">
        <f t="shared" si="14"/>
        <v>10000</v>
      </c>
      <c r="AJ34" s="733" t="str">
        <f t="shared" si="42"/>
        <v>1+40.9302866555563i</v>
      </c>
      <c r="AK34" s="734">
        <f t="shared" si="43"/>
        <v>40.942500726091588</v>
      </c>
      <c r="AL34" s="735">
        <f t="shared" si="44"/>
        <v>1.5463694003742838</v>
      </c>
      <c r="AM34" s="340" t="str">
        <f t="shared" si="45"/>
        <v>1+0.0694633995352355i</v>
      </c>
      <c r="AN34" s="734">
        <f t="shared" si="46"/>
        <v>1.002409678661869</v>
      </c>
      <c r="AO34" s="735">
        <f t="shared" si="47"/>
        <v>6.9351997781494007E-2</v>
      </c>
      <c r="AP34" s="733" t="str">
        <f t="shared" si="48"/>
        <v>1+0.0033690893761174i</v>
      </c>
      <c r="AQ34" s="734">
        <f t="shared" si="49"/>
        <v>1.0000056753655073</v>
      </c>
      <c r="AR34" s="735">
        <f t="shared" si="50"/>
        <v>3.3690766289589504E-3</v>
      </c>
      <c r="AS34" s="732" t="str">
        <f t="shared" si="51"/>
        <v>14820.3996676083-8761.49228411018i</v>
      </c>
      <c r="AT34" s="337">
        <f t="shared" si="52"/>
        <v>17216.503517037552</v>
      </c>
      <c r="AU34" s="730">
        <f t="shared" si="53"/>
        <v>-0.53390738457123554</v>
      </c>
      <c r="AV34" s="732" t="str">
        <f t="shared" si="54"/>
        <v>-6141.68824640094-57491.3115849761i</v>
      </c>
      <c r="AW34" s="337">
        <f t="shared" si="55"/>
        <v>95.241326406146385</v>
      </c>
      <c r="AX34" s="730">
        <f t="shared" si="56"/>
        <v>-96.097674046375204</v>
      </c>
      <c r="AY34" s="360">
        <f t="shared" si="57"/>
        <v>83.902325953624796</v>
      </c>
      <c r="BB34" s="337">
        <f t="shared" si="58"/>
        <v>44.718899112571215</v>
      </c>
      <c r="BC34" s="730">
        <f t="shared" si="59"/>
        <v>-30.590639786799962</v>
      </c>
      <c r="BD34" s="351"/>
      <c r="BE34" s="337">
        <f t="shared" si="19"/>
        <v>24.246195644700883</v>
      </c>
      <c r="BF34" s="730">
        <f t="shared" si="20"/>
        <v>0.29821433646934814</v>
      </c>
      <c r="BI34" s="351"/>
      <c r="BJ34" s="351"/>
      <c r="BL34" s="405">
        <f t="shared" si="21"/>
        <v>0</v>
      </c>
      <c r="BM34" s="405">
        <f t="shared" si="22"/>
        <v>0</v>
      </c>
      <c r="BN34" s="405">
        <f t="shared" si="23"/>
        <v>0</v>
      </c>
      <c r="BO34" s="405">
        <f t="shared" si="24"/>
        <v>0</v>
      </c>
    </row>
    <row r="35" spans="1:67" ht="13.5" thickBot="1" x14ac:dyDescent="0.25">
      <c r="D35" s="345">
        <v>7.5857999999999999</v>
      </c>
      <c r="E35" s="340" t="str">
        <f t="shared" si="0"/>
        <v>0.000125830285952456i</v>
      </c>
      <c r="F35" s="728" t="str">
        <f t="shared" si="25"/>
        <v>0.005-343.944927065832i</v>
      </c>
      <c r="G35" s="337" t="str">
        <f t="shared" si="26"/>
        <v>0.005-537.965142333738i</v>
      </c>
      <c r="H35" s="338" t="str">
        <f t="shared" si="27"/>
        <v>1.21666041802772-0.00275160977457078i</v>
      </c>
      <c r="I35" s="338" t="str">
        <f t="shared" si="28"/>
        <v>1.22666041802772-0.00275160977457078i</v>
      </c>
      <c r="J35" s="337" t="str">
        <f t="shared" si="29"/>
        <v>1.22662512590565-0.0071262424154524i</v>
      </c>
      <c r="K35" s="338" t="str">
        <f t="shared" si="1"/>
        <v>0.999999999360618-0.0000397191559193357i</v>
      </c>
      <c r="L35" s="732"/>
      <c r="M35" s="732" t="str">
        <f t="shared" si="2"/>
        <v>16.30436894714+0.0930498648127154i</v>
      </c>
      <c r="N35" s="337">
        <f t="shared" si="3"/>
        <v>0</v>
      </c>
      <c r="O35" s="730" t="str">
        <f t="shared" si="4"/>
        <v>16.3043621369572+0.0349009866040474i</v>
      </c>
      <c r="P35" s="731" t="str">
        <f t="shared" si="5"/>
        <v>20.0000117084911-0.00205158340689302i</v>
      </c>
      <c r="Q35" s="729" t="str">
        <f t="shared" si="6"/>
        <v>19.8369680871215-0.00240059327293349i</v>
      </c>
      <c r="R35" s="730"/>
      <c r="S35" s="405" t="str">
        <f t="shared" si="30"/>
        <v>22.5428853128146+0.0566520861213656i</v>
      </c>
      <c r="T35" s="405" t="str">
        <f t="shared" si="31"/>
        <v>22.5426191156125-0.0237447150657269i</v>
      </c>
      <c r="U35" s="405" t="str">
        <f t="shared" si="32"/>
        <v>27.4266470604506-0.0909177460607621i</v>
      </c>
      <c r="V35" s="731" t="str">
        <f t="shared" si="7"/>
        <v>6000</v>
      </c>
      <c r="W35" s="733" t="str">
        <f>IMSUM(COMPLEX(1,0),IMDIV(COMPLEX(0,2*PI()*D35),COMPLEX(2*PI()*'Stability Calculations'!EA_Pole1,0)))</f>
        <v>1+48.1396169742349i</v>
      </c>
      <c r="X35" s="734">
        <f t="shared" si="33"/>
        <v>48.150002309720037</v>
      </c>
      <c r="Y35" s="735">
        <f t="shared" si="34"/>
        <v>1.5500264025178785</v>
      </c>
      <c r="Z35" s="340" t="str">
        <f>IMSUM(COMPLEX(1,0),IMDIV(COMPLEX(0,2*PI()*D35),COMPLEX(2*PI()*'Stability Calculations'!EA_Zero1,0)))</f>
        <v>1+0.476629871032029i</v>
      </c>
      <c r="AA35" s="734">
        <f t="shared" si="35"/>
        <v>1.1077797768329265</v>
      </c>
      <c r="AB35" s="735">
        <f t="shared" si="36"/>
        <v>0.44477732463779013</v>
      </c>
      <c r="AC35" s="733" t="str">
        <f>IMSUM(COMPLEX(1,0),IMDIV(COMPLEX(0,2*PI()*D35),COMPLEX(2*PI()*'Stability Calculations'!EA_Pole2,0)))</f>
        <v>1+0.00480131009493568i</v>
      </c>
      <c r="AD35" s="734">
        <f t="shared" si="37"/>
        <v>1.000011526222887</v>
      </c>
      <c r="AE35" s="735">
        <f t="shared" si="38"/>
        <v>4.8012732012531487E-3</v>
      </c>
      <c r="AF35" s="732" t="str">
        <f t="shared" si="39"/>
        <v>61.3746260815608-123.644885566256i</v>
      </c>
      <c r="AG35" s="337">
        <f t="shared" si="40"/>
        <v>138.03949599061835</v>
      </c>
      <c r="AH35" s="730">
        <f t="shared" si="41"/>
        <v>-1.1100503510813398</v>
      </c>
      <c r="AI35" s="731" t="str">
        <f t="shared" si="14"/>
        <v>10000</v>
      </c>
      <c r="AJ35" s="733" t="str">
        <f t="shared" si="42"/>
        <v>1+44.8793733304018i</v>
      </c>
      <c r="AK35" s="734">
        <f t="shared" si="43"/>
        <v>44.890512923440511</v>
      </c>
      <c r="AL35" s="735">
        <f t="shared" si="44"/>
        <v>1.5485180621942083</v>
      </c>
      <c r="AM35" s="340" t="str">
        <f t="shared" si="45"/>
        <v>1+0.0761654533909182i</v>
      </c>
      <c r="AN35" s="734">
        <f t="shared" si="46"/>
        <v>1.0028963935971871</v>
      </c>
      <c r="AO35" s="735">
        <f t="shared" si="47"/>
        <v>7.6018680851125967E-2</v>
      </c>
      <c r="AP35" s="733" t="str">
        <f t="shared" si="48"/>
        <v>1+0.00369415003531957i</v>
      </c>
      <c r="AQ35" s="734">
        <f t="shared" si="49"/>
        <v>1.0000068233489625</v>
      </c>
      <c r="AR35" s="735">
        <f t="shared" si="50"/>
        <v>3.6941332310832919E-3</v>
      </c>
      <c r="AS35" s="732" t="str">
        <f t="shared" si="51"/>
        <v>14082.6743863568-9128.62365611521i</v>
      </c>
      <c r="AT35" s="337">
        <f t="shared" si="52"/>
        <v>16782.53519963942</v>
      </c>
      <c r="AU35" s="730">
        <f t="shared" si="53"/>
        <v>-0.57512050782063406</v>
      </c>
      <c r="AV35" s="732" t="str">
        <f t="shared" si="54"/>
        <v>-6014.66380350864-51875.9326096079i</v>
      </c>
      <c r="AW35" s="337">
        <f t="shared" si="55"/>
        <v>94.357310915404469</v>
      </c>
      <c r="AX35" s="730">
        <f t="shared" si="56"/>
        <v>-96.613529055568762</v>
      </c>
      <c r="AY35" s="360">
        <f t="shared" si="57"/>
        <v>83.386470944431238</v>
      </c>
      <c r="BB35" s="337">
        <f t="shared" si="58"/>
        <v>44.497151334917355</v>
      </c>
      <c r="BC35" s="730">
        <f t="shared" si="59"/>
        <v>-32.951977809542988</v>
      </c>
      <c r="BD35" s="351"/>
      <c r="BE35" s="337">
        <f t="shared" si="19"/>
        <v>24.246221335390889</v>
      </c>
      <c r="BF35" s="730">
        <f t="shared" si="20"/>
        <v>0.32698638474347702</v>
      </c>
      <c r="BI35" s="351"/>
      <c r="BJ35" s="351"/>
      <c r="BL35" s="405">
        <f t="shared" si="21"/>
        <v>0</v>
      </c>
      <c r="BM35" s="405">
        <f t="shared" si="22"/>
        <v>0</v>
      </c>
      <c r="BN35" s="405">
        <f t="shared" si="23"/>
        <v>0</v>
      </c>
      <c r="BO35" s="405">
        <f t="shared" si="24"/>
        <v>0</v>
      </c>
    </row>
    <row r="36" spans="1:67" ht="13.5" thickBot="1" x14ac:dyDescent="0.25">
      <c r="D36" s="345">
        <v>8.3176000000000005</v>
      </c>
      <c r="E36" s="340" t="str">
        <f t="shared" si="0"/>
        <v>0.000137969098373032i</v>
      </c>
      <c r="F36" s="728" t="str">
        <f t="shared" si="25"/>
        <v>0.005-313.683926581705i</v>
      </c>
      <c r="G36" s="337" t="str">
        <f t="shared" si="26"/>
        <v>0.005-490.633833884205i</v>
      </c>
      <c r="H36" s="338" t="str">
        <f t="shared" si="27"/>
        <v>1.21665915427428-0.00301705365163989i</v>
      </c>
      <c r="I36" s="338" t="str">
        <f t="shared" si="28"/>
        <v>1.22665915427428-0.00301705365163989i</v>
      </c>
      <c r="J36" s="337" t="str">
        <f t="shared" si="29"/>
        <v>1.22661672480249-0.00781365532739807i</v>
      </c>
      <c r="K36" s="338" t="str">
        <f t="shared" si="1"/>
        <v>0.999999999231306-0.0000435508517591641i</v>
      </c>
      <c r="L36" s="732"/>
      <c r="M36" s="732" t="str">
        <f t="shared" si="2"/>
        <v>16.3043732187899+0.102026370958297i</v>
      </c>
      <c r="N36" s="337">
        <f t="shared" si="3"/>
        <v>0</v>
      </c>
      <c r="O36" s="730" t="str">
        <f t="shared" si="4"/>
        <v>16.304365031274+0.0382678792386407i</v>
      </c>
      <c r="P36" s="731" t="str">
        <f t="shared" si="5"/>
        <v>20.0000140764864-0.00224949967253349i</v>
      </c>
      <c r="Q36" s="729" t="str">
        <f t="shared" si="6"/>
        <v>19.8369704261736-0.00263217846492i</v>
      </c>
      <c r="R36" s="730"/>
      <c r="S36" s="405" t="str">
        <f t="shared" si="30"/>
        <v>22.5429239039913+0.0621171583267337i</v>
      </c>
      <c r="T36" s="405" t="str">
        <f t="shared" si="31"/>
        <v>22.5426038702057-0.0260353063207628i</v>
      </c>
      <c r="U36" s="405" t="str">
        <f t="shared" si="32"/>
        <v>27.4265868099484-0.0996883390935662i</v>
      </c>
      <c r="V36" s="731" t="str">
        <f t="shared" si="7"/>
        <v>6000</v>
      </c>
      <c r="W36" s="733" t="str">
        <f>IMSUM(COMPLEX(1,0),IMDIV(COMPLEX(0,2*PI()*D36),COMPLEX(2*PI()*'Stability Calculations'!EA_Pole1,0)))</f>
        <v>1+52.7836323321069i</v>
      </c>
      <c r="X36" s="734">
        <f t="shared" si="33"/>
        <v>52.793104115699052</v>
      </c>
      <c r="Y36" s="735">
        <f t="shared" si="34"/>
        <v>1.5518533260854706</v>
      </c>
      <c r="Z36" s="340" t="str">
        <f>IMSUM(COMPLEX(1,0),IMDIV(COMPLEX(0,2*PI()*D36),COMPLEX(2*PI()*'Stability Calculations'!EA_Zero1,0)))</f>
        <v>1+0.522610221109969i</v>
      </c>
      <c r="AA36" s="734">
        <f t="shared" si="35"/>
        <v>1.1283268335055276</v>
      </c>
      <c r="AB36" s="735">
        <f t="shared" si="36"/>
        <v>0.48157174131920955</v>
      </c>
      <c r="AC36" s="733" t="str">
        <f>IMSUM(COMPLEX(1,0),IMDIV(COMPLEX(0,2*PI()*D36),COMPLEX(2*PI()*'Stability Calculations'!EA_Pole2,0)))</f>
        <v>1+0.00526449113417661i</v>
      </c>
      <c r="AD36" s="734">
        <f t="shared" si="37"/>
        <v>1.000013857337438</v>
      </c>
      <c r="AE36" s="735">
        <f t="shared" si="38"/>
        <v>5.264442500094977E-3</v>
      </c>
      <c r="AF36" s="732" t="str">
        <f t="shared" si="39"/>
        <v>60.9434176085754-112.826594882427i</v>
      </c>
      <c r="AG36" s="337">
        <f t="shared" si="40"/>
        <v>128.23392945151653</v>
      </c>
      <c r="AH36" s="730">
        <f t="shared" si="41"/>
        <v>-1.0755460272663582</v>
      </c>
      <c r="AI36" s="731" t="str">
        <f t="shared" si="14"/>
        <v>10000</v>
      </c>
      <c r="AJ36" s="733" t="str">
        <f t="shared" si="42"/>
        <v>1+49.2088738976706i</v>
      </c>
      <c r="AK36" s="734">
        <f t="shared" si="43"/>
        <v>49.21903361786827</v>
      </c>
      <c r="AL36" s="735">
        <f t="shared" si="44"/>
        <v>1.5504775854798953</v>
      </c>
      <c r="AM36" s="340" t="str">
        <f t="shared" si="45"/>
        <v>1+0.083513113333373i</v>
      </c>
      <c r="AN36" s="734">
        <f t="shared" si="46"/>
        <v>1.0034811608090273</v>
      </c>
      <c r="AO36" s="735">
        <f t="shared" si="47"/>
        <v>8.3319769368172439E-2</v>
      </c>
      <c r="AP36" s="733" t="str">
        <f t="shared" si="48"/>
        <v>1+0.00405052365390256i</v>
      </c>
      <c r="AQ36" s="734">
        <f t="shared" si="49"/>
        <v>1.0000082033372881</v>
      </c>
      <c r="AR36" s="735">
        <f t="shared" si="50"/>
        <v>4.0505015021552789E-3</v>
      </c>
      <c r="AS36" s="732" t="str">
        <f t="shared" si="51"/>
        <v>13287.5760472539-9444.14335625642i</v>
      </c>
      <c r="AT36" s="337">
        <f t="shared" si="52"/>
        <v>16301.887036324286</v>
      </c>
      <c r="AU36" s="730">
        <f t="shared" si="53"/>
        <v>-0.61790428633138039</v>
      </c>
      <c r="AV36" s="732" t="str">
        <f t="shared" si="54"/>
        <v>-5819.51854584772-46763.6160714493i</v>
      </c>
      <c r="AW36" s="337">
        <f t="shared" si="55"/>
        <v>93.464903979464367</v>
      </c>
      <c r="AX36" s="730">
        <f t="shared" si="56"/>
        <v>-97.093728818917228</v>
      </c>
      <c r="AY36" s="360">
        <f t="shared" si="57"/>
        <v>82.906271181082772</v>
      </c>
      <c r="BB36" s="337">
        <f t="shared" si="58"/>
        <v>44.244757587500459</v>
      </c>
      <c r="BC36" s="730">
        <f t="shared" si="59"/>
        <v>-35.403307749831257</v>
      </c>
      <c r="BD36" s="351"/>
      <c r="BE36" s="337">
        <f t="shared" si="19"/>
        <v>24.246252217962699</v>
      </c>
      <c r="BF36" s="730">
        <f t="shared" si="20"/>
        <v>0.35852982983477066</v>
      </c>
      <c r="BI36" s="351"/>
      <c r="BJ36" s="351"/>
      <c r="BL36" s="405">
        <f t="shared" si="21"/>
        <v>0</v>
      </c>
      <c r="BM36" s="405">
        <f t="shared" si="22"/>
        <v>0</v>
      </c>
      <c r="BN36" s="405">
        <f t="shared" si="23"/>
        <v>0</v>
      </c>
      <c r="BO36" s="405">
        <f t="shared" si="24"/>
        <v>0</v>
      </c>
    </row>
    <row r="37" spans="1:67" ht="13.5" thickBot="1" x14ac:dyDescent="0.25">
      <c r="D37" s="345">
        <v>9.1201000000000008</v>
      </c>
      <c r="E37" s="340" t="str">
        <f t="shared" si="0"/>
        <v>0.000151280654764823i</v>
      </c>
      <c r="F37" s="728" t="str">
        <f t="shared" si="25"/>
        <v>0.005-286.082107404084i</v>
      </c>
      <c r="G37" s="337" t="str">
        <f t="shared" si="26"/>
        <v>0.005-447.461757734594i</v>
      </c>
      <c r="H37" s="338" t="str">
        <f t="shared" si="27"/>
        <v>1.21665763473054-0.00330814135102129i</v>
      </c>
      <c r="I37" s="338" t="str">
        <f t="shared" si="28"/>
        <v>1.22665763473054-0.00330814135102129i</v>
      </c>
      <c r="J37" s="337" t="str">
        <f t="shared" si="29"/>
        <v>1.22660662340178-0.00856746286408196i</v>
      </c>
      <c r="K37" s="338" t="str">
        <f t="shared" si="1"/>
        <v>0.99999999907582-0.0000477527319333405i</v>
      </c>
      <c r="L37" s="732"/>
      <c r="M37" s="732" t="str">
        <f t="shared" si="2"/>
        <v>16.3043783550578+0.111870110944987i</v>
      </c>
      <c r="N37" s="337">
        <f t="shared" si="3"/>
        <v>0</v>
      </c>
      <c r="O37" s="730" t="str">
        <f t="shared" si="4"/>
        <v>16.3043685114246+0.0419600524095331i</v>
      </c>
      <c r="P37" s="731" t="str">
        <f t="shared" si="5"/>
        <v>20.0000169237836-0.00246653703308636i</v>
      </c>
      <c r="Q37" s="729" t="str">
        <f t="shared" si="6"/>
        <v>19.8369732386694-0.00288613755718165i</v>
      </c>
      <c r="R37" s="730"/>
      <c r="S37" s="405" t="str">
        <f t="shared" si="30"/>
        <v>22.5429703061086+0.0681101730122492i</v>
      </c>
      <c r="T37" s="405" t="str">
        <f t="shared" si="31"/>
        <v>22.5425855390941-0.0285471766803958i</v>
      </c>
      <c r="U37" s="405" t="str">
        <f t="shared" si="32"/>
        <v>27.4265143646095-0.109306199839018i</v>
      </c>
      <c r="V37" s="731" t="str">
        <f t="shared" si="7"/>
        <v>6000</v>
      </c>
      <c r="W37" s="733" t="str">
        <f>IMSUM(COMPLEX(1,0),IMDIV(COMPLEX(0,2*PI()*D37),COMPLEX(2*PI()*'Stability Calculations'!EA_Pole1,0)))</f>
        <v>1+57.8763111032087i</v>
      </c>
      <c r="X37" s="734">
        <f t="shared" si="33"/>
        <v>57.884949571675349</v>
      </c>
      <c r="Y37" s="735">
        <f t="shared" si="34"/>
        <v>1.5535198195954294</v>
      </c>
      <c r="Z37" s="340" t="str">
        <f>IMSUM(COMPLEX(1,0),IMDIV(COMPLEX(0,2*PI()*D37),COMPLEX(2*PI()*'Stability Calculations'!EA_Zero1,0)))</f>
        <v>1+0.573032783200086i</v>
      </c>
      <c r="AA37" s="734">
        <f t="shared" si="35"/>
        <v>1.1525478604474682</v>
      </c>
      <c r="AB37" s="735">
        <f t="shared" si="36"/>
        <v>0.52035460740846751</v>
      </c>
      <c r="AC37" s="733" t="str">
        <f>IMSUM(COMPLEX(1,0),IMDIV(COMPLEX(0,2*PI()*D37),COMPLEX(2*PI()*'Stability Calculations'!EA_Pole2,0)))</f>
        <v>1+0.00577242060123163i</v>
      </c>
      <c r="AD37" s="734">
        <f t="shared" si="37"/>
        <v>1.0000166602810163</v>
      </c>
      <c r="AE37" s="735">
        <f t="shared" si="38"/>
        <v>5.7723564885464171E-3</v>
      </c>
      <c r="AF37" s="732" t="str">
        <f t="shared" si="39"/>
        <v>60.5845589916216-102.962014427215i</v>
      </c>
      <c r="AG37" s="337">
        <f t="shared" si="40"/>
        <v>119.46407494774027</v>
      </c>
      <c r="AH37" s="730">
        <f t="shared" si="41"/>
        <v>-1.0389375686755113</v>
      </c>
      <c r="AI37" s="731" t="str">
        <f t="shared" si="14"/>
        <v>10000</v>
      </c>
      <c r="AJ37" s="733" t="str">
        <f t="shared" si="42"/>
        <v>1+53.9566522595637i</v>
      </c>
      <c r="AK37" s="734">
        <f t="shared" si="43"/>
        <v>53.965918161924016</v>
      </c>
      <c r="AL37" s="735">
        <f t="shared" si="44"/>
        <v>1.5522650524083312</v>
      </c>
      <c r="AM37" s="340" t="str">
        <f t="shared" si="45"/>
        <v>1+0.0915706387553737i</v>
      </c>
      <c r="AN37" s="734">
        <f t="shared" si="46"/>
        <v>1.00418383868795</v>
      </c>
      <c r="AO37" s="735">
        <f t="shared" si="47"/>
        <v>9.1315973295491182E-2</v>
      </c>
      <c r="AP37" s="733" t="str">
        <f t="shared" si="48"/>
        <v>1+0.00444132691833663i</v>
      </c>
      <c r="AQ37" s="734">
        <f t="shared" si="49"/>
        <v>1.0000098626437619</v>
      </c>
      <c r="AR37" s="735">
        <f t="shared" si="50"/>
        <v>4.4412977163880846E-3</v>
      </c>
      <c r="AS37" s="732" t="str">
        <f t="shared" si="51"/>
        <v>12442.8654026213-9697.03091800145i</v>
      </c>
      <c r="AT37" s="337">
        <f t="shared" si="52"/>
        <v>15775.211822743497</v>
      </c>
      <c r="AU37" s="730">
        <f t="shared" si="53"/>
        <v>-0.66200622661761221</v>
      </c>
      <c r="AV37" s="732" t="str">
        <f t="shared" si="54"/>
        <v>-5566.81707256149-42116.8333065598i</v>
      </c>
      <c r="AW37" s="337">
        <f t="shared" si="55"/>
        <v>92.564331971305833</v>
      </c>
      <c r="AX37" s="730">
        <f t="shared" si="56"/>
        <v>-97.529458080130127</v>
      </c>
      <c r="AY37" s="360">
        <f t="shared" si="57"/>
        <v>82.470541919869873</v>
      </c>
      <c r="BB37" s="337">
        <f t="shared" si="58"/>
        <v>43.959503989487956</v>
      </c>
      <c r="BC37" s="730">
        <f t="shared" si="59"/>
        <v>-37.930162796570322</v>
      </c>
      <c r="BD37" s="351"/>
      <c r="BE37" s="337">
        <f t="shared" si="19"/>
        <v>24.246289351142455</v>
      </c>
      <c r="BF37" s="730">
        <f t="shared" si="20"/>
        <v>0.39312045443467114</v>
      </c>
      <c r="BI37" s="351"/>
      <c r="BJ37" s="351"/>
      <c r="BL37" s="405">
        <f t="shared" si="21"/>
        <v>0</v>
      </c>
      <c r="BM37" s="405">
        <f t="shared" si="22"/>
        <v>0</v>
      </c>
      <c r="BN37" s="405">
        <f t="shared" si="23"/>
        <v>0</v>
      </c>
      <c r="BO37" s="405">
        <f t="shared" si="24"/>
        <v>0</v>
      </c>
    </row>
    <row r="38" spans="1:67" ht="13.5" thickBot="1" x14ac:dyDescent="0.25">
      <c r="D38" s="345">
        <v>10</v>
      </c>
      <c r="E38" s="340" t="str">
        <f t="shared" si="0"/>
        <v>0.000165876092109541i</v>
      </c>
      <c r="F38" s="728" t="str">
        <f t="shared" si="25"/>
        <v>0.005-260.909742773599i</v>
      </c>
      <c r="G38" s="337" t="str">
        <f t="shared" si="26"/>
        <v>0.005-408.089597671526i</v>
      </c>
      <c r="H38" s="338" t="str">
        <f t="shared" si="27"/>
        <v>1.21665580788747-0.00362730273061424i</v>
      </c>
      <c r="I38" s="338" t="str">
        <f t="shared" si="28"/>
        <v>1.22665580788747-0.00362730273061424i</v>
      </c>
      <c r="J38" s="337" t="str">
        <f t="shared" si="29"/>
        <v>1.226594479369-0.00939395155214774i</v>
      </c>
      <c r="K38" s="338" t="str">
        <f t="shared" si="1"/>
        <v>0.999999998888889-0.0000523598775598299i</v>
      </c>
      <c r="L38" s="732"/>
      <c r="M38" s="732" t="str">
        <f t="shared" si="2"/>
        <v>16.30438453006+0.12266327079042i</v>
      </c>
      <c r="N38" s="337">
        <f t="shared" si="3"/>
        <v>0</v>
      </c>
      <c r="O38" s="730" t="str">
        <f t="shared" si="4"/>
        <v>16.304372695384+0.046008332285171i</v>
      </c>
      <c r="P38" s="731" t="str">
        <f t="shared" si="5"/>
        <v>20.000020346904-0.00270450759009774i</v>
      </c>
      <c r="Q38" s="729" t="str">
        <f t="shared" si="6"/>
        <v>19.8369766199502-0.00316459091294934i</v>
      </c>
      <c r="R38" s="730"/>
      <c r="S38" s="405" t="str">
        <f t="shared" si="30"/>
        <v>22.5430260920203+0.0746811473811662i</v>
      </c>
      <c r="T38" s="405" t="str">
        <f t="shared" si="31"/>
        <v>22.5425635009237-0.0313012904416441i</v>
      </c>
      <c r="U38" s="405" t="str">
        <f t="shared" si="32"/>
        <v>27.4264272688147-0.119851598952145i</v>
      </c>
      <c r="V38" s="731" t="str">
        <f t="shared" si="7"/>
        <v>6000</v>
      </c>
      <c r="W38" s="733" t="str">
        <f>IMSUM(COMPLEX(1,0),IMDIV(COMPLEX(0,2*PI()*D38),COMPLEX(2*PI()*'Stability Calculations'!EA_Pole1,0)))</f>
        <v>1+63.4601716025139i</v>
      </c>
      <c r="X38" s="734">
        <f t="shared" si="33"/>
        <v>63.468050071043713</v>
      </c>
      <c r="Y38" s="735">
        <f t="shared" si="34"/>
        <v>1.5550397157355607</v>
      </c>
      <c r="Z38" s="340" t="str">
        <f>IMSUM(COMPLEX(1,0),IMDIV(COMPLEX(0,2*PI()*D38),COMPLEX(2*PI()*'Stability Calculations'!EA_Zero1,0)))</f>
        <v>1+0.628318530717959i</v>
      </c>
      <c r="AA38" s="734">
        <f t="shared" si="35"/>
        <v>1.181009812001397</v>
      </c>
      <c r="AB38" s="735">
        <f t="shared" si="36"/>
        <v>0.56098211610862403</v>
      </c>
      <c r="AC38" s="733" t="str">
        <f>IMSUM(COMPLEX(1,0),IMDIV(COMPLEX(0,2*PI()*D38),COMPLEX(2*PI()*'Stability Calculations'!EA_Pole2,0)))</f>
        <v>1+0.00632933915333344i</v>
      </c>
      <c r="AD38" s="734">
        <f t="shared" si="37"/>
        <v>1.0000200300664572</v>
      </c>
      <c r="AE38" s="735">
        <f t="shared" si="38"/>
        <v>6.3292546364625401E-3</v>
      </c>
      <c r="AF38" s="732" t="str">
        <f t="shared" si="39"/>
        <v>60.285928380993-93.9697082133672i</v>
      </c>
      <c r="AG38" s="337">
        <f t="shared" si="40"/>
        <v>111.64541738228034</v>
      </c>
      <c r="AH38" s="730">
        <f t="shared" si="41"/>
        <v>-1.0003868542633996</v>
      </c>
      <c r="AI38" s="731" t="str">
        <f t="shared" si="14"/>
        <v>10000</v>
      </c>
      <c r="AJ38" s="733" t="str">
        <f t="shared" si="42"/>
        <v>1+59.1623471886971i</v>
      </c>
      <c r="AK38" s="734">
        <f t="shared" si="43"/>
        <v>59.170797906365394</v>
      </c>
      <c r="AL38" s="735">
        <f t="shared" si="44"/>
        <v>1.5538952937776425</v>
      </c>
      <c r="AM38" s="340" t="str">
        <f t="shared" si="45"/>
        <v>1+0.10040530120873i</v>
      </c>
      <c r="AN38" s="734">
        <f t="shared" si="46"/>
        <v>1.0050279720041706</v>
      </c>
      <c r="AO38" s="735">
        <f t="shared" si="47"/>
        <v>0.1000699246925139</v>
      </c>
      <c r="AP38" s="733" t="str">
        <f t="shared" si="48"/>
        <v>1+0.00486982260977032i</v>
      </c>
      <c r="AQ38" s="734">
        <f t="shared" si="49"/>
        <v>1.000011857515825</v>
      </c>
      <c r="AR38" s="735">
        <f t="shared" si="50"/>
        <v>4.869784114090738E-3</v>
      </c>
      <c r="AS38" s="732" t="str">
        <f t="shared" si="51"/>
        <v>11559.4053224411-9877.66445271059i</v>
      </c>
      <c r="AT38" s="337">
        <f t="shared" si="52"/>
        <v>15204.871142131457</v>
      </c>
      <c r="AU38" s="730">
        <f t="shared" si="53"/>
        <v>-0.70710838203160498</v>
      </c>
      <c r="AV38" s="732" t="str">
        <f t="shared" si="54"/>
        <v>-5267.4509507602-37902.9964612036i</v>
      </c>
      <c r="AW38" s="337">
        <f t="shared" si="55"/>
        <v>91.656547319797312</v>
      </c>
      <c r="AX38" s="730">
        <f t="shared" si="56"/>
        <v>-97.911828108885459</v>
      </c>
      <c r="AY38" s="360">
        <f t="shared" si="57"/>
        <v>82.088171891114541</v>
      </c>
      <c r="BB38" s="337">
        <f t="shared" si="58"/>
        <v>43.639654878950765</v>
      </c>
      <c r="BC38" s="730">
        <f t="shared" si="59"/>
        <v>-40.51432594873522</v>
      </c>
      <c r="BD38" s="351"/>
      <c r="BE38" s="337">
        <f t="shared" si="19"/>
        <v>24.246333993544869</v>
      </c>
      <c r="BF38" s="730">
        <f t="shared" si="20"/>
        <v>0.43104694392780296</v>
      </c>
      <c r="BI38" s="351"/>
      <c r="BJ38" s="351"/>
      <c r="BL38" s="405">
        <f t="shared" si="21"/>
        <v>0</v>
      </c>
      <c r="BM38" s="405">
        <f t="shared" si="22"/>
        <v>0</v>
      </c>
      <c r="BN38" s="405">
        <f t="shared" si="23"/>
        <v>0</v>
      </c>
      <c r="BO38" s="405">
        <f t="shared" si="24"/>
        <v>0</v>
      </c>
    </row>
    <row r="39" spans="1:67" ht="13.5" thickBot="1" x14ac:dyDescent="0.25">
      <c r="D39" s="345">
        <v>10.965</v>
      </c>
      <c r="E39" s="340" t="str">
        <f t="shared" si="0"/>
        <v>0.000181883134998112i</v>
      </c>
      <c r="F39" s="728" t="str">
        <f t="shared" si="25"/>
        <v>0.005-237.947781827268i</v>
      </c>
      <c r="G39" s="337" t="str">
        <f t="shared" si="26"/>
        <v>0.005-372.174735678547i</v>
      </c>
      <c r="H39" s="338" t="str">
        <f t="shared" si="27"/>
        <v>1.21665361104709-0.00397733023297168i</v>
      </c>
      <c r="I39" s="338" t="str">
        <f t="shared" si="28"/>
        <v>1.22665361104709-0.00397733023297168i</v>
      </c>
      <c r="J39" s="337" t="str">
        <f t="shared" si="29"/>
        <v>1.22657987603119-0.0103003448291555i</v>
      </c>
      <c r="K39" s="338" t="str">
        <f t="shared" si="1"/>
        <v>0.999999998664098-0.0000574126057443535i</v>
      </c>
      <c r="L39" s="732"/>
      <c r="M39" s="732" t="str">
        <f t="shared" si="2"/>
        <v>16.3043919557374+0.134500303383799i</v>
      </c>
      <c r="N39" s="337">
        <f t="shared" si="3"/>
        <v>0</v>
      </c>
      <c r="O39" s="730" t="str">
        <f t="shared" si="4"/>
        <v>16.3043777267554+0.0504481460633733i</v>
      </c>
      <c r="P39" s="731" t="str">
        <f t="shared" si="5"/>
        <v>20.0000244633368-0.0029654939231473i</v>
      </c>
      <c r="Q39" s="729" t="str">
        <f t="shared" si="6"/>
        <v>19.8369806860692-0.00346997538378106i</v>
      </c>
      <c r="R39" s="730"/>
      <c r="S39" s="405" t="str">
        <f t="shared" si="30"/>
        <v>22.543093176219+0.0818875603348417i</v>
      </c>
      <c r="T39" s="405" t="str">
        <f t="shared" si="31"/>
        <v>22.5425369993759-0.0343217394969328i</v>
      </c>
      <c r="U39" s="405" t="str">
        <f t="shared" si="32"/>
        <v>27.4263225335611-0.131416782231862i</v>
      </c>
      <c r="V39" s="731" t="str">
        <f t="shared" si="7"/>
        <v>6000</v>
      </c>
      <c r="W39" s="733" t="str">
        <f>IMSUM(COMPLEX(1,0),IMDIV(COMPLEX(0,2*PI()*D39),COMPLEX(2*PI()*'Stability Calculations'!EA_Pole1,0)))</f>
        <v>1+69.5840781621565i</v>
      </c>
      <c r="X39" s="734">
        <f t="shared" si="33"/>
        <v>69.591263343016749</v>
      </c>
      <c r="Y39" s="735">
        <f t="shared" si="34"/>
        <v>1.5564262123654731</v>
      </c>
      <c r="Z39" s="340" t="str">
        <f>IMSUM(COMPLEX(1,0),IMDIV(COMPLEX(0,2*PI()*D39),COMPLEX(2*PI()*'Stability Calculations'!EA_Zero1,0)))</f>
        <v>1+0.688951268932242i</v>
      </c>
      <c r="AA39" s="734">
        <f t="shared" si="35"/>
        <v>1.2143532644841641</v>
      </c>
      <c r="AB39" s="735">
        <f t="shared" si="36"/>
        <v>0.60327215563952941</v>
      </c>
      <c r="AC39" s="733" t="str">
        <f>IMSUM(COMPLEX(1,0),IMDIV(COMPLEX(0,2*PI()*D39),COMPLEX(2*PI()*'Stability Calculations'!EA_Pole2,0)))</f>
        <v>1+0.00694012038163011i</v>
      </c>
      <c r="AD39" s="734">
        <f t="shared" si="37"/>
        <v>1.000024082345476</v>
      </c>
      <c r="AE39" s="735">
        <f t="shared" si="38"/>
        <v>6.9400089605906202E-3</v>
      </c>
      <c r="AF39" s="732" t="str">
        <f t="shared" si="39"/>
        <v>60.0373224243912-85.7719309394568i</v>
      </c>
      <c r="AG39" s="337">
        <f t="shared" si="40"/>
        <v>104.69624740635764</v>
      </c>
      <c r="AH39" s="730">
        <f t="shared" si="41"/>
        <v>-0.96009406568653366</v>
      </c>
      <c r="AI39" s="731" t="str">
        <f t="shared" si="14"/>
        <v>10000</v>
      </c>
      <c r="AJ39" s="733" t="str">
        <f t="shared" si="42"/>
        <v>1+64.8715136924064i</v>
      </c>
      <c r="AK39" s="734">
        <f t="shared" si="43"/>
        <v>64.879220777873641</v>
      </c>
      <c r="AL39" s="735">
        <f t="shared" si="44"/>
        <v>1.5553824610458356</v>
      </c>
      <c r="AM39" s="340" t="str">
        <f t="shared" si="45"/>
        <v>1+0.110094412775372i</v>
      </c>
      <c r="AN39" s="734">
        <f t="shared" si="46"/>
        <v>1.006042136157504</v>
      </c>
      <c r="AO39" s="735">
        <f t="shared" si="47"/>
        <v>0.10965280985497937</v>
      </c>
      <c r="AP39" s="733" t="str">
        <f t="shared" si="48"/>
        <v>1+0.00533976049161316i</v>
      </c>
      <c r="AQ39" s="734">
        <f t="shared" si="49"/>
        <v>1.0000142564194312</v>
      </c>
      <c r="AR39" s="735">
        <f t="shared" si="50"/>
        <v>5.3397097415427992E-3</v>
      </c>
      <c r="AS39" s="732" t="str">
        <f t="shared" si="51"/>
        <v>10650.0822861567-9978.84727918136i</v>
      </c>
      <c r="AT39" s="337">
        <f t="shared" si="52"/>
        <v>14594.575900763062</v>
      </c>
      <c r="AU39" s="730">
        <f t="shared" si="53"/>
        <v>-0.75287111133208662</v>
      </c>
      <c r="AV39" s="732" t="str">
        <f t="shared" si="54"/>
        <v>-4932.43174605609-34089.9912909201i</v>
      </c>
      <c r="AW39" s="337">
        <f t="shared" si="55"/>
        <v>90.742517793827076</v>
      </c>
      <c r="AX39" s="730">
        <f t="shared" si="56"/>
        <v>-98.232909700531224</v>
      </c>
      <c r="AY39" s="360">
        <f t="shared" si="57"/>
        <v>81.767090299468776</v>
      </c>
      <c r="BB39" s="337">
        <f t="shared" si="58"/>
        <v>43.283829589585274</v>
      </c>
      <c r="BC39" s="730">
        <f t="shared" si="59"/>
        <v>-43.136337196652491</v>
      </c>
      <c r="BD39" s="351"/>
      <c r="BE39" s="337">
        <f t="shared" si="19"/>
        <v>24.246387677149901</v>
      </c>
      <c r="BF39" s="730">
        <f t="shared" si="20"/>
        <v>0.47264104953538139</v>
      </c>
      <c r="BI39" s="351"/>
      <c r="BJ39" s="351"/>
      <c r="BL39" s="405">
        <f t="shared" si="21"/>
        <v>0</v>
      </c>
      <c r="BM39" s="405">
        <f t="shared" si="22"/>
        <v>0</v>
      </c>
      <c r="BN39" s="405">
        <f t="shared" si="23"/>
        <v>0</v>
      </c>
      <c r="BO39" s="405">
        <f t="shared" si="24"/>
        <v>0</v>
      </c>
    </row>
    <row r="40" spans="1:67" ht="13.5" thickBot="1" x14ac:dyDescent="0.25">
      <c r="D40" s="345">
        <v>12.023</v>
      </c>
      <c r="E40" s="340" t="str">
        <f t="shared" si="0"/>
        <v>0.000199432825543301i</v>
      </c>
      <c r="F40" s="728" t="str">
        <f t="shared" si="25"/>
        <v>0.005-217.008852011643i</v>
      </c>
      <c r="G40" s="337" t="str">
        <f t="shared" si="26"/>
        <v>0.005-339.424101864365i</v>
      </c>
      <c r="H40" s="338" t="str">
        <f t="shared" si="27"/>
        <v>1.21665097008939-0.00436108866065161i</v>
      </c>
      <c r="I40" s="338" t="str">
        <f t="shared" si="28"/>
        <v>1.22665097008939-0.00436108866065161i</v>
      </c>
      <c r="J40" s="337" t="str">
        <f t="shared" si="29"/>
        <v>1.22656232084731-0.0112940508379663i</v>
      </c>
      <c r="K40" s="338" t="str">
        <f t="shared" si="1"/>
        <v>0.999999998393861-0.0000629522807901835i</v>
      </c>
      <c r="L40" s="732"/>
      <c r="M40" s="732" t="str">
        <f t="shared" si="2"/>
        <v>16.3044008826454+0.147478115575411i</v>
      </c>
      <c r="N40" s="337">
        <f t="shared" si="3"/>
        <v>0</v>
      </c>
      <c r="O40" s="730" t="str">
        <f t="shared" si="4"/>
        <v>16.3043837753059+0.0553158413592079i</v>
      </c>
      <c r="P40" s="731" t="str">
        <f t="shared" si="5"/>
        <v>20.0000294119773-0.00325163273681665i</v>
      </c>
      <c r="Q40" s="729" t="str">
        <f t="shared" si="6"/>
        <v>19.8369855742243-0.00380479115040861i</v>
      </c>
      <c r="R40" s="730"/>
      <c r="S40" s="405" t="str">
        <f t="shared" si="30"/>
        <v>22.5431738219349+0.089788376199532i</v>
      </c>
      <c r="T40" s="405" t="str">
        <f t="shared" si="31"/>
        <v>22.5425051403636-0.0376332385274597i</v>
      </c>
      <c r="U40" s="405" t="str">
        <f t="shared" si="32"/>
        <v>27.4261966253788-0.144096379712362i</v>
      </c>
      <c r="V40" s="731" t="str">
        <f t="shared" si="7"/>
        <v>6000</v>
      </c>
      <c r="W40" s="733" t="str">
        <f>IMSUM(COMPLEX(1,0),IMDIV(COMPLEX(0,2*PI()*D40),COMPLEX(2*PI()*'Stability Calculations'!EA_Pole1,0)))</f>
        <v>1+76.2981643177024i</v>
      </c>
      <c r="X40" s="734">
        <f t="shared" si="33"/>
        <v>76.304717273908537</v>
      </c>
      <c r="Y40" s="735">
        <f t="shared" si="34"/>
        <v>1.5576906019724797</v>
      </c>
      <c r="Z40" s="340" t="str">
        <f>IMSUM(COMPLEX(1,0),IMDIV(COMPLEX(0,2*PI()*D40),COMPLEX(2*PI()*'Stability Calculations'!EA_Zero1,0)))</f>
        <v>1+0.755427369482202i</v>
      </c>
      <c r="AA40" s="734">
        <f t="shared" si="35"/>
        <v>1.2532639428958288</v>
      </c>
      <c r="AB40" s="735">
        <f t="shared" si="36"/>
        <v>0.64696558592602249</v>
      </c>
      <c r="AC40" s="733" t="str">
        <f>IMSUM(COMPLEX(1,0),IMDIV(COMPLEX(0,2*PI()*D40),COMPLEX(2*PI()*'Stability Calculations'!EA_Pole2,0)))</f>
        <v>1+0.00760976446405279i</v>
      </c>
      <c r="AD40" s="734">
        <f t="shared" si="37"/>
        <v>1.0000289538384368</v>
      </c>
      <c r="AE40" s="735">
        <f t="shared" si="38"/>
        <v>7.6096175791025818E-3</v>
      </c>
      <c r="AF40" s="732" t="str">
        <f t="shared" si="39"/>
        <v>59.8303776681613-78.3021714040416i</v>
      </c>
      <c r="AG40" s="337">
        <f t="shared" si="40"/>
        <v>98.543919845430977</v>
      </c>
      <c r="AH40" s="730">
        <f t="shared" si="41"/>
        <v>-0.91833463362555967</v>
      </c>
      <c r="AI40" s="731" t="str">
        <f t="shared" si="14"/>
        <v>10000</v>
      </c>
      <c r="AJ40" s="733" t="str">
        <f t="shared" si="42"/>
        <v>1+71.1308900249705i</v>
      </c>
      <c r="AK40" s="734">
        <f t="shared" si="43"/>
        <v>71.137918972545492</v>
      </c>
      <c r="AL40" s="735">
        <f t="shared" si="44"/>
        <v>1.5567386631533278</v>
      </c>
      <c r="AM40" s="340" t="str">
        <f t="shared" si="45"/>
        <v>1+0.120717293643256i</v>
      </c>
      <c r="AN40" s="734">
        <f t="shared" si="46"/>
        <v>1.0072599788458549</v>
      </c>
      <c r="AO40" s="735">
        <f t="shared" si="47"/>
        <v>0.12013597714622916</v>
      </c>
      <c r="AP40" s="733" t="str">
        <f t="shared" si="48"/>
        <v>1+0.00585498772372686i</v>
      </c>
      <c r="AQ40" s="734">
        <f t="shared" si="49"/>
        <v>1.0000171402937277</v>
      </c>
      <c r="AR40" s="735">
        <f t="shared" si="50"/>
        <v>5.854920820390009E-3</v>
      </c>
      <c r="AS40" s="732" t="str">
        <f t="shared" si="51"/>
        <v>9729.93506447683-9996.3525813469i</v>
      </c>
      <c r="AT40" s="337">
        <f t="shared" si="52"/>
        <v>13949.863844838652</v>
      </c>
      <c r="AU40" s="730">
        <f t="shared" si="53"/>
        <v>-0.79890305214630675</v>
      </c>
      <c r="AV40" s="732" t="str">
        <f t="shared" si="54"/>
        <v>-4572.99037753688-30649.3698004889i</v>
      </c>
      <c r="AW40" s="337">
        <f t="shared" si="55"/>
        <v>89.824051696850006</v>
      </c>
      <c r="AX40" s="730">
        <f t="shared" si="56"/>
        <v>-98.486123284641636</v>
      </c>
      <c r="AY40" s="360">
        <f t="shared" si="57"/>
        <v>81.513876715358364</v>
      </c>
      <c r="BB40" s="337">
        <f t="shared" si="58"/>
        <v>42.891399375527371</v>
      </c>
      <c r="BC40" s="730">
        <f t="shared" si="59"/>
        <v>-45.773773128103301</v>
      </c>
      <c r="BD40" s="351"/>
      <c r="BE40" s="337">
        <f t="shared" si="19"/>
        <v>24.2464522129697</v>
      </c>
      <c r="BF40" s="730">
        <f t="shared" si="20"/>
        <v>0.51824309377307354</v>
      </c>
      <c r="BI40" s="351"/>
      <c r="BJ40" s="351"/>
      <c r="BL40" s="405">
        <f t="shared" si="21"/>
        <v>0</v>
      </c>
      <c r="BM40" s="405">
        <f t="shared" si="22"/>
        <v>0</v>
      </c>
      <c r="BN40" s="405">
        <f t="shared" si="23"/>
        <v>0</v>
      </c>
      <c r="BO40" s="405">
        <f t="shared" si="24"/>
        <v>0</v>
      </c>
    </row>
    <row r="41" spans="1:67" ht="13.5" thickBot="1" x14ac:dyDescent="0.25">
      <c r="D41" s="345">
        <v>13.183</v>
      </c>
      <c r="E41" s="340" t="str">
        <f t="shared" si="0"/>
        <v>0.000218674452228008i</v>
      </c>
      <c r="F41" s="728" t="str">
        <f t="shared" si="25"/>
        <v>0.005-197.913785006143i</v>
      </c>
      <c r="G41" s="337" t="str">
        <f t="shared" si="26"/>
        <v>0.005-309.557458599353i</v>
      </c>
      <c r="H41" s="338" t="str">
        <f t="shared" si="27"/>
        <v>1.2166477951574-0.00478184156757726i</v>
      </c>
      <c r="I41" s="338" t="str">
        <f t="shared" si="28"/>
        <v>1.2266477951574-0.00478184156757726i</v>
      </c>
      <c r="J41" s="337" t="str">
        <f t="shared" si="29"/>
        <v>1.22654121675326-0.0123835067587815i</v>
      </c>
      <c r="K41" s="338" t="str">
        <f t="shared" si="1"/>
        <v>0.999999998068983-0.0000690260265871237i</v>
      </c>
      <c r="L41" s="732"/>
      <c r="M41" s="732" t="str">
        <f t="shared" si="2"/>
        <v>16.3044116145425+0.161707108117372i</v>
      </c>
      <c r="N41" s="337">
        <f t="shared" si="3"/>
        <v>0</v>
      </c>
      <c r="O41" s="730" t="str">
        <f t="shared" si="4"/>
        <v>16.3043910468509+0.0606528270436507i</v>
      </c>
      <c r="P41" s="731" t="str">
        <f t="shared" si="5"/>
        <v>20.0000353612133-0.00356535827870993i</v>
      </c>
      <c r="Q41" s="729" t="str">
        <f t="shared" si="6"/>
        <v>19.8369914507448-0.00417188654914632i</v>
      </c>
      <c r="R41" s="730"/>
      <c r="S41" s="405" t="str">
        <f t="shared" si="30"/>
        <v>22.5432707728758+0.098450763126642i</v>
      </c>
      <c r="T41" s="405" t="str">
        <f t="shared" si="31"/>
        <v>22.542466839988-0.0412639409730705i</v>
      </c>
      <c r="U41" s="405" t="str">
        <f t="shared" si="32"/>
        <v>27.426045260652-0.157998187775579i</v>
      </c>
      <c r="V41" s="731" t="str">
        <f t="shared" si="7"/>
        <v>6000</v>
      </c>
      <c r="W41" s="733" t="str">
        <f>IMSUM(COMPLEX(1,0),IMDIV(COMPLEX(0,2*PI()*D41),COMPLEX(2*PI()*'Stability Calculations'!EA_Pole1,0)))</f>
        <v>1+83.659544223594i</v>
      </c>
      <c r="X41" s="734">
        <f t="shared" si="33"/>
        <v>83.665520614524837</v>
      </c>
      <c r="Y41" s="735">
        <f t="shared" si="34"/>
        <v>1.5588436872370028</v>
      </c>
      <c r="Z41" s="340" t="str">
        <f>IMSUM(COMPLEX(1,0),IMDIV(COMPLEX(0,2*PI()*D41),COMPLEX(2*PI()*'Stability Calculations'!EA_Zero1,0)))</f>
        <v>1+0.828312319045485i</v>
      </c>
      <c r="AA41" s="734">
        <f t="shared" si="35"/>
        <v>1.2984996333778878</v>
      </c>
      <c r="AB41" s="735">
        <f t="shared" si="36"/>
        <v>0.69176772803883524</v>
      </c>
      <c r="AC41" s="733" t="str">
        <f>IMSUM(COMPLEX(1,0),IMDIV(COMPLEX(0,2*PI()*D41),COMPLEX(2*PI()*'Stability Calculations'!EA_Pole2,0)))</f>
        <v>1+0.00834396780583947i</v>
      </c>
      <c r="AD41" s="734">
        <f t="shared" si="37"/>
        <v>1.0000348102934942</v>
      </c>
      <c r="AE41" s="735">
        <f t="shared" si="38"/>
        <v>8.3437741732455984E-3</v>
      </c>
      <c r="AF41" s="732" t="str">
        <f t="shared" si="39"/>
        <v>59.6580396561485-71.496801652155i</v>
      </c>
      <c r="AG41" s="337">
        <f t="shared" si="40"/>
        <v>93.117529725085504</v>
      </c>
      <c r="AH41" s="730">
        <f t="shared" si="41"/>
        <v>-0.87541973337141565</v>
      </c>
      <c r="AI41" s="731" t="str">
        <f t="shared" si="14"/>
        <v>10000</v>
      </c>
      <c r="AJ41" s="733" t="str">
        <f t="shared" si="42"/>
        <v>1+77.9937222988594i</v>
      </c>
      <c r="AK41" s="734">
        <f t="shared" si="43"/>
        <v>78.000132807781796</v>
      </c>
      <c r="AL41" s="735">
        <f t="shared" si="44"/>
        <v>1.5579754845707472</v>
      </c>
      <c r="AM41" s="340" t="str">
        <f t="shared" si="45"/>
        <v>1+0.132364308583468i</v>
      </c>
      <c r="AN41" s="734">
        <f t="shared" si="46"/>
        <v>1.008722117427183</v>
      </c>
      <c r="AO41" s="735">
        <f t="shared" si="47"/>
        <v>0.13159931315021267</v>
      </c>
      <c r="AP41" s="733" t="str">
        <f t="shared" si="48"/>
        <v>1+0.00641988714646021i</v>
      </c>
      <c r="AQ41" s="734">
        <f t="shared" si="49"/>
        <v>1.000020607263157</v>
      </c>
      <c r="AR41" s="735">
        <f t="shared" si="50"/>
        <v>6.4197989501965378E-3</v>
      </c>
      <c r="AS41" s="732" t="str">
        <f t="shared" si="51"/>
        <v>8814.40535933879-9929.46954011318i</v>
      </c>
      <c r="AT41" s="337">
        <f t="shared" si="52"/>
        <v>13277.353169467771</v>
      </c>
      <c r="AU41" s="730">
        <f t="shared" si="53"/>
        <v>-0.84481765736780645</v>
      </c>
      <c r="AV41" s="732" t="str">
        <f t="shared" si="54"/>
        <v>-4199.95665125144-27552.2489909004i</v>
      </c>
      <c r="AW41" s="337">
        <f t="shared" si="55"/>
        <v>88.902902414444114</v>
      </c>
      <c r="AX41" s="730">
        <f t="shared" si="56"/>
        <v>-98.667221943910477</v>
      </c>
      <c r="AY41" s="360">
        <f t="shared" si="57"/>
        <v>81.332778056089523</v>
      </c>
      <c r="BB41" s="337">
        <f t="shared" si="58"/>
        <v>42.462230147532402</v>
      </c>
      <c r="BC41" s="730">
        <f t="shared" si="59"/>
        <v>-48.404486225304566</v>
      </c>
      <c r="BD41" s="351"/>
      <c r="BE41" s="337">
        <f t="shared" si="19"/>
        <v>24.246529796451188</v>
      </c>
      <c r="BF41" s="730">
        <f t="shared" si="20"/>
        <v>0.568240747097982</v>
      </c>
      <c r="BI41" s="351"/>
      <c r="BJ41" s="351"/>
      <c r="BL41" s="405">
        <f t="shared" si="21"/>
        <v>0</v>
      </c>
      <c r="BM41" s="405">
        <f t="shared" si="22"/>
        <v>0</v>
      </c>
      <c r="BN41" s="405">
        <f t="shared" si="23"/>
        <v>0</v>
      </c>
      <c r="BO41" s="405">
        <f t="shared" si="24"/>
        <v>0</v>
      </c>
    </row>
    <row r="42" spans="1:67" ht="13.5" thickBot="1" x14ac:dyDescent="0.25">
      <c r="D42" s="345">
        <v>14.454000000000001</v>
      </c>
      <c r="E42" s="340" t="str">
        <f t="shared" si="0"/>
        <v>0.000239757303535131i</v>
      </c>
      <c r="F42" s="728" t="str">
        <f t="shared" si="25"/>
        <v>0.005-180.510407343018i</v>
      </c>
      <c r="G42" s="337" t="str">
        <f t="shared" si="26"/>
        <v>0.005-282.336790972413i</v>
      </c>
      <c r="H42" s="338" t="str">
        <f t="shared" si="27"/>
        <v>1.21664398093117-0.00524285219178381i</v>
      </c>
      <c r="I42" s="338" t="str">
        <f t="shared" si="28"/>
        <v>1.22664398093117-0.00524285219178381i</v>
      </c>
      <c r="J42" s="337" t="str">
        <f t="shared" si="29"/>
        <v>1.22651586402299-0.0135771443842325i</v>
      </c>
      <c r="K42" s="338" t="str">
        <f t="shared" si="1"/>
        <v>0.999999997678688-0.0000756809670249781i</v>
      </c>
      <c r="L42" s="732"/>
      <c r="M42" s="732" t="str">
        <f t="shared" si="2"/>
        <v>16.3044245074675+0.177297682942996i</v>
      </c>
      <c r="N42" s="337">
        <f t="shared" si="3"/>
        <v>0</v>
      </c>
      <c r="O42" s="730" t="str">
        <f t="shared" si="4"/>
        <v>16.3043997826288+0.0665005124131842i</v>
      </c>
      <c r="P42" s="731" t="str">
        <f t="shared" si="5"/>
        <v>20.0000425084144-0.00390910485560202i</v>
      </c>
      <c r="Q42" s="729" t="str">
        <f t="shared" si="6"/>
        <v>19.8369985105881-0.00457410997973389i</v>
      </c>
      <c r="R42" s="730"/>
      <c r="S42" s="405" t="str">
        <f t="shared" si="30"/>
        <v>22.5433872448238+0.107941875348856i</v>
      </c>
      <c r="T42" s="405" t="str">
        <f t="shared" si="31"/>
        <v>22.5424208278569-0.0452419947777391i</v>
      </c>
      <c r="U42" s="405" t="str">
        <f t="shared" si="32"/>
        <v>27.4258634187381-0.173229981077096i</v>
      </c>
      <c r="V42" s="731" t="str">
        <f t="shared" si="7"/>
        <v>6000</v>
      </c>
      <c r="W42" s="733" t="str">
        <f>IMSUM(COMPLEX(1,0),IMDIV(COMPLEX(0,2*PI()*D42),COMPLEX(2*PI()*'Stability Calculations'!EA_Pole1,0)))</f>
        <v>1+91.7253320342734i</v>
      </c>
      <c r="X42" s="734">
        <f t="shared" si="33"/>
        <v>91.730782929165613</v>
      </c>
      <c r="Y42" s="735">
        <f t="shared" si="34"/>
        <v>1.5598946449807929</v>
      </c>
      <c r="Z42" s="340" t="str">
        <f>IMSUM(COMPLEX(1,0),IMDIV(COMPLEX(0,2*PI()*D42),COMPLEX(2*PI()*'Stability Calculations'!EA_Zero1,0)))</f>
        <v>1+0.908171604299737i</v>
      </c>
      <c r="AA42" s="734">
        <f t="shared" si="35"/>
        <v>1.3508425751568383</v>
      </c>
      <c r="AB42" s="735">
        <f t="shared" si="36"/>
        <v>0.73731149997518142</v>
      </c>
      <c r="AC42" s="733" t="str">
        <f>IMSUM(COMPLEX(1,0),IMDIV(COMPLEX(0,2*PI()*D42),COMPLEX(2*PI()*'Stability Calculations'!EA_Pole2,0)))</f>
        <v>1+0.00914842681222814i</v>
      </c>
      <c r="AD42" s="734">
        <f t="shared" si="37"/>
        <v>1.0000418459810263</v>
      </c>
      <c r="AE42" s="735">
        <f t="shared" si="38"/>
        <v>9.1481716031072257E-3</v>
      </c>
      <c r="AF42" s="732" t="str">
        <f t="shared" si="39"/>
        <v>59.5145236928123-65.3017994064858i</v>
      </c>
      <c r="AG42" s="337">
        <f t="shared" si="40"/>
        <v>88.353288202008798</v>
      </c>
      <c r="AH42" s="730">
        <f t="shared" si="41"/>
        <v>-0.83173131660871935</v>
      </c>
      <c r="AI42" s="731" t="str">
        <f t="shared" si="14"/>
        <v>10000</v>
      </c>
      <c r="AJ42" s="733" t="str">
        <f t="shared" si="42"/>
        <v>1+85.5132566265427i</v>
      </c>
      <c r="AK42" s="734">
        <f t="shared" si="43"/>
        <v>85.519103473299751</v>
      </c>
      <c r="AL42" s="735">
        <f t="shared" si="44"/>
        <v>1.5591027665301105</v>
      </c>
      <c r="AM42" s="340" t="str">
        <f t="shared" si="45"/>
        <v>1+0.145125822367098i</v>
      </c>
      <c r="AN42" s="734">
        <f t="shared" si="46"/>
        <v>1.0104758801266494</v>
      </c>
      <c r="AO42" s="735">
        <f t="shared" si="47"/>
        <v>0.14411965093269868</v>
      </c>
      <c r="AP42" s="733" t="str">
        <f t="shared" si="48"/>
        <v>1+0.00703884160016202i</v>
      </c>
      <c r="AQ42" s="734">
        <f t="shared" si="49"/>
        <v>1.0000247723387017</v>
      </c>
      <c r="AR42" s="735">
        <f t="shared" si="50"/>
        <v>7.0387253564656331E-3</v>
      </c>
      <c r="AS42" s="732" t="str">
        <f t="shared" si="51"/>
        <v>7919.20803054471-9781.1198121611i</v>
      </c>
      <c r="AT42" s="337">
        <f t="shared" si="52"/>
        <v>12585.076901270575</v>
      </c>
      <c r="AU42" s="730">
        <f t="shared" si="53"/>
        <v>-0.89020354423309478</v>
      </c>
      <c r="AV42" s="732" t="str">
        <f t="shared" si="54"/>
        <v>-3823.71322458384-24772.3446041169i</v>
      </c>
      <c r="AW42" s="337">
        <f t="shared" si="55"/>
        <v>87.981600368547049</v>
      </c>
      <c r="AX42" s="730">
        <f t="shared" si="56"/>
        <v>-98.774590961375196</v>
      </c>
      <c r="AY42" s="360">
        <f t="shared" si="57"/>
        <v>81.225409038624804</v>
      </c>
      <c r="BB42" s="337">
        <f t="shared" si="58"/>
        <v>41.997117473087606</v>
      </c>
      <c r="BC42" s="730">
        <f t="shared" si="59"/>
        <v>-51.004905992143826</v>
      </c>
      <c r="BD42" s="351"/>
      <c r="BE42" s="337">
        <f t="shared" si="19"/>
        <v>24.246623000723645</v>
      </c>
      <c r="BF42" s="730">
        <f t="shared" si="20"/>
        <v>0.62302159568575455</v>
      </c>
      <c r="BI42" s="351"/>
      <c r="BJ42" s="351"/>
      <c r="BL42" s="405">
        <f t="shared" si="21"/>
        <v>0</v>
      </c>
      <c r="BM42" s="405">
        <f t="shared" si="22"/>
        <v>0</v>
      </c>
      <c r="BN42" s="405">
        <f t="shared" si="23"/>
        <v>0</v>
      </c>
      <c r="BO42" s="405">
        <f t="shared" si="24"/>
        <v>0</v>
      </c>
    </row>
    <row r="43" spans="1:67" ht="13.5" thickBot="1" x14ac:dyDescent="0.25">
      <c r="D43" s="345">
        <v>15.849</v>
      </c>
      <c r="E43" s="340" t="str">
        <f t="shared" si="0"/>
        <v>0.000262897018384412i</v>
      </c>
      <c r="F43" s="728" t="str">
        <f t="shared" si="25"/>
        <v>0.005-164.622211353144i</v>
      </c>
      <c r="G43" s="337" t="str">
        <f t="shared" si="26"/>
        <v>0.005-257.486022885688i</v>
      </c>
      <c r="H43" s="338" t="str">
        <f t="shared" si="27"/>
        <v>1.21663939078178-0.0057488342052476i</v>
      </c>
      <c r="I43" s="338" t="str">
        <f t="shared" si="28"/>
        <v>1.22663939078178-0.0057488342052476i</v>
      </c>
      <c r="J43" s="337" t="str">
        <f t="shared" si="29"/>
        <v>1.22648535500187-0.0148871447794453i</v>
      </c>
      <c r="K43" s="338" t="str">
        <f t="shared" si="1"/>
        <v>0.999999997208991-0.0000829851699445744i</v>
      </c>
      <c r="L43" s="732"/>
      <c r="M43" s="732" t="str">
        <f t="shared" si="2"/>
        <v>16.3044400233103+0.194409309115545i</v>
      </c>
      <c r="N43" s="337">
        <f t="shared" si="3"/>
        <v>0</v>
      </c>
      <c r="O43" s="730" t="str">
        <f t="shared" si="4"/>
        <v>16.3044102955986+0.0729187107534232i</v>
      </c>
      <c r="P43" s="731" t="str">
        <f t="shared" si="5"/>
        <v>20.0000511096277-0.00428638866855556i</v>
      </c>
      <c r="Q43" s="729" t="str">
        <f t="shared" si="6"/>
        <v>19.8370070066717-0.0050155757760896i</v>
      </c>
      <c r="R43" s="730"/>
      <c r="S43" s="405" t="str">
        <f t="shared" si="30"/>
        <v>22.5435274094593+0.11835871809307i</v>
      </c>
      <c r="T43" s="405" t="str">
        <f t="shared" si="31"/>
        <v>22.542365455952-0.0496080599261702i</v>
      </c>
      <c r="U43" s="405" t="str">
        <f t="shared" si="32"/>
        <v>27.4256445865978-0.189947441406808i</v>
      </c>
      <c r="V43" s="731" t="str">
        <f t="shared" si="7"/>
        <v>6000</v>
      </c>
      <c r="W43" s="733" t="str">
        <f>IMSUM(COMPLEX(1,0),IMDIV(COMPLEX(0,2*PI()*D43),COMPLEX(2*PI()*'Stability Calculations'!EA_Pole1,0)))</f>
        <v>1+100.578025972824i</v>
      </c>
      <c r="X43" s="734">
        <f t="shared" si="33"/>
        <v>100.58299711477113</v>
      </c>
      <c r="Y43" s="735">
        <f t="shared" si="34"/>
        <v>1.5608541247981482</v>
      </c>
      <c r="Z43" s="340" t="str">
        <f>IMSUM(COMPLEX(1,0),IMDIV(COMPLEX(0,2*PI()*D43),COMPLEX(2*PI()*'Stability Calculations'!EA_Zero1,0)))</f>
        <v>1+0.995822039334893i</v>
      </c>
      <c r="AA43" s="734">
        <f t="shared" si="35"/>
        <v>1.4112623902113686</v>
      </c>
      <c r="AB43" s="735">
        <f t="shared" si="36"/>
        <v>0.78330481314878131</v>
      </c>
      <c r="AC43" s="733" t="str">
        <f>IMSUM(COMPLEX(1,0),IMDIV(COMPLEX(0,2*PI()*D43),COMPLEX(2*PI()*'Stability Calculations'!EA_Pole2,0)))</f>
        <v>1+0.0100313696241182i</v>
      </c>
      <c r="AD43" s="734">
        <f t="shared" si="37"/>
        <v>1.0000503129225728</v>
      </c>
      <c r="AE43" s="735">
        <f t="shared" si="38"/>
        <v>1.0031033164285842E-2</v>
      </c>
      <c r="AF43" s="732" t="str">
        <f t="shared" si="39"/>
        <v>59.3947170241024-59.6545044351465i</v>
      </c>
      <c r="AG43" s="337">
        <f t="shared" si="40"/>
        <v>84.180712219463388</v>
      </c>
      <c r="AH43" s="730">
        <f t="shared" si="41"/>
        <v>-0.78758034481365335</v>
      </c>
      <c r="AI43" s="731" t="str">
        <f t="shared" si="14"/>
        <v>10000</v>
      </c>
      <c r="AJ43" s="733" t="str">
        <f t="shared" si="42"/>
        <v>1+93.766404059366i</v>
      </c>
      <c r="AK43" s="734">
        <f t="shared" si="43"/>
        <v>93.771736308038399</v>
      </c>
      <c r="AL43" s="735">
        <f t="shared" si="44"/>
        <v>1.5601319305224657</v>
      </c>
      <c r="AM43" s="340" t="str">
        <f t="shared" si="45"/>
        <v>1+0.159132361885716i</v>
      </c>
      <c r="AN43" s="734">
        <f t="shared" si="46"/>
        <v>1.0125823959556706</v>
      </c>
      <c r="AO43" s="735">
        <f t="shared" si="47"/>
        <v>0.15780916686271637</v>
      </c>
      <c r="AP43" s="733" t="str">
        <f t="shared" si="48"/>
        <v>1+0.00771818185422498i</v>
      </c>
      <c r="AQ43" s="734">
        <f t="shared" si="49"/>
        <v>1.0000297847220025</v>
      </c>
      <c r="AR43" s="735">
        <f t="shared" si="50"/>
        <v>7.718028601486261E-3</v>
      </c>
      <c r="AS43" s="732" t="str">
        <f t="shared" si="51"/>
        <v>7056.72185500003-9557.04524218472i</v>
      </c>
      <c r="AT43" s="337">
        <f t="shared" si="52"/>
        <v>11880.001561447738</v>
      </c>
      <c r="AU43" s="730">
        <f t="shared" si="53"/>
        <v>-0.93477421446161768</v>
      </c>
      <c r="AV43" s="732" t="str">
        <f t="shared" si="54"/>
        <v>-3452.68740033238-22277.9653319128i</v>
      </c>
      <c r="AW43" s="337">
        <f t="shared" si="55"/>
        <v>87.06059262871959</v>
      </c>
      <c r="AX43" s="730">
        <f t="shared" si="56"/>
        <v>-98.809735342173042</v>
      </c>
      <c r="AY43" s="360">
        <f t="shared" si="57"/>
        <v>81.190264657826958</v>
      </c>
      <c r="BB43" s="337">
        <f t="shared" si="58"/>
        <v>41.496329954533252</v>
      </c>
      <c r="BC43" s="730">
        <f t="shared" si="59"/>
        <v>-53.558617286307573</v>
      </c>
      <c r="BD43" s="351"/>
      <c r="BE43" s="337">
        <f t="shared" si="19"/>
        <v>24.246735163724665</v>
      </c>
      <c r="BF43" s="730">
        <f t="shared" si="20"/>
        <v>0.68314551451707395</v>
      </c>
      <c r="BI43" s="351"/>
      <c r="BJ43" s="351"/>
      <c r="BL43" s="405">
        <f t="shared" si="21"/>
        <v>0</v>
      </c>
      <c r="BM43" s="405">
        <f t="shared" si="22"/>
        <v>0</v>
      </c>
      <c r="BN43" s="405">
        <f t="shared" si="23"/>
        <v>0</v>
      </c>
      <c r="BO43" s="405">
        <f t="shared" si="24"/>
        <v>0</v>
      </c>
    </row>
    <row r="44" spans="1:67" ht="13.5" thickBot="1" x14ac:dyDescent="0.25">
      <c r="D44" s="345">
        <v>17.378</v>
      </c>
      <c r="E44" s="340" t="str">
        <f t="shared" si="0"/>
        <v>0.00028825947286796i</v>
      </c>
      <c r="F44" s="728" t="str">
        <f t="shared" si="25"/>
        <v>0.005-150.137957632408i</v>
      </c>
      <c r="G44" s="337" t="str">
        <f t="shared" si="26"/>
        <v>0.005-234.831164501972i</v>
      </c>
      <c r="H44" s="338" t="str">
        <f t="shared" si="27"/>
        <v>1.21663387430263-0.00630341257975272i</v>
      </c>
      <c r="I44" s="338" t="str">
        <f t="shared" si="28"/>
        <v>1.22663387430263-0.00630341257975272i</v>
      </c>
      <c r="J44" s="337" t="str">
        <f t="shared" si="29"/>
        <v>1.22644869071936-0.0163228621393443i</v>
      </c>
      <c r="K44" s="338" t="str">
        <f t="shared" si="1"/>
        <v>0.999999996644501-0.0000909909952234724i</v>
      </c>
      <c r="L44" s="732"/>
      <c r="M44" s="732" t="str">
        <f t="shared" si="2"/>
        <v>16.3044586705602+0.213164658621858i</v>
      </c>
      <c r="N44" s="337">
        <f t="shared" si="3"/>
        <v>0</v>
      </c>
      <c r="O44" s="730" t="str">
        <f t="shared" si="4"/>
        <v>16.3044229302926+0.079953433536473i</v>
      </c>
      <c r="P44" s="731" t="str">
        <f t="shared" si="5"/>
        <v>20.0000614467321-0.00469991466177372i</v>
      </c>
      <c r="Q44" s="729" t="str">
        <f t="shared" si="6"/>
        <v>19.8370172174291-0.00549944899713858i</v>
      </c>
      <c r="R44" s="730"/>
      <c r="S44" s="405" t="str">
        <f t="shared" si="30"/>
        <v>22.5436958589468+0.129775869799251i</v>
      </c>
      <c r="T44" s="405" t="str">
        <f t="shared" si="31"/>
        <v>22.5422989101428-0.0543933971543306i</v>
      </c>
      <c r="U44" s="405" t="str">
        <f t="shared" si="32"/>
        <v>27.4253815947109-0.208270260043094i</v>
      </c>
      <c r="V44" s="731" t="str">
        <f t="shared" si="7"/>
        <v>6000</v>
      </c>
      <c r="W44" s="733" t="str">
        <f>IMSUM(COMPLEX(1,0),IMDIV(COMPLEX(0,2*PI()*D44),COMPLEX(2*PI()*'Stability Calculations'!EA_Pole1,0)))</f>
        <v>1+110.281086210849i</v>
      </c>
      <c r="X44" s="734">
        <f t="shared" si="33"/>
        <v>110.28561998667237</v>
      </c>
      <c r="Y44" s="735">
        <f t="shared" si="34"/>
        <v>1.5617288372755922</v>
      </c>
      <c r="Z44" s="340" t="str">
        <f>IMSUM(COMPLEX(1,0),IMDIV(COMPLEX(0,2*PI()*D44),COMPLEX(2*PI()*'Stability Calculations'!EA_Zero1,0)))</f>
        <v>1+1.09189194268167i</v>
      </c>
      <c r="AA44" s="734">
        <f t="shared" si="35"/>
        <v>1.480617443667726</v>
      </c>
      <c r="AB44" s="735">
        <f t="shared" si="36"/>
        <v>0.82929761298778648</v>
      </c>
      <c r="AC44" s="733" t="str">
        <f>IMSUM(COMPLEX(1,0),IMDIV(COMPLEX(0,2*PI()*D44),COMPLEX(2*PI()*'Stability Calculations'!EA_Pole2,0)))</f>
        <v>1+0.0109991255806629i</v>
      </c>
      <c r="AD44" s="734">
        <f t="shared" si="37"/>
        <v>1.0000604885523372</v>
      </c>
      <c r="AE44" s="735">
        <f t="shared" si="38"/>
        <v>1.0998682051987179E-2</v>
      </c>
      <c r="AF44" s="732" t="str">
        <f t="shared" si="39"/>
        <v>59.2947361226255-54.51551210225i</v>
      </c>
      <c r="AG44" s="337">
        <f t="shared" si="40"/>
        <v>80.546922918398039</v>
      </c>
      <c r="AH44" s="730">
        <f t="shared" si="41"/>
        <v>-0.74342990633979344</v>
      </c>
      <c r="AI44" s="731" t="str">
        <f t="shared" si="14"/>
        <v>10000</v>
      </c>
      <c r="AJ44" s="733" t="str">
        <f t="shared" si="42"/>
        <v>1+102.812326944518i</v>
      </c>
      <c r="AK44" s="734">
        <f t="shared" si="43"/>
        <v>102.81719005957353</v>
      </c>
      <c r="AL44" s="735">
        <f t="shared" si="44"/>
        <v>1.5610701733575383</v>
      </c>
      <c r="AM44" s="340" t="str">
        <f t="shared" si="45"/>
        <v>1+0.174484332440531i</v>
      </c>
      <c r="AN44" s="734">
        <f t="shared" si="46"/>
        <v>1.0151082613530529</v>
      </c>
      <c r="AO44" s="735">
        <f t="shared" si="47"/>
        <v>0.17274527817109814</v>
      </c>
      <c r="AP44" s="733" t="str">
        <f t="shared" si="48"/>
        <v>1+0.00846277773125887i</v>
      </c>
      <c r="AQ44" s="734">
        <f t="shared" si="49"/>
        <v>1.0000358086623342</v>
      </c>
      <c r="AR44" s="735">
        <f t="shared" si="50"/>
        <v>8.4625757091559718E-3</v>
      </c>
      <c r="AS44" s="732" t="str">
        <f t="shared" si="51"/>
        <v>6239.96742793638-9266.18341373732i</v>
      </c>
      <c r="AT44" s="337">
        <f t="shared" si="52"/>
        <v>11171.362878303058</v>
      </c>
      <c r="AU44" s="730">
        <f t="shared" si="53"/>
        <v>-0.97813778594569512</v>
      </c>
      <c r="AV44" s="732" t="str">
        <f t="shared" si="54"/>
        <v>-3095.05982590489-20046.5238185985i</v>
      </c>
      <c r="AW44" s="337">
        <f t="shared" si="55"/>
        <v>86.143091634056859</v>
      </c>
      <c r="AX44" s="730">
        <f t="shared" si="56"/>
        <v>-98.776814387601661</v>
      </c>
      <c r="AY44" s="360">
        <f t="shared" si="57"/>
        <v>81.223185612398339</v>
      </c>
      <c r="BB44" s="337">
        <f t="shared" si="58"/>
        <v>40.962123183745469</v>
      </c>
      <c r="BC44" s="730">
        <f t="shared" si="59"/>
        <v>-56.043166916959059</v>
      </c>
      <c r="BD44" s="351"/>
      <c r="BE44" s="337">
        <f t="shared" si="19"/>
        <v>24.246869959685476</v>
      </c>
      <c r="BF44" s="730">
        <f t="shared" si="20"/>
        <v>0.74904292860757216</v>
      </c>
      <c r="BI44" s="351"/>
      <c r="BJ44" s="351"/>
      <c r="BL44" s="405">
        <f t="shared" si="21"/>
        <v>0</v>
      </c>
      <c r="BM44" s="405">
        <f t="shared" si="22"/>
        <v>0</v>
      </c>
      <c r="BN44" s="405">
        <f t="shared" si="23"/>
        <v>0</v>
      </c>
      <c r="BO44" s="405">
        <f t="shared" si="24"/>
        <v>0</v>
      </c>
    </row>
    <row r="45" spans="1:67" ht="13.5" thickBot="1" x14ac:dyDescent="0.25">
      <c r="D45" s="345">
        <v>19.055</v>
      </c>
      <c r="E45" s="340" t="str">
        <f t="shared" si="0"/>
        <v>0.000316076893514731i</v>
      </c>
      <c r="F45" s="728" t="str">
        <f t="shared" si="25"/>
        <v>0.005-136.924556690422i</v>
      </c>
      <c r="G45" s="337" t="str">
        <f t="shared" si="26"/>
        <v>0.005-214.164050208096i</v>
      </c>
      <c r="H45" s="338" t="str">
        <f t="shared" si="27"/>
        <v>1.21662724012637-0.00691166239268183i</v>
      </c>
      <c r="I45" s="338" t="str">
        <f t="shared" si="28"/>
        <v>1.22662724012637-0.00691166239268183i</v>
      </c>
      <c r="J45" s="337" t="str">
        <f t="shared" si="29"/>
        <v>1.22640460033574-0.017897394335877i</v>
      </c>
      <c r="K45" s="338" t="str">
        <f t="shared" si="1"/>
        <v>0.999999995965633-0.0000997717466902558i</v>
      </c>
      <c r="L45" s="732"/>
      <c r="M45" s="732" t="str">
        <f t="shared" si="2"/>
        <v>16.3044810962048+0.233735471806691i</v>
      </c>
      <c r="N45" s="337">
        <f t="shared" si="3"/>
        <v>0</v>
      </c>
      <c r="O45" s="730" t="str">
        <f t="shared" si="4"/>
        <v>16.3044381250844+0.0876690966659251i</v>
      </c>
      <c r="P45" s="731" t="str">
        <f t="shared" si="5"/>
        <v>20.0000738783818-0.00515346973525759i</v>
      </c>
      <c r="Q45" s="729" t="str">
        <f t="shared" si="6"/>
        <v>19.837029497131-0.00603016070191686i</v>
      </c>
      <c r="R45" s="730"/>
      <c r="S45" s="405" t="str">
        <f t="shared" si="30"/>
        <v>22.5438984358864+0.142297745436342i</v>
      </c>
      <c r="T45" s="405" t="str">
        <f t="shared" si="31"/>
        <v>22.5422188823154-0.0596417735272584i</v>
      </c>
      <c r="U45" s="405" t="str">
        <f t="shared" si="32"/>
        <v>27.4250653213128-0.228366012819211i</v>
      </c>
      <c r="V45" s="731" t="str">
        <f t="shared" si="7"/>
        <v>6000</v>
      </c>
      <c r="W45" s="733" t="str">
        <f>IMSUM(COMPLEX(1,0),IMDIV(COMPLEX(0,2*PI()*D45),COMPLEX(2*PI()*'Stability Calculations'!EA_Pole1,0)))</f>
        <v>1+120.92335698859i</v>
      </c>
      <c r="X45" s="734">
        <f t="shared" si="33"/>
        <v>120.92749176837324</v>
      </c>
      <c r="Y45" s="735">
        <f t="shared" si="34"/>
        <v>1.5625268143545077</v>
      </c>
      <c r="Z45" s="340" t="str">
        <f>IMSUM(COMPLEX(1,0),IMDIV(COMPLEX(0,2*PI()*D45),COMPLEX(2*PI()*'Stability Calculations'!EA_Zero1,0)))</f>
        <v>1+1.19726096028307i</v>
      </c>
      <c r="AA45" s="734">
        <f t="shared" si="35"/>
        <v>1.5599467321091252</v>
      </c>
      <c r="AB45" s="735">
        <f t="shared" si="36"/>
        <v>0.87493397960909269</v>
      </c>
      <c r="AC45" s="733" t="str">
        <f>IMSUM(COMPLEX(1,0),IMDIV(COMPLEX(0,2*PI()*D45),COMPLEX(2*PI()*'Stability Calculations'!EA_Pole2,0)))</f>
        <v>1+0.0120605557566769i</v>
      </c>
      <c r="AD45" s="734">
        <f t="shared" si="37"/>
        <v>1.0000727258580548</v>
      </c>
      <c r="AE45" s="735">
        <f t="shared" si="38"/>
        <v>1.2059971043599443E-2</v>
      </c>
      <c r="AF45" s="732" t="str">
        <f t="shared" si="39"/>
        <v>59.2111075761221-49.8376957319237i</v>
      </c>
      <c r="AG45" s="337">
        <f t="shared" si="40"/>
        <v>77.393482776386989</v>
      </c>
      <c r="AH45" s="730">
        <f t="shared" si="41"/>
        <v>-0.6996528057890139</v>
      </c>
      <c r="AI45" s="731" t="str">
        <f t="shared" si="14"/>
        <v>10000</v>
      </c>
      <c r="AJ45" s="733" t="str">
        <f t="shared" si="42"/>
        <v>1+112.733852568062i</v>
      </c>
      <c r="AK45" s="734">
        <f t="shared" si="43"/>
        <v>112.73828770580801</v>
      </c>
      <c r="AL45" s="735">
        <f t="shared" si="44"/>
        <v>1.5619261094629715</v>
      </c>
      <c r="AM45" s="340" t="str">
        <f t="shared" si="45"/>
        <v>1+0.191322301453235i</v>
      </c>
      <c r="AN45" s="734">
        <f t="shared" si="46"/>
        <v>1.0181376247999887</v>
      </c>
      <c r="AO45" s="735">
        <f t="shared" si="47"/>
        <v>0.18903786599737235</v>
      </c>
      <c r="AP45" s="733" t="str">
        <f t="shared" si="48"/>
        <v>1+0.00927944698291734i</v>
      </c>
      <c r="AQ45" s="734">
        <f t="shared" si="49"/>
        <v>1.000043053141368</v>
      </c>
      <c r="AR45" s="735">
        <f t="shared" si="50"/>
        <v>9.2791806513819672E-3</v>
      </c>
      <c r="AS45" s="732" t="str">
        <f t="shared" si="51"/>
        <v>5477.53241310107-8918.9285749718i</v>
      </c>
      <c r="AT45" s="337">
        <f t="shared" si="52"/>
        <v>10466.644556018004</v>
      </c>
      <c r="AU45" s="730">
        <f t="shared" si="53"/>
        <v>-1.0200395760162153</v>
      </c>
      <c r="AV45" s="732" t="str">
        <f t="shared" si="54"/>
        <v>-2756.63359691354-18051.1167141028i</v>
      </c>
      <c r="AW45" s="337">
        <f t="shared" si="55"/>
        <v>85.230200982617745</v>
      </c>
      <c r="AX45" s="730">
        <f t="shared" si="56"/>
        <v>-98.682707267073781</v>
      </c>
      <c r="AY45" s="360">
        <f t="shared" si="57"/>
        <v>81.317292732926219</v>
      </c>
      <c r="BB45" s="337">
        <f t="shared" si="58"/>
        <v>40.396149518263059</v>
      </c>
      <c r="BC45" s="730">
        <f t="shared" si="59"/>
        <v>-58.443962642043047</v>
      </c>
      <c r="BD45" s="351"/>
      <c r="BE45" s="337">
        <f t="shared" si="19"/>
        <v>24.247032063189252</v>
      </c>
      <c r="BF45" s="730">
        <f t="shared" si="20"/>
        <v>0.82131646421077453</v>
      </c>
      <c r="BI45" s="351"/>
      <c r="BJ45" s="351"/>
      <c r="BL45" s="405">
        <f t="shared" si="21"/>
        <v>0</v>
      </c>
      <c r="BM45" s="405">
        <f t="shared" si="22"/>
        <v>0</v>
      </c>
      <c r="BN45" s="405">
        <f t="shared" si="23"/>
        <v>0</v>
      </c>
      <c r="BO45" s="405">
        <f t="shared" si="24"/>
        <v>0</v>
      </c>
    </row>
    <row r="46" spans="1:67" ht="13.5" thickBot="1" x14ac:dyDescent="0.25">
      <c r="D46" s="345">
        <v>20.893000000000001</v>
      </c>
      <c r="E46" s="340" t="str">
        <f t="shared" si="0"/>
        <v>0.000346564919244464i</v>
      </c>
      <c r="F46" s="728" t="str">
        <f t="shared" si="25"/>
        <v>0.005-124.879023009428i</v>
      </c>
      <c r="G46" s="337" t="str">
        <f t="shared" si="26"/>
        <v>0.005-195.32360009167i</v>
      </c>
      <c r="H46" s="338" t="str">
        <f t="shared" si="27"/>
        <v>1.21661926763015-0.00757829505118752i</v>
      </c>
      <c r="I46" s="338" t="str">
        <f t="shared" si="28"/>
        <v>1.22661926763015-0.00757829505118752i</v>
      </c>
      <c r="J46" s="337" t="str">
        <f t="shared" si="29"/>
        <v>1.22635161911776-0.0196228838252346i</v>
      </c>
      <c r="K46" s="338" t="str">
        <f t="shared" si="1"/>
        <v>0.999999995149806-0.000109395492185753i</v>
      </c>
      <c r="L46" s="732"/>
      <c r="M46" s="732" t="str">
        <f t="shared" si="2"/>
        <v>16.3045080461822+0.256281226202964i</v>
      </c>
      <c r="N46" s="337">
        <f t="shared" si="3"/>
        <v>0</v>
      </c>
      <c r="O46" s="730" t="str">
        <f t="shared" si="4"/>
        <v>16.3044563853916+0.0961255164784531i</v>
      </c>
      <c r="P46" s="731" t="str">
        <f t="shared" si="5"/>
        <v>20.0000888180825-0.00565057051434647i</v>
      </c>
      <c r="Q46" s="729" t="str">
        <f t="shared" si="6"/>
        <v>19.8370442542286-0.0066118256791309i</v>
      </c>
      <c r="R46" s="730"/>
      <c r="S46" s="405" t="str">
        <f t="shared" si="30"/>
        <v>22.5441418757286+0.156021250447317i</v>
      </c>
      <c r="T46" s="405" t="str">
        <f t="shared" si="31"/>
        <v>22.5421227116362-0.0653938096295395i</v>
      </c>
      <c r="U46" s="405" t="str">
        <f t="shared" si="32"/>
        <v>27.4246852506758-0.25039022576789i</v>
      </c>
      <c r="V46" s="731" t="str">
        <f t="shared" si="7"/>
        <v>6000</v>
      </c>
      <c r="W46" s="733" t="str">
        <f>IMSUM(COMPLEX(1,0),IMDIV(COMPLEX(0,2*PI()*D46),COMPLEX(2*PI()*'Stability Calculations'!EA_Pole1,0)))</f>
        <v>1+132.587336529132i</v>
      </c>
      <c r="X46" s="734">
        <f t="shared" si="33"/>
        <v>132.5911075747137</v>
      </c>
      <c r="Y46" s="735">
        <f t="shared" si="34"/>
        <v>1.5632542713826758</v>
      </c>
      <c r="Z46" s="340" t="str">
        <f>IMSUM(COMPLEX(1,0),IMDIV(COMPLEX(0,2*PI()*D46),COMPLEX(2*PI()*'Stability Calculations'!EA_Zero1,0)))</f>
        <v>1+1.31274590622903i</v>
      </c>
      <c r="AA46" s="734">
        <f t="shared" si="35"/>
        <v>1.6502429561495111</v>
      </c>
      <c r="AB46" s="735">
        <f t="shared" si="36"/>
        <v>0.91980991314500049</v>
      </c>
      <c r="AC46" s="733" t="str">
        <f>IMSUM(COMPLEX(1,0),IMDIV(COMPLEX(0,2*PI()*D46),COMPLEX(2*PI()*'Stability Calculations'!EA_Pole2,0)))</f>
        <v>1+0.0132238882930595i</v>
      </c>
      <c r="AD46" s="734">
        <f t="shared" si="37"/>
        <v>1.0000874317886348</v>
      </c>
      <c r="AE46" s="735">
        <f t="shared" si="38"/>
        <v>1.3223117548093239E-2</v>
      </c>
      <c r="AF46" s="732" t="str">
        <f t="shared" si="39"/>
        <v>59.1410441024425-45.5846651013075i</v>
      </c>
      <c r="AG46" s="337">
        <f t="shared" si="40"/>
        <v>74.670106400924666</v>
      </c>
      <c r="AH46" s="730">
        <f t="shared" si="41"/>
        <v>-0.65666747578576823</v>
      </c>
      <c r="AI46" s="731" t="str">
        <f t="shared" si="14"/>
        <v>10000</v>
      </c>
      <c r="AJ46" s="733" t="str">
        <f t="shared" si="42"/>
        <v>1+123.607891981345i</v>
      </c>
      <c r="AK46" s="734">
        <f t="shared" si="43"/>
        <v>123.61193696432336</v>
      </c>
      <c r="AL46" s="735">
        <f t="shared" si="44"/>
        <v>1.5627064049601</v>
      </c>
      <c r="AM46" s="340" t="str">
        <f t="shared" si="45"/>
        <v>1+0.209776795815399i</v>
      </c>
      <c r="AN46" s="734">
        <f t="shared" si="46"/>
        <v>1.0217662668451017</v>
      </c>
      <c r="AO46" s="735">
        <f t="shared" si="47"/>
        <v>0.20677840799055511</v>
      </c>
      <c r="AP46" s="733" t="str">
        <f t="shared" si="48"/>
        <v>1+0.0101745203785931i</v>
      </c>
      <c r="AQ46" s="734">
        <f t="shared" si="49"/>
        <v>1.0000517590929654</v>
      </c>
      <c r="AR46" s="735">
        <f t="shared" si="50"/>
        <v>1.0174169308682051E-2</v>
      </c>
      <c r="AS46" s="732" t="str">
        <f t="shared" si="51"/>
        <v>4776.21174980655-8527.13529370449i</v>
      </c>
      <c r="AT46" s="337">
        <f t="shared" si="52"/>
        <v>9773.6500344615833</v>
      </c>
      <c r="AU46" s="730">
        <f t="shared" si="53"/>
        <v>-1.0602173065911547</v>
      </c>
      <c r="AV46" s="732" t="str">
        <f t="shared" si="54"/>
        <v>-2442.01125888257-16269.0446682707i</v>
      </c>
      <c r="AW46" s="337">
        <f t="shared" si="55"/>
        <v>84.324003827169435</v>
      </c>
      <c r="AX46" s="730">
        <f t="shared" si="56"/>
        <v>-98.53646427259055</v>
      </c>
      <c r="AY46" s="360">
        <f t="shared" si="57"/>
        <v>81.46353572740945</v>
      </c>
      <c r="BB46" s="337">
        <f t="shared" si="58"/>
        <v>39.801135683359568</v>
      </c>
      <c r="BC46" s="730">
        <f t="shared" si="59"/>
        <v>-60.745977034400802</v>
      </c>
      <c r="BD46" s="351"/>
      <c r="BE46" s="337">
        <f t="shared" si="19"/>
        <v>24.24722686289531</v>
      </c>
      <c r="BF46" s="730">
        <f t="shared" si="20"/>
        <v>0.90052539218579752</v>
      </c>
      <c r="BI46" s="351"/>
      <c r="BJ46" s="351"/>
      <c r="BL46" s="405">
        <f t="shared" si="21"/>
        <v>0</v>
      </c>
      <c r="BM46" s="405">
        <f t="shared" si="22"/>
        <v>0</v>
      </c>
      <c r="BN46" s="405">
        <f t="shared" si="23"/>
        <v>0</v>
      </c>
      <c r="BO46" s="405">
        <f t="shared" si="24"/>
        <v>0</v>
      </c>
    </row>
    <row r="47" spans="1:67" ht="13.5" thickBot="1" x14ac:dyDescent="0.25">
      <c r="D47" s="345">
        <v>22.909000000000002</v>
      </c>
      <c r="E47" s="340" t="str">
        <f t="shared" si="0"/>
        <v>0.000380005539413748i</v>
      </c>
      <c r="F47" s="728" t="str">
        <f t="shared" si="25"/>
        <v>0.005-113.889625375878i</v>
      </c>
      <c r="G47" s="337" t="str">
        <f t="shared" si="26"/>
        <v>0.005-178.135055075091i</v>
      </c>
      <c r="H47" s="338" t="str">
        <f t="shared" si="27"/>
        <v>1.21660967954355-0.00830947147311947i</v>
      </c>
      <c r="I47" s="338" t="str">
        <f t="shared" si="28"/>
        <v>1.22660967954355-0.00830947147311947i</v>
      </c>
      <c r="J47" s="337" t="str">
        <f t="shared" si="29"/>
        <v>1.22628790665497-0.0215152066082245i</v>
      </c>
      <c r="K47" s="338" t="str">
        <f t="shared" si="1"/>
        <v>0.999999994168641-0.000119951243501814i</v>
      </c>
      <c r="L47" s="732"/>
      <c r="M47" s="732" t="str">
        <f t="shared" si="2"/>
        <v>16.3045404580029+0.281010469926626i</v>
      </c>
      <c r="N47" s="337">
        <f t="shared" si="3"/>
        <v>0</v>
      </c>
      <c r="O47" s="730" t="str">
        <f t="shared" si="4"/>
        <v>16.3044783464326+0.105400914543777i</v>
      </c>
      <c r="P47" s="731" t="str">
        <f t="shared" si="5"/>
        <v>20.0001067855352-0.0061958156916358i</v>
      </c>
      <c r="Q47" s="729" t="str">
        <f t="shared" si="6"/>
        <v>19.8370620020709-0.00724982483707383i</v>
      </c>
      <c r="R47" s="730"/>
      <c r="S47" s="405" t="str">
        <f t="shared" si="30"/>
        <v>22.5444346429652+0.171073100598364i</v>
      </c>
      <c r="T47" s="405" t="str">
        <f t="shared" si="31"/>
        <v>22.5420070542143-0.0717026220273622i</v>
      </c>
      <c r="U47" s="405" t="str">
        <f t="shared" si="32"/>
        <v>27.424228167604-0.274546268570995i</v>
      </c>
      <c r="V47" s="731" t="str">
        <f t="shared" si="7"/>
        <v>6000</v>
      </c>
      <c r="W47" s="733" t="str">
        <f>IMSUM(COMPLEX(1,0),IMDIV(COMPLEX(0,2*PI()*D47),COMPLEX(2*PI()*'Stability Calculations'!EA_Pole1,0)))</f>
        <v>1+145.380907124199i</v>
      </c>
      <c r="X47" s="734">
        <f t="shared" si="33"/>
        <v>145.38434632468164</v>
      </c>
      <c r="Y47" s="735">
        <f t="shared" si="34"/>
        <v>1.5639179529488703</v>
      </c>
      <c r="Z47" s="340" t="str">
        <f>IMSUM(COMPLEX(1,0),IMDIV(COMPLEX(0,2*PI()*D47),COMPLEX(2*PI()*'Stability Calculations'!EA_Zero1,0)))</f>
        <v>1+1.43941492202177i</v>
      </c>
      <c r="AA47" s="734">
        <f t="shared" si="35"/>
        <v>1.7526880263580678</v>
      </c>
      <c r="AB47" s="735">
        <f t="shared" si="36"/>
        <v>0.96361825463021078</v>
      </c>
      <c r="AC47" s="733" t="str">
        <f>IMSUM(COMPLEX(1,0),IMDIV(COMPLEX(0,2*PI()*D47),COMPLEX(2*PI()*'Stability Calculations'!EA_Pole2,0)))</f>
        <v>1+0.0144998830663715i</v>
      </c>
      <c r="AD47" s="734">
        <f t="shared" si="37"/>
        <v>1.0001051177795954</v>
      </c>
      <c r="AE47" s="735">
        <f t="shared" si="38"/>
        <v>1.4498867010793528E-2</v>
      </c>
      <c r="AF47" s="732" t="str">
        <f t="shared" si="39"/>
        <v>59.0821057714144-41.7170216143522i</v>
      </c>
      <c r="AG47" s="337">
        <f t="shared" si="40"/>
        <v>72.325687793182638</v>
      </c>
      <c r="AH47" s="730">
        <f t="shared" si="41"/>
        <v>-0.61479856532945287</v>
      </c>
      <c r="AI47" s="731" t="str">
        <f t="shared" si="14"/>
        <v>10000</v>
      </c>
      <c r="AJ47" s="733" t="str">
        <f t="shared" si="42"/>
        <v>1+135.535021174586i</v>
      </c>
      <c r="AK47" s="734">
        <f t="shared" si="43"/>
        <v>135.53871020780551</v>
      </c>
      <c r="AL47" s="735">
        <f t="shared" si="44"/>
        <v>1.5634182938249341</v>
      </c>
      <c r="AM47" s="340" t="str">
        <f t="shared" si="45"/>
        <v>1+0.230018504539079i</v>
      </c>
      <c r="AN47" s="734">
        <f t="shared" si="46"/>
        <v>1.0261133038950399</v>
      </c>
      <c r="AO47" s="735">
        <f t="shared" si="47"/>
        <v>0.22608596275338447</v>
      </c>
      <c r="AP47" s="733" t="str">
        <f t="shared" si="48"/>
        <v>1+0.0111562766167228i</v>
      </c>
      <c r="AQ47" s="734">
        <f t="shared" si="49"/>
        <v>1.0000622293177304</v>
      </c>
      <c r="AR47" s="735">
        <f t="shared" si="50"/>
        <v>1.115581380522822E-2</v>
      </c>
      <c r="AS47" s="732" t="str">
        <f t="shared" si="51"/>
        <v>4138.88905454906-8102.30698536628i</v>
      </c>
      <c r="AT47" s="337">
        <f t="shared" si="52"/>
        <v>9098.2295580503578</v>
      </c>
      <c r="AU47" s="730">
        <f t="shared" si="53"/>
        <v>-1.0985235182817263</v>
      </c>
      <c r="AV47" s="732" t="str">
        <f t="shared" si="54"/>
        <v>-2153.70214359632-14676.3381840123i</v>
      </c>
      <c r="AW47" s="337">
        <f t="shared" si="55"/>
        <v>83.424884821403097</v>
      </c>
      <c r="AX47" s="730">
        <f t="shared" si="56"/>
        <v>-98.34837269526561</v>
      </c>
      <c r="AY47" s="360">
        <f t="shared" si="57"/>
        <v>81.65162730473439</v>
      </c>
      <c r="BB47" s="337">
        <f t="shared" si="58"/>
        <v>39.179137806917247</v>
      </c>
      <c r="BC47" s="730">
        <f t="shared" si="59"/>
        <v>-62.940761293405252</v>
      </c>
      <c r="BD47" s="351"/>
      <c r="BE47" s="337">
        <f t="shared" si="19"/>
        <v>24.24746113047625</v>
      </c>
      <c r="BF47" s="730">
        <f t="shared" si="20"/>
        <v>0.98740102601927671</v>
      </c>
      <c r="BI47" s="351"/>
      <c r="BJ47" s="351"/>
      <c r="BL47" s="405">
        <f t="shared" si="21"/>
        <v>0</v>
      </c>
      <c r="BM47" s="405">
        <f t="shared" si="22"/>
        <v>0</v>
      </c>
      <c r="BN47" s="405">
        <f t="shared" si="23"/>
        <v>0</v>
      </c>
      <c r="BO47" s="405">
        <f t="shared" si="24"/>
        <v>0</v>
      </c>
    </row>
    <row r="48" spans="1:67" ht="13.5" thickBot="1" x14ac:dyDescent="0.25">
      <c r="D48" s="345">
        <v>25.119</v>
      </c>
      <c r="E48" s="340" t="str">
        <f t="shared" si="0"/>
        <v>0.000416664155769956i</v>
      </c>
      <c r="F48" s="728" t="str">
        <f t="shared" si="25"/>
        <v>0.005-103.869478392292i</v>
      </c>
      <c r="G48" s="337" t="str">
        <f t="shared" si="26"/>
        <v>0.005-162.46251748538i</v>
      </c>
      <c r="H48" s="338" t="str">
        <f t="shared" si="27"/>
        <v>1.2165981549216-0.00911098819698989i</v>
      </c>
      <c r="I48" s="338" t="str">
        <f t="shared" si="28"/>
        <v>1.2265981549216-0.00911098819698989i</v>
      </c>
      <c r="J48" s="337" t="str">
        <f t="shared" si="29"/>
        <v>1.22621133344572-0.0235892711993355i</v>
      </c>
      <c r="K48" s="338" t="str">
        <f t="shared" si="1"/>
        <v>0.999999992989287-0.000131522776442537i</v>
      </c>
      <c r="L48" s="732"/>
      <c r="M48" s="732" t="str">
        <f t="shared" si="2"/>
        <v>16.3045794169371+0.308119490934403i</v>
      </c>
      <c r="N48" s="337">
        <f t="shared" si="3"/>
        <v>0</v>
      </c>
      <c r="O48" s="730" t="str">
        <f t="shared" si="4"/>
        <v>16.3045047435411+0.115568913820262i</v>
      </c>
      <c r="P48" s="731" t="str">
        <f t="shared" si="5"/>
        <v>20.0001283823476-0.00679353381794302i</v>
      </c>
      <c r="Q48" s="729" t="str">
        <f t="shared" si="6"/>
        <v>19.8370833349122-0.00794922295614514i</v>
      </c>
      <c r="R48" s="730"/>
      <c r="S48" s="405" t="str">
        <f t="shared" si="30"/>
        <v>22.5447865346672+0.187572470896634i</v>
      </c>
      <c r="T48" s="405" t="str">
        <f t="shared" si="31"/>
        <v>22.5418680397261-0.0786181684739619i</v>
      </c>
      <c r="U48" s="405" t="str">
        <f t="shared" si="32"/>
        <v>27.4236787764118-0.301025412356785i</v>
      </c>
      <c r="V48" s="731" t="str">
        <f t="shared" si="7"/>
        <v>6000</v>
      </c>
      <c r="W48" s="733" t="str">
        <f>IMSUM(COMPLEX(1,0),IMDIV(COMPLEX(0,2*PI()*D48),COMPLEX(2*PI()*'Stability Calculations'!EA_Pole1,0)))</f>
        <v>1+159.405605048354i</v>
      </c>
      <c r="X48" s="734">
        <f t="shared" si="33"/>
        <v>159.4087416700597</v>
      </c>
      <c r="Y48" s="735">
        <f t="shared" si="34"/>
        <v>1.5645231039562937</v>
      </c>
      <c r="Z48" s="340" t="str">
        <f>IMSUM(COMPLEX(1,0),IMDIV(COMPLEX(0,2*PI()*D48),COMPLEX(2*PI()*'Stability Calculations'!EA_Zero1,0)))</f>
        <v>1+1.57827331731044i</v>
      </c>
      <c r="AA48" s="734">
        <f t="shared" si="35"/>
        <v>1.8684075208942243</v>
      </c>
      <c r="AB48" s="735">
        <f t="shared" si="36"/>
        <v>1.0060339064729407</v>
      </c>
      <c r="AC48" s="733" t="str">
        <f>IMSUM(COMPLEX(1,0),IMDIV(COMPLEX(0,2*PI()*D48),COMPLEX(2*PI()*'Stability Calculations'!EA_Pole2,0)))</f>
        <v>1+0.0158986670192583i</v>
      </c>
      <c r="AD48" s="734">
        <f t="shared" si="37"/>
        <v>1.0001263758210706</v>
      </c>
      <c r="AE48" s="735">
        <f t="shared" si="38"/>
        <v>1.5897327666342068E-2</v>
      </c>
      <c r="AF48" s="732" t="str">
        <f t="shared" si="39"/>
        <v>59.0323233570546-38.2042278768693i</v>
      </c>
      <c r="AG48" s="337">
        <f t="shared" si="40"/>
        <v>70.316272857707787</v>
      </c>
      <c r="AH48" s="730">
        <f t="shared" si="41"/>
        <v>-0.57438652514969479</v>
      </c>
      <c r="AI48" s="731" t="str">
        <f t="shared" si="14"/>
        <v>10000</v>
      </c>
      <c r="AJ48" s="733" t="str">
        <f t="shared" si="42"/>
        <v>1+148.609899903288i</v>
      </c>
      <c r="AK48" s="734">
        <f t="shared" si="43"/>
        <v>148.61326437860546</v>
      </c>
      <c r="AL48" s="735">
        <f t="shared" si="44"/>
        <v>1.5640674015497174</v>
      </c>
      <c r="AM48" s="340" t="str">
        <f t="shared" si="45"/>
        <v>1+0.252208076106208i</v>
      </c>
      <c r="AN48" s="734">
        <f t="shared" si="46"/>
        <v>1.0313141682596989</v>
      </c>
      <c r="AO48" s="735">
        <f t="shared" si="47"/>
        <v>0.24705577025915698</v>
      </c>
      <c r="AP48" s="733" t="str">
        <f t="shared" si="48"/>
        <v>1+0.0122325074134821i</v>
      </c>
      <c r="AQ48" s="734">
        <f t="shared" si="49"/>
        <v>1.0000748143202192</v>
      </c>
      <c r="AR48" s="735">
        <f t="shared" si="50"/>
        <v>1.2231897334280735E-2</v>
      </c>
      <c r="AS48" s="732" t="str">
        <f t="shared" si="51"/>
        <v>3566.80767655529-7655.98044208395i</v>
      </c>
      <c r="AT48" s="337">
        <f t="shared" si="52"/>
        <v>8446.0732610548494</v>
      </c>
      <c r="AU48" s="730">
        <f t="shared" si="53"/>
        <v>-1.1348111069600133</v>
      </c>
      <c r="AV48" s="732" t="str">
        <f t="shared" si="54"/>
        <v>-1893.18722872242-13253.0785627011i</v>
      </c>
      <c r="AW48" s="337">
        <f t="shared" si="55"/>
        <v>82.534064625587718</v>
      </c>
      <c r="AX48" s="730">
        <f t="shared" si="56"/>
        <v>-98.129637545798033</v>
      </c>
      <c r="AY48" s="360">
        <f t="shared" si="57"/>
        <v>81.870362454201967</v>
      </c>
      <c r="BB48" s="337">
        <f t="shared" si="58"/>
        <v>38.533096883321399</v>
      </c>
      <c r="BC48" s="730">
        <f t="shared" si="59"/>
        <v>-65.019886973377808</v>
      </c>
      <c r="BD48" s="351"/>
      <c r="BE48" s="337">
        <f t="shared" si="19"/>
        <v>24.247742703099174</v>
      </c>
      <c r="BF48" s="730">
        <f t="shared" si="20"/>
        <v>1.0826311348018831</v>
      </c>
      <c r="BI48" s="351"/>
      <c r="BJ48" s="351"/>
      <c r="BL48" s="405">
        <f t="shared" si="21"/>
        <v>0</v>
      </c>
      <c r="BM48" s="405">
        <f t="shared" si="22"/>
        <v>0</v>
      </c>
      <c r="BN48" s="405">
        <f t="shared" si="23"/>
        <v>0</v>
      </c>
      <c r="BO48" s="405">
        <f t="shared" si="24"/>
        <v>0</v>
      </c>
    </row>
    <row r="49" spans="4:67" ht="13.5" thickBot="1" x14ac:dyDescent="0.25">
      <c r="D49" s="345">
        <v>27.542000000000002</v>
      </c>
      <c r="E49" s="340" t="str">
        <f t="shared" si="0"/>
        <v>0.000456855932888098i</v>
      </c>
      <c r="F49" s="728" t="str">
        <f t="shared" si="25"/>
        <v>0.005-94.7315891270052i</v>
      </c>
      <c r="G49" s="337" t="str">
        <f t="shared" si="26"/>
        <v>0.005-148.16992145506i</v>
      </c>
      <c r="H49" s="338" t="str">
        <f t="shared" si="27"/>
        <v>1.21658430098069-0.00998972760347779i</v>
      </c>
      <c r="I49" s="338" t="str">
        <f t="shared" si="28"/>
        <v>1.22658430098069-0.00998972760347779i</v>
      </c>
      <c r="J49" s="337" t="str">
        <f t="shared" si="29"/>
        <v>1.22611929428104-0.0258627642995556i</v>
      </c>
      <c r="K49" s="338" t="str">
        <f t="shared" si="1"/>
        <v>0.999999991571536-0.000144209574775283i</v>
      </c>
      <c r="L49" s="732"/>
      <c r="M49" s="732" t="str">
        <f t="shared" si="2"/>
        <v>16.3046262512767+0.337841384949082i</v>
      </c>
      <c r="N49" s="337">
        <f t="shared" si="3"/>
        <v>0</v>
      </c>
      <c r="O49" s="730" t="str">
        <f t="shared" si="4"/>
        <v>16.3045364767092+0.126716942930546i</v>
      </c>
      <c r="P49" s="731" t="str">
        <f t="shared" si="5"/>
        <v>20.0001543448411-0.00744886523641883i</v>
      </c>
      <c r="Q49" s="729" t="str">
        <f t="shared" si="6"/>
        <v>19.837108980074-0.00871603466572368i</v>
      </c>
      <c r="R49" s="730"/>
      <c r="S49" s="405" t="str">
        <f t="shared" si="30"/>
        <v>22.5452095399854+0.205660837235749i</v>
      </c>
      <c r="T49" s="405" t="str">
        <f t="shared" si="31"/>
        <v>22.5417009318661-0.0861997562589468i</v>
      </c>
      <c r="U49" s="405" t="str">
        <f t="shared" si="32"/>
        <v>27.4230183590255-0.330054722241399i</v>
      </c>
      <c r="V49" s="731" t="str">
        <f t="shared" si="7"/>
        <v>6000</v>
      </c>
      <c r="W49" s="733" t="str">
        <f>IMSUM(COMPLEX(1,0),IMDIV(COMPLEX(0,2*PI()*D49),COMPLEX(2*PI()*'Stability Calculations'!EA_Pole1,0)))</f>
        <v>1+174.782004627643i</v>
      </c>
      <c r="X49" s="734">
        <f t="shared" si="33"/>
        <v>174.78486531063672</v>
      </c>
      <c r="Y49" s="735">
        <f t="shared" si="34"/>
        <v>1.5650749764143286</v>
      </c>
      <c r="Z49" s="340" t="str">
        <f>IMSUM(COMPLEX(1,0),IMDIV(COMPLEX(0,2*PI()*D49),COMPLEX(2*PI()*'Stability Calculations'!EA_Zero1,0)))</f>
        <v>1+1.7305148973034i</v>
      </c>
      <c r="AA49" s="734">
        <f t="shared" si="35"/>
        <v>1.9986700102290513</v>
      </c>
      <c r="AB49" s="735">
        <f t="shared" si="36"/>
        <v>1.0468133181077415</v>
      </c>
      <c r="AC49" s="733" t="str">
        <f>IMSUM(COMPLEX(1,0),IMDIV(COMPLEX(0,2*PI()*D49),COMPLEX(2*PI()*'Stability Calculations'!EA_Pole2,0)))</f>
        <v>1+0.0174322658961109i</v>
      </c>
      <c r="AD49" s="734">
        <f t="shared" si="37"/>
        <v>1.0001519304057123</v>
      </c>
      <c r="AE49" s="735">
        <f t="shared" si="38"/>
        <v>1.7430500423050183E-2</v>
      </c>
      <c r="AF49" s="732" t="str">
        <f t="shared" si="39"/>
        <v>58.9899921194425-35.0158076050707i</v>
      </c>
      <c r="AG49" s="337">
        <f t="shared" si="40"/>
        <v>68.599751839836969</v>
      </c>
      <c r="AH49" s="730">
        <f t="shared" si="41"/>
        <v>-0.53569215872963738</v>
      </c>
      <c r="AI49" s="731" t="str">
        <f t="shared" si="14"/>
        <v>10000</v>
      </c>
      <c r="AJ49" s="733" t="str">
        <f t="shared" si="42"/>
        <v>1+162.944936627109i</v>
      </c>
      <c r="AK49" s="734">
        <f t="shared" si="43"/>
        <v>162.94800511946309</v>
      </c>
      <c r="AL49" s="735">
        <f t="shared" si="44"/>
        <v>1.5646593613478392</v>
      </c>
      <c r="AM49" s="340" t="str">
        <f t="shared" si="45"/>
        <v>1+0.276536280589083i</v>
      </c>
      <c r="AN49" s="734">
        <f t="shared" si="46"/>
        <v>1.0375318378160951</v>
      </c>
      <c r="AO49" s="735">
        <f t="shared" si="47"/>
        <v>0.26979391700425814</v>
      </c>
      <c r="AP49" s="733" t="str">
        <f t="shared" si="48"/>
        <v>1+0.0134124654318294i</v>
      </c>
      <c r="AQ49" s="734">
        <f t="shared" si="49"/>
        <v>1.000089943069602</v>
      </c>
      <c r="AR49" s="735">
        <f t="shared" si="50"/>
        <v>1.3411661243586474E-2</v>
      </c>
      <c r="AS49" s="732" t="str">
        <f t="shared" si="51"/>
        <v>3058.58873126987-7198.38937529406i</v>
      </c>
      <c r="AT49" s="337">
        <f t="shared" si="52"/>
        <v>7821.2386886859204</v>
      </c>
      <c r="AU49" s="730">
        <f t="shared" si="53"/>
        <v>-1.169011196942535</v>
      </c>
      <c r="AV49" s="732" t="str">
        <f t="shared" si="54"/>
        <v>-1660.52632694279-11979.9665745246i</v>
      </c>
      <c r="AW49" s="337">
        <f t="shared" si="55"/>
        <v>81.651758868741254</v>
      </c>
      <c r="AX49" s="730">
        <f t="shared" si="56"/>
        <v>-97.891406336631448</v>
      </c>
      <c r="AY49" s="360">
        <f t="shared" si="57"/>
        <v>82.108593663368552</v>
      </c>
      <c r="BB49" s="337">
        <f t="shared" si="58"/>
        <v>37.865510797921964</v>
      </c>
      <c r="BC49" s="730">
        <f t="shared" si="59"/>
        <v>-66.979407788343934</v>
      </c>
      <c r="BD49" s="351"/>
      <c r="BE49" s="337">
        <f t="shared" si="19"/>
        <v>24.248081170798756</v>
      </c>
      <c r="BF49" s="730">
        <f t="shared" si="20"/>
        <v>1.1870321755474147</v>
      </c>
      <c r="BI49" s="351"/>
      <c r="BJ49" s="351"/>
      <c r="BL49" s="405">
        <f t="shared" si="21"/>
        <v>0</v>
      </c>
      <c r="BM49" s="405">
        <f t="shared" si="22"/>
        <v>0</v>
      </c>
      <c r="BN49" s="405">
        <f t="shared" si="23"/>
        <v>0</v>
      </c>
      <c r="BO49" s="405">
        <f t="shared" si="24"/>
        <v>0</v>
      </c>
    </row>
    <row r="50" spans="4:67" ht="13.5" thickBot="1" x14ac:dyDescent="0.25">
      <c r="D50" s="345">
        <v>30.2</v>
      </c>
      <c r="E50" s="340" t="str">
        <f t="shared" si="0"/>
        <v>0.000500945798170814i</v>
      </c>
      <c r="F50" s="728" t="str">
        <f t="shared" si="25"/>
        <v>0.005-86.3939545607946i</v>
      </c>
      <c r="G50" s="337" t="str">
        <f t="shared" si="26"/>
        <v>0.005-135.129005851499i</v>
      </c>
      <c r="H50" s="338" t="str">
        <f t="shared" si="27"/>
        <v>1.21656763746345-0.0109536571202767i</v>
      </c>
      <c r="I50" s="338" t="str">
        <f t="shared" si="28"/>
        <v>1.22656763746345-0.0109536571202767i</v>
      </c>
      <c r="J50" s="337" t="str">
        <f t="shared" si="29"/>
        <v>1.22600860516959-0.0283561372756248i</v>
      </c>
      <c r="K50" s="338" t="str">
        <f t="shared" si="1"/>
        <v>0.999999989866222-0.000158126830230686i</v>
      </c>
      <c r="L50" s="732"/>
      <c r="M50" s="732" t="str">
        <f t="shared" si="2"/>
        <v>16.3046825852785+0.370446058434655i</v>
      </c>
      <c r="N50" s="337">
        <f t="shared" si="3"/>
        <v>0</v>
      </c>
      <c r="O50" s="730" t="str">
        <f t="shared" si="4"/>
        <v>16.3045746464605+0.138946237233296i</v>
      </c>
      <c r="P50" s="731" t="str">
        <f t="shared" si="5"/>
        <v>20.0001855733964-0.00816776223160379i</v>
      </c>
      <c r="Q50" s="729" t="str">
        <f t="shared" si="6"/>
        <v>19.8371398269318-0.00955722460393662i</v>
      </c>
      <c r="R50" s="730"/>
      <c r="S50" s="405" t="str">
        <f t="shared" si="30"/>
        <v>22.5457183168296+0.225501941380109i</v>
      </c>
      <c r="T50" s="405" t="str">
        <f t="shared" si="31"/>
        <v>22.5414999400386-0.0945160283822227i</v>
      </c>
      <c r="U50" s="405" t="str">
        <f t="shared" si="32"/>
        <v>27.4222240307681-0.361897002671309i</v>
      </c>
      <c r="V50" s="731" t="str">
        <f t="shared" si="7"/>
        <v>6000</v>
      </c>
      <c r="W50" s="733" t="str">
        <f>IMSUM(COMPLEX(1,0),IMDIV(COMPLEX(0,2*PI()*D50),COMPLEX(2*PI()*'Stability Calculations'!EA_Pole1,0)))</f>
        <v>1+191.649718239591i</v>
      </c>
      <c r="X50" s="734">
        <f t="shared" si="33"/>
        <v>191.65232714818421</v>
      </c>
      <c r="Y50" s="735">
        <f t="shared" si="34"/>
        <v>1.5655785214466562</v>
      </c>
      <c r="Z50" s="340" t="str">
        <f>IMSUM(COMPLEX(1,0),IMDIV(COMPLEX(0,2*PI()*D50),COMPLEX(2*PI()*'Stability Calculations'!EA_Zero1,0)))</f>
        <v>1+1.89752196276823i</v>
      </c>
      <c r="AA50" s="734">
        <f t="shared" si="35"/>
        <v>2.1448985055679901</v>
      </c>
      <c r="AB50" s="735">
        <f t="shared" si="36"/>
        <v>1.0857803130635062</v>
      </c>
      <c r="AC50" s="733" t="str">
        <f>IMSUM(COMPLEX(1,0),IMDIV(COMPLEX(0,2*PI()*D50),COMPLEX(2*PI()*'Stability Calculations'!EA_Pole2,0)))</f>
        <v>1+0.0191146042430669i</v>
      </c>
      <c r="AD50" s="734">
        <f t="shared" si="37"/>
        <v>1.0001826673640015</v>
      </c>
      <c r="AE50" s="735">
        <f t="shared" si="38"/>
        <v>1.9112276797754815E-2</v>
      </c>
      <c r="AF50" s="732" t="str">
        <f t="shared" si="39"/>
        <v>58.9536529184827-32.1231765989249i</v>
      </c>
      <c r="AG50" s="337">
        <f t="shared" si="40"/>
        <v>67.137408851091664</v>
      </c>
      <c r="AH50" s="730">
        <f t="shared" si="41"/>
        <v>-0.49891048518090503</v>
      </c>
      <c r="AI50" s="731" t="str">
        <f t="shared" si="14"/>
        <v>10000</v>
      </c>
      <c r="AJ50" s="733" t="str">
        <f t="shared" si="42"/>
        <v>1+178.670288509865i</v>
      </c>
      <c r="AK50" s="734">
        <f t="shared" si="43"/>
        <v>178.67308693868361</v>
      </c>
      <c r="AL50" s="735">
        <f t="shared" si="44"/>
        <v>1.565199483767622</v>
      </c>
      <c r="AM50" s="340" t="str">
        <f t="shared" si="45"/>
        <v>1+0.303224009650363i</v>
      </c>
      <c r="AN50" s="734">
        <f t="shared" si="46"/>
        <v>1.0449616261032955</v>
      </c>
      <c r="AO50" s="735">
        <f t="shared" si="47"/>
        <v>0.29441197063406943</v>
      </c>
      <c r="AP50" s="733" t="str">
        <f t="shared" si="48"/>
        <v>1+0.0147068642815063i</v>
      </c>
      <c r="AQ50" s="734">
        <f t="shared" si="49"/>
        <v>1.0001081400813587</v>
      </c>
      <c r="AR50" s="735">
        <f t="shared" si="50"/>
        <v>1.4705804094093503E-2</v>
      </c>
      <c r="AS50" s="732" t="str">
        <f t="shared" si="51"/>
        <v>2611.0851847403-6738.24441919671i</v>
      </c>
      <c r="AT50" s="337">
        <f t="shared" si="52"/>
        <v>7226.4585859745912</v>
      </c>
      <c r="AU50" s="730">
        <f t="shared" si="53"/>
        <v>-1.2011100415838711</v>
      </c>
      <c r="AV50" s="732" t="str">
        <f t="shared" si="54"/>
        <v>-1454.78633475894-10839.2679011972i</v>
      </c>
      <c r="AW50" s="337">
        <f t="shared" si="55"/>
        <v>80.777534454385886</v>
      </c>
      <c r="AX50" s="730">
        <f t="shared" si="56"/>
        <v>-97.644239842588178</v>
      </c>
      <c r="AY50" s="360">
        <f t="shared" si="57"/>
        <v>82.355760157411822</v>
      </c>
      <c r="BB50" s="337">
        <f t="shared" si="58"/>
        <v>37.178510362571949</v>
      </c>
      <c r="BC50" s="730">
        <f t="shared" si="59"/>
        <v>-68.818536113538627</v>
      </c>
      <c r="BD50" s="351"/>
      <c r="BE50" s="337">
        <f t="shared" si="19"/>
        <v>24.248488257315763</v>
      </c>
      <c r="BF50" s="730">
        <f t="shared" si="20"/>
        <v>1.3015490813770072</v>
      </c>
      <c r="BI50" s="351"/>
      <c r="BJ50" s="351"/>
      <c r="BL50" s="405">
        <f t="shared" si="21"/>
        <v>0</v>
      </c>
      <c r="BM50" s="405">
        <f t="shared" si="22"/>
        <v>0</v>
      </c>
      <c r="BN50" s="405">
        <f t="shared" si="23"/>
        <v>0</v>
      </c>
      <c r="BO50" s="405">
        <f t="shared" si="24"/>
        <v>0</v>
      </c>
    </row>
    <row r="51" spans="4:67" ht="13.5" thickBot="1" x14ac:dyDescent="0.25">
      <c r="D51" s="345">
        <v>33.113</v>
      </c>
      <c r="E51" s="340" t="str">
        <f t="shared" si="0"/>
        <v>0.000549265503802323i</v>
      </c>
      <c r="F51" s="728" t="str">
        <f t="shared" si="25"/>
        <v>0.005-78.7937495163829i</v>
      </c>
      <c r="G51" s="337" t="str">
        <f t="shared" si="26"/>
        <v>0.005-123.24150565383i</v>
      </c>
      <c r="H51" s="338" t="str">
        <f t="shared" si="27"/>
        <v>1.21654761395834-0.0120100150286215i</v>
      </c>
      <c r="I51" s="338" t="str">
        <f t="shared" si="28"/>
        <v>1.22654761395834-0.0120100150286215i</v>
      </c>
      <c r="J51" s="337" t="str">
        <f t="shared" si="29"/>
        <v>1.2258756194926-0.0310879000030792i</v>
      </c>
      <c r="K51" s="338" t="str">
        <f t="shared" si="1"/>
        <v>0.999999987816992-0.000173379262563865i</v>
      </c>
      <c r="L51" s="732"/>
      <c r="M51" s="732" t="str">
        <f t="shared" si="2"/>
        <v>16.3047502807303+0.406178898990829i</v>
      </c>
      <c r="N51" s="337">
        <f t="shared" si="3"/>
        <v>0</v>
      </c>
      <c r="O51" s="730" t="str">
        <f t="shared" si="4"/>
        <v>16.3046205142545+0.152348835388298i</v>
      </c>
      <c r="P51" s="731" t="str">
        <f t="shared" si="5"/>
        <v>20.0002231000576-0.008955636877316i</v>
      </c>
      <c r="Q51" s="729" t="str">
        <f t="shared" si="6"/>
        <v>19.8371768949151-0.0104791252311989i</v>
      </c>
      <c r="R51" s="730"/>
      <c r="S51" s="405" t="str">
        <f t="shared" si="30"/>
        <v>22.5463296620742+0.247244426537074i</v>
      </c>
      <c r="T51" s="405" t="str">
        <f t="shared" si="31"/>
        <v>22.5412584286513-0.103629303489864i</v>
      </c>
      <c r="U51" s="405" t="str">
        <f t="shared" si="32"/>
        <v>27.4212695675017-0.396790834388897i</v>
      </c>
      <c r="V51" s="731" t="str">
        <f t="shared" si="7"/>
        <v>6000</v>
      </c>
      <c r="W51" s="733" t="str">
        <f>IMSUM(COMPLEX(1,0),IMDIV(COMPLEX(0,2*PI()*D51),COMPLEX(2*PI()*'Stability Calculations'!EA_Pole1,0)))</f>
        <v>1+210.135666227404i</v>
      </c>
      <c r="X51" s="734">
        <f t="shared" si="33"/>
        <v>210.13804562914095</v>
      </c>
      <c r="Y51" s="735">
        <f t="shared" si="34"/>
        <v>1.5660375323016378</v>
      </c>
      <c r="Z51" s="340" t="str">
        <f>IMSUM(COMPLEX(1,0),IMDIV(COMPLEX(0,2*PI()*D51),COMPLEX(2*PI()*'Stability Calculations'!EA_Zero1,0)))</f>
        <v>1+2.08055115076638i</v>
      </c>
      <c r="AA51" s="734">
        <f t="shared" si="35"/>
        <v>2.3083962161975808</v>
      </c>
      <c r="AB51" s="735">
        <f t="shared" si="36"/>
        <v>1.1227548047392584</v>
      </c>
      <c r="AC51" s="733" t="str">
        <f>IMSUM(COMPLEX(1,0),IMDIV(COMPLEX(0,2*PI()*D51),COMPLEX(2*PI()*'Stability Calculations'!EA_Pole2,0)))</f>
        <v>1+0.020958340738433i</v>
      </c>
      <c r="AD51" s="734">
        <f t="shared" si="37"/>
        <v>1.0002196019107545</v>
      </c>
      <c r="AE51" s="735">
        <f t="shared" si="38"/>
        <v>2.0955272882242762E-2</v>
      </c>
      <c r="AF51" s="732" t="str">
        <f t="shared" si="39"/>
        <v>58.922104622242-29.5045490392486i</v>
      </c>
      <c r="AG51" s="337">
        <f t="shared" si="40"/>
        <v>65.896379469010725</v>
      </c>
      <c r="AH51" s="730">
        <f t="shared" si="41"/>
        <v>-0.46423800044462238</v>
      </c>
      <c r="AI51" s="731" t="str">
        <f t="shared" si="14"/>
        <v>10000</v>
      </c>
      <c r="AJ51" s="733" t="str">
        <f t="shared" si="42"/>
        <v>1+195.904280245933i</v>
      </c>
      <c r="AK51" s="734">
        <f t="shared" si="43"/>
        <v>195.90683249615631</v>
      </c>
      <c r="AL51" s="735">
        <f t="shared" si="44"/>
        <v>1.565691837431729</v>
      </c>
      <c r="AM51" s="340" t="str">
        <f t="shared" si="45"/>
        <v>1+0.332472073892467i</v>
      </c>
      <c r="AN51" s="734">
        <f t="shared" si="46"/>
        <v>1.0538205159885425</v>
      </c>
      <c r="AO51" s="735">
        <f t="shared" si="47"/>
        <v>0.32097522072615131</v>
      </c>
      <c r="AP51" s="733" t="str">
        <f t="shared" si="48"/>
        <v>1+0.0161254436077325i</v>
      </c>
      <c r="AQ51" s="734">
        <f t="shared" si="49"/>
        <v>1.0001300065149261</v>
      </c>
      <c r="AR51" s="735">
        <f t="shared" si="50"/>
        <v>1.6124046126425713E-2</v>
      </c>
      <c r="AS51" s="732" t="str">
        <f t="shared" si="51"/>
        <v>2220.65524373644-6283.45407902331i</v>
      </c>
      <c r="AT51" s="337">
        <f t="shared" si="52"/>
        <v>6664.3157844394518</v>
      </c>
      <c r="AU51" s="730">
        <f t="shared" si="53"/>
        <v>-1.2310840889508035</v>
      </c>
      <c r="AV51" s="732" t="str">
        <f t="shared" si="54"/>
        <v>-1274.66525657282-9816.78590522342i</v>
      </c>
      <c r="AW51" s="337">
        <f t="shared" si="55"/>
        <v>79.911997381478244</v>
      </c>
      <c r="AX51" s="730">
        <f t="shared" si="56"/>
        <v>-97.398205625126025</v>
      </c>
      <c r="AY51" s="360">
        <f t="shared" si="57"/>
        <v>82.601794374873975</v>
      </c>
      <c r="BB51" s="337">
        <f t="shared" si="58"/>
        <v>36.475111353179436</v>
      </c>
      <c r="BC51" s="730">
        <f t="shared" si="59"/>
        <v>-70.535922522589061</v>
      </c>
      <c r="BD51" s="351"/>
      <c r="BE51" s="337">
        <f t="shared" si="19"/>
        <v>24.248977395391911</v>
      </c>
      <c r="BF51" s="730">
        <f t="shared" si="20"/>
        <v>1.4270395939421818</v>
      </c>
      <c r="BI51" s="351"/>
      <c r="BJ51" s="351"/>
      <c r="BL51" s="405">
        <f t="shared" si="21"/>
        <v>0</v>
      </c>
      <c r="BM51" s="405">
        <f t="shared" si="22"/>
        <v>0</v>
      </c>
      <c r="BN51" s="405">
        <f t="shared" si="23"/>
        <v>0</v>
      </c>
      <c r="BO51" s="405">
        <f t="shared" si="24"/>
        <v>0</v>
      </c>
    </row>
    <row r="52" spans="4:67" ht="13.5" thickBot="1" x14ac:dyDescent="0.25">
      <c r="D52" s="345">
        <v>36.308</v>
      </c>
      <c r="E52" s="340" t="str">
        <f t="shared" si="0"/>
        <v>0.000602262915231322i</v>
      </c>
      <c r="F52" s="728" t="str">
        <f t="shared" si="25"/>
        <v>0.005-71.8601252543787i</v>
      </c>
      <c r="G52" s="337" t="str">
        <f t="shared" si="26"/>
        <v>0.005-112.396606167105i</v>
      </c>
      <c r="H52" s="338" t="str">
        <f t="shared" si="27"/>
        <v>1.21652353417115-0.0131685730383937i</v>
      </c>
      <c r="I52" s="338" t="str">
        <f t="shared" si="28"/>
        <v>1.22652353417115-0.0131685730383937i</v>
      </c>
      <c r="J52" s="337" t="str">
        <f t="shared" si="29"/>
        <v>1.22571572661889-0.0340830414660911i</v>
      </c>
      <c r="K52" s="338" t="str">
        <f t="shared" si="1"/>
        <v>0.999999985352546-0.00019010824344423i</v>
      </c>
      <c r="L52" s="732"/>
      <c r="M52" s="732" t="str">
        <f t="shared" si="2"/>
        <v>16.3048316931411+0.445371179770164i</v>
      </c>
      <c r="N52" s="337">
        <f t="shared" si="3"/>
        <v>0</v>
      </c>
      <c r="O52" s="730" t="str">
        <f t="shared" si="4"/>
        <v>16.3046756760679+0.167048989547694i</v>
      </c>
      <c r="P52" s="731" t="str">
        <f t="shared" si="5"/>
        <v>20.0002682305451-0.00981979546786695i</v>
      </c>
      <c r="Q52" s="729" t="str">
        <f t="shared" si="6"/>
        <v>19.8372214737845-0.0114902853633438i</v>
      </c>
      <c r="R52" s="730"/>
      <c r="S52" s="405" t="str">
        <f t="shared" si="30"/>
        <v>22.547064822258+0.271088962436445i</v>
      </c>
      <c r="T52" s="405" t="str">
        <f t="shared" si="31"/>
        <v>22.5409680042726-0.113623712306777i</v>
      </c>
      <c r="U52" s="405" t="str">
        <f t="shared" si="32"/>
        <v>27.4201217980424-0.435058303581453i</v>
      </c>
      <c r="V52" s="731" t="str">
        <f t="shared" si="7"/>
        <v>6000</v>
      </c>
      <c r="W52" s="733" t="str">
        <f>IMSUM(COMPLEX(1,0),IMDIV(COMPLEX(0,2*PI()*D52),COMPLEX(2*PI()*'Stability Calculations'!EA_Pole1,0)))</f>
        <v>1+230.411191054407i</v>
      </c>
      <c r="X52" s="734">
        <f t="shared" si="33"/>
        <v>230.4133610776737</v>
      </c>
      <c r="Y52" s="735">
        <f t="shared" si="34"/>
        <v>1.5664562870738759</v>
      </c>
      <c r="Z52" s="340" t="str">
        <f>IMSUM(COMPLEX(1,0),IMDIV(COMPLEX(0,2*PI()*D52),COMPLEX(2*PI()*'Stability Calculations'!EA_Zero1,0)))</f>
        <v>1+2.28129892133076i</v>
      </c>
      <c r="AA52" s="734">
        <f t="shared" si="35"/>
        <v>2.4908482026138987</v>
      </c>
      <c r="AB52" s="735">
        <f t="shared" si="36"/>
        <v>1.1576753796953994</v>
      </c>
      <c r="AC52" s="733" t="str">
        <f>IMSUM(COMPLEX(1,0),IMDIV(COMPLEX(0,2*PI()*D52),COMPLEX(2*PI()*'Stability Calculations'!EA_Pole2,0)))</f>
        <v>1+0.022980564597923i</v>
      </c>
      <c r="AD52" s="734">
        <f t="shared" si="37"/>
        <v>1.0002640183217826</v>
      </c>
      <c r="AE52" s="735">
        <f t="shared" si="38"/>
        <v>2.2976520485254205E-2</v>
      </c>
      <c r="AF52" s="732" t="str">
        <f t="shared" si="39"/>
        <v>58.894247172747-27.1355134796815i</v>
      </c>
      <c r="AG52" s="337">
        <f t="shared" si="40"/>
        <v>64.844956950024994</v>
      </c>
      <c r="AH52" s="730">
        <f t="shared" si="41"/>
        <v>-0.43175742786373084</v>
      </c>
      <c r="AI52" s="731" t="str">
        <f t="shared" si="14"/>
        <v>10000</v>
      </c>
      <c r="AJ52" s="733" t="str">
        <f t="shared" si="42"/>
        <v>1+214.806650172721i</v>
      </c>
      <c r="AK52" s="734">
        <f t="shared" si="43"/>
        <v>214.80897783478633</v>
      </c>
      <c r="AL52" s="735">
        <f t="shared" si="44"/>
        <v>1.566141011071676</v>
      </c>
      <c r="AM52" s="340" t="str">
        <f t="shared" si="45"/>
        <v>1+0.364551567628655i</v>
      </c>
      <c r="AN52" s="734">
        <f t="shared" si="46"/>
        <v>1.0643767403793216</v>
      </c>
      <c r="AO52" s="735">
        <f t="shared" si="47"/>
        <v>0.34957908473983906</v>
      </c>
      <c r="AP52" s="733" t="str">
        <f t="shared" si="48"/>
        <v>1+0.017681351931554i</v>
      </c>
      <c r="AQ52" s="734">
        <f t="shared" si="49"/>
        <v>1.0001563028877674</v>
      </c>
      <c r="AR52" s="735">
        <f t="shared" si="50"/>
        <v>1.767950970220392E-2</v>
      </c>
      <c r="AS52" s="732" t="str">
        <f t="shared" si="51"/>
        <v>1882.19012654849-5839.62009539089i</v>
      </c>
      <c r="AT52" s="337">
        <f t="shared" si="52"/>
        <v>6135.4545496621304</v>
      </c>
      <c r="AU52" s="730">
        <f t="shared" si="53"/>
        <v>-1.2589959215192699</v>
      </c>
      <c r="AV52" s="732" t="str">
        <f t="shared" si="54"/>
        <v>-1118.0769182128-8898.14245466795i</v>
      </c>
      <c r="AW52" s="337">
        <f t="shared" si="55"/>
        <v>79.054020591703164</v>
      </c>
      <c r="AX52" s="730">
        <f t="shared" si="56"/>
        <v>-97.161843204997766</v>
      </c>
      <c r="AY52" s="360">
        <f t="shared" si="57"/>
        <v>82.838156795002234</v>
      </c>
      <c r="BB52" s="337">
        <f t="shared" si="58"/>
        <v>35.756934865619904</v>
      </c>
      <c r="BC52" s="730">
        <f t="shared" si="59"/>
        <v>-72.13515272723798</v>
      </c>
      <c r="BD52" s="351"/>
      <c r="BE52" s="337">
        <f t="shared" si="19"/>
        <v>24.249565574433205</v>
      </c>
      <c r="BF52" s="730">
        <f t="shared" si="20"/>
        <v>1.5646616736642902</v>
      </c>
      <c r="BI52" s="351"/>
      <c r="BJ52" s="351"/>
      <c r="BL52" s="405">
        <f t="shared" si="21"/>
        <v>0</v>
      </c>
      <c r="BM52" s="405">
        <f t="shared" si="22"/>
        <v>0</v>
      </c>
      <c r="BN52" s="405">
        <f t="shared" si="23"/>
        <v>0</v>
      </c>
      <c r="BO52" s="405">
        <f t="shared" si="24"/>
        <v>0</v>
      </c>
    </row>
    <row r="53" spans="4:67" ht="13.5" thickBot="1" x14ac:dyDescent="0.25">
      <c r="D53" s="345">
        <v>39.811</v>
      </c>
      <c r="E53" s="340" t="str">
        <f t="shared" si="0"/>
        <v>0.000660369310297294i</v>
      </c>
      <c r="F53" s="728" t="str">
        <f t="shared" si="25"/>
        <v>0.005-65.5370984837354i</v>
      </c>
      <c r="G53" s="337" t="str">
        <f t="shared" si="26"/>
        <v>0.005-102.506743782253i</v>
      </c>
      <c r="H53" s="338" t="str">
        <f t="shared" si="27"/>
        <v>1.21649458706726-0.0144387334848053i</v>
      </c>
      <c r="I53" s="338" t="str">
        <f t="shared" si="28"/>
        <v>1.22649458706726-0.0144387334848053i</v>
      </c>
      <c r="J53" s="337" t="str">
        <f t="shared" si="29"/>
        <v>1.22552356111595-0.0373654983735912i</v>
      </c>
      <c r="K53" s="338" t="str">
        <f t="shared" si="1"/>
        <v>0.999999982389825-0.000208449908553439i</v>
      </c>
      <c r="L53" s="732"/>
      <c r="M53" s="732" t="str">
        <f t="shared" si="2"/>
        <v>16.3049295667122+0.488341932462828i</v>
      </c>
      <c r="N53" s="337">
        <f t="shared" si="3"/>
        <v>0</v>
      </c>
      <c r="O53" s="730" t="str">
        <f t="shared" si="4"/>
        <v>16.3047419912284+0.183166359987472i</v>
      </c>
      <c r="P53" s="731" t="str">
        <f t="shared" si="5"/>
        <v>20.0003224860251-0.0107672750924158i</v>
      </c>
      <c r="Q53" s="729" t="str">
        <f t="shared" si="6"/>
        <v>19.8372750661128-0.0125989386922907i</v>
      </c>
      <c r="R53" s="730"/>
      <c r="S53" s="405" t="str">
        <f t="shared" si="30"/>
        <v>22.5479485406444+0.29722845814805i</v>
      </c>
      <c r="T53" s="405" t="str">
        <f t="shared" si="31"/>
        <v>22.5406188920922-0.124580139916101i</v>
      </c>
      <c r="U53" s="405" t="str">
        <f t="shared" si="32"/>
        <v>27.4187420919383-0.477009054629507i</v>
      </c>
      <c r="V53" s="731" t="str">
        <f t="shared" si="7"/>
        <v>6000</v>
      </c>
      <c r="W53" s="733" t="str">
        <f>IMSUM(COMPLEX(1,0),IMDIV(COMPLEX(0,2*PI()*D53),COMPLEX(2*PI()*'Stability Calculations'!EA_Pole1,0)))</f>
        <v>1+252.641289166768i</v>
      </c>
      <c r="X53" s="734">
        <f t="shared" si="33"/>
        <v>252.64326824961415</v>
      </c>
      <c r="Y53" s="735">
        <f t="shared" si="34"/>
        <v>1.5668381662703532</v>
      </c>
      <c r="Z53" s="340" t="str">
        <f>IMSUM(COMPLEX(1,0),IMDIV(COMPLEX(0,2*PI()*D53),COMPLEX(2*PI()*'Stability Calculations'!EA_Zero1,0)))</f>
        <v>1+2.50139890264127i</v>
      </c>
      <c r="AA53" s="734">
        <f t="shared" si="35"/>
        <v>2.6938813021614281</v>
      </c>
      <c r="AB53" s="735">
        <f t="shared" si="36"/>
        <v>1.190482808737197</v>
      </c>
      <c r="AC53" s="733" t="str">
        <f>IMSUM(COMPLEX(1,0),IMDIV(COMPLEX(0,2*PI()*D53),COMPLEX(2*PI()*'Stability Calculations'!EA_Pole2,0)))</f>
        <v>1+0.0251977321033358i</v>
      </c>
      <c r="AD53" s="734">
        <f t="shared" si="37"/>
        <v>1.0003174124762357</v>
      </c>
      <c r="AE53" s="735">
        <f t="shared" si="38"/>
        <v>2.5192401238085995E-2</v>
      </c>
      <c r="AF53" s="732" t="str">
        <f t="shared" si="39"/>
        <v>58.8691451959912-24.99694825424i</v>
      </c>
      <c r="AG53" s="337">
        <f t="shared" si="40"/>
        <v>63.956420147877616</v>
      </c>
      <c r="AH53" s="730">
        <f t="shared" si="41"/>
        <v>-0.40154775877124282</v>
      </c>
      <c r="AI53" s="731" t="str">
        <f t="shared" si="14"/>
        <v>10000</v>
      </c>
      <c r="AJ53" s="733" t="str">
        <f t="shared" si="42"/>
        <v>1+235.531220392922i</v>
      </c>
      <c r="AK53" s="734">
        <f t="shared" si="43"/>
        <v>235.53334324417676</v>
      </c>
      <c r="AL53" s="735">
        <f t="shared" si="44"/>
        <v>1.5665506306630661</v>
      </c>
      <c r="AM53" s="340" t="str">
        <f t="shared" si="45"/>
        <v>1+0.399723544642075i</v>
      </c>
      <c r="AN53" s="734">
        <f t="shared" si="46"/>
        <v>1.0769303190741846</v>
      </c>
      <c r="AO53" s="735">
        <f t="shared" si="47"/>
        <v>0.38026803081104182</v>
      </c>
      <c r="AP53" s="733" t="str">
        <f t="shared" si="48"/>
        <v>1+0.0193872507917567i</v>
      </c>
      <c r="AQ53" s="734">
        <f t="shared" si="49"/>
        <v>1.0001879150905906</v>
      </c>
      <c r="AR53" s="735">
        <f t="shared" si="50"/>
        <v>1.9384822339868657E-2</v>
      </c>
      <c r="AS53" s="732" t="str">
        <f t="shared" si="51"/>
        <v>1590.71775832633-5411.46673092164i</v>
      </c>
      <c r="AT53" s="337">
        <f t="shared" si="52"/>
        <v>5640.4215415628723</v>
      </c>
      <c r="AU53" s="730">
        <f t="shared" si="53"/>
        <v>-1.2848962806405932</v>
      </c>
      <c r="AV53" s="732" t="str">
        <f t="shared" si="54"/>
        <v>-982.915871382419-8071.82824058065i</v>
      </c>
      <c r="AW53" s="337">
        <f t="shared" si="55"/>
        <v>78.203363573085028</v>
      </c>
      <c r="AX53" s="730">
        <f t="shared" si="56"/>
        <v>-96.94279166261353</v>
      </c>
      <c r="AY53" s="360">
        <f t="shared" si="57"/>
        <v>83.05720833738647</v>
      </c>
      <c r="BB53" s="337">
        <f t="shared" si="58"/>
        <v>35.02623125106193</v>
      </c>
      <c r="BC53" s="730">
        <f t="shared" si="59"/>
        <v>-73.619133992762983</v>
      </c>
      <c r="BD53" s="351"/>
      <c r="BE53" s="337">
        <f t="shared" si="19"/>
        <v>24.250272576340453</v>
      </c>
      <c r="BF53" s="730">
        <f t="shared" si="20"/>
        <v>1.7155284071440686</v>
      </c>
      <c r="BI53" s="351"/>
      <c r="BJ53" s="351"/>
      <c r="BL53" s="405">
        <f t="shared" si="21"/>
        <v>0</v>
      </c>
      <c r="BM53" s="405">
        <f t="shared" si="22"/>
        <v>0</v>
      </c>
      <c r="BN53" s="405">
        <f t="shared" si="23"/>
        <v>0</v>
      </c>
      <c r="BO53" s="405">
        <f t="shared" si="24"/>
        <v>0</v>
      </c>
    </row>
    <row r="54" spans="4:67" ht="13.5" thickBot="1" x14ac:dyDescent="0.25">
      <c r="D54" s="345">
        <v>43.652000000000001</v>
      </c>
      <c r="E54" s="340" t="str">
        <f t="shared" si="0"/>
        <v>0.000724082317276569i</v>
      </c>
      <c r="F54" s="728" t="str">
        <f t="shared" si="25"/>
        <v>0.005-59.7703983262162i</v>
      </c>
      <c r="G54" s="337" t="str">
        <f t="shared" si="26"/>
        <v>0.005-93.4870332794666i</v>
      </c>
      <c r="H54" s="338" t="str">
        <f t="shared" si="27"/>
        <v>1.21645978641734-0.0158313403169919i</v>
      </c>
      <c r="I54" s="338" t="str">
        <f t="shared" si="28"/>
        <v>1.22645978641734-0.0158313403169919i</v>
      </c>
      <c r="J54" s="337" t="str">
        <f t="shared" si="29"/>
        <v>1.22529260468484-0.0409628070004761i</v>
      </c>
      <c r="K54" s="338" t="str">
        <f t="shared" si="1"/>
        <v>0.99999997882781-0.000228561337524169i</v>
      </c>
      <c r="L54" s="732"/>
      <c r="M54" s="732" t="str">
        <f t="shared" si="2"/>
        <v>16.3050472390907+0.535459288901111i</v>
      </c>
      <c r="N54" s="337">
        <f t="shared" si="3"/>
        <v>0</v>
      </c>
      <c r="O54" s="730" t="str">
        <f t="shared" si="4"/>
        <v>16.3048217211404+0.200839022864833i</v>
      </c>
      <c r="P54" s="731" t="str">
        <f t="shared" si="5"/>
        <v>20.0003877166027-0.0118061963881853i</v>
      </c>
      <c r="Q54" s="729" t="str">
        <f t="shared" si="6"/>
        <v>19.8373394993913-0.0138145866168342i</v>
      </c>
      <c r="R54" s="730"/>
      <c r="S54" s="405" t="str">
        <f t="shared" si="30"/>
        <v>22.5490108999024+0.325885285468095i</v>
      </c>
      <c r="T54" s="405" t="str">
        <f t="shared" si="31"/>
        <v>22.5401992079678-0.136591830132405i</v>
      </c>
      <c r="U54" s="405" t="str">
        <f t="shared" si="32"/>
        <v>27.4170834825816-0.523000032983353i</v>
      </c>
      <c r="V54" s="731" t="str">
        <f t="shared" si="7"/>
        <v>6000</v>
      </c>
      <c r="W54" s="733" t="str">
        <f>IMSUM(COMPLEX(1,0),IMDIV(COMPLEX(0,2*PI()*D54),COMPLEX(2*PI()*'Stability Calculations'!EA_Pole1,0)))</f>
        <v>1+277.016341079293i</v>
      </c>
      <c r="X54" s="734">
        <f t="shared" si="33"/>
        <v>277.01814602108504</v>
      </c>
      <c r="Y54" s="735">
        <f t="shared" si="34"/>
        <v>1.5671864471309158</v>
      </c>
      <c r="Z54" s="340" t="str">
        <f>IMSUM(COMPLEX(1,0),IMDIV(COMPLEX(0,2*PI()*D54),COMPLEX(2*PI()*'Stability Calculations'!EA_Zero1,0)))</f>
        <v>1+2.74273605029003i</v>
      </c>
      <c r="AA54" s="734">
        <f t="shared" si="35"/>
        <v>2.9193494209430559</v>
      </c>
      <c r="AB54" s="735">
        <f t="shared" si="36"/>
        <v>1.2211749951531909</v>
      </c>
      <c r="AC54" s="733" t="str">
        <f>IMSUM(COMPLEX(1,0),IMDIV(COMPLEX(0,2*PI()*D54),COMPLEX(2*PI()*'Stability Calculations'!EA_Pole2,0)))</f>
        <v>1+0.0276288312721311i</v>
      </c>
      <c r="AD54" s="734">
        <f t="shared" si="37"/>
        <v>1.0003816033481743</v>
      </c>
      <c r="AE54" s="735">
        <f t="shared" si="38"/>
        <v>2.7621804312817706E-2</v>
      </c>
      <c r="AF54" s="732" t="str">
        <f t="shared" si="39"/>
        <v>58.845942891704-23.0704880130154i</v>
      </c>
      <c r="AG54" s="337">
        <f t="shared" si="40"/>
        <v>63.206743405845359</v>
      </c>
      <c r="AH54" s="730">
        <f t="shared" si="41"/>
        <v>-0.37363325629054384</v>
      </c>
      <c r="AI54" s="731" t="str">
        <f t="shared" si="14"/>
        <v>10000</v>
      </c>
      <c r="AJ54" s="733" t="str">
        <f t="shared" si="42"/>
        <v>1+258.2554779481i</v>
      </c>
      <c r="AK54" s="734">
        <f t="shared" si="43"/>
        <v>258.25741400819754</v>
      </c>
      <c r="AL54" s="735">
        <f t="shared" si="44"/>
        <v>1.5669242114377275</v>
      </c>
      <c r="AM54" s="340" t="str">
        <f t="shared" si="45"/>
        <v>1+0.438289220836347i</v>
      </c>
      <c r="AN54" s="734">
        <f t="shared" si="46"/>
        <v>1.0918321487762357</v>
      </c>
      <c r="AO54" s="735">
        <f t="shared" si="47"/>
        <v>0.41307267755713362</v>
      </c>
      <c r="AP54" s="733" t="str">
        <f t="shared" si="48"/>
        <v>1+0.0212577496561694i</v>
      </c>
      <c r="AQ54" s="734">
        <f t="shared" si="49"/>
        <v>1.0002259204401995</v>
      </c>
      <c r="AR54" s="735">
        <f t="shared" si="50"/>
        <v>2.125454845564376E-2</v>
      </c>
      <c r="AS54" s="732" t="str">
        <f t="shared" si="51"/>
        <v>1341.0395827441-5002.23994750307i</v>
      </c>
      <c r="AT54" s="337">
        <f t="shared" si="52"/>
        <v>5178.8793821522804</v>
      </c>
      <c r="AU54" s="730">
        <f t="shared" si="53"/>
        <v>-1.3088676059075526</v>
      </c>
      <c r="AV54" s="732" t="str">
        <f t="shared" si="54"/>
        <v>-866.911167529782-7327.34183772409i</v>
      </c>
      <c r="AW54" s="337">
        <f t="shared" si="55"/>
        <v>77.359298702384805</v>
      </c>
      <c r="AX54" s="730">
        <f t="shared" si="56"/>
        <v>-96.74740208768948</v>
      </c>
      <c r="AY54" s="360">
        <f t="shared" si="57"/>
        <v>83.25259791231052</v>
      </c>
      <c r="BB54" s="337">
        <f t="shared" si="58"/>
        <v>34.284715925414083</v>
      </c>
      <c r="BC54" s="730">
        <f t="shared" si="59"/>
        <v>-74.992589759895054</v>
      </c>
      <c r="BD54" s="351"/>
      <c r="BE54" s="337">
        <f t="shared" si="19"/>
        <v>24.251122447353367</v>
      </c>
      <c r="BF54" s="730">
        <f t="shared" si="20"/>
        <v>1.880922822496411</v>
      </c>
      <c r="BI54" s="351"/>
      <c r="BJ54" s="351"/>
      <c r="BL54" s="405">
        <f t="shared" si="21"/>
        <v>0</v>
      </c>
      <c r="BM54" s="405">
        <f t="shared" si="22"/>
        <v>0</v>
      </c>
      <c r="BN54" s="405">
        <f t="shared" si="23"/>
        <v>0</v>
      </c>
      <c r="BO54" s="405">
        <f t="shared" si="24"/>
        <v>0</v>
      </c>
    </row>
    <row r="55" spans="4:67" ht="13.5" thickBot="1" x14ac:dyDescent="0.25">
      <c r="D55" s="345">
        <v>47.863</v>
      </c>
      <c r="E55" s="340" t="str">
        <f t="shared" si="0"/>
        <v>0.000793932739663896i</v>
      </c>
      <c r="F55" s="728" t="str">
        <f t="shared" si="25"/>
        <v>0.005-54.5117821226416i</v>
      </c>
      <c r="G55" s="337" t="str">
        <f t="shared" si="26"/>
        <v>0.005-85.262018191824i</v>
      </c>
      <c r="H55" s="338" t="str">
        <f t="shared" si="27"/>
        <v>1.21641795533413-0.0173579510175741i</v>
      </c>
      <c r="I55" s="338" t="str">
        <f t="shared" si="28"/>
        <v>1.22641795533413-0.0173579510175741i</v>
      </c>
      <c r="J55" s="337" t="str">
        <f t="shared" si="29"/>
        <v>1.2250150884147-0.0449041801559734i</v>
      </c>
      <c r="K55" s="338" t="str">
        <f t="shared" si="1"/>
        <v>0.999999974545925-0.000250610081964614i</v>
      </c>
      <c r="L55" s="732"/>
      <c r="M55" s="732" t="str">
        <f t="shared" si="2"/>
        <v>16.3051886941812+0.587115958221137i</v>
      </c>
      <c r="N55" s="337">
        <f t="shared" si="3"/>
        <v>0</v>
      </c>
      <c r="O55" s="730" t="str">
        <f t="shared" si="4"/>
        <v>16.3049175650604+0.220214272087703i</v>
      </c>
      <c r="P55" s="731" t="str">
        <f t="shared" si="5"/>
        <v>20.0004661305812-0.0129452231307082i</v>
      </c>
      <c r="Q55" s="729" t="str">
        <f t="shared" si="6"/>
        <v>19.8374169549306-0.0151473658515848i</v>
      </c>
      <c r="R55" s="730"/>
      <c r="S55" s="405" t="str">
        <f t="shared" si="30"/>
        <v>22.5502877897956+0.357296227473021i</v>
      </c>
      <c r="T55" s="405" t="str">
        <f t="shared" si="31"/>
        <v>22.5396947736651-0.149758079749853i</v>
      </c>
      <c r="U55" s="405" t="str">
        <f t="shared" si="32"/>
        <v>27.4150899370243-0.57341133499643i</v>
      </c>
      <c r="V55" s="731" t="str">
        <f t="shared" si="7"/>
        <v>6000</v>
      </c>
      <c r="W55" s="733" t="str">
        <f>IMSUM(COMPLEX(1,0),IMDIV(COMPLEX(0,2*PI()*D55),COMPLEX(2*PI()*'Stability Calculations'!EA_Pole1,0)))</f>
        <v>1+303.739419341112i</v>
      </c>
      <c r="X55" s="734">
        <f t="shared" si="33"/>
        <v>303.74106548452727</v>
      </c>
      <c r="Y55" s="735">
        <f t="shared" si="34"/>
        <v>1.5675040429381542</v>
      </c>
      <c r="Z55" s="340" t="str">
        <f>IMSUM(COMPLEX(1,0),IMDIV(COMPLEX(0,2*PI()*D55),COMPLEX(2*PI()*'Stability Calculations'!EA_Zero1,0)))</f>
        <v>1+3.00732098357537i</v>
      </c>
      <c r="AA55" s="734">
        <f t="shared" si="35"/>
        <v>3.1692238005941977</v>
      </c>
      <c r="AB55" s="735">
        <f t="shared" si="36"/>
        <v>1.249776266245533</v>
      </c>
      <c r="AC55" s="733" t="str">
        <f>IMSUM(COMPLEX(1,0),IMDIV(COMPLEX(0,2*PI()*D55),COMPLEX(2*PI()*'Stability Calculations'!EA_Pole2,0)))</f>
        <v>1+0.0302941159895999i</v>
      </c>
      <c r="AD55" s="734">
        <f t="shared" si="37"/>
        <v>1.0004587615007383</v>
      </c>
      <c r="AE55" s="735">
        <f t="shared" si="38"/>
        <v>3.028485378121052E-2</v>
      </c>
      <c r="AF55" s="732" t="str">
        <f t="shared" si="39"/>
        <v>58.8238548977836-21.3399972760542i</v>
      </c>
      <c r="AG55" s="337">
        <f t="shared" si="40"/>
        <v>62.575086006952482</v>
      </c>
      <c r="AH55" s="730">
        <f t="shared" si="41"/>
        <v>-0.34801263047383157</v>
      </c>
      <c r="AI55" s="731" t="str">
        <f t="shared" si="14"/>
        <v>10000</v>
      </c>
      <c r="AJ55" s="733" t="str">
        <f t="shared" si="42"/>
        <v>1+283.168742349261i</v>
      </c>
      <c r="AK55" s="734">
        <f t="shared" si="43"/>
        <v>283.17050807536816</v>
      </c>
      <c r="AL55" s="735">
        <f t="shared" si="44"/>
        <v>1.5672648782506211</v>
      </c>
      <c r="AM55" s="340" t="str">
        <f t="shared" si="45"/>
        <v>1+0.480569893175344i</v>
      </c>
      <c r="AN55" s="734">
        <f t="shared" si="46"/>
        <v>1.1094806993483759</v>
      </c>
      <c r="AO55" s="735">
        <f t="shared" si="47"/>
        <v>0.44798304932919486</v>
      </c>
      <c r="AP55" s="733" t="str">
        <f t="shared" si="48"/>
        <v>1+0.0233084319571437i</v>
      </c>
      <c r="AQ55" s="734">
        <f t="shared" si="49"/>
        <v>1.0002716046156168</v>
      </c>
      <c r="AR55" s="735">
        <f t="shared" si="50"/>
        <v>2.3304212307587981E-2</v>
      </c>
      <c r="AS55" s="732" t="str">
        <f t="shared" si="51"/>
        <v>1128.17510555837-4614.18714860655i</v>
      </c>
      <c r="AT55" s="337">
        <f t="shared" si="52"/>
        <v>4750.105484214796</v>
      </c>
      <c r="AU55" s="730">
        <f t="shared" si="53"/>
        <v>-1.3309994973872998</v>
      </c>
      <c r="AV55" s="732" t="str">
        <f t="shared" si="54"/>
        <v>-767.84824926532-6655.66148550628i</v>
      </c>
      <c r="AW55" s="337">
        <f t="shared" si="55"/>
        <v>76.521246513133306</v>
      </c>
      <c r="AX55" s="730">
        <f t="shared" si="56"/>
        <v>-96.580987286912048</v>
      </c>
      <c r="AY55" s="360">
        <f t="shared" si="57"/>
        <v>83.419012713087952</v>
      </c>
      <c r="BB55" s="337">
        <f t="shared" si="58"/>
        <v>33.534065079671031</v>
      </c>
      <c r="BC55" s="730">
        <f t="shared" si="59"/>
        <v>-76.260653734326127</v>
      </c>
      <c r="BD55" s="351"/>
      <c r="BE55" s="337">
        <f t="shared" si="19"/>
        <v>24.25214386866913</v>
      </c>
      <c r="BF55" s="730">
        <f t="shared" si="20"/>
        <v>2.0622109846035039</v>
      </c>
      <c r="BI55" s="351"/>
      <c r="BJ55" s="351"/>
      <c r="BL55" s="405">
        <f t="shared" si="21"/>
        <v>0</v>
      </c>
      <c r="BM55" s="405">
        <f t="shared" si="22"/>
        <v>0</v>
      </c>
      <c r="BN55" s="405">
        <f t="shared" si="23"/>
        <v>0</v>
      </c>
      <c r="BO55" s="405">
        <f t="shared" si="24"/>
        <v>0</v>
      </c>
    </row>
    <row r="56" spans="4:67" ht="13.5" thickBot="1" x14ac:dyDescent="0.25">
      <c r="D56" s="345">
        <v>52.481000000000002</v>
      </c>
      <c r="E56" s="340" t="str">
        <f t="shared" si="0"/>
        <v>0.000870534319000082i</v>
      </c>
      <c r="F56" s="728" t="str">
        <f t="shared" si="25"/>
        <v>0.005-49.7150859879955i</v>
      </c>
      <c r="G56" s="337" t="str">
        <f t="shared" si="26"/>
        <v>0.005-77.759493468403i</v>
      </c>
      <c r="H56" s="338" t="str">
        <f t="shared" si="27"/>
        <v>1.21636765928218-0.019031920404991i</v>
      </c>
      <c r="I56" s="338" t="str">
        <f t="shared" si="28"/>
        <v>1.22636765928218-0.019031920404991i</v>
      </c>
      <c r="J56" s="337" t="str">
        <f t="shared" si="29"/>
        <v>1.22468155535045-0.0492232512465823i</v>
      </c>
      <c r="K56" s="338" t="str">
        <f t="shared" si="1"/>
        <v>0.999999969397163-0.000274789873421743i</v>
      </c>
      <c r="L56" s="732"/>
      <c r="M56" s="732" t="str">
        <f t="shared" si="2"/>
        <v>16.3053587894329+0.643766042285584i</v>
      </c>
      <c r="N56" s="337">
        <f t="shared" si="3"/>
        <v>0</v>
      </c>
      <c r="O56" s="730" t="str">
        <f t="shared" si="4"/>
        <v>16.3050328140844+0.241462427737154i</v>
      </c>
      <c r="P56" s="731" t="str">
        <f t="shared" si="5"/>
        <v>20.0005604204332-0.0141943744098111i</v>
      </c>
      <c r="Q56" s="729" t="str">
        <f t="shared" si="6"/>
        <v>19.8375100922924-0.0166089986871826i</v>
      </c>
      <c r="R56" s="730"/>
      <c r="S56" s="405" t="str">
        <f t="shared" si="30"/>
        <v>22.5518229457945+0.391734689860962i</v>
      </c>
      <c r="T56" s="405" t="str">
        <f t="shared" si="31"/>
        <v>22.539088311502-0.164193552721318i</v>
      </c>
      <c r="U56" s="405" t="str">
        <f t="shared" si="32"/>
        <v>27.4126931731895-0.628681862138416i</v>
      </c>
      <c r="V56" s="731" t="str">
        <f t="shared" si="7"/>
        <v>6000</v>
      </c>
      <c r="W56" s="733" t="str">
        <f>IMSUM(COMPLEX(1,0),IMDIV(COMPLEX(0,2*PI()*D56),COMPLEX(2*PI()*'Stability Calculations'!EA_Pole1,0)))</f>
        <v>1+333.045326587153i</v>
      </c>
      <c r="X56" s="734">
        <f t="shared" si="33"/>
        <v>333.04682788092038</v>
      </c>
      <c r="Y56" s="735">
        <f t="shared" si="34"/>
        <v>1.5677937415159715</v>
      </c>
      <c r="Z56" s="340" t="str">
        <f>IMSUM(COMPLEX(1,0),IMDIV(COMPLEX(0,2*PI()*D56),COMPLEX(2*PI()*'Stability Calculations'!EA_Zero1,0)))</f>
        <v>1+3.29747848106092i</v>
      </c>
      <c r="AA56" s="734">
        <f t="shared" si="35"/>
        <v>3.4457748523459615</v>
      </c>
      <c r="AB56" s="735">
        <f t="shared" si="36"/>
        <v>1.2763495426106402</v>
      </c>
      <c r="AC56" s="733" t="str">
        <f>IMSUM(COMPLEX(1,0),IMDIV(COMPLEX(0,2*PI()*D56),COMPLEX(2*PI()*'Stability Calculations'!EA_Pole2,0)))</f>
        <v>1+0.0332170048106092i</v>
      </c>
      <c r="AD56" s="734">
        <f t="shared" si="37"/>
        <v>1.0005515326101839</v>
      </c>
      <c r="AE56" s="735">
        <f t="shared" si="38"/>
        <v>3.3204796016425606E-2</v>
      </c>
      <c r="AF56" s="732" t="str">
        <f t="shared" si="39"/>
        <v>58.8021246892805-19.7902635223367i</v>
      </c>
      <c r="AG56" s="337">
        <f t="shared" si="40"/>
        <v>62.043085015634276</v>
      </c>
      <c r="AH56" s="730">
        <f t="shared" si="41"/>
        <v>-0.32464899492175764</v>
      </c>
      <c r="AI56" s="731" t="str">
        <f t="shared" si="14"/>
        <v>10000</v>
      </c>
      <c r="AJ56" s="733" t="str">
        <f t="shared" si="42"/>
        <v>1+310.489914281001i</v>
      </c>
      <c r="AK56" s="734">
        <f t="shared" si="43"/>
        <v>310.49152463509103</v>
      </c>
      <c r="AL56" s="735">
        <f t="shared" si="44"/>
        <v>1.5675756213988274</v>
      </c>
      <c r="AM56" s="340" t="str">
        <f t="shared" si="45"/>
        <v>1+0.526937061273535i</v>
      </c>
      <c r="AN56" s="734">
        <f t="shared" si="46"/>
        <v>1.1303374126974606</v>
      </c>
      <c r="AO56" s="735">
        <f t="shared" si="47"/>
        <v>0.48496431014078972</v>
      </c>
      <c r="AP56" s="733" t="str">
        <f t="shared" si="48"/>
        <v>1+0.0255573160383356i</v>
      </c>
      <c r="AQ56" s="734">
        <f t="shared" si="49"/>
        <v>1.0003265348890247</v>
      </c>
      <c r="AR56" s="735">
        <f t="shared" si="50"/>
        <v>2.5551753739482878E-2</v>
      </c>
      <c r="AS56" s="732" t="str">
        <f t="shared" si="51"/>
        <v>947.356593884701-4248.48765582733i</v>
      </c>
      <c r="AT56" s="337">
        <f t="shared" si="52"/>
        <v>4352.830329532042</v>
      </c>
      <c r="AU56" s="730">
        <f t="shared" si="53"/>
        <v>-1.3513989177935071</v>
      </c>
      <c r="AV56" s="732" t="str">
        <f t="shared" si="54"/>
        <v>-683.578708919006-6048.63146739308i</v>
      </c>
      <c r="AW56" s="337">
        <f t="shared" si="55"/>
        <v>75.68825984090266</v>
      </c>
      <c r="AX56" s="730">
        <f t="shared" si="56"/>
        <v>-96.447854610872099</v>
      </c>
      <c r="AY56" s="360">
        <f t="shared" si="57"/>
        <v>83.552145389127901</v>
      </c>
      <c r="BB56" s="337">
        <f t="shared" si="58"/>
        <v>32.775434779471915</v>
      </c>
      <c r="BC56" s="730">
        <f t="shared" si="59"/>
        <v>-77.429454428114838</v>
      </c>
      <c r="BD56" s="351"/>
      <c r="BE56" s="337">
        <f t="shared" si="19"/>
        <v>24.253371782133225</v>
      </c>
      <c r="BF56" s="730">
        <f t="shared" si="20"/>
        <v>2.2609701443022163</v>
      </c>
      <c r="BI56" s="351"/>
      <c r="BJ56" s="351"/>
      <c r="BL56" s="405">
        <f t="shared" si="21"/>
        <v>0</v>
      </c>
      <c r="BM56" s="405">
        <f t="shared" si="22"/>
        <v>0</v>
      </c>
      <c r="BN56" s="405">
        <f t="shared" si="23"/>
        <v>0</v>
      </c>
      <c r="BO56" s="405">
        <f t="shared" si="24"/>
        <v>0</v>
      </c>
    </row>
    <row r="57" spans="4:67" ht="13.5" thickBot="1" x14ac:dyDescent="0.25">
      <c r="D57" s="345">
        <v>57.544000000000004</v>
      </c>
      <c r="E57" s="340" t="str">
        <f t="shared" si="0"/>
        <v>0.000954517384435143i</v>
      </c>
      <c r="F57" s="728" t="str">
        <f t="shared" si="25"/>
        <v>0.005-45.3409117846515i</v>
      </c>
      <c r="G57" s="337" t="str">
        <f t="shared" si="26"/>
        <v>0.005-70.9178363811219i</v>
      </c>
      <c r="H57" s="338" t="str">
        <f t="shared" si="27"/>
        <v>1.21630720206451-0.0208669455720933i</v>
      </c>
      <c r="I57" s="338" t="str">
        <f t="shared" si="28"/>
        <v>1.22630720206451-0.0208669455720933i</v>
      </c>
      <c r="J57" s="337" t="str">
        <f t="shared" si="29"/>
        <v>1.22428084404585-0.0539542471993423i</v>
      </c>
      <c r="K57" s="338" t="str">
        <f t="shared" si="1"/>
        <v>0.999999963207645-0.000301299679430285i</v>
      </c>
      <c r="L57" s="732"/>
      <c r="M57" s="732" t="str">
        <f t="shared" si="2"/>
        <v>16.3055632705109+0.705875985906212i</v>
      </c>
      <c r="N57" s="337">
        <f t="shared" si="3"/>
        <v>0</v>
      </c>
      <c r="O57" s="730" t="str">
        <f t="shared" si="4"/>
        <v>16.3051713610709+0.26475843832917i</v>
      </c>
      <c r="P57" s="731" t="str">
        <f t="shared" si="5"/>
        <v>20.0006737708998-0.0155639436047123i</v>
      </c>
      <c r="Q57" s="729" t="str">
        <f t="shared" si="6"/>
        <v>19.8376220572891-0.018211527988004i</v>
      </c>
      <c r="R57" s="730"/>
      <c r="S57" s="405" t="str">
        <f t="shared" si="30"/>
        <v>22.5536680624702+0.429480646623063i</v>
      </c>
      <c r="T57" s="405" t="str">
        <f t="shared" si="31"/>
        <v>22.5383593995496-0.180015687830144i</v>
      </c>
      <c r="U57" s="405" t="str">
        <f t="shared" si="32"/>
        <v>27.4098124828307-0.689261096467094i</v>
      </c>
      <c r="V57" s="731" t="str">
        <f t="shared" si="7"/>
        <v>6000</v>
      </c>
      <c r="W57" s="733" t="str">
        <f>IMSUM(COMPLEX(1,0),IMDIV(COMPLEX(0,2*PI()*D57),COMPLEX(2*PI()*'Stability Calculations'!EA_Pole1,0)))</f>
        <v>1+365.175211469505i</v>
      </c>
      <c r="X57" s="734">
        <f t="shared" si="33"/>
        <v>365.17658067268997</v>
      </c>
      <c r="Y57" s="735">
        <f t="shared" si="34"/>
        <v>1.5680579221360629</v>
      </c>
      <c r="Z57" s="340" t="str">
        <f>IMSUM(COMPLEX(1,0),IMDIV(COMPLEX(0,2*PI()*D57),COMPLEX(2*PI()*'Stability Calculations'!EA_Zero1,0)))</f>
        <v>1+3.61559615316342i</v>
      </c>
      <c r="AA57" s="734">
        <f t="shared" si="35"/>
        <v>3.7513378337294712</v>
      </c>
      <c r="AB57" s="735">
        <f t="shared" si="36"/>
        <v>1.3009622036325565</v>
      </c>
      <c r="AC57" s="733" t="str">
        <f>IMSUM(COMPLEX(1,0),IMDIV(COMPLEX(0,2*PI()*D57),COMPLEX(2*PI()*'Stability Calculations'!EA_Pole2,0)))</f>
        <v>1+0.0364215492239419i</v>
      </c>
      <c r="AD57" s="734">
        <f t="shared" si="37"/>
        <v>1.0006630448097262</v>
      </c>
      <c r="AE57" s="735">
        <f t="shared" si="38"/>
        <v>3.6405457279762805E-2</v>
      </c>
      <c r="AF57" s="732" t="str">
        <f t="shared" si="39"/>
        <v>58.7800210375326-18.4085285518531i</v>
      </c>
      <c r="AG57" s="337">
        <f t="shared" si="40"/>
        <v>61.595168614244137</v>
      </c>
      <c r="AH57" s="730">
        <f t="shared" si="41"/>
        <v>-0.30350117578326913</v>
      </c>
      <c r="AI57" s="731" t="str">
        <f t="shared" si="14"/>
        <v>10000</v>
      </c>
      <c r="AJ57" s="733" t="str">
        <f t="shared" si="42"/>
        <v>1+340.443810662638i</v>
      </c>
      <c r="AK57" s="734">
        <f t="shared" si="43"/>
        <v>340.44527933061153</v>
      </c>
      <c r="AL57" s="735">
        <f t="shared" si="44"/>
        <v>1.5678589929597617</v>
      </c>
      <c r="AM57" s="340" t="str">
        <f t="shared" si="45"/>
        <v>1+0.577772265275514i</v>
      </c>
      <c r="AN57" s="734">
        <f t="shared" si="46"/>
        <v>1.154911594245031</v>
      </c>
      <c r="AO57" s="735">
        <f t="shared" si="47"/>
        <v>0.52391521482931624</v>
      </c>
      <c r="AP57" s="733" t="str">
        <f t="shared" si="48"/>
        <v>1+0.0280229072256623i</v>
      </c>
      <c r="AQ57" s="734">
        <f t="shared" si="49"/>
        <v>1.000392564611202</v>
      </c>
      <c r="AR57" s="735">
        <f t="shared" si="50"/>
        <v>2.8015575372606571E-2</v>
      </c>
      <c r="AS57" s="732" t="str">
        <f t="shared" si="51"/>
        <v>794.313927897224-3905.80899966869i</v>
      </c>
      <c r="AT57" s="337">
        <f t="shared" si="52"/>
        <v>3985.7594706585655</v>
      </c>
      <c r="AU57" s="730">
        <f t="shared" si="53"/>
        <v>-1.3701650611467835</v>
      </c>
      <c r="AV57" s="732" t="str">
        <f t="shared" si="54"/>
        <v>-612.162070244466-5499.45724497324i</v>
      </c>
      <c r="AW57" s="337">
        <f t="shared" si="55"/>
        <v>74.85987774372083</v>
      </c>
      <c r="AX57" s="730">
        <f t="shared" si="56"/>
        <v>-96.351627954399646</v>
      </c>
      <c r="AY57" s="360">
        <f t="shared" si="57"/>
        <v>83.648372045600354</v>
      </c>
      <c r="BB57" s="337">
        <f t="shared" si="58"/>
        <v>32.010221734165412</v>
      </c>
      <c r="BC57" s="730">
        <f t="shared" si="59"/>
        <v>-78.504675239995066</v>
      </c>
      <c r="BD57" s="351"/>
      <c r="BE57" s="337">
        <f t="shared" si="19"/>
        <v>24.254847473592509</v>
      </c>
      <c r="BF57" s="730">
        <f t="shared" si="20"/>
        <v>2.4788152241821111</v>
      </c>
      <c r="BI57" s="351"/>
      <c r="BJ57" s="351"/>
      <c r="BL57" s="405">
        <f t="shared" si="21"/>
        <v>0</v>
      </c>
      <c r="BM57" s="405">
        <f t="shared" si="22"/>
        <v>0</v>
      </c>
      <c r="BN57" s="405">
        <f t="shared" si="23"/>
        <v>0</v>
      </c>
      <c r="BO57" s="405">
        <f t="shared" si="24"/>
        <v>0</v>
      </c>
    </row>
    <row r="58" spans="4:67" ht="13.5" thickBot="1" x14ac:dyDescent="0.25">
      <c r="D58" s="345">
        <v>63.095999999999997</v>
      </c>
      <c r="E58" s="340" t="str">
        <f t="shared" si="0"/>
        <v>0.00104661179077436i</v>
      </c>
      <c r="F58" s="728" t="str">
        <f t="shared" si="25"/>
        <v>0.005-41.3512334812982i</v>
      </c>
      <c r="G58" s="337" t="str">
        <f t="shared" si="26"/>
        <v>0.005-64.6775703169024i</v>
      </c>
      <c r="H58" s="338" t="str">
        <f t="shared" si="27"/>
        <v>1.21623451754857-0.022878871737989i</v>
      </c>
      <c r="I58" s="338" t="str">
        <f t="shared" si="28"/>
        <v>1.22623451754857-0.022878871737989i</v>
      </c>
      <c r="J58" s="337" t="str">
        <f t="shared" si="29"/>
        <v>1.22379938531213-0.0591365542615679i</v>
      </c>
      <c r="K58" s="338" t="str">
        <f t="shared" si="1"/>
        <v>0.999999955765498-0.000330369883451503i</v>
      </c>
      <c r="L58" s="732"/>
      <c r="M58" s="732" t="str">
        <f t="shared" si="2"/>
        <v>16.3058091390648+0.773985937724937i</v>
      </c>
      <c r="N58" s="337">
        <f t="shared" si="3"/>
        <v>0</v>
      </c>
      <c r="O58" s="730" t="str">
        <f t="shared" si="4"/>
        <v>16.3053379497998+0.290304895515934i</v>
      </c>
      <c r="P58" s="731" t="str">
        <f t="shared" si="5"/>
        <v>20.0008100628083-0.0170658521030639i</v>
      </c>
      <c r="Q58" s="729" t="str">
        <f t="shared" si="6"/>
        <v>19.8377566833103-0.0199689010582228i</v>
      </c>
      <c r="R58" s="730"/>
      <c r="S58" s="405" t="str">
        <f t="shared" si="30"/>
        <v>22.5558860850448+0.470857637881714i</v>
      </c>
      <c r="T58" s="405" t="str">
        <f t="shared" si="31"/>
        <v>22.537483171304-0.197360214004825i</v>
      </c>
      <c r="U58" s="405" t="str">
        <f t="shared" si="32"/>
        <v>27.4063495925871-0.755668491436778i</v>
      </c>
      <c r="V58" s="731" t="str">
        <f t="shared" si="7"/>
        <v>6000</v>
      </c>
      <c r="W58" s="733" t="str">
        <f>IMSUM(COMPLEX(1,0),IMDIV(COMPLEX(0,2*PI()*D58),COMPLEX(2*PI()*'Stability Calculations'!EA_Pole1,0)))</f>
        <v>1+400.408298743221i</v>
      </c>
      <c r="X58" s="734">
        <f t="shared" si="33"/>
        <v>400.40954746664136</v>
      </c>
      <c r="Y58" s="735">
        <f t="shared" si="34"/>
        <v>1.5682988812522847</v>
      </c>
      <c r="Z58" s="340" t="str">
        <f>IMSUM(COMPLEX(1,0),IMDIV(COMPLEX(0,2*PI()*D58),COMPLEX(2*PI()*'Stability Calculations'!EA_Zero1,0)))</f>
        <v>1+3.96443860141803i</v>
      </c>
      <c r="AA58" s="734">
        <f t="shared" si="35"/>
        <v>4.0886150985894174</v>
      </c>
      <c r="AB58" s="735">
        <f t="shared" si="36"/>
        <v>1.3237081688339545</v>
      </c>
      <c r="AC58" s="733" t="str">
        <f>IMSUM(COMPLEX(1,0),IMDIV(COMPLEX(0,2*PI()*D58),COMPLEX(2*PI()*'Stability Calculations'!EA_Pole2,0)))</f>
        <v>1+0.0399355983218726i</v>
      </c>
      <c r="AD58" s="734">
        <f t="shared" si="37"/>
        <v>1.0007971083158294</v>
      </c>
      <c r="AE58" s="735">
        <f t="shared" si="38"/>
        <v>3.9914388157957476E-2</v>
      </c>
      <c r="AF58" s="732" t="str">
        <f t="shared" si="39"/>
        <v>58.7567905487812-17.1827360485509i</v>
      </c>
      <c r="AG58" s="337">
        <f t="shared" si="40"/>
        <v>61.21770049346442</v>
      </c>
      <c r="AH58" s="730">
        <f t="shared" si="41"/>
        <v>-0.28450510057628753</v>
      </c>
      <c r="AI58" s="731" t="str">
        <f t="shared" si="14"/>
        <v>10000</v>
      </c>
      <c r="AJ58" s="733" t="str">
        <f t="shared" si="42"/>
        <v>1+373.290745821803i</v>
      </c>
      <c r="AK58" s="734">
        <f t="shared" si="43"/>
        <v>373.29208525790887</v>
      </c>
      <c r="AL58" s="735">
        <f t="shared" si="44"/>
        <v>1.5681174561851219</v>
      </c>
      <c r="AM58" s="340" t="str">
        <f t="shared" si="45"/>
        <v>1+0.633517288506601i</v>
      </c>
      <c r="AN58" s="734">
        <f t="shared" si="46"/>
        <v>1.1837838294370961</v>
      </c>
      <c r="AO58" s="735">
        <f t="shared" si="47"/>
        <v>0.56470067510310973</v>
      </c>
      <c r="AP58" s="733" t="str">
        <f t="shared" si="48"/>
        <v>1+0.0307266327386068i</v>
      </c>
      <c r="AQ58" s="734">
        <f t="shared" si="49"/>
        <v>1.0004719516105651</v>
      </c>
      <c r="AR58" s="735">
        <f t="shared" si="50"/>
        <v>3.0716968275493639E-2</v>
      </c>
      <c r="AS58" s="732" t="str">
        <f t="shared" si="51"/>
        <v>665.120391990409-3586.08738097201i</v>
      </c>
      <c r="AT58" s="337">
        <f t="shared" si="52"/>
        <v>3647.2466107747859</v>
      </c>
      <c r="AU58" s="730">
        <f t="shared" si="53"/>
        <v>-1.3874077892235894</v>
      </c>
      <c r="AV58" s="732" t="str">
        <f t="shared" si="54"/>
        <v>-551.800737414978-5001.9285503319i</v>
      </c>
      <c r="AW58" s="337">
        <f t="shared" si="55"/>
        <v>74.035284166314156</v>
      </c>
      <c r="AX58" s="730">
        <f t="shared" si="56"/>
        <v>-96.295277278104521</v>
      </c>
      <c r="AY58" s="360">
        <f t="shared" si="57"/>
        <v>83.704722721895479</v>
      </c>
      <c r="BB58" s="337">
        <f t="shared" si="58"/>
        <v>31.239302587787634</v>
      </c>
      <c r="BC58" s="730">
        <f t="shared" si="59"/>
        <v>-79.492610786087766</v>
      </c>
      <c r="BD58" s="351"/>
      <c r="BE58" s="337">
        <f t="shared" si="19"/>
        <v>24.25662119502509</v>
      </c>
      <c r="BF58" s="730">
        <f t="shared" si="20"/>
        <v>2.7176122763584822</v>
      </c>
      <c r="BI58" s="351"/>
      <c r="BJ58" s="351"/>
      <c r="BL58" s="405">
        <f t="shared" si="21"/>
        <v>0</v>
      </c>
      <c r="BM58" s="405">
        <f t="shared" si="22"/>
        <v>0</v>
      </c>
      <c r="BN58" s="405">
        <f t="shared" si="23"/>
        <v>0</v>
      </c>
      <c r="BO58" s="405">
        <f t="shared" si="24"/>
        <v>0</v>
      </c>
    </row>
    <row r="59" spans="4:67" ht="13.5" thickBot="1" x14ac:dyDescent="0.25">
      <c r="D59" s="345">
        <v>69.183000000000007</v>
      </c>
      <c r="E59" s="340" t="str">
        <f t="shared" si="0"/>
        <v>0.00114758056804144i</v>
      </c>
      <c r="F59" s="728" t="str">
        <f t="shared" si="25"/>
        <v>0.005-37.7129848045906i</v>
      </c>
      <c r="G59" s="337" t="str">
        <f t="shared" si="26"/>
        <v>0.005-58.9869762328212i</v>
      </c>
      <c r="H59" s="338" t="str">
        <f t="shared" si="27"/>
        <v>1.21614715245722-0.0250842338272282i</v>
      </c>
      <c r="I59" s="338" t="str">
        <f t="shared" si="28"/>
        <v>1.22614715245722-0.0250842338272282i</v>
      </c>
      <c r="J59" s="337" t="str">
        <f t="shared" si="29"/>
        <v>1.22322110936817-0.0648108353538985i</v>
      </c>
      <c r="K59" s="338" t="str">
        <f t="shared" si="1"/>
        <v>0.999999946819028-0.000362241340922171i</v>
      </c>
      <c r="L59" s="732"/>
      <c r="M59" s="732" t="str">
        <f t="shared" si="2"/>
        <v>16.306104713235+0.848660713073986i</v>
      </c>
      <c r="N59" s="337">
        <f t="shared" si="3"/>
        <v>0</v>
      </c>
      <c r="O59" s="730" t="str">
        <f t="shared" si="4"/>
        <v>16.3055382159296+0.318313640900001i</v>
      </c>
      <c r="P59" s="731" t="str">
        <f t="shared" si="5"/>
        <v>20.0009739065432-0.0187125689093565i</v>
      </c>
      <c r="Q59" s="729" t="str">
        <f t="shared" si="6"/>
        <v>19.8379185243839-0.0218957053183573i</v>
      </c>
      <c r="R59" s="730"/>
      <c r="S59" s="405" t="str">
        <f t="shared" si="30"/>
        <v>22.5585517155446+0.516202568408645i</v>
      </c>
      <c r="T59" s="405" t="str">
        <f t="shared" si="31"/>
        <v>22.5364301157206-0.216368499886537i</v>
      </c>
      <c r="U59" s="405" t="str">
        <f t="shared" si="32"/>
        <v>27.4021878737408-0.828445017672174i</v>
      </c>
      <c r="V59" s="731" t="str">
        <f t="shared" si="7"/>
        <v>6000</v>
      </c>
      <c r="W59" s="733" t="str">
        <f>IMSUM(COMPLEX(1,0),IMDIV(COMPLEX(0,2*PI()*D59),COMPLEX(2*PI()*'Stability Calculations'!EA_Pole1,0)))</f>
        <v>1+439.036505197671i</v>
      </c>
      <c r="X59" s="734">
        <f t="shared" si="33"/>
        <v>439.03764405365581</v>
      </c>
      <c r="Y59" s="735">
        <f t="shared" si="34"/>
        <v>1.56851861580996</v>
      </c>
      <c r="Z59" s="340" t="str">
        <f>IMSUM(COMPLEX(1,0),IMDIV(COMPLEX(0,2*PI()*D59),COMPLEX(2*PI()*'Stability Calculations'!EA_Zero1,0)))</f>
        <v>1+4.34689609106605i</v>
      </c>
      <c r="AA59" s="734">
        <f t="shared" si="35"/>
        <v>4.4604378290169349</v>
      </c>
      <c r="AB59" s="735">
        <f t="shared" si="36"/>
        <v>1.3446812042782277</v>
      </c>
      <c r="AC59" s="733" t="str">
        <f>IMSUM(COMPLEX(1,0),IMDIV(COMPLEX(0,2*PI()*D59),COMPLEX(2*PI()*'Stability Calculations'!EA_Pole2,0)))</f>
        <v>1+0.0437882670645067i</v>
      </c>
      <c r="AD59" s="734">
        <f t="shared" si="37"/>
        <v>1.0009582470475542</v>
      </c>
      <c r="AE59" s="735">
        <f t="shared" si="38"/>
        <v>4.3760312496629865E-2</v>
      </c>
      <c r="AF59" s="732" t="str">
        <f t="shared" si="39"/>
        <v>58.7316522734022-16.1026668223217i</v>
      </c>
      <c r="AG59" s="337">
        <f t="shared" si="40"/>
        <v>60.89912033481707</v>
      </c>
      <c r="AH59" s="730">
        <f t="shared" si="41"/>
        <v>-0.26759772402836163</v>
      </c>
      <c r="AI59" s="731" t="str">
        <f t="shared" si="14"/>
        <v>10000</v>
      </c>
      <c r="AJ59" s="733" t="str">
        <f t="shared" si="42"/>
        <v>1+409.302866555563i</v>
      </c>
      <c r="AK59" s="734">
        <f t="shared" si="43"/>
        <v>409.30408814303456</v>
      </c>
      <c r="AL59" s="735">
        <f t="shared" si="44"/>
        <v>1.5683531530670523</v>
      </c>
      <c r="AM59" s="340" t="str">
        <f t="shared" si="45"/>
        <v>1+0.694633995352355i</v>
      </c>
      <c r="AN59" s="734">
        <f t="shared" si="46"/>
        <v>1.2175862957093331</v>
      </c>
      <c r="AO59" s="735">
        <f t="shared" si="47"/>
        <v>0.60711553294875742</v>
      </c>
      <c r="AP59" s="733" t="str">
        <f t="shared" si="48"/>
        <v>1+0.033690893761174i</v>
      </c>
      <c r="AQ59" s="734">
        <f t="shared" si="49"/>
        <v>1.0005673772027683</v>
      </c>
      <c r="AR59" s="735">
        <f t="shared" si="50"/>
        <v>3.3678155190336082E-2</v>
      </c>
      <c r="AS59" s="732" t="str">
        <f t="shared" si="51"/>
        <v>556.341740508376-3288.96924247334i</v>
      </c>
      <c r="AT59" s="337">
        <f t="shared" si="52"/>
        <v>3335.6910543645295</v>
      </c>
      <c r="AU59" s="730">
        <f t="shared" si="53"/>
        <v>-1.4032286880891609</v>
      </c>
      <c r="AV59" s="732" t="str">
        <f t="shared" si="54"/>
        <v>-500.914445906537-4550.79075658208i</v>
      </c>
      <c r="AW59" s="337">
        <f t="shared" si="55"/>
        <v>73.214039545591618</v>
      </c>
      <c r="AX59" s="730">
        <f t="shared" si="56"/>
        <v>-96.281372018088831</v>
      </c>
      <c r="AY59" s="360">
        <f t="shared" si="57"/>
        <v>83.718627981911169</v>
      </c>
      <c r="BB59" s="337">
        <f t="shared" si="58"/>
        <v>30.463716405273566</v>
      </c>
      <c r="BC59" s="730">
        <f t="shared" si="59"/>
        <v>-80.399081519188329</v>
      </c>
      <c r="BD59" s="351"/>
      <c r="BE59" s="337">
        <f t="shared" si="19"/>
        <v>24.258752554038637</v>
      </c>
      <c r="BF59" s="730">
        <f t="shared" si="20"/>
        <v>2.9793040862361373</v>
      </c>
      <c r="BI59" s="351"/>
      <c r="BJ59" s="351"/>
      <c r="BL59" s="405">
        <f t="shared" si="21"/>
        <v>0</v>
      </c>
      <c r="BM59" s="405">
        <f t="shared" si="22"/>
        <v>0</v>
      </c>
      <c r="BN59" s="405">
        <f t="shared" si="23"/>
        <v>0</v>
      </c>
      <c r="BO59" s="405">
        <f t="shared" si="24"/>
        <v>0</v>
      </c>
    </row>
    <row r="60" spans="4:67" ht="13.5" thickBot="1" x14ac:dyDescent="0.25">
      <c r="D60" s="345">
        <v>75.858000000000004</v>
      </c>
      <c r="E60" s="340" t="str">
        <f t="shared" si="0"/>
        <v>0.00125830285952456i</v>
      </c>
      <c r="F60" s="728" t="str">
        <f t="shared" si="25"/>
        <v>0.005-34.3944927065832i</v>
      </c>
      <c r="G60" s="337" t="str">
        <f t="shared" si="26"/>
        <v>0.005-53.7965142333738i</v>
      </c>
      <c r="H60" s="338" t="str">
        <f t="shared" si="27"/>
        <v>1.21604212162732-0.0275020568340751i</v>
      </c>
      <c r="I60" s="338" t="str">
        <f t="shared" si="28"/>
        <v>1.22604212162732-0.0275020568340751i</v>
      </c>
      <c r="J60" s="337" t="str">
        <f t="shared" si="29"/>
        <v>1.22252651780866-0.0710235051053627i</v>
      </c>
      <c r="K60" s="338" t="str">
        <f t="shared" si="1"/>
        <v>0.99999993606182-0.000397191559193358i</v>
      </c>
      <c r="L60" s="732"/>
      <c r="M60" s="732" t="str">
        <f t="shared" si="2"/>
        <v>16.3064601206148+0.930551175501323i</v>
      </c>
      <c r="N60" s="337">
        <f t="shared" si="3"/>
        <v>0</v>
      </c>
      <c r="O60" s="730" t="str">
        <f t="shared" si="4"/>
        <v>16.3057790209534+0.349028788172189i</v>
      </c>
      <c r="P60" s="731" t="str">
        <f t="shared" si="5"/>
        <v>20.0011709152051-0.0205184653984904i</v>
      </c>
      <c r="Q60" s="729" t="str">
        <f t="shared" si="6"/>
        <v>19.8381131249956-0.024008753280213i</v>
      </c>
      <c r="R60" s="730"/>
      <c r="S60" s="405" t="str">
        <f t="shared" si="30"/>
        <v>22.561755802036+0.565902465095769i</v>
      </c>
      <c r="T60" s="405" t="str">
        <f t="shared" si="31"/>
        <v>22.5351643432429-0.237202974233777i</v>
      </c>
      <c r="U60" s="405" t="str">
        <f t="shared" si="32"/>
        <v>27.397185489499-0.90821217857665i</v>
      </c>
      <c r="V60" s="731" t="str">
        <f t="shared" si="7"/>
        <v>6000</v>
      </c>
      <c r="W60" s="733" t="str">
        <f>IMSUM(COMPLEX(1,0),IMDIV(COMPLEX(0,2*PI()*D60),COMPLEX(2*PI()*'Stability Calculations'!EA_Pole1,0)))</f>
        <v>1+481.396169742349i</v>
      </c>
      <c r="X60" s="734">
        <f t="shared" si="33"/>
        <v>481.39720838680034</v>
      </c>
      <c r="Y60" s="735">
        <f t="shared" si="34"/>
        <v>1.568719038639157</v>
      </c>
      <c r="Z60" s="340" t="str">
        <f>IMSUM(COMPLEX(1,0),IMDIV(COMPLEX(0,2*PI()*D60),COMPLEX(2*PI()*'Stability Calculations'!EA_Zero1,0)))</f>
        <v>1+4.76629871032029i</v>
      </c>
      <c r="AA60" s="734">
        <f t="shared" si="35"/>
        <v>4.8700722167131012</v>
      </c>
      <c r="AB60" s="735">
        <f t="shared" si="36"/>
        <v>1.3639895573677578</v>
      </c>
      <c r="AC60" s="733" t="str">
        <f>IMSUM(COMPLEX(1,0),IMDIV(COMPLEX(0,2*PI()*D60),COMPLEX(2*PI()*'Stability Calculations'!EA_Pole2,0)))</f>
        <v>1+0.0480131009493568i</v>
      </c>
      <c r="AD60" s="734">
        <f t="shared" si="37"/>
        <v>1.0011519654192231</v>
      </c>
      <c r="AE60" s="735">
        <f t="shared" si="38"/>
        <v>4.7976257703030226E-2</v>
      </c>
      <c r="AF60" s="732" t="str">
        <f t="shared" si="39"/>
        <v>58.7037520854426-15.1588393526356i</v>
      </c>
      <c r="AG60" s="337">
        <f t="shared" si="40"/>
        <v>60.629373404548069</v>
      </c>
      <c r="AH60" s="730">
        <f t="shared" si="41"/>
        <v>-0.25270573897442888</v>
      </c>
      <c r="AI60" s="731" t="str">
        <f t="shared" si="14"/>
        <v>10000</v>
      </c>
      <c r="AJ60" s="733" t="str">
        <f t="shared" si="42"/>
        <v>1+448.793733304018i</v>
      </c>
      <c r="AK60" s="734">
        <f t="shared" si="43"/>
        <v>448.79484740018796</v>
      </c>
      <c r="AL60" s="735">
        <f t="shared" si="44"/>
        <v>1.5685681353767773</v>
      </c>
      <c r="AM60" s="340" t="str">
        <f t="shared" si="45"/>
        <v>1+0.761654533909182i</v>
      </c>
      <c r="AN60" s="734">
        <f t="shared" si="46"/>
        <v>1.2570272984404172</v>
      </c>
      <c r="AO60" s="735">
        <f t="shared" si="47"/>
        <v>0.65091838018490411</v>
      </c>
      <c r="AP60" s="733" t="str">
        <f t="shared" si="48"/>
        <v>1+0.0369415003531957i</v>
      </c>
      <c r="AQ60" s="734">
        <f t="shared" si="49"/>
        <v>1.0006821045908361</v>
      </c>
      <c r="AR60" s="735">
        <f t="shared" si="50"/>
        <v>3.6924709725425546E-2</v>
      </c>
      <c r="AS60" s="732" t="str">
        <f t="shared" si="51"/>
        <v>464.916481306604-3013.66592235131i</v>
      </c>
      <c r="AT60" s="337">
        <f t="shared" si="52"/>
        <v>3049.3162555123872</v>
      </c>
      <c r="AU60" s="730">
        <f t="shared" si="53"/>
        <v>-1.4177335491571652</v>
      </c>
      <c r="AV60" s="732" t="str">
        <f t="shared" si="54"/>
        <v>-458.087890980119-4141.23094852725i</v>
      </c>
      <c r="AW60" s="337">
        <f t="shared" si="55"/>
        <v>72.395406717328996</v>
      </c>
      <c r="AX60" s="730">
        <f t="shared" si="56"/>
        <v>-96.312188740209237</v>
      </c>
      <c r="AY60" s="360">
        <f t="shared" si="57"/>
        <v>83.687811259790763</v>
      </c>
      <c r="BB60" s="337">
        <f t="shared" si="58"/>
        <v>29.684049378755489</v>
      </c>
      <c r="BC60" s="730">
        <f t="shared" si="59"/>
        <v>-81.230148840808596</v>
      </c>
      <c r="BD60" s="351"/>
      <c r="BE60" s="337">
        <f t="shared" si="19"/>
        <v>24.261314001705848</v>
      </c>
      <c r="BF60" s="730">
        <f t="shared" si="20"/>
        <v>3.2661221895713211</v>
      </c>
      <c r="BI60" s="351"/>
      <c r="BJ60" s="351"/>
      <c r="BL60" s="405">
        <f t="shared" si="21"/>
        <v>0</v>
      </c>
      <c r="BM60" s="405">
        <f t="shared" si="22"/>
        <v>0</v>
      </c>
      <c r="BN60" s="405">
        <f t="shared" si="23"/>
        <v>0</v>
      </c>
      <c r="BO60" s="405">
        <f t="shared" si="24"/>
        <v>0</v>
      </c>
    </row>
    <row r="61" spans="4:67" ht="13.5" thickBot="1" x14ac:dyDescent="0.25">
      <c r="D61" s="345">
        <v>83.176000000000002</v>
      </c>
      <c r="E61" s="340" t="str">
        <f t="shared" si="0"/>
        <v>0.00137969098373032i</v>
      </c>
      <c r="F61" s="728" t="str">
        <f t="shared" si="25"/>
        <v>0.005-31.3683926581705i</v>
      </c>
      <c r="G61" s="337" t="str">
        <f t="shared" si="26"/>
        <v>0.005-49.0633833884205i</v>
      </c>
      <c r="H61" s="338" t="str">
        <f t="shared" si="27"/>
        <v>1.21591588825175-0.0301520293678599i</v>
      </c>
      <c r="I61" s="338" t="str">
        <f t="shared" si="28"/>
        <v>1.22591588825175-0.0301520293678599i</v>
      </c>
      <c r="J61" s="337" t="str">
        <f t="shared" si="29"/>
        <v>1.22169259670204-0.0778218216597893i</v>
      </c>
      <c r="K61" s="338" t="str">
        <f t="shared" si="1"/>
        <v>0.999999923130589-0.000435508517591641i</v>
      </c>
      <c r="L61" s="732"/>
      <c r="M61" s="732" t="str">
        <f t="shared" si="2"/>
        <v>16.3068873698902+1.02033295332552i</v>
      </c>
      <c r="N61" s="337">
        <f t="shared" si="3"/>
        <v>0</v>
      </c>
      <c r="O61" s="730" t="str">
        <f t="shared" si="4"/>
        <v>16.3060685006595+0.382703736304729i</v>
      </c>
      <c r="P61" s="731" t="str">
        <f t="shared" si="5"/>
        <v>20.0014077441761-0.0224984654769462i</v>
      </c>
      <c r="Q61" s="729" t="str">
        <f t="shared" si="6"/>
        <v>19.8383470591695-0.0263255028399943i</v>
      </c>
      <c r="R61" s="730"/>
      <c r="S61" s="405" t="str">
        <f t="shared" si="30"/>
        <v>22.5656059018763+0.620356575848515i</v>
      </c>
      <c r="T61" s="405" t="str">
        <f t="shared" si="31"/>
        <v>22.5336433632729-0.260031253948143i</v>
      </c>
      <c r="U61" s="405" t="str">
        <f t="shared" si="32"/>
        <v>27.3911745155965-0.99561120957186i</v>
      </c>
      <c r="V61" s="731" t="str">
        <f t="shared" si="7"/>
        <v>6000</v>
      </c>
      <c r="W61" s="733" t="str">
        <f>IMSUM(COMPLEX(1,0),IMDIV(COMPLEX(0,2*PI()*D61),COMPLEX(2*PI()*'Stability Calculations'!EA_Pole1,0)))</f>
        <v>1+527.836323321069i</v>
      </c>
      <c r="X61" s="734">
        <f t="shared" si="33"/>
        <v>527.83727058356158</v>
      </c>
      <c r="Y61" s="735">
        <f t="shared" si="34"/>
        <v>1.5689018023762278</v>
      </c>
      <c r="Z61" s="340" t="str">
        <f>IMSUM(COMPLEX(1,0),IMDIV(COMPLEX(0,2*PI()*D61),COMPLEX(2*PI()*'Stability Calculations'!EA_Zero1,0)))</f>
        <v>1+5.22610221109969i</v>
      </c>
      <c r="AA61" s="734">
        <f t="shared" si="35"/>
        <v>5.3209157408157726</v>
      </c>
      <c r="AB61" s="735">
        <f t="shared" si="36"/>
        <v>1.3817344461864778</v>
      </c>
      <c r="AC61" s="733" t="str">
        <f>IMSUM(COMPLEX(1,0),IMDIV(COMPLEX(0,2*PI()*D61),COMPLEX(2*PI()*'Stability Calculations'!EA_Pole2,0)))</f>
        <v>1+0.0526449113417661i</v>
      </c>
      <c r="AD61" s="734">
        <f t="shared" si="37"/>
        <v>1.0013847845309927</v>
      </c>
      <c r="AE61" s="735">
        <f t="shared" si="38"/>
        <v>5.2596357166216044E-2</v>
      </c>
      <c r="AF61" s="732" t="str">
        <f t="shared" si="39"/>
        <v>58.6721575521529-14.343364109347i</v>
      </c>
      <c r="AG61" s="337">
        <f t="shared" si="40"/>
        <v>60.399951703606156</v>
      </c>
      <c r="AH61" s="730">
        <f t="shared" si="41"/>
        <v>-0.23976371335596722</v>
      </c>
      <c r="AI61" s="731" t="str">
        <f t="shared" si="14"/>
        <v>10000</v>
      </c>
      <c r="AJ61" s="733" t="str">
        <f t="shared" si="42"/>
        <v>1+492.088738976706i</v>
      </c>
      <c r="AK61" s="734">
        <f t="shared" si="43"/>
        <v>492.08975505255614</v>
      </c>
      <c r="AL61" s="735">
        <f t="shared" si="44"/>
        <v>1.5687641757939752</v>
      </c>
      <c r="AM61" s="340" t="str">
        <f t="shared" si="45"/>
        <v>1+0.83513113333373i</v>
      </c>
      <c r="AN61" s="734">
        <f t="shared" si="46"/>
        <v>1.3028599348599528</v>
      </c>
      <c r="AO61" s="735">
        <f t="shared" si="47"/>
        <v>0.69579833525483803</v>
      </c>
      <c r="AP61" s="733" t="str">
        <f t="shared" si="48"/>
        <v>1+0.0405052365390256i</v>
      </c>
      <c r="AQ61" s="734">
        <f t="shared" si="49"/>
        <v>1.0008200008928092</v>
      </c>
      <c r="AR61" s="735">
        <f t="shared" si="50"/>
        <v>4.0483106354653804E-2</v>
      </c>
      <c r="AS61" s="732" t="str">
        <f t="shared" si="51"/>
        <v>388.224814220915-2759.30748160502i</v>
      </c>
      <c r="AT61" s="337">
        <f t="shared" si="52"/>
        <v>2786.4845745882571</v>
      </c>
      <c r="AU61" s="730">
        <f t="shared" si="53"/>
        <v>-1.4310173720096135</v>
      </c>
      <c r="AV61" s="732" t="str">
        <f t="shared" si="54"/>
        <v>-422.105507214293-3769.1824499793i</v>
      </c>
      <c r="AW61" s="337">
        <f t="shared" si="55"/>
        <v>71.579071309460247</v>
      </c>
      <c r="AX61" s="730">
        <f t="shared" si="56"/>
        <v>-96.389850856811336</v>
      </c>
      <c r="AY61" s="360">
        <f t="shared" si="57"/>
        <v>83.610149143188664</v>
      </c>
      <c r="BB61" s="337">
        <f t="shared" si="58"/>
        <v>28.901132864659438</v>
      </c>
      <c r="BC61" s="730">
        <f t="shared" si="59"/>
        <v>-81.991255826053319</v>
      </c>
      <c r="BD61" s="351"/>
      <c r="BE61" s="337">
        <f t="shared" si="19"/>
        <v>24.264391251275455</v>
      </c>
      <c r="BF61" s="730">
        <f t="shared" si="20"/>
        <v>3.5803679921689766</v>
      </c>
      <c r="BI61" s="351"/>
      <c r="BJ61" s="351"/>
      <c r="BL61" s="405">
        <f t="shared" si="21"/>
        <v>0</v>
      </c>
      <c r="BM61" s="405">
        <f t="shared" si="22"/>
        <v>0</v>
      </c>
      <c r="BN61" s="405">
        <f t="shared" si="23"/>
        <v>0</v>
      </c>
      <c r="BO61" s="405">
        <f t="shared" si="24"/>
        <v>0</v>
      </c>
    </row>
    <row r="62" spans="4:67" ht="13.5" thickBot="1" x14ac:dyDescent="0.25">
      <c r="D62" s="345">
        <v>91.201000000000008</v>
      </c>
      <c r="E62" s="340" t="str">
        <f t="shared" si="0"/>
        <v>0.00151280654764823i</v>
      </c>
      <c r="F62" s="728" t="str">
        <f t="shared" si="25"/>
        <v>0.005-28.6082107404084i</v>
      </c>
      <c r="G62" s="337" t="str">
        <f t="shared" si="26"/>
        <v>0.005-44.7461757734594i</v>
      </c>
      <c r="H62" s="338" t="str">
        <f t="shared" si="27"/>
        <v>1.21576413907164-0.0330570191604294i</v>
      </c>
      <c r="I62" s="338" t="str">
        <f t="shared" si="28"/>
        <v>1.22576413907164-0.0330570191604294i</v>
      </c>
      <c r="J62" s="337" t="str">
        <f t="shared" si="29"/>
        <v>1.22069139356803-0.085260071672526i</v>
      </c>
      <c r="K62" s="338" t="str">
        <f t="shared" si="1"/>
        <v>0.999999907581973-0.000477527319333405i</v>
      </c>
      <c r="L62" s="732"/>
      <c r="M62" s="732" t="str">
        <f t="shared" si="2"/>
        <v>16.3074011185436+1.11879239271158i</v>
      </c>
      <c r="N62" s="337">
        <f t="shared" si="3"/>
        <v>0</v>
      </c>
      <c r="O62" s="730" t="str">
        <f t="shared" si="4"/>
        <v>16.3064165851741+0.419633407366913i</v>
      </c>
      <c r="P62" s="731" t="str">
        <f t="shared" si="5"/>
        <v>20.0016925164572-0.0246699431872583i</v>
      </c>
      <c r="Q62" s="729" t="str">
        <f t="shared" si="6"/>
        <v>19.8386283506054-0.0288662772609276i</v>
      </c>
      <c r="R62" s="730"/>
      <c r="S62" s="405" t="str">
        <f t="shared" si="30"/>
        <v>22.5702330821064+0.6800276122981i</v>
      </c>
      <c r="T62" s="405" t="str">
        <f t="shared" si="31"/>
        <v>22.5318153976593-0.285047646662304i</v>
      </c>
      <c r="U62" s="405" t="str">
        <f t="shared" si="32"/>
        <v>27.383950323139-1.0913853600585i</v>
      </c>
      <c r="V62" s="731" t="str">
        <f t="shared" si="7"/>
        <v>6000</v>
      </c>
      <c r="W62" s="733" t="str">
        <f>IMSUM(COMPLEX(1,0),IMDIV(COMPLEX(0,2*PI()*D62),COMPLEX(2*PI()*'Stability Calculations'!EA_Pole1,0)))</f>
        <v>1+578.763111032087i</v>
      </c>
      <c r="X62" s="734">
        <f t="shared" si="33"/>
        <v>578.76397494275659</v>
      </c>
      <c r="Y62" s="735">
        <f t="shared" si="34"/>
        <v>1.5690685058854146</v>
      </c>
      <c r="Z62" s="340" t="str">
        <f>IMSUM(COMPLEX(1,0),IMDIV(COMPLEX(0,2*PI()*D62),COMPLEX(2*PI()*'Stability Calculations'!EA_Zero1,0)))</f>
        <v>1+5.73032783200086i</v>
      </c>
      <c r="AA62" s="734">
        <f t="shared" si="35"/>
        <v>5.8169284903807847</v>
      </c>
      <c r="AB62" s="735">
        <f t="shared" si="36"/>
        <v>1.3980260565387339</v>
      </c>
      <c r="AC62" s="733" t="str">
        <f>IMSUM(COMPLEX(1,0),IMDIV(COMPLEX(0,2*PI()*D62),COMPLEX(2*PI()*'Stability Calculations'!EA_Pole2,0)))</f>
        <v>1+0.0577242060123163i</v>
      </c>
      <c r="AD62" s="734">
        <f t="shared" si="37"/>
        <v>1.0016646564393457</v>
      </c>
      <c r="AE62" s="735">
        <f t="shared" si="38"/>
        <v>5.7660219920920568E-2</v>
      </c>
      <c r="AF62" s="732" t="str">
        <f t="shared" si="39"/>
        <v>58.6357996252396-13.648967179442i</v>
      </c>
      <c r="AG62" s="337">
        <f t="shared" si="40"/>
        <v>60.203416038931991</v>
      </c>
      <c r="AH62" s="730">
        <f t="shared" si="41"/>
        <v>-0.22870266926760197</v>
      </c>
      <c r="AI62" s="731" t="str">
        <f t="shared" si="14"/>
        <v>10000</v>
      </c>
      <c r="AJ62" s="733" t="str">
        <f t="shared" si="42"/>
        <v>1+539.566522595637i</v>
      </c>
      <c r="AK62" s="734">
        <f t="shared" si="43"/>
        <v>539.5674492646383</v>
      </c>
      <c r="AL62" s="735">
        <f t="shared" si="44"/>
        <v>1.5689429893227422</v>
      </c>
      <c r="AM62" s="340" t="str">
        <f t="shared" si="45"/>
        <v>1+0.915706387553737i</v>
      </c>
      <c r="AN62" s="734">
        <f t="shared" si="46"/>
        <v>1.3559196835383409</v>
      </c>
      <c r="AO62" s="735">
        <f t="shared" si="47"/>
        <v>0.74142520629046826</v>
      </c>
      <c r="AP62" s="733" t="str">
        <f t="shared" si="48"/>
        <v>1+0.0444132691833663i</v>
      </c>
      <c r="AQ62" s="734">
        <f t="shared" si="49"/>
        <v>1.0009857833553653</v>
      </c>
      <c r="AR62" s="735">
        <f t="shared" si="50"/>
        <v>4.4384101402178813E-2</v>
      </c>
      <c r="AS62" s="732" t="str">
        <f t="shared" si="51"/>
        <v>323.967010239628-2524.7545585797i</v>
      </c>
      <c r="AT62" s="337">
        <f t="shared" si="52"/>
        <v>2545.4548129543728</v>
      </c>
      <c r="AU62" s="730">
        <f t="shared" si="53"/>
        <v>-1.4431774557188692</v>
      </c>
      <c r="AV62" s="732" t="str">
        <f t="shared" si="54"/>
        <v>-391.89628456701-3430.8560170563i</v>
      </c>
      <c r="AW62" s="337">
        <f t="shared" si="55"/>
        <v>70.76434922707476</v>
      </c>
      <c r="AX62" s="730">
        <f t="shared" si="56"/>
        <v>-96.516479279053868</v>
      </c>
      <c r="AY62" s="360">
        <f t="shared" si="57"/>
        <v>83.483520720946132</v>
      </c>
      <c r="BB62" s="337">
        <f t="shared" si="58"/>
        <v>28.115307836473175</v>
      </c>
      <c r="BC62" s="730">
        <f t="shared" si="59"/>
        <v>-82.68797730111946</v>
      </c>
      <c r="BD62" s="351"/>
      <c r="BE62" s="337">
        <f t="shared" si="19"/>
        <v>24.268088668719123</v>
      </c>
      <c r="BF62" s="730">
        <f t="shared" si="20"/>
        <v>3.9247083027769891</v>
      </c>
      <c r="BI62" s="351"/>
      <c r="BJ62" s="351"/>
      <c r="BL62" s="405">
        <f t="shared" si="21"/>
        <v>0</v>
      </c>
      <c r="BM62" s="405">
        <f t="shared" si="22"/>
        <v>0</v>
      </c>
      <c r="BN62" s="405">
        <f t="shared" si="23"/>
        <v>0</v>
      </c>
      <c r="BO62" s="405">
        <f t="shared" si="24"/>
        <v>0</v>
      </c>
    </row>
    <row r="63" spans="4:67" ht="13.5" thickBot="1" x14ac:dyDescent="0.25">
      <c r="D63" s="345">
        <v>100</v>
      </c>
      <c r="E63" s="340" t="str">
        <f t="shared" si="0"/>
        <v>0.00165876092109541i</v>
      </c>
      <c r="F63" s="728" t="str">
        <f t="shared" si="25"/>
        <v>0.005-26.0909742773599i</v>
      </c>
      <c r="G63" s="337" t="str">
        <f t="shared" si="26"/>
        <v>0.005-40.8089597671526i</v>
      </c>
      <c r="H63" s="338" t="str">
        <f t="shared" si="27"/>
        <v>1.21558175129259-0.0362408740940155i</v>
      </c>
      <c r="I63" s="338" t="str">
        <f t="shared" si="28"/>
        <v>1.22558175129259-0.0362408740940155i</v>
      </c>
      <c r="J63" s="337" t="str">
        <f t="shared" si="29"/>
        <v>1.21948989008748-0.0933935666507958i</v>
      </c>
      <c r="K63" s="338" t="str">
        <f t="shared" si="1"/>
        <v>0.999999888888889-0.000523598775598299i</v>
      </c>
      <c r="L63" s="732"/>
      <c r="M63" s="732" t="str">
        <f t="shared" si="2"/>
        <v>16.3080187949027+1.22675304497964i</v>
      </c>
      <c r="N63" s="337">
        <f t="shared" si="3"/>
        <v>0</v>
      </c>
      <c r="O63" s="730" t="str">
        <f t="shared" si="4"/>
        <v>16.3068350814923+0.460126672241989i</v>
      </c>
      <c r="P63" s="731" t="str">
        <f t="shared" si="5"/>
        <v>20.0020348900109-0.0270511042774769i</v>
      </c>
      <c r="Q63" s="729" t="str">
        <f t="shared" si="6"/>
        <v>19.838966539196-0.031652370999897i</v>
      </c>
      <c r="R63" s="730"/>
      <c r="S63" s="405" t="str">
        <f t="shared" si="30"/>
        <v>22.5757928456143+0.745395954853397i</v>
      </c>
      <c r="T63" s="405" t="str">
        <f t="shared" si="31"/>
        <v>22.5296190147854-0.312453980536803i</v>
      </c>
      <c r="U63" s="405" t="str">
        <f t="shared" si="32"/>
        <v>27.375270132579-1.19630644296026i</v>
      </c>
      <c r="V63" s="731" t="str">
        <f t="shared" si="7"/>
        <v>6000</v>
      </c>
      <c r="W63" s="733" t="str">
        <f>IMSUM(COMPLEX(1,0),IMDIV(COMPLEX(0,2*PI()*D63),COMPLEX(2*PI()*'Stability Calculations'!EA_Pole1,0)))</f>
        <v>1+634.601716025139i</v>
      </c>
      <c r="X63" s="734">
        <f t="shared" si="33"/>
        <v>634.6025039204078</v>
      </c>
      <c r="Y63" s="735">
        <f t="shared" si="34"/>
        <v>1.569220536583426</v>
      </c>
      <c r="Z63" s="340" t="str">
        <f>IMSUM(COMPLEX(1,0),IMDIV(COMPLEX(0,2*PI()*D63),COMPLEX(2*PI()*'Stability Calculations'!EA_Zero1,0)))</f>
        <v>1+6.28318530717959i</v>
      </c>
      <c r="AA63" s="734">
        <f t="shared" si="35"/>
        <v>6.362265131567332</v>
      </c>
      <c r="AB63" s="735">
        <f t="shared" si="36"/>
        <v>1.4129651365067379</v>
      </c>
      <c r="AC63" s="733" t="str">
        <f>IMSUM(COMPLEX(1,0),IMDIV(COMPLEX(0,2*PI()*D63),COMPLEX(2*PI()*'Stability Calculations'!EA_Pole2,0)))</f>
        <v>1+0.0632933915333344i</v>
      </c>
      <c r="AD63" s="734">
        <f t="shared" si="37"/>
        <v>1.0020010246560589</v>
      </c>
      <c r="AE63" s="735">
        <f t="shared" si="38"/>
        <v>6.3209075203803061E-2</v>
      </c>
      <c r="AF63" s="732" t="str">
        <f t="shared" si="39"/>
        <v>58.5934665188621-13.0696936903075i</v>
      </c>
      <c r="AG63" s="337">
        <f t="shared" si="40"/>
        <v>60.033417459407367</v>
      </c>
      <c r="AH63" s="730">
        <f t="shared" si="41"/>
        <v>-0.21946447528049154</v>
      </c>
      <c r="AI63" s="731" t="str">
        <f t="shared" si="14"/>
        <v>10000</v>
      </c>
      <c r="AJ63" s="733" t="str">
        <f t="shared" si="42"/>
        <v>1+591.623471886971i</v>
      </c>
      <c r="AK63" s="734">
        <f t="shared" si="43"/>
        <v>591.62431701848891</v>
      </c>
      <c r="AL63" s="735">
        <f t="shared" si="44"/>
        <v>1.5691060641613317</v>
      </c>
      <c r="AM63" s="340" t="str">
        <f t="shared" si="45"/>
        <v>1+1.0040530120873i</v>
      </c>
      <c r="AN63" s="734">
        <f t="shared" si="46"/>
        <v>1.4170823727227644</v>
      </c>
      <c r="AO63" s="735">
        <f t="shared" si="47"/>
        <v>0.78742056826253048</v>
      </c>
      <c r="AP63" s="733" t="str">
        <f t="shared" si="48"/>
        <v>1+0.0486982260977032i</v>
      </c>
      <c r="AQ63" s="734">
        <f t="shared" si="49"/>
        <v>1.0011850564331566</v>
      </c>
      <c r="AR63" s="735">
        <f t="shared" si="50"/>
        <v>4.8659784554425059E-2</v>
      </c>
      <c r="AS63" s="732" t="str">
        <f t="shared" si="51"/>
        <v>270.1998678653-2308.89354209145i</v>
      </c>
      <c r="AT63" s="337">
        <f t="shared" si="52"/>
        <v>2324.649942960451</v>
      </c>
      <c r="AU63" s="730">
        <f t="shared" si="53"/>
        <v>-1.4543005089155177</v>
      </c>
      <c r="AV63" s="732" t="str">
        <f t="shared" si="54"/>
        <v>-366.552104833661-3123.02349940385i</v>
      </c>
      <c r="AW63" s="337">
        <f t="shared" si="55"/>
        <v>69.950924798845037</v>
      </c>
      <c r="AX63" s="730">
        <f t="shared" si="56"/>
        <v>-96.69423005326361</v>
      </c>
      <c r="AY63" s="360">
        <f t="shared" si="57"/>
        <v>83.30576994673639</v>
      </c>
      <c r="BB63" s="337">
        <f t="shared" si="58"/>
        <v>27.327151279688508</v>
      </c>
      <c r="BC63" s="730">
        <f t="shared" si="59"/>
        <v>-83.325281304586909</v>
      </c>
      <c r="BD63" s="351"/>
      <c r="BE63" s="337">
        <f t="shared" si="19"/>
        <v>24.272529947245488</v>
      </c>
      <c r="BF63" s="730">
        <f t="shared" si="20"/>
        <v>4.3019108269091628</v>
      </c>
      <c r="BI63" s="351"/>
      <c r="BJ63" s="351"/>
      <c r="BL63" s="405">
        <f t="shared" si="21"/>
        <v>0</v>
      </c>
      <c r="BM63" s="405">
        <f t="shared" si="22"/>
        <v>0</v>
      </c>
      <c r="BN63" s="405">
        <f t="shared" si="23"/>
        <v>0</v>
      </c>
      <c r="BO63" s="405">
        <f t="shared" si="24"/>
        <v>0</v>
      </c>
    </row>
    <row r="64" spans="4:67" ht="13.5" thickBot="1" x14ac:dyDescent="0.25">
      <c r="D64" s="345">
        <v>109.65</v>
      </c>
      <c r="E64" s="340" t="str">
        <f t="shared" si="0"/>
        <v>0.00181883134998112i</v>
      </c>
      <c r="F64" s="728" t="str">
        <f t="shared" si="25"/>
        <v>0.005-23.7947781827268i</v>
      </c>
      <c r="G64" s="337" t="str">
        <f t="shared" si="26"/>
        <v>0.005-37.2174735678547i</v>
      </c>
      <c r="H64" s="338" t="str">
        <f t="shared" si="27"/>
        <v>1.21536249586687-0.0397309213664949i</v>
      </c>
      <c r="I64" s="338" t="str">
        <f t="shared" si="28"/>
        <v>1.22536249586687-0.0397309213664949i</v>
      </c>
      <c r="J64" s="337" t="str">
        <f t="shared" si="29"/>
        <v>1.21804817608392-0.10228456696118i</v>
      </c>
      <c r="K64" s="338" t="str">
        <f t="shared" si="1"/>
        <v>0.99999986640975-0.000574126057443535i</v>
      </c>
      <c r="L64" s="732"/>
      <c r="M64" s="732" t="str">
        <f t="shared" si="2"/>
        <v>16.3087616173033+1.34516168158293i</v>
      </c>
      <c r="N64" s="337">
        <f t="shared" si="3"/>
        <v>0</v>
      </c>
      <c r="O64" s="730" t="str">
        <f t="shared" si="4"/>
        <v>16.3073383637641+0.504538610740866i</v>
      </c>
      <c r="P64" s="731" t="str">
        <f t="shared" si="5"/>
        <v>20.0024466222373-0.0296628869089181i</v>
      </c>
      <c r="Q64" s="729" t="str">
        <f t="shared" si="6"/>
        <v>19.8393732385997-0.0347082730163263i</v>
      </c>
      <c r="R64" s="730"/>
      <c r="S64" s="405" t="str">
        <f t="shared" si="30"/>
        <v>22.582474058672+0.817010184385489i</v>
      </c>
      <c r="T64" s="405" t="str">
        <f t="shared" si="31"/>
        <v>22.5269796027042-0.342480826095495i</v>
      </c>
      <c r="U64" s="405" t="str">
        <f t="shared" si="32"/>
        <v>27.3648390755137-1.31125600680966i</v>
      </c>
      <c r="V64" s="731" t="str">
        <f t="shared" si="7"/>
        <v>6000</v>
      </c>
      <c r="W64" s="733" t="str">
        <f>IMSUM(COMPLEX(1,0),IMDIV(COMPLEX(0,2*PI()*D64),COMPLEX(2*PI()*'Stability Calculations'!EA_Pole1,0)))</f>
        <v>1+695.840781621564i</v>
      </c>
      <c r="X64" s="734">
        <f t="shared" si="33"/>
        <v>695.8415001763758</v>
      </c>
      <c r="Y64" s="735">
        <f t="shared" si="34"/>
        <v>1.5693592174187521</v>
      </c>
      <c r="Z64" s="340" t="str">
        <f>IMSUM(COMPLEX(1,0),IMDIV(COMPLEX(0,2*PI()*D64),COMPLEX(2*PI()*'Stability Calculations'!EA_Zero1,0)))</f>
        <v>1+6.88951268932242i</v>
      </c>
      <c r="AA64" s="734">
        <f t="shared" si="35"/>
        <v>6.9617084897555603</v>
      </c>
      <c r="AB64" s="735">
        <f t="shared" si="36"/>
        <v>1.426654811873985</v>
      </c>
      <c r="AC64" s="733" t="str">
        <f>IMSUM(COMPLEX(1,0),IMDIV(COMPLEX(0,2*PI()*D64),COMPLEX(2*PI()*'Stability Calculations'!EA_Pole2,0)))</f>
        <v>1+0.0694012038163011i</v>
      </c>
      <c r="AD64" s="734">
        <f t="shared" si="37"/>
        <v>1.0024053706416141</v>
      </c>
      <c r="AE64" s="735">
        <f t="shared" si="38"/>
        <v>6.9290100459942341E-2</v>
      </c>
      <c r="AF64" s="732" t="str">
        <f t="shared" si="39"/>
        <v>58.5437351780954-12.6002773653022i</v>
      </c>
      <c r="AG64" s="337">
        <f t="shared" si="40"/>
        <v>59.88435453676955</v>
      </c>
      <c r="AH64" s="730">
        <f t="shared" si="41"/>
        <v>-0.21199450600470943</v>
      </c>
      <c r="AI64" s="731" t="str">
        <f t="shared" si="14"/>
        <v>10000</v>
      </c>
      <c r="AJ64" s="733" t="str">
        <f t="shared" si="42"/>
        <v>1+648.715136924064i</v>
      </c>
      <c r="AK64" s="734">
        <f t="shared" si="43"/>
        <v>648.71590767793498</v>
      </c>
      <c r="AL64" s="735">
        <f t="shared" si="44"/>
        <v>1.5692548193581197</v>
      </c>
      <c r="AM64" s="340" t="str">
        <f t="shared" si="45"/>
        <v>1+1.10094412775372i</v>
      </c>
      <c r="AN64" s="734">
        <f t="shared" si="46"/>
        <v>1.4873056082847935</v>
      </c>
      <c r="AO64" s="735">
        <f t="shared" si="47"/>
        <v>0.83340827311463228</v>
      </c>
      <c r="AP64" s="733" t="str">
        <f t="shared" si="48"/>
        <v>1+0.0533976049161316i</v>
      </c>
      <c r="AQ64" s="734">
        <f t="shared" si="49"/>
        <v>1.0014246373096576</v>
      </c>
      <c r="AR64" s="735">
        <f t="shared" si="50"/>
        <v>5.3346940624931428E-2</v>
      </c>
      <c r="AS64" s="732" t="str">
        <f t="shared" si="51"/>
        <v>225.245577801333-2110.49188240742i</v>
      </c>
      <c r="AT64" s="337">
        <f t="shared" si="52"/>
        <v>2122.4776927041353</v>
      </c>
      <c r="AU64" s="730">
        <f t="shared" si="53"/>
        <v>-1.4644722263273984</v>
      </c>
      <c r="AV64" s="732" t="str">
        <f t="shared" si="54"/>
        <v>-345.285769080401-2842.68902463202i</v>
      </c>
      <c r="AW64" s="337">
        <f t="shared" si="55"/>
        <v>69.13819315619962</v>
      </c>
      <c r="AX64" s="730">
        <f t="shared" si="56"/>
        <v>-96.925476914810105</v>
      </c>
      <c r="AY64" s="360">
        <f t="shared" si="57"/>
        <v>83.074523085189895</v>
      </c>
      <c r="BB64" s="337">
        <f t="shared" si="58"/>
        <v>26.536862689873082</v>
      </c>
      <c r="BC64" s="730">
        <f t="shared" si="59"/>
        <v>-83.908077782687414</v>
      </c>
      <c r="BD64" s="351"/>
      <c r="BE64" s="337">
        <f t="shared" si="19"/>
        <v>24.277865146246103</v>
      </c>
      <c r="BF64" s="730">
        <f t="shared" si="20"/>
        <v>4.7151354869243249</v>
      </c>
      <c r="BI64" s="351"/>
      <c r="BJ64" s="351"/>
      <c r="BL64" s="405">
        <f t="shared" si="21"/>
        <v>0</v>
      </c>
      <c r="BM64" s="405">
        <f t="shared" si="22"/>
        <v>0</v>
      </c>
      <c r="BN64" s="405">
        <f t="shared" si="23"/>
        <v>0</v>
      </c>
      <c r="BO64" s="405">
        <f t="shared" si="24"/>
        <v>0</v>
      </c>
    </row>
    <row r="65" spans="4:67" ht="13.5" thickBot="1" x14ac:dyDescent="0.25">
      <c r="D65" s="345">
        <v>120.23</v>
      </c>
      <c r="E65" s="340" t="str">
        <f t="shared" si="0"/>
        <v>0.00199432825543301i</v>
      </c>
      <c r="F65" s="728" t="str">
        <f t="shared" si="25"/>
        <v>0.005-21.7008852011643i</v>
      </c>
      <c r="G65" s="337" t="str">
        <f t="shared" si="26"/>
        <v>0.005-33.9424101864365i</v>
      </c>
      <c r="H65" s="338" t="str">
        <f t="shared" si="27"/>
        <v>1.21509901941014-0.0435550282746317i</v>
      </c>
      <c r="I65" s="338" t="str">
        <f t="shared" si="28"/>
        <v>1.22509901941014-0.0435550282746317i</v>
      </c>
      <c r="J65" s="337" t="str">
        <f t="shared" si="29"/>
        <v>1.2163195167581-0.111994173801759i</v>
      </c>
      <c r="K65" s="338" t="str">
        <f t="shared" si="1"/>
        <v>0.999999839386079-0.000629522807901835i</v>
      </c>
      <c r="L65" s="732"/>
      <c r="M65" s="732" t="str">
        <f t="shared" si="2"/>
        <v>16.309654676195+1.47499030524244i</v>
      </c>
      <c r="N65" s="337">
        <f t="shared" si="3"/>
        <v>0</v>
      </c>
      <c r="O65" s="730" t="str">
        <f t="shared" si="4"/>
        <v>16.3079434285865+0.553233755996651i</v>
      </c>
      <c r="P65" s="731" t="str">
        <f t="shared" si="5"/>
        <v>20.0029416148422-0.0325268051570906i</v>
      </c>
      <c r="Q65" s="729" t="str">
        <f t="shared" si="6"/>
        <v>19.8398621805563-0.0380591427170585i</v>
      </c>
      <c r="R65" s="730"/>
      <c r="S65" s="405" t="str">
        <f t="shared" si="30"/>
        <v>22.5904993312993+0.895425713251469i</v>
      </c>
      <c r="T65" s="405" t="str">
        <f t="shared" si="31"/>
        <v>22.5238092188101-0.375361813926665i</v>
      </c>
      <c r="U65" s="405" t="str">
        <f t="shared" si="32"/>
        <v>27.3523096007384-1.43712691940398i</v>
      </c>
      <c r="V65" s="731" t="str">
        <f t="shared" si="7"/>
        <v>6000</v>
      </c>
      <c r="W65" s="733" t="str">
        <f>IMSUM(COMPLEX(1,0),IMDIV(COMPLEX(0,2*PI()*D65),COMPLEX(2*PI()*'Stability Calculations'!EA_Pole1,0)))</f>
        <v>1+762.981643177024i</v>
      </c>
      <c r="X65" s="734">
        <f t="shared" si="33"/>
        <v>762.98229850050359</v>
      </c>
      <c r="Y65" s="735">
        <f t="shared" si="34"/>
        <v>1.5694856800233208</v>
      </c>
      <c r="Z65" s="340" t="str">
        <f>IMSUM(COMPLEX(1,0),IMDIV(COMPLEX(0,2*PI()*D65),COMPLEX(2*PI()*'Stability Calculations'!EA_Zero1,0)))</f>
        <v>1+7.55427369482202i</v>
      </c>
      <c r="AA65" s="734">
        <f t="shared" si="35"/>
        <v>7.6201739518386287</v>
      </c>
      <c r="AB65" s="735">
        <f t="shared" si="36"/>
        <v>1.4391861134911237</v>
      </c>
      <c r="AC65" s="733" t="str">
        <f>IMSUM(COMPLEX(1,0),IMDIV(COMPLEX(0,2*PI()*D65),COMPLEX(2*PI()*'Stability Calculations'!EA_Pole2,0)))</f>
        <v>1+0.0760976446405279i</v>
      </c>
      <c r="AD65" s="734">
        <f t="shared" si="37"/>
        <v>1.0028912461078898</v>
      </c>
      <c r="AE65" s="735">
        <f t="shared" si="38"/>
        <v>7.5951262856318771E-2</v>
      </c>
      <c r="AF65" s="732" t="str">
        <f t="shared" si="39"/>
        <v>58.4849703941009-12.2365800025439i</v>
      </c>
      <c r="AG65" s="337">
        <f t="shared" si="40"/>
        <v>59.751365274422938</v>
      </c>
      <c r="AH65" s="730">
        <f t="shared" si="41"/>
        <v>-0.20625082938851644</v>
      </c>
      <c r="AI65" s="731" t="str">
        <f t="shared" si="14"/>
        <v>10000</v>
      </c>
      <c r="AJ65" s="733" t="str">
        <f t="shared" si="42"/>
        <v>1+711.308900249705i</v>
      </c>
      <c r="AK65" s="734">
        <f t="shared" si="43"/>
        <v>711.30960317884421</v>
      </c>
      <c r="AL65" s="735">
        <f t="shared" si="44"/>
        <v>1.5693904687480811</v>
      </c>
      <c r="AM65" s="340" t="str">
        <f t="shared" si="45"/>
        <v>1+1.20717293643256i</v>
      </c>
      <c r="AN65" s="734">
        <f t="shared" si="46"/>
        <v>1.5675670634633816</v>
      </c>
      <c r="AO65" s="735">
        <f t="shared" si="47"/>
        <v>0.87898743631859078</v>
      </c>
      <c r="AP65" s="733" t="str">
        <f t="shared" si="48"/>
        <v>1+0.0585498772372686i</v>
      </c>
      <c r="AQ65" s="734">
        <f t="shared" si="49"/>
        <v>1.0017125776012294</v>
      </c>
      <c r="AR65" s="735">
        <f t="shared" si="50"/>
        <v>5.8483109801402082E-2</v>
      </c>
      <c r="AS65" s="732" t="str">
        <f t="shared" si="51"/>
        <v>187.703157637828-1928.42699560272i</v>
      </c>
      <c r="AT65" s="337">
        <f t="shared" si="52"/>
        <v>1937.5404906108527</v>
      </c>
      <c r="AU65" s="730">
        <f t="shared" si="53"/>
        <v>-1.4737671243261989</v>
      </c>
      <c r="AV65" s="732" t="str">
        <f t="shared" si="54"/>
        <v>-327.437010203612-2587.32200251809i</v>
      </c>
      <c r="AW65" s="337">
        <f t="shared" si="55"/>
        <v>68.326015187084678</v>
      </c>
      <c r="AX65" s="730">
        <f t="shared" si="56"/>
        <v>-97.212690483855127</v>
      </c>
      <c r="AY65" s="360">
        <f t="shared" si="57"/>
        <v>82.787309516144873</v>
      </c>
      <c r="BB65" s="337">
        <f t="shared" si="58"/>
        <v>25.74501574269074</v>
      </c>
      <c r="BC65" s="730">
        <f t="shared" si="59"/>
        <v>-84.440636209023282</v>
      </c>
      <c r="BD65" s="351"/>
      <c r="BE65" s="337">
        <f t="shared" si="19"/>
        <v>24.284270861197037</v>
      </c>
      <c r="BF65" s="730">
        <f t="shared" si="20"/>
        <v>5.167579983226152</v>
      </c>
      <c r="BI65" s="351"/>
      <c r="BJ65" s="351"/>
      <c r="BL65" s="405">
        <f t="shared" si="21"/>
        <v>0</v>
      </c>
      <c r="BM65" s="405">
        <f t="shared" si="22"/>
        <v>0</v>
      </c>
      <c r="BN65" s="405">
        <f t="shared" si="23"/>
        <v>0</v>
      </c>
      <c r="BO65" s="405">
        <f t="shared" si="24"/>
        <v>0</v>
      </c>
    </row>
    <row r="66" spans="4:67" ht="13.5" thickBot="1" x14ac:dyDescent="0.25">
      <c r="D66" s="345">
        <v>131.83000000000001</v>
      </c>
      <c r="E66" s="340" t="str">
        <f t="shared" si="0"/>
        <v>0.00218674452228008i</v>
      </c>
      <c r="F66" s="728" t="str">
        <f t="shared" si="25"/>
        <v>0.005-19.7913785006143i</v>
      </c>
      <c r="G66" s="337" t="str">
        <f t="shared" si="26"/>
        <v>0.005-30.9557458599353i</v>
      </c>
      <c r="H66" s="338" t="str">
        <f t="shared" si="27"/>
        <v>1.21478242102579-0.0477447987967686i</v>
      </c>
      <c r="I66" s="338" t="str">
        <f t="shared" si="28"/>
        <v>1.22478242102579-0.0477447987967686i</v>
      </c>
      <c r="J66" s="337" t="str">
        <f t="shared" si="29"/>
        <v>1.2142478365266-0.122589697122282i</v>
      </c>
      <c r="K66" s="338" t="str">
        <f t="shared" si="1"/>
        <v>0.999999806898346-0.000690260265871238i</v>
      </c>
      <c r="L66" s="732"/>
      <c r="M66" s="732" t="str">
        <f t="shared" si="2"/>
        <v>16.3107283979393+1.61734680441045i</v>
      </c>
      <c r="N66" s="337">
        <f t="shared" si="3"/>
        <v>0</v>
      </c>
      <c r="O66" s="730" t="str">
        <f t="shared" si="4"/>
        <v>16.3086708862796+0.606627594725994i</v>
      </c>
      <c r="P66" s="731" t="str">
        <f t="shared" si="5"/>
        <v>20.0035367242652-0.0356673959785907i</v>
      </c>
      <c r="Q66" s="729" t="str">
        <f t="shared" si="6"/>
        <v>19.8404500154024-0.0417336719258503i</v>
      </c>
      <c r="R66" s="730"/>
      <c r="S66" s="405" t="str">
        <f t="shared" si="30"/>
        <v>22.6001376665843+0.9812690399139i</v>
      </c>
      <c r="T66" s="405" t="str">
        <f t="shared" si="31"/>
        <v>22.5200015926347-0.411360637701868i</v>
      </c>
      <c r="U66" s="405" t="str">
        <f t="shared" si="32"/>
        <v>27.3372617253256-1.57492661632546i</v>
      </c>
      <c r="V66" s="731" t="str">
        <f t="shared" si="7"/>
        <v>6000</v>
      </c>
      <c r="W66" s="733" t="str">
        <f>IMSUM(COMPLEX(1,0),IMDIV(COMPLEX(0,2*PI()*D66),COMPLEX(2*PI()*'Stability Calculations'!EA_Pole1,0)))</f>
        <v>1+836.59544223594i</v>
      </c>
      <c r="X66" s="734">
        <f t="shared" si="33"/>
        <v>836.59603989616653</v>
      </c>
      <c r="Y66" s="735">
        <f t="shared" si="34"/>
        <v>1.5696010064844443</v>
      </c>
      <c r="Z66" s="340" t="str">
        <f>IMSUM(COMPLEX(1,0),IMDIV(COMPLEX(0,2*PI()*D66),COMPLEX(2*PI()*'Stability Calculations'!EA_Zero1,0)))</f>
        <v>1+8.28312319045485i</v>
      </c>
      <c r="AA66" s="734">
        <f t="shared" si="35"/>
        <v>8.343268531471999</v>
      </c>
      <c r="AB66" s="735">
        <f t="shared" si="36"/>
        <v>1.4506503797385111</v>
      </c>
      <c r="AC66" s="733" t="str">
        <f>IMSUM(COMPLEX(1,0),IMDIV(COMPLEX(0,2*PI()*D66),COMPLEX(2*PI()*'Stability Calculations'!EA_Pole2,0)))</f>
        <v>1+0.0834396780583947i</v>
      </c>
      <c r="AD66" s="734">
        <f t="shared" si="37"/>
        <v>1.0034750519442368</v>
      </c>
      <c r="AE66" s="735">
        <f t="shared" si="38"/>
        <v>8.3246842271742033E-2</v>
      </c>
      <c r="AF66" s="732" t="str">
        <f t="shared" si="39"/>
        <v>58.4152337820424-11.9750542720295i</v>
      </c>
      <c r="AG66" s="337">
        <f t="shared" si="40"/>
        <v>59.630038257817013</v>
      </c>
      <c r="AH66" s="730">
        <f t="shared" si="41"/>
        <v>-0.20219746901767419</v>
      </c>
      <c r="AI66" s="731" t="str">
        <f t="shared" si="14"/>
        <v>10000</v>
      </c>
      <c r="AJ66" s="733" t="str">
        <f t="shared" si="42"/>
        <v>1+779.937222988594i</v>
      </c>
      <c r="AK66" s="734">
        <f t="shared" si="43"/>
        <v>779.93786406556774</v>
      </c>
      <c r="AL66" s="735">
        <f t="shared" si="44"/>
        <v>1.5695141730233464</v>
      </c>
      <c r="AM66" s="340" t="str">
        <f t="shared" si="45"/>
        <v>1+1.32364308583468i</v>
      </c>
      <c r="AN66" s="734">
        <f t="shared" si="46"/>
        <v>1.6589246573241216</v>
      </c>
      <c r="AO66" s="735">
        <f t="shared" si="47"/>
        <v>0.92379044135216293</v>
      </c>
      <c r="AP66" s="733" t="str">
        <f t="shared" si="48"/>
        <v>1+0.0641988714646021i</v>
      </c>
      <c r="AQ66" s="734">
        <f t="shared" si="49"/>
        <v>1.0020586285728637</v>
      </c>
      <c r="AR66" s="735">
        <f t="shared" si="50"/>
        <v>6.411089048557593E-2</v>
      </c>
      <c r="AS66" s="732" t="str">
        <f t="shared" si="51"/>
        <v>156.370581195586-1761.52203087224i</v>
      </c>
      <c r="AT66" s="337">
        <f t="shared" si="52"/>
        <v>1768.4489316663082</v>
      </c>
      <c r="AU66" s="730">
        <f t="shared" si="53"/>
        <v>-1.4822582506793389</v>
      </c>
      <c r="AV66" s="732" t="str">
        <f t="shared" si="54"/>
        <v>-312.436105691108-2354.55179844533i</v>
      </c>
      <c r="AW66" s="337">
        <f t="shared" si="55"/>
        <v>67.513969397867655</v>
      </c>
      <c r="AX66" s="730">
        <f t="shared" si="56"/>
        <v>-97.558678020616426</v>
      </c>
      <c r="AY66" s="360">
        <f t="shared" si="57"/>
        <v>82.441321979383574</v>
      </c>
      <c r="BB66" s="337">
        <f t="shared" si="58"/>
        <v>24.951850460106154</v>
      </c>
      <c r="BC66" s="730">
        <f t="shared" si="59"/>
        <v>-84.927141912370516</v>
      </c>
      <c r="BD66" s="351"/>
      <c r="BE66" s="337">
        <f t="shared" si="19"/>
        <v>24.291960133392717</v>
      </c>
      <c r="BF66" s="730">
        <f t="shared" si="20"/>
        <v>5.6628502036616135</v>
      </c>
      <c r="BI66" s="351"/>
      <c r="BJ66" s="351"/>
      <c r="BL66" s="405">
        <f t="shared" si="21"/>
        <v>0</v>
      </c>
      <c r="BM66" s="405">
        <f t="shared" si="22"/>
        <v>0</v>
      </c>
      <c r="BN66" s="405">
        <f t="shared" si="23"/>
        <v>0</v>
      </c>
      <c r="BO66" s="405">
        <f t="shared" si="24"/>
        <v>0</v>
      </c>
    </row>
    <row r="67" spans="4:67" ht="13.5" thickBot="1" x14ac:dyDescent="0.25">
      <c r="D67" s="345">
        <v>144.54</v>
      </c>
      <c r="E67" s="340" t="str">
        <f t="shared" si="0"/>
        <v>0.00239757303535131i</v>
      </c>
      <c r="F67" s="728" t="str">
        <f t="shared" si="25"/>
        <v>0.005-18.0510407343018i</v>
      </c>
      <c r="G67" s="337" t="str">
        <f t="shared" si="26"/>
        <v>0.005-28.2336790972413i</v>
      </c>
      <c r="H67" s="338" t="str">
        <f t="shared" si="27"/>
        <v>1.21440229018687-0.0523315243267748i</v>
      </c>
      <c r="I67" s="338" t="str">
        <f t="shared" si="28"/>
        <v>1.22440229018687-0.0523315243267748i</v>
      </c>
      <c r="J67" s="337" t="str">
        <f t="shared" si="29"/>
        <v>1.21176833938035-0.13413342015947i</v>
      </c>
      <c r="K67" s="338" t="str">
        <f t="shared" si="1"/>
        <v>0.99999976786876-0.000756809670249781i</v>
      </c>
      <c r="L67" s="732"/>
      <c r="M67" s="732" t="str">
        <f t="shared" si="2"/>
        <v>16.3120184589281+1.77334025007619i</v>
      </c>
      <c r="N67" s="337">
        <f t="shared" si="3"/>
        <v>0</v>
      </c>
      <c r="O67" s="730" t="str">
        <f t="shared" si="4"/>
        <v>16.3095449020114+0.665136039613796i</v>
      </c>
      <c r="P67" s="731" t="str">
        <f t="shared" si="5"/>
        <v>20.0042517127661-0.0391092556092737i</v>
      </c>
      <c r="Q67" s="729" t="str">
        <f t="shared" si="6"/>
        <v>19.841156263746-0.0457606160054091i</v>
      </c>
      <c r="R67" s="730"/>
      <c r="S67" s="405" t="str">
        <f t="shared" si="30"/>
        <v>22.6117029610668+1.07515304545657i</v>
      </c>
      <c r="T67" s="405" t="str">
        <f t="shared" si="31"/>
        <v>22.5154327181371-0.450735614210571i</v>
      </c>
      <c r="U67" s="405" t="str">
        <f t="shared" si="32"/>
        <v>27.3192053756942-1.72564127718316i</v>
      </c>
      <c r="V67" s="731" t="str">
        <f t="shared" si="7"/>
        <v>6000</v>
      </c>
      <c r="W67" s="733" t="str">
        <f>IMSUM(COMPLEX(1,0),IMDIV(COMPLEX(0,2*PI()*D67),COMPLEX(2*PI()*'Stability Calculations'!EA_Pole1,0)))</f>
        <v>1+917.253320342735i</v>
      </c>
      <c r="X67" s="734">
        <f t="shared" si="33"/>
        <v>917.25386544825847</v>
      </c>
      <c r="Y67" s="735">
        <f t="shared" si="34"/>
        <v>1.5697061158557422</v>
      </c>
      <c r="Z67" s="340" t="str">
        <f>IMSUM(COMPLEX(1,0),IMDIV(COMPLEX(0,2*PI()*D67),COMPLEX(2*PI()*'Stability Calculations'!EA_Zero1,0)))</f>
        <v>1+9.08171604299737i</v>
      </c>
      <c r="AA67" s="734">
        <f t="shared" si="35"/>
        <v>9.1366058405534698</v>
      </c>
      <c r="AB67" s="735">
        <f t="shared" si="36"/>
        <v>1.4611267840825271</v>
      </c>
      <c r="AC67" s="733" t="str">
        <f>IMSUM(COMPLEX(1,0),IMDIV(COMPLEX(0,2*PI()*D67),COMPLEX(2*PI()*'Stability Calculations'!EA_Pole2,0)))</f>
        <v>1+0.0914842681222814i</v>
      </c>
      <c r="AD67" s="734">
        <f t="shared" si="37"/>
        <v>1.0041759663096252</v>
      </c>
      <c r="AE67" s="735">
        <f t="shared" si="38"/>
        <v>9.1230320201946713E-2</v>
      </c>
      <c r="AF67" s="732" t="str">
        <f t="shared" si="39"/>
        <v>58.332299220799-11.81298319894i</v>
      </c>
      <c r="AG67" s="337">
        <f t="shared" si="40"/>
        <v>59.516415419976923</v>
      </c>
      <c r="AH67" s="730">
        <f t="shared" si="41"/>
        <v>-0.19980965197516234</v>
      </c>
      <c r="AI67" s="731" t="str">
        <f t="shared" si="14"/>
        <v>10000</v>
      </c>
      <c r="AJ67" s="733" t="str">
        <f t="shared" si="42"/>
        <v>1+855.132566265427i</v>
      </c>
      <c r="AK67" s="734">
        <f t="shared" si="43"/>
        <v>855.13315096989129</v>
      </c>
      <c r="AL67" s="735">
        <f t="shared" si="44"/>
        <v>1.5696269179995701</v>
      </c>
      <c r="AM67" s="340" t="str">
        <f t="shared" si="45"/>
        <v>1+1.45125822367098i</v>
      </c>
      <c r="AN67" s="734">
        <f t="shared" si="46"/>
        <v>1.7624274259590513</v>
      </c>
      <c r="AO67" s="735">
        <f t="shared" si="47"/>
        <v>0.96745230657678571</v>
      </c>
      <c r="AP67" s="733" t="str">
        <f t="shared" si="48"/>
        <v>1+0.0703884160016202i</v>
      </c>
      <c r="AQ67" s="734">
        <f t="shared" si="49"/>
        <v>1.0024742037116052</v>
      </c>
      <c r="AR67" s="735">
        <f t="shared" si="50"/>
        <v>7.0272513201334513E-2</v>
      </c>
      <c r="AS67" s="732" t="str">
        <f t="shared" si="51"/>
        <v>130.250302930299-1608.73892138922i</v>
      </c>
      <c r="AT67" s="337">
        <f t="shared" si="52"/>
        <v>1614.0031160459343</v>
      </c>
      <c r="AU67" s="730">
        <f t="shared" si="53"/>
        <v>-1.490008319790932</v>
      </c>
      <c r="AV67" s="732" t="str">
        <f t="shared" si="54"/>
        <v>-299.806869486747-2142.38269794707i</v>
      </c>
      <c r="AW67" s="337">
        <f t="shared" si="55"/>
        <v>66.702168790471916</v>
      </c>
      <c r="AX67" s="730">
        <f t="shared" si="56"/>
        <v>-97.966286829987823</v>
      </c>
      <c r="AY67" s="360">
        <f t="shared" si="57"/>
        <v>82.033713170012177</v>
      </c>
      <c r="BB67" s="337">
        <f t="shared" si="58"/>
        <v>24.158087376992981</v>
      </c>
      <c r="BC67" s="730">
        <f t="shared" si="59"/>
        <v>-85.371188163399495</v>
      </c>
      <c r="BD67" s="351"/>
      <c r="BE67" s="337">
        <f t="shared" si="19"/>
        <v>24.301180986599356</v>
      </c>
      <c r="BF67" s="730">
        <f t="shared" si="20"/>
        <v>6.2044711701798567</v>
      </c>
      <c r="BI67" s="351"/>
      <c r="BJ67" s="351"/>
      <c r="BL67" s="405">
        <f t="shared" si="21"/>
        <v>0</v>
      </c>
      <c r="BM67" s="405">
        <f t="shared" si="22"/>
        <v>0</v>
      </c>
      <c r="BN67" s="405">
        <f t="shared" si="23"/>
        <v>0</v>
      </c>
      <c r="BO67" s="405">
        <f t="shared" si="24"/>
        <v>0</v>
      </c>
    </row>
    <row r="68" spans="4:67" ht="13.5" thickBot="1" x14ac:dyDescent="0.25">
      <c r="D68" s="345">
        <v>158.49</v>
      </c>
      <c r="E68" s="340" t="str">
        <f t="shared" si="0"/>
        <v>0.00262897018384412i</v>
      </c>
      <c r="F68" s="728" t="str">
        <f t="shared" si="25"/>
        <v>0.005-16.4622211353145i</v>
      </c>
      <c r="G68" s="337" t="str">
        <f t="shared" si="26"/>
        <v>0.005-25.7486022885688i</v>
      </c>
      <c r="H68" s="338" t="str">
        <f t="shared" si="27"/>
        <v>1.21394514324508-0.0573605109426376i</v>
      </c>
      <c r="I68" s="338" t="str">
        <f t="shared" si="28"/>
        <v>1.22394514324508-0.0573605109426376i</v>
      </c>
      <c r="J68" s="337" t="str">
        <f t="shared" si="29"/>
        <v>1.2087978592505-0.146717271662639i</v>
      </c>
      <c r="K68" s="338" t="str">
        <f t="shared" si="1"/>
        <v>0.99999972089911-0.000829851699445744i</v>
      </c>
      <c r="L68" s="732"/>
      <c r="M68" s="732" t="str">
        <f t="shared" si="2"/>
        <v>16.3135711551552+1.94457223828742i</v>
      </c>
      <c r="N68" s="337">
        <f t="shared" si="3"/>
        <v>0</v>
      </c>
      <c r="O68" s="730" t="str">
        <f t="shared" si="4"/>
        <v>16.3105968326508+0.729359710987107i</v>
      </c>
      <c r="P68" s="731" t="str">
        <f t="shared" si="5"/>
        <v>20.0051122224348-0.0428878921589203i</v>
      </c>
      <c r="Q68" s="729" t="str">
        <f t="shared" si="6"/>
        <v>19.8420062541083-0.0501814892687887i</v>
      </c>
      <c r="R68" s="730"/>
      <c r="S68" s="405" t="str">
        <f t="shared" si="30"/>
        <v>22.6256010588542+1.17796780446269i</v>
      </c>
      <c r="T68" s="405" t="str">
        <f t="shared" si="31"/>
        <v>22.50994226476-0.493861763757948i</v>
      </c>
      <c r="U68" s="405" t="str">
        <f t="shared" si="32"/>
        <v>27.2975069239285-1.89070287914433i</v>
      </c>
      <c r="V68" s="731" t="str">
        <f t="shared" si="7"/>
        <v>6000</v>
      </c>
      <c r="W68" s="733" t="str">
        <f>IMSUM(COMPLEX(1,0),IMDIV(COMPLEX(0,2*PI()*D68),COMPLEX(2*PI()*'Stability Calculations'!EA_Pole1,0)))</f>
        <v>1+1005.78025972824i</v>
      </c>
      <c r="X68" s="734">
        <f t="shared" si="33"/>
        <v>1005.7807568545969</v>
      </c>
      <c r="Y68" s="735">
        <f t="shared" si="34"/>
        <v>1.569802074162858</v>
      </c>
      <c r="Z68" s="340" t="str">
        <f>IMSUM(COMPLEX(1,0),IMDIV(COMPLEX(0,2*PI()*D68),COMPLEX(2*PI()*'Stability Calculations'!EA_Zero1,0)))</f>
        <v>1+9.95822039334893i</v>
      </c>
      <c r="AA68" s="734">
        <f t="shared" si="35"/>
        <v>10.008304222120273</v>
      </c>
      <c r="AB68" s="735">
        <f t="shared" si="36"/>
        <v>1.4707122966065445</v>
      </c>
      <c r="AC68" s="733" t="str">
        <f>IMSUM(COMPLEX(1,0),IMDIV(COMPLEX(0,2*PI()*D68),COMPLEX(2*PI()*'Stability Calculations'!EA_Pole2,0)))</f>
        <v>1+0.100313696241182i</v>
      </c>
      <c r="AD68" s="734">
        <f t="shared" si="37"/>
        <v>1.0050188245269678</v>
      </c>
      <c r="AE68" s="735">
        <f t="shared" si="38"/>
        <v>9.9979233172643553E-2</v>
      </c>
      <c r="AF68" s="732" t="str">
        <f t="shared" si="39"/>
        <v>58.2333230519183-11.7480472666802i</v>
      </c>
      <c r="AG68" s="337">
        <f t="shared" si="40"/>
        <v>59.406536073476225</v>
      </c>
      <c r="AH68" s="730">
        <f t="shared" si="41"/>
        <v>-0.19906901072895664</v>
      </c>
      <c r="AI68" s="731" t="str">
        <f t="shared" si="14"/>
        <v>10000</v>
      </c>
      <c r="AJ68" s="733" t="str">
        <f t="shared" si="42"/>
        <v>1+937.66404059366i</v>
      </c>
      <c r="AK68" s="734">
        <f t="shared" si="43"/>
        <v>937.66457383353725</v>
      </c>
      <c r="AL68" s="735">
        <f t="shared" si="44"/>
        <v>1.5697298471416505</v>
      </c>
      <c r="AM68" s="340" t="str">
        <f t="shared" si="45"/>
        <v>1+1.59132361885716i</v>
      </c>
      <c r="AN68" s="734">
        <f t="shared" si="46"/>
        <v>1.8794442955120132</v>
      </c>
      <c r="AO68" s="735">
        <f t="shared" si="47"/>
        <v>1.0097502896156092</v>
      </c>
      <c r="AP68" s="733" t="str">
        <f t="shared" si="48"/>
        <v>1+0.0771818185422498i</v>
      </c>
      <c r="AQ68" s="734">
        <f t="shared" si="49"/>
        <v>1.0029740939393643</v>
      </c>
      <c r="AR68" s="735">
        <f t="shared" si="50"/>
        <v>7.7029105784475638E-2</v>
      </c>
      <c r="AS68" s="732" t="str">
        <f t="shared" si="51"/>
        <v>108.449449918392-1468.75039240173i</v>
      </c>
      <c r="AT68" s="337">
        <f t="shared" si="52"/>
        <v>1472.7487899733062</v>
      </c>
      <c r="AU68" s="730">
        <f t="shared" si="53"/>
        <v>-1.4970921748834918</v>
      </c>
      <c r="AV68" s="732" t="str">
        <f t="shared" si="54"/>
        <v>-289.118568208214-1948.55681261444i</v>
      </c>
      <c r="AW68" s="337">
        <f t="shared" si="55"/>
        <v>65.888835690303964</v>
      </c>
      <c r="AX68" s="730">
        <f t="shared" si="56"/>
        <v>-98.439728862854352</v>
      </c>
      <c r="AY68" s="360">
        <f t="shared" si="57"/>
        <v>81.560271137145648</v>
      </c>
      <c r="BB68" s="337">
        <f t="shared" si="58"/>
        <v>23.362573491740584</v>
      </c>
      <c r="BC68" s="730">
        <f t="shared" si="59"/>
        <v>-85.777063162885426</v>
      </c>
      <c r="BD68" s="351"/>
      <c r="BE68" s="337">
        <f t="shared" si="19"/>
        <v>24.312253550124773</v>
      </c>
      <c r="BF68" s="730">
        <f t="shared" si="20"/>
        <v>6.7975643490860094</v>
      </c>
      <c r="BI68" s="351"/>
      <c r="BJ68" s="351"/>
      <c r="BL68" s="405">
        <f t="shared" si="21"/>
        <v>0</v>
      </c>
      <c r="BM68" s="405">
        <f t="shared" si="22"/>
        <v>0</v>
      </c>
      <c r="BN68" s="405">
        <f t="shared" si="23"/>
        <v>0</v>
      </c>
      <c r="BO68" s="405">
        <f t="shared" si="24"/>
        <v>0</v>
      </c>
    </row>
    <row r="69" spans="4:67" ht="13.5" thickBot="1" x14ac:dyDescent="0.25">
      <c r="D69" s="345">
        <v>173.78</v>
      </c>
      <c r="E69" s="340" t="str">
        <f t="shared" si="0"/>
        <v>0.0028825947286796i</v>
      </c>
      <c r="F69" s="728" t="str">
        <f t="shared" si="25"/>
        <v>0.005-15.0137957632408i</v>
      </c>
      <c r="G69" s="337" t="str">
        <f t="shared" si="26"/>
        <v>0.005-23.4831164501972i</v>
      </c>
      <c r="H69" s="338" t="str">
        <f t="shared" si="27"/>
        <v>1.21339619276407-0.0628656912704777i</v>
      </c>
      <c r="I69" s="338" t="str">
        <f t="shared" si="28"/>
        <v>1.22339619276407-0.0628656912704777i</v>
      </c>
      <c r="J69" s="337" t="str">
        <f t="shared" si="29"/>
        <v>1.20524715985369-0.160397359726246i</v>
      </c>
      <c r="K69" s="338" t="str">
        <f t="shared" si="1"/>
        <v>0.999999664450129-0.000909909952234724i</v>
      </c>
      <c r="L69" s="732"/>
      <c r="M69" s="732" t="str">
        <f t="shared" si="2"/>
        <v>16.3154374869895+2.13227824731619i</v>
      </c>
      <c r="N69" s="337">
        <f t="shared" si="3"/>
        <v>0</v>
      </c>
      <c r="O69" s="730" t="str">
        <f t="shared" si="4"/>
        <v>16.311861217751+0.7997618784928i</v>
      </c>
      <c r="P69" s="731" t="str">
        <f t="shared" si="5"/>
        <v>20.0061464940358-0.0470307940961041i</v>
      </c>
      <c r="Q69" s="729" t="str">
        <f t="shared" si="6"/>
        <v>19.8430278818583-0.0550284128810351i</v>
      </c>
      <c r="R69" s="730"/>
      <c r="S69" s="405" t="str">
        <f t="shared" si="30"/>
        <v>22.642275200654+1.29035807455619i</v>
      </c>
      <c r="T69" s="405" t="str">
        <f t="shared" si="31"/>
        <v>22.5033551275356-0.541011802835398i</v>
      </c>
      <c r="U69" s="405" t="str">
        <f t="shared" si="32"/>
        <v>27.2714743551989-2.07115063779852i</v>
      </c>
      <c r="V69" s="731" t="str">
        <f t="shared" si="7"/>
        <v>6000</v>
      </c>
      <c r="W69" s="733" t="str">
        <f>IMSUM(COMPLEX(1,0),IMDIV(COMPLEX(0,2*PI()*D69),COMPLEX(2*PI()*'Stability Calculations'!EA_Pole1,0)))</f>
        <v>1+1102.81086210849i</v>
      </c>
      <c r="X69" s="734">
        <f t="shared" si="33"/>
        <v>1102.8113154952985</v>
      </c>
      <c r="Y69" s="735">
        <f t="shared" si="34"/>
        <v>1.5698895532399022</v>
      </c>
      <c r="Z69" s="340" t="str">
        <f>IMSUM(COMPLEX(1,0),IMDIV(COMPLEX(0,2*PI()*D69),COMPLEX(2*PI()*'Stability Calculations'!EA_Zero1,0)))</f>
        <v>1+10.9189194268167i</v>
      </c>
      <c r="AA69" s="734">
        <f t="shared" si="35"/>
        <v>10.9646158824336</v>
      </c>
      <c r="AB69" s="735">
        <f t="shared" si="36"/>
        <v>1.4794669505021685</v>
      </c>
      <c r="AC69" s="733" t="str">
        <f>IMSUM(COMPLEX(1,0),IMDIV(COMPLEX(0,2*PI()*D69),COMPLEX(2*PI()*'Stability Calculations'!EA_Pole2,0)))</f>
        <v>1+0.109991255806629i</v>
      </c>
      <c r="AD69" s="734">
        <f t="shared" si="37"/>
        <v>1.0060308525855057</v>
      </c>
      <c r="AE69" s="735">
        <f t="shared" si="38"/>
        <v>0.10955088711217086</v>
      </c>
      <c r="AF69" s="732" t="str">
        <f t="shared" si="39"/>
        <v>58.115244839596-11.7789394026359i</v>
      </c>
      <c r="AG69" s="337">
        <f t="shared" si="40"/>
        <v>59.296923159782565</v>
      </c>
      <c r="AH69" s="730">
        <f t="shared" si="41"/>
        <v>-0.1999734898499051</v>
      </c>
      <c r="AI69" s="731" t="str">
        <f t="shared" si="14"/>
        <v>10000</v>
      </c>
      <c r="AJ69" s="733" t="str">
        <f t="shared" si="42"/>
        <v>1+1028.12326944518i</v>
      </c>
      <c r="AK69" s="734">
        <f t="shared" si="43"/>
        <v>1028.1237557680722</v>
      </c>
      <c r="AL69" s="735">
        <f t="shared" si="44"/>
        <v>1.5698236810875457</v>
      </c>
      <c r="AM69" s="340" t="str">
        <f t="shared" si="45"/>
        <v>1+1.74484332440531i</v>
      </c>
      <c r="AN69" s="734">
        <f t="shared" si="46"/>
        <v>2.011088816219158</v>
      </c>
      <c r="AO69" s="735">
        <f t="shared" si="47"/>
        <v>1.0503780518041752</v>
      </c>
      <c r="AP69" s="733" t="str">
        <f t="shared" si="48"/>
        <v>1+0.0846277773125887i</v>
      </c>
      <c r="AQ69" s="734">
        <f t="shared" si="49"/>
        <v>1.0035745416723509</v>
      </c>
      <c r="AR69" s="735">
        <f t="shared" si="50"/>
        <v>8.4426610261908119E-2</v>
      </c>
      <c r="AS69" s="732" t="str">
        <f t="shared" si="51"/>
        <v>90.2875458780028-1340.74571661422i</v>
      </c>
      <c r="AT69" s="337">
        <f t="shared" si="52"/>
        <v>1343.7823177732512</v>
      </c>
      <c r="AU69" s="730">
        <f t="shared" si="53"/>
        <v>-1.503556555096337</v>
      </c>
      <c r="AV69" s="732" t="str">
        <f t="shared" si="54"/>
        <v>-280.038467336989-1771.63804840647i</v>
      </c>
      <c r="AW69" s="337">
        <f t="shared" si="55"/>
        <v>65.074676544614064</v>
      </c>
      <c r="AX69" s="730">
        <f t="shared" si="56"/>
        <v>-98.982286393278599</v>
      </c>
      <c r="AY69" s="360">
        <f t="shared" si="57"/>
        <v>81.017713606721401</v>
      </c>
      <c r="BB69" s="337">
        <f t="shared" si="58"/>
        <v>22.566578442113627</v>
      </c>
      <c r="BC69" s="730">
        <f t="shared" si="59"/>
        <v>-86.147444866249344</v>
      </c>
      <c r="BD69" s="351"/>
      <c r="BE69" s="337">
        <f t="shared" si="19"/>
        <v>24.325526024972966</v>
      </c>
      <c r="BF69" s="730">
        <f t="shared" si="20"/>
        <v>7.4458331384975125</v>
      </c>
      <c r="BI69" s="351"/>
      <c r="BJ69" s="351"/>
      <c r="BL69" s="405">
        <f t="shared" si="21"/>
        <v>0</v>
      </c>
      <c r="BM69" s="405">
        <f t="shared" si="22"/>
        <v>0</v>
      </c>
      <c r="BN69" s="405">
        <f t="shared" si="23"/>
        <v>0</v>
      </c>
      <c r="BO69" s="405">
        <f t="shared" si="24"/>
        <v>0</v>
      </c>
    </row>
    <row r="70" spans="4:67" ht="13.5" thickBot="1" x14ac:dyDescent="0.25">
      <c r="D70" s="345">
        <v>190.55</v>
      </c>
      <c r="E70" s="340" t="str">
        <f t="shared" si="0"/>
        <v>0.00316076893514731i</v>
      </c>
      <c r="F70" s="728" t="str">
        <f t="shared" si="25"/>
        <v>0.005-13.6924556690422i</v>
      </c>
      <c r="G70" s="337" t="str">
        <f t="shared" si="26"/>
        <v>0.005-21.4164050208096i</v>
      </c>
      <c r="H70" s="338" t="str">
        <f t="shared" si="27"/>
        <v>1.21273667239122-0.068894692332238i</v>
      </c>
      <c r="I70" s="338" t="str">
        <f t="shared" si="28"/>
        <v>1.22273667239122-0.068894692332238i</v>
      </c>
      <c r="J70" s="337" t="str">
        <f t="shared" si="29"/>
        <v>1.20100463285039-0.175254695604656i</v>
      </c>
      <c r="K70" s="338" t="str">
        <f t="shared" si="1"/>
        <v>0.999999596563306-0.000997717466902559i</v>
      </c>
      <c r="L70" s="732"/>
      <c r="M70" s="732" t="str">
        <f t="shared" si="2"/>
        <v>16.3176823750496+2.33818751173622i</v>
      </c>
      <c r="N70" s="337">
        <f t="shared" si="3"/>
        <v>0</v>
      </c>
      <c r="O70" s="730" t="str">
        <f t="shared" si="4"/>
        <v>16.3133820210655+0.876990962901143i</v>
      </c>
      <c r="P70" s="731" t="str">
        <f t="shared" si="5"/>
        <v>20.0073904704516-0.0515764235446526i</v>
      </c>
      <c r="Q70" s="729" t="str">
        <f t="shared" si="6"/>
        <v>19.844256650241-0.0603463331736665i</v>
      </c>
      <c r="R70" s="730"/>
      <c r="S70" s="405" t="str">
        <f t="shared" si="30"/>
        <v>22.6622863140567+1.41323207188849i</v>
      </c>
      <c r="T70" s="405" t="str">
        <f t="shared" si="31"/>
        <v>22.4954497079533-0.59256972813533i</v>
      </c>
      <c r="U70" s="405" t="str">
        <f t="shared" si="32"/>
        <v>27.2402319136621-2.26844812676339i</v>
      </c>
      <c r="V70" s="731" t="str">
        <f t="shared" si="7"/>
        <v>6000</v>
      </c>
      <c r="W70" s="733" t="str">
        <f>IMSUM(COMPLEX(1,0),IMDIV(COMPLEX(0,2*PI()*D70),COMPLEX(2*PI()*'Stability Calculations'!EA_Pole1,0)))</f>
        <v>1+1209.2335698859i</v>
      </c>
      <c r="X70" s="734">
        <f t="shared" si="33"/>
        <v>1209.2339833708768</v>
      </c>
      <c r="Y70" s="735">
        <f t="shared" si="34"/>
        <v>1.5699693568885495</v>
      </c>
      <c r="Z70" s="340" t="str">
        <f>IMSUM(COMPLEX(1,0),IMDIV(COMPLEX(0,2*PI()*D70),COMPLEX(2*PI()*'Stability Calculations'!EA_Zero1,0)))</f>
        <v>1+11.9726096028307i</v>
      </c>
      <c r="AA70" s="734">
        <f t="shared" si="35"/>
        <v>12.014299010004448</v>
      </c>
      <c r="AB70" s="735">
        <f t="shared" si="36"/>
        <v>1.4874657664497553</v>
      </c>
      <c r="AC70" s="733" t="str">
        <f>IMSUM(COMPLEX(1,0),IMDIV(COMPLEX(0,2*PI()*D70),COMPLEX(2*PI()*'Stability Calculations'!EA_Pole2,0)))</f>
        <v>1+0.120605557566769i</v>
      </c>
      <c r="AD70" s="734">
        <f t="shared" si="37"/>
        <v>1.0072465936978845</v>
      </c>
      <c r="AE70" s="735">
        <f t="shared" si="38"/>
        <v>0.12002584451067422</v>
      </c>
      <c r="AF70" s="732" t="str">
        <f t="shared" si="39"/>
        <v>57.9742297094541-11.9047045717734i</v>
      </c>
      <c r="AG70" s="337">
        <f t="shared" si="40"/>
        <v>59.183893935307708</v>
      </c>
      <c r="AH70" s="730">
        <f t="shared" si="41"/>
        <v>-0.20252943494946749</v>
      </c>
      <c r="AI70" s="731" t="str">
        <f t="shared" si="14"/>
        <v>10000</v>
      </c>
      <c r="AJ70" s="733" t="str">
        <f t="shared" si="42"/>
        <v>1+1127.33852568062i</v>
      </c>
      <c r="AK70" s="734">
        <f t="shared" si="43"/>
        <v>1127.3389692030316</v>
      </c>
      <c r="AL70" s="735">
        <f t="shared" si="44"/>
        <v>1.569909282029782</v>
      </c>
      <c r="AM70" s="340" t="str">
        <f t="shared" si="45"/>
        <v>1+1.91322301453235i</v>
      </c>
      <c r="AN70" s="734">
        <f t="shared" si="46"/>
        <v>2.1588011263977638</v>
      </c>
      <c r="AO70" s="735">
        <f t="shared" si="47"/>
        <v>1.0891711756853371</v>
      </c>
      <c r="AP70" s="733" t="str">
        <f t="shared" si="48"/>
        <v>1+0.0927944698291734i</v>
      </c>
      <c r="AQ70" s="734">
        <f t="shared" si="49"/>
        <v>1.0042961782416964</v>
      </c>
      <c r="AR70" s="735">
        <f t="shared" si="50"/>
        <v>9.252949219642545E-2</v>
      </c>
      <c r="AS70" s="732" t="str">
        <f t="shared" si="51"/>
        <v>75.1518301030227-1223.67839095598i</v>
      </c>
      <c r="AT70" s="337">
        <f t="shared" si="52"/>
        <v>1225.9839322195255</v>
      </c>
      <c r="AU70" s="730">
        <f t="shared" si="53"/>
        <v>-1.5094586755680928</v>
      </c>
      <c r="AV70" s="732" t="str">
        <f t="shared" si="54"/>
        <v>-272.261513630072-1609.9432253098i</v>
      </c>
      <c r="AW70" s="337">
        <f t="shared" si="55"/>
        <v>64.258672345638175</v>
      </c>
      <c r="AX70" s="730">
        <f t="shared" si="56"/>
        <v>-99.59861601545883</v>
      </c>
      <c r="AY70" s="360">
        <f t="shared" si="57"/>
        <v>80.40138398454117</v>
      </c>
      <c r="BB70" s="337">
        <f t="shared" si="58"/>
        <v>21.769695566875946</v>
      </c>
      <c r="BC70" s="730">
        <f t="shared" si="59"/>
        <v>-86.48561145945871</v>
      </c>
      <c r="BD70" s="351"/>
      <c r="BE70" s="337">
        <f t="shared" si="19"/>
        <v>24.34143788275907</v>
      </c>
      <c r="BF70" s="730">
        <f t="shared" si="20"/>
        <v>8.1544979728522389</v>
      </c>
      <c r="BI70" s="351"/>
      <c r="BJ70" s="351"/>
      <c r="BL70" s="405">
        <f t="shared" si="21"/>
        <v>0</v>
      </c>
      <c r="BM70" s="405">
        <f t="shared" si="22"/>
        <v>0</v>
      </c>
      <c r="BN70" s="405">
        <f t="shared" si="23"/>
        <v>0</v>
      </c>
      <c r="BO70" s="405">
        <f t="shared" si="24"/>
        <v>0</v>
      </c>
    </row>
    <row r="71" spans="4:67" ht="13.5" thickBot="1" x14ac:dyDescent="0.25">
      <c r="D71" s="345">
        <v>208.93</v>
      </c>
      <c r="E71" s="340" t="str">
        <f t="shared" si="0"/>
        <v>0.00346564919244464i</v>
      </c>
      <c r="F71" s="728" t="str">
        <f t="shared" si="25"/>
        <v>0.005-12.4879023009428i</v>
      </c>
      <c r="G71" s="337" t="str">
        <f t="shared" si="26"/>
        <v>0.005-19.532360009167i</v>
      </c>
      <c r="H71" s="338" t="str">
        <f t="shared" si="27"/>
        <v>1.21194504844051-0.0754905978328345i</v>
      </c>
      <c r="I71" s="338" t="str">
        <f t="shared" si="28"/>
        <v>1.22194504844051-0.0754905978328345i</v>
      </c>
      <c r="J71" s="337" t="str">
        <f t="shared" si="29"/>
        <v>1.19594567713481-0.191347125037589i</v>
      </c>
      <c r="K71" s="338" t="str">
        <f t="shared" si="1"/>
        <v>0.999999514980612-0.00109395492185753i</v>
      </c>
      <c r="L71" s="732"/>
      <c r="M71" s="732" t="str">
        <f t="shared" si="2"/>
        <v>16.3203807304325+2.56391011449149i</v>
      </c>
      <c r="N71" s="337">
        <f t="shared" si="3"/>
        <v>0</v>
      </c>
      <c r="O71" s="730" t="str">
        <f t="shared" si="4"/>
        <v>16.3152099651504+0.96165064152295i</v>
      </c>
      <c r="P71" s="731" t="str">
        <f t="shared" si="5"/>
        <v>20.0088856130178-0.0565607142988186i</v>
      </c>
      <c r="Q71" s="729" t="str">
        <f t="shared" si="6"/>
        <v>19.8457335133663-0.0661772207140517i</v>
      </c>
      <c r="R71" s="730"/>
      <c r="S71" s="405" t="str">
        <f t="shared" si="30"/>
        <v>22.6862747083393+1.54738394085662i</v>
      </c>
      <c r="T71" s="405" t="str">
        <f t="shared" si="31"/>
        <v>22.4859730458863-0.64887268150343i</v>
      </c>
      <c r="U71" s="405" t="str">
        <f t="shared" si="32"/>
        <v>27.2027799056846-2.48387758150338i</v>
      </c>
      <c r="V71" s="731" t="str">
        <f t="shared" si="7"/>
        <v>6000</v>
      </c>
      <c r="W71" s="733" t="str">
        <f>IMSUM(COMPLEX(1,0),IMDIV(COMPLEX(0,2*PI()*D71),COMPLEX(2*PI()*'Stability Calculations'!EA_Pole1,0)))</f>
        <v>1+1325.87336529132i</v>
      </c>
      <c r="X71" s="734">
        <f t="shared" si="33"/>
        <v>1325.8737424011872</v>
      </c>
      <c r="Y71" s="735">
        <f t="shared" si="34"/>
        <v>1.5700421070959705</v>
      </c>
      <c r="Z71" s="340" t="str">
        <f>IMSUM(COMPLEX(1,0),IMDIV(COMPLEX(0,2*PI()*D71),COMPLEX(2*PI()*'Stability Calculations'!EA_Zero1,0)))</f>
        <v>1+13.1274590622903i</v>
      </c>
      <c r="AA71" s="734">
        <f t="shared" si="35"/>
        <v>13.165492069501532</v>
      </c>
      <c r="AB71" s="735">
        <f t="shared" si="36"/>
        <v>1.4947669573143139</v>
      </c>
      <c r="AC71" s="733" t="str">
        <f>IMSUM(COMPLEX(1,0),IMDIV(COMPLEX(0,2*PI()*D71),COMPLEX(2*PI()*'Stability Calculations'!EA_Pole2,0)))</f>
        <v>1+0.132238882930595i</v>
      </c>
      <c r="AD71" s="734">
        <f t="shared" si="37"/>
        <v>1.0087056667624761</v>
      </c>
      <c r="AE71" s="735">
        <f t="shared" si="38"/>
        <v>0.13147604514517863</v>
      </c>
      <c r="AF71" s="732" t="str">
        <f t="shared" si="39"/>
        <v>57.8059621453891-12.1247072246103i</v>
      </c>
      <c r="AG71" s="337">
        <f t="shared" si="40"/>
        <v>59.063844988594127</v>
      </c>
      <c r="AH71" s="730">
        <f t="shared" si="41"/>
        <v>-0.20675119492683566</v>
      </c>
      <c r="AI71" s="731" t="str">
        <f t="shared" si="14"/>
        <v>10000</v>
      </c>
      <c r="AJ71" s="733" t="str">
        <f t="shared" si="42"/>
        <v>1+1236.07891981345i</v>
      </c>
      <c r="AK71" s="734">
        <f t="shared" si="43"/>
        <v>1236.0793243183002</v>
      </c>
      <c r="AL71" s="735">
        <f t="shared" si="44"/>
        <v>1.5699873171387937</v>
      </c>
      <c r="AM71" s="340" t="str">
        <f t="shared" si="45"/>
        <v>1+2.09776795815399i</v>
      </c>
      <c r="AN71" s="734">
        <f t="shared" si="46"/>
        <v>2.3239256455957364</v>
      </c>
      <c r="AO71" s="735">
        <f t="shared" si="47"/>
        <v>1.125964182094644</v>
      </c>
      <c r="AP71" s="733" t="str">
        <f t="shared" si="48"/>
        <v>1+0.101745203785931i</v>
      </c>
      <c r="AQ71" s="734">
        <f t="shared" si="49"/>
        <v>1.0051627164262713</v>
      </c>
      <c r="AR71" s="735">
        <f t="shared" si="50"/>
        <v>0.10139627679214087</v>
      </c>
      <c r="AS71" s="732" t="str">
        <f t="shared" si="51"/>
        <v>62.5504501482848-1116.73472416324i</v>
      </c>
      <c r="AT71" s="337">
        <f t="shared" si="52"/>
        <v>1118.4851375703213</v>
      </c>
      <c r="AU71" s="730">
        <f t="shared" si="53"/>
        <v>-1.5148428780848573</v>
      </c>
      <c r="AV71" s="732" t="str">
        <f t="shared" si="54"/>
        <v>-265.536763863105-1462.17171400179i</v>
      </c>
      <c r="AW71" s="337">
        <f t="shared" si="55"/>
        <v>63.440887302408875</v>
      </c>
      <c r="AX71" s="730">
        <f t="shared" si="56"/>
        <v>-100.29298717953101</v>
      </c>
      <c r="AY71" s="360">
        <f t="shared" si="57"/>
        <v>79.707012820468989</v>
      </c>
      <c r="BB71" s="337">
        <f t="shared" si="58"/>
        <v>20.972604351324723</v>
      </c>
      <c r="BC71" s="730">
        <f t="shared" si="59"/>
        <v>-86.794103539713035</v>
      </c>
      <c r="BD71" s="351"/>
      <c r="BE71" s="337">
        <f t="shared" si="19"/>
        <v>24.360488282992193</v>
      </c>
      <c r="BF71" s="730">
        <f t="shared" si="20"/>
        <v>8.9281193855489516</v>
      </c>
      <c r="BI71" s="351"/>
      <c r="BJ71" s="351"/>
      <c r="BL71" s="405">
        <f t="shared" si="21"/>
        <v>0</v>
      </c>
      <c r="BM71" s="405">
        <f t="shared" si="22"/>
        <v>0</v>
      </c>
      <c r="BN71" s="405">
        <f t="shared" si="23"/>
        <v>0</v>
      </c>
      <c r="BO71" s="405">
        <f t="shared" si="24"/>
        <v>0</v>
      </c>
    </row>
    <row r="72" spans="4:67" ht="13.5" thickBot="1" x14ac:dyDescent="0.25">
      <c r="D72" s="345">
        <v>229.09</v>
      </c>
      <c r="E72" s="340" t="str">
        <f t="shared" si="0"/>
        <v>0.00380005539413748i</v>
      </c>
      <c r="F72" s="728" t="str">
        <f t="shared" si="25"/>
        <v>0.005-11.3889625375878i</v>
      </c>
      <c r="G72" s="337" t="str">
        <f t="shared" si="26"/>
        <v>0.005-17.8135055075091i</v>
      </c>
      <c r="H72" s="338" t="str">
        <f t="shared" si="27"/>
        <v>1.21099436510483-0.0827096112786632i</v>
      </c>
      <c r="I72" s="338" t="str">
        <f t="shared" si="28"/>
        <v>1.22099436510483-0.0827096112786632i</v>
      </c>
      <c r="J72" s="337" t="str">
        <f t="shared" si="29"/>
        <v>1.18991781784215-0.208749361127319i</v>
      </c>
      <c r="K72" s="338" t="str">
        <f t="shared" si="1"/>
        <v>0.999999416864132-0.00119951243501814i</v>
      </c>
      <c r="L72" s="732"/>
      <c r="M72" s="732" t="str">
        <f t="shared" si="2"/>
        <v>16.3236267681979+2.81155212824416i</v>
      </c>
      <c r="N72" s="337">
        <f t="shared" si="3"/>
        <v>0</v>
      </c>
      <c r="O72" s="730" t="str">
        <f t="shared" si="4"/>
        <v>16.3174088362639+1.05453054720651i</v>
      </c>
      <c r="P72" s="731" t="str">
        <f t="shared" si="5"/>
        <v>20.0106840538308-0.0620306859523693i</v>
      </c>
      <c r="Q72" s="729" t="str">
        <f t="shared" si="6"/>
        <v>19.8475099654682-0.0725759914244375i</v>
      </c>
      <c r="R72" s="730"/>
      <c r="S72" s="405" t="str">
        <f t="shared" si="30"/>
        <v>22.7150384455961+1.69384691055984i</v>
      </c>
      <c r="T72" s="405" t="str">
        <f t="shared" si="31"/>
        <v>22.4746098581151-0.710359460872563i</v>
      </c>
      <c r="U72" s="405" t="str">
        <f t="shared" si="32"/>
        <v>27.1578723412299-2.71910754931991i</v>
      </c>
      <c r="V72" s="731" t="str">
        <f t="shared" si="7"/>
        <v>6000</v>
      </c>
      <c r="W72" s="733" t="str">
        <f>IMSUM(COMPLEX(1,0),IMDIV(COMPLEX(0,2*PI()*D72),COMPLEX(2*PI()*'Stability Calculations'!EA_Pole1,0)))</f>
        <v>1+1453.80907124199i</v>
      </c>
      <c r="X72" s="734">
        <f t="shared" si="33"/>
        <v>1453.8094151660655</v>
      </c>
      <c r="Y72" s="735">
        <f t="shared" si="34"/>
        <v>1.5701084786709101</v>
      </c>
      <c r="Z72" s="340" t="str">
        <f>IMSUM(COMPLEX(1,0),IMDIV(COMPLEX(0,2*PI()*D72),COMPLEX(2*PI()*'Stability Calculations'!EA_Zero1,0)))</f>
        <v>1+14.3941492202177i</v>
      </c>
      <c r="AA72" s="734">
        <f t="shared" si="35"/>
        <v>14.42884374348457</v>
      </c>
      <c r="AB72" s="735">
        <f t="shared" si="36"/>
        <v>1.5014351015990819</v>
      </c>
      <c r="AC72" s="733" t="str">
        <f>IMSUM(COMPLEX(1,0),IMDIV(COMPLEX(0,2*PI()*D72),COMPLEX(2*PI()*'Stability Calculations'!EA_Pole2,0)))</f>
        <v>1+0.144998830663716i</v>
      </c>
      <c r="AD72" s="734">
        <f t="shared" si="37"/>
        <v>1.0104576492331803</v>
      </c>
      <c r="AE72" s="735">
        <f t="shared" si="38"/>
        <v>0.14399527645145152</v>
      </c>
      <c r="AF72" s="732" t="str">
        <f t="shared" si="39"/>
        <v>57.6051251993572-12.4389009843802i</v>
      </c>
      <c r="AG72" s="337">
        <f t="shared" si="40"/>
        <v>58.932815196058911</v>
      </c>
      <c r="AH72" s="730">
        <f t="shared" si="41"/>
        <v>-0.21266865352328074</v>
      </c>
      <c r="AI72" s="731" t="str">
        <f t="shared" si="14"/>
        <v>10000</v>
      </c>
      <c r="AJ72" s="733" t="str">
        <f t="shared" si="42"/>
        <v>1+1355.35021174586i</v>
      </c>
      <c r="AK72" s="734">
        <f t="shared" si="43"/>
        <v>1355.3505806541523</v>
      </c>
      <c r="AL72" s="735">
        <f t="shared" si="44"/>
        <v>1.5700585102439595</v>
      </c>
      <c r="AM72" s="340" t="str">
        <f t="shared" si="45"/>
        <v>1+2.30018504539079i</v>
      </c>
      <c r="AN72" s="734">
        <f t="shared" si="46"/>
        <v>2.5081569414690605</v>
      </c>
      <c r="AO72" s="735">
        <f t="shared" si="47"/>
        <v>1.1606984032439838</v>
      </c>
      <c r="AP72" s="733" t="str">
        <f t="shared" si="48"/>
        <v>1+0.111562766167228i</v>
      </c>
      <c r="AQ72" s="734">
        <f t="shared" si="49"/>
        <v>1.0062038813256902</v>
      </c>
      <c r="AR72" s="735">
        <f t="shared" si="50"/>
        <v>0.11110334609666635</v>
      </c>
      <c r="AS72" s="732" t="str">
        <f t="shared" si="51"/>
        <v>52.0533135951417-1018.99790208155i</v>
      </c>
      <c r="AT72" s="337">
        <f t="shared" si="52"/>
        <v>1020.3265516014147</v>
      </c>
      <c r="AU72" s="730">
        <f t="shared" si="53"/>
        <v>-1.5197578435154426</v>
      </c>
      <c r="AV72" s="732" t="str">
        <f t="shared" si="54"/>
        <v>-259.637220143709-1326.92647713096i</v>
      </c>
      <c r="AW72" s="337">
        <f t="shared" si="55"/>
        <v>62.620107249402686</v>
      </c>
      <c r="AX72" s="730">
        <f t="shared" si="56"/>
        <v>-101.07108299099778</v>
      </c>
      <c r="AY72" s="360">
        <f t="shared" si="57"/>
        <v>78.92891700900222</v>
      </c>
      <c r="BB72" s="337">
        <f t="shared" si="58"/>
        <v>20.174783765860404</v>
      </c>
      <c r="BC72" s="730">
        <f t="shared" si="59"/>
        <v>-87.07571031533827</v>
      </c>
      <c r="BD72" s="351"/>
      <c r="BE72" s="337">
        <f t="shared" si="19"/>
        <v>24.383296842428983</v>
      </c>
      <c r="BF72" s="730">
        <f t="shared" si="20"/>
        <v>9.7726365615374959</v>
      </c>
      <c r="BI72" s="351"/>
      <c r="BJ72" s="351"/>
      <c r="BL72" s="405">
        <f t="shared" si="21"/>
        <v>0</v>
      </c>
      <c r="BM72" s="405">
        <f t="shared" si="22"/>
        <v>0</v>
      </c>
      <c r="BN72" s="405">
        <f t="shared" si="23"/>
        <v>0</v>
      </c>
      <c r="BO72" s="405">
        <f t="shared" si="24"/>
        <v>0</v>
      </c>
    </row>
    <row r="73" spans="4:67" ht="13.5" thickBot="1" x14ac:dyDescent="0.25">
      <c r="D73" s="345">
        <v>251.19</v>
      </c>
      <c r="E73" s="340" t="str">
        <f t="shared" si="0"/>
        <v>0.00416664155769956i</v>
      </c>
      <c r="F73" s="728" t="str">
        <f t="shared" si="25"/>
        <v>0.005-10.3869478392292i</v>
      </c>
      <c r="G73" s="337" t="str">
        <f t="shared" si="26"/>
        <v>0.005-16.246251748538i</v>
      </c>
      <c r="H73" s="338" t="str">
        <f t="shared" si="27"/>
        <v>1.20985362950784-0.0906027150240699i</v>
      </c>
      <c r="I73" s="338" t="str">
        <f t="shared" si="28"/>
        <v>1.21985362950784-0.0906027150240699i</v>
      </c>
      <c r="J73" s="337" t="str">
        <f t="shared" si="29"/>
        <v>1.18275257264207-0.227504050299501i</v>
      </c>
      <c r="K73" s="338" t="str">
        <f t="shared" si="1"/>
        <v>0.99999929892871-0.00131522776442537i</v>
      </c>
      <c r="L73" s="732"/>
      <c r="M73" s="732" t="str">
        <f t="shared" si="2"/>
        <v>16.3275296800371+3.0831031394407i</v>
      </c>
      <c r="N73" s="337">
        <f t="shared" si="3"/>
        <v>0</v>
      </c>
      <c r="O73" s="730" t="str">
        <f t="shared" si="4"/>
        <v>16.3200525464313+1.15637652929874i</v>
      </c>
      <c r="P73" s="731" t="str">
        <f t="shared" si="5"/>
        <v>20.0128461856675-0.0680309636994229i</v>
      </c>
      <c r="Q73" s="729" t="str">
        <f t="shared" si="6"/>
        <v>19.8496456602032-0.0795947289924098i</v>
      </c>
      <c r="R73" s="730"/>
      <c r="S73" s="405" t="str">
        <f t="shared" si="30"/>
        <v>22.7494883071274+1.85351171602458i</v>
      </c>
      <c r="T73" s="405" t="str">
        <f t="shared" si="31"/>
        <v>22.4610003277464-0.777410786648717i</v>
      </c>
      <c r="U73" s="405" t="str">
        <f t="shared" si="32"/>
        <v>27.1040872409414-2.97558087369585i</v>
      </c>
      <c r="V73" s="731" t="str">
        <f t="shared" si="7"/>
        <v>6000</v>
      </c>
      <c r="W73" s="733" t="str">
        <f>IMSUM(COMPLEX(1,0),IMDIV(COMPLEX(0,2*PI()*D73),COMPLEX(2*PI()*'Stability Calculations'!EA_Pole1,0)))</f>
        <v>1+1594.05605048354i</v>
      </c>
      <c r="X73" s="734">
        <f t="shared" si="33"/>
        <v>1594.0563641487656</v>
      </c>
      <c r="Y73" s="735">
        <f t="shared" si="34"/>
        <v>1.5701689963641281</v>
      </c>
      <c r="Z73" s="340" t="str">
        <f>IMSUM(COMPLEX(1,0),IMDIV(COMPLEX(0,2*PI()*D73),COMPLEX(2*PI()*'Stability Calculations'!EA_Zero1,0)))</f>
        <v>1+15.7827331731044i</v>
      </c>
      <c r="AA73" s="734">
        <f t="shared" si="35"/>
        <v>15.814381632343711</v>
      </c>
      <c r="AB73" s="735">
        <f t="shared" si="36"/>
        <v>1.507520528882869</v>
      </c>
      <c r="AC73" s="733" t="str">
        <f>IMSUM(COMPLEX(1,0),IMDIV(COMPLEX(0,2*PI()*D73),COMPLEX(2*PI()*'Stability Calculations'!EA_Pole2,0)))</f>
        <v>1+0.158986670192583i</v>
      </c>
      <c r="AD73" s="734">
        <f t="shared" si="37"/>
        <v>1.0125595100036962</v>
      </c>
      <c r="AE73" s="735">
        <f t="shared" si="38"/>
        <v>0.15766707020524637</v>
      </c>
      <c r="AF73" s="732" t="str">
        <f t="shared" si="39"/>
        <v>57.3657599336053-12.8471056074688i</v>
      </c>
      <c r="AG73" s="337">
        <f t="shared" si="40"/>
        <v>58.786720739036731</v>
      </c>
      <c r="AH73" s="730">
        <f t="shared" si="41"/>
        <v>-0.220315537686505</v>
      </c>
      <c r="AI73" s="731" t="str">
        <f t="shared" si="14"/>
        <v>10000</v>
      </c>
      <c r="AJ73" s="733" t="str">
        <f t="shared" si="42"/>
        <v>1+1486.09899903288i</v>
      </c>
      <c r="AK73" s="734">
        <f t="shared" si="43"/>
        <v>1486.0993354841823</v>
      </c>
      <c r="AL73" s="735">
        <f t="shared" si="44"/>
        <v>1.5701234242159177</v>
      </c>
      <c r="AM73" s="340" t="str">
        <f t="shared" si="45"/>
        <v>1+2.52208076106208i</v>
      </c>
      <c r="AN73" s="734">
        <f t="shared" si="46"/>
        <v>2.7130962690843612</v>
      </c>
      <c r="AO73" s="735">
        <f t="shared" si="47"/>
        <v>1.1933125483885276</v>
      </c>
      <c r="AP73" s="733" t="str">
        <f t="shared" si="48"/>
        <v>1+0.122325074134821i</v>
      </c>
      <c r="AQ73" s="734">
        <f t="shared" si="49"/>
        <v>1.0074539313348723</v>
      </c>
      <c r="AR73" s="735">
        <f t="shared" si="50"/>
        <v>0.12172036010245317</v>
      </c>
      <c r="AS73" s="732" t="str">
        <f t="shared" si="51"/>
        <v>43.3157800828738-929.752302956701i</v>
      </c>
      <c r="AT73" s="337">
        <f t="shared" si="52"/>
        <v>930.76076499682608</v>
      </c>
      <c r="AU73" s="730">
        <f t="shared" si="53"/>
        <v>-1.5242414735566696</v>
      </c>
      <c r="AV73" s="732" t="str">
        <f t="shared" si="54"/>
        <v>-254.372753925991-1203.12374599123i</v>
      </c>
      <c r="AW73" s="337">
        <f t="shared" si="55"/>
        <v>61.796127507183542</v>
      </c>
      <c r="AX73" s="730">
        <f t="shared" si="56"/>
        <v>-101.93806019372181</v>
      </c>
      <c r="AY73" s="360">
        <f t="shared" si="57"/>
        <v>78.06193980627819</v>
      </c>
      <c r="BB73" s="337">
        <f t="shared" si="58"/>
        <v>19.376761357688974</v>
      </c>
      <c r="BC73" s="730">
        <f t="shared" si="59"/>
        <v>-87.332603393598646</v>
      </c>
      <c r="BD73" s="351"/>
      <c r="BE73" s="337">
        <f t="shared" si="19"/>
        <v>24.410565761849846</v>
      </c>
      <c r="BF73" s="730">
        <f t="shared" si="20"/>
        <v>10.693170549986469</v>
      </c>
      <c r="BI73" s="351"/>
      <c r="BJ73" s="351"/>
      <c r="BL73" s="405">
        <f t="shared" si="21"/>
        <v>0</v>
      </c>
      <c r="BM73" s="405">
        <f t="shared" si="22"/>
        <v>0</v>
      </c>
      <c r="BN73" s="405">
        <f t="shared" si="23"/>
        <v>0</v>
      </c>
      <c r="BO73" s="405">
        <f t="shared" si="24"/>
        <v>0</v>
      </c>
    </row>
    <row r="74" spans="4:67" ht="13.5" thickBot="1" x14ac:dyDescent="0.25">
      <c r="D74" s="345">
        <v>275.42</v>
      </c>
      <c r="E74" s="340" t="str">
        <f t="shared" si="0"/>
        <v>0.00456855932888098i</v>
      </c>
      <c r="F74" s="728" t="str">
        <f t="shared" si="25"/>
        <v>0.005-9.47315891270052i</v>
      </c>
      <c r="G74" s="337" t="str">
        <f t="shared" si="26"/>
        <v>0.005-14.816992145506i</v>
      </c>
      <c r="H74" s="338" t="str">
        <f t="shared" si="27"/>
        <v>1.20848515658309-0.0992294984830383i</v>
      </c>
      <c r="I74" s="338" t="str">
        <f t="shared" si="28"/>
        <v>1.21848515658309-0.0992294984830383i</v>
      </c>
      <c r="J74" s="337" t="str">
        <f t="shared" si="29"/>
        <v>1.17425272372758-0.247650331129776i</v>
      </c>
      <c r="K74" s="338" t="str">
        <f t="shared" si="1"/>
        <v>0.999999157153596-0.00144209574775283i</v>
      </c>
      <c r="L74" s="732"/>
      <c r="M74" s="732" t="str">
        <f t="shared" si="2"/>
        <v>16.3322232599126+3.3809295795071i</v>
      </c>
      <c r="N74" s="337">
        <f t="shared" si="3"/>
        <v>0</v>
      </c>
      <c r="O74" s="730" t="str">
        <f t="shared" si="4"/>
        <v>16.3232316446172+1.26807565150428i</v>
      </c>
      <c r="P74" s="731" t="str">
        <f t="shared" si="5"/>
        <v>20.0154459773707-0.0746147309354409i</v>
      </c>
      <c r="Q74" s="729" t="str">
        <f t="shared" si="6"/>
        <v>19.8522136609245-0.0872954874504841i</v>
      </c>
      <c r="R74" s="730"/>
      <c r="S74" s="405" t="str">
        <f t="shared" si="30"/>
        <v>22.7907238338532+2.02739675583685i</v>
      </c>
      <c r="T74" s="405" t="str">
        <f t="shared" si="31"/>
        <v>22.4447100625607-0.850463227081087i</v>
      </c>
      <c r="U74" s="405" t="str">
        <f t="shared" si="32"/>
        <v>27.039707914914-3.25494950925235i</v>
      </c>
      <c r="V74" s="731" t="str">
        <f t="shared" si="7"/>
        <v>6000</v>
      </c>
      <c r="W74" s="733" t="str">
        <f>IMSUM(COMPLEX(1,0),IMDIV(COMPLEX(0,2*PI()*D74),COMPLEX(2*PI()*'Stability Calculations'!EA_Pole1,0)))</f>
        <v>1+1747.82004627643i</v>
      </c>
      <c r="X74" s="734">
        <f t="shared" si="33"/>
        <v>1747.8203323470473</v>
      </c>
      <c r="Y74" s="735">
        <f t="shared" si="34"/>
        <v>1.5702241855764598</v>
      </c>
      <c r="Z74" s="340" t="str">
        <f>IMSUM(COMPLEX(1,0),IMDIV(COMPLEX(0,2*PI()*D74),COMPLEX(2*PI()*'Stability Calculations'!EA_Zero1,0)))</f>
        <v>1+17.305148973034i</v>
      </c>
      <c r="AA74" s="734">
        <f t="shared" si="35"/>
        <v>17.33401802753475</v>
      </c>
      <c r="AB74" s="735">
        <f t="shared" si="36"/>
        <v>1.5130742498532908</v>
      </c>
      <c r="AC74" s="733" t="str">
        <f>IMSUM(COMPLEX(1,0),IMDIV(COMPLEX(0,2*PI()*D74),COMPLEX(2*PI()*'Stability Calculations'!EA_Pole2,0)))</f>
        <v>1+0.174322658961109i</v>
      </c>
      <c r="AD74" s="734">
        <f t="shared" si="37"/>
        <v>1.0150804842116072</v>
      </c>
      <c r="AE74" s="735">
        <f t="shared" si="38"/>
        <v>0.17258837708626851</v>
      </c>
      <c r="AF74" s="732" t="str">
        <f t="shared" si="39"/>
        <v>57.0807938673665-13.3493337442229i</v>
      </c>
      <c r="AG74" s="337">
        <f t="shared" si="40"/>
        <v>58.621000843924804</v>
      </c>
      <c r="AH74" s="730">
        <f t="shared" si="41"/>
        <v>-0.22973831280943841</v>
      </c>
      <c r="AI74" s="731" t="str">
        <f t="shared" si="14"/>
        <v>10000</v>
      </c>
      <c r="AJ74" s="733" t="str">
        <f t="shared" si="42"/>
        <v>1+1629.44936627109i</v>
      </c>
      <c r="AK74" s="734">
        <f t="shared" si="43"/>
        <v>1629.4496731231859</v>
      </c>
      <c r="AL74" s="735">
        <f t="shared" si="44"/>
        <v>1.5701826226227049</v>
      </c>
      <c r="AM74" s="340" t="str">
        <f t="shared" si="45"/>
        <v>1+2.76536280589083i</v>
      </c>
      <c r="AN74" s="734">
        <f t="shared" si="46"/>
        <v>2.94061752837808</v>
      </c>
      <c r="AO74" s="735">
        <f t="shared" si="47"/>
        <v>1.2238107084510947</v>
      </c>
      <c r="AP74" s="733" t="str">
        <f t="shared" si="48"/>
        <v>1+0.134124654318294i</v>
      </c>
      <c r="AQ74" s="734">
        <f t="shared" si="49"/>
        <v>1.0089546188486387</v>
      </c>
      <c r="AR74" s="735">
        <f t="shared" si="50"/>
        <v>0.13332895033217909</v>
      </c>
      <c r="AS74" s="732" t="str">
        <f t="shared" si="51"/>
        <v>36.042767426235-848.266625207522i</v>
      </c>
      <c r="AT74" s="337">
        <f t="shared" si="52"/>
        <v>849.03200677283087</v>
      </c>
      <c r="AU74" s="730">
        <f t="shared" si="53"/>
        <v>-1.5283319654952372</v>
      </c>
      <c r="AV74" s="732" t="str">
        <f t="shared" si="54"/>
        <v>-249.571059875188-1089.68528760721i</v>
      </c>
      <c r="AW74" s="337">
        <f t="shared" si="55"/>
        <v>60.968056794520741</v>
      </c>
      <c r="AX74" s="730">
        <f t="shared" si="56"/>
        <v>-102.89999064558739</v>
      </c>
      <c r="AY74" s="360">
        <f t="shared" si="57"/>
        <v>77.100009354412606</v>
      </c>
      <c r="BB74" s="337">
        <f t="shared" si="58"/>
        <v>18.578481251352862</v>
      </c>
      <c r="BC74" s="730">
        <f t="shared" si="59"/>
        <v>-87.566971317810854</v>
      </c>
      <c r="BD74" s="351"/>
      <c r="BE74" s="337">
        <f t="shared" si="19"/>
        <v>24.443137274986864</v>
      </c>
      <c r="BF74" s="730">
        <f t="shared" si="20"/>
        <v>11.695589006339542</v>
      </c>
      <c r="BI74" s="351"/>
      <c r="BJ74" s="351"/>
      <c r="BL74" s="405">
        <f t="shared" si="21"/>
        <v>0</v>
      </c>
      <c r="BM74" s="405">
        <f t="shared" si="22"/>
        <v>0</v>
      </c>
      <c r="BN74" s="405">
        <f t="shared" si="23"/>
        <v>0</v>
      </c>
      <c r="BO74" s="405">
        <f t="shared" si="24"/>
        <v>0</v>
      </c>
    </row>
    <row r="75" spans="4:67" ht="13.5" thickBot="1" x14ac:dyDescent="0.25">
      <c r="D75" s="345">
        <v>302</v>
      </c>
      <c r="E75" s="340" t="str">
        <f t="shared" si="0"/>
        <v>0.00500945798170814i</v>
      </c>
      <c r="F75" s="728" t="str">
        <f t="shared" si="25"/>
        <v>0.005-8.63939545607946i</v>
      </c>
      <c r="G75" s="337" t="str">
        <f t="shared" si="26"/>
        <v>0.005-13.5129005851499i</v>
      </c>
      <c r="H75" s="338" t="str">
        <f t="shared" si="27"/>
        <v>1.2068432288381-0.108657412372598i</v>
      </c>
      <c r="I75" s="338" t="str">
        <f t="shared" si="28"/>
        <v>1.2168432288381-0.108657412372598i</v>
      </c>
      <c r="J75" s="337" t="str">
        <f t="shared" si="29"/>
        <v>1.16418987105035-0.269215068200484i</v>
      </c>
      <c r="K75" s="338" t="str">
        <f t="shared" si="1"/>
        <v>0.999998986622222-0.00158126830230686i</v>
      </c>
      <c r="L75" s="732"/>
      <c r="M75" s="732" t="str">
        <f t="shared" si="2"/>
        <v>16.3378713367962+3.70777772041568i</v>
      </c>
      <c r="N75" s="337">
        <f t="shared" si="3"/>
        <v>0</v>
      </c>
      <c r="O75" s="730" t="str">
        <f t="shared" si="4"/>
        <v>16.3270569826326+1.39065727064643i</v>
      </c>
      <c r="P75" s="731" t="str">
        <f t="shared" si="5"/>
        <v>20.0185739566959-0.0818438799722318i</v>
      </c>
      <c r="Q75" s="729" t="str">
        <f t="shared" si="6"/>
        <v>19.8553033868696-0.0957504526786907i</v>
      </c>
      <c r="R75" s="730"/>
      <c r="S75" s="405" t="str">
        <f t="shared" si="30"/>
        <v>22.8400673936084+2.21661747042427i</v>
      </c>
      <c r="T75" s="405" t="str">
        <f t="shared" si="31"/>
        <v>22.4252166340707-0.929997107137835i</v>
      </c>
      <c r="U75" s="405" t="str">
        <f t="shared" si="32"/>
        <v>26.9626697708802-3.55902672294138i</v>
      </c>
      <c r="V75" s="731" t="str">
        <f t="shared" si="7"/>
        <v>6000</v>
      </c>
      <c r="W75" s="733" t="str">
        <f>IMSUM(COMPLEX(1,0),IMDIV(COMPLEX(0,2*PI()*D75),COMPLEX(2*PI()*'Stability Calculations'!EA_Pole1,0)))</f>
        <v>1+1916.49718239591i</v>
      </c>
      <c r="X75" s="734">
        <f t="shared" si="33"/>
        <v>1916.4974432885274</v>
      </c>
      <c r="Y75" s="735">
        <f t="shared" si="34"/>
        <v>1.5702745415721306</v>
      </c>
      <c r="Z75" s="340" t="str">
        <f>IMSUM(COMPLEX(1,0),IMDIV(COMPLEX(0,2*PI()*D75),COMPLEX(2*PI()*'Stability Calculations'!EA_Zero1,0)))</f>
        <v>1+18.9752196276823i</v>
      </c>
      <c r="AA75" s="734">
        <f t="shared" si="35"/>
        <v>19.001551513462779</v>
      </c>
      <c r="AB75" s="735">
        <f t="shared" si="36"/>
        <v>1.5181447219677096</v>
      </c>
      <c r="AC75" s="733" t="str">
        <f>IMSUM(COMPLEX(1,0),IMDIV(COMPLEX(0,2*PI()*D75),COMPLEX(2*PI()*'Stability Calculations'!EA_Pole2,0)))</f>
        <v>1+0.191146042430669i</v>
      </c>
      <c r="AD75" s="734">
        <f t="shared" si="37"/>
        <v>1.0181045179827595</v>
      </c>
      <c r="AE75" s="735">
        <f t="shared" si="38"/>
        <v>0.18886782544466565</v>
      </c>
      <c r="AF75" s="732" t="str">
        <f t="shared" si="39"/>
        <v>56.7418922747374-13.9457017803741i</v>
      </c>
      <c r="AG75" s="337">
        <f t="shared" si="40"/>
        <v>58.430513749795431</v>
      </c>
      <c r="AH75" s="730">
        <f t="shared" si="41"/>
        <v>-0.2409976450490868</v>
      </c>
      <c r="AI75" s="731" t="str">
        <f t="shared" si="14"/>
        <v>10000</v>
      </c>
      <c r="AJ75" s="733" t="str">
        <f t="shared" si="42"/>
        <v>1+1786.70288509865i</v>
      </c>
      <c r="AK75" s="734">
        <f t="shared" si="43"/>
        <v>1786.7031649437017</v>
      </c>
      <c r="AL75" s="735">
        <f t="shared" si="44"/>
        <v>1.5702366367065654</v>
      </c>
      <c r="AM75" s="340" t="str">
        <f t="shared" si="45"/>
        <v>1+3.03224009650363i</v>
      </c>
      <c r="AN75" s="734">
        <f t="shared" si="46"/>
        <v>3.1928795785065778</v>
      </c>
      <c r="AO75" s="735">
        <f t="shared" si="47"/>
        <v>1.2522388871925605</v>
      </c>
      <c r="AP75" s="733" t="str">
        <f t="shared" si="48"/>
        <v>1+0.147068642815063i</v>
      </c>
      <c r="AQ75" s="734">
        <f t="shared" si="49"/>
        <v>1.0107567391313621</v>
      </c>
      <c r="AR75" s="735">
        <f t="shared" si="50"/>
        <v>0.14602186912378035</v>
      </c>
      <c r="AS75" s="732" t="str">
        <f t="shared" si="51"/>
        <v>29.986578655144-773.842605575216i</v>
      </c>
      <c r="AT75" s="337">
        <f t="shared" si="52"/>
        <v>774.42338104093972</v>
      </c>
      <c r="AU75" s="730">
        <f t="shared" si="53"/>
        <v>-1.5320654752471536</v>
      </c>
      <c r="AV75" s="732" t="str">
        <f t="shared" si="54"/>
        <v>-245.075991216601-985.599352183885i</v>
      </c>
      <c r="AW75" s="337">
        <f t="shared" si="55"/>
        <v>60.134558957044383</v>
      </c>
      <c r="AX75" s="730">
        <f t="shared" si="56"/>
        <v>-103.9637885163434</v>
      </c>
      <c r="AY75" s="360">
        <f t="shared" si="57"/>
        <v>76.036211483656601</v>
      </c>
      <c r="BB75" s="337">
        <f t="shared" si="58"/>
        <v>17.779569130422384</v>
      </c>
      <c r="BC75" s="730">
        <f t="shared" si="59"/>
        <v>-87.780885669366597</v>
      </c>
      <c r="BD75" s="351"/>
      <c r="BE75" s="337">
        <f t="shared" si="19"/>
        <v>24.482016508488165</v>
      </c>
      <c r="BF75" s="730">
        <f t="shared" si="20"/>
        <v>12.786341342513596</v>
      </c>
      <c r="BI75" s="351"/>
      <c r="BJ75" s="351"/>
      <c r="BL75" s="405">
        <f t="shared" si="21"/>
        <v>0</v>
      </c>
      <c r="BM75" s="405">
        <f t="shared" si="22"/>
        <v>0</v>
      </c>
      <c r="BN75" s="405">
        <f t="shared" si="23"/>
        <v>0</v>
      </c>
      <c r="BO75" s="405">
        <f t="shared" si="24"/>
        <v>0</v>
      </c>
    </row>
    <row r="76" spans="4:67" ht="13.5" thickBot="1" x14ac:dyDescent="0.25">
      <c r="D76" s="345">
        <v>331.13</v>
      </c>
      <c r="E76" s="340" t="str">
        <f t="shared" si="0"/>
        <v>0.00549265503802323i</v>
      </c>
      <c r="F76" s="728" t="str">
        <f t="shared" si="25"/>
        <v>0.005-7.87937495163829i</v>
      </c>
      <c r="G76" s="337" t="str">
        <f t="shared" si="26"/>
        <v>0.005-12.324150565383i</v>
      </c>
      <c r="H76" s="338" t="str">
        <f t="shared" si="27"/>
        <v>1.20487608416681-0.118943176519976i</v>
      </c>
      <c r="I76" s="338" t="str">
        <f t="shared" si="28"/>
        <v>1.21487608416681-0.118943176519976i</v>
      </c>
      <c r="J76" s="337" t="str">
        <f t="shared" si="29"/>
        <v>1.15232421907609-0.292163455358102i</v>
      </c>
      <c r="K76" s="338" t="str">
        <f t="shared" si="1"/>
        <v>0.999998781699146-0.00173379262563865i</v>
      </c>
      <c r="L76" s="732"/>
      <c r="M76" s="732" t="str">
        <f t="shared" si="2"/>
        <v>16.344662093315+4.0661623575079i</v>
      </c>
      <c r="N76" s="337">
        <f t="shared" si="3"/>
        <v>0</v>
      </c>
      <c r="O76" s="730" t="str">
        <f t="shared" si="4"/>
        <v>16.3316558479675+1.5250637146811i</v>
      </c>
      <c r="P76" s="731" t="str">
        <f t="shared" si="5"/>
        <v>20.0223340271584-0.089775590591631i</v>
      </c>
      <c r="Q76" s="729" t="str">
        <f t="shared" si="6"/>
        <v>19.8590174686788-0.105026227738439i</v>
      </c>
      <c r="R76" s="730"/>
      <c r="S76" s="405" t="str">
        <f t="shared" si="30"/>
        <v>22.8989958971871+2.42199599400574i</v>
      </c>
      <c r="T76" s="405" t="str">
        <f t="shared" si="31"/>
        <v>22.4019365500021-1.01637331230018i</v>
      </c>
      <c r="U76" s="405" t="str">
        <f t="shared" si="32"/>
        <v>26.8706669178251-3.88916139003213i</v>
      </c>
      <c r="V76" s="731" t="str">
        <f t="shared" si="7"/>
        <v>6000</v>
      </c>
      <c r="W76" s="733" t="str">
        <f>IMSUM(COMPLEX(1,0),IMDIV(COMPLEX(0,2*PI()*D76),COMPLEX(2*PI()*'Stability Calculations'!EA_Pole1,0)))</f>
        <v>1+2101.35666227404i</v>
      </c>
      <c r="X76" s="734">
        <f t="shared" si="33"/>
        <v>2101.3569002155473</v>
      </c>
      <c r="Y76" s="735">
        <f t="shared" si="34"/>
        <v>1.5703204437891867</v>
      </c>
      <c r="Z76" s="340" t="str">
        <f>IMSUM(COMPLEX(1,0),IMDIV(COMPLEX(0,2*PI()*D76),COMPLEX(2*PI()*'Stability Calculations'!EA_Zero1,0)))</f>
        <v>1+20.8055115076638i</v>
      </c>
      <c r="AA76" s="734">
        <f t="shared" si="35"/>
        <v>20.829529737743261</v>
      </c>
      <c r="AB76" s="735">
        <f t="shared" si="36"/>
        <v>1.5227691004571362</v>
      </c>
      <c r="AC76" s="733" t="str">
        <f>IMSUM(COMPLEX(1,0),IMDIV(COMPLEX(0,2*PI()*D76),COMPLEX(2*PI()*'Stability Calculations'!EA_Pole2,0)))</f>
        <v>1+0.20958340738433i</v>
      </c>
      <c r="AD76" s="734">
        <f t="shared" si="37"/>
        <v>1.0217265801822062</v>
      </c>
      <c r="AE76" s="735">
        <f t="shared" si="38"/>
        <v>0.20659316395212393</v>
      </c>
      <c r="AF76" s="732" t="str">
        <f t="shared" si="39"/>
        <v>56.3400401157399-14.6349649095055i</v>
      </c>
      <c r="AG76" s="337">
        <f t="shared" si="40"/>
        <v>58.209812902513598</v>
      </c>
      <c r="AH76" s="730">
        <f t="shared" si="41"/>
        <v>-0.25414450728417592</v>
      </c>
      <c r="AI76" s="731" t="str">
        <f t="shared" si="14"/>
        <v>10000</v>
      </c>
      <c r="AJ76" s="733" t="str">
        <f t="shared" si="42"/>
        <v>1+1959.04280245933i</v>
      </c>
      <c r="AK76" s="734">
        <f t="shared" si="43"/>
        <v>1959.0430576859983</v>
      </c>
      <c r="AL76" s="735">
        <f t="shared" si="44"/>
        <v>1.5702858734694816</v>
      </c>
      <c r="AM76" s="340" t="str">
        <f t="shared" si="45"/>
        <v>1+3.32472073892467i</v>
      </c>
      <c r="AN76" s="734">
        <f t="shared" si="46"/>
        <v>3.4718536823771537</v>
      </c>
      <c r="AO76" s="735">
        <f t="shared" si="47"/>
        <v>1.278626711089939</v>
      </c>
      <c r="AP76" s="733" t="str">
        <f t="shared" si="48"/>
        <v>1+0.161254436077325i</v>
      </c>
      <c r="AQ76" s="734">
        <f t="shared" si="49"/>
        <v>1.0129180584601185</v>
      </c>
      <c r="AR76" s="735">
        <f t="shared" si="50"/>
        <v>0.15987814635879549</v>
      </c>
      <c r="AS76" s="732" t="str">
        <f t="shared" si="51"/>
        <v>24.9490081535877-705.944551692203i</v>
      </c>
      <c r="AT76" s="337">
        <f t="shared" si="52"/>
        <v>706.38527948404567</v>
      </c>
      <c r="AU76" s="730">
        <f t="shared" si="53"/>
        <v>-1.5354697155238144</v>
      </c>
      <c r="AV76" s="732" t="str">
        <f t="shared" si="54"/>
        <v>-240.751492688096-890.098555847347i</v>
      </c>
      <c r="AW76" s="337">
        <f t="shared" si="55"/>
        <v>59.295398575145882</v>
      </c>
      <c r="AX76" s="730">
        <f t="shared" si="56"/>
        <v>-105.13506349163366</v>
      </c>
      <c r="AY76" s="360">
        <f t="shared" si="57"/>
        <v>74.864936508366341</v>
      </c>
      <c r="BB76" s="337">
        <f t="shared" si="58"/>
        <v>16.980832806139333</v>
      </c>
      <c r="BC76" s="730">
        <f t="shared" si="59"/>
        <v>-87.975934269667704</v>
      </c>
      <c r="BD76" s="351"/>
      <c r="BE76" s="337">
        <f t="shared" si="19"/>
        <v>24.528312523416194</v>
      </c>
      <c r="BF76" s="730">
        <f t="shared" si="20"/>
        <v>13.97022865937717</v>
      </c>
      <c r="BI76" s="351"/>
      <c r="BJ76" s="351"/>
      <c r="BL76" s="405">
        <f t="shared" si="21"/>
        <v>0</v>
      </c>
      <c r="BM76" s="405">
        <f t="shared" si="22"/>
        <v>0</v>
      </c>
      <c r="BN76" s="405">
        <f t="shared" si="23"/>
        <v>0</v>
      </c>
      <c r="BO76" s="405">
        <f t="shared" si="24"/>
        <v>0</v>
      </c>
    </row>
    <row r="77" spans="4:67" ht="13.5" thickBot="1" x14ac:dyDescent="0.25">
      <c r="D77" s="345">
        <v>363.08</v>
      </c>
      <c r="E77" s="340" t="str">
        <f t="shared" ref="E77:E140" si="60">COMPLEX(0,2*PI()*D77*L)</f>
        <v>0.00602262915231322i</v>
      </c>
      <c r="F77" s="728" t="str">
        <f t="shared" si="25"/>
        <v>0.005-7.18601252543787i</v>
      </c>
      <c r="G77" s="337" t="str">
        <f t="shared" si="26"/>
        <v>0.005-11.2396606167105i</v>
      </c>
      <c r="H77" s="338" t="str">
        <f t="shared" si="27"/>
        <v>1.20251886902363-0.130163528497955i</v>
      </c>
      <c r="I77" s="338" t="str">
        <f t="shared" si="28"/>
        <v>1.21251886902363-0.130163528497955i</v>
      </c>
      <c r="J77" s="337" t="str">
        <f t="shared" si="29"/>
        <v>1.13837193792721-0.316460873702487i</v>
      </c>
      <c r="K77" s="338" t="str">
        <f t="shared" ref="K77:K140" si="61">IMSUM(COMPLEX(1,0),COMPLEX(0,2*PI()*D77/(Fsw*PI()*(-2)/PI())),IMPRODUCT(COMPLEX(0,2*PI()*D77/(Fsw*PI())),COMPLEX(0,2*PI()*D77/(Fsw*PI()))))</f>
        <v>0.999998535254596-0.0019010824344423i</v>
      </c>
      <c r="L77" s="732"/>
      <c r="M77" s="732" t="str">
        <f t="shared" ref="M77:M140" si="62">IF(Vin&gt;=Vout,IMDIV(COMPLEX(Vin,0),IMSUM(E77,J77)),IMDIV(IMSUM(COMPLEX(Vout,0),IMPRODUCT(J77,COMPLEX($B$4,0))),IMSUM(E77,IMPRODUCT(J77,COMPLEX((1-$B$11)^2,0)))))</f>
        <v>16.3528340158889+4.45947841489881i</v>
      </c>
      <c r="N77" s="337">
        <f t="shared" ref="N77:N140" si="63">IF(Vin&gt;=Vout,0,IMSUB(IMPRODUCT(M77,COMPLEX(1-$B$11,0)),COMPLEX($B$4/(1-$B$11),0)))</f>
        <v>0</v>
      </c>
      <c r="O77" s="730" t="str">
        <f t="shared" ref="O77:O140" si="64">IMDIV(IF(Vin&gt;=Vout,M77,N77),IMPRODUCT(I77,IMSUM(IMDIV(COMPLEX(1,0),F77),IMDIV(COMPLEX(1,0),I77))))</f>
        <v>16.3371895105382+1.67256710751021i</v>
      </c>
      <c r="P77" s="731" t="str">
        <f t="shared" ref="P77:P140" si="65">IF(Vin&gt;=Vout,IMDIV(IMPRODUCT(COMPLEX(Vin,0),J77),IMSUM(J77,E77)),IMPRODUCT(N77,J77))</f>
        <v>20.0268577847057-0.0984870548670283i</v>
      </c>
      <c r="Q77" s="729" t="str">
        <f t="shared" ref="Q77:Q140" si="66">IF(Vin&gt;=Vout,IMDIV(IMPRODUCT(P77,H77),IMSUM(COMPLEX($B$15,0),H77)),IMPRODUCT(O77,H77))</f>
        <v>19.8634858896003-0.115212725942132i</v>
      </c>
      <c r="R77" s="730"/>
      <c r="S77" s="405" t="str">
        <f t="shared" si="30"/>
        <v>22.9693402088852+2.64465541890452i</v>
      </c>
      <c r="T77" s="405" t="str">
        <f t="shared" si="31"/>
        <v>22.3741464710881-1.1100842544268i</v>
      </c>
      <c r="U77" s="405" t="str">
        <f t="shared" si="32"/>
        <v>26.7608408262957-4.24719511396117i</v>
      </c>
      <c r="V77" s="731" t="str">
        <f t="shared" ref="V77:V140" si="67">COMPLEX(AEA,0)</f>
        <v>6000</v>
      </c>
      <c r="W77" s="733" t="str">
        <f>IMSUM(COMPLEX(1,0),IMDIV(COMPLEX(0,2*PI()*D77),COMPLEX(2*PI()*'Stability Calculations'!EA_Pole1,0)))</f>
        <v>1+2304.11191054407i</v>
      </c>
      <c r="X77" s="734">
        <f t="shared" si="33"/>
        <v>2304.1121275474084</v>
      </c>
      <c r="Y77" s="735">
        <f t="shared" si="34"/>
        <v>1.5703623201250658</v>
      </c>
      <c r="Z77" s="340" t="str">
        <f>IMSUM(COMPLEX(1,0),IMDIV(COMPLEX(0,2*PI()*D77),COMPLEX(2*PI()*'Stability Calculations'!EA_Zero1,0)))</f>
        <v>1+22.8129892133076i</v>
      </c>
      <c r="AA77" s="734">
        <f t="shared" si="35"/>
        <v>22.834896033187647</v>
      </c>
      <c r="AB77" s="735">
        <f t="shared" si="36"/>
        <v>1.526989693867133</v>
      </c>
      <c r="AC77" s="733" t="str">
        <f>IMSUM(COMPLEX(1,0),IMDIV(COMPLEX(0,2*PI()*D77),COMPLEX(2*PI()*'Stability Calculations'!EA_Pole2,0)))</f>
        <v>1+0.22980564597923i</v>
      </c>
      <c r="AD77" s="734">
        <f t="shared" si="37"/>
        <v>1.0260656094636109</v>
      </c>
      <c r="AE77" s="735">
        <f t="shared" si="38"/>
        <v>0.22588379090934113</v>
      </c>
      <c r="AF77" s="732" t="str">
        <f t="shared" si="39"/>
        <v>55.8643307550038-15.416195737127i</v>
      </c>
      <c r="AG77" s="337">
        <f t="shared" si="40"/>
        <v>57.952416185262507</v>
      </c>
      <c r="AH77" s="730">
        <f t="shared" si="41"/>
        <v>-0.26925641716727344</v>
      </c>
      <c r="AI77" s="731" t="str">
        <f t="shared" ref="AI77:AI140" si="68">COMPLEX(AIL,0)</f>
        <v>10000</v>
      </c>
      <c r="AJ77" s="733" t="str">
        <f t="shared" si="42"/>
        <v>1+2148.06650172721i</v>
      </c>
      <c r="AK77" s="734">
        <f t="shared" si="43"/>
        <v>2148.0667344946651</v>
      </c>
      <c r="AL77" s="735">
        <f t="shared" si="44"/>
        <v>1.5703307918931815</v>
      </c>
      <c r="AM77" s="340" t="str">
        <f t="shared" si="45"/>
        <v>1+3.64551567628655i</v>
      </c>
      <c r="AN77" s="734">
        <f t="shared" si="46"/>
        <v>3.7801831365756584</v>
      </c>
      <c r="AO77" s="735">
        <f t="shared" si="47"/>
        <v>1.3030720749680693</v>
      </c>
      <c r="AP77" s="733" t="str">
        <f t="shared" si="48"/>
        <v>1+0.17681351931554i</v>
      </c>
      <c r="AQ77" s="734">
        <f t="shared" si="49"/>
        <v>1.0155112114658049</v>
      </c>
      <c r="AR77" s="735">
        <f t="shared" si="50"/>
        <v>0.17500475357981465</v>
      </c>
      <c r="AS77" s="732" t="str">
        <f t="shared" si="51"/>
        <v>20.7556744816567-643.958610168344i</v>
      </c>
      <c r="AT77" s="337">
        <f t="shared" si="52"/>
        <v>644.29301535336674</v>
      </c>
      <c r="AU77" s="730">
        <f t="shared" si="53"/>
        <v>-1.5385761014501194</v>
      </c>
      <c r="AV77" s="732" t="str">
        <f t="shared" si="54"/>
        <v>-236.463777935466-802.320671176818i</v>
      </c>
      <c r="AW77" s="337">
        <f t="shared" si="55"/>
        <v>58.448706445004902</v>
      </c>
      <c r="AX77" s="730">
        <f t="shared" si="56"/>
        <v>-106.42155127378896</v>
      </c>
      <c r="AY77" s="360">
        <f t="shared" si="57"/>
        <v>73.578448726211036</v>
      </c>
      <c r="BB77" s="337">
        <f t="shared" si="58"/>
        <v>16.181668465513518</v>
      </c>
      <c r="BC77" s="730">
        <f t="shared" si="59"/>
        <v>-88.153917072783813</v>
      </c>
      <c r="BD77" s="351"/>
      <c r="BE77" s="337">
        <f t="shared" ref="BE77:BE140" si="69">20*LOG10(IMABS(M77))</f>
        <v>24.583388428794709</v>
      </c>
      <c r="BF77" s="730">
        <f t="shared" ref="BF77:BF140" si="70">180/PI()*IMARGUMENT(IMPRODUCT(COMPLEX(1,0),M77))</f>
        <v>15.253861821039923</v>
      </c>
      <c r="BI77" s="351"/>
      <c r="BJ77" s="351"/>
      <c r="BL77" s="405">
        <f t="shared" ref="BL77:BL140" si="71">SUM((AW78&lt;0)*(AW77&gt;0))*D77</f>
        <v>0</v>
      </c>
      <c r="BM77" s="405">
        <f t="shared" ref="BM77:BM89" si="72">IF(BL77&gt;0,AY75,0)</f>
        <v>0</v>
      </c>
      <c r="BN77" s="405">
        <f t="shared" ref="BN77:BN140" si="73">SUM((BB78&lt;0)*(BB77&gt;0))*D77</f>
        <v>0</v>
      </c>
      <c r="BO77" s="405">
        <f t="shared" ref="BO77:BO140" si="74">IF(BN77&gt;0,BC77,0)</f>
        <v>0</v>
      </c>
    </row>
    <row r="78" spans="4:67" ht="13.5" thickBot="1" x14ac:dyDescent="0.25">
      <c r="D78" s="345">
        <v>398.11</v>
      </c>
      <c r="E78" s="340" t="str">
        <f t="shared" si="60"/>
        <v>0.00660369310297294i</v>
      </c>
      <c r="F78" s="728" t="str">
        <f t="shared" ref="F78:F141" si="75">IMSUM(COMPLEX($B$8,0),IMDIV(COMPLEX(1,0),COMPLEX(0,2*PI()*D78*$B$6)))</f>
        <v>0.005-6.55370984837355i</v>
      </c>
      <c r="G78" s="337" t="str">
        <f t="shared" ref="G78:G141" si="76">IMSUM(COMPLEX($B$9,0),IMDIV(COMPLEX(1,0),COMPLEX(0,2*PI()*D78*$B$7)))</f>
        <v>0.005-10.2506743782253i</v>
      </c>
      <c r="H78" s="338" t="str">
        <f t="shared" ref="H78:H141" si="77">IMDIV(COMPLEX(1,0),IMSUM(IMDIV(COMPLEX(1,0),COMPLEX($B$5,0)), IMDIV(COMPLEX(1,0),G78)))</f>
        <v>1.19969728998929-0.14238544724797i</v>
      </c>
      <c r="I78" s="338" t="str">
        <f t="shared" ref="I78:I141" si="78">IMSUM(H78,COMPLEX($B$15,0))</f>
        <v>1.20969728998929-0.14238544724797i</v>
      </c>
      <c r="J78" s="337" t="str">
        <f t="shared" ref="J78:J141" si="79">IMDIV(COMPLEX(1,0),IMSUM(IMDIV(COMPLEX(1,0),F78),IMDIV(COMPLEX(1,0),IMSUM(COMPLEX($B$15,0),H78))))</f>
        <v>1.12204109613212-0.341997029473262i</v>
      </c>
      <c r="K78" s="338" t="str">
        <f t="shared" si="61"/>
        <v>0.999998238982532-0.00208449908553439i</v>
      </c>
      <c r="L78" s="732"/>
      <c r="M78" s="732" t="str">
        <f t="shared" si="62"/>
        <v>16.3626657412958+4.89102321991851i</v>
      </c>
      <c r="N78" s="337">
        <f t="shared" si="63"/>
        <v>0</v>
      </c>
      <c r="O78" s="730" t="str">
        <f t="shared" si="64"/>
        <v>16.3438463048391+1.83440259090286i</v>
      </c>
      <c r="P78" s="731" t="str">
        <f t="shared" si="65"/>
        <v>20.0322988163039-0.108054022902048i</v>
      </c>
      <c r="Q78" s="729" t="str">
        <f t="shared" si="66"/>
        <v>19.8688603532555-0.126398048811078i</v>
      </c>
      <c r="R78" s="730"/>
      <c r="S78" s="405" t="str">
        <f t="shared" ref="S78:S141" si="80">IMDIV(IMPRODUCT(COMPLEX($B$34,0),M78),IMSUM(COMPLEX(1,0),IMPRODUCT(M78,COMPLEX($B$29,0),K78,COMPLEX($B$34,0))))</f>
        <v>23.0531585287781+2.88539660564056i</v>
      </c>
      <c r="T78" s="405" t="str">
        <f t="shared" ref="T78:T141" si="81">IMDIV(IMPRODUCT(COMPLEX($B$34,0),O78),IMSUM(COMPLEX(1,0),IMPRODUCT(M78,COMPLEX($B$29,0),K78,COMPLEX($B$34,0))))</f>
        <v>22.3410332250734-1.21149329757415i</v>
      </c>
      <c r="U78" s="405" t="str">
        <f t="shared" ref="U78:U141" si="82">IMDIV(IMPRODUCT(COMPLEX($B$34,0),Q78),IMSUM(COMPLEX(1,0),IMPRODUCT(M78,COMPLEX($B$29,0),K78,COMPLEX($B$34,0))))</f>
        <v>26.6299780006683-4.6344632336737i</v>
      </c>
      <c r="V78" s="731" t="str">
        <f t="shared" si="67"/>
        <v>6000</v>
      </c>
      <c r="W78" s="733" t="str">
        <f>IMSUM(COMPLEX(1,0),IMDIV(COMPLEX(0,2*PI()*D78),COMPLEX(2*PI()*'Stability Calculations'!EA_Pole1,0)))</f>
        <v>1+2526.41289166768i</v>
      </c>
      <c r="X78" s="734">
        <f t="shared" ref="X78:X141" si="83">IMABS(W78)</f>
        <v>2526.4130895767321</v>
      </c>
      <c r="Y78" s="735">
        <f t="shared" ref="Y78:Y141" si="84">IMARGUMENT(W78)</f>
        <v>1.5704005086960127</v>
      </c>
      <c r="Z78" s="340" t="str">
        <f>IMSUM(COMPLEX(1,0),IMDIV(COMPLEX(0,2*PI()*D78),COMPLEX(2*PI()*'Stability Calculations'!EA_Zero1,0)))</f>
        <v>1+25.0139890264127i</v>
      </c>
      <c r="AA78" s="734">
        <f t="shared" ref="AA78:AA141" si="85">IMABS(Z78)</f>
        <v>25.033969861240447</v>
      </c>
      <c r="AB78" s="735">
        <f t="shared" ref="AB78:AB141" si="86">IMARGUMENT(Z78)</f>
        <v>1.5308399738817726</v>
      </c>
      <c r="AC78" s="733" t="str">
        <f>IMSUM(COMPLEX(1,0),IMDIV(COMPLEX(0,2*PI()*D78),COMPLEX(2*PI()*'Stability Calculations'!EA_Pole2,0)))</f>
        <v>1+0.251977321033358i</v>
      </c>
      <c r="AD78" s="734">
        <f t="shared" ref="AD78:AD141" si="87">IMABS(AC78)</f>
        <v>1.0312577613357137</v>
      </c>
      <c r="AE78" s="735">
        <f t="shared" ref="AE78:AE141" si="88">IMARGUMENT(AC78)</f>
        <v>0.24683880357774121</v>
      </c>
      <c r="AF78" s="732" t="str">
        <f t="shared" ref="AF78:AF141" si="89">IMPRODUCT(V78,IMDIV(Z78,IMPRODUCT(W78,AC78)))</f>
        <v>55.3030410350911-16.2865065262576i</v>
      </c>
      <c r="AG78" s="337">
        <f t="shared" ref="AG78:AG141" si="90">IMABS(AF78)</f>
        <v>57.651336867056258</v>
      </c>
      <c r="AH78" s="730">
        <f t="shared" ref="AH78:AH141" si="91">IMARGUMENT(AF78)</f>
        <v>-0.28639933839198201</v>
      </c>
      <c r="AI78" s="731" t="str">
        <f t="shared" si="68"/>
        <v>10000</v>
      </c>
      <c r="AJ78" s="733" t="str">
        <f t="shared" ref="AJ78:AJ141" si="92">IMSUM(COMPLEX(1,0),IMDIV(COMPLEX(0,2*PI()*D78),COMPLEX(2*PI()*IL_Pole1,0)))</f>
        <v>1+2355.31220392922i</v>
      </c>
      <c r="AK78" s="734">
        <f t="shared" ref="AK78:AK141" si="93">IMABS(AJ78)</f>
        <v>2355.3124162152926</v>
      </c>
      <c r="AL78" s="735">
        <f t="shared" ref="AL78:AL141" si="94">IMARGUMENT(AJ78)</f>
        <v>1.5703717546561182</v>
      </c>
      <c r="AM78" s="340" t="str">
        <f t="shared" ref="AM78:AM141" si="95">IMSUM(COMPLEX(1,0),IMDIV(COMPLEX(0,2*PI()*D78),COMPLEX(2*PI()*IL_Zero1,0)))</f>
        <v>1+3.99723544642075i</v>
      </c>
      <c r="AN78" s="734">
        <f t="shared" ref="AN78:AN141" si="96">IMABS(AM78)</f>
        <v>4.1204236692508323</v>
      </c>
      <c r="AO78" s="735">
        <f t="shared" ref="AO78:AO141" si="97">IMARGUMENT(AM78)</f>
        <v>1.3256549370197384</v>
      </c>
      <c r="AP78" s="733" t="str">
        <f t="shared" ref="AP78:AP141" si="98">IMSUM(COMPLEX(1,0),IMDIV(COMPLEX(0,2*PI()*D78),COMPLEX(2*PI()*IL_Pole2,0)))</f>
        <v>1+0.193872507917567i</v>
      </c>
      <c r="AQ78" s="734">
        <f t="shared" ref="AQ78:AQ141" si="99">IMABS(AP78)</f>
        <v>1.0186199238804663</v>
      </c>
      <c r="AR78" s="735">
        <f t="shared" ref="AR78:AR141" si="100">IMARGUMENT(AP78)</f>
        <v>0.19149685805764421</v>
      </c>
      <c r="AS78" s="732" t="str">
        <f t="shared" ref="AS78:AS141" si="101">_xlfn.SWITCH(IMONLIM_select,0,COMPLEX(1,0),1,IMPRODUCT(gm_IL,IMDIV(COMPLEX(1,0),IMSUM(COMPLEX(1/20000000,0),COMPLEX(0,2*PI()*D78*CISET),COMPLEX(1/RISET,0)))),2,IMPRODUCT(gm_IL,IMDIV(COMPLEX(1,0),IMSUM(COMPLEX(1/20000000,0),COMPLEX(0,2*PI()*D78*CcIL)))),3,IMPRODUCT(AI78,IMDIV(AM78,IMPRODUCT(AJ78,AP78))))</f>
        <v>17.2667723748207-587.39876239925i</v>
      </c>
      <c r="AT78" s="337">
        <f t="shared" ref="AT78:AT141" si="102">IMABS(AS78)</f>
        <v>587.652488717962</v>
      </c>
      <c r="AU78" s="730">
        <f t="shared" ref="AU78:AU141" si="103">IMARGUMENT(AS78)</f>
        <v>-1.5414094728565548</v>
      </c>
      <c r="AV78" s="732" t="str">
        <f t="shared" ref="AV78:AV141" si="104">IMPRODUCT(T78,AS78,COMPLEX($B$15,0),IMPRODUCT(COMPLEX(0.1,0),AF78))</f>
        <v>-232.09178697171-721.596618553571i</v>
      </c>
      <c r="AW78" s="337">
        <f t="shared" ref="AW78:AW141" si="105">20*LOG10(IMABS(AV78))</f>
        <v>57.593416444676777</v>
      </c>
      <c r="AX78" s="730">
        <f t="shared" ref="AX78:AX141" si="106">(180/PI())*IMARGUMENT(AV78)</f>
        <v>-107.82968438223597</v>
      </c>
      <c r="AY78" s="360">
        <f t="shared" ref="AY78:AY141" si="107">IF(AX78&gt;0,AX78-180,AX78+180)</f>
        <v>72.170315617764032</v>
      </c>
      <c r="BB78" s="337">
        <f t="shared" ref="BB78:BB141" si="108">20*LOG10(IMPRODUCT(COMPLEX($B$15,0),IMABS(AS78)))</f>
        <v>15.382411594729961</v>
      </c>
      <c r="BC78" s="730">
        <f t="shared" ref="BC78:BC141" si="109">(180/PI())*IMARGUMENT(AS78)</f>
        <v>-88.316257296165617</v>
      </c>
      <c r="BD78" s="351"/>
      <c r="BE78" s="337">
        <f t="shared" si="69"/>
        <v>24.6487529053637</v>
      </c>
      <c r="BF78" s="730">
        <f t="shared" si="70"/>
        <v>16.642120297502125</v>
      </c>
      <c r="BI78" s="351"/>
      <c r="BJ78" s="351"/>
      <c r="BL78" s="405">
        <f t="shared" si="71"/>
        <v>0</v>
      </c>
      <c r="BM78" s="405">
        <f t="shared" si="72"/>
        <v>0</v>
      </c>
      <c r="BN78" s="405">
        <f t="shared" si="73"/>
        <v>0</v>
      </c>
      <c r="BO78" s="405">
        <f t="shared" si="74"/>
        <v>0</v>
      </c>
    </row>
    <row r="79" spans="4:67" ht="13.5" thickBot="1" x14ac:dyDescent="0.25">
      <c r="D79" s="345">
        <v>436.52</v>
      </c>
      <c r="E79" s="340" t="str">
        <f t="shared" si="60"/>
        <v>0.00724082317276569i</v>
      </c>
      <c r="F79" s="728" t="str">
        <f t="shared" si="75"/>
        <v>0.005-5.97703983262162i</v>
      </c>
      <c r="G79" s="337" t="str">
        <f t="shared" si="76"/>
        <v>0.005-9.34870332794666i</v>
      </c>
      <c r="H79" s="338" t="str">
        <f t="shared" si="77"/>
        <v>1.19632251881642-0.155681912178838i</v>
      </c>
      <c r="I79" s="338" t="str">
        <f t="shared" si="78"/>
        <v>1.20632251881642-0.155681912178838i</v>
      </c>
      <c r="J79" s="337" t="str">
        <f t="shared" si="79"/>
        <v>1.10301885530979-0.368612346997482i</v>
      </c>
      <c r="K79" s="338" t="str">
        <f t="shared" si="61"/>
        <v>0.999997882780996-0.00228561337524169i</v>
      </c>
      <c r="L79" s="732"/>
      <c r="M79" s="732" t="str">
        <f t="shared" si="62"/>
        <v>16.3744971510289+5.36461997802286i</v>
      </c>
      <c r="N79" s="337">
        <f t="shared" si="63"/>
        <v>0</v>
      </c>
      <c r="O79" s="730" t="str">
        <f t="shared" si="64"/>
        <v>16.3518558550067+2.01200202342903i</v>
      </c>
      <c r="P79" s="731" t="str">
        <f t="shared" si="65"/>
        <v>20.03884426465-0.118564838413561i</v>
      </c>
      <c r="Q79" s="729" t="str">
        <f t="shared" si="66"/>
        <v>19.8753257061-0.13868485864785i</v>
      </c>
      <c r="R79" s="730"/>
      <c r="S79" s="405" t="str">
        <f t="shared" si="80"/>
        <v>23.1528652328868+3.14497965736408i</v>
      </c>
      <c r="T79" s="405" t="str">
        <f t="shared" si="81"/>
        <v>22.3016428975568-1.32095496494142i</v>
      </c>
      <c r="U79" s="405" t="str">
        <f t="shared" si="82"/>
        <v>26.4743088101055-5.05225058192312i</v>
      </c>
      <c r="V79" s="731" t="str">
        <f t="shared" si="67"/>
        <v>6000</v>
      </c>
      <c r="W79" s="733" t="str">
        <f>IMSUM(COMPLEX(1,0),IMDIV(COMPLEX(0,2*PI()*D79),COMPLEX(2*PI()*'Stability Calculations'!EA_Pole1,0)))</f>
        <v>1+2770.16341079293i</v>
      </c>
      <c r="X79" s="734">
        <f t="shared" si="83"/>
        <v>2770.1635912876909</v>
      </c>
      <c r="Y79" s="735">
        <f t="shared" si="84"/>
        <v>1.5704353372761317</v>
      </c>
      <c r="Z79" s="340" t="str">
        <f>IMSUM(COMPLEX(1,0),IMDIV(COMPLEX(0,2*PI()*D79),COMPLEX(2*PI()*'Stability Calculations'!EA_Zero1,0)))</f>
        <v>1+27.4273605029003i</v>
      </c>
      <c r="AA79" s="734">
        <f t="shared" si="85"/>
        <v>27.44558442001291</v>
      </c>
      <c r="AB79" s="735">
        <f t="shared" si="86"/>
        <v>1.5343525266766165</v>
      </c>
      <c r="AC79" s="733" t="str">
        <f>IMSUM(COMPLEX(1,0),IMDIV(COMPLEX(0,2*PI()*D79),COMPLEX(2*PI()*'Stability Calculations'!EA_Pole2,0)))</f>
        <v>1+0.276288312721311i</v>
      </c>
      <c r="AD79" s="734">
        <f t="shared" si="87"/>
        <v>1.0374657737710622</v>
      </c>
      <c r="AE79" s="735">
        <f t="shared" si="88"/>
        <v>0.26956355003912708</v>
      </c>
      <c r="AF79" s="732" t="str">
        <f t="shared" si="89"/>
        <v>54.6430284180772-17.2417221279915i</v>
      </c>
      <c r="AG79" s="337">
        <f t="shared" si="90"/>
        <v>57.298669588723122</v>
      </c>
      <c r="AH79" s="730">
        <f t="shared" si="91"/>
        <v>-0.30564636063864242</v>
      </c>
      <c r="AI79" s="731" t="str">
        <f t="shared" si="68"/>
        <v>10000</v>
      </c>
      <c r="AJ79" s="733" t="str">
        <f t="shared" si="92"/>
        <v>1+2582.554779481i</v>
      </c>
      <c r="AK79" s="734">
        <f t="shared" si="93"/>
        <v>2582.5549730877278</v>
      </c>
      <c r="AL79" s="735">
        <f t="shared" si="94"/>
        <v>1.5704091133433302</v>
      </c>
      <c r="AM79" s="340" t="str">
        <f t="shared" si="95"/>
        <v>1+4.38289220836347i</v>
      </c>
      <c r="AN79" s="734">
        <f t="shared" si="96"/>
        <v>4.4955248981774325</v>
      </c>
      <c r="AO79" s="735">
        <f t="shared" si="97"/>
        <v>1.3464763429130251</v>
      </c>
      <c r="AP79" s="733" t="str">
        <f t="shared" si="98"/>
        <v>1+0.212577496561694i</v>
      </c>
      <c r="AQ79" s="734">
        <f t="shared" si="99"/>
        <v>1.0223449476788335</v>
      </c>
      <c r="AR79" s="735">
        <f t="shared" si="100"/>
        <v>0.20945954008747239</v>
      </c>
      <c r="AS79" s="732" t="str">
        <f t="shared" si="101"/>
        <v>14.3638919360413-535.790553602128i</v>
      </c>
      <c r="AT79" s="337">
        <f t="shared" si="102"/>
        <v>535.98305824048691</v>
      </c>
      <c r="AU79" s="730">
        <f t="shared" si="103"/>
        <v>-1.5439939650112264</v>
      </c>
      <c r="AV79" s="732" t="str">
        <f t="shared" si="104"/>
        <v>-227.518275899358-647.287137750859i</v>
      </c>
      <c r="AW79" s="337">
        <f t="shared" si="105"/>
        <v>56.72785904597</v>
      </c>
      <c r="AX79" s="730">
        <f t="shared" si="106"/>
        <v>-109.36632649210534</v>
      </c>
      <c r="AY79" s="360">
        <f t="shared" si="107"/>
        <v>70.633673507894656</v>
      </c>
      <c r="BB79" s="337">
        <f t="shared" si="108"/>
        <v>14.583021247998943</v>
      </c>
      <c r="BC79" s="730">
        <f t="shared" si="109"/>
        <v>-88.464337788812969</v>
      </c>
      <c r="BD79" s="351"/>
      <c r="BE79" s="337">
        <f t="shared" si="69"/>
        <v>24.726150312091782</v>
      </c>
      <c r="BF79" s="730">
        <f t="shared" si="70"/>
        <v>18.139853516667856</v>
      </c>
      <c r="BI79" s="351"/>
      <c r="BJ79" s="351"/>
      <c r="BL79" s="405">
        <f t="shared" si="71"/>
        <v>0</v>
      </c>
      <c r="BM79" s="405">
        <f t="shared" si="72"/>
        <v>0</v>
      </c>
      <c r="BN79" s="405">
        <f t="shared" si="73"/>
        <v>0</v>
      </c>
      <c r="BO79" s="405">
        <f t="shared" si="74"/>
        <v>0</v>
      </c>
    </row>
    <row r="80" spans="4:67" ht="13.5" thickBot="1" x14ac:dyDescent="0.25">
      <c r="D80" s="345">
        <v>478.63</v>
      </c>
      <c r="E80" s="340" t="str">
        <f t="shared" si="60"/>
        <v>0.00793932739663897i</v>
      </c>
      <c r="F80" s="728" t="str">
        <f t="shared" si="75"/>
        <v>0.005-5.45117821226416i</v>
      </c>
      <c r="G80" s="337" t="str">
        <f t="shared" si="76"/>
        <v>0.005-8.5262018191824i</v>
      </c>
      <c r="H80" s="338" t="str">
        <f t="shared" si="77"/>
        <v>1.19229086852924-0.170122489296058i</v>
      </c>
      <c r="I80" s="338" t="str">
        <f t="shared" si="78"/>
        <v>1.20229086852924-0.170122489296058i</v>
      </c>
      <c r="J80" s="337" t="str">
        <f t="shared" si="79"/>
        <v>1.08099194392457-0.396069944267529i</v>
      </c>
      <c r="K80" s="338" t="str">
        <f t="shared" si="61"/>
        <v>0.999997454592479-0.00250610081964614i</v>
      </c>
      <c r="L80" s="732"/>
      <c r="M80" s="732" t="str">
        <f t="shared" si="62"/>
        <v>16.3887354710155+5.88438243582596i</v>
      </c>
      <c r="N80" s="337">
        <f t="shared" si="63"/>
        <v>0</v>
      </c>
      <c r="O80" s="730" t="str">
        <f t="shared" si="64"/>
        <v>16.3614931180557+2.20690555902544i</v>
      </c>
      <c r="P80" s="731" t="str">
        <f t="shared" si="65"/>
        <v>20.0467180386851-0.130115536521304i</v>
      </c>
      <c r="Q80" s="729" t="str">
        <f t="shared" si="66"/>
        <v>19.8831031075045-0.152184592111561i</v>
      </c>
      <c r="R80" s="730"/>
      <c r="S80" s="405" t="str">
        <f t="shared" si="80"/>
        <v>23.271208204392+3.42389818169269i</v>
      </c>
      <c r="T80" s="405" t="str">
        <f t="shared" si="81"/>
        <v>22.2548897735136-1.43872217890191i</v>
      </c>
      <c r="U80" s="405" t="str">
        <f t="shared" si="82"/>
        <v>26.2895428586047-5.50143256353482i</v>
      </c>
      <c r="V80" s="731" t="str">
        <f t="shared" si="67"/>
        <v>6000</v>
      </c>
      <c r="W80" s="733" t="str">
        <f>IMSUM(COMPLEX(1,0),IMDIV(COMPLEX(0,2*PI()*D80),COMPLEX(2*PI()*'Stability Calculations'!EA_Pole1,0)))</f>
        <v>1+3037.39419341112i</v>
      </c>
      <c r="X80" s="734">
        <f t="shared" si="83"/>
        <v>3037.3943580259033</v>
      </c>
      <c r="Y80" s="735">
        <f t="shared" si="84"/>
        <v>1.5704670972315957</v>
      </c>
      <c r="Z80" s="340" t="str">
        <f>IMSUM(COMPLEX(1,0),IMDIV(COMPLEX(0,2*PI()*D80),COMPLEX(2*PI()*'Stability Calculations'!EA_Zero1,0)))</f>
        <v>1+30.0732098357537i</v>
      </c>
      <c r="AA80" s="734">
        <f t="shared" si="85"/>
        <v>30.089831335939277</v>
      </c>
      <c r="AB80" s="735">
        <f t="shared" si="86"/>
        <v>1.5375563873115801</v>
      </c>
      <c r="AC80" s="733" t="str">
        <f>IMSUM(COMPLEX(1,0),IMDIV(COMPLEX(0,2*PI()*D80),COMPLEX(2*PI()*'Stability Calculations'!EA_Pole2,0)))</f>
        <v>1+0.302941159895999i</v>
      </c>
      <c r="AD80" s="734">
        <f t="shared" si="87"/>
        <v>1.0448795846216603</v>
      </c>
      <c r="AE80" s="735">
        <f t="shared" si="88"/>
        <v>0.29415291727696169</v>
      </c>
      <c r="AF80" s="732" t="str">
        <f t="shared" si="89"/>
        <v>53.8702347086465-18.2753304331027i</v>
      </c>
      <c r="AG80" s="337">
        <f t="shared" si="90"/>
        <v>56.885761751107374</v>
      </c>
      <c r="AH80" s="730">
        <f t="shared" si="91"/>
        <v>-0.32706362719697707</v>
      </c>
      <c r="AI80" s="731" t="str">
        <f t="shared" si="68"/>
        <v>10000</v>
      </c>
      <c r="AJ80" s="733" t="str">
        <f t="shared" si="92"/>
        <v>1+2831.68742349261i</v>
      </c>
      <c r="AK80" s="734">
        <f t="shared" si="93"/>
        <v>2831.6876000657658</v>
      </c>
      <c r="AL80" s="735">
        <f t="shared" si="94"/>
        <v>1.570443180487104</v>
      </c>
      <c r="AM80" s="340" t="str">
        <f t="shared" si="95"/>
        <v>1+4.80569893175344i</v>
      </c>
      <c r="AN80" s="734">
        <f t="shared" si="96"/>
        <v>4.9086395490661321</v>
      </c>
      <c r="AO80" s="735">
        <f t="shared" si="97"/>
        <v>1.3656377285477623</v>
      </c>
      <c r="AP80" s="733" t="str">
        <f t="shared" si="98"/>
        <v>1+0.233084319571437i</v>
      </c>
      <c r="AQ80" s="734">
        <f t="shared" si="99"/>
        <v>1.0268048987174145</v>
      </c>
      <c r="AR80" s="735">
        <f t="shared" si="100"/>
        <v>0.22899576390763932</v>
      </c>
      <c r="AS80" s="732" t="str">
        <f t="shared" si="101"/>
        <v>11.949041296416-488.71059569076i</v>
      </c>
      <c r="AT80" s="337">
        <f t="shared" si="102"/>
        <v>488.85665171737304</v>
      </c>
      <c r="AU80" s="730">
        <f t="shared" si="103"/>
        <v>-1.5463510596509655</v>
      </c>
      <c r="AV80" s="732" t="str">
        <f t="shared" si="104"/>
        <v>-222.63208736236-578.839704413096i</v>
      </c>
      <c r="AW80" s="337">
        <f t="shared" si="105"/>
        <v>55.850323713431244</v>
      </c>
      <c r="AX80" s="730">
        <f t="shared" si="106"/>
        <v>-111.03763448847516</v>
      </c>
      <c r="AY80" s="360">
        <f t="shared" si="107"/>
        <v>68.962365511524837</v>
      </c>
      <c r="BB80" s="337">
        <f t="shared" si="108"/>
        <v>13.783630577365333</v>
      </c>
      <c r="BC80" s="730">
        <f t="shared" si="109"/>
        <v>-88.599389363582929</v>
      </c>
      <c r="BD80" s="351"/>
      <c r="BE80" s="337">
        <f t="shared" si="69"/>
        <v>24.817529836572383</v>
      </c>
      <c r="BF80" s="730">
        <f t="shared" si="70"/>
        <v>19.750697266551079</v>
      </c>
      <c r="BI80" s="351"/>
      <c r="BJ80" s="351"/>
      <c r="BL80" s="405">
        <f t="shared" si="71"/>
        <v>0</v>
      </c>
      <c r="BM80" s="405">
        <f t="shared" si="72"/>
        <v>0</v>
      </c>
      <c r="BN80" s="405">
        <f t="shared" si="73"/>
        <v>0</v>
      </c>
      <c r="BO80" s="405">
        <f t="shared" si="74"/>
        <v>0</v>
      </c>
    </row>
    <row r="81" spans="4:67" ht="13.5" thickBot="1" x14ac:dyDescent="0.25">
      <c r="D81" s="345">
        <v>524.80999999999995</v>
      </c>
      <c r="E81" s="340" t="str">
        <f t="shared" si="60"/>
        <v>0.00870534319000082i</v>
      </c>
      <c r="F81" s="728" t="str">
        <f t="shared" si="75"/>
        <v>0.005-4.97150859879955i</v>
      </c>
      <c r="G81" s="337" t="str">
        <f t="shared" si="76"/>
        <v>0.005-7.7759493468403i</v>
      </c>
      <c r="H81" s="338" t="str">
        <f t="shared" si="77"/>
        <v>1.18747898836453-0.185780552275033i</v>
      </c>
      <c r="I81" s="338" t="str">
        <f t="shared" si="78"/>
        <v>1.19747898836453-0.185780552275033i</v>
      </c>
      <c r="J81" s="337" t="str">
        <f t="shared" si="79"/>
        <v>1.05564742517766-0.424063107965316i</v>
      </c>
      <c r="K81" s="338" t="str">
        <f t="shared" si="61"/>
        <v>0.999996939716266-0.00274789873421743i</v>
      </c>
      <c r="L81" s="732"/>
      <c r="M81" s="732" t="str">
        <f t="shared" si="62"/>
        <v>16.4058792878424+6.45509967404606i</v>
      </c>
      <c r="N81" s="337">
        <f t="shared" si="63"/>
        <v>0</v>
      </c>
      <c r="O81" s="730" t="str">
        <f t="shared" si="64"/>
        <v>16.3730945151586+2.42090571952536i</v>
      </c>
      <c r="P81" s="731" t="str">
        <f t="shared" si="65"/>
        <v>20.0561938579882-0.142818809534398i</v>
      </c>
      <c r="Q81" s="729" t="str">
        <f t="shared" si="66"/>
        <v>19.8924629128366-0.167027866729649i</v>
      </c>
      <c r="R81" s="730"/>
      <c r="S81" s="405" t="str">
        <f t="shared" si="80"/>
        <v>23.4113664830844+3.72247171859392i</v>
      </c>
      <c r="T81" s="405" t="str">
        <f t="shared" si="81"/>
        <v>22.1995177399225-1.56498819582523i</v>
      </c>
      <c r="U81" s="405" t="str">
        <f t="shared" si="82"/>
        <v>26.0707164966593-5.98262926554324i</v>
      </c>
      <c r="V81" s="731" t="str">
        <f t="shared" si="67"/>
        <v>6000</v>
      </c>
      <c r="W81" s="733" t="str">
        <f>IMSUM(COMPLEX(1,0),IMDIV(COMPLEX(0,2*PI()*D81),COMPLEX(2*PI()*'Stability Calculations'!EA_Pole1,0)))</f>
        <v>1+3330.45326587153i</v>
      </c>
      <c r="X81" s="734">
        <f t="shared" si="83"/>
        <v>3330.4534160012417</v>
      </c>
      <c r="Y81" s="735">
        <f t="shared" si="84"/>
        <v>1.5704960673736954</v>
      </c>
      <c r="Z81" s="340" t="str">
        <f>IMSUM(COMPLEX(1,0),IMDIV(COMPLEX(0,2*PI()*D81),COMPLEX(2*PI()*'Stability Calculations'!EA_Zero1,0)))</f>
        <v>1+32.9747848106092i</v>
      </c>
      <c r="AA81" s="734">
        <f t="shared" si="85"/>
        <v>32.989944427142994</v>
      </c>
      <c r="AB81" s="735">
        <f t="shared" si="86"/>
        <v>1.5404794160015729</v>
      </c>
      <c r="AC81" s="733" t="str">
        <f>IMSUM(COMPLEX(1,0),IMDIV(COMPLEX(0,2*PI()*D81),COMPLEX(2*PI()*'Stability Calculations'!EA_Pole2,0)))</f>
        <v>1+0.332170048106092i</v>
      </c>
      <c r="AD81" s="734">
        <f t="shared" si="87"/>
        <v>1.0537252682074221</v>
      </c>
      <c r="AE81" s="735">
        <f t="shared" si="88"/>
        <v>0.32070323257472028</v>
      </c>
      <c r="AF81" s="732" t="str">
        <f t="shared" si="89"/>
        <v>52.9694869250772-19.3785962467178i</v>
      </c>
      <c r="AG81" s="337">
        <f t="shared" si="90"/>
        <v>56.402983410447625</v>
      </c>
      <c r="AH81" s="730">
        <f t="shared" si="91"/>
        <v>-0.35071988394684217</v>
      </c>
      <c r="AI81" s="731" t="str">
        <f t="shared" si="68"/>
        <v>10000</v>
      </c>
      <c r="AJ81" s="733" t="str">
        <f t="shared" si="92"/>
        <v>1+3104.89914281001i</v>
      </c>
      <c r="AK81" s="734">
        <f t="shared" si="93"/>
        <v>3104.8993038458325</v>
      </c>
      <c r="AL81" s="735">
        <f t="shared" si="94"/>
        <v>1.5704742551528148</v>
      </c>
      <c r="AM81" s="340" t="str">
        <f t="shared" si="95"/>
        <v>1+5.26937061273535i</v>
      </c>
      <c r="AN81" s="734">
        <f t="shared" si="96"/>
        <v>5.3634193062223758</v>
      </c>
      <c r="AO81" s="735">
        <f t="shared" si="97"/>
        <v>1.3832505986854116</v>
      </c>
      <c r="AP81" s="733" t="str">
        <f t="shared" si="98"/>
        <v>1+0.255573160383356i</v>
      </c>
      <c r="AQ81" s="734">
        <f t="shared" si="99"/>
        <v>1.0321422577863657</v>
      </c>
      <c r="AR81" s="735">
        <f t="shared" si="100"/>
        <v>0.25021707327340481</v>
      </c>
      <c r="AS81" s="732" t="str">
        <f t="shared" si="101"/>
        <v>9.93967873844826-445.751923782211i</v>
      </c>
      <c r="AT81" s="337">
        <f t="shared" si="102"/>
        <v>445.86273085891088</v>
      </c>
      <c r="AU81" s="730">
        <f t="shared" si="103"/>
        <v>-1.5485013432837327</v>
      </c>
      <c r="AV81" s="732" t="str">
        <f t="shared" si="104"/>
        <v>-217.325200728283-515.739908614342i</v>
      </c>
      <c r="AW81" s="337">
        <f t="shared" si="105"/>
        <v>54.958465682097355</v>
      </c>
      <c r="AX81" s="730">
        <f t="shared" si="106"/>
        <v>-112.84984100993933</v>
      </c>
      <c r="AY81" s="360">
        <f t="shared" si="107"/>
        <v>67.150158990060675</v>
      </c>
      <c r="BB81" s="337">
        <f t="shared" si="108"/>
        <v>12.984023434039615</v>
      </c>
      <c r="BC81" s="730">
        <f t="shared" si="109"/>
        <v>-88.722591540496552</v>
      </c>
      <c r="BD81" s="351"/>
      <c r="BE81" s="337">
        <f t="shared" si="69"/>
        <v>24.925106146576383</v>
      </c>
      <c r="BF81" s="730">
        <f t="shared" si="70"/>
        <v>21.477781399656497</v>
      </c>
      <c r="BI81" s="351"/>
      <c r="BJ81" s="351"/>
      <c r="BL81" s="405">
        <f t="shared" si="71"/>
        <v>0</v>
      </c>
      <c r="BM81" s="405">
        <f t="shared" si="72"/>
        <v>0</v>
      </c>
      <c r="BN81" s="405">
        <f t="shared" si="73"/>
        <v>0</v>
      </c>
      <c r="BO81" s="405">
        <f t="shared" si="74"/>
        <v>0</v>
      </c>
    </row>
    <row r="82" spans="4:67" ht="13.5" thickBot="1" x14ac:dyDescent="0.25">
      <c r="D82" s="345">
        <v>575.44000000000005</v>
      </c>
      <c r="E82" s="340" t="str">
        <f t="shared" si="60"/>
        <v>0.00954517384435143i</v>
      </c>
      <c r="F82" s="728" t="str">
        <f t="shared" si="75"/>
        <v>0.005-4.53409117846515i</v>
      </c>
      <c r="G82" s="337" t="str">
        <f t="shared" si="76"/>
        <v>0.005-7.09178363811219i</v>
      </c>
      <c r="H82" s="338" t="str">
        <f t="shared" si="77"/>
        <v>1.18174582423236-0.202715737248092i</v>
      </c>
      <c r="I82" s="338" t="str">
        <f t="shared" si="78"/>
        <v>1.19174582423236-0.202715737248092i</v>
      </c>
      <c r="J82" s="337" t="str">
        <f t="shared" si="79"/>
        <v>1.02671548732356-0.452180216992891i</v>
      </c>
      <c r="K82" s="338" t="str">
        <f t="shared" si="61"/>
        <v>0.999996320764516-0.00301299679430285i</v>
      </c>
      <c r="L82" s="732"/>
      <c r="M82" s="732" t="str">
        <f t="shared" si="62"/>
        <v>16.4265216917882+7.08176143011051i</v>
      </c>
      <c r="N82" s="337">
        <f t="shared" si="63"/>
        <v>0</v>
      </c>
      <c r="O82" s="730" t="str">
        <f t="shared" si="64"/>
        <v>16.3870598768898+2.65586910791569i</v>
      </c>
      <c r="P82" s="731" t="str">
        <f t="shared" si="65"/>
        <v>20.0675966439746-0.156794005206121i</v>
      </c>
      <c r="Q82" s="729" t="str">
        <f t="shared" si="66"/>
        <v>19.9037260452057-0.183352696285275i</v>
      </c>
      <c r="R82" s="730"/>
      <c r="S82" s="405" t="str">
        <f t="shared" si="80"/>
        <v>23.5768344656631+4.04045528188585i</v>
      </c>
      <c r="T82" s="405" t="str">
        <f t="shared" si="81"/>
        <v>22.1341460071-1.69972517928233i</v>
      </c>
      <c r="U82" s="405" t="str">
        <f t="shared" si="82"/>
        <v>25.8123735740024-6.49558285914571i</v>
      </c>
      <c r="V82" s="731" t="str">
        <f t="shared" si="67"/>
        <v>6000</v>
      </c>
      <c r="W82" s="733" t="str">
        <f>IMSUM(COMPLEX(1,0),IMDIV(COMPLEX(0,2*PI()*D82),COMPLEX(2*PI()*'Stability Calculations'!EA_Pole1,0)))</f>
        <v>1+3651.75211469505i</v>
      </c>
      <c r="X82" s="734">
        <f t="shared" si="83"/>
        <v>3651.7522516156223</v>
      </c>
      <c r="Y82" s="735">
        <f t="shared" si="84"/>
        <v>1.5705224856513591</v>
      </c>
      <c r="Z82" s="340" t="str">
        <f>IMSUM(COMPLEX(1,0),IMDIV(COMPLEX(0,2*PI()*D82),COMPLEX(2*PI()*'Stability Calculations'!EA_Zero1,0)))</f>
        <v>1+36.1559615316342i</v>
      </c>
      <c r="AA82" s="734">
        <f t="shared" si="85"/>
        <v>36.169787866077009</v>
      </c>
      <c r="AB82" s="735">
        <f t="shared" si="86"/>
        <v>1.5431454198045957</v>
      </c>
      <c r="AC82" s="733" t="str">
        <f>IMSUM(COMPLEX(1,0),IMDIV(COMPLEX(0,2*PI()*D82),COMPLEX(2*PI()*'Stability Calculations'!EA_Pole2,0)))</f>
        <v>1+0.364215492239419i</v>
      </c>
      <c r="AD82" s="734">
        <f t="shared" si="87"/>
        <v>1.0642616805970242</v>
      </c>
      <c r="AE82" s="735">
        <f t="shared" si="88"/>
        <v>0.34928240156633122</v>
      </c>
      <c r="AF82" s="732" t="str">
        <f t="shared" si="89"/>
        <v>51.9257812130095-20.5389529536056i</v>
      </c>
      <c r="AG82" s="337">
        <f t="shared" si="90"/>
        <v>55.840266322894216</v>
      </c>
      <c r="AH82" s="730">
        <f t="shared" si="91"/>
        <v>-0.37665946741309464</v>
      </c>
      <c r="AI82" s="731" t="str">
        <f t="shared" si="68"/>
        <v>10000</v>
      </c>
      <c r="AJ82" s="733" t="str">
        <f t="shared" si="92"/>
        <v>1+3404.43810662638i</v>
      </c>
      <c r="AK82" s="734">
        <f t="shared" si="93"/>
        <v>3404.4382534934907</v>
      </c>
      <c r="AL82" s="735">
        <f t="shared" si="94"/>
        <v>1.5705025925750575</v>
      </c>
      <c r="AM82" s="340" t="str">
        <f t="shared" si="95"/>
        <v>1+5.77772265275514i</v>
      </c>
      <c r="AN82" s="734">
        <f t="shared" si="96"/>
        <v>5.8636233722980453</v>
      </c>
      <c r="AO82" s="735">
        <f t="shared" si="97"/>
        <v>1.3994155971133975</v>
      </c>
      <c r="AP82" s="733" t="str">
        <f t="shared" si="98"/>
        <v>1+0.280229072256623i</v>
      </c>
      <c r="AQ82" s="734">
        <f t="shared" si="99"/>
        <v>1.0385221870224091</v>
      </c>
      <c r="AR82" s="735">
        <f t="shared" si="100"/>
        <v>0.27322110908579073</v>
      </c>
      <c r="AS82" s="732" t="str">
        <f t="shared" si="101"/>
        <v>8.26823417021797-406.566500966405i</v>
      </c>
      <c r="AT82" s="337">
        <f t="shared" si="102"/>
        <v>406.65056670851862</v>
      </c>
      <c r="AU82" s="730">
        <f t="shared" si="103"/>
        <v>-1.5504623972479006</v>
      </c>
      <c r="AV82" s="732" t="str">
        <f t="shared" si="104"/>
        <v>-211.499160223614-457.575344410037i</v>
      </c>
      <c r="AW82" s="337">
        <f t="shared" si="105"/>
        <v>54.05016783743622</v>
      </c>
      <c r="AX82" s="730">
        <f t="shared" si="106"/>
        <v>-114.80718834150748</v>
      </c>
      <c r="AY82" s="360">
        <f t="shared" si="107"/>
        <v>65.192811658492516</v>
      </c>
      <c r="BB82" s="337">
        <f t="shared" si="108"/>
        <v>12.18442763739375</v>
      </c>
      <c r="BC82" s="730">
        <f t="shared" si="109"/>
        <v>-88.834951656040772</v>
      </c>
      <c r="BD82" s="351"/>
      <c r="BE82" s="337">
        <f t="shared" si="69"/>
        <v>25.051254940663213</v>
      </c>
      <c r="BF82" s="730">
        <f t="shared" si="70"/>
        <v>23.321720911497366</v>
      </c>
      <c r="BI82" s="351"/>
      <c r="BJ82" s="351"/>
      <c r="BL82" s="405">
        <f t="shared" si="71"/>
        <v>0</v>
      </c>
      <c r="BM82" s="405">
        <f t="shared" si="72"/>
        <v>0</v>
      </c>
      <c r="BN82" s="405">
        <f t="shared" si="73"/>
        <v>0</v>
      </c>
      <c r="BO82" s="405">
        <f t="shared" si="74"/>
        <v>0</v>
      </c>
    </row>
    <row r="83" spans="4:67" ht="13.5" thickBot="1" x14ac:dyDescent="0.25">
      <c r="D83" s="345">
        <v>630.96</v>
      </c>
      <c r="E83" s="340" t="str">
        <f t="shared" si="60"/>
        <v>0.0104661179077436i</v>
      </c>
      <c r="F83" s="728" t="str">
        <f t="shared" si="75"/>
        <v>0.005-4.13512334812982i</v>
      </c>
      <c r="G83" s="337" t="str">
        <f t="shared" si="76"/>
        <v>0.005-6.46775703169024i</v>
      </c>
      <c r="H83" s="338" t="str">
        <f t="shared" si="77"/>
        <v>1.17492556728281-0.220986048335984i</v>
      </c>
      <c r="I83" s="338" t="str">
        <f t="shared" si="78"/>
        <v>1.18492556728281-0.220986048335984i</v>
      </c>
      <c r="J83" s="337" t="str">
        <f t="shared" si="79"/>
        <v>0.993968834611556-0.479930295444696i</v>
      </c>
      <c r="K83" s="338" t="str">
        <f t="shared" si="61"/>
        <v>0.99999557654976-0.00330369883451503i</v>
      </c>
      <c r="L83" s="732"/>
      <c r="M83" s="732" t="str">
        <f t="shared" si="62"/>
        <v>16.4513897766645+7.7702015414396i</v>
      </c>
      <c r="N83" s="337">
        <f t="shared" si="63"/>
        <v>0</v>
      </c>
      <c r="O83" s="730" t="str">
        <f t="shared" si="64"/>
        <v>16.4038789070066+2.91397728872575i</v>
      </c>
      <c r="P83" s="731" t="str">
        <f t="shared" si="65"/>
        <v>20.0813238454996-0.172182185148831i</v>
      </c>
      <c r="Q83" s="729" t="str">
        <f t="shared" si="66"/>
        <v>19.9172850564295-0.201321958036098i</v>
      </c>
      <c r="R83" s="730"/>
      <c r="S83" s="405" t="str">
        <f t="shared" si="80"/>
        <v>23.7715501500443+4.37721344100291i</v>
      </c>
      <c r="T83" s="405" t="str">
        <f t="shared" si="81"/>
        <v>22.0572184060317-1.84276200239642i</v>
      </c>
      <c r="U83" s="405" t="str">
        <f t="shared" si="82"/>
        <v>25.5083651554543-7.03944572386554i</v>
      </c>
      <c r="V83" s="731" t="str">
        <f t="shared" si="67"/>
        <v>6000</v>
      </c>
      <c r="W83" s="733" t="str">
        <f>IMSUM(COMPLEX(1,0),IMDIV(COMPLEX(0,2*PI()*D83),COMPLEX(2*PI()*'Stability Calculations'!EA_Pole1,0)))</f>
        <v>1+4004.08298743221i</v>
      </c>
      <c r="X83" s="734">
        <f t="shared" si="83"/>
        <v>4004.0831123047446</v>
      </c>
      <c r="Y83" s="735">
        <f t="shared" si="84"/>
        <v>1.5705465817265882</v>
      </c>
      <c r="Z83" s="340" t="str">
        <f>IMSUM(COMPLEX(1,0),IMDIV(COMPLEX(0,2*PI()*D83),COMPLEX(2*PI()*'Stability Calculations'!EA_Zero1,0)))</f>
        <v>1+39.6443860141803i</v>
      </c>
      <c r="AA83" s="734">
        <f t="shared" si="85"/>
        <v>39.656996134873033</v>
      </c>
      <c r="AB83" s="735">
        <f t="shared" si="86"/>
        <v>1.5455774220820091</v>
      </c>
      <c r="AC83" s="733" t="str">
        <f>IMSUM(COMPLEX(1,0),IMDIV(COMPLEX(0,2*PI()*D83),COMPLEX(2*PI()*'Stability Calculations'!EA_Pole2,0)))</f>
        <v>1+0.399355983218726i</v>
      </c>
      <c r="AD83" s="734">
        <f t="shared" si="87"/>
        <v>1.0767939456240434</v>
      </c>
      <c r="AE83" s="735">
        <f t="shared" si="88"/>
        <v>0.37995106696866127</v>
      </c>
      <c r="AF83" s="732" t="str">
        <f t="shared" si="89"/>
        <v>50.7240738725774-21.7405964017097i</v>
      </c>
      <c r="AG83" s="337">
        <f t="shared" si="90"/>
        <v>55.186820909821591</v>
      </c>
      <c r="AH83" s="730">
        <f t="shared" si="91"/>
        <v>-0.40492022661323973</v>
      </c>
      <c r="AI83" s="731" t="str">
        <f t="shared" si="68"/>
        <v>10000</v>
      </c>
      <c r="AJ83" s="733" t="str">
        <f t="shared" si="92"/>
        <v>1+3732.90745821803i</v>
      </c>
      <c r="AK83" s="734">
        <f t="shared" si="93"/>
        <v>3732.9075921618783</v>
      </c>
      <c r="AL83" s="735">
        <f t="shared" si="94"/>
        <v>1.5705284390995087</v>
      </c>
      <c r="AM83" s="340" t="str">
        <f t="shared" si="95"/>
        <v>1+6.33517288506601i</v>
      </c>
      <c r="AN83" s="734">
        <f t="shared" si="96"/>
        <v>6.4136117347151282</v>
      </c>
      <c r="AO83" s="735">
        <f t="shared" si="97"/>
        <v>1.4142391829888556</v>
      </c>
      <c r="AP83" s="733" t="str">
        <f t="shared" si="98"/>
        <v>1+0.307266327386068i</v>
      </c>
      <c r="AQ83" s="734">
        <f t="shared" si="99"/>
        <v>1.0461417666575226</v>
      </c>
      <c r="AR83" s="735">
        <f t="shared" si="100"/>
        <v>0.29810974624047637</v>
      </c>
      <c r="AS83" s="732" t="str">
        <f t="shared" si="101"/>
        <v>6.87763960834139-370.817327319323i</v>
      </c>
      <c r="AT83" s="337">
        <f t="shared" si="102"/>
        <v>370.88110246658312</v>
      </c>
      <c r="AU83" s="730">
        <f t="shared" si="103"/>
        <v>-1.5522512086793312</v>
      </c>
      <c r="AV83" s="732" t="str">
        <f t="shared" si="104"/>
        <v>-205.062457558953-403.967275682985i</v>
      </c>
      <c r="AW83" s="337">
        <f t="shared" si="105"/>
        <v>53.122623685078914</v>
      </c>
      <c r="AX83" s="730">
        <f t="shared" si="106"/>
        <v>-116.91332703869627</v>
      </c>
      <c r="AY83" s="360">
        <f t="shared" si="107"/>
        <v>63.086672961303734</v>
      </c>
      <c r="BB83" s="337">
        <f t="shared" si="108"/>
        <v>11.384694105042444</v>
      </c>
      <c r="BC83" s="730">
        <f t="shared" si="109"/>
        <v>-88.937443001406493</v>
      </c>
      <c r="BD83" s="351"/>
      <c r="BE83" s="337">
        <f t="shared" si="69"/>
        <v>25.198598201998955</v>
      </c>
      <c r="BF83" s="730">
        <f t="shared" si="70"/>
        <v>25.281964327961958</v>
      </c>
      <c r="BI83" s="351"/>
      <c r="BJ83" s="351"/>
      <c r="BL83" s="405">
        <f t="shared" si="71"/>
        <v>0</v>
      </c>
      <c r="BM83" s="405">
        <f t="shared" si="72"/>
        <v>0</v>
      </c>
      <c r="BN83" s="405">
        <f t="shared" si="73"/>
        <v>0</v>
      </c>
      <c r="BO83" s="405">
        <f t="shared" si="74"/>
        <v>0</v>
      </c>
    </row>
    <row r="84" spans="4:67" ht="13.5" thickBot="1" x14ac:dyDescent="0.25">
      <c r="D84" s="345">
        <v>691.83</v>
      </c>
      <c r="E84" s="340" t="str">
        <f t="shared" si="60"/>
        <v>0.0114758056804144i</v>
      </c>
      <c r="F84" s="728" t="str">
        <f t="shared" si="75"/>
        <v>0.005-3.77129848045906i</v>
      </c>
      <c r="G84" s="337" t="str">
        <f t="shared" si="76"/>
        <v>0.005-5.89869762328212i</v>
      </c>
      <c r="H84" s="338" t="str">
        <f t="shared" si="77"/>
        <v>1.16683061296555-0.240628495105524i</v>
      </c>
      <c r="I84" s="338" t="str">
        <f t="shared" si="78"/>
        <v>1.17683061296555-0.240628495105524i</v>
      </c>
      <c r="J84" s="337" t="str">
        <f t="shared" si="79"/>
        <v>0.957276101904731-0.506723063394502i</v>
      </c>
      <c r="K84" s="338" t="str">
        <f t="shared" si="61"/>
        <v>0.99999468190279-0.00362241340922171i</v>
      </c>
      <c r="L84" s="732"/>
      <c r="M84" s="732" t="str">
        <f t="shared" si="62"/>
        <v>16.4813542751055+8.52663666409241i</v>
      </c>
      <c r="N84" s="337">
        <f t="shared" si="63"/>
        <v>0</v>
      </c>
      <c r="O84" s="730" t="str">
        <f t="shared" si="64"/>
        <v>16.4241373147191+3.19755331394177i</v>
      </c>
      <c r="P84" s="731" t="str">
        <f t="shared" si="65"/>
        <v>20.0978500254646-0.189136819011146i</v>
      </c>
      <c r="Q84" s="729" t="str">
        <f t="shared" si="66"/>
        <v>19.9336086523174-0.221112352150553i</v>
      </c>
      <c r="R84" s="730"/>
      <c r="S84" s="405" t="str">
        <f t="shared" si="80"/>
        <v>23.999710697204+4.7312996662259i</v>
      </c>
      <c r="T84" s="405" t="str">
        <f t="shared" si="81"/>
        <v>21.9670762037582-1.9936108977913i</v>
      </c>
      <c r="U84" s="405" t="str">
        <f t="shared" si="82"/>
        <v>25.1521374017305-7.61211071466315i</v>
      </c>
      <c r="V84" s="731" t="str">
        <f t="shared" si="67"/>
        <v>6000</v>
      </c>
      <c r="W84" s="733" t="str">
        <f>IMSUM(COMPLEX(1,0),IMDIV(COMPLEX(0,2*PI()*D84),COMPLEX(2*PI()*'Stability Calculations'!EA_Pole1,0)))</f>
        <v>1+4390.36505197671i</v>
      </c>
      <c r="X84" s="734">
        <f t="shared" si="83"/>
        <v>4390.365165862454</v>
      </c>
      <c r="Y84" s="735">
        <f t="shared" si="84"/>
        <v>1.5705685553064515</v>
      </c>
      <c r="Z84" s="340" t="str">
        <f>IMSUM(COMPLEX(1,0),IMDIV(COMPLEX(0,2*PI()*D84),COMPLEX(2*PI()*'Stability Calculations'!EA_Zero1,0)))</f>
        <v>1+43.4689609106605i</v>
      </c>
      <c r="AA84" s="734">
        <f t="shared" si="85"/>
        <v>43.480461849577104</v>
      </c>
      <c r="AB84" s="735">
        <f t="shared" si="86"/>
        <v>1.5477954630462274</v>
      </c>
      <c r="AC84" s="733" t="str">
        <f>IMSUM(COMPLEX(1,0),IMDIV(COMPLEX(0,2*PI()*D84),COMPLEX(2*PI()*'Stability Calculations'!EA_Pole2,0)))</f>
        <v>1+0.437882670645067i</v>
      </c>
      <c r="AD84" s="734">
        <f t="shared" si="87"/>
        <v>1.091669012682533</v>
      </c>
      <c r="AE84" s="735">
        <f t="shared" si="88"/>
        <v>0.412731588868477</v>
      </c>
      <c r="AF84" s="732" t="str">
        <f t="shared" si="89"/>
        <v>49.351108299517-22.9630930058473i</v>
      </c>
      <c r="AG84" s="337">
        <f t="shared" si="90"/>
        <v>54.431934843305442</v>
      </c>
      <c r="AH84" s="730">
        <f t="shared" si="91"/>
        <v>-0.43550468112870128</v>
      </c>
      <c r="AI84" s="731" t="str">
        <f t="shared" si="68"/>
        <v>10000</v>
      </c>
      <c r="AJ84" s="733" t="str">
        <f t="shared" si="92"/>
        <v>1+4093.02866555563i</v>
      </c>
      <c r="AK84" s="734">
        <f t="shared" si="93"/>
        <v>4093.0287877145574</v>
      </c>
      <c r="AL84" s="735">
        <f t="shared" si="94"/>
        <v>1.5705520089408542</v>
      </c>
      <c r="AM84" s="340" t="str">
        <f t="shared" si="95"/>
        <v>1+6.94633995352355i</v>
      </c>
      <c r="AN84" s="734">
        <f t="shared" si="96"/>
        <v>7.0179511789351707</v>
      </c>
      <c r="AO84" s="735">
        <f t="shared" si="97"/>
        <v>1.427817948335119</v>
      </c>
      <c r="AP84" s="733" t="str">
        <f t="shared" si="98"/>
        <v>1+0.33690893761174i</v>
      </c>
      <c r="AQ84" s="734">
        <f t="shared" si="99"/>
        <v>1.0552287108691989</v>
      </c>
      <c r="AR84" s="735">
        <f t="shared" si="100"/>
        <v>0.32496513893791912</v>
      </c>
      <c r="AS84" s="732" t="str">
        <f t="shared" si="101"/>
        <v>5.72096662530452-338.210885464916i</v>
      </c>
      <c r="AT84" s="337">
        <f t="shared" si="102"/>
        <v>338.25926817470997</v>
      </c>
      <c r="AU84" s="730">
        <f t="shared" si="103"/>
        <v>-1.5538825569615258</v>
      </c>
      <c r="AV84" s="732" t="str">
        <f t="shared" si="104"/>
        <v>-197.939726584863-354.619862034006i</v>
      </c>
      <c r="AW84" s="337">
        <f t="shared" si="105"/>
        <v>52.173138304156936</v>
      </c>
      <c r="AX84" s="730">
        <f t="shared" si="106"/>
        <v>-119.16913623091304</v>
      </c>
      <c r="AY84" s="360">
        <f t="shared" si="107"/>
        <v>60.83086376908696</v>
      </c>
      <c r="BB84" s="337">
        <f t="shared" si="108"/>
        <v>10.584994098711174</v>
      </c>
      <c r="BC84" s="730">
        <f t="shared" si="109"/>
        <v>-89.030912372892161</v>
      </c>
      <c r="BD84" s="351"/>
      <c r="BE84" s="337">
        <f t="shared" si="69"/>
        <v>25.369856735034695</v>
      </c>
      <c r="BF84" s="730">
        <f t="shared" si="70"/>
        <v>27.354807498564366</v>
      </c>
      <c r="BI84" s="351"/>
      <c r="BJ84" s="351"/>
      <c r="BL84" s="405">
        <f t="shared" si="71"/>
        <v>0</v>
      </c>
      <c r="BM84" s="405">
        <f t="shared" si="72"/>
        <v>0</v>
      </c>
      <c r="BN84" s="405">
        <f t="shared" si="73"/>
        <v>0</v>
      </c>
      <c r="BO84" s="405">
        <f t="shared" si="74"/>
        <v>0</v>
      </c>
    </row>
    <row r="85" spans="4:67" ht="13.5" thickBot="1" x14ac:dyDescent="0.25">
      <c r="D85" s="345">
        <v>758.58</v>
      </c>
      <c r="E85" s="340" t="str">
        <f t="shared" si="60"/>
        <v>0.0125830285952456i</v>
      </c>
      <c r="F85" s="728" t="str">
        <f t="shared" si="75"/>
        <v>0.005-3.43944927065832i</v>
      </c>
      <c r="G85" s="337" t="str">
        <f t="shared" si="76"/>
        <v>0.005-5.37965142333738i</v>
      </c>
      <c r="H85" s="338" t="str">
        <f t="shared" si="77"/>
        <v>1.15724436343228-0.261668167672189i</v>
      </c>
      <c r="I85" s="338" t="str">
        <f t="shared" si="78"/>
        <v>1.16724436343228-0.261668167672189i</v>
      </c>
      <c r="J85" s="337" t="str">
        <f t="shared" si="79"/>
        <v>0.91660515220422-0.531905140164869i</v>
      </c>
      <c r="K85" s="338" t="str">
        <f t="shared" si="61"/>
        <v>0.99999360618204-0.00397191559193358i</v>
      </c>
      <c r="L85" s="732"/>
      <c r="M85" s="732" t="str">
        <f t="shared" si="62"/>
        <v>16.5174845799698+9.35833161013856i</v>
      </c>
      <c r="N85" s="337">
        <f t="shared" si="63"/>
        <v>0</v>
      </c>
      <c r="O85" s="730" t="str">
        <f t="shared" si="64"/>
        <v>16.4485534611071+3.50931046879482i</v>
      </c>
      <c r="P85" s="731" t="str">
        <f t="shared" si="65"/>
        <v>20.1177561542542-0.207839980791312i</v>
      </c>
      <c r="Q85" s="729" t="str">
        <f t="shared" si="66"/>
        <v>19.9532706196431-0.24293308547927i</v>
      </c>
      <c r="R85" s="730"/>
      <c r="S85" s="405" t="str">
        <f t="shared" si="80"/>
        <v>24.2658526169075+5.10057112579068i</v>
      </c>
      <c r="T85" s="405" t="str">
        <f t="shared" si="81"/>
        <v>21.8619263547145-2.15152185093901i</v>
      </c>
      <c r="U85" s="405" t="str">
        <f t="shared" si="82"/>
        <v>24.7366062673231-8.21040674582308i</v>
      </c>
      <c r="V85" s="731" t="str">
        <f t="shared" si="67"/>
        <v>6000</v>
      </c>
      <c r="W85" s="733" t="str">
        <f>IMSUM(COMPLEX(1,0),IMDIV(COMPLEX(0,2*PI()*D85),COMPLEX(2*PI()*'Stability Calculations'!EA_Pole1,0)))</f>
        <v>1+4813.96169742349i</v>
      </c>
      <c r="X85" s="734">
        <f t="shared" si="83"/>
        <v>4813.9618012880446</v>
      </c>
      <c r="Y85" s="735">
        <f t="shared" si="84"/>
        <v>1.5705885976835181</v>
      </c>
      <c r="Z85" s="340" t="str">
        <f>IMSUM(COMPLEX(1,0),IMDIV(COMPLEX(0,2*PI()*D85),COMPLEX(2*PI()*'Stability Calculations'!EA_Zero1,0)))</f>
        <v>1+47.6629871032029i</v>
      </c>
      <c r="AA85" s="734">
        <f t="shared" si="85"/>
        <v>47.673476269306036</v>
      </c>
      <c r="AB85" s="735">
        <f t="shared" si="86"/>
        <v>1.5498187639014254</v>
      </c>
      <c r="AC85" s="733" t="str">
        <f>IMSUM(COMPLEX(1,0),IMDIV(COMPLEX(0,2*PI()*D85),COMPLEX(2*PI()*'Stability Calculations'!EA_Pole2,0)))</f>
        <v>1+0.480131009493568i</v>
      </c>
      <c r="AD85" s="734">
        <f t="shared" si="87"/>
        <v>1.109290668074564</v>
      </c>
      <c r="AE85" s="735">
        <f t="shared" si="88"/>
        <v>0.44762644687177194</v>
      </c>
      <c r="AF85" s="732" t="str">
        <f t="shared" si="89"/>
        <v>47.79558418492-24.1821763735614i</v>
      </c>
      <c r="AG85" s="337">
        <f t="shared" si="90"/>
        <v>53.564872087402641</v>
      </c>
      <c r="AH85" s="730">
        <f t="shared" si="91"/>
        <v>-0.46839628065386429</v>
      </c>
      <c r="AI85" s="731" t="str">
        <f t="shared" si="68"/>
        <v>10000</v>
      </c>
      <c r="AJ85" s="733" t="str">
        <f t="shared" si="92"/>
        <v>1+4487.93733304018i</v>
      </c>
      <c r="AK85" s="734">
        <f t="shared" si="93"/>
        <v>4487.9374444499344</v>
      </c>
      <c r="AL85" s="735">
        <f t="shared" si="94"/>
        <v>1.570573507288018</v>
      </c>
      <c r="AM85" s="340" t="str">
        <f t="shared" si="95"/>
        <v>1+7.61654533909182i</v>
      </c>
      <c r="AN85" s="734">
        <f t="shared" si="96"/>
        <v>7.6819114094371939</v>
      </c>
      <c r="AO85" s="735">
        <f t="shared" si="97"/>
        <v>1.4402499043040939</v>
      </c>
      <c r="AP85" s="733" t="str">
        <f t="shared" si="98"/>
        <v>1+0.369415003531957i</v>
      </c>
      <c r="AQ85" s="734">
        <f t="shared" si="99"/>
        <v>1.0660522711548979</v>
      </c>
      <c r="AR85" s="735">
        <f t="shared" si="100"/>
        <v>0.35386526716448075</v>
      </c>
      <c r="AS85" s="732" t="str">
        <f t="shared" si="101"/>
        <v>4.75867801097444-308.465419784903i</v>
      </c>
      <c r="AT85" s="337">
        <f t="shared" si="102"/>
        <v>308.50212352508782</v>
      </c>
      <c r="AU85" s="730">
        <f t="shared" si="103"/>
        <v>-1.5553706088605257</v>
      </c>
      <c r="AV85" s="732" t="str">
        <f t="shared" si="104"/>
        <v>-190.071819340702-309.272738026543i</v>
      </c>
      <c r="AW85" s="337">
        <f t="shared" si="105"/>
        <v>51.198393625045568</v>
      </c>
      <c r="AX85" s="730">
        <f t="shared" si="106"/>
        <v>-121.5739149662505</v>
      </c>
      <c r="AY85" s="360">
        <f t="shared" si="107"/>
        <v>58.426085033749501</v>
      </c>
      <c r="BB85" s="337">
        <f t="shared" si="108"/>
        <v>9.7851631555248435</v>
      </c>
      <c r="BC85" s="730">
        <f t="shared" si="109"/>
        <v>-89.116171466401283</v>
      </c>
      <c r="BD85" s="351"/>
      <c r="BE85" s="337">
        <f t="shared" si="69"/>
        <v>25.567916116363143</v>
      </c>
      <c r="BF85" s="730">
        <f t="shared" si="70"/>
        <v>29.53464320520051</v>
      </c>
      <c r="BI85" s="351"/>
      <c r="BJ85" s="351"/>
      <c r="BL85" s="405">
        <f t="shared" si="71"/>
        <v>0</v>
      </c>
      <c r="BM85" s="405">
        <f t="shared" si="72"/>
        <v>0</v>
      </c>
      <c r="BN85" s="405">
        <f t="shared" si="73"/>
        <v>0</v>
      </c>
      <c r="BO85" s="405">
        <f t="shared" si="74"/>
        <v>0</v>
      </c>
    </row>
    <row r="86" spans="4:67" ht="13.5" thickBot="1" x14ac:dyDescent="0.25">
      <c r="D86" s="345">
        <v>831.76</v>
      </c>
      <c r="E86" s="340" t="str">
        <f t="shared" si="60"/>
        <v>0.0137969098373032i</v>
      </c>
      <c r="F86" s="728" t="str">
        <f t="shared" si="75"/>
        <v>0.005-3.13683926581705i</v>
      </c>
      <c r="G86" s="337" t="str">
        <f t="shared" si="76"/>
        <v>0.005-4.90633833884205i</v>
      </c>
      <c r="H86" s="338" t="str">
        <f t="shared" si="77"/>
        <v>1.14592805835565-0.284093489216397i</v>
      </c>
      <c r="I86" s="338" t="str">
        <f t="shared" si="78"/>
        <v>1.15592805835565-0.284093489216397i</v>
      </c>
      <c r="J86" s="337" t="str">
        <f t="shared" si="79"/>
        <v>0.872084458295552-0.554761939106818i</v>
      </c>
      <c r="K86" s="338" t="str">
        <f t="shared" si="61"/>
        <v>0.999992313058916-0.00435508517591641i</v>
      </c>
      <c r="L86" s="732"/>
      <c r="M86" s="732" t="str">
        <f t="shared" si="62"/>
        <v>16.5610634711459+10.2730373190145i</v>
      </c>
      <c r="N86" s="337">
        <f t="shared" si="63"/>
        <v>0</v>
      </c>
      <c r="O86" s="730" t="str">
        <f t="shared" si="64"/>
        <v>16.4779874953696+3.85214065106851i</v>
      </c>
      <c r="P86" s="731" t="str">
        <f t="shared" si="65"/>
        <v>20.1417361696457-0.228491499521306i</v>
      </c>
      <c r="Q86" s="729" t="str">
        <f t="shared" si="66"/>
        <v>19.976956294692-0.267012906031981i</v>
      </c>
      <c r="R86" s="730"/>
      <c r="S86" s="405" t="str">
        <f t="shared" si="80"/>
        <v>24.57450932088+5.48171012572844i</v>
      </c>
      <c r="T86" s="405" t="str">
        <f t="shared" si="81"/>
        <v>21.7399767044641-2.31528457253083i</v>
      </c>
      <c r="U86" s="405" t="str">
        <f t="shared" si="82"/>
        <v>24.2546920209045-8.82933539219556i</v>
      </c>
      <c r="V86" s="731" t="str">
        <f t="shared" si="67"/>
        <v>6000</v>
      </c>
      <c r="W86" s="733" t="str">
        <f>IMSUM(COMPLEX(1,0),IMDIV(COMPLEX(0,2*PI()*D86),COMPLEX(2*PI()*'Stability Calculations'!EA_Pole1,0)))</f>
        <v>1+5278.36323321069i</v>
      </c>
      <c r="X86" s="734">
        <f t="shared" si="83"/>
        <v>5278.3633279370233</v>
      </c>
      <c r="Y86" s="735">
        <f t="shared" si="84"/>
        <v>1.5706068741286336</v>
      </c>
      <c r="Z86" s="340" t="str">
        <f>IMSUM(COMPLEX(1,0),IMDIV(COMPLEX(0,2*PI()*D86),COMPLEX(2*PI()*'Stability Calculations'!EA_Zero1,0)))</f>
        <v>1+52.2610221109969i</v>
      </c>
      <c r="AA86" s="734">
        <f t="shared" si="85"/>
        <v>52.270588595175646</v>
      </c>
      <c r="AB86" s="735">
        <f t="shared" si="86"/>
        <v>1.5516639420732528</v>
      </c>
      <c r="AC86" s="733" t="str">
        <f>IMSUM(COMPLEX(1,0),IMDIV(COMPLEX(0,2*PI()*D86),COMPLEX(2*PI()*'Stability Calculations'!EA_Pole2,0)))</f>
        <v>1+0.526449113417661i</v>
      </c>
      <c r="AD86" s="734">
        <f t="shared" si="87"/>
        <v>1.1301100251826108</v>
      </c>
      <c r="AE86" s="735">
        <f t="shared" si="88"/>
        <v>0.48458232664883993</v>
      </c>
      <c r="AF86" s="732" t="str">
        <f t="shared" si="89"/>
        <v>46.0507512625363-25.3688385311893i</v>
      </c>
      <c r="AG86" s="337">
        <f t="shared" si="90"/>
        <v>52.576132039791055</v>
      </c>
      <c r="AH86" s="730">
        <f t="shared" si="91"/>
        <v>-0.50352525870422138</v>
      </c>
      <c r="AI86" s="731" t="str">
        <f t="shared" si="68"/>
        <v>10000</v>
      </c>
      <c r="AJ86" s="733" t="str">
        <f t="shared" si="92"/>
        <v>1+4920.88738976706i</v>
      </c>
      <c r="AK86" s="734">
        <f t="shared" si="93"/>
        <v>4920.8874913747495</v>
      </c>
      <c r="AL86" s="735">
        <f t="shared" si="94"/>
        <v>1.5705931114178664</v>
      </c>
      <c r="AM86" s="340" t="str">
        <f t="shared" si="95"/>
        <v>1+8.3513113333373i</v>
      </c>
      <c r="AN86" s="734">
        <f t="shared" si="96"/>
        <v>8.4109690872293683</v>
      </c>
      <c r="AO86" s="735">
        <f t="shared" si="97"/>
        <v>1.4516220673646396</v>
      </c>
      <c r="AP86" s="733" t="str">
        <f t="shared" si="98"/>
        <v>1+0.405052365390256i</v>
      </c>
      <c r="AQ86" s="734">
        <f t="shared" si="99"/>
        <v>1.0789195608145408</v>
      </c>
      <c r="AR86" s="735">
        <f t="shared" si="100"/>
        <v>0.38485426220868246</v>
      </c>
      <c r="AS86" s="732" t="str">
        <f t="shared" si="101"/>
        <v>3.95831560098066-281.33724203741i</v>
      </c>
      <c r="AT86" s="337">
        <f t="shared" si="102"/>
        <v>281.3650867105107</v>
      </c>
      <c r="AU86" s="730">
        <f t="shared" si="103"/>
        <v>-1.5567276083631147</v>
      </c>
      <c r="AV86" s="732" t="str">
        <f t="shared" si="104"/>
        <v>-181.428544196368-267.739075434624i</v>
      </c>
      <c r="AW86" s="337">
        <f t="shared" si="105"/>
        <v>50.195338815899298</v>
      </c>
      <c r="AX86" s="730">
        <f t="shared" si="106"/>
        <v>-124.12282033456755</v>
      </c>
      <c r="AY86" s="360">
        <f t="shared" si="107"/>
        <v>55.87717966543245</v>
      </c>
      <c r="BB86" s="337">
        <f t="shared" si="108"/>
        <v>8.9854041370518178</v>
      </c>
      <c r="BC86" s="730">
        <f t="shared" si="109"/>
        <v>-89.193921810700985</v>
      </c>
      <c r="BD86" s="351"/>
      <c r="BE86" s="337">
        <f t="shared" si="69"/>
        <v>25.795596704388334</v>
      </c>
      <c r="BF86" s="730">
        <f t="shared" si="70"/>
        <v>31.81185094730133</v>
      </c>
      <c r="BI86" s="351"/>
      <c r="BJ86" s="351"/>
      <c r="BL86" s="405">
        <f t="shared" si="71"/>
        <v>0</v>
      </c>
      <c r="BM86" s="405">
        <f t="shared" si="72"/>
        <v>0</v>
      </c>
      <c r="BN86" s="405">
        <f t="shared" si="73"/>
        <v>0</v>
      </c>
      <c r="BO86" s="405">
        <f t="shared" si="74"/>
        <v>0</v>
      </c>
    </row>
    <row r="87" spans="4:67" ht="13.5" thickBot="1" x14ac:dyDescent="0.25">
      <c r="D87" s="345">
        <v>912.01</v>
      </c>
      <c r="E87" s="340" t="str">
        <f t="shared" si="60"/>
        <v>0.0151280654764823i</v>
      </c>
      <c r="F87" s="728" t="str">
        <f t="shared" si="75"/>
        <v>0.005-2.86082107404084i</v>
      </c>
      <c r="G87" s="337" t="str">
        <f t="shared" si="76"/>
        <v>0.005-4.47461757734594i</v>
      </c>
      <c r="H87" s="338" t="str">
        <f t="shared" si="77"/>
        <v>1.13261211885591-0.307867904848472i</v>
      </c>
      <c r="I87" s="338" t="str">
        <f t="shared" si="78"/>
        <v>1.14261211885591-0.307867904848472i</v>
      </c>
      <c r="J87" s="337" t="str">
        <f t="shared" si="79"/>
        <v>0.82398611130702-0.574577810839641i</v>
      </c>
      <c r="K87" s="338" t="str">
        <f t="shared" si="61"/>
        <v>0.999990758197332-0.00477527319333404i</v>
      </c>
      <c r="L87" s="732"/>
      <c r="M87" s="732" t="str">
        <f t="shared" si="62"/>
        <v>16.613676150224+11.2799436352703i</v>
      </c>
      <c r="N87" s="337">
        <f t="shared" si="63"/>
        <v>0</v>
      </c>
      <c r="O87" s="730" t="str">
        <f t="shared" si="64"/>
        <v>16.5135003125459+4.22947024854878i</v>
      </c>
      <c r="P87" s="731" t="str">
        <f t="shared" si="65"/>
        <v>20.1706437258854-0.251332780605641i</v>
      </c>
      <c r="Q87" s="729" t="str">
        <f t="shared" si="66"/>
        <v>20.0055087227599-0.293627483091139i</v>
      </c>
      <c r="R87" s="730"/>
      <c r="S87" s="405" t="str">
        <f t="shared" si="80"/>
        <v>24.9302744802383+5.87042217268967i</v>
      </c>
      <c r="T87" s="405" t="str">
        <f t="shared" si="81"/>
        <v>21.5994108372833-2.48331939546298i</v>
      </c>
      <c r="U87" s="405" t="str">
        <f t="shared" si="82"/>
        <v>23.6992201351039-9.46240300272693i</v>
      </c>
      <c r="V87" s="731" t="str">
        <f t="shared" si="67"/>
        <v>6000</v>
      </c>
      <c r="W87" s="733" t="str">
        <f>IMSUM(COMPLEX(1,0),IMDIV(COMPLEX(0,2*PI()*D87),COMPLEX(2*PI()*'Stability Calculations'!EA_Pole1,0)))</f>
        <v>1+5787.63111032086i</v>
      </c>
      <c r="X87" s="734">
        <f t="shared" si="83"/>
        <v>5787.6311967119909</v>
      </c>
      <c r="Y87" s="735">
        <f t="shared" si="84"/>
        <v>1.5706235445337284</v>
      </c>
      <c r="Z87" s="340" t="str">
        <f>IMSUM(COMPLEX(1,0),IMDIV(COMPLEX(0,2*PI()*D87),COMPLEX(2*PI()*'Stability Calculations'!EA_Zero1,0)))</f>
        <v>1+57.3032783200085i</v>
      </c>
      <c r="AA87" s="734">
        <f t="shared" si="85"/>
        <v>57.312003160074205</v>
      </c>
      <c r="AB87" s="735">
        <f t="shared" si="86"/>
        <v>1.5533470894162913</v>
      </c>
      <c r="AC87" s="733" t="str">
        <f>IMSUM(COMPLEX(1,0),IMDIV(COMPLEX(0,2*PI()*D87),COMPLEX(2*PI()*'Stability Calculations'!EA_Pole2,0)))</f>
        <v>1+0.577242060123162i</v>
      </c>
      <c r="AD87" s="734">
        <f t="shared" si="87"/>
        <v>1.1546464376488728</v>
      </c>
      <c r="AE87" s="735">
        <f t="shared" si="88"/>
        <v>0.5235176149957762</v>
      </c>
      <c r="AF87" s="732" t="str">
        <f t="shared" si="89"/>
        <v>44.1143485019464-26.4910866640928i</v>
      </c>
      <c r="AG87" s="337">
        <f t="shared" si="90"/>
        <v>51.457297017970696</v>
      </c>
      <c r="AH87" s="730">
        <f t="shared" si="91"/>
        <v>-0.5407940701132129</v>
      </c>
      <c r="AI87" s="731" t="str">
        <f t="shared" si="68"/>
        <v>10000</v>
      </c>
      <c r="AJ87" s="733" t="str">
        <f t="shared" si="92"/>
        <v>1+5395.66522595636i</v>
      </c>
      <c r="AK87" s="734">
        <f t="shared" si="93"/>
        <v>5395.6653186233389</v>
      </c>
      <c r="AL87" s="735">
        <f t="shared" si="94"/>
        <v>1.5706109928376044</v>
      </c>
      <c r="AM87" s="340" t="str">
        <f t="shared" si="95"/>
        <v>1+9.15706387553736i</v>
      </c>
      <c r="AN87" s="734">
        <f t="shared" si="96"/>
        <v>9.2115046990527727</v>
      </c>
      <c r="AO87" s="735">
        <f t="shared" si="97"/>
        <v>1.4620220568089819</v>
      </c>
      <c r="AP87" s="733" t="str">
        <f t="shared" si="98"/>
        <v>1+0.444132691833663i</v>
      </c>
      <c r="AQ87" s="734">
        <f t="shared" si="99"/>
        <v>1.0941909558918022</v>
      </c>
      <c r="AR87" s="735">
        <f t="shared" si="100"/>
        <v>0.41796396996125823</v>
      </c>
      <c r="AS87" s="732" t="str">
        <f t="shared" si="101"/>
        <v>3.29246934923953-256.590230972216i</v>
      </c>
      <c r="AT87" s="337">
        <f t="shared" si="102"/>
        <v>256.61135396702696</v>
      </c>
      <c r="AU87" s="730">
        <f t="shared" si="103"/>
        <v>-1.5579654070350397</v>
      </c>
      <c r="AV87" s="732" t="str">
        <f t="shared" si="104"/>
        <v>-172.007695241747-229.855059013714i</v>
      </c>
      <c r="AW87" s="337">
        <f t="shared" si="105"/>
        <v>49.160325858264279</v>
      </c>
      <c r="AX87" s="730">
        <f t="shared" si="106"/>
        <v>-126.80865218645721</v>
      </c>
      <c r="AY87" s="360">
        <f t="shared" si="107"/>
        <v>53.191347813542791</v>
      </c>
      <c r="BB87" s="337">
        <f t="shared" si="108"/>
        <v>8.1855173631584535</v>
      </c>
      <c r="BC87" s="730">
        <f t="shared" si="109"/>
        <v>-89.264842450489198</v>
      </c>
      <c r="BD87" s="351"/>
      <c r="BE87" s="337">
        <f t="shared" si="69"/>
        <v>26.055758446786406</v>
      </c>
      <c r="BF87" s="730">
        <f t="shared" si="70"/>
        <v>34.174752031679645</v>
      </c>
      <c r="BI87" s="351"/>
      <c r="BJ87" s="351"/>
      <c r="BL87" s="405">
        <f t="shared" si="71"/>
        <v>0</v>
      </c>
      <c r="BM87" s="405">
        <f t="shared" si="72"/>
        <v>0</v>
      </c>
      <c r="BN87" s="405">
        <f t="shared" si="73"/>
        <v>0</v>
      </c>
      <c r="BO87" s="405">
        <f t="shared" si="74"/>
        <v>0</v>
      </c>
    </row>
    <row r="88" spans="4:67" ht="13.5" thickBot="1" x14ac:dyDescent="0.25">
      <c r="D88" s="345">
        <v>1000</v>
      </c>
      <c r="E88" s="340" t="str">
        <f t="shared" si="60"/>
        <v>0.0165876092109541i</v>
      </c>
      <c r="F88" s="728" t="str">
        <f t="shared" si="75"/>
        <v>0.005-2.60909742773599i</v>
      </c>
      <c r="G88" s="337" t="str">
        <f t="shared" si="76"/>
        <v>0.005-4.08089597671526i</v>
      </c>
      <c r="H88" s="338" t="str">
        <f t="shared" si="77"/>
        <v>1.11700900443241-0.332899770418002i</v>
      </c>
      <c r="I88" s="338" t="str">
        <f t="shared" si="78"/>
        <v>1.12700900443241-0.332899770418002i</v>
      </c>
      <c r="J88" s="337" t="str">
        <f t="shared" si="79"/>
        <v>0.77277679220007-0.590661057715006i</v>
      </c>
      <c r="K88" s="338" t="str">
        <f t="shared" si="61"/>
        <v>0.999988888888889-0.00523598775598299i</v>
      </c>
      <c r="L88" s="732"/>
      <c r="M88" s="732" t="str">
        <f t="shared" si="62"/>
        <v>16.6772387270684+12.3890365810763i</v>
      </c>
      <c r="N88" s="337">
        <f t="shared" si="63"/>
        <v>0</v>
      </c>
      <c r="O88" s="730" t="str">
        <f t="shared" si="64"/>
        <v>16.5563710237116+4.64501754062106i</v>
      </c>
      <c r="P88" s="731" t="str">
        <f t="shared" si="65"/>
        <v>20.2055044973071-0.276635518722382i</v>
      </c>
      <c r="Q88" s="729" t="str">
        <f t="shared" si="66"/>
        <v>20.03994078707-0.323085694128601i</v>
      </c>
      <c r="R88" s="730"/>
      <c r="S88" s="405" t="str">
        <f t="shared" si="80"/>
        <v>25.3372590757366+6.26096633805282i</v>
      </c>
      <c r="T88" s="405" t="str">
        <f t="shared" si="81"/>
        <v>21.4386024403713-2.65348095732768i</v>
      </c>
      <c r="U88" s="405" t="str">
        <f t="shared" si="82"/>
        <v>23.0637687668385-10.1008679529073i</v>
      </c>
      <c r="V88" s="731" t="str">
        <f t="shared" si="67"/>
        <v>6000</v>
      </c>
      <c r="W88" s="733" t="str">
        <f>IMSUM(COMPLEX(1,0),IMDIV(COMPLEX(0,2*PI()*D88),COMPLEX(2*PI()*'Stability Calculations'!EA_Pole1,0)))</f>
        <v>1+6346.01716025139i</v>
      </c>
      <c r="X88" s="734">
        <f t="shared" si="83"/>
        <v>6346.0172390409662</v>
      </c>
      <c r="Y88" s="735">
        <f t="shared" si="84"/>
        <v>1.5706387476446249</v>
      </c>
      <c r="Z88" s="340" t="str">
        <f>IMSUM(COMPLEX(1,0),IMDIV(COMPLEX(0,2*PI()*D88),COMPLEX(2*PI()*'Stability Calculations'!EA_Zero1,0)))</f>
        <v>1+62.8318530717959i</v>
      </c>
      <c r="AA88" s="734">
        <f t="shared" si="85"/>
        <v>62.839810315084087</v>
      </c>
      <c r="AB88" s="735">
        <f t="shared" si="86"/>
        <v>1.5548821760954434</v>
      </c>
      <c r="AC88" s="733" t="str">
        <f>IMSUM(COMPLEX(1,0),IMDIV(COMPLEX(0,2*PI()*D88),COMPLEX(2*PI()*'Stability Calculations'!EA_Pole2,0)))</f>
        <v>1+0.632933915333344i</v>
      </c>
      <c r="AD88" s="734">
        <f t="shared" si="87"/>
        <v>1.1834717323109989</v>
      </c>
      <c r="AE88" s="735">
        <f t="shared" si="88"/>
        <v>0.56428426987437508</v>
      </c>
      <c r="AF88" s="732" t="str">
        <f t="shared" si="89"/>
        <v>41.9915505366568-27.5139902405788i</v>
      </c>
      <c r="AG88" s="337">
        <f t="shared" si="90"/>
        <v>50.202688926304212</v>
      </c>
      <c r="AH88" s="730">
        <f t="shared" si="91"/>
        <v>-0.58004084142355683</v>
      </c>
      <c r="AI88" s="731" t="str">
        <f t="shared" si="68"/>
        <v>10000</v>
      </c>
      <c r="AJ88" s="733" t="str">
        <f t="shared" si="92"/>
        <v>1+5916.23471886971i</v>
      </c>
      <c r="AK88" s="734">
        <f t="shared" si="93"/>
        <v>5916.234803382923</v>
      </c>
      <c r="AL88" s="735">
        <f t="shared" si="94"/>
        <v>1.5706273003721809</v>
      </c>
      <c r="AM88" s="340" t="str">
        <f t="shared" si="95"/>
        <v>1+10.040530120873i</v>
      </c>
      <c r="AN88" s="734">
        <f t="shared" si="96"/>
        <v>10.090205404656437</v>
      </c>
      <c r="AO88" s="735">
        <f t="shared" si="97"/>
        <v>1.4715273587209365</v>
      </c>
      <c r="AP88" s="733" t="str">
        <f t="shared" si="98"/>
        <v>1+0.486982260977032i</v>
      </c>
      <c r="AQ88" s="734">
        <f t="shared" si="99"/>
        <v>1.1122732229566179</v>
      </c>
      <c r="AR88" s="735">
        <f t="shared" si="100"/>
        <v>0.45317928865589269</v>
      </c>
      <c r="AS88" s="732" t="str">
        <f t="shared" si="101"/>
        <v>2.73862753009279-234.019337921265i</v>
      </c>
      <c r="AT88" s="337">
        <f t="shared" si="102"/>
        <v>234.03536186195407</v>
      </c>
      <c r="AU88" s="730">
        <f t="shared" si="103"/>
        <v>-1.5590942916288064</v>
      </c>
      <c r="AV88" s="732" t="str">
        <f t="shared" si="104"/>
        <v>-161.848835285136-195.508916345445i</v>
      </c>
      <c r="AW88" s="337">
        <f t="shared" si="105"/>
        <v>48.090125081395684</v>
      </c>
      <c r="AX88" s="730">
        <f t="shared" si="106"/>
        <v>-129.61909736897493</v>
      </c>
      <c r="AY88" s="360">
        <f t="shared" si="107"/>
        <v>50.380902631025066</v>
      </c>
      <c r="BB88" s="337">
        <f t="shared" si="108"/>
        <v>7.3856296525815495</v>
      </c>
      <c r="BC88" s="730">
        <f t="shared" si="109"/>
        <v>-89.32952277326936</v>
      </c>
      <c r="BD88" s="351"/>
      <c r="BE88" s="337">
        <f t="shared" si="69"/>
        <v>26.35100070192021</v>
      </c>
      <c r="BF88" s="730">
        <f t="shared" si="70"/>
        <v>36.607585482004261</v>
      </c>
      <c r="BI88" s="351"/>
      <c r="BJ88" s="351"/>
      <c r="BL88" s="405">
        <f t="shared" si="71"/>
        <v>0</v>
      </c>
      <c r="BM88" s="405">
        <f t="shared" si="72"/>
        <v>0</v>
      </c>
      <c r="BN88" s="405">
        <f t="shared" si="73"/>
        <v>0</v>
      </c>
      <c r="BO88" s="405">
        <f t="shared" si="74"/>
        <v>0</v>
      </c>
    </row>
    <row r="89" spans="4:67" ht="13.5" thickBot="1" x14ac:dyDescent="0.25">
      <c r="D89" s="345">
        <v>1096.5</v>
      </c>
      <c r="E89" s="340" t="str">
        <f t="shared" si="60"/>
        <v>0.0181883134998112i</v>
      </c>
      <c r="F89" s="728" t="str">
        <f t="shared" si="75"/>
        <v>0.005-2.37947781827268i</v>
      </c>
      <c r="G89" s="337" t="str">
        <f t="shared" si="76"/>
        <v>0.005-3.72174735678547i</v>
      </c>
      <c r="H89" s="338" t="str">
        <f t="shared" si="77"/>
        <v>1.09880815478397-0.359050154221628i</v>
      </c>
      <c r="I89" s="338" t="str">
        <f t="shared" si="78"/>
        <v>1.10880815478397-0.359050154221628i</v>
      </c>
      <c r="J89" s="337" t="str">
        <f t="shared" si="79"/>
        <v>0.719075735919535-0.602411321698383i</v>
      </c>
      <c r="K89" s="338" t="str">
        <f t="shared" si="61"/>
        <v>0.999986640975-0.00574126057443535i</v>
      </c>
      <c r="L89" s="732"/>
      <c r="M89" s="732" t="str">
        <f t="shared" si="62"/>
        <v>16.7541262227771+13.6121211336558i</v>
      </c>
      <c r="N89" s="337">
        <f t="shared" si="63"/>
        <v>0</v>
      </c>
      <c r="O89" s="730" t="str">
        <f t="shared" si="64"/>
        <v>16.608180740572+5.10317364791586i</v>
      </c>
      <c r="P89" s="731" t="str">
        <f t="shared" si="65"/>
        <v>20.2475815265764-0.304729300155308i</v>
      </c>
      <c r="Q89" s="729" t="str">
        <f t="shared" si="66"/>
        <v>20.0814997191707-0.35576103663447i</v>
      </c>
      <c r="R89" s="730"/>
      <c r="S89" s="405" t="str">
        <f t="shared" si="80"/>
        <v>25.7990326368852+6.64639434392975i</v>
      </c>
      <c r="T89" s="405" t="str">
        <f t="shared" si="81"/>
        <v>21.256138326026-2.82316529476371i</v>
      </c>
      <c r="U89" s="405" t="str">
        <f t="shared" si="82"/>
        <v>22.3427601973755-10.7341367923054i</v>
      </c>
      <c r="V89" s="731" t="str">
        <f t="shared" si="67"/>
        <v>6000</v>
      </c>
      <c r="W89" s="733" t="str">
        <f>IMSUM(COMPLEX(1,0),IMDIV(COMPLEX(0,2*PI()*D89),COMPLEX(2*PI()*'Stability Calculations'!EA_Pole1,0)))</f>
        <v>1+6958.40781621564i</v>
      </c>
      <c r="X89" s="734">
        <f t="shared" si="83"/>
        <v>6958.4078880711586</v>
      </c>
      <c r="Y89" s="735">
        <f t="shared" si="84"/>
        <v>1.5706526157593368</v>
      </c>
      <c r="Z89" s="340" t="str">
        <f>IMSUM(COMPLEX(1,0),IMDIV(COMPLEX(0,2*PI()*D89),COMPLEX(2*PI()*'Stability Calculations'!EA_Zero1,0)))</f>
        <v>1+68.8951268932242i</v>
      </c>
      <c r="AA89" s="734">
        <f t="shared" si="85"/>
        <v>68.90238391836283</v>
      </c>
      <c r="AB89" s="735">
        <f t="shared" si="86"/>
        <v>1.5562825313009074</v>
      </c>
      <c r="AC89" s="733" t="str">
        <f>IMSUM(COMPLEX(1,0),IMDIV(COMPLEX(0,2*PI()*D89),COMPLEX(2*PI()*'Stability Calculations'!EA_Pole2,0)))</f>
        <v>1+0.694012038163011i</v>
      </c>
      <c r="AD89" s="734">
        <f t="shared" si="87"/>
        <v>1.2172315757961494</v>
      </c>
      <c r="AE89" s="735">
        <f t="shared" si="88"/>
        <v>0.60669588264290208</v>
      </c>
      <c r="AF89" s="732" t="str">
        <f t="shared" si="89"/>
        <v>39.6945686259646-28.4022373884701i</v>
      </c>
      <c r="AG89" s="337">
        <f t="shared" si="90"/>
        <v>48.809280542458538</v>
      </c>
      <c r="AH89" s="730">
        <f t="shared" si="91"/>
        <v>-0.62106596710133044</v>
      </c>
      <c r="AI89" s="731" t="str">
        <f t="shared" si="68"/>
        <v>10000</v>
      </c>
      <c r="AJ89" s="733" t="str">
        <f t="shared" si="92"/>
        <v>1+6487.15136924064i</v>
      </c>
      <c r="AK89" s="734">
        <f t="shared" si="93"/>
        <v>6487.151446316072</v>
      </c>
      <c r="AL89" s="735">
        <f t="shared" si="94"/>
        <v>1.5706421759303399</v>
      </c>
      <c r="AM89" s="340" t="str">
        <f t="shared" si="95"/>
        <v>1+11.0094412775372i</v>
      </c>
      <c r="AN89" s="734">
        <f t="shared" si="96"/>
        <v>11.054763554393189</v>
      </c>
      <c r="AO89" s="735">
        <f t="shared" si="97"/>
        <v>1.480213761293713</v>
      </c>
      <c r="AP89" s="733" t="str">
        <f t="shared" si="98"/>
        <v>1+0.533976049161316i</v>
      </c>
      <c r="AQ89" s="734">
        <f t="shared" si="99"/>
        <v>1.1336359296872731</v>
      </c>
      <c r="AR89" s="735">
        <f t="shared" si="100"/>
        <v>0.49045757700439974</v>
      </c>
      <c r="AS89" s="732" t="str">
        <f t="shared" si="101"/>
        <v>2.27785305623939-213.428846481074i</v>
      </c>
      <c r="AT89" s="337">
        <f t="shared" si="102"/>
        <v>213.44100150811624</v>
      </c>
      <c r="AU89" s="730">
        <f t="shared" si="103"/>
        <v>-1.560124074131092</v>
      </c>
      <c r="AV89" s="732" t="str">
        <f t="shared" si="104"/>
        <v>-151.030128194276-164.59811323117i</v>
      </c>
      <c r="AW89" s="337">
        <f t="shared" si="105"/>
        <v>46.98123508677682</v>
      </c>
      <c r="AX89" s="730">
        <f t="shared" si="106"/>
        <v>-132.53852836501184</v>
      </c>
      <c r="AY89" s="360">
        <f t="shared" si="107"/>
        <v>47.461471634988158</v>
      </c>
      <c r="BB89" s="337">
        <f t="shared" si="108"/>
        <v>6.5855570007661965</v>
      </c>
      <c r="BC89" s="730">
        <f t="shared" si="109"/>
        <v>-89.388524964466754</v>
      </c>
      <c r="BD89" s="351"/>
      <c r="BE89" s="337">
        <f t="shared" si="69"/>
        <v>26.683771442685853</v>
      </c>
      <c r="BF89" s="730">
        <f t="shared" si="70"/>
        <v>39.092609678170213</v>
      </c>
      <c r="BI89" s="351"/>
      <c r="BJ89" s="351"/>
      <c r="BL89" s="405">
        <f t="shared" si="71"/>
        <v>0</v>
      </c>
      <c r="BM89" s="405">
        <f t="shared" si="72"/>
        <v>0</v>
      </c>
      <c r="BN89" s="405">
        <f t="shared" si="73"/>
        <v>0</v>
      </c>
      <c r="BO89" s="405">
        <f t="shared" si="74"/>
        <v>0</v>
      </c>
    </row>
    <row r="90" spans="4:67" ht="13.5" thickBot="1" x14ac:dyDescent="0.25">
      <c r="D90" s="345">
        <v>1202.3</v>
      </c>
      <c r="E90" s="340" t="str">
        <f t="shared" si="60"/>
        <v>0.0199432825543301i</v>
      </c>
      <c r="F90" s="728" t="str">
        <f t="shared" si="75"/>
        <v>0.005-2.17008852011643i</v>
      </c>
      <c r="G90" s="337" t="str">
        <f t="shared" si="76"/>
        <v>0.005-3.39424101864365i</v>
      </c>
      <c r="H90" s="338" t="str">
        <f t="shared" si="77"/>
        <v>1.07770112784909-0.386097570558693i</v>
      </c>
      <c r="I90" s="338" t="str">
        <f t="shared" si="78"/>
        <v>1.08770112784909-0.386097570558693i</v>
      </c>
      <c r="J90" s="337" t="str">
        <f t="shared" si="79"/>
        <v>0.663680977684491-0.609357964353626i</v>
      </c>
      <c r="K90" s="338" t="str">
        <f t="shared" si="61"/>
        <v>0.999983938607889-0.00629522807901835i</v>
      </c>
      <c r="L90" s="732"/>
      <c r="M90" s="732" t="str">
        <f t="shared" si="62"/>
        <v>16.8472153782469+14.9620019636818i</v>
      </c>
      <c r="N90" s="337">
        <f t="shared" si="63"/>
        <v>0</v>
      </c>
      <c r="O90" s="730" t="str">
        <f t="shared" si="64"/>
        <v>16.6708376312418+5.60869247614248i</v>
      </c>
      <c r="P90" s="731" t="str">
        <f t="shared" si="65"/>
        <v>20.2983914327401-0.335988776542028i</v>
      </c>
      <c r="Q90" s="729" t="str">
        <f t="shared" si="66"/>
        <v>20.1316830564276-0.392075701303466i</v>
      </c>
      <c r="R90" s="730"/>
      <c r="S90" s="405" t="str">
        <f t="shared" si="80"/>
        <v>26.3178121095208+7.01821803919826i</v>
      </c>
      <c r="T90" s="405" t="str">
        <f t="shared" si="81"/>
        <v>21.0511386960264-2.98916403795616i</v>
      </c>
      <c r="U90" s="405" t="str">
        <f t="shared" si="82"/>
        <v>21.5327269421588-11.3492189630611i</v>
      </c>
      <c r="V90" s="731" t="str">
        <f t="shared" si="67"/>
        <v>6000</v>
      </c>
      <c r="W90" s="733" t="str">
        <f>IMSUM(COMPLEX(1,0),IMDIV(COMPLEX(0,2*PI()*D90),COMPLEX(2*PI()*'Stability Calculations'!EA_Pole1,0)))</f>
        <v>1+7629.81643177024i</v>
      </c>
      <c r="X90" s="734">
        <f t="shared" si="83"/>
        <v>7629.8164973026169</v>
      </c>
      <c r="Y90" s="735">
        <f t="shared" si="84"/>
        <v>1.570665262043442</v>
      </c>
      <c r="Z90" s="340" t="str">
        <f>IMSUM(COMPLEX(1,0),IMDIV(COMPLEX(0,2*PI()*D90),COMPLEX(2*PI()*'Stability Calculations'!EA_Zero1,0)))</f>
        <v>1+75.5427369482202i</v>
      </c>
      <c r="AA90" s="734">
        <f t="shared" si="85"/>
        <v>75.549355428276115</v>
      </c>
      <c r="AB90" s="735">
        <f t="shared" si="86"/>
        <v>1.5575595599564855</v>
      </c>
      <c r="AC90" s="733" t="str">
        <f>IMSUM(COMPLEX(1,0),IMDIV(COMPLEX(0,2*PI()*D90),COMPLEX(2*PI()*'Stability Calculations'!EA_Pole2,0)))</f>
        <v>1+0.760976446405279i</v>
      </c>
      <c r="AD90" s="734">
        <f t="shared" si="87"/>
        <v>1.2566165493035679</v>
      </c>
      <c r="AE90" s="735">
        <f t="shared" si="88"/>
        <v>0.65048910254244408</v>
      </c>
      <c r="AF90" s="732" t="str">
        <f t="shared" si="89"/>
        <v>37.2453280451363-29.1214198559587i</v>
      </c>
      <c r="AG90" s="337">
        <f t="shared" si="90"/>
        <v>47.278658564058709</v>
      </c>
      <c r="AH90" s="730">
        <f t="shared" si="91"/>
        <v>-0.66359480462940001</v>
      </c>
      <c r="AI90" s="731" t="str">
        <f t="shared" si="68"/>
        <v>10000</v>
      </c>
      <c r="AJ90" s="733" t="str">
        <f t="shared" si="92"/>
        <v>1+7113.08900249705i</v>
      </c>
      <c r="AK90" s="734">
        <f t="shared" si="93"/>
        <v>7113.0890727899996</v>
      </c>
      <c r="AL90" s="735">
        <f t="shared" si="94"/>
        <v>1.5706557408985216</v>
      </c>
      <c r="AM90" s="340" t="str">
        <f t="shared" si="95"/>
        <v>1+12.0717293643256i</v>
      </c>
      <c r="AN90" s="734">
        <f t="shared" si="96"/>
        <v>12.113077637228324</v>
      </c>
      <c r="AO90" s="735">
        <f t="shared" si="97"/>
        <v>1.4881468609050328</v>
      </c>
      <c r="AP90" s="733" t="str">
        <f t="shared" si="98"/>
        <v>1+0.585498772372686i</v>
      </c>
      <c r="AQ90" s="734">
        <f t="shared" si="99"/>
        <v>1.1587962773714464</v>
      </c>
      <c r="AR90" s="735">
        <f t="shared" si="100"/>
        <v>0.52968859010262626</v>
      </c>
      <c r="AS90" s="732" t="str">
        <f t="shared" si="101"/>
        <v>1.89463521246992-194.651264077093i</v>
      </c>
      <c r="AT90" s="337">
        <f t="shared" si="102"/>
        <v>194.66048456067946</v>
      </c>
      <c r="AU90" s="730">
        <f t="shared" si="103"/>
        <v>-1.5610631488892246</v>
      </c>
      <c r="AV90" s="732" t="str">
        <f t="shared" si="104"/>
        <v>-139.679241510312-137.045881733138i</v>
      </c>
      <c r="AW90" s="337">
        <f t="shared" si="105"/>
        <v>45.831065101433097</v>
      </c>
      <c r="AX90" s="730">
        <f t="shared" si="106"/>
        <v>-135.54521918795325</v>
      </c>
      <c r="AY90" s="360">
        <f t="shared" si="107"/>
        <v>44.454780812046749</v>
      </c>
      <c r="BB90" s="337">
        <f t="shared" si="108"/>
        <v>5.7855560022571506</v>
      </c>
      <c r="BC90" s="730">
        <f t="shared" si="109"/>
        <v>-89.44232998475502</v>
      </c>
      <c r="BD90" s="351"/>
      <c r="BE90" s="337">
        <f t="shared" si="69"/>
        <v>27.05598753529399</v>
      </c>
      <c r="BF90" s="730">
        <f t="shared" si="70"/>
        <v>41.608260746937532</v>
      </c>
      <c r="BI90" s="351"/>
      <c r="BJ90" s="351"/>
      <c r="BL90" s="405">
        <f t="shared" si="71"/>
        <v>0</v>
      </c>
      <c r="BM90" s="405">
        <f t="shared" ref="BM90:BM153" si="110">IF(BL90&gt;0,AY90,0)</f>
        <v>0</v>
      </c>
      <c r="BN90" s="405">
        <f t="shared" si="73"/>
        <v>0</v>
      </c>
      <c r="BO90" s="405">
        <f t="shared" si="74"/>
        <v>0</v>
      </c>
    </row>
    <row r="91" spans="4:67" ht="13.5" thickBot="1" x14ac:dyDescent="0.25">
      <c r="D91" s="345">
        <v>1318.3</v>
      </c>
      <c r="E91" s="340" t="str">
        <f t="shared" si="60"/>
        <v>0.0218674452228008i</v>
      </c>
      <c r="F91" s="728" t="str">
        <f t="shared" si="75"/>
        <v>0.005-1.97913785006143i</v>
      </c>
      <c r="G91" s="337" t="str">
        <f t="shared" si="76"/>
        <v>0.005-3.09557458599353i</v>
      </c>
      <c r="H91" s="338" t="str">
        <f t="shared" si="77"/>
        <v>1.05338020025694-0.413750697670932i</v>
      </c>
      <c r="I91" s="338" t="str">
        <f t="shared" si="78"/>
        <v>1.06338020025694-0.413750697670932i</v>
      </c>
      <c r="J91" s="337" t="str">
        <f t="shared" si="79"/>
        <v>0.607480515790481-0.611216482166301i</v>
      </c>
      <c r="K91" s="338" t="str">
        <f t="shared" si="61"/>
        <v>0.999980689834556-0.00690260265871237i</v>
      </c>
      <c r="L91" s="732"/>
      <c r="M91" s="732" t="str">
        <f t="shared" si="62"/>
        <v>16.9600868487513+16.4538789162369i</v>
      </c>
      <c r="N91" s="337">
        <f t="shared" si="63"/>
        <v>0</v>
      </c>
      <c r="O91" s="730" t="str">
        <f t="shared" si="64"/>
        <v>16.7467075135325+6.16720919356174i</v>
      </c>
      <c r="P91" s="731" t="str">
        <f t="shared" si="65"/>
        <v>20.3598042959034-0.370873770139017i</v>
      </c>
      <c r="Q91" s="729" t="str">
        <f t="shared" si="66"/>
        <v>20.1923372207681-0.432545862074619i</v>
      </c>
      <c r="R91" s="730"/>
      <c r="S91" s="405" t="str">
        <f t="shared" si="80"/>
        <v>26.8944134520301+7.36692749112041i</v>
      </c>
      <c r="T91" s="405" t="str">
        <f t="shared" si="81"/>
        <v>20.8232759961205-3.14788529632289i</v>
      </c>
      <c r="U91" s="405" t="str">
        <f t="shared" si="82"/>
        <v>20.6323869012573-11.9315650150158i</v>
      </c>
      <c r="V91" s="731" t="str">
        <f t="shared" si="67"/>
        <v>6000</v>
      </c>
      <c r="W91" s="733" t="str">
        <f>IMSUM(COMPLEX(1,0),IMDIV(COMPLEX(0,2*PI()*D91),COMPLEX(2*PI()*'Stability Calculations'!EA_Pole1,0)))</f>
        <v>1+8365.9544223594i</v>
      </c>
      <c r="X91" s="734">
        <f t="shared" si="83"/>
        <v>8365.9544821254422</v>
      </c>
      <c r="Y91" s="735">
        <f t="shared" si="84"/>
        <v>1.570676794707492</v>
      </c>
      <c r="Z91" s="340" t="str">
        <f>IMSUM(COMPLEX(1,0),IMDIV(COMPLEX(0,2*PI()*D91),COMPLEX(2*PI()*'Stability Calculations'!EA_Zero1,0)))</f>
        <v>1+82.8312319045485i</v>
      </c>
      <c r="AA91" s="734">
        <f t="shared" si="85"/>
        <v>82.837268055055347</v>
      </c>
      <c r="AB91" s="735">
        <f t="shared" si="86"/>
        <v>1.5587241723965446</v>
      </c>
      <c r="AC91" s="733" t="str">
        <f>IMSUM(COMPLEX(1,0),IMDIV(COMPLEX(0,2*PI()*D91),COMPLEX(2*PI()*'Stability Calculations'!EA_Pole2,0)))</f>
        <v>1+0.834396780583947i</v>
      </c>
      <c r="AD91" s="734">
        <f t="shared" si="87"/>
        <v>1.3023893378897324</v>
      </c>
      <c r="AE91" s="735">
        <f t="shared" si="88"/>
        <v>0.69536555625609842</v>
      </c>
      <c r="AF91" s="732" t="str">
        <f t="shared" si="89"/>
        <v>34.6733307639125-29.641407163112i</v>
      </c>
      <c r="AG91" s="337">
        <f t="shared" si="90"/>
        <v>45.616366414622163</v>
      </c>
      <c r="AH91" s="730">
        <f t="shared" si="91"/>
        <v>-0.70731817856704626</v>
      </c>
      <c r="AI91" s="731" t="str">
        <f t="shared" si="68"/>
        <v>10000</v>
      </c>
      <c r="AJ91" s="733" t="str">
        <f t="shared" si="92"/>
        <v>1+7799.37222988594i</v>
      </c>
      <c r="AK91" s="734">
        <f t="shared" si="93"/>
        <v>7799.3722939936624</v>
      </c>
      <c r="AL91" s="735">
        <f t="shared" si="94"/>
        <v>1.5706681113481855</v>
      </c>
      <c r="AM91" s="340" t="str">
        <f t="shared" si="95"/>
        <v>1+13.2364308583468i</v>
      </c>
      <c r="AN91" s="734">
        <f t="shared" si="96"/>
        <v>13.274151643995761</v>
      </c>
      <c r="AO91" s="735">
        <f t="shared" si="97"/>
        <v>1.4953905058541146</v>
      </c>
      <c r="AP91" s="733" t="str">
        <f t="shared" si="98"/>
        <v>1+0.641988714646021i</v>
      </c>
      <c r="AQ91" s="734">
        <f t="shared" si="99"/>
        <v>1.1883389708887151</v>
      </c>
      <c r="AR91" s="735">
        <f t="shared" si="100"/>
        <v>0.57072275357915814</v>
      </c>
      <c r="AS91" s="732" t="str">
        <f t="shared" si="101"/>
        <v>1.57590384949815-177.526317815191i</v>
      </c>
      <c r="AT91" s="337">
        <f t="shared" si="102"/>
        <v>177.53331233873561</v>
      </c>
      <c r="AU91" s="730">
        <f t="shared" si="103"/>
        <v>-1.5619195446007303</v>
      </c>
      <c r="AV91" s="732" t="str">
        <f t="shared" si="104"/>
        <v>-127.960588215305-112.756313480545i</v>
      </c>
      <c r="AW91" s="337">
        <f t="shared" si="105"/>
        <v>44.637123441083574</v>
      </c>
      <c r="AX91" s="730">
        <f t="shared" si="106"/>
        <v>-138.61414200847102</v>
      </c>
      <c r="AY91" s="360">
        <f t="shared" si="107"/>
        <v>41.385857991528979</v>
      </c>
      <c r="BB91" s="337">
        <f t="shared" si="108"/>
        <v>4.9855971204960321</v>
      </c>
      <c r="BC91" s="730">
        <f t="shared" si="109"/>
        <v>-89.491397844617396</v>
      </c>
      <c r="BD91" s="351"/>
      <c r="BE91" s="337">
        <f t="shared" si="69"/>
        <v>27.469257144950401</v>
      </c>
      <c r="BF91" s="730">
        <f t="shared" si="70"/>
        <v>44.132058740737271</v>
      </c>
      <c r="BI91" s="351"/>
      <c r="BJ91" s="351"/>
      <c r="BL91" s="405">
        <f t="shared" si="71"/>
        <v>0</v>
      </c>
      <c r="BM91" s="405">
        <f t="shared" si="110"/>
        <v>0</v>
      </c>
      <c r="BN91" s="405">
        <f t="shared" si="73"/>
        <v>0</v>
      </c>
      <c r="BO91" s="405">
        <f t="shared" si="74"/>
        <v>0</v>
      </c>
    </row>
    <row r="92" spans="4:67" ht="13.5" thickBot="1" x14ac:dyDescent="0.25">
      <c r="D92" s="345">
        <v>1445.4</v>
      </c>
      <c r="E92" s="340" t="str">
        <f t="shared" si="60"/>
        <v>0.0239757303535131i</v>
      </c>
      <c r="F92" s="728" t="str">
        <f t="shared" si="75"/>
        <v>0.005-1.80510407343018i</v>
      </c>
      <c r="G92" s="337" t="str">
        <f t="shared" si="76"/>
        <v>0.005-2.82336790972413i</v>
      </c>
      <c r="H92" s="338" t="str">
        <f t="shared" si="77"/>
        <v>1.02558152807253-0.441612809002908i</v>
      </c>
      <c r="I92" s="338" t="str">
        <f t="shared" si="78"/>
        <v>1.03558152807253-0.441612809002908i</v>
      </c>
      <c r="J92" s="337" t="str">
        <f t="shared" si="79"/>
        <v>0.551452084267023-0.607913723333037i</v>
      </c>
      <c r="K92" s="338" t="str">
        <f t="shared" si="61"/>
        <v>0.999976786876-0.00756809670249781i</v>
      </c>
      <c r="L92" s="732"/>
      <c r="M92" s="732" t="str">
        <f t="shared" si="62"/>
        <v>17.0970898506244+18.1042752725003i</v>
      </c>
      <c r="N92" s="337">
        <f t="shared" si="63"/>
        <v>0</v>
      </c>
      <c r="O92" s="730" t="str">
        <f t="shared" si="64"/>
        <v>16.838649113946+6.78483318644474i</v>
      </c>
      <c r="P92" s="731" t="str">
        <f t="shared" si="65"/>
        <v>20.4340632221792-0.409915216088283i</v>
      </c>
      <c r="Q92" s="729" t="str">
        <f t="shared" si="66"/>
        <v>20.2656767310398-0.47776354795271i</v>
      </c>
      <c r="R92" s="730"/>
      <c r="S92" s="405" t="str">
        <f t="shared" si="80"/>
        <v>27.5272513831171+7.68197211587227i</v>
      </c>
      <c r="T92" s="405" t="str">
        <f t="shared" si="81"/>
        <v>20.5731698852668-3.29532625990472i</v>
      </c>
      <c r="U92" s="405" t="str">
        <f t="shared" si="82"/>
        <v>19.6442047220101-12.4650010842572i</v>
      </c>
      <c r="V92" s="731" t="str">
        <f t="shared" si="67"/>
        <v>6000</v>
      </c>
      <c r="W92" s="733" t="str">
        <f>IMSUM(COMPLEX(1,0),IMDIV(COMPLEX(0,2*PI()*D92),COMPLEX(2*PI()*'Stability Calculations'!EA_Pole1,0)))</f>
        <v>1+9172.53320342735i</v>
      </c>
      <c r="X92" s="734">
        <f t="shared" si="83"/>
        <v>9172.5332579379174</v>
      </c>
      <c r="Y92" s="735">
        <f t="shared" si="84"/>
        <v>1.5706873056582205</v>
      </c>
      <c r="Z92" s="340" t="str">
        <f>IMSUM(COMPLEX(1,0),IMDIV(COMPLEX(0,2*PI()*D92),COMPLEX(2*PI()*'Stability Calculations'!EA_Zero1,0)))</f>
        <v>1+90.8171604299737i</v>
      </c>
      <c r="AA92" s="734">
        <f t="shared" si="85"/>
        <v>90.822665830527015</v>
      </c>
      <c r="AB92" s="735">
        <f t="shared" si="86"/>
        <v>1.5597856369299492</v>
      </c>
      <c r="AC92" s="733" t="str">
        <f>IMSUM(COMPLEX(1,0),IMDIV(COMPLEX(0,2*PI()*D92),COMPLEX(2*PI()*'Stability Calculations'!EA_Pole2,0)))</f>
        <v>1+0.914842681222814i</v>
      </c>
      <c r="AD92" s="734">
        <f t="shared" si="87"/>
        <v>1.3553365380550129</v>
      </c>
      <c r="AE92" s="735">
        <f t="shared" si="88"/>
        <v>0.74095522019757409</v>
      </c>
      <c r="AF92" s="732" t="str">
        <f t="shared" si="89"/>
        <v>32.0171616377117-29.9383163095452i</v>
      </c>
      <c r="AG92" s="337">
        <f t="shared" si="90"/>
        <v>43.833793159909604</v>
      </c>
      <c r="AH92" s="730">
        <f t="shared" si="91"/>
        <v>-0.75185688892584712</v>
      </c>
      <c r="AI92" s="731" t="str">
        <f t="shared" si="68"/>
        <v>10000</v>
      </c>
      <c r="AJ92" s="733" t="str">
        <f t="shared" si="92"/>
        <v>1+8551.32566265427i</v>
      </c>
      <c r="AK92" s="734">
        <f t="shared" si="93"/>
        <v>8551.3257211247364</v>
      </c>
      <c r="AL92" s="735">
        <f t="shared" si="94"/>
        <v>1.5706793858625907</v>
      </c>
      <c r="AM92" s="340" t="str">
        <f t="shared" si="95"/>
        <v>1+14.5125822367098i</v>
      </c>
      <c r="AN92" s="734">
        <f t="shared" si="96"/>
        <v>14.546994300447938</v>
      </c>
      <c r="AO92" s="735">
        <f t="shared" si="97"/>
        <v>1.5019993469832671</v>
      </c>
      <c r="AP92" s="733" t="str">
        <f t="shared" si="98"/>
        <v>1+0.703884160016202i</v>
      </c>
      <c r="AQ92" s="734">
        <f t="shared" si="99"/>
        <v>1.2228871210057428</v>
      </c>
      <c r="AR92" s="735">
        <f t="shared" si="100"/>
        <v>0.61332802913075513</v>
      </c>
      <c r="AS92" s="732" t="str">
        <f t="shared" si="101"/>
        <v>1.31095526918952-161.917839597966i</v>
      </c>
      <c r="AT92" s="337">
        <f t="shared" si="102"/>
        <v>161.92314653498573</v>
      </c>
      <c r="AU92" s="730">
        <f t="shared" si="103"/>
        <v>-1.5627000810180374</v>
      </c>
      <c r="AV92" s="732" t="str">
        <f t="shared" si="104"/>
        <v>-116.078697907814-91.6259072107927i</v>
      </c>
      <c r="AW92" s="337">
        <f t="shared" si="105"/>
        <v>43.398402634779458</v>
      </c>
      <c r="AX92" s="730">
        <f t="shared" si="106"/>
        <v>-141.7144499336207</v>
      </c>
      <c r="AY92" s="360">
        <f t="shared" si="107"/>
        <v>38.285550066379301</v>
      </c>
      <c r="BB92" s="337">
        <f t="shared" si="108"/>
        <v>4.1861786914233665</v>
      </c>
      <c r="BC92" s="730">
        <f t="shared" si="109"/>
        <v>-89.536119287085356</v>
      </c>
      <c r="BD92" s="351"/>
      <c r="BE92" s="337">
        <f t="shared" si="69"/>
        <v>27.924444071988972</v>
      </c>
      <c r="BF92" s="730">
        <f t="shared" si="70"/>
        <v>46.638906159577587</v>
      </c>
      <c r="BI92" s="351"/>
      <c r="BJ92" s="351"/>
      <c r="BL92" s="405">
        <f t="shared" si="71"/>
        <v>0</v>
      </c>
      <c r="BM92" s="405">
        <f t="shared" si="110"/>
        <v>0</v>
      </c>
      <c r="BN92" s="405">
        <f t="shared" si="73"/>
        <v>0</v>
      </c>
      <c r="BO92" s="405">
        <f t="shared" si="74"/>
        <v>0</v>
      </c>
    </row>
    <row r="93" spans="4:67" ht="13.5" thickBot="1" x14ac:dyDescent="0.25">
      <c r="D93" s="345">
        <v>1584.9</v>
      </c>
      <c r="E93" s="340" t="str">
        <f t="shared" si="60"/>
        <v>0.0262897018384412i</v>
      </c>
      <c r="F93" s="728" t="str">
        <f t="shared" si="75"/>
        <v>0.005-1.64622211353144i</v>
      </c>
      <c r="G93" s="337" t="str">
        <f t="shared" si="76"/>
        <v>0.005-2.57486022885688i</v>
      </c>
      <c r="H93" s="338" t="str">
        <f t="shared" si="77"/>
        <v>0.994021676981592-0.469260351236852i</v>
      </c>
      <c r="I93" s="338" t="str">
        <f t="shared" si="78"/>
        <v>1.00402167698159-0.469260351236852i</v>
      </c>
      <c r="J93" s="337" t="str">
        <f t="shared" si="79"/>
        <v>0.496435208034254-0.599579796132738i</v>
      </c>
      <c r="K93" s="338" t="str">
        <f t="shared" si="61"/>
        <v>0.999972089911-0.00829851699445744i</v>
      </c>
      <c r="L93" s="732"/>
      <c r="M93" s="732" t="str">
        <f t="shared" si="62"/>
        <v>17.2640254743713+19.9367301753072i</v>
      </c>
      <c r="N93" s="337">
        <f t="shared" si="63"/>
        <v>0</v>
      </c>
      <c r="O93" s="730" t="str">
        <f t="shared" si="64"/>
        <v>16.950460020328+7.47026972869863i</v>
      </c>
      <c r="P93" s="731" t="str">
        <f t="shared" si="65"/>
        <v>20.5241306919423-0.453866082252507i</v>
      </c>
      <c r="Q93" s="729" t="str">
        <f t="shared" si="66"/>
        <v>20.354626091739-0.528568779539494i</v>
      </c>
      <c r="R93" s="730"/>
      <c r="S93" s="405" t="str">
        <f t="shared" si="80"/>
        <v>28.2139284739332+7.95313650711355i</v>
      </c>
      <c r="T93" s="405" t="str">
        <f t="shared" si="81"/>
        <v>20.3017588302457-3.42768896883778i</v>
      </c>
      <c r="U93" s="405" t="str">
        <f t="shared" si="82"/>
        <v>18.5719098286691-12.9340076163824i</v>
      </c>
      <c r="V93" s="731" t="str">
        <f t="shared" si="67"/>
        <v>6000</v>
      </c>
      <c r="W93" s="733" t="str">
        <f>IMSUM(COMPLEX(1,0),IMDIV(COMPLEX(0,2*PI()*D93),COMPLEX(2*PI()*'Stability Calculations'!EA_Pole1,0)))</f>
        <v>1+10057.8025972824i</v>
      </c>
      <c r="X93" s="734">
        <f t="shared" si="83"/>
        <v>10057.802646995047</v>
      </c>
      <c r="Y93" s="735">
        <f t="shared" si="84"/>
        <v>1.5706969014992584</v>
      </c>
      <c r="Z93" s="340" t="str">
        <f>IMSUM(COMPLEX(1,0),IMDIV(COMPLEX(0,2*PI()*D93),COMPLEX(2*PI()*'Stability Calculations'!EA_Zero1,0)))</f>
        <v>1+99.5822039334893i</v>
      </c>
      <c r="AA93" s="734">
        <f t="shared" si="85"/>
        <v>99.587224784362036</v>
      </c>
      <c r="AB93" s="735">
        <f t="shared" si="86"/>
        <v>1.5607547094283825</v>
      </c>
      <c r="AC93" s="733" t="str">
        <f>IMSUM(COMPLEX(1,0),IMDIV(COMPLEX(0,2*PI()*D93),COMPLEX(2*PI()*'Stability Calculations'!EA_Pole2,0)))</f>
        <v>1+1.00313696241182i</v>
      </c>
      <c r="AD93" s="734">
        <f t="shared" si="87"/>
        <v>1.4164334666184688</v>
      </c>
      <c r="AE93" s="735">
        <f t="shared" si="88"/>
        <v>0.78696418704250604</v>
      </c>
      <c r="AF93" s="732" t="str">
        <f t="shared" si="89"/>
        <v>29.314647402232-29.9972516659788i</v>
      </c>
      <c r="AG93" s="337">
        <f t="shared" si="90"/>
        <v>41.942623425690186</v>
      </c>
      <c r="AH93" s="730">
        <f t="shared" si="91"/>
        <v>-0.79690637911338402</v>
      </c>
      <c r="AI93" s="731" t="str">
        <f t="shared" si="68"/>
        <v>10000</v>
      </c>
      <c r="AJ93" s="733" t="str">
        <f t="shared" si="92"/>
        <v>1+9376.6404059366i</v>
      </c>
      <c r="AK93" s="734">
        <f t="shared" si="93"/>
        <v>9376.6404592606013</v>
      </c>
      <c r="AL93" s="735">
        <f t="shared" si="94"/>
        <v>1.5706896787895432</v>
      </c>
      <c r="AM93" s="340" t="str">
        <f t="shared" si="95"/>
        <v>1+15.9132361885716i</v>
      </c>
      <c r="AN93" s="734">
        <f t="shared" si="96"/>
        <v>15.944625614709953</v>
      </c>
      <c r="AO93" s="735">
        <f t="shared" si="97"/>
        <v>1.5080380809230582</v>
      </c>
      <c r="AP93" s="733" t="str">
        <f t="shared" si="98"/>
        <v>1+0.771818185422498i</v>
      </c>
      <c r="AQ93" s="734">
        <f t="shared" si="99"/>
        <v>1.2632115069729526</v>
      </c>
      <c r="AR93" s="735">
        <f t="shared" si="100"/>
        <v>0.65731914616118925</v>
      </c>
      <c r="AS93" s="732" t="str">
        <f t="shared" si="101"/>
        <v>1.09034775609514-147.667756344009i</v>
      </c>
      <c r="AT93" s="337">
        <f t="shared" si="102"/>
        <v>147.67178173876968</v>
      </c>
      <c r="AU93" s="730">
        <f t="shared" si="103"/>
        <v>-1.5634126706173139</v>
      </c>
      <c r="AV93" s="732" t="str">
        <f t="shared" si="104"/>
        <v>-104.230295271426-73.4730214946995i</v>
      </c>
      <c r="AW93" s="337">
        <f t="shared" si="105"/>
        <v>42.111803485158305</v>
      </c>
      <c r="AX93" s="730">
        <f t="shared" si="106"/>
        <v>-144.81959192504902</v>
      </c>
      <c r="AY93" s="360">
        <f t="shared" si="107"/>
        <v>35.180408074950975</v>
      </c>
      <c r="BB93" s="337">
        <f t="shared" si="108"/>
        <v>3.3859502981198619</v>
      </c>
      <c r="BC93" s="730">
        <f t="shared" si="109"/>
        <v>-89.576947663648824</v>
      </c>
      <c r="BD93" s="351"/>
      <c r="BE93" s="337">
        <f t="shared" si="69"/>
        <v>28.423094890109255</v>
      </c>
      <c r="BF93" s="730">
        <f t="shared" si="70"/>
        <v>49.109379707513156</v>
      </c>
      <c r="BI93" s="351"/>
      <c r="BJ93" s="351"/>
      <c r="BL93" s="405">
        <f t="shared" si="71"/>
        <v>0</v>
      </c>
      <c r="BM93" s="405">
        <f t="shared" si="110"/>
        <v>0</v>
      </c>
      <c r="BN93" s="405">
        <f t="shared" si="73"/>
        <v>0</v>
      </c>
      <c r="BO93" s="405">
        <f t="shared" si="74"/>
        <v>0</v>
      </c>
    </row>
    <row r="94" spans="4:67" ht="13.5" thickBot="1" x14ac:dyDescent="0.25">
      <c r="D94" s="345">
        <v>1737.8</v>
      </c>
      <c r="E94" s="340" t="str">
        <f t="shared" si="60"/>
        <v>0.028825947286796i</v>
      </c>
      <c r="F94" s="728" t="str">
        <f t="shared" si="75"/>
        <v>0.005-1.50137957632408i</v>
      </c>
      <c r="G94" s="337" t="str">
        <f t="shared" si="76"/>
        <v>0.005-2.34831164501972i</v>
      </c>
      <c r="H94" s="338" t="str">
        <f t="shared" si="77"/>
        <v>0.958582399142646-0.496094644602769i</v>
      </c>
      <c r="I94" s="338" t="str">
        <f t="shared" si="78"/>
        <v>0.968582399142646-0.496094644602769i</v>
      </c>
      <c r="J94" s="337" t="str">
        <f t="shared" si="79"/>
        <v>0.44337185815363-0.586562009378287i</v>
      </c>
      <c r="K94" s="338" t="str">
        <f t="shared" si="61"/>
        <v>0.999966445012889-0.00909909952234724i</v>
      </c>
      <c r="L94" s="732"/>
      <c r="M94" s="732" t="str">
        <f t="shared" si="62"/>
        <v>17.4676844479591+21.9733331259056i</v>
      </c>
      <c r="N94" s="337">
        <f t="shared" si="63"/>
        <v>0</v>
      </c>
      <c r="O94" s="730" t="str">
        <f t="shared" si="64"/>
        <v>17.0865476437654+8.23164062939844i</v>
      </c>
      <c r="P94" s="731" t="str">
        <f t="shared" si="65"/>
        <v>20.6334021424025-0.503522551119221i</v>
      </c>
      <c r="Q94" s="729" t="str">
        <f t="shared" si="66"/>
        <v>20.4625366659648-0.585838957413244i</v>
      </c>
      <c r="R94" s="730"/>
      <c r="S94" s="405" t="str">
        <f t="shared" si="80"/>
        <v>28.9474958056738+8.16955013265934i</v>
      </c>
      <c r="T94" s="405" t="str">
        <f t="shared" si="81"/>
        <v>20.011777645056-3.5408623654438i</v>
      </c>
      <c r="U94" s="405" t="str">
        <f t="shared" si="82"/>
        <v>17.4263349693347-13.3219440599947i</v>
      </c>
      <c r="V94" s="731" t="str">
        <f t="shared" si="67"/>
        <v>6000</v>
      </c>
      <c r="W94" s="733" t="str">
        <f>IMSUM(COMPLEX(1,0),IMDIV(COMPLEX(0,2*PI()*D94),COMPLEX(2*PI()*'Stability Calculations'!EA_Pole1,0)))</f>
        <v>1+11028.1086210849i</v>
      </c>
      <c r="X94" s="734">
        <f t="shared" si="83"/>
        <v>11028.10866642359</v>
      </c>
      <c r="Y94" s="735">
        <f t="shared" si="84"/>
        <v>1.5707056494147928</v>
      </c>
      <c r="Z94" s="340" t="str">
        <f>IMSUM(COMPLEX(1,0),IMDIV(COMPLEX(0,2*PI()*D94),COMPLEX(2*PI()*'Stability Calculations'!EA_Zero1,0)))</f>
        <v>1+109.189194268167i</v>
      </c>
      <c r="AA94" s="734">
        <f t="shared" si="85"/>
        <v>109.19377337985675</v>
      </c>
      <c r="AB94" s="735">
        <f t="shared" si="86"/>
        <v>1.5616381674252668</v>
      </c>
      <c r="AC94" s="733" t="str">
        <f>IMSUM(COMPLEX(1,0),IMDIV(COMPLEX(0,2*PI()*D94),COMPLEX(2*PI()*'Stability Calculations'!EA_Pole2,0)))</f>
        <v>1+1.09991255806629i</v>
      </c>
      <c r="AD94" s="734">
        <f t="shared" si="87"/>
        <v>1.4865421741047007</v>
      </c>
      <c r="AE94" s="735">
        <f t="shared" si="88"/>
        <v>0.83294169846647836</v>
      </c>
      <c r="AF94" s="732" t="str">
        <f t="shared" si="89"/>
        <v>26.6147561208965-29.8125819898595i</v>
      </c>
      <c r="AG94" s="337">
        <f t="shared" si="90"/>
        <v>39.964175060632648</v>
      </c>
      <c r="AH94" s="730">
        <f t="shared" si="91"/>
        <v>-0.84200918045600337</v>
      </c>
      <c r="AI94" s="731" t="str">
        <f t="shared" si="68"/>
        <v>10000</v>
      </c>
      <c r="AJ94" s="733" t="str">
        <f t="shared" si="92"/>
        <v>1+10281.2326944518i</v>
      </c>
      <c r="AK94" s="734">
        <f t="shared" si="93"/>
        <v>10281.232743084101</v>
      </c>
      <c r="AL94" s="735">
        <f t="shared" si="94"/>
        <v>1.5706990621937962</v>
      </c>
      <c r="AM94" s="340" t="str">
        <f t="shared" si="95"/>
        <v>1+17.4484332440531i</v>
      </c>
      <c r="AN94" s="734">
        <f t="shared" si="96"/>
        <v>17.477065619610674</v>
      </c>
      <c r="AO94" s="735">
        <f t="shared" si="97"/>
        <v>1.5135472167812725</v>
      </c>
      <c r="AP94" s="733" t="str">
        <f t="shared" si="98"/>
        <v>1+0.846277773125887i</v>
      </c>
      <c r="AQ94" s="734">
        <f t="shared" si="99"/>
        <v>1.3100328504609762</v>
      </c>
      <c r="AR94" s="735">
        <f t="shared" si="100"/>
        <v>0.70232914660719514</v>
      </c>
      <c r="AS94" s="732" t="str">
        <f t="shared" si="101"/>
        <v>0.906928735083988-134.676472265757i</v>
      </c>
      <c r="AT94" s="337">
        <f t="shared" si="102"/>
        <v>134.67952591867757</v>
      </c>
      <c r="AU94" s="730">
        <f t="shared" si="103"/>
        <v>-1.5640622996042859</v>
      </c>
      <c r="AV94" s="732" t="str">
        <f t="shared" si="104"/>
        <v>-92.6528561456713-58.139637901625i</v>
      </c>
      <c r="AW94" s="337">
        <f t="shared" si="105"/>
        <v>40.779043272203921</v>
      </c>
      <c r="AX94" s="730">
        <f t="shared" si="106"/>
        <v>-147.8917418717447</v>
      </c>
      <c r="AY94" s="360">
        <f t="shared" si="107"/>
        <v>32.108258128255301</v>
      </c>
      <c r="BB94" s="337">
        <f t="shared" si="108"/>
        <v>2.5860315794376678</v>
      </c>
      <c r="BC94" s="730">
        <f t="shared" si="109"/>
        <v>-89.614168662851668</v>
      </c>
      <c r="BD94" s="351"/>
      <c r="BE94" s="337">
        <f t="shared" si="69"/>
        <v>28.964972095269239</v>
      </c>
      <c r="BF94" s="730">
        <f t="shared" si="70"/>
        <v>51.517082668469975</v>
      </c>
      <c r="BI94" s="351"/>
      <c r="BJ94" s="351"/>
      <c r="BL94" s="405">
        <f t="shared" si="71"/>
        <v>0</v>
      </c>
      <c r="BM94" s="405">
        <f t="shared" si="110"/>
        <v>0</v>
      </c>
      <c r="BN94" s="405">
        <f t="shared" si="73"/>
        <v>0</v>
      </c>
      <c r="BO94" s="405">
        <f t="shared" si="74"/>
        <v>0</v>
      </c>
    </row>
    <row r="95" spans="4:67" ht="13.5" thickBot="1" x14ac:dyDescent="0.25">
      <c r="D95" s="345">
        <v>1905.5</v>
      </c>
      <c r="E95" s="340" t="str">
        <f t="shared" si="60"/>
        <v>0.0316076893514731i</v>
      </c>
      <c r="F95" s="728" t="str">
        <f t="shared" si="75"/>
        <v>0.005-1.36924556690422i</v>
      </c>
      <c r="G95" s="337" t="str">
        <f t="shared" si="76"/>
        <v>0.005-2.14164050208096i</v>
      </c>
      <c r="H95" s="338" t="str">
        <f t="shared" si="77"/>
        <v>0.919187112667327-0.521495984763413i</v>
      </c>
      <c r="I95" s="338" t="str">
        <f t="shared" si="78"/>
        <v>0.929187112667327-0.521495984763413i</v>
      </c>
      <c r="J95" s="337" t="str">
        <f t="shared" si="79"/>
        <v>0.392968659921479-0.569361997975675i</v>
      </c>
      <c r="K95" s="338" t="str">
        <f t="shared" si="61"/>
        <v>0.999959656330556-0.00997717466902559i</v>
      </c>
      <c r="L95" s="732"/>
      <c r="M95" s="732" t="str">
        <f t="shared" si="62"/>
        <v>17.7170901577358+24.2447872828067i</v>
      </c>
      <c r="N95" s="337">
        <f t="shared" si="63"/>
        <v>0</v>
      </c>
      <c r="O95" s="730" t="str">
        <f t="shared" si="64"/>
        <v>17.2527329430358+9.08023212875917i</v>
      </c>
      <c r="P95" s="731" t="str">
        <f t="shared" si="65"/>
        <v>20.7663217048275-0.559996281917751i</v>
      </c>
      <c r="Q95" s="729" t="str">
        <f t="shared" si="66"/>
        <v>20.5937943753972-0.650798603205361i</v>
      </c>
      <c r="R95" s="730"/>
      <c r="S95" s="405" t="str">
        <f t="shared" si="80"/>
        <v>29.7198567342837+8.32193304406286i</v>
      </c>
      <c r="T95" s="405" t="str">
        <f t="shared" si="81"/>
        <v>19.7064118783979-3.63143592805139i</v>
      </c>
      <c r="U95" s="405" t="str">
        <f t="shared" si="82"/>
        <v>16.2201005801333-13.6147837742205i</v>
      </c>
      <c r="V95" s="731" t="str">
        <f t="shared" si="67"/>
        <v>6000</v>
      </c>
      <c r="W95" s="733" t="str">
        <f>IMSUM(COMPLEX(1,0),IMDIV(COMPLEX(0,2*PI()*D95),COMPLEX(2*PI()*'Stability Calculations'!EA_Pole1,0)))</f>
        <v>1+12092.335698859i</v>
      </c>
      <c r="X95" s="734">
        <f t="shared" si="83"/>
        <v>12092.335740207505</v>
      </c>
      <c r="Y95" s="735">
        <f t="shared" si="84"/>
        <v>1.5707136297855988</v>
      </c>
      <c r="Z95" s="340" t="str">
        <f>IMSUM(COMPLEX(1,0),IMDIV(COMPLEX(0,2*PI()*D95),COMPLEX(2*PI()*'Stability Calculations'!EA_Zero1,0)))</f>
        <v>1+119.726096028307i</v>
      </c>
      <c r="AA95" s="734">
        <f t="shared" si="85"/>
        <v>119.73027215445303</v>
      </c>
      <c r="AB95" s="735">
        <f t="shared" si="86"/>
        <v>1.5624441230568493</v>
      </c>
      <c r="AC95" s="733" t="str">
        <f>IMSUM(COMPLEX(1,0),IMDIV(COMPLEX(0,2*PI()*D95),COMPLEX(2*PI()*'Stability Calculations'!EA_Pole2,0)))</f>
        <v>1+1.20605557566769i</v>
      </c>
      <c r="AD95" s="734">
        <f t="shared" si="87"/>
        <v>1.566706753543599</v>
      </c>
      <c r="AE95" s="735">
        <f t="shared" si="88"/>
        <v>0.87853246964353982</v>
      </c>
      <c r="AF95" s="732" t="str">
        <f t="shared" si="89"/>
        <v>23.9608085463103-29.3893361047088i</v>
      </c>
      <c r="AG95" s="337">
        <f t="shared" si="90"/>
        <v>37.919037736583938</v>
      </c>
      <c r="AH95" s="730">
        <f t="shared" si="91"/>
        <v>-0.8868019763722893</v>
      </c>
      <c r="AI95" s="731" t="str">
        <f t="shared" si="68"/>
        <v>10000</v>
      </c>
      <c r="AJ95" s="733" t="str">
        <f t="shared" si="92"/>
        <v>1+11273.3852568062i</v>
      </c>
      <c r="AK95" s="734">
        <f t="shared" si="93"/>
        <v>11273.385301158449</v>
      </c>
      <c r="AL95" s="735">
        <f t="shared" si="94"/>
        <v>1.5707076222953522</v>
      </c>
      <c r="AM95" s="340" t="str">
        <f t="shared" si="95"/>
        <v>1+19.1322301453235i</v>
      </c>
      <c r="AN95" s="734">
        <f t="shared" si="96"/>
        <v>19.158346231698218</v>
      </c>
      <c r="AO95" s="735">
        <f t="shared" si="97"/>
        <v>1.5185760241721387</v>
      </c>
      <c r="AP95" s="733" t="str">
        <f t="shared" si="98"/>
        <v>1+0.927944698291734i</v>
      </c>
      <c r="AQ95" s="734">
        <f t="shared" si="99"/>
        <v>1.3642145590367145</v>
      </c>
      <c r="AR95" s="735">
        <f t="shared" si="100"/>
        <v>0.74804139675579406</v>
      </c>
      <c r="AS95" s="732" t="str">
        <f t="shared" si="101"/>
        <v>0.75432439955657-122.824749077015i</v>
      </c>
      <c r="AT95" s="337">
        <f t="shared" si="102"/>
        <v>122.82706538516446</v>
      </c>
      <c r="AU95" s="730">
        <f t="shared" si="103"/>
        <v>-1.5646549349202115</v>
      </c>
      <c r="AV95" s="732" t="str">
        <f t="shared" si="104"/>
        <v>-81.5465524583203-45.3895588988628i</v>
      </c>
      <c r="AW95" s="337">
        <f t="shared" si="105"/>
        <v>39.400207615082209</v>
      </c>
      <c r="AX95" s="730">
        <f t="shared" si="106"/>
        <v>-150.89928652005676</v>
      </c>
      <c r="AY95" s="360">
        <f t="shared" si="107"/>
        <v>29.100713479943238</v>
      </c>
      <c r="BB95" s="337">
        <f t="shared" si="108"/>
        <v>1.7858815139980639</v>
      </c>
      <c r="BC95" s="730">
        <f t="shared" si="109"/>
        <v>-89.64812416524461</v>
      </c>
      <c r="BD95" s="351"/>
      <c r="BE95" s="337">
        <f t="shared" si="69"/>
        <v>29.550644749989353</v>
      </c>
      <c r="BF95" s="730">
        <f t="shared" si="70"/>
        <v>53.842206467245362</v>
      </c>
      <c r="BI95" s="351"/>
      <c r="BJ95" s="351"/>
      <c r="BL95" s="405">
        <f t="shared" si="71"/>
        <v>0</v>
      </c>
      <c r="BM95" s="405">
        <f t="shared" si="110"/>
        <v>0</v>
      </c>
      <c r="BN95" s="405">
        <f t="shared" si="73"/>
        <v>0</v>
      </c>
      <c r="BO95" s="405">
        <f t="shared" si="74"/>
        <v>0</v>
      </c>
    </row>
    <row r="96" spans="4:67" ht="13.5" thickBot="1" x14ac:dyDescent="0.25">
      <c r="D96" s="345">
        <v>2089.3000000000002</v>
      </c>
      <c r="E96" s="340" t="str">
        <f t="shared" si="60"/>
        <v>0.0346564919244464i</v>
      </c>
      <c r="F96" s="728" t="str">
        <f t="shared" si="75"/>
        <v>0.005-1.24879023009428i</v>
      </c>
      <c r="G96" s="337" t="str">
        <f t="shared" si="76"/>
        <v>0.005-1.9532360009167i</v>
      </c>
      <c r="H96" s="338" t="str">
        <f t="shared" si="77"/>
        <v>0.875946584222064-0.544753122455206i</v>
      </c>
      <c r="I96" s="338" t="str">
        <f t="shared" si="78"/>
        <v>0.885946584222064-0.544753122455206i</v>
      </c>
      <c r="J96" s="337" t="str">
        <f t="shared" si="79"/>
        <v>0.345845876423493-0.548625069520839i</v>
      </c>
      <c r="K96" s="338" t="str">
        <f t="shared" si="61"/>
        <v>0.999951498061222-0.0109395492185753i</v>
      </c>
      <c r="L96" s="732"/>
      <c r="M96" s="732" t="str">
        <f t="shared" si="62"/>
        <v>18.0234573170357+26.7850257935788i</v>
      </c>
      <c r="N96" s="337">
        <f t="shared" si="63"/>
        <v>0</v>
      </c>
      <c r="O96" s="730" t="str">
        <f t="shared" si="64"/>
        <v>17.4561781801623+10.0284576125105i</v>
      </c>
      <c r="P96" s="731" t="str">
        <f t="shared" si="65"/>
        <v>20.9282750301113-0.624629802958462i</v>
      </c>
      <c r="Q96" s="729" t="str">
        <f t="shared" si="66"/>
        <v>20.7537132483097-0.724914379083554i</v>
      </c>
      <c r="R96" s="730"/>
      <c r="S96" s="405" t="str">
        <f t="shared" si="80"/>
        <v>30.5195886120963+8.40253940820707i</v>
      </c>
      <c r="T96" s="405" t="str">
        <f t="shared" si="81"/>
        <v>19.3901586134454-3.69658670961979i</v>
      </c>
      <c r="U96" s="405" t="str">
        <f t="shared" si="82"/>
        <v>14.9710160524797-13.8008619511482i</v>
      </c>
      <c r="V96" s="731" t="str">
        <f t="shared" si="67"/>
        <v>6000</v>
      </c>
      <c r="W96" s="733" t="str">
        <f>IMSUM(COMPLEX(1,0),IMDIV(COMPLEX(0,2*PI()*D96),COMPLEX(2*PI()*'Stability Calculations'!EA_Pole1,0)))</f>
        <v>1+13258.7336529132i</v>
      </c>
      <c r="X96" s="734">
        <f t="shared" si="83"/>
        <v>13258.733690624191</v>
      </c>
      <c r="Y96" s="735">
        <f t="shared" si="84"/>
        <v>1.5707209048108459</v>
      </c>
      <c r="Z96" s="340" t="str">
        <f>IMSUM(COMPLEX(1,0),IMDIV(COMPLEX(0,2*PI()*D96),COMPLEX(2*PI()*'Stability Calculations'!EA_Zero1,0)))</f>
        <v>1+131.274590622903i</v>
      </c>
      <c r="AA96" s="734">
        <f t="shared" si="85"/>
        <v>131.27839937785183</v>
      </c>
      <c r="AB96" s="735">
        <f t="shared" si="86"/>
        <v>1.5631788537316409</v>
      </c>
      <c r="AC96" s="733" t="str">
        <f>IMSUM(COMPLEX(1,0),IMDIV(COMPLEX(0,2*PI()*D96),COMPLEX(2*PI()*'Stability Calculations'!EA_Pole2,0)))</f>
        <v>1+1.32238882930595i</v>
      </c>
      <c r="AD96" s="734">
        <f t="shared" si="87"/>
        <v>1.6579240681868279</v>
      </c>
      <c r="AE96" s="735">
        <f t="shared" si="88"/>
        <v>0.92333440959535962</v>
      </c>
      <c r="AF96" s="732" t="str">
        <f t="shared" si="89"/>
        <v>21.3967384057073-28.7428592399906i</v>
      </c>
      <c r="AG96" s="337">
        <f t="shared" si="90"/>
        <v>35.832560216822117</v>
      </c>
      <c r="AH96" s="730">
        <f t="shared" si="91"/>
        <v>-0.93087646067456487</v>
      </c>
      <c r="AI96" s="731" t="str">
        <f t="shared" si="68"/>
        <v>10000</v>
      </c>
      <c r="AJ96" s="733" t="str">
        <f t="shared" si="92"/>
        <v>1+12360.7891981345i</v>
      </c>
      <c r="AK96" s="734">
        <f t="shared" si="93"/>
        <v>12360.789238584992</v>
      </c>
      <c r="AL96" s="735">
        <f t="shared" si="94"/>
        <v>1.570715425811813</v>
      </c>
      <c r="AM96" s="340" t="str">
        <f t="shared" si="95"/>
        <v>1+20.9776795815399i</v>
      </c>
      <c r="AN96" s="734">
        <f t="shared" si="96"/>
        <v>21.001500913643195</v>
      </c>
      <c r="AO96" s="735">
        <f t="shared" si="97"/>
        <v>1.5231626712243469</v>
      </c>
      <c r="AP96" s="733" t="str">
        <f t="shared" si="98"/>
        <v>1+1.01745203785931i</v>
      </c>
      <c r="AQ96" s="734">
        <f t="shared" si="99"/>
        <v>1.4266073914515032</v>
      </c>
      <c r="AR96" s="735">
        <f t="shared" si="100"/>
        <v>0.79404848183339016</v>
      </c>
      <c r="AS96" s="732" t="str">
        <f t="shared" si="101"/>
        <v>0.627447233273684-112.020315012247i</v>
      </c>
      <c r="AT96" s="337">
        <f t="shared" si="102"/>
        <v>112.02207222451115</v>
      </c>
      <c r="AU96" s="730">
        <f t="shared" si="103"/>
        <v>-1.5651951938966162</v>
      </c>
      <c r="AV96" s="732" t="str">
        <f t="shared" si="104"/>
        <v>-71.0987081781945-34.9727882647485i</v>
      </c>
      <c r="AW96" s="337">
        <f t="shared" si="105"/>
        <v>37.97829766369852</v>
      </c>
      <c r="AX96" s="730">
        <f t="shared" si="106"/>
        <v>-153.80785940295971</v>
      </c>
      <c r="AY96" s="360">
        <f t="shared" si="107"/>
        <v>26.192140597040293</v>
      </c>
      <c r="BB96" s="337">
        <f t="shared" si="108"/>
        <v>0.98607204284556282</v>
      </c>
      <c r="BC96" s="730">
        <f t="shared" si="109"/>
        <v>-89.679078724436664</v>
      </c>
      <c r="BD96" s="351"/>
      <c r="BE96" s="337">
        <f t="shared" si="69"/>
        <v>30.179854961681542</v>
      </c>
      <c r="BF96" s="730">
        <f t="shared" si="70"/>
        <v>56.063664620422017</v>
      </c>
      <c r="BI96" s="351"/>
      <c r="BJ96" s="351"/>
      <c r="BL96" s="405">
        <f t="shared" si="71"/>
        <v>0</v>
      </c>
      <c r="BM96" s="405">
        <f t="shared" si="110"/>
        <v>0</v>
      </c>
      <c r="BN96" s="405">
        <f t="shared" si="73"/>
        <v>0</v>
      </c>
      <c r="BO96" s="405">
        <f t="shared" si="74"/>
        <v>0</v>
      </c>
    </row>
    <row r="97" spans="4:67" ht="13.5" thickBot="1" x14ac:dyDescent="0.25">
      <c r="D97" s="345">
        <v>2290.9</v>
      </c>
      <c r="E97" s="340" t="str">
        <f t="shared" si="60"/>
        <v>0.0380005539413748i</v>
      </c>
      <c r="F97" s="728" t="str">
        <f t="shared" si="75"/>
        <v>0.005-1.13889625375878i</v>
      </c>
      <c r="G97" s="337" t="str">
        <f t="shared" si="76"/>
        <v>0.005-1.78135055075091i</v>
      </c>
      <c r="H97" s="338" t="str">
        <f t="shared" si="77"/>
        <v>0.829069078037453-0.565168222079983i</v>
      </c>
      <c r="I97" s="338" t="str">
        <f t="shared" si="78"/>
        <v>0.839069078037453-0.565168222079983i</v>
      </c>
      <c r="J97" s="337" t="str">
        <f t="shared" si="79"/>
        <v>0.302376850548126-0.525038569624461i</v>
      </c>
      <c r="K97" s="338" t="str">
        <f t="shared" si="61"/>
        <v>0.999941686413222-0.0119951243501814i</v>
      </c>
      <c r="L97" s="732"/>
      <c r="M97" s="732" t="str">
        <f t="shared" si="62"/>
        <v>18.4018309006872+29.6398060584336i</v>
      </c>
      <c r="N97" s="337">
        <f t="shared" si="63"/>
        <v>0</v>
      </c>
      <c r="O97" s="730" t="str">
        <f t="shared" si="64"/>
        <v>17.7064087870499+11.0930316102309i</v>
      </c>
      <c r="P97" s="731" t="str">
        <f t="shared" si="65"/>
        <v>21.1263290489354-0.69927976776161i</v>
      </c>
      <c r="Q97" s="729" t="str">
        <f t="shared" si="66"/>
        <v>20.9492649610649-0.810210083863936i</v>
      </c>
      <c r="R97" s="730"/>
      <c r="S97" s="405" t="str">
        <f t="shared" si="80"/>
        <v>31.3346816223059+8.40623402343096i</v>
      </c>
      <c r="T97" s="405" t="str">
        <f t="shared" si="81"/>
        <v>19.0677433925522-3.73459504040017i</v>
      </c>
      <c r="U97" s="405" t="str">
        <f t="shared" si="82"/>
        <v>13.6978019955462-13.8727198992338i</v>
      </c>
      <c r="V97" s="731" t="str">
        <f t="shared" si="67"/>
        <v>6000</v>
      </c>
      <c r="W97" s="733" t="str">
        <f>IMSUM(COMPLEX(1,0),IMDIV(COMPLEX(0,2*PI()*D97),COMPLEX(2*PI()*'Stability Calculations'!EA_Pole1,0)))</f>
        <v>1+14538.0907124199i</v>
      </c>
      <c r="X97" s="734">
        <f t="shared" si="83"/>
        <v>14538.090746812311</v>
      </c>
      <c r="Y97" s="735">
        <f t="shared" si="84"/>
        <v>1.5707275419717583</v>
      </c>
      <c r="Z97" s="340" t="str">
        <f>IMSUM(COMPLEX(1,0),IMDIV(COMPLEX(0,2*PI()*D97),COMPLEX(2*PI()*'Stability Calculations'!EA_Zero1,0)))</f>
        <v>1+143.941492202177i</v>
      </c>
      <c r="AA97" s="734">
        <f t="shared" si="85"/>
        <v>143.94496579383866</v>
      </c>
      <c r="AB97" s="735">
        <f t="shared" si="86"/>
        <v>1.5638491714125715</v>
      </c>
      <c r="AC97" s="733" t="str">
        <f>IMSUM(COMPLEX(1,0),IMDIV(COMPLEX(0,2*PI()*D97),COMPLEX(2*PI()*'Stability Calculations'!EA_Pole2,0)))</f>
        <v>1+1.44998830663716i</v>
      </c>
      <c r="AD97" s="734">
        <f t="shared" si="87"/>
        <v>1.761381869267564</v>
      </c>
      <c r="AE97" s="735">
        <f t="shared" si="88"/>
        <v>0.96704322436385981</v>
      </c>
      <c r="AF97" s="732" t="str">
        <f t="shared" si="89"/>
        <v>18.9570067342225-27.8960608038886i</v>
      </c>
      <c r="AG97" s="337">
        <f t="shared" si="90"/>
        <v>33.727708381916599</v>
      </c>
      <c r="AH97" s="730">
        <f t="shared" si="91"/>
        <v>-0.97392159492304808</v>
      </c>
      <c r="AI97" s="731" t="str">
        <f t="shared" si="68"/>
        <v>10000</v>
      </c>
      <c r="AJ97" s="733" t="str">
        <f t="shared" si="92"/>
        <v>1+13553.5021174586i</v>
      </c>
      <c r="AK97" s="734">
        <f t="shared" si="93"/>
        <v>13553.502154349433</v>
      </c>
      <c r="AL97" s="735">
        <f t="shared" si="94"/>
        <v>1.5707225451265485</v>
      </c>
      <c r="AM97" s="340" t="str">
        <f t="shared" si="95"/>
        <v>1+23.0018504539079i</v>
      </c>
      <c r="AN97" s="734">
        <f t="shared" si="96"/>
        <v>23.023577573955421</v>
      </c>
      <c r="AO97" s="735">
        <f t="shared" si="97"/>
        <v>1.5273489225454853</v>
      </c>
      <c r="AP97" s="733" t="str">
        <f t="shared" si="98"/>
        <v>1+1.11562766167228i</v>
      </c>
      <c r="AQ97" s="734">
        <f t="shared" si="99"/>
        <v>1.4982072885580149</v>
      </c>
      <c r="AR97" s="735">
        <f t="shared" si="100"/>
        <v>0.83999791195492612</v>
      </c>
      <c r="AS97" s="732" t="str">
        <f t="shared" si="101"/>
        <v>0.521877826724974-102.16302745139i</v>
      </c>
      <c r="AT97" s="337">
        <f t="shared" si="102"/>
        <v>102.16436039294472</v>
      </c>
      <c r="AU97" s="730">
        <f t="shared" si="103"/>
        <v>-1.5656880865594409</v>
      </c>
      <c r="AV97" s="732" t="str">
        <f t="shared" si="104"/>
        <v>-61.4405768309822-26.5997453336589i</v>
      </c>
      <c r="AW97" s="337">
        <f t="shared" si="105"/>
        <v>36.515194197754283</v>
      </c>
      <c r="AX97" s="730">
        <f t="shared" si="106"/>
        <v>-156.59054889035849</v>
      </c>
      <c r="AY97" s="360">
        <f t="shared" si="107"/>
        <v>23.409451109641509</v>
      </c>
      <c r="BB97" s="337">
        <f t="shared" si="108"/>
        <v>0.18598840832228358</v>
      </c>
      <c r="BC97" s="730">
        <f t="shared" si="109"/>
        <v>-89.707319393769481</v>
      </c>
      <c r="BD97" s="351"/>
      <c r="BE97" s="337">
        <f t="shared" si="69"/>
        <v>30.853424919381936</v>
      </c>
      <c r="BF97" s="730">
        <f t="shared" si="70"/>
        <v>58.165981416474317</v>
      </c>
      <c r="BI97" s="351"/>
      <c r="BJ97" s="351"/>
      <c r="BL97" s="405">
        <f t="shared" si="71"/>
        <v>0</v>
      </c>
      <c r="BM97" s="405">
        <f t="shared" si="110"/>
        <v>0</v>
      </c>
      <c r="BN97" s="405">
        <f t="shared" si="73"/>
        <v>2290.9</v>
      </c>
      <c r="BO97" s="405">
        <f t="shared" si="74"/>
        <v>-89.707319393769481</v>
      </c>
    </row>
    <row r="98" spans="4:67" ht="13.5" thickBot="1" x14ac:dyDescent="0.25">
      <c r="D98" s="345">
        <v>2511.9</v>
      </c>
      <c r="E98" s="340" t="str">
        <f t="shared" si="60"/>
        <v>0.0416664155769956i</v>
      </c>
      <c r="F98" s="728" t="str">
        <f t="shared" si="75"/>
        <v>0.005-1.03869478392292i</v>
      </c>
      <c r="G98" s="337" t="str">
        <f t="shared" si="76"/>
        <v>0.005-1.6246251748538i</v>
      </c>
      <c r="H98" s="338" t="str">
        <f t="shared" si="77"/>
        <v>0.778994809611069-0.582034966409992i</v>
      </c>
      <c r="I98" s="338" t="str">
        <f t="shared" si="78"/>
        <v>0.788994809611069-0.582034966409992i</v>
      </c>
      <c r="J98" s="337" t="str">
        <f t="shared" si="79"/>
        <v>0.262822106111069-0.499337472863541i</v>
      </c>
      <c r="K98" s="338" t="str">
        <f t="shared" si="61"/>
        <v>0.999929892871-0.0131522776442537i</v>
      </c>
      <c r="L98" s="732"/>
      <c r="M98" s="732" t="str">
        <f t="shared" si="62"/>
        <v>18.871526644472+32.8623481479017i</v>
      </c>
      <c r="N98" s="337">
        <f t="shared" si="63"/>
        <v>0</v>
      </c>
      <c r="O98" s="730" t="str">
        <f t="shared" si="64"/>
        <v>18.0154963753151+12.2932874054092i</v>
      </c>
      <c r="P98" s="731" t="str">
        <f t="shared" si="65"/>
        <v>21.3692562547664-0.786308871740923i</v>
      </c>
      <c r="Q98" s="729" t="str">
        <f t="shared" si="66"/>
        <v>21.1891012910133-0.909241745795019i</v>
      </c>
      <c r="R98" s="730"/>
      <c r="S98" s="405" t="str">
        <f t="shared" si="80"/>
        <v>32.1510602243549+8.33071280456455i</v>
      </c>
      <c r="T98" s="405" t="str">
        <f t="shared" si="81"/>
        <v>18.7447048043079-3.74484091717491i</v>
      </c>
      <c r="U98" s="405" t="str">
        <f t="shared" si="82"/>
        <v>12.4223993928089-13.8272852684391i</v>
      </c>
      <c r="V98" s="731" t="str">
        <f t="shared" si="67"/>
        <v>6000</v>
      </c>
      <c r="W98" s="733" t="str">
        <f>IMSUM(COMPLEX(1,0),IMDIV(COMPLEX(0,2*PI()*D98),COMPLEX(2*PI()*'Stability Calculations'!EA_Pole1,0)))</f>
        <v>1+15940.5605048354i</v>
      </c>
      <c r="X98" s="734">
        <f t="shared" si="83"/>
        <v>15940.560536201923</v>
      </c>
      <c r="Y98" s="735">
        <f t="shared" si="84"/>
        <v>1.5707335937436726</v>
      </c>
      <c r="Z98" s="340" t="str">
        <f>IMSUM(COMPLEX(1,0),IMDIV(COMPLEX(0,2*PI()*D98),COMPLEX(2*PI()*'Stability Calculations'!EA_Zero1,0)))</f>
        <v>1+157.827331731044i</v>
      </c>
      <c r="AA98" s="734">
        <f t="shared" si="85"/>
        <v>157.83049971834029</v>
      </c>
      <c r="AB98" s="735">
        <f t="shared" si="86"/>
        <v>1.5644603733984777</v>
      </c>
      <c r="AC98" s="733" t="str">
        <f>IMSUM(COMPLEX(1,0),IMDIV(COMPLEX(0,2*PI()*D98),COMPLEX(2*PI()*'Stability Calculations'!EA_Pole2,0)))</f>
        <v>1+1.58986670192583i</v>
      </c>
      <c r="AD98" s="734">
        <f t="shared" si="87"/>
        <v>1.8782108853620554</v>
      </c>
      <c r="AE98" s="735">
        <f t="shared" si="88"/>
        <v>1.0093375644112337</v>
      </c>
      <c r="AF98" s="732" t="str">
        <f t="shared" si="89"/>
        <v>16.6720139987071-26.8789515010373i</v>
      </c>
      <c r="AG98" s="337">
        <f t="shared" si="90"/>
        <v>31.629639336675986</v>
      </c>
      <c r="AH98" s="730">
        <f t="shared" si="91"/>
        <v>-1.015610784756428</v>
      </c>
      <c r="AI98" s="731" t="str">
        <f t="shared" si="68"/>
        <v>10000</v>
      </c>
      <c r="AJ98" s="733" t="str">
        <f t="shared" si="92"/>
        <v>1+14860.9899903288i</v>
      </c>
      <c r="AK98" s="734">
        <f t="shared" si="93"/>
        <v>14860.990023973935</v>
      </c>
      <c r="AL98" s="735">
        <f t="shared" si="94"/>
        <v>1.570729036526944</v>
      </c>
      <c r="AM98" s="340" t="str">
        <f t="shared" si="95"/>
        <v>1+25.2208076106208i</v>
      </c>
      <c r="AN98" s="734">
        <f t="shared" si="96"/>
        <v>25.24062472546882</v>
      </c>
      <c r="AO98" s="735">
        <f t="shared" si="97"/>
        <v>1.5311672842356703</v>
      </c>
      <c r="AP98" s="733" t="str">
        <f t="shared" si="98"/>
        <v>1+1.22325074134821i</v>
      </c>
      <c r="AQ98" s="734">
        <f t="shared" si="99"/>
        <v>1.579981764517852</v>
      </c>
      <c r="AR98" s="735">
        <f t="shared" si="100"/>
        <v>0.88547903406204087</v>
      </c>
      <c r="AS98" s="732" t="str">
        <f t="shared" si="101"/>
        <v>0.434088543581306-93.1750097330956i</v>
      </c>
      <c r="AT98" s="337">
        <f t="shared" si="102"/>
        <v>93.176020904662636</v>
      </c>
      <c r="AU98" s="730">
        <f t="shared" si="103"/>
        <v>-1.5661375088967309</v>
      </c>
      <c r="AV98" s="732" t="str">
        <f t="shared" si="104"/>
        <v>-52.6704402653123-19.9853650904047i</v>
      </c>
      <c r="AW98" s="337">
        <f t="shared" si="105"/>
        <v>35.015508320780036</v>
      </c>
      <c r="AX98" s="730">
        <f t="shared" si="106"/>
        <v>-159.2211626222977</v>
      </c>
      <c r="AY98" s="360">
        <f t="shared" si="107"/>
        <v>20.778837377702303</v>
      </c>
      <c r="BB98" s="337">
        <f t="shared" si="108"/>
        <v>-0.61391680199867715</v>
      </c>
      <c r="BC98" s="730">
        <f t="shared" si="109"/>
        <v>-89.733069396915099</v>
      </c>
      <c r="BD98" s="351"/>
      <c r="BE98" s="337">
        <f t="shared" si="69"/>
        <v>31.571751390756337</v>
      </c>
      <c r="BF98" s="730">
        <f t="shared" si="70"/>
        <v>60.132979315717236</v>
      </c>
      <c r="BI98" s="351"/>
      <c r="BJ98" s="351"/>
      <c r="BL98" s="405">
        <f t="shared" si="71"/>
        <v>0</v>
      </c>
      <c r="BM98" s="405">
        <f t="shared" si="110"/>
        <v>0</v>
      </c>
      <c r="BN98" s="405">
        <f t="shared" si="73"/>
        <v>0</v>
      </c>
      <c r="BO98" s="405">
        <f t="shared" si="74"/>
        <v>0</v>
      </c>
    </row>
    <row r="99" spans="4:67" ht="13.5" thickBot="1" x14ac:dyDescent="0.25">
      <c r="D99" s="345">
        <v>2754.2</v>
      </c>
      <c r="E99" s="340" t="str">
        <f t="shared" si="60"/>
        <v>0.0456855932888098i</v>
      </c>
      <c r="F99" s="728" t="str">
        <f t="shared" si="75"/>
        <v>0.005-0.947315891270052i</v>
      </c>
      <c r="G99" s="337" t="str">
        <f t="shared" si="76"/>
        <v>0.005-1.4816992145506i</v>
      </c>
      <c r="H99" s="338" t="str">
        <f t="shared" si="77"/>
        <v>0.726304933854263-0.594735547902166i</v>
      </c>
      <c r="I99" s="338" t="str">
        <f t="shared" si="78"/>
        <v>0.736304933854263-0.594735547902166i</v>
      </c>
      <c r="J99" s="337" t="str">
        <f t="shared" si="79"/>
        <v>0.227249618584049-0.472216526593561i</v>
      </c>
      <c r="K99" s="338" t="str">
        <f t="shared" si="61"/>
        <v>0.999915715359556-0.0144209574775283i</v>
      </c>
      <c r="L99" s="732"/>
      <c r="M99" s="732" t="str">
        <f t="shared" si="62"/>
        <v>19.4587164571842+36.5225893143826i</v>
      </c>
      <c r="N99" s="337">
        <f t="shared" si="63"/>
        <v>0</v>
      </c>
      <c r="O99" s="730" t="str">
        <f t="shared" si="64"/>
        <v>18.3995943308611+13.654546299084i</v>
      </c>
      <c r="P99" s="731" t="str">
        <f t="shared" si="65"/>
        <v>21.6685561612711-0.888983005985192i</v>
      </c>
      <c r="Q99" s="729" t="str">
        <f t="shared" si="66"/>
        <v>21.4845602179625-1.02552846897605i</v>
      </c>
      <c r="R99" s="730"/>
      <c r="S99" s="405" t="str">
        <f t="shared" si="80"/>
        <v>32.9551222908739+8.17681767005485i</v>
      </c>
      <c r="T99" s="405" t="str">
        <f t="shared" si="81"/>
        <v>18.4263902129528-3.72800083164328i</v>
      </c>
      <c r="U99" s="405" t="str">
        <f t="shared" si="82"/>
        <v>11.1660035076044-13.6664946765948i</v>
      </c>
      <c r="V99" s="731" t="str">
        <f t="shared" si="67"/>
        <v>6000</v>
      </c>
      <c r="W99" s="733" t="str">
        <f>IMSUM(COMPLEX(1,0),IMDIV(COMPLEX(0,2*PI()*D99),COMPLEX(2*PI()*'Stability Calculations'!EA_Pole1,0)))</f>
        <v>1+17478.2004627643i</v>
      </c>
      <c r="X99" s="734">
        <f t="shared" si="83"/>
        <v>17478.200491371361</v>
      </c>
      <c r="Y99" s="735">
        <f t="shared" si="84"/>
        <v>1.5707391126668724</v>
      </c>
      <c r="Z99" s="340" t="str">
        <f>IMSUM(COMPLEX(1,0),IMDIV(COMPLEX(0,2*PI()*D99),COMPLEX(2*PI()*'Stability Calculations'!EA_Zero1,0)))</f>
        <v>1+173.05148973034i</v>
      </c>
      <c r="AA99" s="734">
        <f t="shared" si="85"/>
        <v>173.05437901968841</v>
      </c>
      <c r="AB99" s="735">
        <f t="shared" si="86"/>
        <v>1.5650177641778502</v>
      </c>
      <c r="AC99" s="733" t="str">
        <f>IMSUM(COMPLEX(1,0),IMDIV(COMPLEX(0,2*PI()*D99),COMPLEX(2*PI()*'Stability Calculations'!EA_Pole2,0)))</f>
        <v>1+1.74322658961109i</v>
      </c>
      <c r="AD99" s="734">
        <f t="shared" si="87"/>
        <v>2.0096862796782764</v>
      </c>
      <c r="AE99" s="735">
        <f t="shared" si="88"/>
        <v>1.0499780340399616</v>
      </c>
      <c r="AF99" s="732" t="str">
        <f t="shared" si="89"/>
        <v>14.5619725672493-25.7247036847291i</v>
      </c>
      <c r="AG99" s="337">
        <f t="shared" si="90"/>
        <v>29.560301499078726</v>
      </c>
      <c r="AH99" s="730">
        <f t="shared" si="91"/>
        <v>-1.0556993825289849</v>
      </c>
      <c r="AI99" s="731" t="str">
        <f t="shared" si="68"/>
        <v>10000</v>
      </c>
      <c r="AJ99" s="733" t="str">
        <f t="shared" si="92"/>
        <v>1+16294.4936627109i</v>
      </c>
      <c r="AK99" s="734">
        <f t="shared" si="93"/>
        <v>16294.493693396113</v>
      </c>
      <c r="AL99" s="735">
        <f t="shared" si="94"/>
        <v>1.5707349563700499</v>
      </c>
      <c r="AM99" s="340" t="str">
        <f t="shared" si="95"/>
        <v>1+27.6536280589083i</v>
      </c>
      <c r="AN99" s="734">
        <f t="shared" si="96"/>
        <v>27.671702962059285</v>
      </c>
      <c r="AO99" s="735">
        <f t="shared" si="97"/>
        <v>1.5346504564609276</v>
      </c>
      <c r="AP99" s="733" t="str">
        <f t="shared" si="98"/>
        <v>1+1.34124654318294i</v>
      </c>
      <c r="AQ99" s="734">
        <f t="shared" si="99"/>
        <v>1.6730039717825496</v>
      </c>
      <c r="AR99" s="735">
        <f t="shared" si="100"/>
        <v>0.93013318632876518</v>
      </c>
      <c r="AS99" s="732" t="str">
        <f t="shared" si="101"/>
        <v>0.361071868717072-84.9782737024416i</v>
      </c>
      <c r="AT99" s="337">
        <f t="shared" si="102"/>
        <v>84.979040794430333</v>
      </c>
      <c r="AU99" s="730">
        <f t="shared" si="103"/>
        <v>-1.5665473619702626</v>
      </c>
      <c r="AV99" s="732" t="str">
        <f t="shared" si="104"/>
        <v>-44.8318052321953-14.8429524542247i</v>
      </c>
      <c r="AW99" s="337">
        <f t="shared" si="105"/>
        <v>33.483445900104122</v>
      </c>
      <c r="AX99" s="730">
        <f t="shared" si="106"/>
        <v>-161.68128125740415</v>
      </c>
      <c r="AY99" s="360">
        <f t="shared" si="107"/>
        <v>18.318718742595848</v>
      </c>
      <c r="BB99" s="337">
        <f t="shared" si="108"/>
        <v>-1.4137635068310039</v>
      </c>
      <c r="BC99" s="730">
        <f t="shared" si="109"/>
        <v>-89.756552248248923</v>
      </c>
      <c r="BD99" s="351"/>
      <c r="BE99" s="337">
        <f t="shared" si="69"/>
        <v>32.336410224787222</v>
      </c>
      <c r="BF99" s="730">
        <f t="shared" si="70"/>
        <v>61.951943299131216</v>
      </c>
      <c r="BI99" s="351"/>
      <c r="BJ99" s="351"/>
      <c r="BL99" s="405">
        <f t="shared" si="71"/>
        <v>0</v>
      </c>
      <c r="BM99" s="405">
        <f t="shared" si="110"/>
        <v>0</v>
      </c>
      <c r="BN99" s="405">
        <f t="shared" si="73"/>
        <v>0</v>
      </c>
      <c r="BO99" s="405">
        <f t="shared" si="74"/>
        <v>0</v>
      </c>
    </row>
    <row r="100" spans="4:67" ht="13.5" thickBot="1" x14ac:dyDescent="0.25">
      <c r="D100" s="345">
        <v>3020</v>
      </c>
      <c r="E100" s="340" t="str">
        <f t="shared" si="60"/>
        <v>0.0500945798170814i</v>
      </c>
      <c r="F100" s="728" t="str">
        <f t="shared" si="75"/>
        <v>0.005-0.863939545607946i</v>
      </c>
      <c r="G100" s="337" t="str">
        <f t="shared" si="76"/>
        <v>0.005-1.35129005851499i</v>
      </c>
      <c r="H100" s="338" t="str">
        <f t="shared" si="77"/>
        <v>0.671712337576407-0.602776016843964i</v>
      </c>
      <c r="I100" s="338" t="str">
        <f t="shared" si="78"/>
        <v>0.681712337576407-0.602776016843964i</v>
      </c>
      <c r="J100" s="337" t="str">
        <f t="shared" si="79"/>
        <v>0.195583409566702-0.444300881142209i</v>
      </c>
      <c r="K100" s="338" t="str">
        <f t="shared" si="61"/>
        <v>0.999898662222222-0.0158126830230686i</v>
      </c>
      <c r="L100" s="732"/>
      <c r="M100" s="732" t="str">
        <f t="shared" si="62"/>
        <v>20.1995266427565+40.7129659105559i</v>
      </c>
      <c r="N100" s="337">
        <f t="shared" si="63"/>
        <v>0</v>
      </c>
      <c r="O100" s="730" t="str">
        <f t="shared" si="64"/>
        <v>18.8806832546638+15.2101343577397i</v>
      </c>
      <c r="P100" s="731" t="str">
        <f t="shared" si="65"/>
        <v>22.0394989203964-1.01188679967282i</v>
      </c>
      <c r="Q100" s="729" t="str">
        <f t="shared" si="66"/>
        <v>21.8506920878497-1.16398814325019i</v>
      </c>
      <c r="R100" s="730"/>
      <c r="S100" s="405" t="str">
        <f t="shared" si="80"/>
        <v>33.734352651149+7.94822218609929i</v>
      </c>
      <c r="T100" s="405" t="str">
        <f t="shared" si="81"/>
        <v>18.1177125632181-3.68592360858435i</v>
      </c>
      <c r="U100" s="405" t="str">
        <f t="shared" si="82"/>
        <v>9.948104706203-13.3968029764306i</v>
      </c>
      <c r="V100" s="731" t="str">
        <f t="shared" si="67"/>
        <v>6000</v>
      </c>
      <c r="W100" s="733" t="str">
        <f>IMSUM(COMPLEX(1,0),IMDIV(COMPLEX(0,2*PI()*D100),COMPLEX(2*PI()*'Stability Calculations'!EA_Pole1,0)))</f>
        <v>1+19164.9718239591i</v>
      </c>
      <c r="X100" s="734">
        <f t="shared" si="83"/>
        <v>19164.971850048361</v>
      </c>
      <c r="Y100" s="735">
        <f t="shared" si="84"/>
        <v>1.5707441482679321</v>
      </c>
      <c r="Z100" s="340" t="str">
        <f>IMSUM(COMPLEX(1,0),IMDIV(COMPLEX(0,2*PI()*D100),COMPLEX(2*PI()*'Stability Calculations'!EA_Zero1,0)))</f>
        <v>1+189.752196276823i</v>
      </c>
      <c r="AA100" s="734">
        <f t="shared" si="85"/>
        <v>189.75483127414162</v>
      </c>
      <c r="AB100" s="735">
        <f t="shared" si="86"/>
        <v>1.56552634435447</v>
      </c>
      <c r="AC100" s="733" t="str">
        <f>IMSUM(COMPLEX(1,0),IMDIV(COMPLEX(0,2*PI()*D100),COMPLEX(2*PI()*'Stability Calculations'!EA_Pole2,0)))</f>
        <v>1+1.91146042430669i</v>
      </c>
      <c r="AD100" s="734">
        <f t="shared" si="87"/>
        <v>2.1572391971431242</v>
      </c>
      <c r="AE100" s="735">
        <f t="shared" si="88"/>
        <v>1.0887926978693256</v>
      </c>
      <c r="AF100" s="732" t="str">
        <f t="shared" si="89"/>
        <v>12.6380512974656-24.4671063422152i</v>
      </c>
      <c r="AG100" s="337">
        <f t="shared" si="90"/>
        <v>27.538330257273028</v>
      </c>
      <c r="AH100" s="730">
        <f t="shared" si="91"/>
        <v>-1.0940105017827872</v>
      </c>
      <c r="AI100" s="731" t="str">
        <f t="shared" si="68"/>
        <v>10000</v>
      </c>
      <c r="AJ100" s="733" t="str">
        <f t="shared" si="92"/>
        <v>1+17867.0288509865i</v>
      </c>
      <c r="AK100" s="734">
        <f t="shared" si="93"/>
        <v>17867.028878971007</v>
      </c>
      <c r="AL100" s="735">
        <f t="shared" si="94"/>
        <v>1.5707403577802779</v>
      </c>
      <c r="AM100" s="340" t="str">
        <f t="shared" si="95"/>
        <v>1+30.3224009650363i</v>
      </c>
      <c r="AN100" s="734">
        <f t="shared" si="96"/>
        <v>30.338885943363749</v>
      </c>
      <c r="AO100" s="735">
        <f t="shared" si="97"/>
        <v>1.5378293562312717</v>
      </c>
      <c r="AP100" s="733" t="str">
        <f t="shared" si="98"/>
        <v>1+1.47068642815063i</v>
      </c>
      <c r="AQ100" s="734">
        <f t="shared" si="99"/>
        <v>1.7784596059361195</v>
      </c>
      <c r="AR100" s="735">
        <f t="shared" si="100"/>
        <v>0.97365071513536383</v>
      </c>
      <c r="AS100" s="732" t="str">
        <f t="shared" si="101"/>
        <v>0.300311549688777-77.4992955242089i</v>
      </c>
      <c r="AT100" s="337">
        <f t="shared" si="102"/>
        <v>77.499877379100056</v>
      </c>
      <c r="AU100" s="730">
        <f t="shared" si="103"/>
        <v>-1.566921323228331</v>
      </c>
      <c r="AV100" s="732" t="str">
        <f t="shared" si="104"/>
        <v>-37.9229691489287-10.9031400429576i</v>
      </c>
      <c r="AW100" s="337">
        <f t="shared" si="105"/>
        <v>31.922969948635817</v>
      </c>
      <c r="AX100" s="730">
        <f t="shared" si="106"/>
        <v>-163.95965700603026</v>
      </c>
      <c r="AY100" s="360">
        <f t="shared" si="107"/>
        <v>16.040342993969745</v>
      </c>
      <c r="BB100" s="337">
        <f t="shared" si="108"/>
        <v>-2.2139796927440707</v>
      </c>
      <c r="BC100" s="730">
        <f t="shared" si="109"/>
        <v>-89.777978650037653</v>
      </c>
      <c r="BD100" s="351"/>
      <c r="BE100" s="337">
        <f t="shared" si="69"/>
        <v>33.150391751121461</v>
      </c>
      <c r="BF100" s="730">
        <f t="shared" si="70"/>
        <v>63.611930177983176</v>
      </c>
      <c r="BI100" s="351"/>
      <c r="BJ100" s="351"/>
      <c r="BL100" s="405">
        <f t="shared" si="71"/>
        <v>0</v>
      </c>
      <c r="BM100" s="405">
        <f t="shared" si="110"/>
        <v>0</v>
      </c>
      <c r="BN100" s="405">
        <f t="shared" si="73"/>
        <v>0</v>
      </c>
      <c r="BO100" s="405">
        <f t="shared" si="74"/>
        <v>0</v>
      </c>
    </row>
    <row r="101" spans="4:67" ht="13.5" thickBot="1" x14ac:dyDescent="0.25">
      <c r="D101" s="345">
        <v>3311.3</v>
      </c>
      <c r="E101" s="340" t="str">
        <f t="shared" si="60"/>
        <v>0.0549265503802324i</v>
      </c>
      <c r="F101" s="728" t="str">
        <f t="shared" si="75"/>
        <v>0.005-0.787937495163829i</v>
      </c>
      <c r="G101" s="337" t="str">
        <f t="shared" si="76"/>
        <v>0.005-1.2324150565383i</v>
      </c>
      <c r="H101" s="338" t="str">
        <f t="shared" si="77"/>
        <v>0.616129948257554-0.605820322323186i</v>
      </c>
      <c r="I101" s="338" t="str">
        <f t="shared" si="78"/>
        <v>0.626129948257554-0.605820322323186i</v>
      </c>
      <c r="J101" s="337" t="str">
        <f t="shared" si="79"/>
        <v>0.167689037040169-0.41617809316812i</v>
      </c>
      <c r="K101" s="338" t="str">
        <f t="shared" si="61"/>
        <v>0.999878169914556-0.0173379262563865i</v>
      </c>
      <c r="L101" s="732"/>
      <c r="M101" s="732" t="str">
        <f t="shared" si="62"/>
        <v>21.1431869647521+45.5486479336142i</v>
      </c>
      <c r="N101" s="337">
        <f t="shared" si="63"/>
        <v>0</v>
      </c>
      <c r="O101" s="730" t="str">
        <f t="shared" si="64"/>
        <v>19.4881581628677+17.0012630210699i</v>
      </c>
      <c r="P101" s="731" t="str">
        <f t="shared" si="65"/>
        <v>22.5018301054771-1.16132232401812i</v>
      </c>
      <c r="Q101" s="729" t="str">
        <f t="shared" si="66"/>
        <v>22.3069485238484-1.3313349542288i</v>
      </c>
      <c r="R101" s="730"/>
      <c r="S101" s="405" t="str">
        <f t="shared" si="80"/>
        <v>34.4766658837423+7.65151074183759i</v>
      </c>
      <c r="T101" s="405" t="str">
        <f t="shared" si="81"/>
        <v>17.8234109145893-3.62157098414529i</v>
      </c>
      <c r="U101" s="405" t="str">
        <f t="shared" si="82"/>
        <v>8.78751594364783-13.0291428882475i</v>
      </c>
      <c r="V101" s="731" t="str">
        <f t="shared" si="67"/>
        <v>6000</v>
      </c>
      <c r="W101" s="733" t="str">
        <f>IMSUM(COMPLEX(1,0),IMDIV(COMPLEX(0,2*PI()*D101),COMPLEX(2*PI()*'Stability Calculations'!EA_Pole1,0)))</f>
        <v>1+21013.5666227404i</v>
      </c>
      <c r="X101" s="734">
        <f t="shared" si="83"/>
        <v>21013.566646534553</v>
      </c>
      <c r="Y101" s="735">
        <f t="shared" si="84"/>
        <v>1.5707487384907692</v>
      </c>
      <c r="Z101" s="340" t="str">
        <f>IMSUM(COMPLEX(1,0),IMDIV(COMPLEX(0,2*PI()*D101),COMPLEX(2*PI()*'Stability Calculations'!EA_Zero1,0)))</f>
        <v>1+208.055115076638i</v>
      </c>
      <c r="AA101" s="734">
        <f t="shared" si="85"/>
        <v>208.0575182721189</v>
      </c>
      <c r="AB101" s="735">
        <f t="shared" si="86"/>
        <v>1.5659899450859693</v>
      </c>
      <c r="AC101" s="733" t="str">
        <f>IMSUM(COMPLEX(1,0),IMDIV(COMPLEX(0,2*PI()*D101),COMPLEX(2*PI()*'Stability Calculations'!EA_Pole2,0)))</f>
        <v>1+2.0958340738433i</v>
      </c>
      <c r="AD101" s="734">
        <f t="shared" si="87"/>
        <v>2.3221801103882109</v>
      </c>
      <c r="AE101" s="735">
        <f t="shared" si="88"/>
        <v>1.1256058280011882</v>
      </c>
      <c r="AF101" s="732" t="str">
        <f t="shared" si="89"/>
        <v>10.9064872863867-23.1408904771178i</v>
      </c>
      <c r="AG101" s="337">
        <f t="shared" si="90"/>
        <v>25.582264891953489</v>
      </c>
      <c r="AH101" s="730">
        <f t="shared" si="91"/>
        <v>-1.1303646214059875</v>
      </c>
      <c r="AI101" s="731" t="str">
        <f t="shared" si="68"/>
        <v>10000</v>
      </c>
      <c r="AJ101" s="733" t="str">
        <f t="shared" si="92"/>
        <v>1+19590.4280245933i</v>
      </c>
      <c r="AK101" s="734">
        <f t="shared" si="93"/>
        <v>19590.42805011597</v>
      </c>
      <c r="AL101" s="735">
        <f t="shared" si="94"/>
        <v>1.5707452814579659</v>
      </c>
      <c r="AM101" s="340" t="str">
        <f t="shared" si="95"/>
        <v>1+33.2472073892467i</v>
      </c>
      <c r="AN101" s="734">
        <f t="shared" si="96"/>
        <v>33.262242846560724</v>
      </c>
      <c r="AO101" s="735">
        <f t="shared" si="97"/>
        <v>1.5407276778530694</v>
      </c>
      <c r="AP101" s="733" t="str">
        <f t="shared" si="98"/>
        <v>1+1.61254436077325i</v>
      </c>
      <c r="AQ101" s="734">
        <f t="shared" si="99"/>
        <v>1.8974454710113833</v>
      </c>
      <c r="AR101" s="735">
        <f t="shared" si="100"/>
        <v>1.0157009390312999</v>
      </c>
      <c r="AS101" s="732" t="str">
        <f t="shared" si="101"/>
        <v>0.249798576758928-70.6817454216406i</v>
      </c>
      <c r="AT101" s="337">
        <f t="shared" si="102"/>
        <v>70.682186830760713</v>
      </c>
      <c r="AU101" s="730">
        <f t="shared" si="103"/>
        <v>-1.5672622100965214</v>
      </c>
      <c r="AV101" s="732" t="str">
        <f t="shared" si="104"/>
        <v>-31.9168650417116-7.92919634127063i</v>
      </c>
      <c r="AW101" s="337">
        <f t="shared" si="105"/>
        <v>30.340499861704689</v>
      </c>
      <c r="AX101" s="730">
        <f t="shared" si="106"/>
        <v>-166.0482992709037</v>
      </c>
      <c r="AY101" s="360">
        <f t="shared" si="107"/>
        <v>13.951700729096302</v>
      </c>
      <c r="BB101" s="337">
        <f t="shared" si="108"/>
        <v>-3.0138004470744901</v>
      </c>
      <c r="BC101" s="730">
        <f t="shared" si="109"/>
        <v>-89.797510028876403</v>
      </c>
      <c r="BD101" s="351"/>
      <c r="BE101" s="337">
        <f t="shared" si="69"/>
        <v>34.016957750647769</v>
      </c>
      <c r="BF101" s="730">
        <f t="shared" si="70"/>
        <v>65.099784186515791</v>
      </c>
      <c r="BI101" s="351"/>
      <c r="BJ101" s="351"/>
      <c r="BL101" s="405">
        <f t="shared" si="71"/>
        <v>0</v>
      </c>
      <c r="BM101" s="405">
        <f t="shared" si="110"/>
        <v>0</v>
      </c>
      <c r="BN101" s="405">
        <f t="shared" si="73"/>
        <v>0</v>
      </c>
      <c r="BO101" s="405">
        <f t="shared" si="74"/>
        <v>0</v>
      </c>
    </row>
    <row r="102" spans="4:67" ht="13.5" thickBot="1" x14ac:dyDescent="0.25">
      <c r="D102" s="345">
        <v>3630.8</v>
      </c>
      <c r="E102" s="340" t="str">
        <f t="shared" si="60"/>
        <v>0.0602262915231322i</v>
      </c>
      <c r="F102" s="728" t="str">
        <f t="shared" si="75"/>
        <v>0.005-0.718601252543787i</v>
      </c>
      <c r="G102" s="337" t="str">
        <f t="shared" si="76"/>
        <v>0.005-1.12396606167105i</v>
      </c>
      <c r="H102" s="338" t="str">
        <f t="shared" si="77"/>
        <v>0.560441156248527-0.603745049805801i</v>
      </c>
      <c r="I102" s="338" t="str">
        <f t="shared" si="78"/>
        <v>0.570441156248527-0.603745049805801i</v>
      </c>
      <c r="J102" s="337" t="str">
        <f t="shared" si="79"/>
        <v>0.143303372569751-0.388296470236148i</v>
      </c>
      <c r="K102" s="338" t="str">
        <f t="shared" si="61"/>
        <v>0.999853525459556-0.019010824344423i</v>
      </c>
      <c r="L102" s="732"/>
      <c r="M102" s="732" t="str">
        <f t="shared" si="62"/>
        <v>22.3621687151815+51.1946129057733i</v>
      </c>
      <c r="N102" s="337">
        <f t="shared" si="63"/>
        <v>0</v>
      </c>
      <c r="O102" s="730" t="str">
        <f t="shared" si="64"/>
        <v>20.2645798743583+19.0867176642923i</v>
      </c>
      <c r="P102" s="731" t="str">
        <f t="shared" si="65"/>
        <v>23.083261681277-1.34679049212998i</v>
      </c>
      <c r="Q102" s="729" t="str">
        <f t="shared" si="66"/>
        <v>22.8806158825334-1.53765766877293i</v>
      </c>
      <c r="R102" s="730"/>
      <c r="S102" s="405" t="str">
        <f t="shared" si="80"/>
        <v>35.173497940901+7.29475384763628i</v>
      </c>
      <c r="T102" s="405" t="str">
        <f t="shared" si="81"/>
        <v>17.5468251748498-3.53861814955547i</v>
      </c>
      <c r="U102" s="405" t="str">
        <f t="shared" si="82"/>
        <v>7.6975397985365-12.5769960863823i</v>
      </c>
      <c r="V102" s="731" t="str">
        <f t="shared" si="67"/>
        <v>6000</v>
      </c>
      <c r="W102" s="733" t="str">
        <f>IMSUM(COMPLEX(1,0),IMDIV(COMPLEX(0,2*PI()*D102),COMPLEX(2*PI()*'Stability Calculations'!EA_Pole1,0)))</f>
        <v>1+23041.1191054407i</v>
      </c>
      <c r="X102" s="734">
        <f t="shared" si="83"/>
        <v>23041.119127141035</v>
      </c>
      <c r="Y102" s="735">
        <f t="shared" si="84"/>
        <v>1.5707529261252158</v>
      </c>
      <c r="Z102" s="340" t="str">
        <f>IMSUM(COMPLEX(1,0),IMDIV(COMPLEX(0,2*PI()*D102),COMPLEX(2*PI()*'Stability Calculations'!EA_Zero1,0)))</f>
        <v>1+228.129892133076i</v>
      </c>
      <c r="AA102" s="734">
        <f t="shared" si="85"/>
        <v>228.1320838563679</v>
      </c>
      <c r="AB102" s="735">
        <f t="shared" si="86"/>
        <v>1.5664128872298571</v>
      </c>
      <c r="AC102" s="733" t="str">
        <f>IMSUM(COMPLEX(1,0),IMDIV(COMPLEX(0,2*PI()*D102),COMPLEX(2*PI()*'Stability Calculations'!EA_Pole2,0)))</f>
        <v>1+2.2980564597923i</v>
      </c>
      <c r="AD102" s="734">
        <f t="shared" si="87"/>
        <v>2.5062049980783936</v>
      </c>
      <c r="AE102" s="735">
        <f t="shared" si="88"/>
        <v>1.1603597776123182</v>
      </c>
      <c r="AF102" s="732" t="str">
        <f t="shared" si="89"/>
        <v>9.36361393281084-21.7759392454535i</v>
      </c>
      <c r="AG102" s="337">
        <f t="shared" si="90"/>
        <v>23.703771765362813</v>
      </c>
      <c r="AH102" s="730">
        <f t="shared" si="91"/>
        <v>-1.164699816507675</v>
      </c>
      <c r="AI102" s="731" t="str">
        <f t="shared" si="68"/>
        <v>10000</v>
      </c>
      <c r="AJ102" s="733" t="str">
        <f t="shared" si="92"/>
        <v>1+21480.6650172721i</v>
      </c>
      <c r="AK102" s="734">
        <f t="shared" si="93"/>
        <v>21480.665040548844</v>
      </c>
      <c r="AL102" s="735">
        <f t="shared" si="94"/>
        <v>1.5707497733013958</v>
      </c>
      <c r="AM102" s="340" t="str">
        <f t="shared" si="95"/>
        <v>1+36.4551567628655i</v>
      </c>
      <c r="AN102" s="734">
        <f t="shared" si="96"/>
        <v>36.468869664483684</v>
      </c>
      <c r="AO102" s="735">
        <f t="shared" si="97"/>
        <v>1.5433722424475045</v>
      </c>
      <c r="AP102" s="733" t="str">
        <f t="shared" si="98"/>
        <v>1+1.7681351931554i</v>
      </c>
      <c r="AQ102" s="734">
        <f t="shared" si="99"/>
        <v>2.0313301211951451</v>
      </c>
      <c r="AR102" s="735">
        <f t="shared" si="100"/>
        <v>1.0560796279382478</v>
      </c>
      <c r="AS102" s="732" t="str">
        <f t="shared" si="101"/>
        <v>0.207770209152561-64.4620897473189i</v>
      </c>
      <c r="AT102" s="337">
        <f t="shared" si="102"/>
        <v>64.462424582474455</v>
      </c>
      <c r="AU102" s="730">
        <f t="shared" si="103"/>
        <v>-1.5675731999851754</v>
      </c>
      <c r="AV102" s="732" t="str">
        <f t="shared" si="104"/>
        <v>-26.7486505426567-5.71026564174522i</v>
      </c>
      <c r="AW102" s="337">
        <f t="shared" si="105"/>
        <v>28.739581683242399</v>
      </c>
      <c r="AX102" s="730">
        <f t="shared" si="106"/>
        <v>-167.94946183274962</v>
      </c>
      <c r="AY102" s="360">
        <f t="shared" si="107"/>
        <v>12.05053816725038</v>
      </c>
      <c r="BB102" s="337">
        <f t="shared" si="108"/>
        <v>-3.8138672737163875</v>
      </c>
      <c r="BC102" s="730">
        <f t="shared" si="109"/>
        <v>-89.815328436967519</v>
      </c>
      <c r="BD102" s="351"/>
      <c r="BE102" s="337">
        <f t="shared" si="69"/>
        <v>34.942875040117528</v>
      </c>
      <c r="BF102" s="730">
        <f t="shared" si="70"/>
        <v>66.403954502210993</v>
      </c>
      <c r="BI102" s="351"/>
      <c r="BJ102" s="351"/>
      <c r="BL102" s="405">
        <f t="shared" si="71"/>
        <v>0</v>
      </c>
      <c r="BM102" s="405">
        <f t="shared" si="110"/>
        <v>0</v>
      </c>
      <c r="BN102" s="405">
        <f t="shared" si="73"/>
        <v>0</v>
      </c>
      <c r="BO102" s="405">
        <f t="shared" si="74"/>
        <v>0</v>
      </c>
    </row>
    <row r="103" spans="4:67" ht="13.5" thickBot="1" x14ac:dyDescent="0.25">
      <c r="D103" s="345">
        <v>3981.1</v>
      </c>
      <c r="E103" s="340" t="str">
        <f t="shared" si="60"/>
        <v>0.0660369310297294i</v>
      </c>
      <c r="F103" s="728" t="str">
        <f t="shared" si="75"/>
        <v>0.005-0.655370984837355i</v>
      </c>
      <c r="G103" s="337" t="str">
        <f t="shared" si="76"/>
        <v>0.005-1.02506743782253i</v>
      </c>
      <c r="H103" s="338" t="str">
        <f t="shared" si="77"/>
        <v>0.505600777577166-0.596636143835177i</v>
      </c>
      <c r="I103" s="338" t="str">
        <f t="shared" si="78"/>
        <v>0.515600777577166-0.596636143835177i</v>
      </c>
      <c r="J103" s="337" t="str">
        <f t="shared" si="79"/>
        <v>0.122149857087058-0.36104532755071i</v>
      </c>
      <c r="K103" s="338" t="str">
        <f t="shared" si="61"/>
        <v>0.999823898253222-0.0208449908553439i</v>
      </c>
      <c r="L103" s="732"/>
      <c r="M103" s="732" t="str">
        <f t="shared" si="62"/>
        <v>23.9625714910264+57.8728453775331i</v>
      </c>
      <c r="N103" s="337">
        <f t="shared" si="63"/>
        <v>0</v>
      </c>
      <c r="O103" s="730" t="str">
        <f t="shared" si="64"/>
        <v>21.2708831356994+21.544891885936i</v>
      </c>
      <c r="P103" s="731" t="str">
        <f t="shared" si="65"/>
        <v>23.8217450986903-1.58241468084786i</v>
      </c>
      <c r="Q103" s="729" t="str">
        <f t="shared" si="66"/>
        <v>23.6090362673333-1.79786359970723i</v>
      </c>
      <c r="R103" s="730"/>
      <c r="S103" s="405" t="str">
        <f t="shared" si="80"/>
        <v>35.8178955510755+6.8875269519203i</v>
      </c>
      <c r="T103" s="405" t="str">
        <f t="shared" si="81"/>
        <v>17.2906523641709-3.44131608167665i</v>
      </c>
      <c r="U103" s="405" t="str">
        <f t="shared" si="82"/>
        <v>6.68895372345172-12.0561602377381i</v>
      </c>
      <c r="V103" s="731" t="str">
        <f t="shared" si="67"/>
        <v>6000</v>
      </c>
      <c r="W103" s="733" t="str">
        <f>IMSUM(COMPLEX(1,0),IMDIV(COMPLEX(0,2*PI()*D103),COMPLEX(2*PI()*'Stability Calculations'!EA_Pole1,0)))</f>
        <v>1+25264.1289166768i</v>
      </c>
      <c r="X103" s="734">
        <f t="shared" si="83"/>
        <v>25264.128936467703</v>
      </c>
      <c r="Y103" s="735">
        <f t="shared" si="84"/>
        <v>1.5707567449829618</v>
      </c>
      <c r="Z103" s="340" t="str">
        <f>IMSUM(COMPLEX(1,0),IMDIV(COMPLEX(0,2*PI()*D103),COMPLEX(2*PI()*'Stability Calculations'!EA_Zero1,0)))</f>
        <v>1+250.139890264127i</v>
      </c>
      <c r="AA103" s="734">
        <f t="shared" si="85"/>
        <v>250.14188913764423</v>
      </c>
      <c r="AB103" s="735">
        <f t="shared" si="86"/>
        <v>1.5667985850847459</v>
      </c>
      <c r="AC103" s="733" t="str">
        <f>IMSUM(COMPLEX(1,0),IMDIV(COMPLEX(0,2*PI()*D103),COMPLEX(2*PI()*'Stability Calculations'!EA_Pole2,0)))</f>
        <v>1+2.51977321033358i</v>
      </c>
      <c r="AD103" s="734">
        <f t="shared" si="87"/>
        <v>2.7109513148551367</v>
      </c>
      <c r="AE103" s="735">
        <f t="shared" si="88"/>
        <v>1.1929988123981312</v>
      </c>
      <c r="AF103" s="732" t="str">
        <f t="shared" si="89"/>
        <v>8.00263910967984-20.3999751171341i</v>
      </c>
      <c r="AG103" s="337">
        <f t="shared" si="90"/>
        <v>21.913493959190255</v>
      </c>
      <c r="AH103" s="730">
        <f t="shared" si="91"/>
        <v>-1.1969569722963465</v>
      </c>
      <c r="AI103" s="731" t="str">
        <f t="shared" si="68"/>
        <v>10000</v>
      </c>
      <c r="AJ103" s="733" t="str">
        <f t="shared" si="92"/>
        <v>1+23553.1220392922i</v>
      </c>
      <c r="AK103" s="734">
        <f t="shared" si="93"/>
        <v>23553.122060520804</v>
      </c>
      <c r="AL103" s="735">
        <f t="shared" si="94"/>
        <v>1.5707538695784933</v>
      </c>
      <c r="AM103" s="340" t="str">
        <f t="shared" si="95"/>
        <v>1+39.9723544642075i</v>
      </c>
      <c r="AN103" s="734">
        <f t="shared" si="96"/>
        <v>39.984861152844445</v>
      </c>
      <c r="AO103" s="735">
        <f t="shared" si="97"/>
        <v>1.5457842535732627</v>
      </c>
      <c r="AP103" s="733" t="str">
        <f t="shared" si="98"/>
        <v>1+1.93872507917567i</v>
      </c>
      <c r="AQ103" s="734">
        <f t="shared" si="99"/>
        <v>2.1814341458372533</v>
      </c>
      <c r="AR103" s="735">
        <f t="shared" si="100"/>
        <v>1.0945864781937116</v>
      </c>
      <c r="AS103" s="732" t="str">
        <f t="shared" si="101"/>
        <v>0.172815430000495-58.7901244669294i</v>
      </c>
      <c r="AT103" s="337">
        <f t="shared" si="102"/>
        <v>58.790378464591434</v>
      </c>
      <c r="AU103" s="730">
        <f t="shared" si="103"/>
        <v>-1.5678568036383653</v>
      </c>
      <c r="AV103" s="732" t="str">
        <f t="shared" si="104"/>
        <v>-22.3442512811979-4.07332666438436i</v>
      </c>
      <c r="AW103" s="337">
        <f t="shared" si="105"/>
        <v>27.125297957547701</v>
      </c>
      <c r="AX103" s="730">
        <f t="shared" si="106"/>
        <v>-169.66850835425544</v>
      </c>
      <c r="AY103" s="360">
        <f t="shared" si="107"/>
        <v>10.331491645744563</v>
      </c>
      <c r="BB103" s="337">
        <f t="shared" si="108"/>
        <v>-4.6138748803977876</v>
      </c>
      <c r="BC103" s="730">
        <f t="shared" si="109"/>
        <v>-89.831577729349789</v>
      </c>
      <c r="BD103" s="351"/>
      <c r="BE103" s="337">
        <f t="shared" si="69"/>
        <v>35.93670454052247</v>
      </c>
      <c r="BF103" s="730">
        <f t="shared" si="70"/>
        <v>67.507729153458541</v>
      </c>
      <c r="BI103" s="351"/>
      <c r="BJ103" s="351"/>
      <c r="BL103" s="405">
        <f t="shared" si="71"/>
        <v>0</v>
      </c>
      <c r="BM103" s="405">
        <f t="shared" si="110"/>
        <v>0</v>
      </c>
      <c r="BN103" s="405">
        <f t="shared" si="73"/>
        <v>0</v>
      </c>
      <c r="BO103" s="405">
        <f t="shared" si="74"/>
        <v>0</v>
      </c>
    </row>
    <row r="104" spans="4:67" ht="13.5" thickBot="1" x14ac:dyDescent="0.25">
      <c r="D104" s="345">
        <v>4365.2</v>
      </c>
      <c r="E104" s="340" t="str">
        <f t="shared" si="60"/>
        <v>0.0724082317276569i</v>
      </c>
      <c r="F104" s="728" t="str">
        <f t="shared" si="75"/>
        <v>0.005-0.597703983262162i</v>
      </c>
      <c r="G104" s="337" t="str">
        <f t="shared" si="76"/>
        <v>0.005-0.934870332794666i</v>
      </c>
      <c r="H104" s="338" t="str">
        <f t="shared" si="77"/>
        <v>0.45248212750706-0.584785910865497i</v>
      </c>
      <c r="I104" s="338" t="str">
        <f t="shared" si="78"/>
        <v>0.46248212750706-0.584785910865497i</v>
      </c>
      <c r="J104" s="337" t="str">
        <f t="shared" si="79"/>
        <v>0.103915371562251-0.334713250900936i</v>
      </c>
      <c r="K104" s="338" t="str">
        <f t="shared" si="61"/>
        <v>0.999788278099556-0.0228561337524169i</v>
      </c>
      <c r="L104" s="732"/>
      <c r="M104" s="732" t="str">
        <f t="shared" si="62"/>
        <v>26.1086264148611+65.9038566612404i</v>
      </c>
      <c r="N104" s="337">
        <f t="shared" si="63"/>
        <v>0</v>
      </c>
      <c r="O104" s="730" t="str">
        <f t="shared" si="64"/>
        <v>22.5992657321129+24.4879792124165i</v>
      </c>
      <c r="P104" s="731" t="str">
        <f t="shared" si="65"/>
        <v>24.7719817248734-1.89047947153809i</v>
      </c>
      <c r="Q104" s="729" t="str">
        <f t="shared" si="66"/>
        <v>24.5459890675523-2.13535926366225i</v>
      </c>
      <c r="R104" s="730"/>
      <c r="S104" s="405" t="str">
        <f t="shared" si="80"/>
        <v>36.4057991872842+6.4396731411304i</v>
      </c>
      <c r="T104" s="405" t="str">
        <f t="shared" si="81"/>
        <v>17.0564364130397-3.33409352446832i</v>
      </c>
      <c r="U104" s="405" t="str">
        <f t="shared" si="82"/>
        <v>5.76800171724413-11.4829814351779i</v>
      </c>
      <c r="V104" s="731" t="str">
        <f t="shared" si="67"/>
        <v>6000</v>
      </c>
      <c r="W104" s="733" t="str">
        <f>IMSUM(COMPLEX(1,0),IMDIV(COMPLEX(0,2*PI()*D104),COMPLEX(2*PI()*'Stability Calculations'!EA_Pole1,0)))</f>
        <v>1+27701.6341079293i</v>
      </c>
      <c r="X104" s="734">
        <f t="shared" si="83"/>
        <v>27701.634125978781</v>
      </c>
      <c r="Y104" s="735">
        <f t="shared" si="84"/>
        <v>1.5707602278414678</v>
      </c>
      <c r="Z104" s="340" t="str">
        <f>IMSUM(COMPLEX(1,0),IMDIV(COMPLEX(0,2*PI()*D104),COMPLEX(2*PI()*'Stability Calculations'!EA_Zero1,0)))</f>
        <v>1+274.273605029003i</v>
      </c>
      <c r="AA104" s="734">
        <f t="shared" si="85"/>
        <v>274.27542802009361</v>
      </c>
      <c r="AB104" s="735">
        <f t="shared" si="86"/>
        <v>1.5671503486526028</v>
      </c>
      <c r="AC104" s="733" t="str">
        <f>IMSUM(COMPLEX(1,0),IMDIV(COMPLEX(0,2*PI()*D104),COMPLEX(2*PI()*'Stability Calculations'!EA_Pole2,0)))</f>
        <v>1+2.76288312721311i</v>
      </c>
      <c r="AD104" s="734">
        <f t="shared" si="87"/>
        <v>2.9382857544219374</v>
      </c>
      <c r="AE104" s="735">
        <f t="shared" si="88"/>
        <v>1.223523721042723</v>
      </c>
      <c r="AF104" s="732" t="str">
        <f t="shared" si="89"/>
        <v>6.81221895068808-19.0358140258415i</v>
      </c>
      <c r="AG104" s="337">
        <f t="shared" si="90"/>
        <v>20.218025191856345</v>
      </c>
      <c r="AH104" s="730">
        <f t="shared" si="91"/>
        <v>-1.2271336002315882</v>
      </c>
      <c r="AI104" s="731" t="str">
        <f t="shared" si="68"/>
        <v>10000</v>
      </c>
      <c r="AJ104" s="733" t="str">
        <f t="shared" si="92"/>
        <v>1+25825.54779481i</v>
      </c>
      <c r="AK104" s="734">
        <f t="shared" si="93"/>
        <v>25825.54781417067</v>
      </c>
      <c r="AL104" s="735">
        <f t="shared" si="94"/>
        <v>1.5707576054478241</v>
      </c>
      <c r="AM104" s="340" t="str">
        <f t="shared" si="95"/>
        <v>1+43.8289220836347i</v>
      </c>
      <c r="AN104" s="734">
        <f t="shared" si="96"/>
        <v>43.840328591529989</v>
      </c>
      <c r="AO104" s="735">
        <f t="shared" si="97"/>
        <v>1.5479843003155949</v>
      </c>
      <c r="AP104" s="733" t="str">
        <f t="shared" si="98"/>
        <v>1+2.12577496561694i</v>
      </c>
      <c r="AQ104" s="734">
        <f t="shared" si="99"/>
        <v>2.3492380050654087</v>
      </c>
      <c r="AR104" s="735">
        <f t="shared" si="100"/>
        <v>1.1310942057217868</v>
      </c>
      <c r="AS104" s="732" t="str">
        <f t="shared" si="101"/>
        <v>0.143741121115971-53.6171778519676i</v>
      </c>
      <c r="AT104" s="337">
        <f t="shared" si="102"/>
        <v>53.617370527837558</v>
      </c>
      <c r="AU104" s="730">
        <f t="shared" si="103"/>
        <v>-1.5681154550572356</v>
      </c>
      <c r="AV104" s="732" t="str">
        <f t="shared" si="104"/>
        <v>-18.6187997078438-2.87690049006594i</v>
      </c>
      <c r="AW104" s="337">
        <f t="shared" si="105"/>
        <v>25.501503675503375</v>
      </c>
      <c r="AX104" s="730">
        <f t="shared" si="106"/>
        <v>-171.21635545088429</v>
      </c>
      <c r="AY104" s="360">
        <f t="shared" si="107"/>
        <v>8.7836445491157065</v>
      </c>
      <c r="BB104" s="337">
        <f t="shared" si="108"/>
        <v>-5.413889765008248</v>
      </c>
      <c r="BC104" s="730">
        <f t="shared" si="109"/>
        <v>-89.846397364016127</v>
      </c>
      <c r="BD104" s="351"/>
      <c r="BE104" s="337">
        <f t="shared" si="69"/>
        <v>37.011342248611797</v>
      </c>
      <c r="BF104" s="730">
        <f t="shared" si="70"/>
        <v>68.38839394212097</v>
      </c>
      <c r="BI104" s="351"/>
      <c r="BJ104" s="351"/>
      <c r="BL104" s="405">
        <f t="shared" si="71"/>
        <v>0</v>
      </c>
      <c r="BM104" s="405">
        <f t="shared" si="110"/>
        <v>0</v>
      </c>
      <c r="BN104" s="405">
        <f t="shared" si="73"/>
        <v>0</v>
      </c>
      <c r="BO104" s="405">
        <f t="shared" si="74"/>
        <v>0</v>
      </c>
    </row>
    <row r="105" spans="4:67" ht="13.5" thickBot="1" x14ac:dyDescent="0.25">
      <c r="D105" s="345">
        <v>4786.3</v>
      </c>
      <c r="E105" s="340" t="str">
        <f t="shared" si="60"/>
        <v>0.0793932739663896i</v>
      </c>
      <c r="F105" s="728" t="str">
        <f t="shared" si="75"/>
        <v>0.005-0.545117821226416i</v>
      </c>
      <c r="G105" s="337" t="str">
        <f t="shared" si="76"/>
        <v>0.005-0.85262018191824i</v>
      </c>
      <c r="H105" s="338" t="str">
        <f t="shared" si="77"/>
        <v>0.401860381221497-0.568665989078623i</v>
      </c>
      <c r="I105" s="338" t="str">
        <f t="shared" si="78"/>
        <v>0.411860381221497-0.568665989078623i</v>
      </c>
      <c r="J105" s="337" t="str">
        <f t="shared" si="79"/>
        <v>0.0882855312899354-0.309515545212896i</v>
      </c>
      <c r="K105" s="338" t="str">
        <f t="shared" si="61"/>
        <v>0.999745459247889-0.0250610081964614i</v>
      </c>
      <c r="L105" s="732"/>
      <c r="M105" s="732" t="str">
        <f t="shared" si="62"/>
        <v>29.0649109331236+75.7596768098092i</v>
      </c>
      <c r="N105" s="337">
        <f t="shared" si="63"/>
        <v>0</v>
      </c>
      <c r="O105" s="730" t="str">
        <f t="shared" si="64"/>
        <v>24.3944332371781+28.0792389741673i</v>
      </c>
      <c r="P105" s="731" t="str">
        <f t="shared" si="65"/>
        <v>26.0148087765663-2.3075584365222i</v>
      </c>
      <c r="Q105" s="729" t="str">
        <f t="shared" si="66"/>
        <v>25.7708644441945-2.58835082626387i</v>
      </c>
      <c r="R105" s="730"/>
      <c r="S105" s="405" t="str">
        <f t="shared" si="80"/>
        <v>36.9354013241728+5.96086783704722i</v>
      </c>
      <c r="T105" s="405" t="str">
        <f t="shared" si="81"/>
        <v>16.8448206260068-3.22134872135706i</v>
      </c>
      <c r="U105" s="405" t="str">
        <f t="shared" si="82"/>
        <v>4.93739458157717-10.873609007352i</v>
      </c>
      <c r="V105" s="731" t="str">
        <f t="shared" si="67"/>
        <v>6000</v>
      </c>
      <c r="W105" s="733" t="str">
        <f>IMSUM(COMPLEX(1,0),IMDIV(COMPLEX(0,2*PI()*D105),COMPLEX(2*PI()*'Stability Calculations'!EA_Pole1,0)))</f>
        <v>1+30373.9419341112i</v>
      </c>
      <c r="X105" s="734">
        <f t="shared" si="83"/>
        <v>30373.941950572676</v>
      </c>
      <c r="Y105" s="735">
        <f t="shared" si="84"/>
        <v>1.570763403837389</v>
      </c>
      <c r="Z105" s="340" t="str">
        <f>IMSUM(COMPLEX(1,0),IMDIV(COMPLEX(0,2*PI()*D105),COMPLEX(2*PI()*'Stability Calculations'!EA_Zero1,0)))</f>
        <v>1+300.732098357537i</v>
      </c>
      <c r="AA105" s="734">
        <f t="shared" si="85"/>
        <v>300.73376096229583</v>
      </c>
      <c r="AB105" s="735">
        <f t="shared" si="86"/>
        <v>1.5674711203410701</v>
      </c>
      <c r="AC105" s="733" t="str">
        <f>IMSUM(COMPLEX(1,0),IMDIV(COMPLEX(0,2*PI()*D105),COMPLEX(2*PI()*'Stability Calculations'!EA_Pole2,0)))</f>
        <v>1+3.02941159895999i</v>
      </c>
      <c r="AD105" s="734">
        <f t="shared" si="87"/>
        <v>3.190193510731492</v>
      </c>
      <c r="AE105" s="735">
        <f t="shared" si="88"/>
        <v>1.2519611997472446</v>
      </c>
      <c r="AF105" s="732" t="str">
        <f t="shared" si="89"/>
        <v>5.77886558545048-17.7021443590415i</v>
      </c>
      <c r="AG105" s="337">
        <f t="shared" si="90"/>
        <v>18.621525242660674</v>
      </c>
      <c r="AH105" s="730">
        <f t="shared" si="91"/>
        <v>-1.2552534832435633</v>
      </c>
      <c r="AI105" s="731" t="str">
        <f t="shared" si="68"/>
        <v>10000</v>
      </c>
      <c r="AJ105" s="733" t="str">
        <f t="shared" si="92"/>
        <v>1+28316.8742349261i</v>
      </c>
      <c r="AK105" s="734">
        <f t="shared" si="93"/>
        <v>28316.874252583417</v>
      </c>
      <c r="AL105" s="735">
        <f t="shared" si="94"/>
        <v>1.5707610121626641</v>
      </c>
      <c r="AM105" s="340" t="str">
        <f t="shared" si="95"/>
        <v>1+48.0569893175344i</v>
      </c>
      <c r="AN105" s="734">
        <f t="shared" si="96"/>
        <v>48.067392505373284</v>
      </c>
      <c r="AO105" s="735">
        <f t="shared" si="97"/>
        <v>1.5499907016675363</v>
      </c>
      <c r="AP105" s="733" t="str">
        <f t="shared" si="98"/>
        <v>1+2.33084319571437i</v>
      </c>
      <c r="AQ105" s="734">
        <f t="shared" si="99"/>
        <v>2.5363024273552193</v>
      </c>
      <c r="AR105" s="735">
        <f t="shared" si="100"/>
        <v>1.1655177911702623</v>
      </c>
      <c r="AS105" s="732" t="str">
        <f t="shared" si="101"/>
        <v>0.119561130688118-48.899982810819i</v>
      </c>
      <c r="AT105" s="337">
        <f t="shared" si="102"/>
        <v>48.900128974905222</v>
      </c>
      <c r="AU105" s="730">
        <f t="shared" si="103"/>
        <v>-1.5683513179100803</v>
      </c>
      <c r="AV105" s="732" t="str">
        <f t="shared" si="104"/>
        <v>-15.4869476262917-2.00948450749264i</v>
      </c>
      <c r="AW105" s="337">
        <f t="shared" si="105"/>
        <v>23.871825521424434</v>
      </c>
      <c r="AX105" s="730">
        <f t="shared" si="106"/>
        <v>-172.60698118866387</v>
      </c>
      <c r="AY105" s="360">
        <f t="shared" si="107"/>
        <v>7.3930188113361339</v>
      </c>
      <c r="BB105" s="337">
        <f t="shared" si="108"/>
        <v>-6.213799908318693</v>
      </c>
      <c r="BC105" s="730">
        <f t="shared" si="109"/>
        <v>-89.859911310028039</v>
      </c>
      <c r="BD105" s="351"/>
      <c r="BE105" s="337">
        <f t="shared" si="69"/>
        <v>38.185094572189456</v>
      </c>
      <c r="BF105" s="730">
        <f t="shared" si="70"/>
        <v>69.010879695866166</v>
      </c>
      <c r="BI105" s="351"/>
      <c r="BJ105" s="351"/>
      <c r="BL105" s="405">
        <f t="shared" si="71"/>
        <v>0</v>
      </c>
      <c r="BM105" s="405">
        <f t="shared" si="110"/>
        <v>0</v>
      </c>
      <c r="BN105" s="405">
        <f t="shared" si="73"/>
        <v>0</v>
      </c>
      <c r="BO105" s="405">
        <f t="shared" si="74"/>
        <v>0</v>
      </c>
    </row>
    <row r="106" spans="4:67" ht="13.5" thickBot="1" x14ac:dyDescent="0.25">
      <c r="D106" s="345">
        <v>5248.1</v>
      </c>
      <c r="E106" s="340" t="str">
        <f t="shared" si="60"/>
        <v>0.0870534319000083i</v>
      </c>
      <c r="F106" s="728" t="str">
        <f t="shared" si="75"/>
        <v>0.005-0.497150859879955i</v>
      </c>
      <c r="G106" s="337" t="str">
        <f t="shared" si="76"/>
        <v>0.005-0.77759493468403i</v>
      </c>
      <c r="H106" s="338" t="str">
        <f t="shared" si="77"/>
        <v>0.354339689836103-0.548874015736569i</v>
      </c>
      <c r="I106" s="338" t="str">
        <f t="shared" si="78"/>
        <v>0.364339689836103-0.548874015736569i</v>
      </c>
      <c r="J106" s="337" t="str">
        <f t="shared" si="79"/>
        <v>0.0749475658922679-0.285588429247027i</v>
      </c>
      <c r="K106" s="338" t="str">
        <f t="shared" si="61"/>
        <v>0.999693971626556-0.0274789873421743i</v>
      </c>
      <c r="L106" s="732"/>
      <c r="M106" s="732" t="str">
        <f t="shared" si="62"/>
        <v>33.2854108003654+88.1725625945478i</v>
      </c>
      <c r="N106" s="337">
        <f t="shared" si="63"/>
        <v>0</v>
      </c>
      <c r="O106" s="730" t="str">
        <f t="shared" si="64"/>
        <v>26.8977494179032+32.5681412866245i</v>
      </c>
      <c r="P106" s="731" t="str">
        <f t="shared" si="65"/>
        <v>27.6757241732737-2.89760924237339i</v>
      </c>
      <c r="Q106" s="729" t="str">
        <f t="shared" si="66"/>
        <v>27.4067466790947-3.22329065523965i</v>
      </c>
      <c r="R106" s="730"/>
      <c r="S106" s="405" t="str">
        <f t="shared" si="80"/>
        <v>37.4071673678998+5.45978054504799i</v>
      </c>
      <c r="T106" s="405" t="str">
        <f t="shared" si="81"/>
        <v>16.6555354038621-3.10717261731948i</v>
      </c>
      <c r="U106" s="405" t="str">
        <f t="shared" si="82"/>
        <v>4.19627093700391-10.2427851828487i</v>
      </c>
      <c r="V106" s="731" t="str">
        <f t="shared" si="67"/>
        <v>6000</v>
      </c>
      <c r="W106" s="733" t="str">
        <f>IMSUM(COMPLEX(1,0),IMDIV(COMPLEX(0,2*PI()*D106),COMPLEX(2*PI()*'Stability Calculations'!EA_Pole1,0)))</f>
        <v>1+33304.5326587153i</v>
      </c>
      <c r="X106" s="734">
        <f t="shared" si="83"/>
        <v>33304.532673728274</v>
      </c>
      <c r="Y106" s="735">
        <f t="shared" si="84"/>
        <v>1.5707663008518833</v>
      </c>
      <c r="Z106" s="340" t="str">
        <f>IMSUM(COMPLEX(1,0),IMDIV(COMPLEX(0,2*PI()*D106),COMPLEX(2*PI()*'Stability Calculations'!EA_Zero1,0)))</f>
        <v>1+329.747848106092i</v>
      </c>
      <c r="AA106" s="734">
        <f t="shared" si="85"/>
        <v>329.74936441272837</v>
      </c>
      <c r="AB106" s="735">
        <f t="shared" si="86"/>
        <v>1.5677637158463635</v>
      </c>
      <c r="AC106" s="733" t="str">
        <f>IMSUM(COMPLEX(1,0),IMDIV(COMPLEX(0,2*PI()*D106),COMPLEX(2*PI()*'Stability Calculations'!EA_Pole2,0)))</f>
        <v>1+3.32170048106092i</v>
      </c>
      <c r="AD106" s="734">
        <f t="shared" si="87"/>
        <v>3.468961528452045</v>
      </c>
      <c r="AE106" s="735">
        <f t="shared" si="88"/>
        <v>1.2783759367298615</v>
      </c>
      <c r="AF106" s="732" t="str">
        <f t="shared" si="89"/>
        <v>4.88739761671712-16.4128429531717i</v>
      </c>
      <c r="AG106" s="337">
        <f t="shared" si="90"/>
        <v>17.125071365380354</v>
      </c>
      <c r="AH106" s="730">
        <f t="shared" si="91"/>
        <v>-1.2813785217353815</v>
      </c>
      <c r="AI106" s="731" t="str">
        <f t="shared" si="68"/>
        <v>10000</v>
      </c>
      <c r="AJ106" s="733" t="str">
        <f t="shared" si="92"/>
        <v>1+31048.9914281001i</v>
      </c>
      <c r="AK106" s="734">
        <f t="shared" si="93"/>
        <v>31048.991444203679</v>
      </c>
      <c r="AL106" s="735">
        <f t="shared" si="94"/>
        <v>1.5707641196295861</v>
      </c>
      <c r="AM106" s="340" t="str">
        <f t="shared" si="95"/>
        <v>1+52.6937061273535i</v>
      </c>
      <c r="AN106" s="734">
        <f t="shared" si="96"/>
        <v>52.703194072426882</v>
      </c>
      <c r="AO106" s="735">
        <f t="shared" si="97"/>
        <v>1.5518210060275628</v>
      </c>
      <c r="AP106" s="733" t="str">
        <f t="shared" si="98"/>
        <v>1+2.55573160383356i</v>
      </c>
      <c r="AQ106" s="734">
        <f t="shared" si="99"/>
        <v>2.7444059522661113</v>
      </c>
      <c r="AR106" s="735">
        <f t="shared" si="100"/>
        <v>1.1978319805008451</v>
      </c>
      <c r="AS106" s="732" t="str">
        <f t="shared" si="101"/>
        <v>0.0994457160787346-44.5971347972518i</v>
      </c>
      <c r="AT106" s="337">
        <f t="shared" si="102"/>
        <v>44.597245672515406</v>
      </c>
      <c r="AU106" s="730">
        <f t="shared" si="103"/>
        <v>-1.568566462663348</v>
      </c>
      <c r="AV106" s="732" t="str">
        <f t="shared" si="104"/>
        <v>-12.8655097297008-1.38465709063011i</v>
      </c>
      <c r="AW106" s="337">
        <f t="shared" si="105"/>
        <v>22.238556252371037</v>
      </c>
      <c r="AX106" s="730">
        <f t="shared" si="106"/>
        <v>-173.85715751904274</v>
      </c>
      <c r="AY106" s="360">
        <f t="shared" si="107"/>
        <v>6.1428424809572562</v>
      </c>
      <c r="BB106" s="337">
        <f t="shared" si="108"/>
        <v>-7.0138392500466251</v>
      </c>
      <c r="BC106" s="730">
        <f t="shared" si="109"/>
        <v>-89.872238196374667</v>
      </c>
      <c r="BD106" s="351"/>
      <c r="BE106" s="337">
        <f t="shared" si="69"/>
        <v>39.48526384315624</v>
      </c>
      <c r="BF106" s="730">
        <f t="shared" si="70"/>
        <v>69.318325654327055</v>
      </c>
      <c r="BI106" s="351"/>
      <c r="BJ106" s="351"/>
      <c r="BL106" s="405">
        <f t="shared" si="71"/>
        <v>0</v>
      </c>
      <c r="BM106" s="405">
        <f t="shared" si="110"/>
        <v>0</v>
      </c>
      <c r="BN106" s="405">
        <f t="shared" si="73"/>
        <v>0</v>
      </c>
      <c r="BO106" s="405">
        <f t="shared" si="74"/>
        <v>0</v>
      </c>
    </row>
    <row r="107" spans="4:67" ht="13.5" thickBot="1" x14ac:dyDescent="0.25">
      <c r="D107" s="345">
        <v>5370.3</v>
      </c>
      <c r="E107" s="340" t="str">
        <f t="shared" si="60"/>
        <v>0.0890804377455868i</v>
      </c>
      <c r="F107" s="728" t="str">
        <f t="shared" si="75"/>
        <v>0.005-0.485838300976852i</v>
      </c>
      <c r="G107" s="337" t="str">
        <f t="shared" si="76"/>
        <v>0.005-0.759900932297131i</v>
      </c>
      <c r="H107" s="338" t="str">
        <f t="shared" si="77"/>
        <v>0.343006329757595-0.543434082833477i</v>
      </c>
      <c r="I107" s="338" t="str">
        <f t="shared" si="78"/>
        <v>0.353006329757595-0.543434082833477i</v>
      </c>
      <c r="J107" s="337" t="str">
        <f t="shared" si="79"/>
        <v>0.0719382376631094-0.279819422742829i</v>
      </c>
      <c r="K107" s="338" t="str">
        <f t="shared" si="61"/>
        <v>0.999679554199-0.0281188250459554i</v>
      </c>
      <c r="L107" s="732"/>
      <c r="M107" s="732" t="str">
        <f t="shared" si="62"/>
        <v>34.6219189977433+91.7974904975016i</v>
      </c>
      <c r="N107" s="337">
        <f t="shared" si="63"/>
        <v>0</v>
      </c>
      <c r="O107" s="730" t="str">
        <f t="shared" si="64"/>
        <v>27.6777044600084+33.8715519533604i</v>
      </c>
      <c r="P107" s="731" t="str">
        <f t="shared" si="65"/>
        <v>28.1773606374638-3.08413569991122i</v>
      </c>
      <c r="Q107" s="729" t="str">
        <f t="shared" si="66"/>
        <v>27.9005835928637-3.42285121944484i</v>
      </c>
      <c r="R107" s="730"/>
      <c r="S107" s="405" t="str">
        <f t="shared" si="80"/>
        <v>37.516211997223+5.33201706930561i</v>
      </c>
      <c r="T107" s="405" t="str">
        <f t="shared" si="81"/>
        <v>16.6116368138098-3.07886620014962i</v>
      </c>
      <c r="U107" s="405" t="str">
        <f t="shared" si="82"/>
        <v>4.02473574512572-10.0834002114036i</v>
      </c>
      <c r="V107" s="731" t="str">
        <f t="shared" si="67"/>
        <v>6000</v>
      </c>
      <c r="W107" s="733" t="str">
        <f>IMSUM(COMPLEX(1,0),IMDIV(COMPLEX(0,2*PI()*D107),COMPLEX(2*PI()*'Stability Calculations'!EA_Pole1,0)))</f>
        <v>1+34080.015955698i</v>
      </c>
      <c r="X107" s="734">
        <f t="shared" si="83"/>
        <v>34080.01597036935</v>
      </c>
      <c r="Y107" s="735">
        <f t="shared" si="84"/>
        <v>1.5707669840856382</v>
      </c>
      <c r="Z107" s="340" t="str">
        <f>IMSUM(COMPLEX(1,0),IMDIV(COMPLEX(0,2*PI()*D107),COMPLEX(2*PI()*'Stability Calculations'!EA_Zero1,0)))</f>
        <v>1+337.425900551465i</v>
      </c>
      <c r="AA107" s="734">
        <f t="shared" si="85"/>
        <v>337.42738235502935</v>
      </c>
      <c r="AB107" s="735">
        <f t="shared" si="86"/>
        <v>1.5678327218353707</v>
      </c>
      <c r="AC107" s="733" t="str">
        <f>IMSUM(COMPLEX(1,0),IMDIV(COMPLEX(0,2*PI()*D107),COMPLEX(2*PI()*'Stability Calculations'!EA_Pole2,0)))</f>
        <v>1+3.39904500551465i</v>
      </c>
      <c r="AD107" s="734">
        <f t="shared" si="87"/>
        <v>3.543092850817501</v>
      </c>
      <c r="AE107" s="735">
        <f t="shared" si="88"/>
        <v>1.2846688308235781</v>
      </c>
      <c r="AF107" s="732" t="str">
        <f t="shared" si="89"/>
        <v>4.68502130848151-16.0989114035317i</v>
      </c>
      <c r="AG107" s="337">
        <f t="shared" si="90"/>
        <v>16.766763940596555</v>
      </c>
      <c r="AH107" s="730">
        <f t="shared" si="91"/>
        <v>-1.2876030930738465</v>
      </c>
      <c r="AI107" s="731" t="str">
        <f t="shared" si="68"/>
        <v>10000</v>
      </c>
      <c r="AJ107" s="733" t="str">
        <f t="shared" si="92"/>
        <v>1+31771.955310746i</v>
      </c>
      <c r="AK107" s="734">
        <f t="shared" si="93"/>
        <v>31771.955326483145</v>
      </c>
      <c r="AL107" s="735">
        <f t="shared" si="94"/>
        <v>1.5707648524965763</v>
      </c>
      <c r="AM107" s="340" t="str">
        <f t="shared" si="95"/>
        <v>1+53.9206589081241i</v>
      </c>
      <c r="AN107" s="734">
        <f t="shared" si="96"/>
        <v>53.929930994636585</v>
      </c>
      <c r="AO107" s="735">
        <f t="shared" si="97"/>
        <v>1.5522526851665361</v>
      </c>
      <c r="AP107" s="733" t="str">
        <f t="shared" si="98"/>
        <v>1+2.61524083612495i</v>
      </c>
      <c r="AQ107" s="734">
        <f t="shared" si="99"/>
        <v>2.7999079682974455</v>
      </c>
      <c r="AR107" s="735">
        <f t="shared" si="100"/>
        <v>1.2055765374894669</v>
      </c>
      <c r="AS107" s="732" t="str">
        <f t="shared" si="101"/>
        <v>0.0949714973667866-43.5823465149643i</v>
      </c>
      <c r="AT107" s="337">
        <f t="shared" si="102"/>
        <v>43.582449992350512</v>
      </c>
      <c r="AU107" s="730">
        <f t="shared" si="103"/>
        <v>-1.5686172025706544</v>
      </c>
      <c r="AV107" s="732" t="str">
        <f t="shared" si="104"/>
        <v>-12.2811671393725-1.25838245356011i</v>
      </c>
      <c r="AW107" s="337">
        <f t="shared" si="105"/>
        <v>21.830151519989958</v>
      </c>
      <c r="AX107" s="730">
        <f t="shared" si="106"/>
        <v>-174.14963939639827</v>
      </c>
      <c r="AY107" s="360">
        <f t="shared" si="107"/>
        <v>5.8503606036017288</v>
      </c>
      <c r="BB107" s="337">
        <f t="shared" si="108"/>
        <v>-7.2137671898030575</v>
      </c>
      <c r="BC107" s="730">
        <f t="shared" si="109"/>
        <v>-89.875145378916201</v>
      </c>
      <c r="BD107" s="351"/>
      <c r="BE107" s="337">
        <f t="shared" si="69"/>
        <v>39.834213373159614</v>
      </c>
      <c r="BF107" s="730">
        <f t="shared" si="70"/>
        <v>69.335761841542791</v>
      </c>
      <c r="BI107" s="351"/>
      <c r="BJ107" s="351"/>
      <c r="BL107" s="405">
        <f t="shared" si="71"/>
        <v>0</v>
      </c>
      <c r="BM107" s="405">
        <f t="shared" si="110"/>
        <v>0</v>
      </c>
      <c r="BN107" s="405">
        <f t="shared" si="73"/>
        <v>0</v>
      </c>
      <c r="BO107" s="405">
        <f t="shared" si="74"/>
        <v>0</v>
      </c>
    </row>
    <row r="108" spans="4:67" ht="13.5" thickBot="1" x14ac:dyDescent="0.25">
      <c r="D108" s="345">
        <v>5432.85</v>
      </c>
      <c r="E108" s="340" t="str">
        <f t="shared" si="60"/>
        <v>0.090117992701732i</v>
      </c>
      <c r="F108" s="728" t="str">
        <f t="shared" si="75"/>
        <v>0.005-0.480244701719353i</v>
      </c>
      <c r="G108" s="337" t="str">
        <f t="shared" si="76"/>
        <v>0.005-0.751151969355914i</v>
      </c>
      <c r="H108" s="338" t="str">
        <f t="shared" si="77"/>
        <v>0.337390574312116-0.540630260610934i</v>
      </c>
      <c r="I108" s="338" t="str">
        <f t="shared" si="78"/>
        <v>0.347390574312116-0.540630260610934i</v>
      </c>
      <c r="J108" s="337" t="str">
        <f t="shared" si="79"/>
        <v>0.0704701537042919-0.276949571440502i</v>
      </c>
      <c r="K108" s="338" t="str">
        <f t="shared" si="61"/>
        <v>0.99967204600975-0.0284463360800922i</v>
      </c>
      <c r="L108" s="732"/>
      <c r="M108" s="732" t="str">
        <f t="shared" si="62"/>
        <v>35.3481189194786+93.7154882744317i</v>
      </c>
      <c r="N108" s="337">
        <f t="shared" si="63"/>
        <v>0</v>
      </c>
      <c r="O108" s="730" t="str">
        <f t="shared" si="64"/>
        <v>28.0991477976027+34.5597979960473i</v>
      </c>
      <c r="P108" s="731" t="str">
        <f t="shared" si="65"/>
        <v>28.4454516883545-3.18550152280552i</v>
      </c>
      <c r="Q108" s="729" t="str">
        <f t="shared" si="66"/>
        <v>28.1644602103785-3.53109950276599i</v>
      </c>
      <c r="R108" s="730"/>
      <c r="S108" s="405" t="str">
        <f t="shared" si="80"/>
        <v>37.569761299906+5.26743251034875i</v>
      </c>
      <c r="T108" s="405" t="str">
        <f t="shared" si="81"/>
        <v>16.5900542285058-3.06469792250747i</v>
      </c>
      <c r="U108" s="405" t="str">
        <f t="shared" si="82"/>
        <v>3.94045948748572-10.0030855332746i</v>
      </c>
      <c r="V108" s="731" t="str">
        <f t="shared" si="67"/>
        <v>6000</v>
      </c>
      <c r="W108" s="733" t="str">
        <f>IMSUM(COMPLEX(1,0),IMDIV(COMPLEX(0,2*PI()*D108),COMPLEX(2*PI()*'Stability Calculations'!EA_Pole1,0)))</f>
        <v>1+34476.9593290717i</v>
      </c>
      <c r="X108" s="734">
        <f t="shared" si="83"/>
        <v>34476.959343574141</v>
      </c>
      <c r="Y108" s="735">
        <f t="shared" si="84"/>
        <v>1.5707673219168801</v>
      </c>
      <c r="Z108" s="340" t="str">
        <f>IMSUM(COMPLEX(1,0),IMDIV(COMPLEX(0,2*PI()*D108),COMPLEX(2*PI()*'Stability Calculations'!EA_Zero1,0)))</f>
        <v>1+341.356032961106i</v>
      </c>
      <c r="AA108" s="734">
        <f t="shared" si="85"/>
        <v>341.35749770430368</v>
      </c>
      <c r="AB108" s="735">
        <f t="shared" si="86"/>
        <v>1.5678668424945965</v>
      </c>
      <c r="AC108" s="733" t="str">
        <f>IMSUM(COMPLEX(1,0),IMDIV(COMPLEX(0,2*PI()*D108),COMPLEX(2*PI()*'Stability Calculations'!EA_Pole2,0)))</f>
        <v>1+3.43863502191875i</v>
      </c>
      <c r="AD108" s="734">
        <f t="shared" si="87"/>
        <v>3.5810907296473466</v>
      </c>
      <c r="AE108" s="735">
        <f t="shared" si="88"/>
        <v>1.287789074620012</v>
      </c>
      <c r="AF108" s="732" t="str">
        <f t="shared" si="89"/>
        <v>4.58612606192371-15.9423198974071i</v>
      </c>
      <c r="AG108" s="337">
        <f t="shared" si="90"/>
        <v>16.588855173492782</v>
      </c>
      <c r="AH108" s="730">
        <f t="shared" si="91"/>
        <v>-1.2906895540422945</v>
      </c>
      <c r="AI108" s="731" t="str">
        <f t="shared" si="68"/>
        <v>10000</v>
      </c>
      <c r="AJ108" s="733" t="str">
        <f t="shared" si="92"/>
        <v>1+32142.0157924113i</v>
      </c>
      <c r="AK108" s="734">
        <f t="shared" si="93"/>
        <v>32142.015807967266</v>
      </c>
      <c r="AL108" s="735">
        <f t="shared" si="94"/>
        <v>1.57076521486943</v>
      </c>
      <c r="AM108" s="340" t="str">
        <f t="shared" si="95"/>
        <v>1+54.5486940671847i</v>
      </c>
      <c r="AN108" s="734">
        <f t="shared" si="96"/>
        <v>54.557859419476038</v>
      </c>
      <c r="AO108" s="735">
        <f t="shared" si="97"/>
        <v>1.5524661354685625</v>
      </c>
      <c r="AP108" s="733" t="str">
        <f t="shared" si="98"/>
        <v>1+2.64570157654907i</v>
      </c>
      <c r="AQ108" s="734">
        <f t="shared" si="99"/>
        <v>2.8283806024215052</v>
      </c>
      <c r="AR108" s="735">
        <f t="shared" si="100"/>
        <v>1.209422985971492</v>
      </c>
      <c r="AS108" s="732" t="str">
        <f t="shared" si="101"/>
        <v>0.0927972269256061-43.0805748242383i</v>
      </c>
      <c r="AT108" s="337">
        <f t="shared" si="102"/>
        <v>43.080674768533051</v>
      </c>
      <c r="AU108" s="730">
        <f t="shared" si="103"/>
        <v>-1.5686422913907301</v>
      </c>
      <c r="AV108" s="732" t="str">
        <f t="shared" si="104"/>
        <v>-11.9970955998401-1.19874582761458i</v>
      </c>
      <c r="AW108" s="337">
        <f t="shared" si="105"/>
        <v>21.624667073258806</v>
      </c>
      <c r="AX108" s="730">
        <f t="shared" si="106"/>
        <v>-174.29396392556148</v>
      </c>
      <c r="AY108" s="360">
        <f t="shared" si="107"/>
        <v>5.706036074438515</v>
      </c>
      <c r="BB108" s="337">
        <f t="shared" si="108"/>
        <v>-7.3143500601480271</v>
      </c>
      <c r="BC108" s="730">
        <f t="shared" si="109"/>
        <v>-89.876582862419511</v>
      </c>
      <c r="BD108" s="351"/>
      <c r="BE108" s="337">
        <f t="shared" si="69"/>
        <v>40.013910843084652</v>
      </c>
      <c r="BF108" s="730">
        <f t="shared" si="70"/>
        <v>69.334254231268929</v>
      </c>
      <c r="BI108" s="351"/>
      <c r="BJ108" s="351"/>
      <c r="BL108" s="405">
        <f t="shared" si="71"/>
        <v>0</v>
      </c>
      <c r="BM108" s="405">
        <f t="shared" si="110"/>
        <v>0</v>
      </c>
      <c r="BN108" s="405">
        <f t="shared" si="73"/>
        <v>0</v>
      </c>
      <c r="BO108" s="405">
        <f t="shared" si="74"/>
        <v>0</v>
      </c>
    </row>
    <row r="109" spans="4:67" ht="13.5" thickBot="1" x14ac:dyDescent="0.25">
      <c r="D109" s="345">
        <v>5495.4</v>
      </c>
      <c r="E109" s="340" t="str">
        <f t="shared" si="60"/>
        <v>0.0911555476578772i</v>
      </c>
      <c r="F109" s="728" t="str">
        <f t="shared" si="75"/>
        <v>0.005-0.474778437918256i</v>
      </c>
      <c r="G109" s="337" t="str">
        <f t="shared" si="76"/>
        <v>0.005-0.742602172128558i</v>
      </c>
      <c r="H109" s="338" t="str">
        <f t="shared" si="77"/>
        <v>0.331896497463056-0.53781630244351i</v>
      </c>
      <c r="I109" s="338" t="str">
        <f t="shared" si="78"/>
        <v>0.341896497463056-0.53781630244351i</v>
      </c>
      <c r="J109" s="337" t="str">
        <f t="shared" si="79"/>
        <v>0.0690483647382757-0.274134089673302i</v>
      </c>
      <c r="K109" s="338" t="str">
        <f t="shared" si="61"/>
        <v>0.999664450876-0.0287738471142289i</v>
      </c>
      <c r="L109" s="732"/>
      <c r="M109" s="732" t="str">
        <f t="shared" si="62"/>
        <v>36.1048306326077+95.6779975008775i</v>
      </c>
      <c r="N109" s="337">
        <f t="shared" si="63"/>
        <v>0</v>
      </c>
      <c r="O109" s="730" t="str">
        <f t="shared" si="64"/>
        <v>28.5366044446344+35.2629979153232i</v>
      </c>
      <c r="P109" s="731" t="str">
        <f t="shared" si="65"/>
        <v>28.7215802610015-3.29115560941027i</v>
      </c>
      <c r="Q109" s="729" t="str">
        <f t="shared" si="66"/>
        <v>28.4362142165552-3.64378558856352i</v>
      </c>
      <c r="R109" s="730"/>
      <c r="S109" s="405" t="str">
        <f t="shared" si="80"/>
        <v>37.6218429367147+5.20340218694871i</v>
      </c>
      <c r="T109" s="405" t="str">
        <f t="shared" si="81"/>
        <v>16.5690460796707-3.05074829183347i</v>
      </c>
      <c r="U109" s="405" t="str">
        <f t="shared" si="82"/>
        <v>3.85846619414694-9.92363577028556i</v>
      </c>
      <c r="V109" s="731" t="str">
        <f t="shared" si="67"/>
        <v>6000</v>
      </c>
      <c r="W109" s="733" t="str">
        <f>IMSUM(COMPLEX(1,0),IMDIV(COMPLEX(0,2*PI()*D109),COMPLEX(2*PI()*'Stability Calculations'!EA_Pole1,0)))</f>
        <v>1+34873.9027024454i</v>
      </c>
      <c r="X109" s="734">
        <f t="shared" si="83"/>
        <v>34873.902716782766</v>
      </c>
      <c r="Y109" s="735">
        <f t="shared" si="84"/>
        <v>1.5707676520575649</v>
      </c>
      <c r="Z109" s="340" t="str">
        <f>IMSUM(COMPLEX(1,0),IMDIV(COMPLEX(0,2*PI()*D109),COMPLEX(2*PI()*'Stability Calculations'!EA_Zero1,0)))</f>
        <v>1+345.286165370747i</v>
      </c>
      <c r="AA109" s="734">
        <f t="shared" si="85"/>
        <v>345.28761344194618</v>
      </c>
      <c r="AB109" s="735">
        <f t="shared" si="86"/>
        <v>1.5679001864208728</v>
      </c>
      <c r="AC109" s="733" t="str">
        <f>IMSUM(COMPLEX(1,0),IMDIV(COMPLEX(0,2*PI()*D109),COMPLEX(2*PI()*'Stability Calculations'!EA_Pole2,0)))</f>
        <v>1+3.47822503832286i</v>
      </c>
      <c r="AD109" s="734">
        <f t="shared" si="87"/>
        <v>3.6191227413858269</v>
      </c>
      <c r="AE109" s="735">
        <f t="shared" si="88"/>
        <v>1.2908437686804628</v>
      </c>
      <c r="AF109" s="732" t="str">
        <f t="shared" si="89"/>
        <v>4.4902447265999-15.7884266104117i</v>
      </c>
      <c r="AG109" s="337">
        <f t="shared" si="90"/>
        <v>16.414527484430199</v>
      </c>
      <c r="AH109" s="730">
        <f t="shared" si="91"/>
        <v>-1.2937112343171557</v>
      </c>
      <c r="AI109" s="731" t="str">
        <f t="shared" si="68"/>
        <v>10000</v>
      </c>
      <c r="AJ109" s="733" t="str">
        <f t="shared" si="92"/>
        <v>1+32512.0762740766i</v>
      </c>
      <c r="AK109" s="734">
        <f t="shared" si="93"/>
        <v>32512.076289455501</v>
      </c>
      <c r="AL109" s="735">
        <f t="shared" si="94"/>
        <v>1.5707655689930493</v>
      </c>
      <c r="AM109" s="340" t="str">
        <f t="shared" si="95"/>
        <v>1+55.1767292262454i</v>
      </c>
      <c r="AN109" s="734">
        <f t="shared" si="96"/>
        <v>55.185790273460832</v>
      </c>
      <c r="AO109" s="735">
        <f t="shared" si="97"/>
        <v>1.5526747282965006</v>
      </c>
      <c r="AP109" s="733" t="str">
        <f t="shared" si="98"/>
        <v>1+2.67616231697318i</v>
      </c>
      <c r="AQ109" s="734">
        <f t="shared" si="99"/>
        <v>2.8568942484430986</v>
      </c>
      <c r="AR109" s="735">
        <f t="shared" si="100"/>
        <v>1.2131927092335444</v>
      </c>
      <c r="AS109" s="732" t="str">
        <f t="shared" si="101"/>
        <v>0.0906967769362287-42.5902255549231i</v>
      </c>
      <c r="AT109" s="337">
        <f t="shared" si="102"/>
        <v>42.59032212515622</v>
      </c>
      <c r="AU109" s="730">
        <f t="shared" si="103"/>
        <v>-1.5686668090791334</v>
      </c>
      <c r="AV109" s="732" t="str">
        <f t="shared" si="104"/>
        <v>-11.7226151008429-1.14221910933034i</v>
      </c>
      <c r="AW109" s="337">
        <f t="shared" si="105"/>
        <v>21.421527589914117</v>
      </c>
      <c r="AX109" s="730">
        <f t="shared" si="106"/>
        <v>-174.43482569963791</v>
      </c>
      <c r="AY109" s="360">
        <f t="shared" si="107"/>
        <v>5.5651743003620879</v>
      </c>
      <c r="BB109" s="337">
        <f t="shared" si="108"/>
        <v>-7.4137815039259278</v>
      </c>
      <c r="BC109" s="730">
        <f t="shared" si="109"/>
        <v>-89.877987622488433</v>
      </c>
      <c r="BD109" s="351"/>
      <c r="BE109" s="337">
        <f t="shared" si="69"/>
        <v>40.194419100209736</v>
      </c>
      <c r="BF109" s="730">
        <f t="shared" si="70"/>
        <v>69.32561407394121</v>
      </c>
      <c r="BI109" s="351"/>
      <c r="BJ109" s="351"/>
      <c r="BL109" s="405">
        <f t="shared" si="71"/>
        <v>0</v>
      </c>
      <c r="BM109" s="405">
        <f t="shared" si="110"/>
        <v>0</v>
      </c>
      <c r="BN109" s="405">
        <f t="shared" si="73"/>
        <v>0</v>
      </c>
      <c r="BO109" s="405">
        <f t="shared" si="74"/>
        <v>0</v>
      </c>
    </row>
    <row r="110" spans="4:67" ht="13.5" thickBot="1" x14ac:dyDescent="0.25">
      <c r="D110" s="345">
        <v>5559.4</v>
      </c>
      <c r="E110" s="340" t="str">
        <f t="shared" si="60"/>
        <v>0.0922171546473783i</v>
      </c>
      <c r="F110" s="728" t="str">
        <f t="shared" si="75"/>
        <v>0.005-0.46931277255387i</v>
      </c>
      <c r="G110" s="337" t="str">
        <f t="shared" si="76"/>
        <v>0.005-0.734053310917595i</v>
      </c>
      <c r="H110" s="338" t="str">
        <f t="shared" si="77"/>
        <v>0.326398012279138-0.53492877491895i</v>
      </c>
      <c r="I110" s="338" t="str">
        <f t="shared" si="78"/>
        <v>0.336398012279138-0.53492877491895i</v>
      </c>
      <c r="J110" s="337" t="str">
        <f t="shared" si="79"/>
        <v>0.0676395638469972-0.271308162611972i</v>
      </c>
      <c r="K110" s="338" t="str">
        <f t="shared" si="61"/>
        <v>0.999656589684889-0.0291089503306118i</v>
      </c>
      <c r="L110" s="732"/>
      <c r="M110" s="732" t="str">
        <f t="shared" si="62"/>
        <v>36.9123948970223+97.7338946692268i</v>
      </c>
      <c r="N110" s="337">
        <f t="shared" si="63"/>
        <v>0</v>
      </c>
      <c r="O110" s="730" t="str">
        <f t="shared" si="64"/>
        <v>29.0016091903969+35.9985457827997i</v>
      </c>
      <c r="P110" s="731" t="str">
        <f t="shared" si="65"/>
        <v>29.0127416790026-3.40395602862381i</v>
      </c>
      <c r="Q110" s="729" t="str">
        <f t="shared" si="66"/>
        <v>28.7227255870986-3.76394148645179i</v>
      </c>
      <c r="R110" s="730"/>
      <c r="S110" s="405" t="str">
        <f t="shared" si="80"/>
        <v>37.6736636110095+5.13846285562517i</v>
      </c>
      <c r="T110" s="405" t="str">
        <f t="shared" si="81"/>
        <v>16.5481254366992-3.03670224680081i</v>
      </c>
      <c r="U110" s="405" t="str">
        <f t="shared" si="82"/>
        <v>3.77685583680969-9.84324204429798i</v>
      </c>
      <c r="V110" s="731" t="str">
        <f t="shared" si="67"/>
        <v>6000</v>
      </c>
      <c r="W110" s="733" t="str">
        <f>IMSUM(COMPLEX(1,0),IMDIV(COMPLEX(0,2*PI()*D110),COMPLEX(2*PI()*'Stability Calculations'!EA_Pole1,0)))</f>
        <v>1+35280.0478007015i</v>
      </c>
      <c r="X110" s="734">
        <f t="shared" si="83"/>
        <v>35280.047814873811</v>
      </c>
      <c r="Y110" s="735">
        <f t="shared" si="84"/>
        <v>1.5707679821621063</v>
      </c>
      <c r="Z110" s="340" t="str">
        <f>IMSUM(COMPLEX(1,0),IMDIV(COMPLEX(0,2*PI()*D110),COMPLEX(2*PI()*'Stability Calculations'!EA_Zero1,0)))</f>
        <v>1+349.307403967342i</v>
      </c>
      <c r="AA110" s="734">
        <f t="shared" si="85"/>
        <v>349.30883536836541</v>
      </c>
      <c r="AB110" s="735">
        <f t="shared" si="86"/>
        <v>1.5679335267031551</v>
      </c>
      <c r="AC110" s="733" t="str">
        <f>IMSUM(COMPLEX(1,0),IMDIV(COMPLEX(0,2*PI()*D110),COMPLEX(2*PI()*'Stability Calculations'!EA_Pole2,0)))</f>
        <v>1+3.51873280890419i</v>
      </c>
      <c r="AD110" s="734">
        <f t="shared" si="87"/>
        <v>3.6580706090039827</v>
      </c>
      <c r="AE110" s="735">
        <f t="shared" si="88"/>
        <v>1.2939035023314029</v>
      </c>
      <c r="AF110" s="732" t="str">
        <f t="shared" si="89"/>
        <v>4.39513750806164-15.6336985063413i</v>
      </c>
      <c r="AG110" s="337">
        <f t="shared" si="90"/>
        <v>16.239758702085094</v>
      </c>
      <c r="AH110" s="730">
        <f t="shared" si="91"/>
        <v>-1.2967379577903542</v>
      </c>
      <c r="AI110" s="731" t="str">
        <f t="shared" si="68"/>
        <v>10000</v>
      </c>
      <c r="AJ110" s="733" t="str">
        <f t="shared" si="92"/>
        <v>1+32890.7152960843i</v>
      </c>
      <c r="AK110" s="734">
        <f t="shared" si="93"/>
        <v>32890.715311286156</v>
      </c>
      <c r="AL110" s="735">
        <f t="shared" si="94"/>
        <v>1.5707659230778996</v>
      </c>
      <c r="AM110" s="340" t="str">
        <f t="shared" si="95"/>
        <v>1+55.8193231539812i</v>
      </c>
      <c r="AN110" s="734">
        <f t="shared" si="96"/>
        <v>55.828279906948424</v>
      </c>
      <c r="AO110" s="735">
        <f t="shared" si="97"/>
        <v>1.5528832998649744</v>
      </c>
      <c r="AP110" s="733" t="str">
        <f t="shared" si="98"/>
        <v>1+2.70732918167571i</v>
      </c>
      <c r="AQ110" s="734">
        <f t="shared" si="99"/>
        <v>2.8861100633816568</v>
      </c>
      <c r="AR110" s="735">
        <f t="shared" si="100"/>
        <v>1.2169726682930548</v>
      </c>
      <c r="AS110" s="732" t="str">
        <f t="shared" si="101"/>
        <v>0.0886205972001294-42.0999298145774i</v>
      </c>
      <c r="AT110" s="337">
        <f t="shared" si="102"/>
        <v>42.100023087910429</v>
      </c>
      <c r="AU110" s="730">
        <f t="shared" si="103"/>
        <v>-1.5686913240859441</v>
      </c>
      <c r="AV110" s="732" t="str">
        <f t="shared" si="104"/>
        <v>-11.4512635517479-1.08740233064063i</v>
      </c>
      <c r="AW110" s="337">
        <f t="shared" si="105"/>
        <v>21.216054074631629</v>
      </c>
      <c r="AX110" s="730">
        <f t="shared" si="106"/>
        <v>-174.57550672505474</v>
      </c>
      <c r="AY110" s="360">
        <f t="shared" si="107"/>
        <v>5.424493274945263</v>
      </c>
      <c r="BB110" s="337">
        <f t="shared" si="108"/>
        <v>-7.5143533198902741</v>
      </c>
      <c r="BC110" s="730">
        <f t="shared" si="109"/>
        <v>-89.879392228913417</v>
      </c>
      <c r="BD110" s="351"/>
      <c r="BE110" s="337">
        <f t="shared" si="69"/>
        <v>40.380014205251193</v>
      </c>
      <c r="BF110" s="730">
        <f t="shared" si="70"/>
        <v>69.309319859437011</v>
      </c>
      <c r="BI110" s="351"/>
      <c r="BJ110" s="351"/>
      <c r="BL110" s="405">
        <f t="shared" si="71"/>
        <v>0</v>
      </c>
      <c r="BM110" s="405">
        <f t="shared" si="110"/>
        <v>0</v>
      </c>
      <c r="BN110" s="405">
        <f t="shared" si="73"/>
        <v>0</v>
      </c>
      <c r="BO110" s="405">
        <f t="shared" si="74"/>
        <v>0</v>
      </c>
    </row>
    <row r="111" spans="4:67" ht="13.5" thickBot="1" x14ac:dyDescent="0.25">
      <c r="D111" s="345">
        <v>5623.4</v>
      </c>
      <c r="E111" s="340" t="str">
        <f t="shared" si="60"/>
        <v>0.0932787616368793i</v>
      </c>
      <c r="F111" s="728" t="str">
        <f t="shared" si="75"/>
        <v>0.005-0.463971516828964i</v>
      </c>
      <c r="G111" s="337" t="str">
        <f t="shared" si="76"/>
        <v>0.005-0.725699039142739i</v>
      </c>
      <c r="H111" s="338" t="str">
        <f t="shared" si="77"/>
        <v>0.321020898833663-0.532034875685132i</v>
      </c>
      <c r="I111" s="338" t="str">
        <f t="shared" si="78"/>
        <v>0.331020898833663-0.532034875685132i</v>
      </c>
      <c r="J111" s="337" t="str">
        <f t="shared" si="79"/>
        <v>0.066275329194726-0.268536247839489i</v>
      </c>
      <c r="K111" s="338" t="str">
        <f t="shared" si="61"/>
        <v>0.999648637471556-0.0294440535469947i</v>
      </c>
      <c r="L111" s="732"/>
      <c r="M111" s="732" t="str">
        <f t="shared" si="62"/>
        <v>37.7555391869004+99.8401813845212i</v>
      </c>
      <c r="N111" s="337">
        <f t="shared" si="63"/>
        <v>0</v>
      </c>
      <c r="O111" s="730" t="str">
        <f t="shared" si="64"/>
        <v>29.4851258831652+36.7509283745755i</v>
      </c>
      <c r="P111" s="731" t="str">
        <f t="shared" si="65"/>
        <v>29.3129684811495-3.52178994028672i</v>
      </c>
      <c r="Q111" s="729" t="str">
        <f t="shared" si="66"/>
        <v>29.0181172223179-3.88929922403251i</v>
      </c>
      <c r="R111" s="730"/>
      <c r="S111" s="405" t="str">
        <f t="shared" si="80"/>
        <v>37.7240489847062+5.07410622250254i</v>
      </c>
      <c r="T111" s="405" t="str">
        <f t="shared" si="81"/>
        <v>16.5277662126635-3.02288607341435i</v>
      </c>
      <c r="U111" s="405" t="str">
        <f t="shared" si="82"/>
        <v>3.69747754902256-9.7637576466666i</v>
      </c>
      <c r="V111" s="731" t="str">
        <f t="shared" si="67"/>
        <v>6000</v>
      </c>
      <c r="W111" s="733" t="str">
        <f>IMSUM(COMPLEX(1,0),IMDIV(COMPLEX(0,2*PI()*D111),COMPLEX(2*PI()*'Stability Calculations'!EA_Pole1,0)))</f>
        <v>1+35686.1928989576i</v>
      </c>
      <c r="X111" s="734">
        <f t="shared" si="83"/>
        <v>35686.19291296861</v>
      </c>
      <c r="Y111" s="735">
        <f t="shared" si="84"/>
        <v>1.5707683047527985</v>
      </c>
      <c r="Z111" s="340" t="str">
        <f>IMSUM(COMPLEX(1,0),IMDIV(COMPLEX(0,2*PI()*D111),COMPLEX(2*PI()*'Stability Calculations'!EA_Zero1,0)))</f>
        <v>1+353.328642563937i</v>
      </c>
      <c r="AA111" s="734">
        <f t="shared" si="85"/>
        <v>353.33005767422952</v>
      </c>
      <c r="AB111" s="735">
        <f t="shared" si="86"/>
        <v>1.5679661080990781</v>
      </c>
      <c r="AC111" s="733" t="str">
        <f>IMSUM(COMPLEX(1,0),IMDIV(COMPLEX(0,2*PI()*D111),COMPLEX(2*PI()*'Stability Calculations'!EA_Pole2,0)))</f>
        <v>1+3.55924057948553i</v>
      </c>
      <c r="AD111" s="734">
        <f t="shared" si="87"/>
        <v>3.6970520016164898</v>
      </c>
      <c r="AE111" s="735">
        <f t="shared" si="88"/>
        <v>1.2968987404057184</v>
      </c>
      <c r="AF111" s="732" t="str">
        <f t="shared" si="89"/>
        <v>4.30294223542498-15.4816741922404i</v>
      </c>
      <c r="AG111" s="337">
        <f t="shared" si="90"/>
        <v>16.068526618084391</v>
      </c>
      <c r="AH111" s="730">
        <f t="shared" si="91"/>
        <v>-1.2997009370594372</v>
      </c>
      <c r="AI111" s="731" t="str">
        <f t="shared" si="68"/>
        <v>10000</v>
      </c>
      <c r="AJ111" s="733" t="str">
        <f t="shared" si="92"/>
        <v>1+33269.3543180919i</v>
      </c>
      <c r="AK111" s="734">
        <f t="shared" si="93"/>
        <v>33269.354333120747</v>
      </c>
      <c r="AL111" s="735">
        <f t="shared" si="94"/>
        <v>1.5707662691030599</v>
      </c>
      <c r="AM111" s="340" t="str">
        <f t="shared" si="95"/>
        <v>1+56.4619170817171i</v>
      </c>
      <c r="AN111" s="734">
        <f t="shared" si="96"/>
        <v>56.470771913820137</v>
      </c>
      <c r="AO111" s="735">
        <f t="shared" si="97"/>
        <v>1.5530871254271363</v>
      </c>
      <c r="AP111" s="733" t="str">
        <f t="shared" si="98"/>
        <v>1+2.73849604637824i</v>
      </c>
      <c r="AQ111" s="734">
        <f t="shared" si="99"/>
        <v>2.9153662884840474</v>
      </c>
      <c r="AR111" s="735">
        <f t="shared" si="100"/>
        <v>1.2206768142584912</v>
      </c>
      <c r="AS111" s="732" t="str">
        <f t="shared" si="101"/>
        <v>0.0866148999911038-41.6207940539483i</v>
      </c>
      <c r="AT111" s="337">
        <f t="shared" si="102"/>
        <v>41.620884178763895</v>
      </c>
      <c r="AU111" s="730">
        <f t="shared" si="103"/>
        <v>-1.5687152810838769</v>
      </c>
      <c r="AV111" s="732" t="str">
        <f t="shared" si="104"/>
        <v>-11.189092349182-1.0354524507339i</v>
      </c>
      <c r="AW111" s="337">
        <f t="shared" si="105"/>
        <v>21.012931274716532</v>
      </c>
      <c r="AX111" s="730">
        <f t="shared" si="106"/>
        <v>-174.71283623522865</v>
      </c>
      <c r="AY111" s="360">
        <f t="shared" si="107"/>
        <v>5.2871637647713499</v>
      </c>
      <c r="BB111" s="337">
        <f t="shared" si="108"/>
        <v>-7.6137739606812849</v>
      </c>
      <c r="BC111" s="730">
        <f t="shared" si="109"/>
        <v>-89.880764863784776</v>
      </c>
      <c r="BD111" s="351"/>
      <c r="BE111" s="337">
        <f t="shared" si="69"/>
        <v>40.566587788872972</v>
      </c>
      <c r="BF111" s="730">
        <f t="shared" si="70"/>
        <v>69.285399019007855</v>
      </c>
      <c r="BI111" s="351"/>
      <c r="BJ111" s="351"/>
      <c r="BL111" s="405">
        <f t="shared" si="71"/>
        <v>0</v>
      </c>
      <c r="BM111" s="405">
        <f t="shared" si="110"/>
        <v>0</v>
      </c>
      <c r="BN111" s="405">
        <f t="shared" si="73"/>
        <v>0</v>
      </c>
      <c r="BO111" s="405">
        <f t="shared" si="74"/>
        <v>0</v>
      </c>
    </row>
    <row r="112" spans="4:67" ht="13.5" thickBot="1" x14ac:dyDescent="0.25">
      <c r="D112" s="345">
        <v>5688.9</v>
      </c>
      <c r="E112" s="340" t="str">
        <f t="shared" si="60"/>
        <v>0.0943652500401968i</v>
      </c>
      <c r="F112" s="728" t="str">
        <f t="shared" si="75"/>
        <v>0.005-0.458629511458452i</v>
      </c>
      <c r="G112" s="337" t="str">
        <f t="shared" si="76"/>
        <v>0.005-0.717343594845274i</v>
      </c>
      <c r="H112" s="338" t="str">
        <f t="shared" si="77"/>
        <v>0.315640350706224-0.529068586527632i</v>
      </c>
      <c r="I112" s="338" t="str">
        <f t="shared" si="78"/>
        <v>0.325640350706224-0.529068586527632i</v>
      </c>
      <c r="J112" s="337" t="str">
        <f t="shared" si="79"/>
        <v>0.0649233605324793-0.265753825834374i</v>
      </c>
      <c r="K112" s="338" t="str">
        <f t="shared" si="61"/>
        <v>0.999640404631-0.0297870107450116i</v>
      </c>
      <c r="L112" s="732"/>
      <c r="M112" s="732" t="str">
        <f t="shared" si="62"/>
        <v>38.6574134618102+102.050155487435i</v>
      </c>
      <c r="N112" s="337">
        <f t="shared" si="63"/>
        <v>0</v>
      </c>
      <c r="O112" s="730" t="str">
        <f t="shared" si="64"/>
        <v>30.0001596783332+37.5390382760522i</v>
      </c>
      <c r="P112" s="731" t="str">
        <f t="shared" si="65"/>
        <v>29.6299884392128-3.64791648723098i</v>
      </c>
      <c r="Q112" s="729" t="str">
        <f t="shared" si="66"/>
        <v>29.3299868424295-4.02330686999151i</v>
      </c>
      <c r="R112" s="730"/>
      <c r="S112" s="405" t="str">
        <f t="shared" si="80"/>
        <v>37.7741794787587+5.00884455839945i</v>
      </c>
      <c r="T112" s="405" t="str">
        <f t="shared" si="81"/>
        <v>16.507491241999-3.00898409079706i</v>
      </c>
      <c r="U112" s="405" t="str">
        <f t="shared" si="82"/>
        <v>3.61847136510239-9.68335185221035i</v>
      </c>
      <c r="V112" s="731" t="str">
        <f t="shared" si="67"/>
        <v>6000</v>
      </c>
      <c r="W112" s="733" t="str">
        <f>IMSUM(COMPLEX(1,0),IMDIV(COMPLEX(0,2*PI()*D112),COMPLEX(2*PI()*'Stability Calculations'!EA_Pole1,0)))</f>
        <v>1+36101.857022954i</v>
      </c>
      <c r="X112" s="734">
        <f t="shared" si="83"/>
        <v>36101.857036803696</v>
      </c>
      <c r="Y112" s="735">
        <f t="shared" si="84"/>
        <v>1.5707686273887662</v>
      </c>
      <c r="Z112" s="340" t="str">
        <f>IMSUM(COMPLEX(1,0),IMDIV(COMPLEX(0,2*PI()*D112),COMPLEX(2*PI()*'Stability Calculations'!EA_Zero1,0)))</f>
        <v>1+357.444128940139i</v>
      </c>
      <c r="AA112" s="734">
        <f t="shared" si="85"/>
        <v>357.44552775741192</v>
      </c>
      <c r="AB112" s="735">
        <f t="shared" si="86"/>
        <v>1.5679986940738124</v>
      </c>
      <c r="AC112" s="733" t="str">
        <f>IMSUM(COMPLEX(1,0),IMDIV(COMPLEX(0,2*PI()*D112),COMPLEX(2*PI()*'Stability Calculations'!EA_Pole2,0)))</f>
        <v>1+3.60069775093985i</v>
      </c>
      <c r="AD112" s="734">
        <f t="shared" si="87"/>
        <v>3.7369806386471014</v>
      </c>
      <c r="AE112" s="735">
        <f t="shared" si="88"/>
        <v>1.299899449623489</v>
      </c>
      <c r="AF112" s="732" t="str">
        <f t="shared" si="89"/>
        <v>4.21148189656844-15.3288243205216i</v>
      </c>
      <c r="AG112" s="337">
        <f t="shared" si="90"/>
        <v>15.896837258226498</v>
      </c>
      <c r="AH112" s="730">
        <f t="shared" si="91"/>
        <v>-1.3026693829384417</v>
      </c>
      <c r="AI112" s="731" t="str">
        <f t="shared" si="68"/>
        <v>10000</v>
      </c>
      <c r="AJ112" s="733" t="str">
        <f t="shared" si="92"/>
        <v>1+33656.8676921778i</v>
      </c>
      <c r="AK112" s="734">
        <f t="shared" si="93"/>
        <v>33656.867707033605</v>
      </c>
      <c r="AL112" s="735">
        <f t="shared" si="94"/>
        <v>1.570766615176785</v>
      </c>
      <c r="AM112" s="340" t="str">
        <f t="shared" si="95"/>
        <v>1+57.1195718046342i</v>
      </c>
      <c r="AN112" s="734">
        <f t="shared" si="96"/>
        <v>57.12832470101641</v>
      </c>
      <c r="AO112" s="735">
        <f t="shared" si="97"/>
        <v>1.5532909810681559</v>
      </c>
      <c r="AP112" s="733" t="str">
        <f t="shared" si="98"/>
        <v>1+2.77039338447223i</v>
      </c>
      <c r="AQ112" s="734">
        <f t="shared" si="99"/>
        <v>2.9453487916930139</v>
      </c>
      <c r="AR112" s="735">
        <f t="shared" si="100"/>
        <v>1.2243915299568069</v>
      </c>
      <c r="AS112" s="732" t="str">
        <f t="shared" si="101"/>
        <v>0.0846318832302043-41.1415909032262i</v>
      </c>
      <c r="AT112" s="337">
        <f t="shared" si="102"/>
        <v>41.141677950760396</v>
      </c>
      <c r="AU112" s="730">
        <f t="shared" si="103"/>
        <v>-1.5687392414465651</v>
      </c>
      <c r="AV112" s="732" t="str">
        <f t="shared" si="104"/>
        <v>-10.9298637121991-0.985069835742076i</v>
      </c>
      <c r="AW112" s="337">
        <f t="shared" si="105"/>
        <v>20.807429204830825</v>
      </c>
      <c r="AX112" s="730">
        <f t="shared" si="106"/>
        <v>-174.85004857939086</v>
      </c>
      <c r="AY112" s="360">
        <f t="shared" si="107"/>
        <v>5.1499514206091419</v>
      </c>
      <c r="BB112" s="337">
        <f t="shared" si="108"/>
        <v>-7.7143599942476087</v>
      </c>
      <c r="BC112" s="730">
        <f t="shared" si="109"/>
        <v>-89.882137691442409</v>
      </c>
      <c r="BD112" s="351"/>
      <c r="BE112" s="337">
        <f t="shared" si="69"/>
        <v>40.758617965316013</v>
      </c>
      <c r="BF112" s="730">
        <f t="shared" si="70"/>
        <v>69.252912430247534</v>
      </c>
      <c r="BI112" s="351"/>
      <c r="BJ112" s="351"/>
      <c r="BL112" s="405">
        <f t="shared" si="71"/>
        <v>0</v>
      </c>
      <c r="BM112" s="405">
        <f t="shared" si="110"/>
        <v>0</v>
      </c>
      <c r="BN112" s="405">
        <f t="shared" si="73"/>
        <v>0</v>
      </c>
      <c r="BO112" s="405">
        <f t="shared" si="74"/>
        <v>0</v>
      </c>
    </row>
    <row r="113" spans="4:67" ht="13.5" thickBot="1" x14ac:dyDescent="0.25">
      <c r="D113" s="345">
        <v>5754.4</v>
      </c>
      <c r="E113" s="340" t="str">
        <f t="shared" si="60"/>
        <v>0.0954517384435143i</v>
      </c>
      <c r="F113" s="728" t="str">
        <f t="shared" si="75"/>
        <v>0.005-0.453409117846515i</v>
      </c>
      <c r="G113" s="337" t="str">
        <f t="shared" si="76"/>
        <v>0.005-0.709178363811219i</v>
      </c>
      <c r="H113" s="338" t="str">
        <f t="shared" si="77"/>
        <v>0.310380738711145-0.52609962199124i</v>
      </c>
      <c r="I113" s="338" t="str">
        <f t="shared" si="78"/>
        <v>0.320380738711145-0.52609962199124i</v>
      </c>
      <c r="J113" s="337" t="str">
        <f t="shared" si="79"/>
        <v>0.0636143001511479-0.263025044402692i</v>
      </c>
      <c r="K113" s="338" t="str">
        <f t="shared" si="61"/>
        <v>0.999632076451556-0.0301299679430285i</v>
      </c>
      <c r="L113" s="732"/>
      <c r="M113" s="732" t="str">
        <f t="shared" si="62"/>
        <v>39.6010382879638+104.317376589269i</v>
      </c>
      <c r="N113" s="337">
        <f t="shared" si="63"/>
        <v>0</v>
      </c>
      <c r="O113" s="730" t="str">
        <f t="shared" si="64"/>
        <v>30.5367211080428+38.3461550543319i</v>
      </c>
      <c r="P113" s="731" t="str">
        <f t="shared" si="65"/>
        <v>29.9572749453125-3.7799879487543i</v>
      </c>
      <c r="Q113" s="729" t="str">
        <f t="shared" si="66"/>
        <v>29.651907734232-4.16344949929759i</v>
      </c>
      <c r="R113" s="730"/>
      <c r="S113" s="405" t="str">
        <f t="shared" si="80"/>
        <v>37.8229069120456+4.94419239423952i</v>
      </c>
      <c r="T113" s="405" t="str">
        <f t="shared" si="81"/>
        <v>16.48776470833-2.99532254758864i</v>
      </c>
      <c r="U113" s="405" t="str">
        <f t="shared" si="82"/>
        <v>3.5416465298388-9.60389720553162i</v>
      </c>
      <c r="V113" s="731" t="str">
        <f t="shared" si="67"/>
        <v>6000</v>
      </c>
      <c r="W113" s="733" t="str">
        <f>IMSUM(COMPLEX(1,0),IMDIV(COMPLEX(0,2*PI()*D113),COMPLEX(2*PI()*'Stability Calculations'!EA_Pole1,0)))</f>
        <v>1+36517.5211469506i</v>
      </c>
      <c r="X113" s="734">
        <f t="shared" si="83"/>
        <v>36517.521160642653</v>
      </c>
      <c r="Y113" s="735">
        <f t="shared" si="84"/>
        <v>1.5707689426798652</v>
      </c>
      <c r="Z113" s="340" t="str">
        <f>IMSUM(COMPLEX(1,0),IMDIV(COMPLEX(0,2*PI()*D113),COMPLEX(2*PI()*'Stability Calculations'!EA_Zero1,0)))</f>
        <v>1+361.559615316342i</v>
      </c>
      <c r="AA113" s="734">
        <f t="shared" si="85"/>
        <v>361.56099821150679</v>
      </c>
      <c r="AB113" s="735">
        <f t="shared" si="86"/>
        <v>1.5680305382284341</v>
      </c>
      <c r="AC113" s="733" t="str">
        <f>IMSUM(COMPLEX(1,0),IMDIV(COMPLEX(0,2*PI()*D113),COMPLEX(2*PI()*'Stability Calculations'!EA_Pole2,0)))</f>
        <v>1+3.64215492239419i</v>
      </c>
      <c r="AD113" s="734">
        <f t="shared" si="87"/>
        <v>3.7769422127853938</v>
      </c>
      <c r="AE113" s="735">
        <f t="shared" si="88"/>
        <v>1.3028366873936155</v>
      </c>
      <c r="AF113" s="732" t="str">
        <f t="shared" si="89"/>
        <v>4.12283498444093-15.1786816437968i</v>
      </c>
      <c r="AG113" s="337">
        <f t="shared" si="90"/>
        <v>15.728640906087975</v>
      </c>
      <c r="AH113" s="730">
        <f t="shared" si="91"/>
        <v>-1.3055750918450455</v>
      </c>
      <c r="AI113" s="731" t="str">
        <f t="shared" si="68"/>
        <v>10000</v>
      </c>
      <c r="AJ113" s="733" t="str">
        <f t="shared" si="92"/>
        <v>1+34044.3810662638i</v>
      </c>
      <c r="AK113" s="734">
        <f t="shared" si="93"/>
        <v>34044.381080950508</v>
      </c>
      <c r="AL113" s="735">
        <f t="shared" si="94"/>
        <v>1.5707669533720763</v>
      </c>
      <c r="AM113" s="340" t="str">
        <f t="shared" si="95"/>
        <v>1+57.7772265275514i</v>
      </c>
      <c r="AN113" s="734">
        <f t="shared" si="96"/>
        <v>57.785879808271403</v>
      </c>
      <c r="AO113" s="735">
        <f t="shared" si="97"/>
        <v>1.5534901973030208</v>
      </c>
      <c r="AP113" s="733" t="str">
        <f t="shared" si="98"/>
        <v>1+2.80229072256623i</v>
      </c>
      <c r="AQ113" s="734">
        <f t="shared" si="99"/>
        <v>2.9753711186641514</v>
      </c>
      <c r="AR113" s="735">
        <f t="shared" si="100"/>
        <v>1.2280313299991499</v>
      </c>
      <c r="AS113" s="732" t="str">
        <f t="shared" si="101"/>
        <v>0.0827161955874817-40.6732967655761i</v>
      </c>
      <c r="AT113" s="337">
        <f t="shared" si="102"/>
        <v>40.67338087434625</v>
      </c>
      <c r="AU113" s="730">
        <f t="shared" si="103"/>
        <v>-1.5687626563493653</v>
      </c>
      <c r="AV113" s="732" t="str">
        <f t="shared" si="104"/>
        <v>-10.6794236799612-0.937330452335029i</v>
      </c>
      <c r="AW113" s="337">
        <f t="shared" si="105"/>
        <v>20.604284130734388</v>
      </c>
      <c r="AX113" s="730">
        <f t="shared" si="106"/>
        <v>-174.98401709462397</v>
      </c>
      <c r="AY113" s="360">
        <f t="shared" si="107"/>
        <v>5.0159829053760348</v>
      </c>
      <c r="BB113" s="337">
        <f t="shared" si="108"/>
        <v>-7.8137945287724389</v>
      </c>
      <c r="BC113" s="730">
        <f t="shared" si="109"/>
        <v>-89.883479266550566</v>
      </c>
      <c r="BD113" s="351"/>
      <c r="BE113" s="337">
        <f t="shared" si="69"/>
        <v>40.951818147005696</v>
      </c>
      <c r="BF113" s="730">
        <f t="shared" si="70"/>
        <v>69.212200167649669</v>
      </c>
      <c r="BI113" s="351"/>
      <c r="BJ113" s="351"/>
      <c r="BL113" s="405">
        <f t="shared" si="71"/>
        <v>0</v>
      </c>
      <c r="BM113" s="405">
        <f t="shared" si="110"/>
        <v>0</v>
      </c>
      <c r="BN113" s="405">
        <f t="shared" si="73"/>
        <v>0</v>
      </c>
      <c r="BO113" s="405">
        <f t="shared" si="74"/>
        <v>0</v>
      </c>
    </row>
    <row r="114" spans="4:67" ht="13.5" thickBot="1" x14ac:dyDescent="0.25">
      <c r="D114" s="345">
        <v>5821.4</v>
      </c>
      <c r="E114" s="340" t="str">
        <f t="shared" si="60"/>
        <v>0.0965631082606482i</v>
      </c>
      <c r="F114" s="728" t="str">
        <f t="shared" si="75"/>
        <v>0.005-0.448190714902942i</v>
      </c>
      <c r="G114" s="337" t="str">
        <f t="shared" si="76"/>
        <v>0.005-0.701016246386656i</v>
      </c>
      <c r="H114" s="338" t="str">
        <f t="shared" si="77"/>
        <v>0.305122638825515-0.523061805849969i</v>
      </c>
      <c r="I114" s="338" t="str">
        <f t="shared" si="78"/>
        <v>0.315122638825515-0.523061805849969i</v>
      </c>
      <c r="J114" s="337" t="str">
        <f t="shared" si="79"/>
        <v>0.0623178148238246-0.260287792755959i</v>
      </c>
      <c r="K114" s="338" t="str">
        <f t="shared" si="61"/>
        <v>0.999623458911556-0.0304807791226794i</v>
      </c>
      <c r="L114" s="732"/>
      <c r="M114" s="732" t="str">
        <f t="shared" si="62"/>
        <v>40.6121030122972+106.698281561653i</v>
      </c>
      <c r="N114" s="337">
        <f t="shared" si="63"/>
        <v>0</v>
      </c>
      <c r="O114" s="730" t="str">
        <f t="shared" si="64"/>
        <v>31.1090918892172+39.1921917387089i</v>
      </c>
      <c r="P114" s="731" t="str">
        <f t="shared" si="65"/>
        <v>30.303117713663-3.92163089986905i</v>
      </c>
      <c r="Q114" s="729" t="str">
        <f t="shared" si="66"/>
        <v>29.9920267947709-4.31355281725616i</v>
      </c>
      <c r="R114" s="730"/>
      <c r="S114" s="405" t="str">
        <f t="shared" si="80"/>
        <v>37.8713484379808+4.87868861772882i</v>
      </c>
      <c r="T114" s="405" t="str">
        <f t="shared" si="81"/>
        <v>16.4681341696369-2.98159626202386i</v>
      </c>
      <c r="U114" s="405" t="str">
        <f t="shared" si="82"/>
        <v>3.46524142924254-9.52360451713091i</v>
      </c>
      <c r="V114" s="731" t="str">
        <f t="shared" si="67"/>
        <v>6000</v>
      </c>
      <c r="W114" s="733" t="str">
        <f>IMSUM(COMPLEX(1,0),IMDIV(COMPLEX(0,2*PI()*D114),COMPLEX(2*PI()*'Stability Calculations'!EA_Pole1,0)))</f>
        <v>1+36942.7042966874i</v>
      </c>
      <c r="X114" s="734">
        <f t="shared" si="83"/>
        <v>36942.704310221867</v>
      </c>
      <c r="Y114" s="735">
        <f t="shared" si="84"/>
        <v>1.5707692578507357</v>
      </c>
      <c r="Z114" s="340" t="str">
        <f>IMSUM(COMPLEX(1,0),IMDIV(COMPLEX(0,2*PI()*D114),COMPLEX(2*PI()*'Stability Calculations'!EA_Zero1,0)))</f>
        <v>1+365.769349472152i</v>
      </c>
      <c r="AA114" s="734">
        <f t="shared" si="85"/>
        <v>365.77071645127808</v>
      </c>
      <c r="AB114" s="735">
        <f t="shared" si="86"/>
        <v>1.5680623702456786</v>
      </c>
      <c r="AC114" s="733" t="str">
        <f>IMSUM(COMPLEX(1,0),IMDIV(COMPLEX(0,2*PI()*D114),COMPLEX(2*PI()*'Stability Calculations'!EA_Pole2,0)))</f>
        <v>1+3.68456149472152i</v>
      </c>
      <c r="AD114" s="734">
        <f t="shared" si="87"/>
        <v>3.8178519364145704</v>
      </c>
      <c r="AE114" s="735">
        <f t="shared" si="88"/>
        <v>1.3057775475577504</v>
      </c>
      <c r="AF114" s="732" t="str">
        <f t="shared" si="89"/>
        <v>4.034952894446-15.0278376766883i</v>
      </c>
      <c r="AG114" s="337">
        <f t="shared" si="90"/>
        <v>15.560101223876744</v>
      </c>
      <c r="AH114" s="730">
        <f t="shared" si="91"/>
        <v>-1.3084844351628071</v>
      </c>
      <c r="AI114" s="731" t="str">
        <f t="shared" si="68"/>
        <v>10000</v>
      </c>
      <c r="AJ114" s="733" t="str">
        <f t="shared" si="92"/>
        <v>1+34440.7687924281i</v>
      </c>
      <c r="AK114" s="734">
        <f t="shared" si="93"/>
        <v>34440.768806945773</v>
      </c>
      <c r="AL114" s="735">
        <f t="shared" si="94"/>
        <v>1.5707672914384054</v>
      </c>
      <c r="AM114" s="340" t="str">
        <f t="shared" si="95"/>
        <v>1+58.4499420456499i</v>
      </c>
      <c r="AN114" s="734">
        <f t="shared" si="96"/>
        <v>58.458495748178748</v>
      </c>
      <c r="AO114" s="735">
        <f t="shared" si="97"/>
        <v>1.5536893389447108</v>
      </c>
      <c r="AP114" s="733" t="str">
        <f t="shared" si="98"/>
        <v>1+2.83491853405169i</v>
      </c>
      <c r="AQ114" s="734">
        <f t="shared" si="99"/>
        <v>3.0061209381376828</v>
      </c>
      <c r="AR114" s="735">
        <f t="shared" si="100"/>
        <v>1.2316792164883172</v>
      </c>
      <c r="AS114" s="732" t="str">
        <f t="shared" si="101"/>
        <v>0.0808231558491373-40.2051810666265i</v>
      </c>
      <c r="AT114" s="337">
        <f t="shared" si="102"/>
        <v>40.205262304613107</v>
      </c>
      <c r="AU114" s="730">
        <f t="shared" si="103"/>
        <v>-1.5687860623256984</v>
      </c>
      <c r="AV114" s="732" t="str">
        <f t="shared" si="104"/>
        <v>-10.4319395476589-0.891062906179114i</v>
      </c>
      <c r="AW114" s="337">
        <f t="shared" si="105"/>
        <v>20.398872456395836</v>
      </c>
      <c r="AX114" s="730">
        <f t="shared" si="106"/>
        <v>-175.1178282704002</v>
      </c>
      <c r="AY114" s="360">
        <f t="shared" si="107"/>
        <v>4.8821717295998042</v>
      </c>
      <c r="BB114" s="337">
        <f t="shared" si="108"/>
        <v>-7.9143420028447746</v>
      </c>
      <c r="BC114" s="730">
        <f t="shared" si="109"/>
        <v>-89.884820330209834</v>
      </c>
      <c r="BD114" s="351"/>
      <c r="BE114" s="337">
        <f t="shared" si="69"/>
        <v>41.150732583806366</v>
      </c>
      <c r="BF114" s="730">
        <f t="shared" si="70"/>
        <v>69.161891455348751</v>
      </c>
      <c r="BI114" s="351"/>
      <c r="BJ114" s="351"/>
      <c r="BL114" s="405">
        <f t="shared" si="71"/>
        <v>0</v>
      </c>
      <c r="BM114" s="405">
        <f t="shared" si="110"/>
        <v>0</v>
      </c>
      <c r="BN114" s="405">
        <f t="shared" si="73"/>
        <v>0</v>
      </c>
      <c r="BO114" s="405">
        <f t="shared" si="74"/>
        <v>0</v>
      </c>
    </row>
    <row r="115" spans="4:67" ht="13.5" thickBot="1" x14ac:dyDescent="0.25">
      <c r="D115" s="345">
        <v>5888.4</v>
      </c>
      <c r="E115" s="340" t="str">
        <f t="shared" si="60"/>
        <v>0.0976744780777822i</v>
      </c>
      <c r="F115" s="728" t="str">
        <f t="shared" si="75"/>
        <v>0.005-0.443091065100196i</v>
      </c>
      <c r="G115" s="337" t="str">
        <f t="shared" si="76"/>
        <v>0.005-0.693039871054154i</v>
      </c>
      <c r="H115" s="338" t="str">
        <f t="shared" si="77"/>
        <v>0.299984732082479-0.520024935668675i</v>
      </c>
      <c r="I115" s="338" t="str">
        <f t="shared" si="78"/>
        <v>0.309984732082479-0.520024935668675i</v>
      </c>
      <c r="J115" s="337" t="str">
        <f t="shared" si="79"/>
        <v>0.0610625846113429-0.257603716083717i</v>
      </c>
      <c r="K115" s="338" t="str">
        <f t="shared" si="61"/>
        <v>0.999614741616-0.0308315903023302i</v>
      </c>
      <c r="L115" s="732"/>
      <c r="M115" s="732" t="str">
        <f t="shared" si="62"/>
        <v>41.6724109465807+109.144363458844i</v>
      </c>
      <c r="N115" s="337">
        <f t="shared" si="63"/>
        <v>0</v>
      </c>
      <c r="O115" s="730" t="str">
        <f t="shared" si="64"/>
        <v>31.706617068895+40.0597165823291i</v>
      </c>
      <c r="P115" s="731" t="str">
        <f t="shared" si="65"/>
        <v>30.6606187359743-4.07033098945011i</v>
      </c>
      <c r="Q115" s="729" t="str">
        <f t="shared" si="66"/>
        <v>30.3435525652853-4.47092815527339i</v>
      </c>
      <c r="R115" s="730"/>
      <c r="S115" s="405" t="str">
        <f t="shared" si="80"/>
        <v>37.9184210558284+4.81381856369456i</v>
      </c>
      <c r="T115" s="405" t="str">
        <f t="shared" si="81"/>
        <v>16.44903832488-2.96811996439571i</v>
      </c>
      <c r="U115" s="405" t="str">
        <f t="shared" si="82"/>
        <v>3.39096396136175-9.44430076901523i</v>
      </c>
      <c r="V115" s="731" t="str">
        <f t="shared" si="67"/>
        <v>6000</v>
      </c>
      <c r="W115" s="733" t="str">
        <f>IMSUM(COMPLEX(1,0),IMDIV(COMPLEX(0,2*PI()*D115),COMPLEX(2*PI()*'Stability Calculations'!EA_Pole1,0)))</f>
        <v>1+37367.8874464243i</v>
      </c>
      <c r="X115" s="734">
        <f t="shared" si="83"/>
        <v>37367.88745980477</v>
      </c>
      <c r="Y115" s="735">
        <f t="shared" si="84"/>
        <v>1.570769565849387</v>
      </c>
      <c r="Z115" s="340" t="str">
        <f>IMSUM(COMPLEX(1,0),IMDIV(COMPLEX(0,2*PI()*D115),COMPLEX(2*PI()*'Stability Calculations'!EA_Zero1,0)))</f>
        <v>1+369.979083627963i</v>
      </c>
      <c r="AA115" s="734">
        <f t="shared" si="85"/>
        <v>369.98043505324341</v>
      </c>
      <c r="AB115" s="735">
        <f t="shared" si="86"/>
        <v>1.5680934778795952</v>
      </c>
      <c r="AC115" s="733" t="str">
        <f>IMSUM(COMPLEX(1,0),IMDIV(COMPLEX(0,2*PI()*D115),COMPLEX(2*PI()*'Stability Calculations'!EA_Pole2,0)))</f>
        <v>1+3.72696806704886i</v>
      </c>
      <c r="AD115" s="734">
        <f t="shared" si="87"/>
        <v>3.8587939790563994</v>
      </c>
      <c r="AE115" s="735">
        <f t="shared" si="88"/>
        <v>1.308656026762413</v>
      </c>
      <c r="AF115" s="732" t="str">
        <f t="shared" si="89"/>
        <v>3.94978491699805-14.8796981712052i</v>
      </c>
      <c r="AG115" s="337">
        <f t="shared" si="90"/>
        <v>15.395006286348593</v>
      </c>
      <c r="AH115" s="730">
        <f t="shared" si="91"/>
        <v>-1.3113321147322039</v>
      </c>
      <c r="AI115" s="731" t="str">
        <f t="shared" si="68"/>
        <v>10000</v>
      </c>
      <c r="AJ115" s="733" t="str">
        <f t="shared" si="92"/>
        <v>1+34837.1565185924i</v>
      </c>
      <c r="AK115" s="734">
        <f t="shared" si="93"/>
        <v>34837.156532944886</v>
      </c>
      <c r="AL115" s="735">
        <f t="shared" si="94"/>
        <v>1.5707676218114921</v>
      </c>
      <c r="AM115" s="340" t="str">
        <f t="shared" si="95"/>
        <v>1+59.1226575637485i</v>
      </c>
      <c r="AN115" s="734">
        <f t="shared" si="96"/>
        <v>59.13111395365614</v>
      </c>
      <c r="AO115" s="735">
        <f t="shared" si="97"/>
        <v>1.5538839501096067</v>
      </c>
      <c r="AP115" s="733" t="str">
        <f t="shared" si="98"/>
        <v>1+2.86754634553716i</v>
      </c>
      <c r="AQ115" s="734">
        <f t="shared" si="99"/>
        <v>3.0369099499003127</v>
      </c>
      <c r="AR115" s="735">
        <f t="shared" si="100"/>
        <v>1.2352531832233853</v>
      </c>
      <c r="AS115" s="732" t="str">
        <f t="shared" si="101"/>
        <v>0.0789943661751955-39.747717964608i</v>
      </c>
      <c r="AT115" s="337">
        <f t="shared" si="102"/>
        <v>39.747796460985214</v>
      </c>
      <c r="AU115" s="730">
        <f t="shared" si="103"/>
        <v>-1.5688089356635733</v>
      </c>
      <c r="AV115" s="732" t="str">
        <f t="shared" si="104"/>
        <v>-10.1928575887858-0.84722902119i</v>
      </c>
      <c r="AW115" s="337">
        <f t="shared" si="105"/>
        <v>20.195820981274618</v>
      </c>
      <c r="AX115" s="730">
        <f t="shared" si="106"/>
        <v>-175.24850459205447</v>
      </c>
      <c r="AY115" s="360">
        <f t="shared" si="107"/>
        <v>4.7514954079455265</v>
      </c>
      <c r="BB115" s="337">
        <f t="shared" si="108"/>
        <v>-8.0137388553003888</v>
      </c>
      <c r="BC115" s="730">
        <f t="shared" si="109"/>
        <v>-89.886130875933446</v>
      </c>
      <c r="BD115" s="351"/>
      <c r="BE115" s="337">
        <f t="shared" si="69"/>
        <v>41.351034400000657</v>
      </c>
      <c r="BF115" s="730">
        <f t="shared" si="70"/>
        <v>69.102642936779873</v>
      </c>
      <c r="BI115" s="351"/>
      <c r="BJ115" s="351"/>
      <c r="BL115" s="405">
        <f t="shared" si="71"/>
        <v>0</v>
      </c>
      <c r="BM115" s="405">
        <f t="shared" si="110"/>
        <v>0</v>
      </c>
      <c r="BN115" s="405">
        <f t="shared" si="73"/>
        <v>0</v>
      </c>
      <c r="BO115" s="405">
        <f t="shared" si="74"/>
        <v>0</v>
      </c>
    </row>
    <row r="116" spans="4:67" ht="13.5" thickBot="1" x14ac:dyDescent="0.25">
      <c r="D116" s="345">
        <v>5957</v>
      </c>
      <c r="E116" s="340" t="str">
        <f t="shared" si="60"/>
        <v>0.0988123880696536i</v>
      </c>
      <c r="F116" s="728" t="str">
        <f t="shared" si="75"/>
        <v>0.005-0.437988488792343i</v>
      </c>
      <c r="G116" s="337" t="str">
        <f t="shared" si="76"/>
        <v>0.005-0.685058918367513i</v>
      </c>
      <c r="H116" s="338" t="str">
        <f t="shared" si="77"/>
        <v>0.294845425483001-0.516918304840501i</v>
      </c>
      <c r="I116" s="338" t="str">
        <f t="shared" si="78"/>
        <v>0.304845425483001-0.516918304840501i</v>
      </c>
      <c r="J116" s="337" t="str">
        <f t="shared" si="79"/>
        <v>0.0598183451833332-0.25490915163327i</v>
      </c>
      <c r="K116" s="338" t="str">
        <f t="shared" si="61"/>
        <v>0.999605712788889-0.0311907790623907i</v>
      </c>
      <c r="L116" s="732"/>
      <c r="M116" s="732" t="str">
        <f t="shared" si="62"/>
        <v>42.8123505025272+111.719395337898i</v>
      </c>
      <c r="N116" s="337">
        <f t="shared" si="63"/>
        <v>0</v>
      </c>
      <c r="O116" s="730" t="str">
        <f t="shared" si="64"/>
        <v>32.3460207524574+40.9711236567749i</v>
      </c>
      <c r="P116" s="731" t="str">
        <f t="shared" si="65"/>
        <v>31.0392602470354-4.23039059202978i</v>
      </c>
      <c r="Q116" s="729" t="str">
        <f t="shared" si="66"/>
        <v>30.7158000395108-4.64010182859753i</v>
      </c>
      <c r="R116" s="730"/>
      <c r="S116" s="405" t="str">
        <f t="shared" si="80"/>
        <v>37.9652487277714+4.7480528023304i</v>
      </c>
      <c r="T116" s="405" t="str">
        <f t="shared" si="81"/>
        <v>16.4300210068492-2.95457960204733i</v>
      </c>
      <c r="U116" s="405" t="str">
        <f t="shared" si="82"/>
        <v>3.31704025505242-9.3641228872433i</v>
      </c>
      <c r="V116" s="731" t="str">
        <f t="shared" si="67"/>
        <v>6000</v>
      </c>
      <c r="W116" s="733" t="str">
        <f>IMSUM(COMPLEX(1,0),IMDIV(COMPLEX(0,2*PI()*D116),COMPLEX(2*PI()*'Stability Calculations'!EA_Pole1,0)))</f>
        <v>1+37803.2242236175i</v>
      </c>
      <c r="X116" s="734">
        <f t="shared" si="83"/>
        <v>37803.224236843889</v>
      </c>
      <c r="Y116" s="735">
        <f t="shared" si="84"/>
        <v>1.5707698740247875</v>
      </c>
      <c r="Z116" s="340" t="str">
        <f>IMSUM(COMPLEX(1,0),IMDIV(COMPLEX(0,2*PI()*D116),COMPLEX(2*PI()*'Stability Calculations'!EA_Zero1,0)))</f>
        <v>1+374.289348748688i</v>
      </c>
      <c r="AA116" s="734">
        <f t="shared" si="85"/>
        <v>374.29068461119493</v>
      </c>
      <c r="AB116" s="735">
        <f t="shared" si="86"/>
        <v>1.5681246033702965</v>
      </c>
      <c r="AC116" s="733" t="str">
        <f>IMSUM(COMPLEX(1,0),IMDIV(COMPLEX(0,2*PI()*D116),COMPLEX(2*PI()*'Stability Calculations'!EA_Pole2,0)))</f>
        <v>1+3.77038733364073i</v>
      </c>
      <c r="AD116" s="734">
        <f t="shared" si="87"/>
        <v>3.9007461652456259</v>
      </c>
      <c r="AE116" s="735">
        <f t="shared" si="88"/>
        <v>1.3115406148336715</v>
      </c>
      <c r="AF116" s="732" t="str">
        <f t="shared" si="89"/>
        <v>3.86528258752566-14.7307576778399i</v>
      </c>
      <c r="AG116" s="337">
        <f t="shared" si="90"/>
        <v>15.229433057230603</v>
      </c>
      <c r="AH116" s="730">
        <f t="shared" si="91"/>
        <v>-1.3141858854881621</v>
      </c>
      <c r="AI116" s="731" t="str">
        <f t="shared" si="68"/>
        <v>10000</v>
      </c>
      <c r="AJ116" s="733" t="str">
        <f t="shared" si="92"/>
        <v>1+35243.0102203068i</v>
      </c>
      <c r="AK116" s="734">
        <f t="shared" si="93"/>
        <v>35243.01023449401</v>
      </c>
      <c r="AL116" s="735">
        <f t="shared" si="94"/>
        <v>1.570767952374168</v>
      </c>
      <c r="AM116" s="340" t="str">
        <f t="shared" si="95"/>
        <v>1+59.8114379300403i</v>
      </c>
      <c r="AN116" s="734">
        <f t="shared" si="96"/>
        <v>59.819796951001621</v>
      </c>
      <c r="AO116" s="735">
        <f t="shared" si="97"/>
        <v>1.5540786742371242</v>
      </c>
      <c r="AP116" s="733" t="str">
        <f t="shared" si="98"/>
        <v>1+2.90095332864018i</v>
      </c>
      <c r="AQ116" s="734">
        <f t="shared" si="99"/>
        <v>3.0684735969124026</v>
      </c>
      <c r="AR116" s="735">
        <f t="shared" si="100"/>
        <v>1.2388381396592092</v>
      </c>
      <c r="AS116" s="732" t="str">
        <f t="shared" si="101"/>
        <v>0.077185472297046-39.2899922161329i</v>
      </c>
      <c r="AT116" s="337">
        <f t="shared" si="102"/>
        <v>39.29006803176749</v>
      </c>
      <c r="AU116" s="730">
        <f t="shared" si="103"/>
        <v>-1.5688318221297133</v>
      </c>
      <c r="AV116" s="732" t="str">
        <f t="shared" si="104"/>
        <v>-9.95638599067751-0.804713115228876i</v>
      </c>
      <c r="AW116" s="337">
        <f t="shared" si="105"/>
        <v>19.990312479263505</v>
      </c>
      <c r="AX116" s="730">
        <f t="shared" si="106"/>
        <v>-175.37918077463533</v>
      </c>
      <c r="AY116" s="360">
        <f t="shared" si="107"/>
        <v>4.62081922536467</v>
      </c>
      <c r="BB116" s="337">
        <f t="shared" si="108"/>
        <v>-8.1143443839086267</v>
      </c>
      <c r="BC116" s="730">
        <f t="shared" si="109"/>
        <v>-89.887442173851241</v>
      </c>
      <c r="BD116" s="351"/>
      <c r="BE116" s="337">
        <f t="shared" si="69"/>
        <v>41.557646734551604</v>
      </c>
      <c r="BF116" s="730">
        <f t="shared" si="70"/>
        <v>69.032506527105781</v>
      </c>
      <c r="BI116" s="351"/>
      <c r="BJ116" s="351"/>
      <c r="BL116" s="405">
        <f t="shared" si="71"/>
        <v>0</v>
      </c>
      <c r="BM116" s="405">
        <f t="shared" si="110"/>
        <v>0</v>
      </c>
      <c r="BN116" s="405">
        <f t="shared" si="73"/>
        <v>0</v>
      </c>
      <c r="BO116" s="405">
        <f t="shared" si="74"/>
        <v>0</v>
      </c>
    </row>
    <row r="117" spans="4:67" ht="13.5" thickBot="1" x14ac:dyDescent="0.25">
      <c r="D117" s="345">
        <v>6025.6</v>
      </c>
      <c r="E117" s="340" t="str">
        <f t="shared" si="60"/>
        <v>0.0999502980615251i</v>
      </c>
      <c r="F117" s="728" t="str">
        <f t="shared" si="75"/>
        <v>0.005-0.433002095681092i</v>
      </c>
      <c r="G117" s="337" t="str">
        <f t="shared" si="76"/>
        <v>0.005-0.677259688116581i</v>
      </c>
      <c r="H117" s="338" t="str">
        <f t="shared" si="77"/>
        <v>0.2898256250209-0.5138161594532i</v>
      </c>
      <c r="I117" s="338" t="str">
        <f t="shared" si="78"/>
        <v>0.2998256250209-0.5138161594532i</v>
      </c>
      <c r="J117" s="337" t="str">
        <f t="shared" si="79"/>
        <v>0.0586138341820486-0.252267362883153i</v>
      </c>
      <c r="K117" s="338" t="str">
        <f t="shared" si="61"/>
        <v>0.999596579384889-0.0315499678224511i</v>
      </c>
      <c r="L117" s="732"/>
      <c r="M117" s="732" t="str">
        <f t="shared" si="62"/>
        <v>44.0108729528704+114.369023660832i</v>
      </c>
      <c r="N117" s="337">
        <f t="shared" si="63"/>
        <v>0</v>
      </c>
      <c r="O117" s="730" t="str">
        <f t="shared" si="64"/>
        <v>33.0150593265097+41.9069287917055i</v>
      </c>
      <c r="P117" s="731" t="str">
        <f t="shared" si="65"/>
        <v>31.4312180039058-4.39889986958732i</v>
      </c>
      <c r="Q117" s="729" t="str">
        <f t="shared" si="66"/>
        <v>31.1010674106408-4.81796915750442i</v>
      </c>
      <c r="R117" s="730"/>
      <c r="S117" s="405" t="str">
        <f t="shared" si="80"/>
        <v>38.0107393990086+4.68294431108395i</v>
      </c>
      <c r="T117" s="405" t="str">
        <f t="shared" si="81"/>
        <v>16.411525502647-2.94129850806861i</v>
      </c>
      <c r="U117" s="405" t="str">
        <f t="shared" si="82"/>
        <v>3.24519393312988-9.28497068301238i</v>
      </c>
      <c r="V117" s="731" t="str">
        <f t="shared" si="67"/>
        <v>6000</v>
      </c>
      <c r="W117" s="733" t="str">
        <f>IMSUM(COMPLEX(1,0),IMDIV(COMPLEX(0,2*PI()*D117),COMPLEX(2*PI()*'Stability Calculations'!EA_Pole1,0)))</f>
        <v>1+38238.5610008107i</v>
      </c>
      <c r="X117" s="734">
        <f t="shared" si="83"/>
        <v>38238.561013886509</v>
      </c>
      <c r="Y117" s="735">
        <f t="shared" si="84"/>
        <v>1.5707701751831833</v>
      </c>
      <c r="Z117" s="340" t="str">
        <f>IMSUM(COMPLEX(1,0),IMDIV(COMPLEX(0,2*PI()*D117),COMPLEX(2*PI()*'Stability Calculations'!EA_Zero1,0)))</f>
        <v>1+378.599613869413i</v>
      </c>
      <c r="AA117" s="734">
        <f t="shared" si="85"/>
        <v>378.60093452350151</v>
      </c>
      <c r="AB117" s="735">
        <f t="shared" si="86"/>
        <v>1.5681550201536183</v>
      </c>
      <c r="AC117" s="733" t="str">
        <f>IMSUM(COMPLEX(1,0),IMDIV(COMPLEX(0,2*PI()*D117),COMPLEX(2*PI()*'Stability Calculations'!EA_Pole2,0)))</f>
        <v>1+3.81380660023259i</v>
      </c>
      <c r="AD117" s="734">
        <f t="shared" si="87"/>
        <v>3.9427301180752488</v>
      </c>
      <c r="AE117" s="735">
        <f t="shared" si="88"/>
        <v>1.3143637932145951</v>
      </c>
      <c r="AF117" s="732" t="str">
        <f t="shared" si="89"/>
        <v>3.78340234983262-14.5845209622448i</v>
      </c>
      <c r="AG117" s="337">
        <f t="shared" si="90"/>
        <v>15.067262028612797</v>
      </c>
      <c r="AH117" s="730">
        <f t="shared" si="91"/>
        <v>-1.3169789482441605</v>
      </c>
      <c r="AI117" s="731" t="str">
        <f t="shared" si="68"/>
        <v>10000</v>
      </c>
      <c r="AJ117" s="733" t="str">
        <f t="shared" si="92"/>
        <v>1+35648.8639220213i</v>
      </c>
      <c r="AK117" s="734">
        <f t="shared" si="93"/>
        <v>35648.86393604699</v>
      </c>
      <c r="AL117" s="735">
        <f t="shared" si="94"/>
        <v>1.5707682754100916</v>
      </c>
      <c r="AM117" s="340" t="str">
        <f t="shared" si="95"/>
        <v>1+60.5002182963322i</v>
      </c>
      <c r="AN117" s="734">
        <f t="shared" si="96"/>
        <v>60.508482164931635</v>
      </c>
      <c r="AO117" s="735">
        <f t="shared" si="97"/>
        <v>1.5542689658154041</v>
      </c>
      <c r="AP117" s="733" t="str">
        <f t="shared" si="98"/>
        <v>1+2.9343603117432i</v>
      </c>
      <c r="AQ117" s="734">
        <f t="shared" si="99"/>
        <v>3.100075876351037</v>
      </c>
      <c r="AR117" s="735">
        <f t="shared" si="100"/>
        <v>1.2423500501296321</v>
      </c>
      <c r="AS117" s="732" t="str">
        <f t="shared" si="101"/>
        <v>0.0754380072049023-38.8426885424415i</v>
      </c>
      <c r="AT117" s="337">
        <f t="shared" si="102"/>
        <v>38.842761798024185</v>
      </c>
      <c r="AU117" s="730">
        <f t="shared" si="103"/>
        <v>-1.568854187484068</v>
      </c>
      <c r="AV117" s="732" t="str">
        <f t="shared" si="104"/>
        <v>-9.72796008342165-0.764441459243238i</v>
      </c>
      <c r="AW117" s="337">
        <f t="shared" si="105"/>
        <v>19.78717130945709</v>
      </c>
      <c r="AX117" s="730">
        <f t="shared" si="106"/>
        <v>-175.50682297786935</v>
      </c>
      <c r="AY117" s="360">
        <f t="shared" si="107"/>
        <v>4.4931770221306522</v>
      </c>
      <c r="BB117" s="337">
        <f t="shared" si="108"/>
        <v>-8.213797969204462</v>
      </c>
      <c r="BC117" s="730">
        <f t="shared" si="109"/>
        <v>-89.888723614263071</v>
      </c>
      <c r="BD117" s="351"/>
      <c r="BE117" s="337">
        <f t="shared" si="69"/>
        <v>41.765898471420194</v>
      </c>
      <c r="BF117" s="730">
        <f t="shared" si="70"/>
        <v>68.952545091560069</v>
      </c>
      <c r="BI117" s="351"/>
      <c r="BJ117" s="351"/>
      <c r="BL117" s="405">
        <f t="shared" si="71"/>
        <v>0</v>
      </c>
      <c r="BM117" s="405">
        <f t="shared" si="110"/>
        <v>0</v>
      </c>
      <c r="BN117" s="405">
        <f t="shared" si="73"/>
        <v>0</v>
      </c>
      <c r="BO117" s="405">
        <f t="shared" si="74"/>
        <v>0</v>
      </c>
    </row>
    <row r="118" spans="4:67" ht="13.5" thickBot="1" x14ac:dyDescent="0.25">
      <c r="D118" s="345">
        <v>6095.8</v>
      </c>
      <c r="E118" s="340" t="str">
        <f t="shared" si="60"/>
        <v>0.101114748228134i</v>
      </c>
      <c r="F118" s="728" t="str">
        <f t="shared" si="75"/>
        <v>0.005-0.428015589050819i</v>
      </c>
      <c r="G118" s="337" t="str">
        <f t="shared" si="76"/>
        <v>0.005-0.669460280310256i</v>
      </c>
      <c r="H118" s="338" t="str">
        <f t="shared" si="77"/>
        <v>0.284809160451641-0.510647956878522i</v>
      </c>
      <c r="I118" s="338" t="str">
        <f t="shared" si="78"/>
        <v>0.294809160451641-0.510647956878522i</v>
      </c>
      <c r="J118" s="337" t="str">
        <f t="shared" si="79"/>
        <v>0.0574206408723844-0.249617102323138i</v>
      </c>
      <c r="K118" s="338" t="str">
        <f t="shared" si="61"/>
        <v>0.999587124692889-0.0319175341629211i</v>
      </c>
      <c r="L118" s="732"/>
      <c r="M118" s="732" t="str">
        <f t="shared" si="62"/>
        <v>45.3021392851849+117.161254684379i</v>
      </c>
      <c r="N118" s="337">
        <f t="shared" si="63"/>
        <v>0</v>
      </c>
      <c r="O118" s="730" t="str">
        <f t="shared" si="64"/>
        <v>33.7323122774875+42.8908719047217i</v>
      </c>
      <c r="P118" s="731" t="str">
        <f t="shared" si="65"/>
        <v>31.8467307695033-4.58071440801731i</v>
      </c>
      <c r="Q118" s="729" t="str">
        <f t="shared" si="66"/>
        <v>31.5094076467285-5.00962312706455i</v>
      </c>
      <c r="R118" s="730"/>
      <c r="S118" s="405" t="str">
        <f t="shared" si="80"/>
        <v>38.0559555858734+4.61699303331562i</v>
      </c>
      <c r="T118" s="405" t="str">
        <f t="shared" si="81"/>
        <v>16.3931196190499-2.92797421542788i</v>
      </c>
      <c r="U118" s="405" t="str">
        <f t="shared" si="82"/>
        <v>3.17374658498374-9.20502691845319i</v>
      </c>
      <c r="V118" s="731" t="str">
        <f t="shared" si="67"/>
        <v>6000</v>
      </c>
      <c r="W118" s="733" t="str">
        <f>IMSUM(COMPLEX(1,0),IMDIV(COMPLEX(0,2*PI()*D118),COMPLEX(2*PI()*'Stability Calculations'!EA_Pole1,0)))</f>
        <v>1+38684.0514054604i</v>
      </c>
      <c r="X118" s="734">
        <f t="shared" si="83"/>
        <v>38684.051418385621</v>
      </c>
      <c r="Y118" s="735">
        <f t="shared" si="84"/>
        <v>1.5707704763484349</v>
      </c>
      <c r="Z118" s="340" t="str">
        <f>IMSUM(COMPLEX(1,0),IMDIV(COMPLEX(0,2*PI()*D118),COMPLEX(2*PI()*'Stability Calculations'!EA_Zero1,0)))</f>
        <v>1+383.010409955053i</v>
      </c>
      <c r="AA118" s="734">
        <f t="shared" si="85"/>
        <v>383.0117154003749</v>
      </c>
      <c r="AB118" s="735">
        <f t="shared" si="86"/>
        <v>1.568185437634289</v>
      </c>
      <c r="AC118" s="733" t="str">
        <f>IMSUM(COMPLEX(1,0),IMDIV(COMPLEX(0,2*PI()*D118),COMPLEX(2*PI()*'Stability Calculations'!EA_Pole2,0)))</f>
        <v>1+3.85823856108899i</v>
      </c>
      <c r="AD118" s="734">
        <f t="shared" si="87"/>
        <v>3.9857251277871684</v>
      </c>
      <c r="AE118" s="735">
        <f t="shared" si="88"/>
        <v>1.317191221923617</v>
      </c>
      <c r="AF118" s="732" t="str">
        <f t="shared" si="89"/>
        <v>3.70221759159265-14.4376056820396i</v>
      </c>
      <c r="AG118" s="337">
        <f t="shared" si="90"/>
        <v>14.904726529713994</v>
      </c>
      <c r="AH118" s="730">
        <f t="shared" si="91"/>
        <v>-1.3197762606377643</v>
      </c>
      <c r="AI118" s="731" t="str">
        <f t="shared" si="68"/>
        <v>10000</v>
      </c>
      <c r="AJ118" s="733" t="str">
        <f t="shared" si="92"/>
        <v>1+36064.1835992859i</v>
      </c>
      <c r="AK118" s="734">
        <f t="shared" si="93"/>
        <v>36064.183613150068</v>
      </c>
      <c r="AL118" s="735">
        <f t="shared" si="94"/>
        <v>1.5707685984533692</v>
      </c>
      <c r="AM118" s="340" t="str">
        <f t="shared" si="95"/>
        <v>1+61.2050635108175i</v>
      </c>
      <c r="AN118" s="734">
        <f t="shared" si="96"/>
        <v>61.213232224439878</v>
      </c>
      <c r="AO118" s="735">
        <f t="shared" si="97"/>
        <v>1.5544592629229141</v>
      </c>
      <c r="AP118" s="733" t="str">
        <f t="shared" si="98"/>
        <v>1+2.96854646646379i</v>
      </c>
      <c r="AQ118" s="734">
        <f t="shared" si="99"/>
        <v>3.1324540098067928</v>
      </c>
      <c r="AR118" s="735">
        <f t="shared" si="100"/>
        <v>1.2458704672455827</v>
      </c>
      <c r="AS118" s="732" t="str">
        <f t="shared" si="101"/>
        <v>0.0737105110765171-38.3953745689621i</v>
      </c>
      <c r="AT118" s="337">
        <f t="shared" si="102"/>
        <v>38.395445322724733</v>
      </c>
      <c r="AU118" s="730">
        <f t="shared" si="103"/>
        <v>-1.5688765533495301</v>
      </c>
      <c r="AV118" s="732" t="str">
        <f t="shared" si="104"/>
        <v>-9.50216548110153-0.725409055402866i</v>
      </c>
      <c r="AW118" s="337">
        <f t="shared" si="105"/>
        <v>19.581689071839747</v>
      </c>
      <c r="AX118" s="730">
        <f t="shared" si="106"/>
        <v>-175.63442506795514</v>
      </c>
      <c r="AY118" s="360">
        <f t="shared" si="107"/>
        <v>4.3655749320448649</v>
      </c>
      <c r="BB118" s="337">
        <f t="shared" si="108"/>
        <v>-8.3144058191742154</v>
      </c>
      <c r="BC118" s="730">
        <f t="shared" si="109"/>
        <v>-89.89000508395921</v>
      </c>
      <c r="BD118" s="351"/>
      <c r="BE118" s="337">
        <f t="shared" si="69"/>
        <v>41.980806713264485</v>
      </c>
      <c r="BF118" s="730">
        <f t="shared" si="70"/>
        <v>68.86026560582458</v>
      </c>
      <c r="BI118" s="351"/>
      <c r="BJ118" s="351"/>
      <c r="BL118" s="405">
        <f t="shared" si="71"/>
        <v>0</v>
      </c>
      <c r="BM118" s="405">
        <f t="shared" si="110"/>
        <v>0</v>
      </c>
      <c r="BN118" s="405">
        <f t="shared" si="73"/>
        <v>0</v>
      </c>
      <c r="BO118" s="405">
        <f t="shared" si="74"/>
        <v>0</v>
      </c>
    </row>
    <row r="119" spans="4:67" ht="13.5" thickBot="1" x14ac:dyDescent="0.25">
      <c r="D119" s="345">
        <v>6166</v>
      </c>
      <c r="E119" s="340" t="str">
        <f t="shared" si="60"/>
        <v>0.102279198394743i</v>
      </c>
      <c r="F119" s="728" t="str">
        <f t="shared" si="75"/>
        <v>0.005-0.423142625322087i</v>
      </c>
      <c r="G119" s="337" t="str">
        <f t="shared" si="76"/>
        <v>0.005-0.661838465247369i</v>
      </c>
      <c r="H119" s="338" t="str">
        <f t="shared" si="77"/>
        <v>0.27991121750738-0.507487685225396i</v>
      </c>
      <c r="I119" s="338" t="str">
        <f t="shared" si="78"/>
        <v>0.28991121750738-0.507487685225396i</v>
      </c>
      <c r="J119" s="337" t="str">
        <f t="shared" si="79"/>
        <v>0.0562656513105081-0.247019127234267i</v>
      </c>
      <c r="K119" s="338" t="str">
        <f t="shared" si="61"/>
        <v>0.999577560488889-0.0322851005033911i</v>
      </c>
      <c r="L119" s="732"/>
      <c r="M119" s="732" t="str">
        <f t="shared" si="62"/>
        <v>46.6635318343245+120.039066815878i</v>
      </c>
      <c r="N119" s="337">
        <f t="shared" si="63"/>
        <v>0</v>
      </c>
      <c r="O119" s="730" t="str">
        <f t="shared" si="64"/>
        <v>34.4846803029564+43.9025507941196i</v>
      </c>
      <c r="P119" s="731" t="str">
        <f t="shared" si="65"/>
        <v>32.277499529981-4.7727086302823i</v>
      </c>
      <c r="Q119" s="729" t="str">
        <f t="shared" si="66"/>
        <v>31.9326527269515-5.21173413822353i</v>
      </c>
      <c r="R119" s="730"/>
      <c r="S119" s="405" t="str">
        <f t="shared" si="80"/>
        <v>38.0998684486193+4.55172002230597i</v>
      </c>
      <c r="T119" s="405" t="str">
        <f t="shared" si="81"/>
        <v>16.3752219639708-2.91491746334762i</v>
      </c>
      <c r="U119" s="405" t="str">
        <f t="shared" si="82"/>
        <v>3.10432360079128-9.12614158564672i</v>
      </c>
      <c r="V119" s="731" t="str">
        <f t="shared" si="67"/>
        <v>6000</v>
      </c>
      <c r="W119" s="733" t="str">
        <f>IMSUM(COMPLEX(1,0),IMDIV(COMPLEX(0,2*PI()*D119),COMPLEX(2*PI()*'Stability Calculations'!EA_Pole1,0)))</f>
        <v>1+39129.54181011i</v>
      </c>
      <c r="X119" s="734">
        <f t="shared" si="83"/>
        <v>39129.541822888066</v>
      </c>
      <c r="Y119" s="735">
        <f t="shared" si="84"/>
        <v>1.5707707706561451</v>
      </c>
      <c r="Z119" s="340" t="str">
        <f>IMSUM(COMPLEX(1,0),IMDIV(COMPLEX(0,2*PI()*D119),COMPLEX(2*PI()*'Stability Calculations'!EA_Zero1,0)))</f>
        <v>1+387.421206040693i</v>
      </c>
      <c r="AA119" s="734">
        <f t="shared" si="85"/>
        <v>387.42249662355061</v>
      </c>
      <c r="AB119" s="735">
        <f t="shared" si="86"/>
        <v>1.5682151625127045</v>
      </c>
      <c r="AC119" s="733" t="str">
        <f>IMSUM(COMPLEX(1,0),IMDIV(COMPLEX(0,2*PI()*D119),COMPLEX(2*PI()*'Stability Calculations'!EA_Pole2,0)))</f>
        <v>1+3.90267052194539i</v>
      </c>
      <c r="AD119" s="734">
        <f t="shared" si="87"/>
        <v>4.0287513205534919</v>
      </c>
      <c r="AE119" s="735">
        <f t="shared" si="88"/>
        <v>1.3199582797073481</v>
      </c>
      <c r="AF119" s="732" t="str">
        <f t="shared" si="89"/>
        <v>3.6235620864481-14.2933875852024i</v>
      </c>
      <c r="AG119" s="337">
        <f t="shared" si="90"/>
        <v>14.745546136212187</v>
      </c>
      <c r="AH119" s="730">
        <f t="shared" si="91"/>
        <v>-1.3225138878507883</v>
      </c>
      <c r="AI119" s="731" t="str">
        <f t="shared" si="68"/>
        <v>10000</v>
      </c>
      <c r="AJ119" s="733" t="str">
        <f t="shared" si="92"/>
        <v>1+36479.5032765506i</v>
      </c>
      <c r="AK119" s="734">
        <f t="shared" si="93"/>
        <v>36479.503290256922</v>
      </c>
      <c r="AL119" s="735">
        <f t="shared" si="94"/>
        <v>1.5707689141409422</v>
      </c>
      <c r="AM119" s="340" t="str">
        <f t="shared" si="95"/>
        <v>1+61.9099087253027i</v>
      </c>
      <c r="AN119" s="734">
        <f t="shared" si="96"/>
        <v>61.917984450200834</v>
      </c>
      <c r="AO119" s="735">
        <f t="shared" si="97"/>
        <v>1.5546452281030623</v>
      </c>
      <c r="AP119" s="733" t="str">
        <f t="shared" si="98"/>
        <v>1+3.00273262118438i</v>
      </c>
      <c r="AQ119" s="734">
        <f t="shared" si="99"/>
        <v>3.1648701702162785</v>
      </c>
      <c r="AR119" s="735">
        <f t="shared" si="100"/>
        <v>1.2493188106768467</v>
      </c>
      <c r="AS119" s="732" t="str">
        <f t="shared" si="101"/>
        <v>0.0720416808489183-37.9582458363738i</v>
      </c>
      <c r="AT119" s="337">
        <f t="shared" si="102"/>
        <v>37.958314200954298</v>
      </c>
      <c r="AU119" s="730">
        <f t="shared" si="103"/>
        <v>-1.5688984099454384</v>
      </c>
      <c r="AV119" s="732" t="str">
        <f t="shared" si="104"/>
        <v>-9.28406453450311-0.68844327444749i</v>
      </c>
      <c r="AW119" s="337">
        <f t="shared" si="105"/>
        <v>19.378578146571652</v>
      </c>
      <c r="AX119" s="730">
        <f t="shared" si="106"/>
        <v>-175.75909527944677</v>
      </c>
      <c r="AY119" s="360">
        <f t="shared" si="107"/>
        <v>4.2409047205532318</v>
      </c>
      <c r="BB119" s="337">
        <f t="shared" si="108"/>
        <v>-8.4138616727771964</v>
      </c>
      <c r="BC119" s="730">
        <f t="shared" si="109"/>
        <v>-89.891257374659276</v>
      </c>
      <c r="BD119" s="351"/>
      <c r="BE119" s="337">
        <f t="shared" si="69"/>
        <v>42.197642514511735</v>
      </c>
      <c r="BF119" s="730">
        <f t="shared" si="70"/>
        <v>68.757093579952794</v>
      </c>
      <c r="BI119" s="351"/>
      <c r="BJ119" s="351"/>
      <c r="BL119" s="405">
        <f t="shared" si="71"/>
        <v>0</v>
      </c>
      <c r="BM119" s="405">
        <f t="shared" si="110"/>
        <v>0</v>
      </c>
      <c r="BN119" s="405">
        <f t="shared" si="73"/>
        <v>0</v>
      </c>
      <c r="BO119" s="405">
        <f t="shared" si="74"/>
        <v>0</v>
      </c>
    </row>
    <row r="120" spans="4:67" ht="13.5" thickBot="1" x14ac:dyDescent="0.25">
      <c r="D120" s="345">
        <v>6237.8</v>
      </c>
      <c r="E120" s="340" t="str">
        <f t="shared" si="60"/>
        <v>0.10347018873609i</v>
      </c>
      <c r="F120" s="728" t="str">
        <f t="shared" si="75"/>
        <v>0.005-0.418272055490076i</v>
      </c>
      <c r="G120" s="337" t="str">
        <f t="shared" si="76"/>
        <v>0.005-0.654220394484475i</v>
      </c>
      <c r="H120" s="338" t="str">
        <f t="shared" si="77"/>
        <v>0.275020887533466-0.504265107576395i</v>
      </c>
      <c r="I120" s="338" t="str">
        <f t="shared" si="78"/>
        <v>0.285020887533466-0.504265107576395i</v>
      </c>
      <c r="J120" s="337" t="str">
        <f t="shared" si="79"/>
        <v>0.055122200813235-0.244414531197202i</v>
      </c>
      <c r="K120" s="338" t="str">
        <f t="shared" si="61"/>
        <v>0.999567665012889-0.0326610444242707i</v>
      </c>
      <c r="L120" s="732"/>
      <c r="M120" s="732" t="str">
        <f t="shared" si="62"/>
        <v>48.1337470489972+123.075262379246i</v>
      </c>
      <c r="N120" s="337">
        <f t="shared" si="63"/>
        <v>0</v>
      </c>
      <c r="O120" s="730" t="str">
        <f t="shared" si="64"/>
        <v>35.2929461990849+44.967207599933i</v>
      </c>
      <c r="P120" s="731" t="str">
        <f t="shared" si="65"/>
        <v>32.7346206271244-4.98040789173496i</v>
      </c>
      <c r="Q120" s="729" t="str">
        <f t="shared" si="66"/>
        <v>32.3816911651336-5.4300799677343i</v>
      </c>
      <c r="R120" s="730"/>
      <c r="S120" s="405" t="str">
        <f t="shared" si="80"/>
        <v>38.1434818489469+4.48565485701887i</v>
      </c>
      <c r="T120" s="405" t="str">
        <f t="shared" si="81"/>
        <v>16.3574232094152-2.90183747346028i</v>
      </c>
      <c r="U120" s="405" t="str">
        <f t="shared" si="82"/>
        <v>3.03533766309021-9.04654369179729i</v>
      </c>
      <c r="V120" s="731" t="str">
        <f t="shared" si="67"/>
        <v>6000</v>
      </c>
      <c r="W120" s="733" t="str">
        <f>IMSUM(COMPLEX(1,0),IMDIV(COMPLEX(0,2*PI()*D120),COMPLEX(2*PI()*'Stability Calculations'!EA_Pole1,0)))</f>
        <v>1+39585.1858422161i</v>
      </c>
      <c r="X120" s="734">
        <f t="shared" si="83"/>
        <v>39585.185854847099</v>
      </c>
      <c r="Y120" s="735">
        <f t="shared" si="84"/>
        <v>1.5707710648192734</v>
      </c>
      <c r="Z120" s="340" t="str">
        <f>IMSUM(COMPLEX(1,0),IMDIV(COMPLEX(0,2*PI()*D120),COMPLEX(2*PI()*'Stability Calculations'!EA_Zero1,0)))</f>
        <v>1+391.932533091248i</v>
      </c>
      <c r="AA120" s="734">
        <f t="shared" si="85"/>
        <v>391.93380881894097</v>
      </c>
      <c r="AB120" s="735">
        <f t="shared" si="86"/>
        <v>1.5682448727930067</v>
      </c>
      <c r="AC120" s="733" t="str">
        <f>IMSUM(COMPLEX(1,0),IMDIV(COMPLEX(0,2*PI()*D120),COMPLEX(2*PI()*'Stability Calculations'!EA_Pole2,0)))</f>
        <v>1+3.94811517706633i</v>
      </c>
      <c r="AD120" s="734">
        <f t="shared" si="87"/>
        <v>4.0727893944300018</v>
      </c>
      <c r="AE120" s="735">
        <f t="shared" si="88"/>
        <v>1.3227279045953819</v>
      </c>
      <c r="AF120" s="732" t="str">
        <f t="shared" si="89"/>
        <v>3.54562435417061-14.1486044671294i</v>
      </c>
      <c r="AG120" s="337">
        <f t="shared" si="90"/>
        <v>14.586105046521562</v>
      </c>
      <c r="AH120" s="730">
        <f t="shared" si="91"/>
        <v>-1.3252540966216491</v>
      </c>
      <c r="AI120" s="731" t="str">
        <f t="shared" si="68"/>
        <v>10000</v>
      </c>
      <c r="AJ120" s="733" t="str">
        <f t="shared" si="92"/>
        <v>1+36904.2889293654i</v>
      </c>
      <c r="AK120" s="734">
        <f t="shared" si="93"/>
        <v>36904.288942913961</v>
      </c>
      <c r="AL120" s="735">
        <f t="shared" si="94"/>
        <v>1.5707692296734301</v>
      </c>
      <c r="AM120" s="340" t="str">
        <f t="shared" si="95"/>
        <v>1+62.6308187879814i</v>
      </c>
      <c r="AN120" s="734">
        <f t="shared" si="96"/>
        <v>62.63880156941832</v>
      </c>
      <c r="AO120" s="735">
        <f t="shared" si="97"/>
        <v>1.5548311030421731</v>
      </c>
      <c r="AP120" s="733" t="str">
        <f t="shared" si="98"/>
        <v>1+3.03769794752253i</v>
      </c>
      <c r="AQ120" s="734">
        <f t="shared" si="99"/>
        <v>3.1980632921164318</v>
      </c>
      <c r="AR120" s="735">
        <f t="shared" si="100"/>
        <v>1.252773392600635</v>
      </c>
      <c r="AS120" s="732" t="str">
        <f t="shared" si="101"/>
        <v>0.0703927645317346-37.5213317393372i</v>
      </c>
      <c r="AT120" s="337">
        <f t="shared" si="102"/>
        <v>37.521397770268251</v>
      </c>
      <c r="AU120" s="730">
        <f t="shared" si="103"/>
        <v>-1.5689202558058668</v>
      </c>
      <c r="AV120" s="732" t="str">
        <f t="shared" si="104"/>
        <v>-9.0685965335897-0.652639234509619i</v>
      </c>
      <c r="AW120" s="337">
        <f t="shared" si="105"/>
        <v>19.173236720364869</v>
      </c>
      <c r="AX120" s="730">
        <f t="shared" si="106"/>
        <v>-175.88369415247104</v>
      </c>
      <c r="AY120" s="360">
        <f t="shared" si="107"/>
        <v>4.1163058475289631</v>
      </c>
      <c r="BB120" s="337">
        <f t="shared" si="108"/>
        <v>-8.5144198277105723</v>
      </c>
      <c r="BC120" s="730">
        <f t="shared" si="109"/>
        <v>-89.892509050261665</v>
      </c>
      <c r="BD120" s="351"/>
      <c r="BE120" s="337">
        <f t="shared" si="69"/>
        <v>42.421531180894974</v>
      </c>
      <c r="BF120" s="730">
        <f t="shared" si="70"/>
        <v>68.639930954908252</v>
      </c>
      <c r="BI120" s="351"/>
      <c r="BJ120" s="351"/>
      <c r="BL120" s="405">
        <f t="shared" si="71"/>
        <v>0</v>
      </c>
      <c r="BM120" s="405">
        <f t="shared" si="110"/>
        <v>0</v>
      </c>
      <c r="BN120" s="405">
        <f t="shared" si="73"/>
        <v>0</v>
      </c>
      <c r="BO120" s="405">
        <f t="shared" si="74"/>
        <v>0</v>
      </c>
    </row>
    <row r="121" spans="4:67" ht="13.5" thickBot="1" x14ac:dyDescent="0.25">
      <c r="D121" s="345">
        <v>6309.6</v>
      </c>
      <c r="E121" s="340" t="str">
        <f t="shared" si="60"/>
        <v>0.104661179077436i</v>
      </c>
      <c r="F121" s="728" t="str">
        <f t="shared" si="75"/>
        <v>0.005-0.413512334812982i</v>
      </c>
      <c r="G121" s="337" t="str">
        <f t="shared" si="76"/>
        <v>0.005-0.646775703169024i</v>
      </c>
      <c r="H121" s="338" t="str">
        <f t="shared" si="77"/>
        <v>0.270247818783513-0.501053791949833i</v>
      </c>
      <c r="I121" s="338" t="str">
        <f t="shared" si="78"/>
        <v>0.280247818783513-0.501053791949833i</v>
      </c>
      <c r="J121" s="337" t="str">
        <f t="shared" si="79"/>
        <v>0.0540154395164346-0.241861647957379i</v>
      </c>
      <c r="K121" s="338" t="str">
        <f t="shared" si="61"/>
        <v>0.999557654976-0.0330369883451503i</v>
      </c>
      <c r="L121" s="732"/>
      <c r="M121" s="732" t="str">
        <f t="shared" si="62"/>
        <v>49.6884766211494+126.209882792448i</v>
      </c>
      <c r="N121" s="337">
        <f t="shared" si="63"/>
        <v>0</v>
      </c>
      <c r="O121" s="730" t="str">
        <f t="shared" si="64"/>
        <v>36.1430842383916+46.0634267082355i</v>
      </c>
      <c r="P121" s="731" t="str">
        <f t="shared" si="65"/>
        <v>33.2092751442826-5.20045454973112i</v>
      </c>
      <c r="Q121" s="729" t="str">
        <f t="shared" si="66"/>
        <v>32.8478443018987-5.6610888168135i</v>
      </c>
      <c r="R121" s="730"/>
      <c r="S121" s="405" t="str">
        <f t="shared" si="80"/>
        <v>38.1858270464325+4.42028641738248i</v>
      </c>
      <c r="T121" s="405" t="str">
        <f t="shared" si="81"/>
        <v>16.340118521-2.88903229327506i</v>
      </c>
      <c r="U121" s="405" t="str">
        <f t="shared" si="82"/>
        <v>2.96832080335334-8.96803302150943i</v>
      </c>
      <c r="V121" s="731" t="str">
        <f t="shared" si="67"/>
        <v>6000</v>
      </c>
      <c r="W121" s="733" t="str">
        <f>IMSUM(COMPLEX(1,0),IMDIV(COMPLEX(0,2*PI()*D121),COMPLEX(2*PI()*'Stability Calculations'!EA_Pole1,0)))</f>
        <v>1+40040.8298743221i</v>
      </c>
      <c r="X121" s="734">
        <f t="shared" si="83"/>
        <v>40040.829886809355</v>
      </c>
      <c r="Y121" s="735">
        <f t="shared" si="84"/>
        <v>1.5707713522875517</v>
      </c>
      <c r="Z121" s="340" t="str">
        <f>IMSUM(COMPLEX(1,0),IMDIV(COMPLEX(0,2*PI()*D121),COMPLEX(2*PI()*'Stability Calculations'!EA_Zero1,0)))</f>
        <v>1+396.443860141803i</v>
      </c>
      <c r="AA121" s="734">
        <f t="shared" si="85"/>
        <v>396.44512135241808</v>
      </c>
      <c r="AB121" s="735">
        <f t="shared" si="86"/>
        <v>1.5682739069022691</v>
      </c>
      <c r="AC121" s="733" t="str">
        <f>IMSUM(COMPLEX(1,0),IMDIV(COMPLEX(0,2*PI()*D121),COMPLEX(2*PI()*'Stability Calculations'!EA_Pole2,0)))</f>
        <v>1+3.99355983218726i</v>
      </c>
      <c r="AD121" s="734">
        <f t="shared" si="87"/>
        <v>4.1168580414266813</v>
      </c>
      <c r="AE121" s="735">
        <f t="shared" si="88"/>
        <v>1.3254382553552952</v>
      </c>
      <c r="AF121" s="732" t="str">
        <f t="shared" si="89"/>
        <v>3.470122800254-14.0065064377595i</v>
      </c>
      <c r="AG121" s="337">
        <f t="shared" si="90"/>
        <v>14.429967943132826</v>
      </c>
      <c r="AH121" s="730">
        <f t="shared" si="91"/>
        <v>-1.327935700740577</v>
      </c>
      <c r="AI121" s="731" t="str">
        <f t="shared" si="68"/>
        <v>10000</v>
      </c>
      <c r="AJ121" s="733" t="str">
        <f t="shared" si="92"/>
        <v>1+37329.0745821803i</v>
      </c>
      <c r="AK121" s="734">
        <f t="shared" si="93"/>
        <v>37329.074595574682</v>
      </c>
      <c r="AL121" s="735">
        <f t="shared" si="94"/>
        <v>1.5707695380247233</v>
      </c>
      <c r="AM121" s="340" t="str">
        <f t="shared" si="95"/>
        <v>1+63.3517288506601i</v>
      </c>
      <c r="AN121" s="734">
        <f t="shared" si="96"/>
        <v>63.359620803533531</v>
      </c>
      <c r="AO121" s="735">
        <f t="shared" si="97"/>
        <v>1.5550127487250325</v>
      </c>
      <c r="AP121" s="733" t="str">
        <f t="shared" si="98"/>
        <v>1+3.07266327386068i</v>
      </c>
      <c r="AQ121" s="734">
        <f t="shared" si="99"/>
        <v>3.2312937957623462</v>
      </c>
      <c r="AR121" s="735">
        <f t="shared" si="100"/>
        <v>1.2561569606347858</v>
      </c>
      <c r="AS121" s="732" t="str">
        <f t="shared" si="101"/>
        <v>0.0687998185110774-37.0943612535183i</v>
      </c>
      <c r="AT121" s="337">
        <f t="shared" si="102"/>
        <v>37.094425055815961</v>
      </c>
      <c r="AU121" s="730">
        <f t="shared" si="103"/>
        <v>-1.5689416044787334</v>
      </c>
      <c r="AV121" s="732" t="str">
        <f t="shared" si="104"/>
        <v>-8.86047623544977-0.618735786142242i</v>
      </c>
      <c r="AW121" s="337">
        <f t="shared" si="105"/>
        <v>18.970267624610432</v>
      </c>
      <c r="AX121" s="730">
        <f t="shared" si="106"/>
        <v>-176.00546377972228</v>
      </c>
      <c r="AY121" s="360">
        <f t="shared" si="107"/>
        <v>3.9945362202777233</v>
      </c>
      <c r="BB121" s="337">
        <f t="shared" si="108"/>
        <v>-8.613827117362856</v>
      </c>
      <c r="BC121" s="730">
        <f t="shared" si="109"/>
        <v>-89.893732239115124</v>
      </c>
      <c r="BD121" s="351"/>
      <c r="BE121" s="337">
        <f t="shared" si="69"/>
        <v>42.647677635175697</v>
      </c>
      <c r="BF121" s="730">
        <f t="shared" si="70"/>
        <v>68.510579493594861</v>
      </c>
      <c r="BI121" s="351"/>
      <c r="BJ121" s="351"/>
      <c r="BL121" s="405">
        <f t="shared" si="71"/>
        <v>0</v>
      </c>
      <c r="BM121" s="405">
        <f t="shared" si="110"/>
        <v>0</v>
      </c>
      <c r="BN121" s="405">
        <f t="shared" si="73"/>
        <v>0</v>
      </c>
      <c r="BO121" s="405">
        <f t="shared" si="74"/>
        <v>0</v>
      </c>
    </row>
    <row r="122" spans="4:67" ht="13.5" thickBot="1" x14ac:dyDescent="0.25">
      <c r="D122" s="345">
        <v>6383.05</v>
      </c>
      <c r="E122" s="340" t="str">
        <f t="shared" si="60"/>
        <v>0.105879538973981i</v>
      </c>
      <c r="F122" s="728" t="str">
        <f t="shared" si="75"/>
        <v>0.005-0.408754032591941i</v>
      </c>
      <c r="G122" s="337" t="str">
        <f t="shared" si="76"/>
        <v>0.005-0.63933323046432i</v>
      </c>
      <c r="H122" s="338" t="str">
        <f t="shared" si="77"/>
        <v>0.265482995165243-0.497781715797477i</v>
      </c>
      <c r="I122" s="338" t="str">
        <f t="shared" si="78"/>
        <v>0.275482995165243-0.497781715797477i</v>
      </c>
      <c r="J122" s="337" t="str">
        <f t="shared" si="79"/>
        <v>0.0529196123288511-0.239302112973838i</v>
      </c>
      <c r="K122" s="338" t="str">
        <f t="shared" si="61"/>
        <v>0.999547296363306-0.0334215716458272i</v>
      </c>
      <c r="L122" s="732"/>
      <c r="M122" s="732" t="str">
        <f t="shared" si="62"/>
        <v>51.3731055850358+129.523473054337i</v>
      </c>
      <c r="N122" s="337">
        <f t="shared" si="63"/>
        <v>0</v>
      </c>
      <c r="O122" s="730" t="str">
        <f t="shared" si="64"/>
        <v>37.0591587899312+47.2189250942885i</v>
      </c>
      <c r="P122" s="731" t="str">
        <f t="shared" si="65"/>
        <v>33.7138856133021-5.43936073500526i</v>
      </c>
      <c r="Q122" s="729" t="str">
        <f t="shared" si="66"/>
        <v>33.3432940254028-5.91154998594815i</v>
      </c>
      <c r="R122" s="730"/>
      <c r="S122" s="405" t="str">
        <f t="shared" si="80"/>
        <v>38.2278801836326+4.3541292767497i</v>
      </c>
      <c r="T122" s="405" t="str">
        <f t="shared" si="81"/>
        <v>16.3229088001873-2.87621426237387i</v>
      </c>
      <c r="U122" s="405" t="str">
        <f t="shared" si="82"/>
        <v>2.90172784755718-8.88883152647496i</v>
      </c>
      <c r="V122" s="731" t="str">
        <f t="shared" si="67"/>
        <v>6000</v>
      </c>
      <c r="W122" s="733" t="str">
        <f>IMSUM(COMPLEX(1,0),IMDIV(COMPLEX(0,2*PI()*D122),COMPLEX(2*PI()*'Stability Calculations'!EA_Pole1,0)))</f>
        <v>1+40506.9448347426i</v>
      </c>
      <c r="X122" s="734">
        <f t="shared" si="83"/>
        <v>40506.944847086153</v>
      </c>
      <c r="Y122" s="735">
        <f t="shared" si="84"/>
        <v>1.570771639670161</v>
      </c>
      <c r="Z122" s="340" t="str">
        <f>IMSUM(COMPLEX(1,0),IMDIV(COMPLEX(0,2*PI()*D122),COMPLEX(2*PI()*'Stability Calculations'!EA_Zero1,0)))</f>
        <v>1+401.058859749927i</v>
      </c>
      <c r="AA122" s="734">
        <f t="shared" si="85"/>
        <v>401.06010644778871</v>
      </c>
      <c r="AB122" s="735">
        <f t="shared" si="86"/>
        <v>1.5683029323632562</v>
      </c>
      <c r="AC122" s="733" t="str">
        <f>IMSUM(COMPLEX(1,0),IMDIV(COMPLEX(0,2*PI()*D122),COMPLEX(2*PI()*'Stability Calculations'!EA_Pole2,0)))</f>
        <v>1+4.0400488282685i</v>
      </c>
      <c r="AD122" s="734">
        <f t="shared" si="87"/>
        <v>4.1619700305016218</v>
      </c>
      <c r="AE122" s="735">
        <f t="shared" si="88"/>
        <v>1.3281514806687411</v>
      </c>
      <c r="AF122" s="732" t="str">
        <f t="shared" si="89"/>
        <v>3.39530450388148-13.8638521690102i</v>
      </c>
      <c r="AG122" s="337">
        <f t="shared" si="90"/>
        <v>14.273559109004546</v>
      </c>
      <c r="AH122" s="730">
        <f t="shared" si="91"/>
        <v>-1.3306201879756463</v>
      </c>
      <c r="AI122" s="731" t="str">
        <f t="shared" si="68"/>
        <v>10000</v>
      </c>
      <c r="AJ122" s="733" t="str">
        <f t="shared" si="92"/>
        <v>1+37763.6220222813i</v>
      </c>
      <c r="AK122" s="734">
        <f t="shared" si="93"/>
        <v>37763.622035521548</v>
      </c>
      <c r="AL122" s="735">
        <f t="shared" si="94"/>
        <v>1.5707698462841242</v>
      </c>
      <c r="AM122" s="340" t="str">
        <f t="shared" si="95"/>
        <v>1+64.0892057880383i</v>
      </c>
      <c r="AN122" s="734">
        <f t="shared" si="96"/>
        <v>64.097006939025803</v>
      </c>
      <c r="AO122" s="735">
        <f t="shared" si="97"/>
        <v>1.5551943413164069</v>
      </c>
      <c r="AP122" s="733" t="str">
        <f t="shared" si="98"/>
        <v>1+3.10843212092945i</v>
      </c>
      <c r="AQ122" s="734">
        <f t="shared" si="99"/>
        <v>3.2653254432638041</v>
      </c>
      <c r="AR122" s="735">
        <f t="shared" si="100"/>
        <v>1.2595469852728616</v>
      </c>
      <c r="AS122" s="732" t="str">
        <f t="shared" si="101"/>
        <v>0.0672255694435782-36.6675179088301i</v>
      </c>
      <c r="AT122" s="337">
        <f t="shared" si="102"/>
        <v>36.667579533854749</v>
      </c>
      <c r="AU122" s="730">
        <f t="shared" si="103"/>
        <v>-1.5689629467911195</v>
      </c>
      <c r="AV122" s="732" t="str">
        <f t="shared" si="104"/>
        <v>-8.65483652308964-0.585896773572389i</v>
      </c>
      <c r="AW122" s="337">
        <f t="shared" si="105"/>
        <v>18.765034469990841</v>
      </c>
      <c r="AX122" s="730">
        <f t="shared" si="106"/>
        <v>-176.12722055087318</v>
      </c>
      <c r="AY122" s="360">
        <f t="shared" si="107"/>
        <v>3.8727794491268241</v>
      </c>
      <c r="BB122" s="337">
        <f t="shared" si="108"/>
        <v>-8.7143551467301492</v>
      </c>
      <c r="BC122" s="730">
        <f t="shared" si="109"/>
        <v>-89.894955063539896</v>
      </c>
      <c r="BD122" s="351"/>
      <c r="BE122" s="337">
        <f t="shared" si="69"/>
        <v>42.881491619335144</v>
      </c>
      <c r="BF122" s="730">
        <f t="shared" si="70"/>
        <v>68.365157371483718</v>
      </c>
      <c r="BI122" s="351"/>
      <c r="BJ122" s="351"/>
      <c r="BL122" s="405">
        <f t="shared" si="71"/>
        <v>0</v>
      </c>
      <c r="BM122" s="405">
        <f t="shared" si="110"/>
        <v>0</v>
      </c>
      <c r="BN122" s="405">
        <f t="shared" si="73"/>
        <v>0</v>
      </c>
      <c r="BO122" s="405">
        <f t="shared" si="74"/>
        <v>0</v>
      </c>
    </row>
    <row r="123" spans="4:67" ht="13.5" thickBot="1" x14ac:dyDescent="0.25">
      <c r="D123" s="345">
        <v>6456.5</v>
      </c>
      <c r="E123" s="340" t="str">
        <f t="shared" si="60"/>
        <v>0.107097898870525i</v>
      </c>
      <c r="F123" s="728" t="str">
        <f t="shared" si="75"/>
        <v>0.005-0.404103992524742i</v>
      </c>
      <c r="G123" s="337" t="str">
        <f t="shared" si="76"/>
        <v>0.005-0.632060090872033i</v>
      </c>
      <c r="H123" s="338" t="str">
        <f t="shared" si="77"/>
        <v>0.260834074591035-0.494524121423553i</v>
      </c>
      <c r="I123" s="338" t="str">
        <f t="shared" si="78"/>
        <v>0.270834074591035-0.494524121423553i</v>
      </c>
      <c r="J123" s="337" t="str">
        <f t="shared" si="79"/>
        <v>0.0518590239354965-0.236793712624462i</v>
      </c>
      <c r="K123" s="338" t="str">
        <f t="shared" si="61"/>
        <v>0.999536817863889-0.0338061549465042i</v>
      </c>
      <c r="L123" s="732"/>
      <c r="M123" s="732" t="str">
        <f t="shared" si="62"/>
        <v>53.1604925519196+132.950696288791i</v>
      </c>
      <c r="N123" s="337">
        <f t="shared" si="63"/>
        <v>0</v>
      </c>
      <c r="O123" s="730" t="str">
        <f t="shared" si="64"/>
        <v>38.0255803001518+48.4104138451514i</v>
      </c>
      <c r="P123" s="731" t="str">
        <f t="shared" si="65"/>
        <v>34.2387402259028-5.69337705523278i</v>
      </c>
      <c r="Q123" s="729" t="str">
        <f t="shared" si="66"/>
        <v>33.8584844229013-6.17748119368427i</v>
      </c>
      <c r="R123" s="730"/>
      <c r="S123" s="405" t="str">
        <f t="shared" si="80"/>
        <v>38.2686997299666+4.28868578653301i</v>
      </c>
      <c r="T123" s="405" t="str">
        <f t="shared" si="81"/>
        <v>16.3061791680878-2.86367770307844i</v>
      </c>
      <c r="U123" s="405" t="str">
        <f t="shared" si="82"/>
        <v>2.83704945326867-8.81074365048307i</v>
      </c>
      <c r="V123" s="731" t="str">
        <f t="shared" si="67"/>
        <v>6000</v>
      </c>
      <c r="W123" s="733" t="str">
        <f>IMSUM(COMPLEX(1,0),IMDIV(COMPLEX(0,2*PI()*D123),COMPLEX(2*PI()*'Stability Calculations'!EA_Pole1,0)))</f>
        <v>1+40973.0597951631i</v>
      </c>
      <c r="X123" s="734">
        <f t="shared" si="83"/>
        <v>40973.05980736624</v>
      </c>
      <c r="Y123" s="735">
        <f t="shared" si="84"/>
        <v>1.5707719205141648</v>
      </c>
      <c r="Z123" s="340" t="str">
        <f>IMSUM(COMPLEX(1,0),IMDIV(COMPLEX(0,2*PI()*D123),COMPLEX(2*PI()*'Stability Calculations'!EA_Zero1,0)))</f>
        <v>1+405.67385935805i</v>
      </c>
      <c r="AA123" s="734">
        <f t="shared" si="85"/>
        <v>405.67509187335486</v>
      </c>
      <c r="AB123" s="735">
        <f t="shared" si="86"/>
        <v>1.5683312974333179</v>
      </c>
      <c r="AC123" s="733" t="str">
        <f>IMSUM(COMPLEX(1,0),IMDIV(COMPLEX(0,2*PI()*D123),COMPLEX(2*PI()*'Stability Calculations'!EA_Pole2,0)))</f>
        <v>1+4.08653782434973i</v>
      </c>
      <c r="AD123" s="734">
        <f t="shared" si="87"/>
        <v>4.2071120011049175</v>
      </c>
      <c r="AE123" s="735">
        <f t="shared" si="88"/>
        <v>1.3308064998042481</v>
      </c>
      <c r="AF123" s="732" t="str">
        <f t="shared" si="89"/>
        <v>3.32283272061825-13.7238694030633i</v>
      </c>
      <c r="AG123" s="337">
        <f t="shared" si="90"/>
        <v>14.120403984360657</v>
      </c>
      <c r="AH123" s="730">
        <f t="shared" si="91"/>
        <v>-1.3332471228850948</v>
      </c>
      <c r="AI123" s="731" t="str">
        <f t="shared" si="68"/>
        <v>10000</v>
      </c>
      <c r="AJ123" s="733" t="str">
        <f t="shared" si="92"/>
        <v>1+38198.1694623823i</v>
      </c>
      <c r="AK123" s="734">
        <f t="shared" si="93"/>
        <v>38198.169475471936</v>
      </c>
      <c r="AL123" s="735">
        <f t="shared" si="94"/>
        <v>1.5707701475299254</v>
      </c>
      <c r="AM123" s="340" t="str">
        <f t="shared" si="95"/>
        <v>1+64.8266827254164i</v>
      </c>
      <c r="AN123" s="734">
        <f t="shared" si="96"/>
        <v>64.834395140093662</v>
      </c>
      <c r="AO123" s="735">
        <f t="shared" si="97"/>
        <v>1.5553718032592923</v>
      </c>
      <c r="AP123" s="733" t="str">
        <f t="shared" si="98"/>
        <v>1+3.14420096799821i</v>
      </c>
      <c r="AQ123" s="734">
        <f t="shared" si="99"/>
        <v>3.2993938423839126</v>
      </c>
      <c r="AR123" s="735">
        <f t="shared" si="100"/>
        <v>1.262867038969572</v>
      </c>
      <c r="AS123" s="732" t="str">
        <f t="shared" si="101"/>
        <v>0.0657047405491023-36.2503861202762i</v>
      </c>
      <c r="AT123" s="337">
        <f t="shared" si="102"/>
        <v>36.250445665978283</v>
      </c>
      <c r="AU123" s="730">
        <f t="shared" si="103"/>
        <v>-1.5689838035191688</v>
      </c>
      <c r="AV123" s="732" t="str">
        <f t="shared" si="104"/>
        <v>-8.45621534688884-0.554805921814813i</v>
      </c>
      <c r="AW123" s="337">
        <f t="shared" si="105"/>
        <v>18.562175088027782</v>
      </c>
      <c r="AX123" s="730">
        <f t="shared" si="106"/>
        <v>-176.24624697986047</v>
      </c>
      <c r="AY123" s="360">
        <f t="shared" si="107"/>
        <v>3.7537530201395271</v>
      </c>
      <c r="BB123" s="337">
        <f t="shared" si="108"/>
        <v>-8.8137329961574711</v>
      </c>
      <c r="BC123" s="730">
        <f t="shared" si="109"/>
        <v>-89.896150066031566</v>
      </c>
      <c r="BD123" s="351"/>
      <c r="BE123" s="337">
        <f t="shared" si="69"/>
        <v>43.11794653417094</v>
      </c>
      <c r="BF123" s="730">
        <f t="shared" si="70"/>
        <v>68.205941633745269</v>
      </c>
      <c r="BI123" s="351"/>
      <c r="BJ123" s="351"/>
      <c r="BL123" s="405">
        <f t="shared" si="71"/>
        <v>0</v>
      </c>
      <c r="BM123" s="405">
        <f t="shared" si="110"/>
        <v>0</v>
      </c>
      <c r="BN123" s="405">
        <f t="shared" si="73"/>
        <v>0</v>
      </c>
      <c r="BO123" s="405">
        <f t="shared" si="74"/>
        <v>0</v>
      </c>
    </row>
    <row r="124" spans="4:67" ht="13.5" thickBot="1" x14ac:dyDescent="0.25">
      <c r="D124" s="345">
        <v>6531.7</v>
      </c>
      <c r="E124" s="340" t="str">
        <f t="shared" si="60"/>
        <v>0.108345287083189i</v>
      </c>
      <c r="F124" s="728" t="str">
        <f t="shared" si="75"/>
        <v>0.005-0.399451509979942i</v>
      </c>
      <c r="G124" s="337" t="str">
        <f t="shared" si="76"/>
        <v>0.005-0.624783130994269i</v>
      </c>
      <c r="H124" s="338" t="str">
        <f t="shared" si="77"/>
        <v>0.256191024869689-0.49120516676042i</v>
      </c>
      <c r="I124" s="338" t="str">
        <f t="shared" si="78"/>
        <v>0.266191024869689-0.49120516676042i</v>
      </c>
      <c r="J124" s="337" t="str">
        <f t="shared" si="79"/>
        <v>0.0508081352268344-0.234277029703063i</v>
      </c>
      <c r="K124" s="338" t="str">
        <f t="shared" si="61"/>
        <v>0.999525965501222-0.0341999012257541i</v>
      </c>
      <c r="L124" s="732"/>
      <c r="M124" s="732" t="str">
        <f t="shared" si="62"/>
        <v>55.1056292693168+136.583401281468i</v>
      </c>
      <c r="N124" s="337">
        <f t="shared" si="63"/>
        <v>0</v>
      </c>
      <c r="O124" s="730" t="str">
        <f t="shared" si="64"/>
        <v>39.071127211167+49.669234117369i</v>
      </c>
      <c r="P124" s="731" t="str">
        <f t="shared" si="65"/>
        <v>34.798167822639-5.97043522308389i</v>
      </c>
      <c r="Q124" s="729" t="str">
        <f t="shared" si="66"/>
        <v>34.4074565505273-6.46712756425756i</v>
      </c>
      <c r="R124" s="730"/>
      <c r="S124" s="405" t="str">
        <f t="shared" si="80"/>
        <v>38.309260103614+4.22241369676323i</v>
      </c>
      <c r="T124" s="405" t="str">
        <f t="shared" si="81"/>
        <v>16.2895300414794-2.85113061571368i</v>
      </c>
      <c r="U124" s="405" t="str">
        <f t="shared" si="82"/>
        <v>2.77274130642478-8.73193539495073i</v>
      </c>
      <c r="V124" s="731" t="str">
        <f t="shared" si="67"/>
        <v>6000</v>
      </c>
      <c r="W124" s="733" t="str">
        <f>IMSUM(COMPLEX(1,0),IMDIV(COMPLEX(0,2*PI()*D124),COMPLEX(2*PI()*'Stability Calculations'!EA_Pole1,0)))</f>
        <v>1+41450.280285614i</v>
      </c>
      <c r="X124" s="734">
        <f t="shared" si="83"/>
        <v>41450.28029767664</v>
      </c>
      <c r="Y124" s="735">
        <f t="shared" si="84"/>
        <v>1.5707722015056846</v>
      </c>
      <c r="Z124" s="340" t="str">
        <f>IMSUM(COMPLEX(1,0),IMDIV(COMPLEX(0,2*PI()*D124),COMPLEX(2*PI()*'Stability Calculations'!EA_Zero1,0)))</f>
        <v>1+410.398814709049i</v>
      </c>
      <c r="AA124" s="734">
        <f t="shared" si="85"/>
        <v>410.40003303434605</v>
      </c>
      <c r="AB124" s="735">
        <f t="shared" si="86"/>
        <v>1.5683596774063708</v>
      </c>
      <c r="AC124" s="733" t="str">
        <f>IMSUM(COMPLEX(1,0),IMDIV(COMPLEX(0,2*PI()*D124),COMPLEX(2*PI()*'Stability Calculations'!EA_Pole2,0)))</f>
        <v>1+4.1341344547828i</v>
      </c>
      <c r="AD124" s="734">
        <f t="shared" si="87"/>
        <v>4.2533595768782915</v>
      </c>
      <c r="AE124" s="735">
        <f t="shared" si="88"/>
        <v>1.3334663706370251</v>
      </c>
      <c r="AF124" s="732" t="str">
        <f t="shared" si="89"/>
        <v>3.25096599627717-13.583249086255i</v>
      </c>
      <c r="AG124" s="337">
        <f t="shared" si="90"/>
        <v>13.966869214258351</v>
      </c>
      <c r="AH124" s="730">
        <f t="shared" si="91"/>
        <v>-1.3358788947363394</v>
      </c>
      <c r="AI124" s="731" t="str">
        <f t="shared" si="68"/>
        <v>10000</v>
      </c>
      <c r="AJ124" s="733" t="str">
        <f t="shared" si="92"/>
        <v>1+38643.0703132413i</v>
      </c>
      <c r="AK124" s="734">
        <f t="shared" si="93"/>
        <v>38643.070326180219</v>
      </c>
      <c r="AL124" s="735">
        <f t="shared" si="94"/>
        <v>1.5707704489339589</v>
      </c>
      <c r="AM124" s="340" t="str">
        <f t="shared" si="95"/>
        <v>1+65.581730590506i</v>
      </c>
      <c r="AN124" s="734">
        <f t="shared" si="96"/>
        <v>65.589354221898773</v>
      </c>
      <c r="AO124" s="735">
        <f t="shared" si="97"/>
        <v>1.5555493593881116</v>
      </c>
      <c r="AP124" s="733" t="str">
        <f t="shared" si="98"/>
        <v>1+3.18082203402368i</v>
      </c>
      <c r="AQ124" s="734">
        <f t="shared" si="99"/>
        <v>3.3343108451568431</v>
      </c>
      <c r="AR124" s="735">
        <f t="shared" si="100"/>
        <v>1.2661958683799903</v>
      </c>
      <c r="AS124" s="732" t="str">
        <f t="shared" si="101"/>
        <v>0.0642005264332904-35.8330351346103i</v>
      </c>
      <c r="AT124" s="337">
        <f t="shared" si="102"/>
        <v>35.833092647241749</v>
      </c>
      <c r="AU124" s="730">
        <f t="shared" si="103"/>
        <v>-1.56900467120399</v>
      </c>
      <c r="AV124" s="732" t="str">
        <f t="shared" si="104"/>
        <v>-8.25980767966264-0.524671898360411i</v>
      </c>
      <c r="AW124" s="337">
        <f t="shared" si="105"/>
        <v>18.356886916966367</v>
      </c>
      <c r="AX124" s="730">
        <f t="shared" si="106"/>
        <v>-176.36539345699239</v>
      </c>
      <c r="AY124" s="360">
        <f t="shared" si="107"/>
        <v>3.6346065430076067</v>
      </c>
      <c r="BB124" s="337">
        <f t="shared" si="108"/>
        <v>-8.9143141511240334</v>
      </c>
      <c r="BC124" s="730">
        <f t="shared" si="109"/>
        <v>-89.897345696300036</v>
      </c>
      <c r="BD124" s="351"/>
      <c r="BE124" s="337">
        <f t="shared" si="69"/>
        <v>43.362927061546046</v>
      </c>
      <c r="BF124" s="730">
        <f t="shared" si="70"/>
        <v>68.028006966180726</v>
      </c>
      <c r="BI124" s="351"/>
      <c r="BJ124" s="351"/>
      <c r="BL124" s="405">
        <f t="shared" si="71"/>
        <v>0</v>
      </c>
      <c r="BM124" s="405">
        <f t="shared" si="110"/>
        <v>0</v>
      </c>
      <c r="BN124" s="405">
        <f t="shared" si="73"/>
        <v>0</v>
      </c>
      <c r="BO124" s="405">
        <f t="shared" si="74"/>
        <v>0</v>
      </c>
    </row>
    <row r="125" spans="4:67" ht="13.5" thickBot="1" x14ac:dyDescent="0.25">
      <c r="D125" s="345">
        <v>6606.9</v>
      </c>
      <c r="E125" s="340" t="str">
        <f t="shared" si="60"/>
        <v>0.109592675295853i</v>
      </c>
      <c r="F125" s="728" t="str">
        <f t="shared" si="75"/>
        <v>0.005-0.394904936919886i</v>
      </c>
      <c r="G125" s="337" t="str">
        <f t="shared" si="76"/>
        <v>0.005-0.617671824413153i</v>
      </c>
      <c r="H125" s="338" t="str">
        <f t="shared" si="77"/>
        <v>0.251662574404795-0.487903823929236i</v>
      </c>
      <c r="I125" s="338" t="str">
        <f t="shared" si="78"/>
        <v>0.261662574404795-0.487903823929236i</v>
      </c>
      <c r="J125" s="337" t="str">
        <f t="shared" si="79"/>
        <v>0.0497911385773505-0.231810963156356i</v>
      </c>
      <c r="K125" s="338" t="str">
        <f t="shared" si="61"/>
        <v>0.999514987471-0.034593647505004i</v>
      </c>
      <c r="L125" s="732"/>
      <c r="M125" s="732" t="str">
        <f t="shared" si="62"/>
        <v>57.1770813497376+140.347965262326i</v>
      </c>
      <c r="N125" s="337">
        <f t="shared" si="63"/>
        <v>0</v>
      </c>
      <c r="O125" s="730" t="str">
        <f t="shared" si="64"/>
        <v>40.1778431200499+50.9692072514078i</v>
      </c>
      <c r="P125" s="731" t="str">
        <f t="shared" si="65"/>
        <v>35.3811089854277-6.26618931072636i</v>
      </c>
      <c r="Q125" s="729" t="str">
        <f t="shared" si="66"/>
        <v>34.9793305542272-6.7758813832404i</v>
      </c>
      <c r="R125" s="730"/>
      <c r="S125" s="405" t="str">
        <f t="shared" si="80"/>
        <v>38.3486194449909+4.15687165086969i</v>
      </c>
      <c r="T125" s="405" t="str">
        <f t="shared" si="81"/>
        <v>16.2733478103994-2.83887145002898i</v>
      </c>
      <c r="U125" s="405" t="str">
        <f t="shared" si="82"/>
        <v>2.71029636803708-8.65426632234289i</v>
      </c>
      <c r="V125" s="731" t="str">
        <f t="shared" si="67"/>
        <v>6000</v>
      </c>
      <c r="W125" s="733" t="str">
        <f>IMSUM(COMPLEX(1,0),IMDIV(COMPLEX(0,2*PI()*D125),COMPLEX(2*PI()*'Stability Calculations'!EA_Pole1,0)))</f>
        <v>1+41927.5007760649i</v>
      </c>
      <c r="X125" s="734">
        <f t="shared" si="83"/>
        <v>41927.500787990248</v>
      </c>
      <c r="Y125" s="735">
        <f t="shared" si="84"/>
        <v>1.5707724761006912</v>
      </c>
      <c r="Z125" s="340" t="str">
        <f>IMSUM(COMPLEX(1,0),IMDIV(COMPLEX(0,2*PI()*D125),COMPLEX(2*PI()*'Stability Calculations'!EA_Zero1,0)))</f>
        <v>1+415.123770060048i</v>
      </c>
      <c r="AA125" s="734">
        <f t="shared" si="85"/>
        <v>415.12497451835833</v>
      </c>
      <c r="AB125" s="735">
        <f t="shared" si="86"/>
        <v>1.5683874113392402</v>
      </c>
      <c r="AC125" s="733" t="str">
        <f>IMSUM(COMPLEX(1,0),IMDIV(COMPLEX(0,2*PI()*D125),COMPLEX(2*PI()*'Stability Calculations'!EA_Pole2,0)))</f>
        <v>1+4.18173108521587i</v>
      </c>
      <c r="AD125" s="734">
        <f t="shared" si="87"/>
        <v>4.2996365973254882</v>
      </c>
      <c r="AE125" s="735">
        <f t="shared" si="88"/>
        <v>1.33606900313558</v>
      </c>
      <c r="AF125" s="732" t="str">
        <f t="shared" si="89"/>
        <v>3.18136224946388-13.4452887041715i</v>
      </c>
      <c r="AG125" s="337">
        <f t="shared" si="90"/>
        <v>13.816542769478753</v>
      </c>
      <c r="AH125" s="730">
        <f t="shared" si="91"/>
        <v>-1.3384540678970309</v>
      </c>
      <c r="AI125" s="731" t="str">
        <f t="shared" si="68"/>
        <v>10000</v>
      </c>
      <c r="AJ125" s="733" t="str">
        <f t="shared" si="92"/>
        <v>1+39087.9711641003i</v>
      </c>
      <c r="AK125" s="734">
        <f t="shared" si="93"/>
        <v>39087.971176891959</v>
      </c>
      <c r="AL125" s="735">
        <f t="shared" si="94"/>
        <v>1.5707707434768066</v>
      </c>
      <c r="AM125" s="340" t="str">
        <f t="shared" si="95"/>
        <v>1+66.3367784555956i</v>
      </c>
      <c r="AN125" s="734">
        <f t="shared" si="96"/>
        <v>66.344315324425295</v>
      </c>
      <c r="AO125" s="735">
        <f t="shared" si="97"/>
        <v>1.5557228745439529</v>
      </c>
      <c r="AP125" s="733" t="str">
        <f t="shared" si="98"/>
        <v>1+3.21744310004915i</v>
      </c>
      <c r="AQ125" s="734">
        <f t="shared" si="99"/>
        <v>3.3692640297331828</v>
      </c>
      <c r="AR125" s="735">
        <f t="shared" si="100"/>
        <v>1.2694556658697653</v>
      </c>
      <c r="AS125" s="732" t="str">
        <f t="shared" si="101"/>
        <v>0.0627473823058233-35.4251846697019i</v>
      </c>
      <c r="AT125" s="337">
        <f t="shared" si="102"/>
        <v>35.425240240772801</v>
      </c>
      <c r="AU125" s="730">
        <f t="shared" si="103"/>
        <v>-1.569025063856673</v>
      </c>
      <c r="AV125" s="732" t="str">
        <f t="shared" si="104"/>
        <v>-8.0701137327554-0.496148053887589i</v>
      </c>
      <c r="AW125" s="337">
        <f t="shared" si="105"/>
        <v>18.153977414565102</v>
      </c>
      <c r="AX125" s="730">
        <f t="shared" si="106"/>
        <v>-176.48190155158946</v>
      </c>
      <c r="AY125" s="360">
        <f t="shared" si="107"/>
        <v>3.5180984484105409</v>
      </c>
      <c r="BB125" s="337">
        <f t="shared" si="108"/>
        <v>-9.0137439169448754</v>
      </c>
      <c r="BC125" s="730">
        <f t="shared" si="109"/>
        <v>-89.89851410923184</v>
      </c>
      <c r="BD125" s="351"/>
      <c r="BE125" s="337">
        <f t="shared" si="69"/>
        <v>43.610999209089741</v>
      </c>
      <c r="BF125" s="730">
        <f t="shared" si="70"/>
        <v>67.834256157612145</v>
      </c>
      <c r="BI125" s="351"/>
      <c r="BJ125" s="351"/>
      <c r="BL125" s="405">
        <f t="shared" si="71"/>
        <v>0</v>
      </c>
      <c r="BM125" s="405">
        <f t="shared" si="110"/>
        <v>0</v>
      </c>
      <c r="BN125" s="405">
        <f t="shared" si="73"/>
        <v>0</v>
      </c>
      <c r="BO125" s="405">
        <f t="shared" si="74"/>
        <v>0</v>
      </c>
    </row>
    <row r="126" spans="4:67" ht="13.5" thickBot="1" x14ac:dyDescent="0.25">
      <c r="D126" s="345">
        <v>6683.85</v>
      </c>
      <c r="E126" s="340" t="str">
        <f t="shared" si="60"/>
        <v>0.110869091824636i</v>
      </c>
      <c r="F126" s="728" t="str">
        <f t="shared" si="75"/>
        <v>0.005-0.390358465216303i</v>
      </c>
      <c r="G126" s="337" t="str">
        <f t="shared" si="76"/>
        <v>0.005-0.610560676363961i</v>
      </c>
      <c r="H126" s="338" t="str">
        <f t="shared" si="77"/>
        <v>0.247143894986266-0.484545003460394i</v>
      </c>
      <c r="I126" s="338" t="str">
        <f t="shared" si="78"/>
        <v>0.257143894986266-0.484545003460394i</v>
      </c>
      <c r="J126" s="337" t="str">
        <f t="shared" si="79"/>
        <v>0.0487840752883698-0.229338411718698i</v>
      </c>
      <c r="K126" s="338" t="str">
        <f t="shared" si="61"/>
        <v>0.99950362387975-0.0349965567628269i</v>
      </c>
      <c r="L126" s="732"/>
      <c r="M126" s="732" t="str">
        <f t="shared" si="62"/>
        <v>59.4388964343284+144.343939988696i</v>
      </c>
      <c r="N126" s="337">
        <f t="shared" si="63"/>
        <v>0</v>
      </c>
      <c r="O126" s="730" t="str">
        <f t="shared" si="64"/>
        <v>41.3787360440265+52.3439350314961i</v>
      </c>
      <c r="P126" s="731" t="str">
        <f t="shared" si="65"/>
        <v>36.0032815369365-6.58993646673259i</v>
      </c>
      <c r="Q126" s="729" t="str">
        <f t="shared" si="66"/>
        <v>35.5894941764963-7.11337581704759i</v>
      </c>
      <c r="R126" s="730"/>
      <c r="S126" s="405" t="str">
        <f t="shared" si="80"/>
        <v>38.3876969207371+4.09055014072904i</v>
      </c>
      <c r="T126" s="405" t="str">
        <f t="shared" si="81"/>
        <v>16.2572543624796-2.82662111818386i</v>
      </c>
      <c r="U126" s="405" t="str">
        <f t="shared" si="82"/>
        <v>2.64825602543404-8.57595352412258i</v>
      </c>
      <c r="V126" s="731" t="str">
        <f t="shared" si="67"/>
        <v>6000</v>
      </c>
      <c r="W126" s="733" t="str">
        <f>IMSUM(COMPLEX(1,0),IMDIV(COMPLEX(0,2*PI()*D126),COMPLEX(2*PI()*'Stability Calculations'!EA_Pole1,0)))</f>
        <v>1+42415.8267965462i</v>
      </c>
      <c r="X126" s="734">
        <f t="shared" si="83"/>
        <v>42415.826808334255</v>
      </c>
      <c r="Y126" s="735">
        <f t="shared" si="84"/>
        <v>1.5707727506895761</v>
      </c>
      <c r="Z126" s="340" t="str">
        <f>IMSUM(COMPLEX(1,0),IMDIV(COMPLEX(0,2*PI()*D126),COMPLEX(2*PI()*'Stability Calculations'!EA_Zero1,0)))</f>
        <v>1+419.958681153923i</v>
      </c>
      <c r="AA126" s="734">
        <f t="shared" si="85"/>
        <v>419.95987174555427</v>
      </c>
      <c r="AB126" s="735">
        <f t="shared" si="86"/>
        <v>1.5684151446575441</v>
      </c>
      <c r="AC126" s="733" t="str">
        <f>IMSUM(COMPLEX(1,0),IMDIV(COMPLEX(0,2*PI()*D126),COMPLEX(2*PI()*'Stability Calculations'!EA_Pole2,0)))</f>
        <v>1+4.23043535000077i</v>
      </c>
      <c r="AD126" s="734">
        <f t="shared" si="87"/>
        <v>4.3470200425735479</v>
      </c>
      <c r="AE126" s="735">
        <f t="shared" si="88"/>
        <v>1.3386748211970299</v>
      </c>
      <c r="AF126" s="732" t="str">
        <f t="shared" si="89"/>
        <v>3.11238518423442-13.3068003773634i</v>
      </c>
      <c r="AG126" s="337">
        <f t="shared" si="90"/>
        <v>13.665938599965999</v>
      </c>
      <c r="AH126" s="730">
        <f t="shared" si="91"/>
        <v>-1.3410324272290619</v>
      </c>
      <c r="AI126" s="731" t="str">
        <f t="shared" si="68"/>
        <v>10000</v>
      </c>
      <c r="AJ126" s="733" t="str">
        <f t="shared" si="92"/>
        <v>1+39543.2254257173i</v>
      </c>
      <c r="AK126" s="734">
        <f t="shared" si="93"/>
        <v>39543.225438361682</v>
      </c>
      <c r="AL126" s="735">
        <f t="shared" si="94"/>
        <v>1.5707710380130884</v>
      </c>
      <c r="AM126" s="340" t="str">
        <f t="shared" si="95"/>
        <v>1+67.1093972483969i</v>
      </c>
      <c r="AN126" s="734">
        <f t="shared" si="96"/>
        <v>67.116847356257296</v>
      </c>
      <c r="AO126" s="735">
        <f t="shared" si="97"/>
        <v>1.5558963867393227</v>
      </c>
      <c r="AP126" s="733" t="str">
        <f t="shared" si="98"/>
        <v>1+3.25491638503134i</v>
      </c>
      <c r="AQ126" s="734">
        <f t="shared" si="99"/>
        <v>3.4050669117574595</v>
      </c>
      <c r="AR126" s="735">
        <f t="shared" si="100"/>
        <v>1.2727220092753626</v>
      </c>
      <c r="AS126" s="732" t="str">
        <f t="shared" si="101"/>
        <v>0.0613109042207597-35.0173432085905i</v>
      </c>
      <c r="AT126" s="337">
        <f t="shared" si="102"/>
        <v>35.017396882338296</v>
      </c>
      <c r="AU126" s="730">
        <f t="shared" si="103"/>
        <v>-1.5690454560562166</v>
      </c>
      <c r="AV126" s="732" t="str">
        <f t="shared" si="104"/>
        <v>-7.88264333916516-0.468522521639873i</v>
      </c>
      <c r="AW126" s="337">
        <f t="shared" si="105"/>
        <v>17.948753187505318</v>
      </c>
      <c r="AX126" s="730">
        <f t="shared" si="106"/>
        <v>-176.59849913353011</v>
      </c>
      <c r="AY126" s="360">
        <f t="shared" si="107"/>
        <v>3.4015008664698883</v>
      </c>
      <c r="BB126" s="337">
        <f t="shared" si="108"/>
        <v>-9.1143228313309361</v>
      </c>
      <c r="BC126" s="730">
        <f t="shared" si="109"/>
        <v>-89.899682496200683</v>
      </c>
      <c r="BD126" s="351"/>
      <c r="BE126" s="337">
        <f t="shared" si="69"/>
        <v>43.868226559434078</v>
      </c>
      <c r="BF126" s="730">
        <f t="shared" si="70"/>
        <v>67.618793677223749</v>
      </c>
      <c r="BI126" s="351"/>
      <c r="BJ126" s="351"/>
      <c r="BL126" s="405">
        <f t="shared" si="71"/>
        <v>0</v>
      </c>
      <c r="BM126" s="405">
        <f t="shared" si="110"/>
        <v>0</v>
      </c>
      <c r="BN126" s="405">
        <f t="shared" si="73"/>
        <v>0</v>
      </c>
      <c r="BO126" s="405">
        <f t="shared" si="74"/>
        <v>0</v>
      </c>
    </row>
    <row r="127" spans="4:67" ht="13.5" thickBot="1" x14ac:dyDescent="0.25">
      <c r="D127" s="345">
        <v>6760.8</v>
      </c>
      <c r="E127" s="340" t="str">
        <f t="shared" si="60"/>
        <v>0.112145508353419i</v>
      </c>
      <c r="F127" s="728" t="str">
        <f t="shared" si="75"/>
        <v>0.005-0.385915487477221i</v>
      </c>
      <c r="G127" s="337" t="str">
        <f t="shared" si="76"/>
        <v>0.005-0.603611403490011i</v>
      </c>
      <c r="H127" s="338" t="str">
        <f t="shared" si="77"/>
        <v>0.242738257979061-0.481206788813139i</v>
      </c>
      <c r="I127" s="338" t="str">
        <f t="shared" si="78"/>
        <v>0.252738257979061-0.481206788813139i</v>
      </c>
      <c r="J127" s="337" t="str">
        <f t="shared" si="79"/>
        <v>0.0478095642463361-0.226915880696366i</v>
      </c>
      <c r="K127" s="338" t="str">
        <f t="shared" si="61"/>
        <v>0.999492128704-0.0353994660206498i</v>
      </c>
      <c r="L127" s="732"/>
      <c r="M127" s="732" t="str">
        <f t="shared" si="62"/>
        <v>61.857402654164+148.493240770963i</v>
      </c>
      <c r="N127" s="337">
        <f t="shared" si="63"/>
        <v>0</v>
      </c>
      <c r="O127" s="730" t="str">
        <f t="shared" si="64"/>
        <v>42.6545772948047+53.7656720862074i</v>
      </c>
      <c r="P127" s="731" t="str">
        <f t="shared" si="65"/>
        <v>36.6528499733063-6.93702986607335i</v>
      </c>
      <c r="Q127" s="729" t="str">
        <f t="shared" si="66"/>
        <v>36.2263042003582-7.47468658693539i</v>
      </c>
      <c r="R127" s="730"/>
      <c r="S127" s="405" t="str">
        <f t="shared" si="80"/>
        <v>38.4256071558208+4.02497262611853i</v>
      </c>
      <c r="T127" s="405" t="str">
        <f t="shared" si="81"/>
        <v>16.2416141221214-2.81466419266144i</v>
      </c>
      <c r="U127" s="405" t="str">
        <f t="shared" si="82"/>
        <v>2.58802560103393-8.49880165977089i</v>
      </c>
      <c r="V127" s="731" t="str">
        <f t="shared" si="67"/>
        <v>6000</v>
      </c>
      <c r="W127" s="733" t="str">
        <f>IMSUM(COMPLEX(1,0),IMDIV(COMPLEX(0,2*PI()*D127),COMPLEX(2*PI()*'Stability Calculations'!EA_Pole1,0)))</f>
        <v>1+42904.1528170275i</v>
      </c>
      <c r="X127" s="734">
        <f t="shared" si="83"/>
        <v>42904.152828681385</v>
      </c>
      <c r="Y127" s="735">
        <f t="shared" si="84"/>
        <v>1.5707730190278353</v>
      </c>
      <c r="Z127" s="340" t="str">
        <f>IMSUM(COMPLEX(1,0),IMDIV(COMPLEX(0,2*PI()*D127),COMPLEX(2*PI()*'Stability Calculations'!EA_Zero1,0)))</f>
        <v>1+424.793592247797i</v>
      </c>
      <c r="AA127" s="734">
        <f t="shared" si="85"/>
        <v>424.79476928840313</v>
      </c>
      <c r="AB127" s="735">
        <f t="shared" si="86"/>
        <v>1.5684422466698251</v>
      </c>
      <c r="AC127" s="733" t="str">
        <f>IMSUM(COMPLEX(1,0),IMDIV(COMPLEX(0,2*PI()*D127),COMPLEX(2*PI()*'Stability Calculations'!EA_Pole2,0)))</f>
        <v>1+4.27913961478566i</v>
      </c>
      <c r="AD127" s="734">
        <f t="shared" si="87"/>
        <v>4.3944323686715192</v>
      </c>
      <c r="AE127" s="735">
        <f t="shared" si="88"/>
        <v>1.3412244269758562</v>
      </c>
      <c r="AF127" s="732" t="str">
        <f t="shared" si="89"/>
        <v>3.04558730798066-13.1709552823603i</v>
      </c>
      <c r="AG127" s="337">
        <f t="shared" si="90"/>
        <v>13.518493447883444</v>
      </c>
      <c r="AH127" s="730">
        <f t="shared" si="91"/>
        <v>-1.3435551993338664</v>
      </c>
      <c r="AI127" s="731" t="str">
        <f t="shared" si="68"/>
        <v>10000</v>
      </c>
      <c r="AJ127" s="733" t="str">
        <f t="shared" si="92"/>
        <v>1+39998.4796873343i</v>
      </c>
      <c r="AK127" s="734">
        <f t="shared" si="93"/>
        <v>39998.479699834774</v>
      </c>
      <c r="AL127" s="735">
        <f t="shared" si="94"/>
        <v>1.5707713258446703</v>
      </c>
      <c r="AM127" s="340" t="str">
        <f t="shared" si="95"/>
        <v>1+67.8820160411979i</v>
      </c>
      <c r="AN127" s="734">
        <f t="shared" si="96"/>
        <v>67.889381362753994</v>
      </c>
      <c r="AO127" s="735">
        <f t="shared" si="97"/>
        <v>1.5560659500431646</v>
      </c>
      <c r="AP127" s="733" t="str">
        <f t="shared" si="98"/>
        <v>1+3.29238967001351i</v>
      </c>
      <c r="AQ127" s="734">
        <f t="shared" si="99"/>
        <v>3.4409053662098397</v>
      </c>
      <c r="AR127" s="735">
        <f t="shared" si="100"/>
        <v>1.2759203455757175</v>
      </c>
      <c r="AS127" s="732" t="str">
        <f t="shared" si="101"/>
        <v>0.0599231953399322-34.6187855940861i</v>
      </c>
      <c r="AT127" s="337">
        <f t="shared" si="102"/>
        <v>34.618837455908931</v>
      </c>
      <c r="AU127" s="730">
        <f t="shared" si="103"/>
        <v>-1.5690653840577369</v>
      </c>
      <c r="AV127" s="732" t="str">
        <f t="shared" si="104"/>
        <v>-7.7015867586288-0.44237806404094i</v>
      </c>
      <c r="AW127" s="337">
        <f t="shared" si="105"/>
        <v>17.745909497191686</v>
      </c>
      <c r="AX127" s="730">
        <f t="shared" si="106"/>
        <v>-176.7125507474635</v>
      </c>
      <c r="AY127" s="360">
        <f t="shared" si="107"/>
        <v>3.2874492525365042</v>
      </c>
      <c r="BB127" s="337">
        <f t="shared" si="108"/>
        <v>-9.2137504074106502</v>
      </c>
      <c r="BC127" s="730">
        <f t="shared" si="109"/>
        <v>-89.900824286581923</v>
      </c>
      <c r="BD127" s="351"/>
      <c r="BE127" s="337">
        <f t="shared" si="69"/>
        <v>44.129068906183591</v>
      </c>
      <c r="BF127" s="730">
        <f t="shared" si="70"/>
        <v>67.384994768185933</v>
      </c>
      <c r="BI127" s="351"/>
      <c r="BJ127" s="351"/>
      <c r="BL127" s="405">
        <f t="shared" si="71"/>
        <v>0</v>
      </c>
      <c r="BM127" s="405">
        <f t="shared" si="110"/>
        <v>0</v>
      </c>
      <c r="BN127" s="405">
        <f t="shared" si="73"/>
        <v>0</v>
      </c>
      <c r="BO127" s="405">
        <f t="shared" si="74"/>
        <v>0</v>
      </c>
    </row>
    <row r="128" spans="4:67" ht="13.5" thickBot="1" x14ac:dyDescent="0.25">
      <c r="D128" s="345">
        <v>6839.55</v>
      </c>
      <c r="E128" s="340" t="str">
        <f t="shared" si="60"/>
        <v>0.113451782578781i</v>
      </c>
      <c r="F128" s="728" t="str">
        <f t="shared" si="75"/>
        <v>0.005-0.381472089207037i</v>
      </c>
      <c r="G128" s="337" t="str">
        <f t="shared" si="76"/>
        <v>0.005-0.596661472862287i</v>
      </c>
      <c r="H128" s="338" t="str">
        <f t="shared" si="77"/>
        <v>0.238343104296679-0.477812805724056i</v>
      </c>
      <c r="I128" s="338" t="str">
        <f t="shared" si="78"/>
        <v>0.248343104296679-0.477812805724056i</v>
      </c>
      <c r="J128" s="337" t="str">
        <f t="shared" si="79"/>
        <v>0.0468445311123129-0.224486981904567i</v>
      </c>
      <c r="K128" s="338" t="str">
        <f t="shared" si="61"/>
        <v>0.99948022839775-0.0358118000564335i</v>
      </c>
      <c r="L128" s="732"/>
      <c r="M128" s="732" t="str">
        <f t="shared" si="62"/>
        <v>64.5098168308712+152.907077949234i</v>
      </c>
      <c r="N128" s="337">
        <f t="shared" si="63"/>
        <v>0</v>
      </c>
      <c r="O128" s="730" t="str">
        <f t="shared" si="64"/>
        <v>44.0445405859501+55.2714835379887i</v>
      </c>
      <c r="P128" s="731" t="str">
        <f t="shared" si="65"/>
        <v>37.3475805622532-7.31875371329298i</v>
      </c>
      <c r="Q128" s="729" t="str">
        <f t="shared" si="66"/>
        <v>36.9071351563937-7.87146854867286i</v>
      </c>
      <c r="R128" s="730"/>
      <c r="S128" s="405" t="str">
        <f t="shared" si="80"/>
        <v>38.4632402559312+3.9586203436402i</v>
      </c>
      <c r="T128" s="405" t="str">
        <f t="shared" si="81"/>
        <v>16.2260596546653-2.80272696922432i</v>
      </c>
      <c r="U128" s="405" t="str">
        <f t="shared" si="82"/>
        <v>2.52819059175248-8.42102973578248i</v>
      </c>
      <c r="V128" s="731" t="str">
        <f t="shared" si="67"/>
        <v>6000</v>
      </c>
      <c r="W128" s="733" t="str">
        <f>IMSUM(COMPLEX(1,0),IMDIV(COMPLEX(0,2*PI()*D128),COMPLEX(2*PI()*'Stability Calculations'!EA_Pole1,0)))</f>
        <v>1+43403.9016683973i</v>
      </c>
      <c r="X128" s="734">
        <f t="shared" si="83"/>
        <v>43403.901679917006</v>
      </c>
      <c r="Y128" s="735">
        <f t="shared" si="84"/>
        <v>1.5707732873914932</v>
      </c>
      <c r="Z128" s="340" t="str">
        <f>IMSUM(COMPLEX(1,0),IMDIV(COMPLEX(0,2*PI()*D128),COMPLEX(2*PI()*'Stability Calculations'!EA_Zero1,0)))</f>
        <v>1+429.741600677201i</v>
      </c>
      <c r="AA128" s="734">
        <f t="shared" si="85"/>
        <v>429.7427641654981</v>
      </c>
      <c r="AB128" s="735">
        <f t="shared" si="86"/>
        <v>1.5684693512507903</v>
      </c>
      <c r="AC128" s="733" t="str">
        <f>IMSUM(COMPLEX(1,0),IMDIV(COMPLEX(0,2*PI()*D128),COMPLEX(2*PI()*'Stability Calculations'!EA_Pole2,0)))</f>
        <v>1+4.32898316061817i</v>
      </c>
      <c r="AD128" s="734">
        <f t="shared" si="87"/>
        <v>4.4429826923943434</v>
      </c>
      <c r="AE128" s="735">
        <f t="shared" si="88"/>
        <v>1.3437773163486695</v>
      </c>
      <c r="AF128" s="732" t="str">
        <f t="shared" si="89"/>
        <v>2.97939016921938-13.0345976144045i</v>
      </c>
      <c r="AG128" s="337">
        <f t="shared" si="90"/>
        <v>13.370770387299327</v>
      </c>
      <c r="AH128" s="730">
        <f t="shared" si="91"/>
        <v>-1.3460812524893717</v>
      </c>
      <c r="AI128" s="731" t="str">
        <f t="shared" si="68"/>
        <v>10000</v>
      </c>
      <c r="AJ128" s="733" t="str">
        <f t="shared" si="92"/>
        <v>1+40464.3831714453i</v>
      </c>
      <c r="AK128" s="734">
        <f t="shared" si="93"/>
        <v>40464.383183801838</v>
      </c>
      <c r="AL128" s="735">
        <f t="shared" si="94"/>
        <v>1.5707716137034957</v>
      </c>
      <c r="AM128" s="340" t="str">
        <f t="shared" si="95"/>
        <v>1+68.6727077882167i</v>
      </c>
      <c r="AN128" s="734">
        <f t="shared" si="96"/>
        <v>68.679988315125669</v>
      </c>
      <c r="AO128" s="735">
        <f t="shared" si="97"/>
        <v>1.5562355302435302</v>
      </c>
      <c r="AP128" s="733" t="str">
        <f t="shared" si="98"/>
        <v>1+3.33073952306546i</v>
      </c>
      <c r="AQ128" s="734">
        <f t="shared" si="99"/>
        <v>3.4776178298528335</v>
      </c>
      <c r="AR128" s="735">
        <f t="shared" si="100"/>
        <v>1.2791252114979501</v>
      </c>
      <c r="AS128" s="732" t="str">
        <f t="shared" si="101"/>
        <v>0.058551242187279-34.2201901733117i</v>
      </c>
      <c r="AT128" s="337">
        <f t="shared" si="102"/>
        <v>34.220240264287746</v>
      </c>
      <c r="AU128" s="730">
        <f t="shared" si="103"/>
        <v>-1.5690853139468321</v>
      </c>
      <c r="AV128" s="732" t="str">
        <f t="shared" si="104"/>
        <v>-7.5226369394001-0.417058974275372i</v>
      </c>
      <c r="AW128" s="337">
        <f t="shared" si="105"/>
        <v>17.54073027414821</v>
      </c>
      <c r="AX128" s="730">
        <f t="shared" si="106"/>
        <v>-176.82674015768799</v>
      </c>
      <c r="AY128" s="360">
        <f t="shared" si="107"/>
        <v>3.1732598423120066</v>
      </c>
      <c r="BB128" s="337">
        <f t="shared" si="108"/>
        <v>-9.3143389110427108</v>
      </c>
      <c r="BC128" s="730">
        <f t="shared" si="109"/>
        <v>-89.901966185113253</v>
      </c>
      <c r="BD128" s="351"/>
      <c r="BE128" s="337">
        <f t="shared" si="69"/>
        <v>44.399969081627759</v>
      </c>
      <c r="BF128" s="730">
        <f t="shared" si="70"/>
        <v>67.125653031785703</v>
      </c>
      <c r="BI128" s="351"/>
      <c r="BJ128" s="351"/>
      <c r="BL128" s="405">
        <f t="shared" si="71"/>
        <v>0</v>
      </c>
      <c r="BM128" s="405">
        <f t="shared" si="110"/>
        <v>0</v>
      </c>
      <c r="BN128" s="405">
        <f t="shared" si="73"/>
        <v>0</v>
      </c>
      <c r="BO128" s="405">
        <f t="shared" si="74"/>
        <v>0</v>
      </c>
    </row>
    <row r="129" spans="4:67" ht="13.5" thickBot="1" x14ac:dyDescent="0.25">
      <c r="D129" s="345">
        <v>6918.3</v>
      </c>
      <c r="E129" s="340" t="str">
        <f t="shared" si="60"/>
        <v>0.114758056804144i</v>
      </c>
      <c r="F129" s="728" t="str">
        <f t="shared" si="75"/>
        <v>0.005-0.377129848045906i</v>
      </c>
      <c r="G129" s="337" t="str">
        <f t="shared" si="76"/>
        <v>0.005-0.589869762328212i</v>
      </c>
      <c r="H129" s="338" t="str">
        <f t="shared" si="77"/>
        <v>0.234059346498222-0.474442302654616i</v>
      </c>
      <c r="I129" s="338" t="str">
        <f t="shared" si="78"/>
        <v>0.244059346498222-0.474442302654616i</v>
      </c>
      <c r="J129" s="337" t="str">
        <f t="shared" si="79"/>
        <v>0.0459107627821151-0.222107499868744i</v>
      </c>
      <c r="K129" s="338" t="str">
        <f t="shared" si="61"/>
        <v>0.999468190279-0.0362241340922171i</v>
      </c>
      <c r="L129" s="732"/>
      <c r="M129" s="732" t="str">
        <f t="shared" si="62"/>
        <v>67.3588168658673+157.499702419627i</v>
      </c>
      <c r="N129" s="337">
        <f t="shared" si="63"/>
        <v>0</v>
      </c>
      <c r="O129" s="730" t="str">
        <f t="shared" si="64"/>
        <v>45.5273153748794+56.83092086821i</v>
      </c>
      <c r="P129" s="731" t="str">
        <f t="shared" si="65"/>
        <v>38.0743597969074-7.72996693215313i</v>
      </c>
      <c r="Q129" s="729" t="str">
        <f t="shared" si="66"/>
        <v>37.6190866431586-8.29827614083523i</v>
      </c>
      <c r="R129" s="730"/>
      <c r="S129" s="405" t="str">
        <f t="shared" si="80"/>
        <v>38.4997394391752+3.89302457919901i</v>
      </c>
      <c r="T129" s="405" t="str">
        <f t="shared" si="81"/>
        <v>16.2109448733877-2.79108807062472i</v>
      </c>
      <c r="U129" s="405" t="str">
        <f t="shared" si="82"/>
        <v>2.47011291204481-8.34443826376647i</v>
      </c>
      <c r="V129" s="731" t="str">
        <f t="shared" si="67"/>
        <v>6000</v>
      </c>
      <c r="W129" s="733" t="str">
        <f>IMSUM(COMPLEX(1,0),IMDIV(COMPLEX(0,2*PI()*D129),COMPLEX(2*PI()*'Stability Calculations'!EA_Pole1,0)))</f>
        <v>1+43903.6505197671i</v>
      </c>
      <c r="X129" s="734">
        <f t="shared" si="83"/>
        <v>43903.650531155668</v>
      </c>
      <c r="Y129" s="735">
        <f t="shared" si="84"/>
        <v>1.5707735496456621</v>
      </c>
      <c r="Z129" s="340" t="str">
        <f>IMSUM(COMPLEX(1,0),IMDIV(COMPLEX(0,2*PI()*D129),COMPLEX(2*PI()*'Stability Calculations'!EA_Zero1,0)))</f>
        <v>1+434.689609106605i</v>
      </c>
      <c r="AA129" s="734">
        <f t="shared" si="85"/>
        <v>434.69075935111971</v>
      </c>
      <c r="AB129" s="735">
        <f t="shared" si="86"/>
        <v>1.568495838780074</v>
      </c>
      <c r="AC129" s="733" t="str">
        <f>IMSUM(COMPLEX(1,0),IMDIV(COMPLEX(0,2*PI()*D129),COMPLEX(2*PI()*'Stability Calculations'!EA_Pole2,0)))</f>
        <v>1+4.37882670645067i</v>
      </c>
      <c r="AD129" s="734">
        <f t="shared" si="87"/>
        <v>4.4915613460271935</v>
      </c>
      <c r="AE129" s="735">
        <f t="shared" si="88"/>
        <v>1.346274999961991</v>
      </c>
      <c r="AF129" s="732" t="str">
        <f t="shared" si="89"/>
        <v>2.91529126563559-12.9008650484332i</v>
      </c>
      <c r="AG129" s="337">
        <f t="shared" si="90"/>
        <v>13.226157497980148</v>
      </c>
      <c r="AH129" s="730">
        <f t="shared" si="91"/>
        <v>-1.3485527108275788</v>
      </c>
      <c r="AI129" s="731" t="str">
        <f t="shared" si="68"/>
        <v>10000</v>
      </c>
      <c r="AJ129" s="733" t="str">
        <f t="shared" si="92"/>
        <v>1+40930.2866555563i</v>
      </c>
      <c r="AK129" s="734">
        <f t="shared" si="93"/>
        <v>40930.28666777219</v>
      </c>
      <c r="AL129" s="735">
        <f t="shared" si="94"/>
        <v>1.570771895009011</v>
      </c>
      <c r="AM129" s="340" t="str">
        <f t="shared" si="95"/>
        <v>1+69.4633995352355i</v>
      </c>
      <c r="AN129" s="734">
        <f t="shared" si="96"/>
        <v>69.470597197604064</v>
      </c>
      <c r="AO129" s="735">
        <f t="shared" si="97"/>
        <v>1.5564012506397282</v>
      </c>
      <c r="AP129" s="733" t="str">
        <f t="shared" si="98"/>
        <v>1+3.3690893761174i</v>
      </c>
      <c r="AQ129" s="734">
        <f t="shared" si="99"/>
        <v>3.5143652661991651</v>
      </c>
      <c r="AR129" s="735">
        <f t="shared" si="100"/>
        <v>1.2822630866855131</v>
      </c>
      <c r="AS129" s="732" t="str">
        <f t="shared" si="101"/>
        <v>0.0572258719245627-33.8306689808351i</v>
      </c>
      <c r="AT129" s="337">
        <f t="shared" si="102"/>
        <v>33.830717380677221</v>
      </c>
      <c r="AU129" s="730">
        <f t="shared" si="103"/>
        <v>-1.5691047901191983</v>
      </c>
      <c r="AV129" s="732" t="str">
        <f t="shared" si="104"/>
        <v>-7.34981477829337-0.393102205612802i</v>
      </c>
      <c r="AW129" s="337">
        <f t="shared" si="105"/>
        <v>17.337933614621125</v>
      </c>
      <c r="AX129" s="730">
        <f t="shared" si="106"/>
        <v>-176.93847284744234</v>
      </c>
      <c r="AY129" s="360">
        <f t="shared" si="107"/>
        <v>3.0615271525576588</v>
      </c>
      <c r="BB129" s="337">
        <f t="shared" si="108"/>
        <v>-9.4137758579168587</v>
      </c>
      <c r="BC129" s="730">
        <f t="shared" si="109"/>
        <v>-89.903082087590903</v>
      </c>
      <c r="BD129" s="351"/>
      <c r="BE129" s="337">
        <f t="shared" si="69"/>
        <v>44.675099376010941</v>
      </c>
      <c r="BF129" s="730">
        <f t="shared" si="70"/>
        <v>66.844774758870244</v>
      </c>
      <c r="BI129" s="351"/>
      <c r="BJ129" s="351"/>
      <c r="BL129" s="405">
        <f t="shared" si="71"/>
        <v>0</v>
      </c>
      <c r="BM129" s="405">
        <f t="shared" si="110"/>
        <v>0</v>
      </c>
      <c r="BN129" s="405">
        <f t="shared" si="73"/>
        <v>0</v>
      </c>
      <c r="BO129" s="405">
        <f t="shared" si="74"/>
        <v>0</v>
      </c>
    </row>
    <row r="130" spans="4:67" ht="13.5" thickBot="1" x14ac:dyDescent="0.25">
      <c r="D130" s="345">
        <v>6998.9</v>
      </c>
      <c r="E130" s="340" t="str">
        <f t="shared" si="60"/>
        <v>0.116095018106547i</v>
      </c>
      <c r="F130" s="728" t="str">
        <f t="shared" si="75"/>
        <v>0.005-0.372786784742744i</v>
      </c>
      <c r="G130" s="337" t="str">
        <f t="shared" si="76"/>
        <v>0.005-0.583076765879676i</v>
      </c>
      <c r="H130" s="338" t="str">
        <f t="shared" si="77"/>
        <v>0.229786788693552-0.471017785178959i</v>
      </c>
      <c r="I130" s="338" t="str">
        <f t="shared" si="78"/>
        <v>0.239786788693552-0.471017785178959i</v>
      </c>
      <c r="J130" s="337" t="str">
        <f t="shared" si="79"/>
        <v>0.0449860559974985-0.219721805904493i</v>
      </c>
      <c r="K130" s="338" t="str">
        <f t="shared" si="61"/>
        <v>0.999455726653222-0.0366461547053493i</v>
      </c>
      <c r="L130" s="732"/>
      <c r="M130" s="732" t="str">
        <f t="shared" si="62"/>
        <v>70.4985931101525+162.395715434261i</v>
      </c>
      <c r="N130" s="337">
        <f t="shared" si="63"/>
        <v>0</v>
      </c>
      <c r="O130" s="730" t="str">
        <f t="shared" si="64"/>
        <v>47.1498854111904+58.4848699572598i</v>
      </c>
      <c r="P130" s="731" t="str">
        <f t="shared" si="65"/>
        <v>38.8533335237662-8.18453544360924i</v>
      </c>
      <c r="Q130" s="729" t="str">
        <f t="shared" si="66"/>
        <v>38.3818346696543-8.76938414318186i</v>
      </c>
      <c r="R130" s="730"/>
      <c r="S130" s="405" t="str">
        <f t="shared" si="80"/>
        <v>38.5359655674936+3.82665903573164i</v>
      </c>
      <c r="T130" s="405" t="str">
        <f t="shared" si="81"/>
        <v>16.195913064573-2.7794798541797i</v>
      </c>
      <c r="U130" s="405" t="str">
        <f t="shared" si="82"/>
        <v>2.41242240820292-8.26725085055652i</v>
      </c>
      <c r="V130" s="731" t="str">
        <f t="shared" si="67"/>
        <v>6000</v>
      </c>
      <c r="W130" s="733" t="str">
        <f>IMSUM(COMPLEX(1,0),IMDIV(COMPLEX(0,2*PI()*D130),COMPLEX(2*PI()*'Stability Calculations'!EA_Pole1,0)))</f>
        <v>1+44415.1395028834i</v>
      </c>
      <c r="X130" s="734">
        <f t="shared" si="83"/>
        <v>44415.139514140821</v>
      </c>
      <c r="Y130" s="735">
        <f t="shared" si="84"/>
        <v>1.5707738119494852</v>
      </c>
      <c r="Z130" s="340" t="str">
        <f>IMSUM(COMPLEX(1,0),IMDIV(COMPLEX(0,2*PI()*D130),COMPLEX(2*PI()*'Stability Calculations'!EA_Zero1,0)))</f>
        <v>1+439.753856464192i</v>
      </c>
      <c r="AA130" s="734">
        <f t="shared" si="85"/>
        <v>439.7549934624156</v>
      </c>
      <c r="AB130" s="735">
        <f t="shared" si="86"/>
        <v>1.5685223313276262</v>
      </c>
      <c r="AC130" s="733" t="str">
        <f>IMSUM(COMPLEX(1,0),IMDIV(COMPLEX(0,2*PI()*D130),COMPLEX(2*PI()*'Stability Calculations'!EA_Pole2,0)))</f>
        <v>1+4.42984118002654i</v>
      </c>
      <c r="AD130" s="734">
        <f t="shared" si="87"/>
        <v>4.5413095996924637</v>
      </c>
      <c r="AE130" s="735">
        <f t="shared" si="88"/>
        <v>1.3487760098917259</v>
      </c>
      <c r="AF130" s="732" t="str">
        <f t="shared" si="89"/>
        <v>2.85176937740299-12.7666369808123i</v>
      </c>
      <c r="AG130" s="337">
        <f t="shared" si="90"/>
        <v>13.081269371958427</v>
      </c>
      <c r="AH130" s="730">
        <f t="shared" si="91"/>
        <v>-1.3510274905135846</v>
      </c>
      <c r="AI130" s="731" t="str">
        <f t="shared" si="68"/>
        <v>10000</v>
      </c>
      <c r="AJ130" s="733" t="str">
        <f t="shared" si="92"/>
        <v>1+41407.1351738972i</v>
      </c>
      <c r="AK130" s="734">
        <f t="shared" si="93"/>
        <v>41407.135185972416</v>
      </c>
      <c r="AL130" s="735">
        <f t="shared" si="94"/>
        <v>1.5707721763677878</v>
      </c>
      <c r="AM130" s="340" t="str">
        <f t="shared" si="95"/>
        <v>1+70.2726662629779i</v>
      </c>
      <c r="AN130" s="734">
        <f t="shared" si="96"/>
        <v>70.27978104482024</v>
      </c>
      <c r="AO130" s="735">
        <f t="shared" si="97"/>
        <v>1.5565670032036962</v>
      </c>
      <c r="AP130" s="733" t="str">
        <f t="shared" si="98"/>
        <v>1+3.40834014635215i</v>
      </c>
      <c r="AQ130" s="734">
        <f t="shared" si="99"/>
        <v>3.5520110575891786</v>
      </c>
      <c r="AR130" s="735">
        <f t="shared" si="100"/>
        <v>1.2854074135921987</v>
      </c>
      <c r="AS130" s="732" t="str">
        <f t="shared" si="101"/>
        <v>0.055915427710022-33.4410739610047i</v>
      </c>
      <c r="AT130" s="337">
        <f t="shared" si="102"/>
        <v>33.441120707901561</v>
      </c>
      <c r="AU130" s="730">
        <f t="shared" si="103"/>
        <v>-1.5691242699803862</v>
      </c>
      <c r="AV130" s="732" t="str">
        <f t="shared" si="104"/>
        <v>-7.17899208660594-0.369904398341261i</v>
      </c>
      <c r="AW130" s="337">
        <f t="shared" si="105"/>
        <v>17.13278440042431</v>
      </c>
      <c r="AX130" s="730">
        <f t="shared" si="106"/>
        <v>-177.050388926784</v>
      </c>
      <c r="AY130" s="360">
        <f t="shared" si="107"/>
        <v>2.9496110732160048</v>
      </c>
      <c r="BB130" s="337">
        <f t="shared" si="108"/>
        <v>-9.5143835307000462</v>
      </c>
      <c r="BC130" s="730">
        <f t="shared" si="109"/>
        <v>-89.904198201422474</v>
      </c>
      <c r="BD130" s="351"/>
      <c r="BE130" s="337">
        <f t="shared" si="69"/>
        <v>44.961325263249172</v>
      </c>
      <c r="BF130" s="730">
        <f t="shared" si="70"/>
        <v>66.533559494040048</v>
      </c>
      <c r="BI130" s="351"/>
      <c r="BJ130" s="351"/>
      <c r="BL130" s="405">
        <f t="shared" si="71"/>
        <v>0</v>
      </c>
      <c r="BM130" s="405">
        <f t="shared" si="110"/>
        <v>0</v>
      </c>
      <c r="BN130" s="405">
        <f t="shared" si="73"/>
        <v>0</v>
      </c>
      <c r="BO130" s="405">
        <f t="shared" si="74"/>
        <v>0</v>
      </c>
    </row>
    <row r="131" spans="4:67" ht="13.5" thickBot="1" x14ac:dyDescent="0.25">
      <c r="D131" s="345">
        <v>7079.5</v>
      </c>
      <c r="E131" s="340" t="str">
        <f t="shared" si="60"/>
        <v>0.11743197940895i</v>
      </c>
      <c r="F131" s="728" t="str">
        <f t="shared" si="75"/>
        <v>0.005-0.368542612859099i</v>
      </c>
      <c r="G131" s="337" t="str">
        <f t="shared" si="76"/>
        <v>0.005-0.576438445753974i</v>
      </c>
      <c r="H131" s="338" t="str">
        <f t="shared" si="77"/>
        <v>0.225623894322266-0.467619499617395i</v>
      </c>
      <c r="I131" s="338" t="str">
        <f t="shared" si="78"/>
        <v>0.235623894322266-0.467619499617395i</v>
      </c>
      <c r="J131" s="337" t="str">
        <f t="shared" si="79"/>
        <v>0.0440913757710693-0.217384916839818i</v>
      </c>
      <c r="K131" s="338" t="str">
        <f t="shared" si="61"/>
        <v>0.999443118663889-0.0370681753184816i</v>
      </c>
      <c r="L131" s="732"/>
      <c r="M131" s="732" t="str">
        <f t="shared" si="62"/>
        <v>73.8880754306635+167.500561079209i</v>
      </c>
      <c r="N131" s="337">
        <f t="shared" si="63"/>
        <v>0</v>
      </c>
      <c r="O131" s="730" t="str">
        <f t="shared" si="64"/>
        <v>48.8887219065549+60.1997380746805i</v>
      </c>
      <c r="P131" s="731" t="str">
        <f t="shared" si="65"/>
        <v>39.6699224396413-8.67682295254062i</v>
      </c>
      <c r="Q131" s="729" t="str">
        <f t="shared" si="66"/>
        <v>39.1810352205758-9.27882033328746i</v>
      </c>
      <c r="R131" s="730"/>
      <c r="S131" s="405" t="str">
        <f t="shared" si="80"/>
        <v>38.5710906398412+3.76106113794154i</v>
      </c>
      <c r="T131" s="405" t="str">
        <f t="shared" si="81"/>
        <v>16.1813075845008-2.76817432836632i</v>
      </c>
      <c r="U131" s="405" t="str">
        <f t="shared" si="82"/>
        <v>2.35643733815711-8.19126122794838i</v>
      </c>
      <c r="V131" s="731" t="str">
        <f t="shared" si="67"/>
        <v>6000</v>
      </c>
      <c r="W131" s="733" t="str">
        <f>IMSUM(COMPLEX(1,0),IMDIV(COMPLEX(0,2*PI()*D131),COMPLEX(2*PI()*'Stability Calculations'!EA_Pole1,0)))</f>
        <v>1+44926.6284859997i</v>
      </c>
      <c r="X131" s="734">
        <f t="shared" si="83"/>
        <v>44926.628497128957</v>
      </c>
      <c r="Y131" s="735">
        <f t="shared" si="84"/>
        <v>1.5707740682806584</v>
      </c>
      <c r="Z131" s="340" t="str">
        <f>IMSUM(COMPLEX(1,0),IMDIV(COMPLEX(0,2*PI()*D131),COMPLEX(2*PI()*'Stability Calculations'!EA_Zero1,0)))</f>
        <v>1+444.818103821779i</v>
      </c>
      <c r="AA131" s="734">
        <f t="shared" si="85"/>
        <v>444.81922787532807</v>
      </c>
      <c r="AB131" s="735">
        <f t="shared" si="86"/>
        <v>1.5685482206437593</v>
      </c>
      <c r="AC131" s="733" t="str">
        <f>IMSUM(COMPLEX(1,0),IMDIV(COMPLEX(0,2*PI()*D131),COMPLEX(2*PI()*'Stability Calculations'!EA_Pole2,0)))</f>
        <v>1+4.48085565360241i</v>
      </c>
      <c r="AD131" s="734">
        <f t="shared" si="87"/>
        <v>4.5910856437688761</v>
      </c>
      <c r="AE131" s="735">
        <f t="shared" si="88"/>
        <v>1.3512228035034812</v>
      </c>
      <c r="AF131" s="732" t="str">
        <f t="shared" si="89"/>
        <v>2.79026745189809-12.635014484312i</v>
      </c>
      <c r="AG131" s="337">
        <f t="shared" si="90"/>
        <v>12.939442935145852</v>
      </c>
      <c r="AH131" s="730">
        <f t="shared" si="91"/>
        <v>-1.3534486511403807</v>
      </c>
      <c r="AI131" s="731" t="str">
        <f t="shared" si="68"/>
        <v>10000</v>
      </c>
      <c r="AJ131" s="733" t="str">
        <f t="shared" si="92"/>
        <v>1+41883.9836922381i</v>
      </c>
      <c r="AK131" s="734">
        <f t="shared" si="93"/>
        <v>41883.983704175836</v>
      </c>
      <c r="AL131" s="735">
        <f t="shared" si="94"/>
        <v>1.5707724513200336</v>
      </c>
      <c r="AM131" s="340" t="str">
        <f t="shared" si="95"/>
        <v>1+71.0819329907203i</v>
      </c>
      <c r="AN131" s="734">
        <f t="shared" si="96"/>
        <v>71.088966778940119</v>
      </c>
      <c r="AO131" s="735">
        <f t="shared" si="97"/>
        <v>1.5567289823423058</v>
      </c>
      <c r="AP131" s="733" t="str">
        <f t="shared" si="98"/>
        <v>1+3.4475909165869i</v>
      </c>
      <c r="AQ131" s="734">
        <f t="shared" si="99"/>
        <v>3.5896912301941097</v>
      </c>
      <c r="AR131" s="735">
        <f t="shared" si="100"/>
        <v>1.2884857598347161</v>
      </c>
      <c r="AS131" s="732" t="str">
        <f t="shared" si="101"/>
        <v>0.0546494862175004-33.0603499343801i</v>
      </c>
      <c r="AT131" s="337">
        <f t="shared" si="102"/>
        <v>33.060395102751116</v>
      </c>
      <c r="AU131" s="730">
        <f t="shared" si="103"/>
        <v>-1.5691433062869524</v>
      </c>
      <c r="AV131" s="732" t="str">
        <f t="shared" si="104"/>
        <v>-7.01402381011841-0.347959624270904i</v>
      </c>
      <c r="AW131" s="337">
        <f t="shared" si="105"/>
        <v>16.930019858934124</v>
      </c>
      <c r="AX131" s="730">
        <f t="shared" si="106"/>
        <v>-177.15993451842692</v>
      </c>
      <c r="AY131" s="360">
        <f t="shared" si="107"/>
        <v>2.8400654815730775</v>
      </c>
      <c r="BB131" s="337">
        <f t="shared" si="108"/>
        <v>-9.6138392101376162</v>
      </c>
      <c r="BC131" s="730">
        <f t="shared" si="109"/>
        <v>-89.905288901446227</v>
      </c>
      <c r="BD131" s="351"/>
      <c r="BE131" s="337">
        <f t="shared" si="69"/>
        <v>45.25250700053698</v>
      </c>
      <c r="BF131" s="730">
        <f t="shared" si="70"/>
        <v>66.196699649220548</v>
      </c>
      <c r="BI131" s="351"/>
      <c r="BJ131" s="351"/>
      <c r="BL131" s="405">
        <f t="shared" si="71"/>
        <v>0</v>
      </c>
      <c r="BM131" s="405">
        <f t="shared" si="110"/>
        <v>0</v>
      </c>
      <c r="BN131" s="405">
        <f t="shared" si="73"/>
        <v>0</v>
      </c>
      <c r="BO131" s="405">
        <f t="shared" si="74"/>
        <v>0</v>
      </c>
    </row>
    <row r="132" spans="4:67" ht="13.5" thickBot="1" x14ac:dyDescent="0.25">
      <c r="D132" s="345">
        <v>7161.95</v>
      </c>
      <c r="E132" s="340" t="str">
        <f t="shared" si="60"/>
        <v>0.118799627788393i</v>
      </c>
      <c r="F132" s="728" t="str">
        <f t="shared" si="75"/>
        <v>0.005-0.36429986634031i</v>
      </c>
      <c r="G132" s="337" t="str">
        <f t="shared" si="76"/>
        <v>0.005-0.569802355045101i</v>
      </c>
      <c r="H132" s="338" t="str">
        <f t="shared" si="77"/>
        <v>0.221475393400352-0.464171076038865i</v>
      </c>
      <c r="I132" s="338" t="str">
        <f t="shared" si="78"/>
        <v>0.231475393400352-0.464171076038865i</v>
      </c>
      <c r="J132" s="337" t="str">
        <f t="shared" si="79"/>
        <v>0.0432059029995538-0.215043410442864i</v>
      </c>
      <c r="K132" s="338" t="str">
        <f t="shared" si="61"/>
        <v>0.999430071913306-0.0374998825089624i</v>
      </c>
      <c r="L132" s="732"/>
      <c r="M132" s="732" t="str">
        <f t="shared" si="62"/>
        <v>77.6413201603881+172.95077347648i</v>
      </c>
      <c r="N132" s="337">
        <f t="shared" si="63"/>
        <v>0</v>
      </c>
      <c r="O132" s="730" t="str">
        <f t="shared" si="64"/>
        <v>50.7996503348237+62.0194147264285i</v>
      </c>
      <c r="P132" s="731" t="str">
        <f t="shared" si="65"/>
        <v>40.5464875147205-9.22375993605356i</v>
      </c>
      <c r="Q132" s="729" t="str">
        <f t="shared" si="66"/>
        <v>40.0384910113723-9.84395408331785i</v>
      </c>
      <c r="R132" s="730"/>
      <c r="S132" s="405" t="str">
        <f t="shared" si="80"/>
        <v>38.6059254029704+3.69473866306612i</v>
      </c>
      <c r="T132" s="405" t="str">
        <f t="shared" si="81"/>
        <v>16.1667911163378-2.7569172849513i</v>
      </c>
      <c r="U132" s="405" t="str">
        <f t="shared" si="82"/>
        <v>2.3008651598062-8.11474616882288i</v>
      </c>
      <c r="V132" s="731" t="str">
        <f t="shared" si="67"/>
        <v>6000</v>
      </c>
      <c r="W132" s="733" t="str">
        <f>IMSUM(COMPLEX(1,0),IMDIV(COMPLEX(0,2*PI()*D132),COMPLEX(2*PI()*'Stability Calculations'!EA_Pole1,0)))</f>
        <v>1+45449.8576008624i</v>
      </c>
      <c r="X132" s="734">
        <f t="shared" si="83"/>
        <v>45449.857611863532</v>
      </c>
      <c r="Y132" s="735">
        <f t="shared" si="84"/>
        <v>1.5707743245257451</v>
      </c>
      <c r="Z132" s="340" t="str">
        <f>IMSUM(COMPLEX(1,0),IMDIV(COMPLEX(0,2*PI()*D132),COMPLEX(2*PI()*'Stability Calculations'!EA_Zero1,0)))</f>
        <v>1+449.998590107548i</v>
      </c>
      <c r="AA132" s="734">
        <f t="shared" si="85"/>
        <v>449.9997012207686</v>
      </c>
      <c r="AB132" s="735">
        <f t="shared" si="86"/>
        <v>1.5685741012682233</v>
      </c>
      <c r="AC132" s="733" t="str">
        <f>IMSUM(COMPLEX(1,0),IMDIV(COMPLEX(0,2*PI()*D132),COMPLEX(2*PI()*'Stability Calculations'!EA_Pole2,0)))</f>
        <v>1+4.53304105492164i</v>
      </c>
      <c r="AD132" s="734">
        <f t="shared" si="87"/>
        <v>4.6420320125571184</v>
      </c>
      <c r="AE132" s="735">
        <f t="shared" si="88"/>
        <v>1.3536714491220529</v>
      </c>
      <c r="AF132" s="732" t="str">
        <f t="shared" si="89"/>
        <v>2.72935708746311-12.5029942803853i</v>
      </c>
      <c r="AG132" s="337">
        <f t="shared" si="90"/>
        <v>12.797431620689858</v>
      </c>
      <c r="AH132" s="730">
        <f t="shared" si="91"/>
        <v>-1.3558716723795758</v>
      </c>
      <c r="AI132" s="731" t="str">
        <f t="shared" si="68"/>
        <v>10000</v>
      </c>
      <c r="AJ132" s="733" t="str">
        <f t="shared" si="92"/>
        <v>1+42371.7772448089i</v>
      </c>
      <c r="AK132" s="734">
        <f t="shared" si="93"/>
        <v>42371.77725660921</v>
      </c>
      <c r="AL132" s="735">
        <f t="shared" si="94"/>
        <v>1.5707727261799393</v>
      </c>
      <c r="AM132" s="340" t="str">
        <f t="shared" si="95"/>
        <v>1+71.9097746991862i</v>
      </c>
      <c r="AN132" s="734">
        <f t="shared" si="96"/>
        <v>71.916727520707724</v>
      </c>
      <c r="AO132" s="735">
        <f t="shared" si="97"/>
        <v>1.5568909078196167</v>
      </c>
      <c r="AP132" s="733" t="str">
        <f t="shared" si="98"/>
        <v>1+3.48774260400445i</v>
      </c>
      <c r="AQ132" s="734">
        <f t="shared" si="99"/>
        <v>3.6282707274661496</v>
      </c>
      <c r="AR132" s="735">
        <f t="shared" si="100"/>
        <v>1.2915685765889533</v>
      </c>
      <c r="AS132" s="732" t="str">
        <f t="shared" si="101"/>
        <v>0.0533984576593676-32.6797536984609i</v>
      </c>
      <c r="AT132" s="337">
        <f t="shared" si="102"/>
        <v>32.67979732475937</v>
      </c>
      <c r="AU132" s="730">
        <f t="shared" si="103"/>
        <v>-1.5691623362015532</v>
      </c>
      <c r="AV132" s="732" t="str">
        <f t="shared" si="104"/>
        <v>-6.85105323957148-0.326725779598942i</v>
      </c>
      <c r="AW132" s="337">
        <f t="shared" si="105"/>
        <v>16.725012892487957</v>
      </c>
      <c r="AX132" s="730">
        <f t="shared" si="106"/>
        <v>-177.2696408670887</v>
      </c>
      <c r="AY132" s="360">
        <f t="shared" si="107"/>
        <v>2.7303591329113033</v>
      </c>
      <c r="BB132" s="337">
        <f t="shared" si="108"/>
        <v>-9.7144129112205668</v>
      </c>
      <c r="BC132" s="730">
        <f t="shared" si="109"/>
        <v>-89.906379235237353</v>
      </c>
      <c r="BD132" s="351"/>
      <c r="BE132" s="337">
        <f t="shared" si="69"/>
        <v>45.555798206097009</v>
      </c>
      <c r="BF132" s="730">
        <f t="shared" si="70"/>
        <v>65.823663077387607</v>
      </c>
      <c r="BI132" s="351"/>
      <c r="BJ132" s="351"/>
      <c r="BL132" s="405">
        <f t="shared" si="71"/>
        <v>0</v>
      </c>
      <c r="BM132" s="405">
        <f t="shared" si="110"/>
        <v>0</v>
      </c>
      <c r="BN132" s="405">
        <f t="shared" si="73"/>
        <v>0</v>
      </c>
      <c r="BO132" s="405">
        <f t="shared" si="74"/>
        <v>0</v>
      </c>
    </row>
    <row r="133" spans="4:67" ht="13.5" thickBot="1" x14ac:dyDescent="0.25">
      <c r="D133" s="345">
        <v>7244.4</v>
      </c>
      <c r="E133" s="340" t="str">
        <f t="shared" si="60"/>
        <v>0.120167276167836i</v>
      </c>
      <c r="F133" s="728" t="str">
        <f t="shared" si="75"/>
        <v>0.005-0.36015369495555i</v>
      </c>
      <c r="G133" s="337" t="str">
        <f t="shared" si="76"/>
        <v>0.005-0.563317317750989i</v>
      </c>
      <c r="H133" s="338" t="str">
        <f t="shared" si="77"/>
        <v>0.217434613177315-0.460751476274845i</v>
      </c>
      <c r="I133" s="338" t="str">
        <f t="shared" si="78"/>
        <v>0.227434613177315-0.460751476274845i</v>
      </c>
      <c r="J133" s="337" t="str">
        <f t="shared" si="79"/>
        <v>0.0423492307450018-0.212750031012142i</v>
      </c>
      <c r="K133" s="338" t="str">
        <f t="shared" si="61"/>
        <v>0.999416874096-0.0379315896994432i</v>
      </c>
      <c r="L133" s="732"/>
      <c r="M133" s="732" t="str">
        <f t="shared" si="62"/>
        <v>81.7156456208376+178.644557465807i</v>
      </c>
      <c r="N133" s="337">
        <f t="shared" si="63"/>
        <v>0</v>
      </c>
      <c r="O133" s="730" t="str">
        <f t="shared" si="64"/>
        <v>52.8578787472374+63.9075948376528i</v>
      </c>
      <c r="P133" s="731" t="str">
        <f t="shared" si="65"/>
        <v>41.4672298728745-9.81954655455221i</v>
      </c>
      <c r="Q133" s="729" t="str">
        <f t="shared" si="66"/>
        <v>40.9386510854022-10.4586225029288i</v>
      </c>
      <c r="R133" s="730"/>
      <c r="S133" s="405" t="str">
        <f t="shared" si="80"/>
        <v>38.6396927785818+3.62919266684464i</v>
      </c>
      <c r="T133" s="405" t="str">
        <f t="shared" si="81"/>
        <v>16.1526872917653-2.74596639036197i</v>
      </c>
      <c r="U133" s="405" t="str">
        <f t="shared" si="82"/>
        <v>2.24694524489872-8.03944265537303i</v>
      </c>
      <c r="V133" s="731" t="str">
        <f t="shared" si="67"/>
        <v>6000</v>
      </c>
      <c r="W133" s="733" t="str">
        <f>IMSUM(COMPLEX(1,0),IMDIV(COMPLEX(0,2*PI()*D133),COMPLEX(2*PI()*'Stability Calculations'!EA_Pole1,0)))</f>
        <v>1+45973.0867157251i</v>
      </c>
      <c r="X133" s="734">
        <f t="shared" si="83"/>
        <v>45973.086726601025</v>
      </c>
      <c r="Y133" s="735">
        <f t="shared" si="84"/>
        <v>1.5707745749380759</v>
      </c>
      <c r="Z133" s="340" t="str">
        <f>IMSUM(COMPLEX(1,0),IMDIV(COMPLEX(0,2*PI()*D133),COMPLEX(2*PI()*'Stability Calculations'!EA_Zero1,0)))</f>
        <v>1+455.179076393318i</v>
      </c>
      <c r="AA133" s="734">
        <f t="shared" si="85"/>
        <v>455.18017486076212</v>
      </c>
      <c r="AB133" s="735">
        <f t="shared" si="86"/>
        <v>1.5685993927901891</v>
      </c>
      <c r="AC133" s="733" t="str">
        <f>IMSUM(COMPLEX(1,0),IMDIV(COMPLEX(0,2*PI()*D133),COMPLEX(2*PI()*'Stability Calculations'!EA_Pole2,0)))</f>
        <v>1+4.58522645624087i</v>
      </c>
      <c r="AD133" s="734">
        <f t="shared" si="87"/>
        <v>4.6930056099488322</v>
      </c>
      <c r="AE133" s="735">
        <f t="shared" si="88"/>
        <v>1.3560669163764734</v>
      </c>
      <c r="AF133" s="732" t="str">
        <f t="shared" si="89"/>
        <v>2.67038865393336-12.3735556558295i</v>
      </c>
      <c r="AG133" s="337">
        <f t="shared" si="90"/>
        <v>12.658430200106418</v>
      </c>
      <c r="AH133" s="730">
        <f t="shared" si="91"/>
        <v>-1.3582420985243595</v>
      </c>
      <c r="AI133" s="731" t="str">
        <f t="shared" si="68"/>
        <v>10000</v>
      </c>
      <c r="AJ133" s="733" t="str">
        <f t="shared" si="92"/>
        <v>1+42859.5707973797i</v>
      </c>
      <c r="AK133" s="734">
        <f t="shared" si="93"/>
        <v>42859.570809045712</v>
      </c>
      <c r="AL133" s="735">
        <f t="shared" si="94"/>
        <v>1.5707729947833713</v>
      </c>
      <c r="AM133" s="340" t="str">
        <f t="shared" si="95"/>
        <v>1+72.7376164076522i</v>
      </c>
      <c r="AN133" s="734">
        <f t="shared" si="96"/>
        <v>72.744490105208328</v>
      </c>
      <c r="AO133" s="735">
        <f t="shared" si="97"/>
        <v>1.5570491481874891</v>
      </c>
      <c r="AP133" s="733" t="str">
        <f t="shared" si="98"/>
        <v>1+3.52789429142201i</v>
      </c>
      <c r="AQ133" s="734">
        <f t="shared" si="99"/>
        <v>3.6668839811818432</v>
      </c>
      <c r="AR133" s="735">
        <f t="shared" si="100"/>
        <v>1.2945864957796169</v>
      </c>
      <c r="AS133" s="732" t="str">
        <f t="shared" si="101"/>
        <v>0.0521899000481743-32.3078206813431i</v>
      </c>
      <c r="AT133" s="337">
        <f t="shared" si="102"/>
        <v>32.307862834973911</v>
      </c>
      <c r="AU133" s="730">
        <f t="shared" si="103"/>
        <v>-1.569180932950587</v>
      </c>
      <c r="AV133" s="732" t="str">
        <f t="shared" si="104"/>
        <v>-6.69366937373592-0.306642997138844i</v>
      </c>
      <c r="AW133" s="337">
        <f t="shared" si="105"/>
        <v>16.522389861067765</v>
      </c>
      <c r="AX133" s="730">
        <f t="shared" si="106"/>
        <v>-177.37706279528476</v>
      </c>
      <c r="AY133" s="360">
        <f t="shared" si="107"/>
        <v>2.6229372047152424</v>
      </c>
      <c r="BB133" s="337">
        <f t="shared" si="108"/>
        <v>-9.8138353922165606</v>
      </c>
      <c r="BC133" s="730">
        <f t="shared" si="109"/>
        <v>-89.907444750469651</v>
      </c>
      <c r="BD133" s="351"/>
      <c r="BE133" s="337">
        <f t="shared" si="69"/>
        <v>45.86489686032219</v>
      </c>
      <c r="BF133" s="730">
        <f t="shared" si="70"/>
        <v>65.419681912780902</v>
      </c>
      <c r="BI133" s="351"/>
      <c r="BJ133" s="351"/>
      <c r="BL133" s="405">
        <f t="shared" si="71"/>
        <v>0</v>
      </c>
      <c r="BM133" s="405">
        <f t="shared" si="110"/>
        <v>0</v>
      </c>
      <c r="BN133" s="405">
        <f t="shared" si="73"/>
        <v>0</v>
      </c>
      <c r="BO133" s="405">
        <f t="shared" si="74"/>
        <v>0</v>
      </c>
    </row>
    <row r="134" spans="4:67" ht="13.5" thickBot="1" x14ac:dyDescent="0.25">
      <c r="D134" s="345">
        <v>7328.75</v>
      </c>
      <c r="E134" s="340" t="str">
        <f t="shared" si="60"/>
        <v>0.12156644100478i</v>
      </c>
      <c r="F134" s="728" t="str">
        <f t="shared" si="75"/>
        <v>0.005-0.356008518196962i</v>
      </c>
      <c r="G134" s="337" t="str">
        <f t="shared" si="76"/>
        <v>0.005-0.556833836154225i</v>
      </c>
      <c r="H134" s="338" t="str">
        <f t="shared" si="77"/>
        <v>0.21340866706447-0.457283492963906i</v>
      </c>
      <c r="I134" s="338" t="str">
        <f t="shared" si="78"/>
        <v>0.22340866706447-0.457283492963906i</v>
      </c>
      <c r="J134" s="337" t="str">
        <f t="shared" si="79"/>
        <v>0.0415013465910722-0.210452138098134i</v>
      </c>
      <c r="K134" s="338" t="str">
        <f t="shared" si="61"/>
        <v>0.999403215815972-0.0383732452666603i</v>
      </c>
      <c r="L134" s="732"/>
      <c r="M134" s="732" t="str">
        <f t="shared" si="62"/>
        <v>86.2542281657127+184.735383969634i</v>
      </c>
      <c r="N134" s="337">
        <f t="shared" si="63"/>
        <v>0</v>
      </c>
      <c r="O134" s="730" t="str">
        <f t="shared" si="64"/>
        <v>55.1321225178395+65.9123489399021i</v>
      </c>
      <c r="P134" s="731" t="str">
        <f t="shared" si="65"/>
        <v>42.4576231568399-10.4856195397199i</v>
      </c>
      <c r="Q134" s="729" t="str">
        <f t="shared" si="66"/>
        <v>41.9063019316616-11.144743029119i</v>
      </c>
      <c r="R134" s="730"/>
      <c r="S134" s="405" t="str">
        <f t="shared" si="80"/>
        <v>38.6731754506905+3.5629256028094i</v>
      </c>
      <c r="T134" s="405" t="str">
        <f t="shared" si="81"/>
        <v>16.1386689989858-2.73507436710504i</v>
      </c>
      <c r="U134" s="405" t="str">
        <f t="shared" si="82"/>
        <v>2.19342747916242-7.96363550665064i</v>
      </c>
      <c r="V134" s="731" t="str">
        <f t="shared" si="67"/>
        <v>6000</v>
      </c>
      <c r="W134" s="733" t="str">
        <f>IMSUM(COMPLEX(1,0),IMDIV(COMPLEX(0,2*PI()*D134),COMPLEX(2*PI()*'Stability Calculations'!EA_Pole1,0)))</f>
        <v>1+46508.3732631923i</v>
      </c>
      <c r="X134" s="734">
        <f t="shared" si="83"/>
        <v>46508.373273943049</v>
      </c>
      <c r="Y134" s="735">
        <f t="shared" si="84"/>
        <v>1.5707748252903355</v>
      </c>
      <c r="Z134" s="340" t="str">
        <f>IMSUM(COMPLEX(1,0),IMDIV(COMPLEX(0,2*PI()*D134),COMPLEX(2*PI()*'Stability Calculations'!EA_Zero1,0)))</f>
        <v>1+460.478943199924i</v>
      </c>
      <c r="AA134" s="734">
        <f t="shared" si="85"/>
        <v>460.48002902462429</v>
      </c>
      <c r="AB134" s="735">
        <f t="shared" si="86"/>
        <v>1.5686246782477746</v>
      </c>
      <c r="AC134" s="733" t="str">
        <f>IMSUM(COMPLEX(1,0),IMDIV(COMPLEX(0,2*PI()*D134),COMPLEX(2*PI()*'Stability Calculations'!EA_Pole2,0)))</f>
        <v>1+4.63861443199924i</v>
      </c>
      <c r="AD134" s="734">
        <f t="shared" si="87"/>
        <v>4.7451811186456982</v>
      </c>
      <c r="AE134" s="735">
        <f t="shared" si="88"/>
        <v>1.3584643136307875</v>
      </c>
      <c r="AF134" s="732" t="str">
        <f t="shared" si="89"/>
        <v>2.61198713193488-12.2437329166138i</v>
      </c>
      <c r="AG134" s="337">
        <f t="shared" si="90"/>
        <v>12.519244087035194</v>
      </c>
      <c r="AH134" s="730">
        <f t="shared" si="91"/>
        <v>-1.3606144606733486</v>
      </c>
      <c r="AI134" s="731" t="str">
        <f t="shared" si="68"/>
        <v>10000</v>
      </c>
      <c r="AJ134" s="733" t="str">
        <f t="shared" si="92"/>
        <v>1+43358.6051959164i</v>
      </c>
      <c r="AK134" s="734">
        <f t="shared" si="93"/>
        <v>43358.605207448141</v>
      </c>
      <c r="AL134" s="735">
        <f t="shared" si="94"/>
        <v>1.5707732633223679</v>
      </c>
      <c r="AM134" s="340" t="str">
        <f t="shared" si="95"/>
        <v>1+73.5845351233478i</v>
      </c>
      <c r="AN134" s="734">
        <f t="shared" si="96"/>
        <v>73.59132971566153</v>
      </c>
      <c r="AO134" s="735">
        <f t="shared" si="97"/>
        <v>1.5572073512832953</v>
      </c>
      <c r="AP134" s="733" t="str">
        <f t="shared" si="98"/>
        <v>1+3.56897124513542i</v>
      </c>
      <c r="AQ134" s="734">
        <f t="shared" si="99"/>
        <v>3.7064208812010904</v>
      </c>
      <c r="AR134" s="735">
        <f t="shared" si="100"/>
        <v>1.2976088613036545</v>
      </c>
      <c r="AS134" s="732" t="str">
        <f t="shared" si="101"/>
        <v>0.0509954608002562-31.9359768203213i</v>
      </c>
      <c r="AT134" s="337">
        <f t="shared" si="102"/>
        <v>31.93601753514551</v>
      </c>
      <c r="AU134" s="730">
        <f t="shared" si="103"/>
        <v>-1.5691995252395585</v>
      </c>
      <c r="AV134" s="732" t="str">
        <f t="shared" si="104"/>
        <v>-6.538178866153-0.2872132556418i</v>
      </c>
      <c r="AW134" s="337">
        <f t="shared" si="105"/>
        <v>16.317508561845198</v>
      </c>
      <c r="AX134" s="730">
        <f t="shared" si="106"/>
        <v>-177.48469188565267</v>
      </c>
      <c r="AY134" s="360">
        <f t="shared" si="107"/>
        <v>2.5153081143473344</v>
      </c>
      <c r="BB134" s="337">
        <f t="shared" si="108"/>
        <v>-9.9143848386818387</v>
      </c>
      <c r="BC134" s="730">
        <f t="shared" si="109"/>
        <v>-89.908510010159205</v>
      </c>
      <c r="BD134" s="351"/>
      <c r="BE134" s="337">
        <f t="shared" si="69"/>
        <v>46.187482005021565</v>
      </c>
      <c r="BF134" s="730">
        <f t="shared" si="70"/>
        <v>64.971804023697459</v>
      </c>
      <c r="BI134" s="351"/>
      <c r="BJ134" s="351"/>
      <c r="BL134" s="405">
        <f t="shared" si="71"/>
        <v>0</v>
      </c>
      <c r="BM134" s="405">
        <f t="shared" si="110"/>
        <v>0</v>
      </c>
      <c r="BN134" s="405">
        <f t="shared" si="73"/>
        <v>0</v>
      </c>
      <c r="BO134" s="405">
        <f t="shared" si="74"/>
        <v>0</v>
      </c>
    </row>
    <row r="135" spans="4:67" ht="13.5" thickBot="1" x14ac:dyDescent="0.25">
      <c r="D135" s="345">
        <v>7413.1</v>
      </c>
      <c r="E135" s="340" t="str">
        <f t="shared" si="60"/>
        <v>0.122965605841724i</v>
      </c>
      <c r="F135" s="728" t="str">
        <f t="shared" si="75"/>
        <v>0.005-0.351957673272449i</v>
      </c>
      <c r="G135" s="337" t="str">
        <f t="shared" si="76"/>
        <v>0.005-0.550497899221008i</v>
      </c>
      <c r="H135" s="338" t="str">
        <f t="shared" si="77"/>
        <v>0.20948843650293-0.453846793871434i</v>
      </c>
      <c r="I135" s="338" t="str">
        <f t="shared" si="78"/>
        <v>0.21948843650293-0.453846793871434i</v>
      </c>
      <c r="J135" s="337" t="str">
        <f t="shared" si="79"/>
        <v>0.0406810865052709-0.208201691298751i</v>
      </c>
      <c r="K135" s="338" t="str">
        <f t="shared" si="61"/>
        <v>0.999389399426556-0.0388149008338775i</v>
      </c>
      <c r="L135" s="732"/>
      <c r="M135" s="732" t="str">
        <f t="shared" si="62"/>
        <v>91.2117559949899+191.109276977328i</v>
      </c>
      <c r="N135" s="337">
        <f t="shared" si="63"/>
        <v>0</v>
      </c>
      <c r="O135" s="730" t="str">
        <f t="shared" si="64"/>
        <v>57.595522874015+67.992805451097i</v>
      </c>
      <c r="P135" s="731" t="str">
        <f t="shared" si="65"/>
        <v>43.499868025491-11.2159088358114i</v>
      </c>
      <c r="Q135" s="729" t="str">
        <f t="shared" si="66"/>
        <v>42.9239127967508-11.8958368903224i</v>
      </c>
      <c r="R135" s="730"/>
      <c r="S135" s="405" t="str">
        <f t="shared" si="80"/>
        <v>38.7056237558317+3.49744256560642i</v>
      </c>
      <c r="T135" s="405" t="str">
        <f t="shared" si="81"/>
        <v>16.1250499006866-2.72449144138446i</v>
      </c>
      <c r="U135" s="405" t="str">
        <f t="shared" si="82"/>
        <v>2.1415097866241-7.8890516507648i</v>
      </c>
      <c r="V135" s="731" t="str">
        <f t="shared" si="67"/>
        <v>6000</v>
      </c>
      <c r="W135" s="733" t="str">
        <f>IMSUM(COMPLEX(1,0),IMDIV(COMPLEX(0,2*PI()*D135),COMPLEX(2*PI()*'Stability Calculations'!EA_Pole1,0)))</f>
        <v>1+47043.6598106595i</v>
      </c>
      <c r="X135" s="734">
        <f t="shared" si="83"/>
        <v>47043.659821287925</v>
      </c>
      <c r="Y135" s="735">
        <f t="shared" si="84"/>
        <v>1.570775069945326</v>
      </c>
      <c r="Z135" s="340" t="str">
        <f>IMSUM(COMPLEX(1,0),IMDIV(COMPLEX(0,2*PI()*D135),COMPLEX(2*PI()*'Stability Calculations'!EA_Zero1,0)))</f>
        <v>1+465.77881000653i</v>
      </c>
      <c r="AA135" s="734">
        <f t="shared" si="85"/>
        <v>465.7798834761964</v>
      </c>
      <c r="AB135" s="735">
        <f t="shared" si="86"/>
        <v>1.5686493882866008</v>
      </c>
      <c r="AC135" s="733" t="str">
        <f>IMSUM(COMPLEX(1,0),IMDIV(COMPLEX(0,2*PI()*D135),COMPLEX(2*PI()*'Stability Calculations'!EA_Pole2,0)))</f>
        <v>1+4.69200240775761i</v>
      </c>
      <c r="AD135" s="734">
        <f t="shared" si="87"/>
        <v>4.7973833070126064</v>
      </c>
      <c r="AE135" s="735">
        <f t="shared" si="88"/>
        <v>1.3608095501023965</v>
      </c>
      <c r="AF135" s="732" t="str">
        <f t="shared" si="89"/>
        <v>2.55545231051299-12.1164667080799i</v>
      </c>
      <c r="AG135" s="337">
        <f t="shared" si="90"/>
        <v>12.383016676049287</v>
      </c>
      <c r="AH135" s="730">
        <f t="shared" si="91"/>
        <v>-1.3629352317611212</v>
      </c>
      <c r="AI135" s="731" t="str">
        <f t="shared" si="68"/>
        <v>10000</v>
      </c>
      <c r="AJ135" s="733" t="str">
        <f t="shared" si="92"/>
        <v>1+43857.639594453i</v>
      </c>
      <c r="AK135" s="734">
        <f t="shared" si="93"/>
        <v>43857.639605853525</v>
      </c>
      <c r="AL135" s="735">
        <f t="shared" si="94"/>
        <v>1.5707735257502196</v>
      </c>
      <c r="AM135" s="340" t="str">
        <f t="shared" si="95"/>
        <v>1+74.4314538390435i</v>
      </c>
      <c r="AN135" s="734">
        <f t="shared" si="96"/>
        <v>74.438171126067203</v>
      </c>
      <c r="AO135" s="735">
        <f t="shared" si="97"/>
        <v>1.5573619548067463</v>
      </c>
      <c r="AP135" s="733" t="str">
        <f t="shared" si="98"/>
        <v>1+3.61004819884884i</v>
      </c>
      <c r="AQ135" s="734">
        <f t="shared" si="99"/>
        <v>3.7459909233755164</v>
      </c>
      <c r="AR135" s="735">
        <f t="shared" si="100"/>
        <v>1.3005674010457307</v>
      </c>
      <c r="AS135" s="732" t="str">
        <f t="shared" si="101"/>
        <v>0.0498415618036129-31.572594950225i</v>
      </c>
      <c r="AT135" s="337">
        <f t="shared" si="102"/>
        <v>31.572634290984595</v>
      </c>
      <c r="AU135" s="730">
        <f t="shared" si="103"/>
        <v>-1.5692176944246676</v>
      </c>
      <c r="AV135" s="732" t="str">
        <f t="shared" si="104"/>
        <v>-6.3880200039793-0.268840911215012i</v>
      </c>
      <c r="AW135" s="337">
        <f t="shared" si="105"/>
        <v>16.115010602187542</v>
      </c>
      <c r="AX135" s="730">
        <f t="shared" si="106"/>
        <v>-177.59011943981324</v>
      </c>
      <c r="AY135" s="360">
        <f t="shared" si="107"/>
        <v>2.4098805601867639</v>
      </c>
      <c r="BB135" s="337">
        <f t="shared" si="108"/>
        <v>-10.013783616948647</v>
      </c>
      <c r="BC135" s="730">
        <f t="shared" si="109"/>
        <v>-89.909551027783152</v>
      </c>
      <c r="BD135" s="351"/>
      <c r="BE135" s="337">
        <f t="shared" si="69"/>
        <v>46.516882689560205</v>
      </c>
      <c r="BF135" s="730">
        <f t="shared" si="70"/>
        <v>64.486004998537311</v>
      </c>
      <c r="BI135" s="351"/>
      <c r="BJ135" s="351"/>
      <c r="BL135" s="405">
        <f t="shared" si="71"/>
        <v>0</v>
      </c>
      <c r="BM135" s="405">
        <f t="shared" si="110"/>
        <v>0</v>
      </c>
      <c r="BN135" s="405">
        <f t="shared" si="73"/>
        <v>0</v>
      </c>
      <c r="BO135" s="405">
        <f t="shared" si="74"/>
        <v>0</v>
      </c>
    </row>
    <row r="136" spans="4:67" ht="13.5" thickBot="1" x14ac:dyDescent="0.25">
      <c r="D136" s="345">
        <v>7499.45</v>
      </c>
      <c r="E136" s="340" t="str">
        <f t="shared" si="60"/>
        <v>0.12439794589709i</v>
      </c>
      <c r="F136" s="728" t="str">
        <f t="shared" si="75"/>
        <v>0.005-0.34790517007727i</v>
      </c>
      <c r="G136" s="337" t="str">
        <f t="shared" si="76"/>
        <v>0.005-0.544159368582398i</v>
      </c>
      <c r="H136" s="338" t="str">
        <f t="shared" si="77"/>
        <v>0.205581242327942-0.450361478382831i</v>
      </c>
      <c r="I136" s="338" t="str">
        <f t="shared" si="78"/>
        <v>0.215581242327942-0.450361478382831i</v>
      </c>
      <c r="J136" s="337" t="str">
        <f t="shared" si="79"/>
        <v>0.039868765506195-0.205945573028716i</v>
      </c>
      <c r="K136" s="338" t="str">
        <f t="shared" si="61"/>
        <v>0.999375091663306-0.0392670283766066i</v>
      </c>
      <c r="L136" s="732"/>
      <c r="M136" s="732" t="str">
        <f t="shared" si="62"/>
        <v>96.7743217754989+197.942329236107i</v>
      </c>
      <c r="N136" s="337">
        <f t="shared" si="63"/>
        <v>0</v>
      </c>
      <c r="O136" s="730" t="str">
        <f t="shared" si="64"/>
        <v>60.3355786691018+70.2022745607059i</v>
      </c>
      <c r="P136" s="731" t="str">
        <f t="shared" si="65"/>
        <v>44.6236191630572-12.0385268444561i</v>
      </c>
      <c r="Q136" s="729" t="str">
        <f t="shared" si="66"/>
        <v>44.0202633763661-12.7405495900631i</v>
      </c>
      <c r="R136" s="730"/>
      <c r="S136" s="405" t="str">
        <f t="shared" si="80"/>
        <v>38.7378107375876+3.43120398654542i</v>
      </c>
      <c r="T136" s="405" t="str">
        <f t="shared" si="81"/>
        <v>16.1115052980752-2.7139718268389i</v>
      </c>
      <c r="U136" s="405" t="str">
        <f t="shared" si="82"/>
        <v>2.089954910727-7.81394304481851i</v>
      </c>
      <c r="V136" s="731" t="str">
        <f t="shared" si="67"/>
        <v>6000</v>
      </c>
      <c r="W136" s="733" t="str">
        <f>IMSUM(COMPLEX(1,0),IMDIV(COMPLEX(0,2*PI()*D136),COMPLEX(2*PI()*'Stability Calculations'!EA_Pole1,0)))</f>
        <v>1+47591.6383924473i</v>
      </c>
      <c r="X136" s="734">
        <f t="shared" si="83"/>
        <v>47591.638402953344</v>
      </c>
      <c r="Y136" s="735">
        <f t="shared" si="84"/>
        <v>1.5707753147004693</v>
      </c>
      <c r="Z136" s="340" t="str">
        <f>IMSUM(COMPLEX(1,0),IMDIV(COMPLEX(0,2*PI()*D136),COMPLEX(2*PI()*'Stability Calculations'!EA_Zero1,0)))</f>
        <v>1+471.20434051928i</v>
      </c>
      <c r="AA136" s="734">
        <f t="shared" si="85"/>
        <v>471.20540162885396</v>
      </c>
      <c r="AB136" s="735">
        <f t="shared" si="86"/>
        <v>1.5686741084434543</v>
      </c>
      <c r="AC136" s="733" t="str">
        <f>IMSUM(COMPLEX(1,0),IMDIV(COMPLEX(0,2*PI()*D136),COMPLEX(2*PI()*'Stability Calculations'!EA_Pole2,0)))</f>
        <v>1+4.74665625134665i</v>
      </c>
      <c r="AD136" s="734">
        <f t="shared" si="87"/>
        <v>4.8508499841211572</v>
      </c>
      <c r="AE136" s="735">
        <f t="shared" si="88"/>
        <v>1.3631580948816526</v>
      </c>
      <c r="AF136" s="732" t="str">
        <f t="shared" si="89"/>
        <v>2.4994297308309-11.988758079944i</v>
      </c>
      <c r="AG136" s="337">
        <f t="shared" si="90"/>
        <v>12.246528866531282</v>
      </c>
      <c r="AH136" s="730">
        <f t="shared" si="91"/>
        <v>-1.3652593011386673</v>
      </c>
      <c r="AI136" s="731" t="str">
        <f t="shared" si="68"/>
        <v>10000</v>
      </c>
      <c r="AJ136" s="733" t="str">
        <f t="shared" si="92"/>
        <v>1+44368.5064624275i</v>
      </c>
      <c r="AK136" s="734">
        <f t="shared" si="93"/>
        <v>44368.506473696747</v>
      </c>
      <c r="AL136" s="735">
        <f t="shared" si="94"/>
        <v>1.5707737882854997</v>
      </c>
      <c r="AM136" s="340" t="str">
        <f t="shared" si="95"/>
        <v>1+75.2984536149809i</v>
      </c>
      <c r="AN136" s="734">
        <f t="shared" si="96"/>
        <v>75.305093564827544</v>
      </c>
      <c r="AO136" s="735">
        <f t="shared" si="97"/>
        <v>1.5575166222619943</v>
      </c>
      <c r="AP136" s="733" t="str">
        <f t="shared" si="98"/>
        <v>1+3.65209911708421i</v>
      </c>
      <c r="AQ136" s="734">
        <f t="shared" si="99"/>
        <v>3.7865324455241725</v>
      </c>
      <c r="AR136" s="735">
        <f t="shared" si="100"/>
        <v>1.3035320120514735</v>
      </c>
      <c r="AS136" s="732" t="str">
        <f t="shared" si="101"/>
        <v>0.0487004031920893-31.209064262046i</v>
      </c>
      <c r="AT136" s="337">
        <f t="shared" si="102"/>
        <v>31.209102259465716</v>
      </c>
      <c r="AU136" s="730">
        <f t="shared" si="103"/>
        <v>-1.5692358710486327</v>
      </c>
      <c r="AV136" s="732" t="str">
        <f t="shared" si="104"/>
        <v>-6.23957376059782-0.251058881871099i</v>
      </c>
      <c r="AW136" s="337">
        <f t="shared" si="105"/>
        <v>15.910123914026892</v>
      </c>
      <c r="AX136" s="730">
        <f t="shared" si="106"/>
        <v>-177.69585878366465</v>
      </c>
      <c r="AY136" s="360">
        <f t="shared" si="107"/>
        <v>2.3041412163353527</v>
      </c>
      <c r="BB136" s="337">
        <f t="shared" si="108"/>
        <v>-10.114374475695424</v>
      </c>
      <c r="BC136" s="730">
        <f t="shared" si="109"/>
        <v>-89.910592471622138</v>
      </c>
      <c r="BD136" s="351"/>
      <c r="BE136" s="337">
        <f t="shared" si="69"/>
        <v>46.861573435899246</v>
      </c>
      <c r="BF136" s="730">
        <f t="shared" si="70"/>
        <v>63.945916820120466</v>
      </c>
      <c r="BI136" s="351"/>
      <c r="BJ136" s="351"/>
      <c r="BL136" s="405">
        <f t="shared" si="71"/>
        <v>0</v>
      </c>
      <c r="BM136" s="405">
        <f t="shared" si="110"/>
        <v>0</v>
      </c>
      <c r="BN136" s="405">
        <f t="shared" si="73"/>
        <v>0</v>
      </c>
      <c r="BO136" s="405">
        <f t="shared" si="74"/>
        <v>0</v>
      </c>
    </row>
    <row r="137" spans="4:67" ht="13.5" thickBot="1" x14ac:dyDescent="0.25">
      <c r="D137" s="345">
        <v>7585.8</v>
      </c>
      <c r="E137" s="340" t="str">
        <f t="shared" si="60"/>
        <v>0.125830285952456i</v>
      </c>
      <c r="F137" s="728" t="str">
        <f t="shared" si="75"/>
        <v>0.005-0.343944927065832i</v>
      </c>
      <c r="G137" s="337" t="str">
        <f t="shared" si="76"/>
        <v>0.005-0.537965142333738i</v>
      </c>
      <c r="H137" s="338" t="str">
        <f t="shared" si="77"/>
        <v>0.201777818834968-0.446909814578474i</v>
      </c>
      <c r="I137" s="338" t="str">
        <f t="shared" si="78"/>
        <v>0.211777818834968-0.446909814578474i</v>
      </c>
      <c r="J137" s="337" t="str">
        <f t="shared" si="79"/>
        <v>0.0390829689101284-0.203736270082861i</v>
      </c>
      <c r="K137" s="338" t="str">
        <f t="shared" si="61"/>
        <v>0.999360618204-0.0397191559193358i</v>
      </c>
      <c r="L137" s="732"/>
      <c r="M137" s="732" t="str">
        <f t="shared" si="62"/>
        <v>102.892959634216+205.101544328079i</v>
      </c>
      <c r="N137" s="337">
        <f t="shared" si="63"/>
        <v>0</v>
      </c>
      <c r="O137" s="730" t="str">
        <f t="shared" si="64"/>
        <v>63.3223958762496+72.4927178441439i</v>
      </c>
      <c r="P137" s="731" t="str">
        <f t="shared" si="65"/>
        <v>45.8079859720925-12.9470505332679i</v>
      </c>
      <c r="Q137" s="729" t="str">
        <f t="shared" si="66"/>
        <v>45.17476201333-13.6719777117093i</v>
      </c>
      <c r="R137" s="730"/>
      <c r="S137" s="405" t="str">
        <f t="shared" si="80"/>
        <v>38.7689945941809+3.36575664570107i</v>
      </c>
      <c r="T137" s="405" t="str">
        <f t="shared" si="81"/>
        <v>16.0983471114598-2.70376412263363i</v>
      </c>
      <c r="U137" s="405" t="str">
        <f t="shared" si="82"/>
        <v>2.03995064428843-7.74006894991165i</v>
      </c>
      <c r="V137" s="731" t="str">
        <f t="shared" si="67"/>
        <v>6000</v>
      </c>
      <c r="W137" s="733" t="str">
        <f>IMSUM(COMPLEX(1,0),IMDIV(COMPLEX(0,2*PI()*D137),COMPLEX(2*PI()*'Stability Calculations'!EA_Pole1,0)))</f>
        <v>1+48139.6169742349i</v>
      </c>
      <c r="X137" s="734">
        <f t="shared" si="83"/>
        <v>48139.61698462136</v>
      </c>
      <c r="Y137" s="735">
        <f t="shared" si="84"/>
        <v>1.5707755538834629</v>
      </c>
      <c r="Z137" s="340" t="str">
        <f>IMSUM(COMPLEX(1,0),IMDIV(COMPLEX(0,2*PI()*D137),COMPLEX(2*PI()*'Stability Calculations'!EA_Zero1,0)))</f>
        <v>1+476.629871032029i</v>
      </c>
      <c r="AA137" s="734">
        <f t="shared" si="85"/>
        <v>476.63092006290219</v>
      </c>
      <c r="AB137" s="735">
        <f t="shared" si="86"/>
        <v>1.5686982658182573</v>
      </c>
      <c r="AC137" s="733" t="str">
        <f>IMSUM(COMPLEX(1,0),IMDIV(COMPLEX(0,2*PI()*D137),COMPLEX(2*PI()*'Stability Calculations'!EA_Pole2,0)))</f>
        <v>1+4.80131009493568i</v>
      </c>
      <c r="AD137" s="734">
        <f t="shared" si="87"/>
        <v>4.9043428334213406</v>
      </c>
      <c r="AE137" s="735">
        <f t="shared" si="88"/>
        <v>1.3654554198150053</v>
      </c>
      <c r="AF137" s="732" t="str">
        <f t="shared" si="89"/>
        <v>2.44520331534061-11.8635827963389i</v>
      </c>
      <c r="AG137" s="337">
        <f t="shared" si="90"/>
        <v>12.112952407193756</v>
      </c>
      <c r="AH137" s="730">
        <f t="shared" si="91"/>
        <v>-1.3675327078802104</v>
      </c>
      <c r="AI137" s="731" t="str">
        <f t="shared" si="68"/>
        <v>10000</v>
      </c>
      <c r="AJ137" s="733" t="str">
        <f t="shared" si="92"/>
        <v>1+44879.3733304018i</v>
      </c>
      <c r="AK137" s="734">
        <f t="shared" si="93"/>
        <v>44879.373341542785</v>
      </c>
      <c r="AL137" s="735">
        <f t="shared" si="94"/>
        <v>1.5707740448438436</v>
      </c>
      <c r="AM137" s="340" t="str">
        <f t="shared" si="95"/>
        <v>1+76.1654533909182i</v>
      </c>
      <c r="AN137" s="734">
        <f t="shared" si="96"/>
        <v>76.17201776403283</v>
      </c>
      <c r="AO137" s="735">
        <f t="shared" si="97"/>
        <v>1.557667769137675</v>
      </c>
      <c r="AP137" s="733" t="str">
        <f t="shared" si="98"/>
        <v>1+3.69415003531957i</v>
      </c>
      <c r="AQ137" s="734">
        <f t="shared" si="99"/>
        <v>3.8271065419519723</v>
      </c>
      <c r="AR137" s="735">
        <f t="shared" si="100"/>
        <v>1.3064337878747601</v>
      </c>
      <c r="AS137" s="732" t="str">
        <f t="shared" si="101"/>
        <v>0.0475979920338883-30.8538097341142i</v>
      </c>
      <c r="AT137" s="337">
        <f t="shared" si="102"/>
        <v>30.853846448664481</v>
      </c>
      <c r="AU137" s="730">
        <f t="shared" si="103"/>
        <v>-1.5692536338605538</v>
      </c>
      <c r="AV137" s="732" t="str">
        <f t="shared" si="104"/>
        <v>-6.09622175288471-0.234249261659967i</v>
      </c>
      <c r="AW137" s="337">
        <f t="shared" si="105"/>
        <v>15.707622776463687</v>
      </c>
      <c r="AX137" s="730">
        <f t="shared" si="106"/>
        <v>-177.79947403457771</v>
      </c>
      <c r="AY137" s="360">
        <f t="shared" si="107"/>
        <v>2.2005259654222868</v>
      </c>
      <c r="BB137" s="337">
        <f t="shared" si="108"/>
        <v>-10.213813723507352</v>
      </c>
      <c r="BC137" s="730">
        <f t="shared" si="109"/>
        <v>-89.911610205777507</v>
      </c>
      <c r="BD137" s="351"/>
      <c r="BE137" s="337">
        <f t="shared" si="69"/>
        <v>47.214281080283492</v>
      </c>
      <c r="BF137" s="730">
        <f t="shared" si="70"/>
        <v>63.358526927715403</v>
      </c>
      <c r="BI137" s="351"/>
      <c r="BJ137" s="351"/>
      <c r="BL137" s="405">
        <f t="shared" si="71"/>
        <v>0</v>
      </c>
      <c r="BM137" s="405">
        <f t="shared" si="110"/>
        <v>0</v>
      </c>
      <c r="BN137" s="405">
        <f t="shared" si="73"/>
        <v>0</v>
      </c>
      <c r="BO137" s="405">
        <f t="shared" si="74"/>
        <v>0</v>
      </c>
    </row>
    <row r="138" spans="4:67" ht="13.5" thickBot="1" x14ac:dyDescent="0.25">
      <c r="D138" s="345">
        <v>7674.15</v>
      </c>
      <c r="E138" s="340" t="str">
        <f t="shared" si="60"/>
        <v>0.127295801226243i</v>
      </c>
      <c r="F138" s="728" t="str">
        <f t="shared" si="75"/>
        <v>0.005-0.339985200671864i</v>
      </c>
      <c r="G138" s="337" t="str">
        <f t="shared" si="76"/>
        <v>0.005-0.531771724127787i</v>
      </c>
      <c r="H138" s="338" t="str">
        <f t="shared" si="77"/>
        <v>0.197990200771483-0.443413375659603i</v>
      </c>
      <c r="I138" s="338" t="str">
        <f t="shared" si="78"/>
        <v>0.207990200771483-0.443413375659603i</v>
      </c>
      <c r="J138" s="337" t="str">
        <f t="shared" si="79"/>
        <v>0.0383052456308145-0.201522802348151i</v>
      </c>
      <c r="K138" s="338" t="str">
        <f t="shared" si="61"/>
        <v>0.99934563801975-0.0401817554375768i</v>
      </c>
      <c r="L138" s="732"/>
      <c r="M138" s="732" t="str">
        <f t="shared" si="62"/>
        <v>109.805296204876+212.77811198877i</v>
      </c>
      <c r="N138" s="337">
        <f t="shared" si="63"/>
        <v>0</v>
      </c>
      <c r="O138" s="730" t="str">
        <f t="shared" si="64"/>
        <v>66.6650397860314+74.9189967263965i</v>
      </c>
      <c r="P138" s="731" t="str">
        <f t="shared" si="65"/>
        <v>47.0857602490177-13.9777531592846i</v>
      </c>
      <c r="Q138" s="729" t="str">
        <f t="shared" si="66"/>
        <v>46.4191098511574-14.7269431265486i</v>
      </c>
      <c r="R138" s="730"/>
      <c r="S138" s="405" t="str">
        <f t="shared" si="80"/>
        <v>38.7999022278659+3.29959653657159i</v>
      </c>
      <c r="T138" s="405" t="str">
        <f t="shared" si="81"/>
        <v>16.085268407931-2.69363655955093i</v>
      </c>
      <c r="U138" s="405" t="str">
        <f t="shared" si="82"/>
        <v>1.99033104187884-7.66573680638235i</v>
      </c>
      <c r="V138" s="731" t="str">
        <f t="shared" si="67"/>
        <v>6000</v>
      </c>
      <c r="W138" s="733" t="str">
        <f>IMSUM(COMPLEX(1,0),IMDIV(COMPLEX(0,2*PI()*D138),COMPLEX(2*PI()*'Stability Calculations'!EA_Pole1,0)))</f>
        <v>1+48700.2875903431i</v>
      </c>
      <c r="X138" s="734">
        <f t="shared" si="83"/>
        <v>48700.287600609976</v>
      </c>
      <c r="Y138" s="735">
        <f t="shared" si="84"/>
        <v>1.5707757930352551</v>
      </c>
      <c r="Z138" s="340" t="str">
        <f>IMSUM(COMPLEX(1,0),IMDIV(COMPLEX(0,2*PI()*D138),COMPLEX(2*PI()*'Stability Calculations'!EA_Zero1,0)))</f>
        <v>1+482.181065250922i</v>
      </c>
      <c r="AA138" s="734">
        <f t="shared" si="85"/>
        <v>482.18210220466909</v>
      </c>
      <c r="AB138" s="735">
        <f t="shared" si="86"/>
        <v>1.5687224200441561</v>
      </c>
      <c r="AC138" s="733" t="str">
        <f>IMSUM(COMPLEX(1,0),IMDIV(COMPLEX(0,2*PI()*D138),COMPLEX(2*PI()*'Stability Calculations'!EA_Pole2,0)))</f>
        <v>1+4.85722980635537i</v>
      </c>
      <c r="AD138" s="734">
        <f t="shared" si="87"/>
        <v>4.9591008652523927</v>
      </c>
      <c r="AE138" s="735">
        <f t="shared" si="88"/>
        <v>1.3677546451748315</v>
      </c>
      <c r="AF138" s="732" t="str">
        <f t="shared" si="89"/>
        <v>2.39150192723864-11.73805717345i</v>
      </c>
      <c r="AG138" s="337">
        <f t="shared" si="90"/>
        <v>11.979201462333252</v>
      </c>
      <c r="AH138" s="730">
        <f t="shared" si="91"/>
        <v>-1.3698080181659302</v>
      </c>
      <c r="AI138" s="731" t="str">
        <f t="shared" si="68"/>
        <v>10000</v>
      </c>
      <c r="AJ138" s="733" t="str">
        <f t="shared" si="92"/>
        <v>1+45402.0726678139i</v>
      </c>
      <c r="AK138" s="734">
        <f t="shared" si="93"/>
        <v>45402.072678826618</v>
      </c>
      <c r="AL138" s="735">
        <f t="shared" si="94"/>
        <v>1.5707743013687194</v>
      </c>
      <c r="AM138" s="340" t="str">
        <f t="shared" si="95"/>
        <v>1+77.0525342270973i</v>
      </c>
      <c r="AN138" s="734">
        <f t="shared" si="96"/>
        <v>77.059023033114045</v>
      </c>
      <c r="AO138" s="735">
        <f t="shared" si="97"/>
        <v>1.5578188968958753</v>
      </c>
      <c r="AP138" s="733" t="str">
        <f t="shared" si="98"/>
        <v>1+3.73717491807689i</v>
      </c>
      <c r="AQ138" s="734">
        <f t="shared" si="99"/>
        <v>3.8686530431537807</v>
      </c>
      <c r="AR138" s="735">
        <f t="shared" si="100"/>
        <v>1.3093397501498791</v>
      </c>
      <c r="AS138" s="732" t="str">
        <f t="shared" si="101"/>
        <v>0.0465083427968701-30.4986014910758i</v>
      </c>
      <c r="AT138" s="337">
        <f t="shared" si="102"/>
        <v>30.498636952122972</v>
      </c>
      <c r="AU138" s="730">
        <f t="shared" si="103"/>
        <v>-1.5692713943562728</v>
      </c>
      <c r="AV138" s="732" t="str">
        <f t="shared" si="104"/>
        <v>-5.95458329779325-0.217992909388776i</v>
      </c>
      <c r="AW138" s="337">
        <f t="shared" si="105"/>
        <v>15.502844181859656</v>
      </c>
      <c r="AX138" s="730">
        <f t="shared" si="106"/>
        <v>-177.90338002863737</v>
      </c>
      <c r="AY138" s="360">
        <f t="shared" si="107"/>
        <v>2.0966199713626281</v>
      </c>
      <c r="BB138" s="337">
        <f t="shared" si="108"/>
        <v>-10.314391394965538</v>
      </c>
      <c r="BC138" s="730">
        <f t="shared" si="109"/>
        <v>-89.912627807224268</v>
      </c>
      <c r="BD138" s="351"/>
      <c r="BE138" s="337">
        <f t="shared" si="69"/>
        <v>47.583950318944552</v>
      </c>
      <c r="BF138" s="730">
        <f t="shared" si="70"/>
        <v>62.703758729928438</v>
      </c>
      <c r="BI138" s="351"/>
      <c r="BJ138" s="351"/>
      <c r="BL138" s="405">
        <f t="shared" si="71"/>
        <v>0</v>
      </c>
      <c r="BM138" s="405">
        <f t="shared" si="110"/>
        <v>0</v>
      </c>
      <c r="BN138" s="405">
        <f t="shared" si="73"/>
        <v>0</v>
      </c>
      <c r="BO138" s="405">
        <f t="shared" si="74"/>
        <v>0</v>
      </c>
    </row>
    <row r="139" spans="4:67" ht="13.5" thickBot="1" x14ac:dyDescent="0.25">
      <c r="D139" s="345">
        <v>7762.5</v>
      </c>
      <c r="E139" s="340" t="str">
        <f t="shared" si="60"/>
        <v>0.128761316500031i</v>
      </c>
      <c r="F139" s="728" t="str">
        <f t="shared" si="75"/>
        <v>0.005-0.336115610658421i</v>
      </c>
      <c r="G139" s="337" t="str">
        <f t="shared" si="76"/>
        <v>0.005-0.525719288465735i</v>
      </c>
      <c r="H139" s="338" t="str">
        <f t="shared" si="77"/>
        <v>0.194304228354922-0.439952786049123i</v>
      </c>
      <c r="I139" s="338" t="str">
        <f t="shared" si="78"/>
        <v>0.204304228354922-0.439952786049123i</v>
      </c>
      <c r="J139" s="337" t="str">
        <f t="shared" si="79"/>
        <v>0.0375529580903022-0.199355458583167i</v>
      </c>
      <c r="K139" s="338" t="str">
        <f t="shared" si="61"/>
        <v>0.999330484375-0.040644354955818i</v>
      </c>
      <c r="L139" s="732"/>
      <c r="M139" s="732" t="str">
        <f t="shared" si="62"/>
        <v>117.467569737836+220.822079802416i</v>
      </c>
      <c r="N139" s="337">
        <f t="shared" si="63"/>
        <v>0</v>
      </c>
      <c r="O139" s="730" t="str">
        <f t="shared" si="64"/>
        <v>70.3342054138571+77.4259584749985i</v>
      </c>
      <c r="P139" s="731" t="str">
        <f t="shared" si="65"/>
        <v>48.433341707634-15.125278925503i</v>
      </c>
      <c r="Q139" s="729" t="str">
        <f t="shared" si="66"/>
        <v>47.7299996534954-15.899538510253i</v>
      </c>
      <c r="R139" s="730"/>
      <c r="S139" s="405" t="str">
        <f t="shared" si="80"/>
        <v>38.8298385861541+3.23423273289863i</v>
      </c>
      <c r="T139" s="405" t="str">
        <f t="shared" si="81"/>
        <v>16.0725630915223-2.68382287106753i</v>
      </c>
      <c r="U139" s="405" t="str">
        <f t="shared" si="82"/>
        <v>1.94221161979549-7.59264704306959i</v>
      </c>
      <c r="V139" s="731" t="str">
        <f t="shared" si="67"/>
        <v>6000</v>
      </c>
      <c r="W139" s="733" t="str">
        <f>IMSUM(COMPLEX(1,0),IMDIV(COMPLEX(0,2*PI()*D139),COMPLEX(2*PI()*'Stability Calculations'!EA_Pole1,0)))</f>
        <v>1+49260.9582064513i</v>
      </c>
      <c r="X139" s="734">
        <f t="shared" si="83"/>
        <v>49260.958216601328</v>
      </c>
      <c r="Y139" s="735">
        <f t="shared" si="84"/>
        <v>1.5707760267431665</v>
      </c>
      <c r="Z139" s="340" t="str">
        <f>IMSUM(COMPLEX(1,0),IMDIV(COMPLEX(0,2*PI()*D139),COMPLEX(2*PI()*'Stability Calculations'!EA_Zero1,0)))</f>
        <v>1+487.732259469815i</v>
      </c>
      <c r="AA139" s="734">
        <f t="shared" si="85"/>
        <v>487.73328462135015</v>
      </c>
      <c r="AB139" s="735">
        <f t="shared" si="86"/>
        <v>1.5687460244428642</v>
      </c>
      <c r="AC139" s="733" t="str">
        <f>IMSUM(COMPLEX(1,0),IMDIV(COMPLEX(0,2*PI()*D139),COMPLEX(2*PI()*'Stability Calculations'!EA_Pole2,0)))</f>
        <v>1+4.91314951777508i</v>
      </c>
      <c r="AD139" s="734">
        <f t="shared" si="87"/>
        <v>5.0138845403552637</v>
      </c>
      <c r="AE139" s="735">
        <f t="shared" si="88"/>
        <v>1.370003637726565</v>
      </c>
      <c r="AF139" s="732" t="str">
        <f t="shared" si="89"/>
        <v>2.33952645511441-11.6150376414474i</v>
      </c>
      <c r="AG139" s="337">
        <f t="shared" si="90"/>
        <v>11.848311417515163</v>
      </c>
      <c r="AH139" s="730">
        <f t="shared" si="91"/>
        <v>-1.3720336400268669</v>
      </c>
      <c r="AI139" s="731" t="str">
        <f t="shared" si="68"/>
        <v>10000</v>
      </c>
      <c r="AJ139" s="733" t="str">
        <f t="shared" si="92"/>
        <v>1+45924.7720052261i</v>
      </c>
      <c r="AK139" s="734">
        <f t="shared" si="93"/>
        <v>45924.772016113471</v>
      </c>
      <c r="AL139" s="735">
        <f t="shared" si="94"/>
        <v>1.5707745520542462</v>
      </c>
      <c r="AM139" s="340" t="str">
        <f t="shared" si="95"/>
        <v>1+77.9396150632764i</v>
      </c>
      <c r="AN139" s="734">
        <f t="shared" si="96"/>
        <v>77.946030022135858</v>
      </c>
      <c r="AO139" s="735">
        <f t="shared" si="97"/>
        <v>1.5579665850626365</v>
      </c>
      <c r="AP139" s="733" t="str">
        <f t="shared" si="98"/>
        <v>1+3.78019980083421i</v>
      </c>
      <c r="AQ139" s="734">
        <f t="shared" si="99"/>
        <v>3.9102315192616151</v>
      </c>
      <c r="AR139" s="735">
        <f t="shared" si="100"/>
        <v>1.3121839363625272</v>
      </c>
      <c r="AS139" s="732" t="str">
        <f t="shared" si="101"/>
        <v>0.0454556873000505-30.1514788987456i</v>
      </c>
      <c r="AT139" s="337">
        <f t="shared" si="102"/>
        <v>30.151513162708923</v>
      </c>
      <c r="AU139" s="730">
        <f t="shared" si="103"/>
        <v>-1.5692887505656949</v>
      </c>
      <c r="AV139" s="732" t="str">
        <f t="shared" si="104"/>
        <v>-5.81780645743456-0.202629651462697i</v>
      </c>
      <c r="AW139" s="337">
        <f t="shared" si="105"/>
        <v>15.300450509706645</v>
      </c>
      <c r="AX139" s="730">
        <f t="shared" si="106"/>
        <v>-178.00523912148614</v>
      </c>
      <c r="AY139" s="360">
        <f t="shared" si="107"/>
        <v>1.9947608785138584</v>
      </c>
      <c r="BB139" s="337">
        <f t="shared" si="108"/>
        <v>-10.413817755568086</v>
      </c>
      <c r="BC139" s="730">
        <f t="shared" si="109"/>
        <v>-89.913622244772498</v>
      </c>
      <c r="BD139" s="351"/>
      <c r="BE139" s="337">
        <f t="shared" si="69"/>
        <v>47.963038269105816</v>
      </c>
      <c r="BF139" s="730">
        <f t="shared" si="70"/>
        <v>61.988999757690792</v>
      </c>
      <c r="BI139" s="351"/>
      <c r="BJ139" s="351"/>
      <c r="BL139" s="405">
        <f t="shared" si="71"/>
        <v>0</v>
      </c>
      <c r="BM139" s="405">
        <f t="shared" si="110"/>
        <v>0</v>
      </c>
      <c r="BN139" s="405">
        <f t="shared" si="73"/>
        <v>0</v>
      </c>
      <c r="BO139" s="405">
        <f t="shared" si="74"/>
        <v>0</v>
      </c>
    </row>
    <row r="140" spans="4:67" ht="13.5" thickBot="1" x14ac:dyDescent="0.25">
      <c r="D140" s="345">
        <v>7852.9</v>
      </c>
      <c r="E140" s="340" t="str">
        <f t="shared" si="60"/>
        <v>0.130260836372701i</v>
      </c>
      <c r="F140" s="728" t="str">
        <f t="shared" si="75"/>
        <v>0.005-0.332246358381742i</v>
      </c>
      <c r="G140" s="337" t="str">
        <f t="shared" si="76"/>
        <v>0.005-0.519667381058624i</v>
      </c>
      <c r="H140" s="338" t="str">
        <f t="shared" si="77"/>
        <v>0.190634455625161-0.436449226734294i</v>
      </c>
      <c r="I140" s="338" t="str">
        <f t="shared" si="78"/>
        <v>0.200634455625161-0.436449226734294i</v>
      </c>
      <c r="J140" s="337" t="str">
        <f t="shared" si="79"/>
        <v>0.0368084095106445-0.197184131286691i</v>
      </c>
      <c r="K140" s="338" t="str">
        <f t="shared" si="61"/>
        <v>0.999314799573222-0.0411176882489588i</v>
      </c>
      <c r="L140" s="732"/>
      <c r="M140" s="732" t="str">
        <f t="shared" si="62"/>
        <v>126.19478621102+229.441342521625i</v>
      </c>
      <c r="N140" s="337">
        <f t="shared" si="63"/>
        <v>0</v>
      </c>
      <c r="O140" s="730" t="str">
        <f t="shared" si="64"/>
        <v>74.4708095517172+80.0684448508438i</v>
      </c>
      <c r="P140" s="731" t="str">
        <f t="shared" si="65"/>
        <v>49.8872211753423-16.4382383977217i</v>
      </c>
      <c r="Q140" s="729" t="str">
        <f t="shared" si="66"/>
        <v>49.1425130798251-17.2389228462301i</v>
      </c>
      <c r="R140" s="730"/>
      <c r="S140" s="405" t="str">
        <f t="shared" si="80"/>
        <v>38.8595029501481+3.16815991928661i</v>
      </c>
      <c r="T140" s="405" t="str">
        <f t="shared" si="81"/>
        <v>16.059934162605-2.67409979711046i</v>
      </c>
      <c r="U140" s="405" t="str">
        <f t="shared" si="82"/>
        <v>1.89446801780495-7.51912140578217i</v>
      </c>
      <c r="V140" s="731" t="str">
        <f t="shared" si="67"/>
        <v>6000</v>
      </c>
      <c r="W140" s="733" t="str">
        <f>IMSUM(COMPLEX(1,0),IMDIV(COMPLEX(0,2*PI()*D140),COMPLEX(2*PI()*'Stability Calculations'!EA_Pole1,0)))</f>
        <v>1+49834.6381577381i</v>
      </c>
      <c r="X140" s="734">
        <f t="shared" si="83"/>
        <v>49834.638167771293</v>
      </c>
      <c r="Y140" s="735">
        <f t="shared" si="84"/>
        <v>1.5707762604306803</v>
      </c>
      <c r="Z140" s="340" t="str">
        <f>IMSUM(COMPLEX(1,0),IMDIV(COMPLEX(0,2*PI()*D140),COMPLEX(2*PI()*'Stability Calculations'!EA_Zero1,0)))</f>
        <v>1+493.412258987506i</v>
      </c>
      <c r="AA140" s="734">
        <f t="shared" si="85"/>
        <v>493.41327233785847</v>
      </c>
      <c r="AB140" s="735">
        <f t="shared" si="86"/>
        <v>1.5687696267836715</v>
      </c>
      <c r="AC140" s="733" t="str">
        <f>IMSUM(COMPLEX(1,0),IMDIV(COMPLEX(0,2*PI()*D140),COMPLEX(2*PI()*'Stability Calculations'!EA_Pole2,0)))</f>
        <v>1+4.97036674372122i</v>
      </c>
      <c r="AD140" s="734">
        <f t="shared" si="87"/>
        <v>5.0699650459435999</v>
      </c>
      <c r="AE140" s="735">
        <f t="shared" si="88"/>
        <v>1.3722544945520183</v>
      </c>
      <c r="AF140" s="732" t="str">
        <f t="shared" si="89"/>
        <v>2.28805619916841-11.4916845641377i</v>
      </c>
      <c r="AG140" s="337">
        <f t="shared" si="90"/>
        <v>11.717252890169847</v>
      </c>
      <c r="AH140" s="730">
        <f t="shared" si="91"/>
        <v>-1.3742611281990276</v>
      </c>
      <c r="AI140" s="731" t="str">
        <f t="shared" si="68"/>
        <v>10000</v>
      </c>
      <c r="AJ140" s="733" t="str">
        <f t="shared" si="92"/>
        <v>1+46459.5996238119i</v>
      </c>
      <c r="AK140" s="734">
        <f t="shared" si="93"/>
        <v>46459.599634573933</v>
      </c>
      <c r="AL140" s="735">
        <f t="shared" si="94"/>
        <v>1.5707748027178934</v>
      </c>
      <c r="AM140" s="340" t="str">
        <f t="shared" si="95"/>
        <v>1+78.8472789862034i</v>
      </c>
      <c r="AN140" s="734">
        <f t="shared" si="96"/>
        <v>78.853620104141015</v>
      </c>
      <c r="AO140" s="735">
        <f t="shared" si="97"/>
        <v>1.5581142608988541</v>
      </c>
      <c r="AP140" s="733" t="str">
        <f t="shared" si="98"/>
        <v>1+3.82422299722654i</v>
      </c>
      <c r="AQ140" s="734">
        <f t="shared" si="99"/>
        <v>3.952806791700846</v>
      </c>
      <c r="AR140" s="735">
        <f t="shared" si="100"/>
        <v>1.3150321600907451</v>
      </c>
      <c r="AS140" s="732" t="str">
        <f t="shared" si="101"/>
        <v>0.0444151715125649-29.8043865486917i</v>
      </c>
      <c r="AT140" s="337">
        <f t="shared" si="102"/>
        <v>29.80441964292033</v>
      </c>
      <c r="AU140" s="730">
        <f t="shared" si="103"/>
        <v>-1.5693061052611799</v>
      </c>
      <c r="AV140" s="732" t="str">
        <f t="shared" si="104"/>
        <v>-5.68266000102049-0.187775609390308i</v>
      </c>
      <c r="AW140" s="337">
        <f t="shared" si="105"/>
        <v>15.095772840133293</v>
      </c>
      <c r="AX140" s="730">
        <f t="shared" si="106"/>
        <v>-178.10742914068456</v>
      </c>
      <c r="AY140" s="360">
        <f t="shared" si="107"/>
        <v>1.8925708593154411</v>
      </c>
      <c r="BB140" s="337">
        <f t="shared" si="108"/>
        <v>-10.514386608266097</v>
      </c>
      <c r="BC140" s="730">
        <f t="shared" si="109"/>
        <v>-89.914616595578522</v>
      </c>
      <c r="BD140" s="351"/>
      <c r="BE140" s="337">
        <f t="shared" si="69"/>
        <v>48.361243558780259</v>
      </c>
      <c r="BF140" s="730">
        <f t="shared" si="70"/>
        <v>61.188813644417351</v>
      </c>
      <c r="BI140" s="351"/>
      <c r="BJ140" s="351"/>
      <c r="BL140" s="405">
        <f t="shared" si="71"/>
        <v>0</v>
      </c>
      <c r="BM140" s="405">
        <f t="shared" si="110"/>
        <v>0</v>
      </c>
      <c r="BN140" s="405">
        <f t="shared" si="73"/>
        <v>0</v>
      </c>
      <c r="BO140" s="405">
        <f t="shared" si="74"/>
        <v>0</v>
      </c>
    </row>
    <row r="141" spans="4:67" ht="13.5" thickBot="1" x14ac:dyDescent="0.25">
      <c r="D141" s="345">
        <v>7943.3</v>
      </c>
      <c r="E141" s="340" t="str">
        <f t="shared" ref="E141:E204" si="111">COMPLEX(0,2*PI()*D141*L)</f>
        <v>0.131760356245372i</v>
      </c>
      <c r="F141" s="728" t="str">
        <f t="shared" si="75"/>
        <v>0.005-0.328465175397629i</v>
      </c>
      <c r="G141" s="337" t="str">
        <f t="shared" si="76"/>
        <v>0.005-0.513753223057832i</v>
      </c>
      <c r="H141" s="338" t="str">
        <f t="shared" si="77"/>
        <v>0.187064155843309-0.432983581231053i</v>
      </c>
      <c r="I141" s="338" t="str">
        <f t="shared" si="78"/>
        <v>0.197064155843309-0.432983581231053i</v>
      </c>
      <c r="J141" s="337" t="str">
        <f t="shared" si="79"/>
        <v>0.0360882501816603-0.195058232993324i</v>
      </c>
      <c r="K141" s="338" t="str">
        <f t="shared" ref="K141:K204" si="112">IMSUM(COMPLEX(1,0),COMPLEX(0,2*PI()*D141/(Fsw*PI()*(-2)/PI())),IMPRODUCT(COMPLEX(0,2*PI()*D141/(Fsw*PI())),COMPLEX(0,2*PI()*D141/(Fsw*PI()))))</f>
        <v>0.999298933167889-0.0415910215420997i</v>
      </c>
      <c r="L141" s="732"/>
      <c r="M141" s="732" t="str">
        <f t="shared" ref="M141:M204" si="113">IF(Vin&gt;=Vout,IMDIV(COMPLEX(Vin,0),IMSUM(E141,J141)),IMDIV(IMSUM(COMPLEX(Vout,0),IMPRODUCT(J141,COMPLEX($B$4,0))),IMSUM(E141,IMPRODUCT(J141,COMPLEX((1-$B$11)^2,0)))))</f>
        <v>135.951650883977+238.455752163561i</v>
      </c>
      <c r="N141" s="337">
        <f t="shared" ref="N141:N204" si="114">IF(Vin&gt;=Vout,0,IMSUB(IMPRODUCT(M141,COMPLEX(1-$B$11,0)),COMPLEX($B$4/(1-$B$11),0)))</f>
        <v>0</v>
      </c>
      <c r="O141" s="730" t="str">
        <f t="shared" ref="O141:O204" si="115">IMDIV(IF(Vin&gt;=Vout,M141,N141),IMPRODUCT(I141,IMSUM(IMDIV(COMPLEX(1,0),F141),IMDIV(COMPLEX(1,0),I141))))</f>
        <v>79.0463087610973+82.7787063966461i</v>
      </c>
      <c r="P141" s="731" t="str">
        <f t="shared" ref="P141:P204" si="116">IF(Vin&gt;=Vout,IMDIV(IMPRODUCT(COMPLEX(Vin,0),J141),IMSUM(J141,E141)),IMPRODUCT(N141,J141))</f>
        <v>51.419014853829-17.9130379526193i</v>
      </c>
      <c r="Q141" s="729" t="str">
        <f t="shared" ref="Q141:Q204" si="117">IF(Vin&gt;=Vout,IMDIV(IMPRODUCT(P141,H141),IMSUM(COMPLEX($B$15,0),H141)),IMPRODUCT(O141,H141))</f>
        <v>50.6285517662181-18.7408250165858i</v>
      </c>
      <c r="R141" s="730"/>
      <c r="S141" s="405" t="str">
        <f t="shared" si="80"/>
        <v>38.8882272477535+3.10288731343688i</v>
      </c>
      <c r="T141" s="405" t="str">
        <f t="shared" si="81"/>
        <v>16.0476658228816-2.6646920993787i</v>
      </c>
      <c r="U141" s="405" t="str">
        <f t="shared" si="82"/>
        <v>1.84817513234578-7.44684419654307i</v>
      </c>
      <c r="V141" s="731" t="str">
        <f t="shared" ref="V141:V204" si="118">COMPLEX(AEA,0)</f>
        <v>6000</v>
      </c>
      <c r="W141" s="733" t="str">
        <f>IMSUM(COMPLEX(1,0),IMDIV(COMPLEX(0,2*PI()*D141),COMPLEX(2*PI()*'Stability Calculations'!EA_Pole1,0)))</f>
        <v>1+50408.3181090248i</v>
      </c>
      <c r="X141" s="734">
        <f t="shared" si="83"/>
        <v>50408.318118943804</v>
      </c>
      <c r="Y141" s="735">
        <f t="shared" si="84"/>
        <v>1.5707764887991573</v>
      </c>
      <c r="Z141" s="340" t="str">
        <f>IMSUM(COMPLEX(1,0),IMDIV(COMPLEX(0,2*PI()*D141),COMPLEX(2*PI()*'Stability Calculations'!EA_Zero1,0)))</f>
        <v>1+499.092258505196i</v>
      </c>
      <c r="AA141" s="734">
        <f t="shared" si="85"/>
        <v>499.09326032297554</v>
      </c>
      <c r="AB141" s="735">
        <f t="shared" si="86"/>
        <v>1.5687926919062081</v>
      </c>
      <c r="AC141" s="733" t="str">
        <f>IMSUM(COMPLEX(1,0),IMDIV(COMPLEX(0,2*PI()*D141),COMPLEX(2*PI()*'Stability Calculations'!EA_Pole2,0)))</f>
        <v>1+5.02758396966735i</v>
      </c>
      <c r="AD141" s="734">
        <f t="shared" si="87"/>
        <v>5.1260706756789949</v>
      </c>
      <c r="AE141" s="735">
        <f t="shared" si="88"/>
        <v>1.374456090382659</v>
      </c>
      <c r="AF141" s="732" t="str">
        <f t="shared" si="89"/>
        <v>2.23824404592088-11.3708093650833i</v>
      </c>
      <c r="AG141" s="337">
        <f t="shared" si="90"/>
        <v>11.589005221595437</v>
      </c>
      <c r="AH141" s="730">
        <f t="shared" si="91"/>
        <v>-1.3764398872756083</v>
      </c>
      <c r="AI141" s="731" t="str">
        <f t="shared" ref="AI141:AI204" si="119">COMPLEX(AIL,0)</f>
        <v>10000</v>
      </c>
      <c r="AJ141" s="733" t="str">
        <f t="shared" si="92"/>
        <v>1+46994.4272423977i</v>
      </c>
      <c r="AK141" s="734">
        <f t="shared" si="93"/>
        <v>46994.427253037262</v>
      </c>
      <c r="AL141" s="735">
        <f t="shared" si="94"/>
        <v>1.5707750476761047</v>
      </c>
      <c r="AM141" s="340" t="str">
        <f t="shared" si="95"/>
        <v>1+79.7549429091303i</v>
      </c>
      <c r="AN141" s="734">
        <f t="shared" si="96"/>
        <v>79.761211866662578</v>
      </c>
      <c r="AO141" s="735">
        <f t="shared" si="97"/>
        <v>1.5582585759724603</v>
      </c>
      <c r="AP141" s="733" t="str">
        <f t="shared" si="98"/>
        <v>1+3.86824619361886i</v>
      </c>
      <c r="AQ141" s="734">
        <f t="shared" si="99"/>
        <v>3.9954134472475809</v>
      </c>
      <c r="AR141" s="735">
        <f t="shared" si="100"/>
        <v>1.3178196597344727</v>
      </c>
      <c r="AS141" s="732" t="str">
        <f t="shared" si="101"/>
        <v>0.0434099783521991-29.4651944269465i</v>
      </c>
      <c r="AT141" s="337">
        <f t="shared" si="102"/>
        <v>29.465226404084856</v>
      </c>
      <c r="AU141" s="730">
        <f t="shared" si="103"/>
        <v>-1.5693230649417398</v>
      </c>
      <c r="AV141" s="732" t="str">
        <f t="shared" si="104"/>
        <v>-5.55215316214665-0.173741726867987i</v>
      </c>
      <c r="AW141" s="337">
        <f t="shared" si="105"/>
        <v>14.893479429566707</v>
      </c>
      <c r="AX141" s="730">
        <f t="shared" si="106"/>
        <v>-178.20764665818561</v>
      </c>
      <c r="AY141" s="360">
        <f t="shared" si="107"/>
        <v>1.7923533418143904</v>
      </c>
      <c r="BB141" s="337">
        <f t="shared" si="108"/>
        <v>-10.613804350723665</v>
      </c>
      <c r="BC141" s="730">
        <f t="shared" si="109"/>
        <v>-89.915588313696489</v>
      </c>
      <c r="BD141" s="351"/>
      <c r="BE141" s="337">
        <f t="shared" ref="BE141:BE204" si="120">20*LOG10(IMABS(M141))</f>
        <v>48.770486564861706</v>
      </c>
      <c r="BF141" s="730">
        <f t="shared" ref="BF141:BF204" si="121">180/PI()*IMARGUMENT(IMPRODUCT(COMPLEX(1,0),M141))</f>
        <v>60.311079950141192</v>
      </c>
      <c r="BI141" s="351"/>
      <c r="BJ141" s="351"/>
      <c r="BL141" s="405">
        <f t="shared" ref="BL141:BL204" si="122">SUM((AW142&lt;0)*(AW141&gt;0))*D141</f>
        <v>0</v>
      </c>
      <c r="BM141" s="405">
        <f t="shared" si="110"/>
        <v>0</v>
      </c>
      <c r="BN141" s="405">
        <f t="shared" ref="BN141:BN204" si="123">SUM((BB142&lt;0)*(BB141&gt;0))*D141</f>
        <v>0</v>
      </c>
      <c r="BO141" s="405">
        <f t="shared" ref="BO141:BO204" si="124">IF(BN141&gt;0,BC141,0)</f>
        <v>0</v>
      </c>
    </row>
    <row r="142" spans="4:67" ht="13.5" thickBot="1" x14ac:dyDescent="0.25">
      <c r="D142" s="345">
        <v>8035.8</v>
      </c>
      <c r="E142" s="340" t="str">
        <f t="shared" si="111"/>
        <v>0.133294710097385i</v>
      </c>
      <c r="F142" s="728" t="str">
        <f t="shared" ref="F142:F205" si="125">IMSUM(COMPLEX($B$8,0),IMDIV(COMPLEX(1,0),COMPLEX(0,2*PI()*D142*$B$6)))</f>
        <v>0.005-0.324684216597724i</v>
      </c>
      <c r="G142" s="337" t="str">
        <f t="shared" ref="G142:G205" si="126">IMSUM(COMPLEX($B$9,0),IMDIV(COMPLEX(1,0),COMPLEX(0,2*PI()*D142*$B$7)))</f>
        <v>0.005-0.507839415704133i</v>
      </c>
      <c r="H142" s="338" t="str">
        <f t="shared" ref="H142:H205" si="127">IMDIV(COMPLEX(1,0),IMSUM(IMDIV(COMPLEX(1,0),COMPLEX($B$5,0)), IMDIV(COMPLEX(1,0),G142)))</f>
        <v>0.183510424595264-0.429476776784135i</v>
      </c>
      <c r="I142" s="338" t="str">
        <f t="shared" ref="I142:I205" si="128">IMSUM(H142,COMPLEX($B$15,0))</f>
        <v>0.193510424595264-0.429476776784135i</v>
      </c>
      <c r="J142" s="337" t="str">
        <f t="shared" ref="J142:J205" si="129">IMDIV(COMPLEX(1,0),IMSUM(IMDIV(COMPLEX(1,0),F142),IMDIV(COMPLEX(1,0),IMSUM(COMPLEX($B$15,0),H142))))</f>
        <v>0.0353755181166318-0.192928551188055i</v>
      </c>
      <c r="K142" s="338" t="str">
        <f t="shared" si="112"/>
        <v>0.999282510204-0.0420753504095281i</v>
      </c>
      <c r="L142" s="732"/>
      <c r="M142" s="732" t="str">
        <f t="shared" si="113"/>
        <v>147.16429876442+248.080392145869i</v>
      </c>
      <c r="N142" s="337">
        <f t="shared" si="114"/>
        <v>0</v>
      </c>
      <c r="O142" s="730" t="str">
        <f t="shared" si="115"/>
        <v>84.2459346606627+85.6049485157577i</v>
      </c>
      <c r="P142" s="731" t="str">
        <f t="shared" si="116"/>
        <v>53.0678039519292-19.6162225404883i</v>
      </c>
      <c r="Q142" s="729" t="str">
        <f t="shared" si="117"/>
        <v>52.2253446053225-20.4722720256459i</v>
      </c>
      <c r="R142" s="730"/>
      <c r="S142" s="405" t="str">
        <f t="shared" ref="S142:S205" si="130">IMDIV(IMPRODUCT(COMPLEX($B$34,0),M142),IMSUM(COMPLEX(1,0),IMPRODUCT(M142,COMPLEX($B$29,0),K142,COMPLEX($B$34,0))))</f>
        <v>38.9166834367346+3.03690943723472i</v>
      </c>
      <c r="T142" s="405" t="str">
        <f t="shared" ref="T142:T205" si="131">IMDIV(IMPRODUCT(COMPLEX($B$34,0),O142),IMSUM(COMPLEX(1,0),IMPRODUCT(M142,COMPLEX($B$29,0),K142,COMPLEX($B$34,0))))</f>
        <v>16.0354708539455-2.6553854769538i</v>
      </c>
      <c r="U142" s="405" t="str">
        <f t="shared" ref="U142:U205" si="132">IMDIV(IMPRODUCT(COMPLEX($B$34,0),Q142),IMSUM(COMPLEX(1,0),IMPRODUCT(M142,COMPLEX($B$29,0),K142,COMPLEX($B$34,0))))</f>
        <v>1.802249669231-7.37415325290837i</v>
      </c>
      <c r="V142" s="731" t="str">
        <f t="shared" si="118"/>
        <v>6000</v>
      </c>
      <c r="W142" s="733" t="str">
        <f>IMSUM(COMPLEX(1,0),IMDIV(COMPLEX(0,2*PI()*D142),COMPLEX(2*PI()*'Stability Calculations'!EA_Pole1,0)))</f>
        <v>1+50995.324696348i</v>
      </c>
      <c r="X142" s="734">
        <f t="shared" ref="X142:X205" si="133">IMABS(W142)</f>
        <v>50995.324706152809</v>
      </c>
      <c r="Y142" s="735">
        <f t="shared" ref="Y142:Y205" si="134">IMARGUMENT(W142)</f>
        <v>1.5707767171540947</v>
      </c>
      <c r="Z142" s="340" t="str">
        <f>IMSUM(COMPLEX(1,0),IMDIV(COMPLEX(0,2*PI()*D142),COMPLEX(2*PI()*'Stability Calculations'!EA_Zero1,0)))</f>
        <v>1+504.904204914337i</v>
      </c>
      <c r="AA142" s="734">
        <f t="shared" ref="AA142:AA205" si="135">IMABS(Z142)</f>
        <v>504.9051952002265</v>
      </c>
      <c r="AB142" s="735">
        <f t="shared" ref="AB142:AB205" si="136">IMARGUMENT(Z142)</f>
        <v>1.5688157556633582</v>
      </c>
      <c r="AC142" s="733" t="str">
        <f>IMSUM(COMPLEX(1,0),IMDIV(COMPLEX(0,2*PI()*D142),COMPLEX(2*PI()*'Stability Calculations'!EA_Pole2,0)))</f>
        <v>1+5.08613035683568i</v>
      </c>
      <c r="AD142" s="734">
        <f t="shared" ref="AD142:AD205" si="137">IMABS(AC142)</f>
        <v>5.1835047995275785</v>
      </c>
      <c r="AE142" s="735">
        <f t="shared" ref="AE142:AE205" si="138">IMARGUMENT(AC142)</f>
        <v>1.3766594853700838</v>
      </c>
      <c r="AF142" s="732" t="str">
        <f t="shared" ref="AF142:AF205" si="139">IMPRODUCT(V142,IMDIV(Z142,IMPRODUCT(W142,AC142)))</f>
        <v>2.18891857637313-11.249618135558i</v>
      </c>
      <c r="AG142" s="337">
        <f t="shared" ref="AG142:AG205" si="140">IMABS(AF142)</f>
        <v>11.460596525917262</v>
      </c>
      <c r="AH142" s="730">
        <f t="shared" ref="AH142:AH205" si="141">IMARGUMENT(AF142)</f>
        <v>-1.3786204468608214</v>
      </c>
      <c r="AI142" s="731" t="str">
        <f t="shared" si="119"/>
        <v>10000</v>
      </c>
      <c r="AJ142" s="733" t="str">
        <f t="shared" ref="AJ142:AJ205" si="142">IMSUM(COMPLEX(1,0),IMDIV(COMPLEX(0,2*PI()*D142),COMPLEX(2*PI()*IL_Pole1,0)))</f>
        <v>1+47541.6789538932i</v>
      </c>
      <c r="AK142" s="734">
        <f t="shared" ref="AK142:AK205" si="143">IMABS(AJ142)</f>
        <v>47541.678964410283</v>
      </c>
      <c r="AL142" s="735">
        <f t="shared" ref="AL142:AL205" si="144">IMARGUMENT(AJ142)</f>
        <v>1.5707752926197927</v>
      </c>
      <c r="AM142" s="340" t="str">
        <f t="shared" ref="AM142:AM205" si="145">IMSUM(COMPLEX(1,0),IMDIV(COMPLEX(0,2*PI()*D142),COMPLEX(2*PI()*IL_Zero1,0)))</f>
        <v>1+80.683691945311i</v>
      </c>
      <c r="AN142" s="734">
        <f t="shared" ref="AN142:AN205" si="146">IMABS(AM142)</f>
        <v>80.689888746520424</v>
      </c>
      <c r="AO142" s="735">
        <f t="shared" ref="AO142:AO205" si="147">IMARGUMENT(AM142)</f>
        <v>1.5584028830119336</v>
      </c>
      <c r="AP142" s="733" t="str">
        <f t="shared" ref="AP142:AP205" si="148">IMSUM(COMPLEX(1,0),IMDIV(COMPLEX(0,2*PI()*D142),COMPLEX(2*PI()*IL_Pole2,0)))</f>
        <v>1+3.91329205275923i</v>
      </c>
      <c r="AQ142" s="734">
        <f t="shared" ref="AQ142:AQ205" si="149">IMABS(AP142)</f>
        <v>4.0390413083043049</v>
      </c>
      <c r="AR142" s="735">
        <f t="shared" ref="AR142:AR205" si="150">IMARGUMENT(AP142)</f>
        <v>1.3206110169438938</v>
      </c>
      <c r="AS142" s="732" t="str">
        <f t="shared" ref="AS142:AS205" si="151">_xlfn.SWITCH(IMONLIM_select,0,COMPLEX(1,0),1,IMPRODUCT(gm_IL,IMDIV(COMPLEX(1,0),IMSUM(COMPLEX(1/20000000,0),COMPLEX(0,2*PI()*D142*CISET),COMPLEX(1/RISET,0)))),2,IMPRODUCT(gm_IL,IMDIV(COMPLEX(1,0),IMSUM(COMPLEX(1/20000000,0),COMPLEX(0,2*PI()*D142*CcIL)))),3,IMPRODUCT(AI142,IMDIV(AM142,IMPRODUCT(AJ142,AP142))))</f>
        <v>0.0424163488972634-29.126022364865i</v>
      </c>
      <c r="AT142" s="337">
        <f t="shared" ref="AT142:AT205" si="152">IMABS(AS142)</f>
        <v>29.12605325040229</v>
      </c>
      <c r="AU142" s="730">
        <f t="shared" ref="AU142:AU205" si="153">IMARGUMENT(AS142)</f>
        <v>-1.5693400236176174</v>
      </c>
      <c r="AV142" s="732" t="str">
        <f t="shared" ref="AV142:AV205" si="154">IMPRODUCT(T142,AS142,COMPLEX($B$15,0),IMPRODUCT(COMPLEX(0.1,0),AF142))</f>
        <v>-5.42319931761215-0.160176784585133i</v>
      </c>
      <c r="AW142" s="337">
        <f t="shared" ref="AW142:AW205" si="155">20*LOG10(IMABS(AV142))</f>
        <v>14.688898217483624</v>
      </c>
      <c r="AX142" s="730">
        <f t="shared" ref="AX142:AX205" si="156">(180/PI())*IMARGUMENT(AV142)</f>
        <v>-178.30823357991613</v>
      </c>
      <c r="AY142" s="360">
        <f t="shared" ref="AY142:AY205" si="157">IF(AX142&gt;0,AX142-180,AX142+180)</f>
        <v>1.6917664200838658</v>
      </c>
      <c r="BB142" s="337">
        <f t="shared" ref="BB142:BB205" si="158">20*LOG10(IMPRODUCT(COMPLEX($B$15,0),IMABS(AS142)))</f>
        <v>-10.714367216268121</v>
      </c>
      <c r="BC142" s="730">
        <f t="shared" ref="BC142:BC205" si="159">(180/PI())*IMARGUMENT(AS142)</f>
        <v>-89.916559974250404</v>
      </c>
      <c r="BD142" s="351"/>
      <c r="BE142" s="337">
        <f t="shared" si="120"/>
        <v>49.201296516919641</v>
      </c>
      <c r="BF142" s="730">
        <f t="shared" si="121"/>
        <v>59.323067728602616</v>
      </c>
      <c r="BI142" s="351"/>
      <c r="BJ142" s="351"/>
      <c r="BL142" s="405">
        <f t="shared" si="122"/>
        <v>0</v>
      </c>
      <c r="BM142" s="405">
        <f t="shared" si="110"/>
        <v>0</v>
      </c>
      <c r="BN142" s="405">
        <f t="shared" si="123"/>
        <v>0</v>
      </c>
      <c r="BO142" s="405">
        <f t="shared" si="124"/>
        <v>0</v>
      </c>
    </row>
    <row r="143" spans="4:67" ht="13.5" thickBot="1" x14ac:dyDescent="0.25">
      <c r="D143" s="345">
        <v>8128.3</v>
      </c>
      <c r="E143" s="340" t="str">
        <f t="shared" si="111"/>
        <v>0.134829063949398i</v>
      </c>
      <c r="F143" s="728" t="str">
        <f t="shared" si="125"/>
        <v>0.005-0.320989312369867i</v>
      </c>
      <c r="G143" s="337" t="str">
        <f t="shared" si="126"/>
        <v>0.005-0.502060206527227i</v>
      </c>
      <c r="H143" s="338" t="str">
        <f t="shared" si="127"/>
        <v>0.180053951222442-0.426009817739163i</v>
      </c>
      <c r="I143" s="338" t="str">
        <f t="shared" si="128"/>
        <v>0.190053951222442-0.426009817739163i</v>
      </c>
      <c r="J143" s="337" t="str">
        <f t="shared" si="129"/>
        <v>0.0346861689163654-0.190843599753446i</v>
      </c>
      <c r="K143" s="338" t="str">
        <f t="shared" si="112"/>
        <v>0.999265897101222-0.0425596792769565i</v>
      </c>
      <c r="L143" s="732"/>
      <c r="M143" s="732" t="str">
        <f t="shared" si="113"/>
        <v>159.816164079113+258.086393641801i</v>
      </c>
      <c r="N143" s="337">
        <f t="shared" si="114"/>
        <v>0</v>
      </c>
      <c r="O143" s="730" t="str">
        <f t="shared" si="115"/>
        <v>90.0443630090248+88.4586653369103i</v>
      </c>
      <c r="P143" s="731" t="str">
        <f t="shared" si="116"/>
        <v>54.7975468727999-21.5478638067702i</v>
      </c>
      <c r="Q143" s="729" t="str">
        <f t="shared" si="117"/>
        <v>53.8971032427097-22.4324504601393i</v>
      </c>
      <c r="R143" s="730"/>
      <c r="S143" s="405" t="str">
        <f t="shared" si="130"/>
        <v>38.9442301269294+2.97173454723337i</v>
      </c>
      <c r="T143" s="405" t="str">
        <f t="shared" si="131"/>
        <v>16.0236239066905-2.6463952857843i</v>
      </c>
      <c r="U143" s="405" t="str">
        <f t="shared" si="132"/>
        <v>1.75772642393926-7.30271502771202i</v>
      </c>
      <c r="V143" s="731" t="str">
        <f t="shared" si="118"/>
        <v>6000</v>
      </c>
      <c r="W143" s="733" t="str">
        <f>IMSUM(COMPLEX(1,0),IMDIV(COMPLEX(0,2*PI()*D143),COMPLEX(2*PI()*'Stability Calculations'!EA_Pole1,0)))</f>
        <v>1+51582.3312836713i</v>
      </c>
      <c r="X143" s="734">
        <f t="shared" si="133"/>
        <v>51582.331293364543</v>
      </c>
      <c r="Y143" s="735">
        <f t="shared" si="134"/>
        <v>1.5707769403116767</v>
      </c>
      <c r="Z143" s="340" t="str">
        <f>IMSUM(COMPLEX(1,0),IMDIV(COMPLEX(0,2*PI()*D143),COMPLEX(2*PI()*'Stability Calculations'!EA_Zero1,0)))</f>
        <v>1+510.716151323478i</v>
      </c>
      <c r="AA143" s="734">
        <f t="shared" si="135"/>
        <v>510.71713033994234</v>
      </c>
      <c r="AB143" s="735">
        <f t="shared" si="136"/>
        <v>1.5688382944917381</v>
      </c>
      <c r="AC143" s="733" t="str">
        <f>IMSUM(COMPLEX(1,0),IMDIV(COMPLEX(0,2*PI()*D143),COMPLEX(2*PI()*'Stability Calculations'!EA_Pole2,0)))</f>
        <v>1+5.14467674400401i</v>
      </c>
      <c r="AD143" s="734">
        <f t="shared" si="137"/>
        <v>5.2409635373942169</v>
      </c>
      <c r="AE143" s="735">
        <f t="shared" si="138"/>
        <v>1.3788145772639837</v>
      </c>
      <c r="AF143" s="732" t="str">
        <f t="shared" si="139"/>
        <v>2.1411857287292-11.1308756502065i</v>
      </c>
      <c r="AG143" s="337">
        <f t="shared" si="140"/>
        <v>11.334949010263502</v>
      </c>
      <c r="AH143" s="730">
        <f t="shared" si="141"/>
        <v>-1.3807532230839223</v>
      </c>
      <c r="AI143" s="731" t="str">
        <f t="shared" si="119"/>
        <v>10000</v>
      </c>
      <c r="AJ143" s="733" t="str">
        <f t="shared" si="142"/>
        <v>1+48088.9306653886i</v>
      </c>
      <c r="AK143" s="734">
        <f t="shared" si="143"/>
        <v>48088.930675786003</v>
      </c>
      <c r="AL143" s="735">
        <f t="shared" si="144"/>
        <v>1.5707755319885655</v>
      </c>
      <c r="AM143" s="340" t="str">
        <f t="shared" si="145"/>
        <v>1+81.6124409814918i</v>
      </c>
      <c r="AN143" s="734">
        <f t="shared" si="146"/>
        <v>81.618567268468297</v>
      </c>
      <c r="AO143" s="735">
        <f t="shared" si="147"/>
        <v>1.5585439061238637</v>
      </c>
      <c r="AP143" s="733" t="str">
        <f t="shared" si="148"/>
        <v>1+3.95833791189961i</v>
      </c>
      <c r="AQ143" s="734">
        <f t="shared" si="149"/>
        <v>4.0826999675192601</v>
      </c>
      <c r="AR143" s="735">
        <f t="shared" si="150"/>
        <v>1.3233426958834833</v>
      </c>
      <c r="AS143" s="732" t="str">
        <f t="shared" si="151"/>
        <v>0.0414564484470518-28.7945698058491i</v>
      </c>
      <c r="AT143" s="337">
        <f t="shared" si="152"/>
        <v>28.794599648910463</v>
      </c>
      <c r="AU143" s="730">
        <f t="shared" si="153"/>
        <v>-1.5693565963150666</v>
      </c>
      <c r="AV143" s="732" t="str">
        <f t="shared" si="154"/>
        <v>-5.29867313791155-0.14736491412181i</v>
      </c>
      <c r="AW143" s="337">
        <f t="shared" si="155"/>
        <v>14.486700515611123</v>
      </c>
      <c r="AX143" s="730">
        <f t="shared" si="156"/>
        <v>-178.4069197206972</v>
      </c>
      <c r="AY143" s="360">
        <f t="shared" si="157"/>
        <v>1.5930802793027965</v>
      </c>
      <c r="BB143" s="337">
        <f t="shared" si="158"/>
        <v>-10.813779107729392</v>
      </c>
      <c r="BC143" s="730">
        <f t="shared" si="159"/>
        <v>-89.917509519869398</v>
      </c>
      <c r="BD143" s="351"/>
      <c r="BE143" s="337">
        <f t="shared" si="120"/>
        <v>49.644943634352856</v>
      </c>
      <c r="BF143" s="730">
        <f t="shared" si="121"/>
        <v>58.23275307156743</v>
      </c>
      <c r="BI143" s="351"/>
      <c r="BJ143" s="351"/>
      <c r="BL143" s="405">
        <f t="shared" si="122"/>
        <v>0</v>
      </c>
      <c r="BM143" s="405">
        <f t="shared" si="110"/>
        <v>0</v>
      </c>
      <c r="BN143" s="405">
        <f t="shared" si="123"/>
        <v>0</v>
      </c>
      <c r="BO143" s="405">
        <f t="shared" si="124"/>
        <v>0</v>
      </c>
    </row>
    <row r="144" spans="4:67" ht="13.5" thickBot="1" x14ac:dyDescent="0.25">
      <c r="D144" s="345">
        <v>8222.9500000000007</v>
      </c>
      <c r="E144" s="340" t="str">
        <f t="shared" si="111"/>
        <v>0.136399081161215i</v>
      </c>
      <c r="F144" s="728" t="str">
        <f t="shared" si="125"/>
        <v>0.005-0.317294575272376i</v>
      </c>
      <c r="G144" s="337" t="str">
        <f t="shared" si="126"/>
        <v>0.005-0.496281258759359i</v>
      </c>
      <c r="H144" s="338" t="str">
        <f t="shared" si="127"/>
        <v>0.176614385298485-0.422503510537199i</v>
      </c>
      <c r="I144" s="338" t="str">
        <f t="shared" si="128"/>
        <v>0.186614385298485-0.422503510537199i</v>
      </c>
      <c r="J144" s="337" t="str">
        <f t="shared" si="129"/>
        <v>0.0340039552708339-0.188755080157612i</v>
      </c>
      <c r="K144" s="338" t="str">
        <f t="shared" si="112"/>
        <v>0.999248701036639-0.0430552655180603i</v>
      </c>
      <c r="L144" s="732"/>
      <c r="M144" s="732" t="str">
        <f t="shared" si="113"/>
        <v>174.49471043589+268.670065340725i</v>
      </c>
      <c r="N144" s="337">
        <f t="shared" si="114"/>
        <v>0</v>
      </c>
      <c r="O144" s="730" t="str">
        <f t="shared" si="115"/>
        <v>96.6886723824843+91.3669399739008i</v>
      </c>
      <c r="P144" s="731" t="str">
        <f t="shared" si="116"/>
        <v>56.6463500479984-23.8009181709476i</v>
      </c>
      <c r="Q144" s="729" t="str">
        <f t="shared" si="117"/>
        <v>55.6794633241735-24.7145875706866i</v>
      </c>
      <c r="R144" s="730"/>
      <c r="S144" s="405" t="str">
        <f t="shared" si="130"/>
        <v>38.9715123075765+2.90585805887604i</v>
      </c>
      <c r="T144" s="405" t="str">
        <f t="shared" si="131"/>
        <v>16.0118473682829-2.63751659846571i</v>
      </c>
      <c r="U144" s="405" t="str">
        <f t="shared" si="132"/>
        <v>1.71356255849055-7.23088509603789i</v>
      </c>
      <c r="V144" s="731" t="str">
        <f t="shared" si="118"/>
        <v>6000</v>
      </c>
      <c r="W144" s="733" t="str">
        <f>IMSUM(COMPLEX(1,0),IMDIV(COMPLEX(0,2*PI()*D144),COMPLEX(2*PI()*'Stability Calculations'!EA_Pole1,0)))</f>
        <v>1+52182.9818078891i</v>
      </c>
      <c r="X144" s="734">
        <f t="shared" si="133"/>
        <v>52182.981817470762</v>
      </c>
      <c r="Y144" s="735">
        <f t="shared" si="134"/>
        <v>1.5707771634591647</v>
      </c>
      <c r="Z144" s="340" t="str">
        <f>IMSUM(COMPLEX(1,0),IMDIV(COMPLEX(0,2*PI()*D144),COMPLEX(2*PI()*'Stability Calculations'!EA_Zero1,0)))</f>
        <v>1+516.663186216724i</v>
      </c>
      <c r="AA144" s="734">
        <f t="shared" si="135"/>
        <v>516.66415396427226</v>
      </c>
      <c r="AB144" s="735">
        <f t="shared" si="136"/>
        <v>1.5688608323026159</v>
      </c>
      <c r="AC144" s="733" t="str">
        <f>IMSUM(COMPLEX(1,0),IMDIV(COMPLEX(0,2*PI()*D144),COMPLEX(2*PI()*'Stability Calculations'!EA_Pole2,0)))</f>
        <v>1+5.20458393909032i</v>
      </c>
      <c r="AD144" s="734">
        <f t="shared" si="137"/>
        <v>5.2997824463874839</v>
      </c>
      <c r="AE144" s="735">
        <f t="shared" si="138"/>
        <v>1.3809713785910587</v>
      </c>
      <c r="AF144" s="732" t="str">
        <f t="shared" si="139"/>
        <v>2.09392215199341-11.0118352003499i</v>
      </c>
      <c r="AG144" s="337">
        <f t="shared" si="140"/>
        <v>11.209149140691894</v>
      </c>
      <c r="AH144" s="730">
        <f t="shared" si="141"/>
        <v>-1.3828877097476067</v>
      </c>
      <c r="AI144" s="731" t="str">
        <f t="shared" si="119"/>
        <v>10000</v>
      </c>
      <c r="AJ144" s="733" t="str">
        <f t="shared" si="142"/>
        <v>1+48648.9022815297i</v>
      </c>
      <c r="AK144" s="734">
        <f t="shared" si="143"/>
        <v>48648.902291807426</v>
      </c>
      <c r="AL144" s="735">
        <f t="shared" si="144"/>
        <v>1.5707757713465111</v>
      </c>
      <c r="AM144" s="340" t="str">
        <f t="shared" si="145"/>
        <v>1+82.5627771574325i</v>
      </c>
      <c r="AN144" s="734">
        <f t="shared" si="146"/>
        <v>82.568832933182833</v>
      </c>
      <c r="AO144" s="735">
        <f t="shared" si="147"/>
        <v>1.5586849233442763</v>
      </c>
      <c r="AP144" s="733" t="str">
        <f t="shared" si="148"/>
        <v>1+4.00443078290109i</v>
      </c>
      <c r="AQ144" s="734">
        <f t="shared" si="149"/>
        <v>4.1274042563148372</v>
      </c>
      <c r="AR144" s="735">
        <f t="shared" si="150"/>
        <v>1.3260780265125038</v>
      </c>
      <c r="AS144" s="732" t="str">
        <f t="shared" si="151"/>
        <v>0.0405075767517761-28.4631321918679i</v>
      </c>
      <c r="AT144" s="337">
        <f t="shared" si="152"/>
        <v>28.463161016224479</v>
      </c>
      <c r="AU144" s="730">
        <f t="shared" si="153"/>
        <v>-1.5693731682636793</v>
      </c>
      <c r="AV144" s="732" t="str">
        <f t="shared" si="154"/>
        <v>-5.17562773911333-0.13498511704716i</v>
      </c>
      <c r="AW144" s="337">
        <f t="shared" si="155"/>
        <v>14.282213765173795</v>
      </c>
      <c r="AX144" s="730">
        <f t="shared" si="156"/>
        <v>-178.5060122174269</v>
      </c>
      <c r="AY144" s="360">
        <f t="shared" si="157"/>
        <v>1.4939877825731003</v>
      </c>
      <c r="BB144" s="337">
        <f t="shared" si="158"/>
        <v>-10.914337407823931</v>
      </c>
      <c r="BC144" s="730">
        <f t="shared" si="159"/>
        <v>-89.918459022583221</v>
      </c>
      <c r="BD144" s="351"/>
      <c r="BE144" s="337">
        <f t="shared" si="120"/>
        <v>50.112828258961585</v>
      </c>
      <c r="BF144" s="730">
        <f t="shared" si="121"/>
        <v>56.997250627175262</v>
      </c>
      <c r="BI144" s="351"/>
      <c r="BJ144" s="351"/>
      <c r="BL144" s="405">
        <f t="shared" si="122"/>
        <v>0</v>
      </c>
      <c r="BM144" s="405">
        <f t="shared" si="110"/>
        <v>0</v>
      </c>
      <c r="BN144" s="405">
        <f t="shared" si="123"/>
        <v>0</v>
      </c>
      <c r="BO144" s="405">
        <f t="shared" si="124"/>
        <v>0</v>
      </c>
    </row>
    <row r="145" spans="4:67" ht="13.5" thickBot="1" x14ac:dyDescent="0.25">
      <c r="D145" s="345">
        <v>8270.2750000000015</v>
      </c>
      <c r="E145" s="340" t="str">
        <f t="shared" si="111"/>
        <v>0.137184089767124i</v>
      </c>
      <c r="F145" s="728" t="str">
        <f t="shared" si="125"/>
        <v>0.005-0.315478920318368i</v>
      </c>
      <c r="G145" s="337" t="str">
        <f t="shared" si="126"/>
        <v>0.005-0.493441388190268i</v>
      </c>
      <c r="H145" s="338" t="str">
        <f t="shared" si="127"/>
        <v>0.174930435846115-0.420765979697836i</v>
      </c>
      <c r="I145" s="338" t="str">
        <f t="shared" si="128"/>
        <v>0.184930435846115-0.420765979697836i</v>
      </c>
      <c r="J145" s="337" t="str">
        <f t="shared" si="129"/>
        <v>0.0336713154082645-0.187727415715212i</v>
      </c>
      <c r="K145" s="338" t="str">
        <f t="shared" si="112"/>
        <v>0.99924002834916-0.0433030586386122i</v>
      </c>
      <c r="L145" s="732"/>
      <c r="M145" s="732" t="str">
        <f t="shared" si="113"/>
        <v>182.580250485155+274.067496326257i</v>
      </c>
      <c r="N145" s="337">
        <f t="shared" si="114"/>
        <v>0</v>
      </c>
      <c r="O145" s="730" t="str">
        <f t="shared" si="115"/>
        <v>100.313430395213+92.7990747781155i</v>
      </c>
      <c r="P145" s="731" t="str">
        <f t="shared" si="116"/>
        <v>57.5977000182721-25.0471054722595i</v>
      </c>
      <c r="Q145" s="729" t="str">
        <f t="shared" si="117"/>
        <v>56.59456571432-25.9750962200407i</v>
      </c>
      <c r="R145" s="730"/>
      <c r="S145" s="405" t="str">
        <f t="shared" si="130"/>
        <v>38.9848213822975+2.87322268701404i</v>
      </c>
      <c r="T145" s="405" t="str">
        <f t="shared" si="131"/>
        <v>16.0060858396341-2.63319659209107i</v>
      </c>
      <c r="U145" s="405" t="str">
        <f t="shared" si="132"/>
        <v>1.69199202830931-7.19544261696432i</v>
      </c>
      <c r="V145" s="731" t="str">
        <f t="shared" si="118"/>
        <v>6000</v>
      </c>
      <c r="W145" s="733" t="str">
        <f>IMSUM(COMPLEX(1,0),IMDIV(COMPLEX(0,2*PI()*D145),COMPLEX(2*PI()*'Stability Calculations'!EA_Pole1,0)))</f>
        <v>1+52483.3070699981i</v>
      </c>
      <c r="X145" s="734">
        <f t="shared" si="133"/>
        <v>52483.307079524951</v>
      </c>
      <c r="Y145" s="735">
        <f t="shared" si="134"/>
        <v>1.5707772731175331</v>
      </c>
      <c r="Z145" s="340" t="str">
        <f>IMSUM(COMPLEX(1,0),IMDIV(COMPLEX(0,2*PI()*D145),COMPLEX(2*PI()*'Stability Calculations'!EA_Zero1,0)))</f>
        <v>1+519.636703663347i</v>
      </c>
      <c r="AA145" s="734">
        <f t="shared" si="135"/>
        <v>519.6376658731632</v>
      </c>
      <c r="AB145" s="735">
        <f t="shared" si="136"/>
        <v>1.568871907756582</v>
      </c>
      <c r="AC145" s="733" t="str">
        <f>IMSUM(COMPLEX(1,0),IMDIV(COMPLEX(0,2*PI()*D145),COMPLEX(2*PI()*'Stability Calculations'!EA_Pole2,0)))</f>
        <v>1+5.23453753663347i</v>
      </c>
      <c r="AD145" s="734">
        <f t="shared" si="137"/>
        <v>5.3292009928717077</v>
      </c>
      <c r="AE145" s="735">
        <f t="shared" si="138"/>
        <v>1.3820319231720333</v>
      </c>
      <c r="AF145" s="732" t="str">
        <f t="shared" si="139"/>
        <v>2.07086799271708-10.9532264038182i</v>
      </c>
      <c r="AG145" s="337">
        <f t="shared" si="140"/>
        <v>11.147271544936917</v>
      </c>
      <c r="AH145" s="730">
        <f t="shared" si="141"/>
        <v>-1.3839372885329853</v>
      </c>
      <c r="AI145" s="731" t="str">
        <f t="shared" si="119"/>
        <v>10000</v>
      </c>
      <c r="AJ145" s="733" t="str">
        <f t="shared" si="142"/>
        <v>1+48928.8880896002i</v>
      </c>
      <c r="AK145" s="734">
        <f t="shared" si="143"/>
        <v>48928.888099819109</v>
      </c>
      <c r="AL145" s="735">
        <f t="shared" si="144"/>
        <v>1.5707758889709666</v>
      </c>
      <c r="AM145" s="340" t="str">
        <f t="shared" si="145"/>
        <v>1+83.0379452454028i</v>
      </c>
      <c r="AN145" s="734">
        <f t="shared" si="146"/>
        <v>83.043966370703373</v>
      </c>
      <c r="AO145" s="735">
        <f t="shared" si="147"/>
        <v>1.5587542217169597</v>
      </c>
      <c r="AP145" s="733" t="str">
        <f t="shared" si="148"/>
        <v>1+4.02747721840183i</v>
      </c>
      <c r="AQ145" s="734">
        <f t="shared" si="149"/>
        <v>4.1497677940754398</v>
      </c>
      <c r="AR145" s="735">
        <f t="shared" si="150"/>
        <v>1.3274235865857791</v>
      </c>
      <c r="AS145" s="732" t="str">
        <f t="shared" si="151"/>
        <v>0.0400453110213332-28.3002582461667i</v>
      </c>
      <c r="AT145" s="337">
        <f t="shared" si="152"/>
        <v>28.300286578525334</v>
      </c>
      <c r="AU145" s="730">
        <f t="shared" si="153"/>
        <v>-1.5693813119937641</v>
      </c>
      <c r="AV145" s="732" t="str">
        <f t="shared" si="154"/>
        <v>-5.11570166241172-0.129057289279215i</v>
      </c>
      <c r="AW145" s="337">
        <f t="shared" si="155"/>
        <v>14.18086731376941</v>
      </c>
      <c r="AX145" s="730">
        <f t="shared" si="156"/>
        <v>-178.5548668819097</v>
      </c>
      <c r="AY145" s="360">
        <f t="shared" si="157"/>
        <v>1.4451331180902969</v>
      </c>
      <c r="BB145" s="337">
        <f t="shared" si="158"/>
        <v>-10.964183332735391</v>
      </c>
      <c r="BC145" s="730">
        <f t="shared" si="159"/>
        <v>-89.918925623946564</v>
      </c>
      <c r="BD145" s="351"/>
      <c r="BE145" s="337">
        <f t="shared" si="120"/>
        <v>50.352237112948814</v>
      </c>
      <c r="BF145" s="730">
        <f t="shared" si="121"/>
        <v>56.32895644231148</v>
      </c>
      <c r="BI145" s="351"/>
      <c r="BJ145" s="351"/>
      <c r="BL145" s="405">
        <f t="shared" si="122"/>
        <v>0</v>
      </c>
      <c r="BM145" s="405">
        <f t="shared" si="110"/>
        <v>0</v>
      </c>
      <c r="BN145" s="405">
        <f t="shared" si="123"/>
        <v>0</v>
      </c>
      <c r="BO145" s="405">
        <f t="shared" si="124"/>
        <v>0</v>
      </c>
    </row>
    <row r="146" spans="4:67" ht="13.5" thickBot="1" x14ac:dyDescent="0.25">
      <c r="D146" s="345">
        <v>8317.6</v>
      </c>
      <c r="E146" s="340" t="str">
        <f t="shared" si="111"/>
        <v>0.137969098373032i</v>
      </c>
      <c r="F146" s="728" t="str">
        <f t="shared" si="125"/>
        <v>0.005-0.313683926581705i</v>
      </c>
      <c r="G146" s="337" t="str">
        <f t="shared" si="126"/>
        <v>0.005-0.490633833884205i</v>
      </c>
      <c r="H146" s="338" t="str">
        <f t="shared" si="127"/>
        <v>0.173269825248283-0.419038847940877i</v>
      </c>
      <c r="I146" s="338" t="str">
        <f t="shared" si="128"/>
        <v>0.183269825248283-0.419038847940877i</v>
      </c>
      <c r="J146" s="337" t="str">
        <f t="shared" si="129"/>
        <v>0.0333441563354192-0.186710588682857i</v>
      </c>
      <c r="K146" s="338" t="str">
        <f t="shared" si="112"/>
        <v>0.999231305891556-0.0435508517591641i</v>
      </c>
      <c r="L146" s="732"/>
      <c r="M146" s="732" t="str">
        <f t="shared" si="113"/>
        <v>191.217369269039+279.515830526408i</v>
      </c>
      <c r="N146" s="337">
        <f t="shared" si="114"/>
        <v>0</v>
      </c>
      <c r="O146" s="730" t="str">
        <f t="shared" si="115"/>
        <v>104.159526902374+94.2042701275885i</v>
      </c>
      <c r="P146" s="731" t="str">
        <f t="shared" si="116"/>
        <v>58.5645471187177-26.3820880313124i</v>
      </c>
      <c r="Q146" s="729" t="str">
        <f t="shared" si="117"/>
        <v>57.522951849694-27.3241307325883i</v>
      </c>
      <c r="R146" s="730"/>
      <c r="S146" s="405" t="str">
        <f t="shared" si="130"/>
        <v>38.9979149130137+2.84078625272524i</v>
      </c>
      <c r="T146" s="405" t="str">
        <f t="shared" si="131"/>
        <v>16.00040651468-2.62895496700802i</v>
      </c>
      <c r="U146" s="405" t="str">
        <f t="shared" si="132"/>
        <v>1.67075338003661-7.16031048021629i</v>
      </c>
      <c r="V146" s="731" t="str">
        <f t="shared" si="118"/>
        <v>6000</v>
      </c>
      <c r="W146" s="733" t="str">
        <f>IMSUM(COMPLEX(1,0),IMDIV(COMPLEX(0,2*PI()*D146),COMPLEX(2*PI()*'Stability Calculations'!EA_Pole1,0)))</f>
        <v>1+52783.6323321069i</v>
      </c>
      <c r="X146" s="734">
        <f t="shared" si="133"/>
        <v>52783.632341579534</v>
      </c>
      <c r="Y146" s="735">
        <f t="shared" si="134"/>
        <v>1.5707773815280459</v>
      </c>
      <c r="Z146" s="340" t="str">
        <f>IMSUM(COMPLEX(1,0),IMDIV(COMPLEX(0,2*PI()*D146),COMPLEX(2*PI()*'Stability Calculations'!EA_Zero1,0)))</f>
        <v>1+522.610221109969i</v>
      </c>
      <c r="AA146" s="734">
        <f t="shared" si="135"/>
        <v>522.61117784506928</v>
      </c>
      <c r="AB146" s="735">
        <f t="shared" si="136"/>
        <v>1.5688828571780558</v>
      </c>
      <c r="AC146" s="733" t="str">
        <f>IMSUM(COMPLEX(1,0),IMDIV(COMPLEX(0,2*PI()*D146),COMPLEX(2*PI()*'Stability Calculations'!EA_Pole2,0)))</f>
        <v>1+5.26449113417661i</v>
      </c>
      <c r="AD146" s="734">
        <f t="shared" si="137"/>
        <v>5.3586254675825344</v>
      </c>
      <c r="AE146" s="735">
        <f t="shared" si="138"/>
        <v>1.3830808219175883</v>
      </c>
      <c r="AF146" s="732" t="str">
        <f t="shared" si="139"/>
        <v>2.04818795688055-10.8952134798051i</v>
      </c>
      <c r="AG146" s="337">
        <f t="shared" si="140"/>
        <v>11.086061098390054</v>
      </c>
      <c r="AH146" s="730">
        <f t="shared" si="141"/>
        <v>-1.3849753462675787</v>
      </c>
      <c r="AI146" s="731" t="str">
        <f t="shared" si="119"/>
        <v>10000</v>
      </c>
      <c r="AJ146" s="733" t="str">
        <f t="shared" si="142"/>
        <v>1+49208.8738976707i</v>
      </c>
      <c r="AK146" s="734">
        <f t="shared" si="143"/>
        <v>49208.873907831468</v>
      </c>
      <c r="AL146" s="735">
        <f t="shared" si="144"/>
        <v>1.5707760052569166</v>
      </c>
      <c r="AM146" s="340" t="str">
        <f t="shared" si="145"/>
        <v>1+83.513113333373i</v>
      </c>
      <c r="AN146" s="734">
        <f t="shared" si="146"/>
        <v>83.519100202485433</v>
      </c>
      <c r="AO146" s="735">
        <f t="shared" si="147"/>
        <v>1.5588227316235876</v>
      </c>
      <c r="AP146" s="733" t="str">
        <f t="shared" si="148"/>
        <v>1+4.05052365390256i</v>
      </c>
      <c r="AQ146" s="734">
        <f t="shared" si="149"/>
        <v>4.1721387645695751</v>
      </c>
      <c r="AR146" s="735">
        <f t="shared" si="150"/>
        <v>1.3287547192856257</v>
      </c>
      <c r="AS146" s="732" t="str">
        <f t="shared" si="151"/>
        <v>0.0395909133196342-28.1392377109307i</v>
      </c>
      <c r="AT146" s="337">
        <f t="shared" si="152"/>
        <v>28.139265562425081</v>
      </c>
      <c r="AU146" s="730">
        <f t="shared" si="153"/>
        <v>-1.5693893630525837</v>
      </c>
      <c r="AV146" s="732" t="str">
        <f t="shared" si="154"/>
        <v>-5.05680756707599-0.123296667595558i</v>
      </c>
      <c r="AW146" s="337">
        <f t="shared" si="155"/>
        <v>14.080109645527951</v>
      </c>
      <c r="AX146" s="730">
        <f t="shared" si="156"/>
        <v>-178.60327307913363</v>
      </c>
      <c r="AY146" s="360">
        <f t="shared" si="157"/>
        <v>1.3967269208663708</v>
      </c>
      <c r="BB146" s="337">
        <f t="shared" si="158"/>
        <v>-11.013744837633507</v>
      </c>
      <c r="BC146" s="730">
        <f t="shared" si="159"/>
        <v>-89.919386915637546</v>
      </c>
      <c r="BD146" s="351"/>
      <c r="BE146" s="337">
        <f t="shared" si="120"/>
        <v>50.595376011290405</v>
      </c>
      <c r="BF146" s="730">
        <f t="shared" si="121"/>
        <v>55.623886568425313</v>
      </c>
      <c r="BI146" s="351"/>
      <c r="BJ146" s="351"/>
      <c r="BL146" s="405">
        <f t="shared" si="122"/>
        <v>0</v>
      </c>
      <c r="BM146" s="405">
        <f t="shared" si="110"/>
        <v>0</v>
      </c>
      <c r="BN146" s="405">
        <f t="shared" si="123"/>
        <v>0</v>
      </c>
      <c r="BO146" s="405">
        <f t="shared" si="124"/>
        <v>0</v>
      </c>
    </row>
    <row r="147" spans="4:67" ht="13.5" thickBot="1" x14ac:dyDescent="0.25">
      <c r="D147" s="345">
        <v>8366.0499999999993</v>
      </c>
      <c r="E147" s="340" t="str">
        <f t="shared" si="111"/>
        <v>0.138772768039303i</v>
      </c>
      <c r="F147" s="728" t="str">
        <f t="shared" si="125"/>
        <v>0.005-0.311867300307312i</v>
      </c>
      <c r="G147" s="337" t="str">
        <f t="shared" si="126"/>
        <v>0.005-0.487792444070412i</v>
      </c>
      <c r="H147" s="338" t="str">
        <f t="shared" si="127"/>
        <v>0.171593496474087-0.417281415487573i</v>
      </c>
      <c r="I147" s="338" t="str">
        <f t="shared" si="128"/>
        <v>0.181593496474087-0.417281415487573i</v>
      </c>
      <c r="J147" s="337" t="str">
        <f t="shared" si="129"/>
        <v>0.0330147738876777-0.185680644011779i</v>
      </c>
      <c r="K147" s="338" t="str">
        <f t="shared" si="112"/>
        <v>0.999222324526639-0.0438045353659415i</v>
      </c>
      <c r="L147" s="732"/>
      <c r="M147" s="732" t="str">
        <f t="shared" si="113"/>
        <v>200.677943281379+285.126171267462i</v>
      </c>
      <c r="N147" s="337">
        <f t="shared" si="114"/>
        <v>0</v>
      </c>
      <c r="O147" s="730" t="str">
        <f t="shared" si="115"/>
        <v>108.3430001885+95.6030207046203i</v>
      </c>
      <c r="P147" s="731" t="str">
        <f t="shared" si="116"/>
        <v>59.5677480272341-27.8486336735913i</v>
      </c>
      <c r="Q147" s="729" t="str">
        <f t="shared" si="117"/>
        <v>58.4843180253492-28.8046638806375i</v>
      </c>
      <c r="R147" s="730"/>
      <c r="S147" s="405" t="str">
        <f t="shared" si="130"/>
        <v>39.011100814604+2.80778253056577i</v>
      </c>
      <c r="T147" s="405" t="str">
        <f t="shared" si="131"/>
        <v>15.9946756008502-2.62469279879958i</v>
      </c>
      <c r="U147" s="405" t="str">
        <f t="shared" si="132"/>
        <v>1.64934678501551-7.12466108950371i</v>
      </c>
      <c r="V147" s="731" t="str">
        <f t="shared" si="118"/>
        <v>6000</v>
      </c>
      <c r="W147" s="733" t="str">
        <f>IMSUM(COMPLEX(1,0),IMDIV(COMPLEX(0,2*PI()*D147),COMPLEX(2*PI()*'Stability Calculations'!EA_Pole1,0)))</f>
        <v>1+53091.0968635211i</v>
      </c>
      <c r="X147" s="734">
        <f t="shared" si="133"/>
        <v>53091.096872938877</v>
      </c>
      <c r="Y147" s="735">
        <f t="shared" si="134"/>
        <v>1.5707774912450783</v>
      </c>
      <c r="Z147" s="340" t="str">
        <f>IMSUM(COMPLEX(1,0),IMDIV(COMPLEX(0,2*PI()*D147),COMPLEX(2*PI()*'Stability Calculations'!EA_Zero1,0)))</f>
        <v>1+525.654424391298i</v>
      </c>
      <c r="AA147" s="734">
        <f t="shared" si="135"/>
        <v>525.65537558570327</v>
      </c>
      <c r="AB147" s="735">
        <f t="shared" si="136"/>
        <v>1.568893938557991</v>
      </c>
      <c r="AC147" s="733" t="str">
        <f>IMSUM(COMPLEX(1,0),IMDIV(COMPLEX(0,2*PI()*D147),COMPLEX(2*PI()*'Stability Calculations'!EA_Pole2,0)))</f>
        <v>1+5.29515678237452i</v>
      </c>
      <c r="AD147" s="734">
        <f t="shared" si="137"/>
        <v>5.3887554546413483</v>
      </c>
      <c r="AE147" s="735">
        <f t="shared" si="138"/>
        <v>1.3841427872790553</v>
      </c>
      <c r="AF147" s="732" t="str">
        <f t="shared" si="139"/>
        <v>2.02534804308092-10.8364297823187i</v>
      </c>
      <c r="AG147" s="337">
        <f t="shared" si="140"/>
        <v>11.024075703782852</v>
      </c>
      <c r="AH147" s="730">
        <f t="shared" si="141"/>
        <v>-1.3860263399661419</v>
      </c>
      <c r="AI147" s="731" t="str">
        <f t="shared" si="119"/>
        <v>10000</v>
      </c>
      <c r="AJ147" s="733" t="str">
        <f t="shared" si="142"/>
        <v>1+49495.5154697999i</v>
      </c>
      <c r="AK147" s="734">
        <f t="shared" si="143"/>
        <v>49495.51547990182</v>
      </c>
      <c r="AL147" s="735">
        <f t="shared" si="144"/>
        <v>1.5707761229442978</v>
      </c>
      <c r="AM147" s="340" t="str">
        <f t="shared" si="145"/>
        <v>1+83.9995770177294i</v>
      </c>
      <c r="AN147" s="734">
        <f t="shared" si="146"/>
        <v>84.005529217769066</v>
      </c>
      <c r="AO147" s="735">
        <f t="shared" si="147"/>
        <v>1.5588920672983126</v>
      </c>
      <c r="AP147" s="733" t="str">
        <f t="shared" si="148"/>
        <v>1+4.0741179444469i</v>
      </c>
      <c r="AQ147" s="734">
        <f t="shared" si="149"/>
        <v>4.1950491088024506</v>
      </c>
      <c r="AR147" s="735">
        <f t="shared" si="150"/>
        <v>1.3301027856131695</v>
      </c>
      <c r="AS147" s="732" t="str">
        <f t="shared" si="151"/>
        <v>0.0391336792209266-27.9762766102582i</v>
      </c>
      <c r="AT147" s="337">
        <f t="shared" si="152"/>
        <v>27.976303980664234</v>
      </c>
      <c r="AU147" s="730">
        <f t="shared" si="153"/>
        <v>-1.5693975111396898</v>
      </c>
      <c r="AV147" s="732" t="str">
        <f t="shared" si="154"/>
        <v>-4.99755802533325-0.117566716945818i</v>
      </c>
      <c r="AW147" s="337">
        <f t="shared" si="155"/>
        <v>13.977559703942614</v>
      </c>
      <c r="AX147" s="730">
        <f t="shared" si="156"/>
        <v>-178.65237493011031</v>
      </c>
      <c r="AY147" s="360">
        <f t="shared" si="157"/>
        <v>1.3476250698896877</v>
      </c>
      <c r="BB147" s="337">
        <f t="shared" si="158"/>
        <v>-11.064193235646352</v>
      </c>
      <c r="BC147" s="730">
        <f t="shared" si="159"/>
        <v>-89.919853766639832</v>
      </c>
      <c r="BD147" s="351"/>
      <c r="BE147" s="337">
        <f t="shared" si="120"/>
        <v>50.848213098090127</v>
      </c>
      <c r="BF147" s="730">
        <f t="shared" si="121"/>
        <v>54.861291413215909</v>
      </c>
      <c r="BI147" s="351"/>
      <c r="BJ147" s="351"/>
      <c r="BL147" s="405">
        <f t="shared" si="122"/>
        <v>0</v>
      </c>
      <c r="BM147" s="405">
        <f t="shared" si="110"/>
        <v>0</v>
      </c>
      <c r="BN147" s="405">
        <f t="shared" si="123"/>
        <v>0</v>
      </c>
      <c r="BO147" s="405">
        <f t="shared" si="124"/>
        <v>0</v>
      </c>
    </row>
    <row r="148" spans="4:67" ht="13.5" thickBot="1" x14ac:dyDescent="0.25">
      <c r="D148" s="345">
        <v>8414.5</v>
      </c>
      <c r="E148" s="340" t="str">
        <f t="shared" si="111"/>
        <v>0.139576437705573i</v>
      </c>
      <c r="F148" s="728" t="str">
        <f t="shared" si="125"/>
        <v>0.005-0.310071594002732i</v>
      </c>
      <c r="G148" s="337" t="str">
        <f t="shared" si="126"/>
        <v>0.005-0.484983775235043i</v>
      </c>
      <c r="H148" s="338" t="str">
        <f t="shared" si="127"/>
        <v>0.169940784406009-0.4155348458513i</v>
      </c>
      <c r="I148" s="338" t="str">
        <f t="shared" si="128"/>
        <v>0.179940784406009-0.4155348458513i</v>
      </c>
      <c r="J148" s="337" t="str">
        <f t="shared" si="129"/>
        <v>0.032690887443855-0.184661710676813i</v>
      </c>
      <c r="K148" s="338" t="str">
        <f t="shared" si="112"/>
        <v>0.999213290997222-0.0440582189727189i</v>
      </c>
      <c r="L148" s="732"/>
      <c r="M148" s="732" t="str">
        <f t="shared" si="113"/>
        <v>210.815379092994+290.743679848608i</v>
      </c>
      <c r="N148" s="337">
        <f t="shared" si="114"/>
        <v>0</v>
      </c>
      <c r="O148" s="730" t="str">
        <f t="shared" si="115"/>
        <v>112.793361592907+96.9469625954687i</v>
      </c>
      <c r="P148" s="731" t="str">
        <f t="shared" si="116"/>
        <v>60.5809671186783-29.42485962735i</v>
      </c>
      <c r="Q148" s="729" t="str">
        <f t="shared" si="117"/>
        <v>59.4530335027492-30.3943292533047i</v>
      </c>
      <c r="R148" s="730"/>
      <c r="S148" s="405" t="str">
        <f t="shared" si="130"/>
        <v>39.0240696422532+2.774982661385i</v>
      </c>
      <c r="T148" s="405" t="str">
        <f t="shared" si="131"/>
        <v>15.9890273551352-2.6205109425069i</v>
      </c>
      <c r="U148" s="405" t="str">
        <f t="shared" si="132"/>
        <v>1.62827424007455-7.0893297024425i</v>
      </c>
      <c r="V148" s="731" t="str">
        <f t="shared" si="118"/>
        <v>6000</v>
      </c>
      <c r="W148" s="733" t="str">
        <f>IMSUM(COMPLEX(1,0),IMDIV(COMPLEX(0,2*PI()*D148),COMPLEX(2*PI()*'Stability Calculations'!EA_Pole1,0)))</f>
        <v>1+53398.5613949352i</v>
      </c>
      <c r="X148" s="734">
        <f t="shared" si="133"/>
        <v>53398.561404298751</v>
      </c>
      <c r="Y148" s="735">
        <f t="shared" si="134"/>
        <v>1.5707775996986273</v>
      </c>
      <c r="Z148" s="340" t="str">
        <f>IMSUM(COMPLEX(1,0),IMDIV(COMPLEX(0,2*PI()*D148),COMPLEX(2*PI()*'Stability Calculations'!EA_Zero1,0)))</f>
        <v>1+528.698627672626i</v>
      </c>
      <c r="AA148" s="734">
        <f t="shared" si="135"/>
        <v>528.69957339014184</v>
      </c>
      <c r="AB148" s="735">
        <f t="shared" si="136"/>
        <v>1.5689048923270341</v>
      </c>
      <c r="AC148" s="733" t="str">
        <f>IMSUM(COMPLEX(1,0),IMDIV(COMPLEX(0,2*PI()*D148),COMPLEX(2*PI()*'Stability Calculations'!EA_Pole2,0)))</f>
        <v>1+5.32582243057242i</v>
      </c>
      <c r="AD148" s="734">
        <f t="shared" si="137"/>
        <v>5.4188914513937547</v>
      </c>
      <c r="AE148" s="735">
        <f t="shared" si="138"/>
        <v>1.3851929420310061</v>
      </c>
      <c r="AF148" s="732" t="str">
        <f t="shared" si="139"/>
        <v>2.00288360884112-10.778252526613i</v>
      </c>
      <c r="AG148" s="337">
        <f t="shared" si="140"/>
        <v>10.962767455255264</v>
      </c>
      <c r="AH148" s="730">
        <f t="shared" si="141"/>
        <v>-1.3870656494025997</v>
      </c>
      <c r="AI148" s="731" t="str">
        <f t="shared" si="119"/>
        <v>10000</v>
      </c>
      <c r="AJ148" s="733" t="str">
        <f t="shared" si="142"/>
        <v>1+49782.1570419291i</v>
      </c>
      <c r="AK148" s="734">
        <f t="shared" si="143"/>
        <v>49782.157051972863</v>
      </c>
      <c r="AL148" s="735">
        <f t="shared" si="144"/>
        <v>1.5707762392764104</v>
      </c>
      <c r="AM148" s="340" t="str">
        <f t="shared" si="145"/>
        <v>1+84.4860407020856i</v>
      </c>
      <c r="AN148" s="734">
        <f t="shared" si="146"/>
        <v>84.49195863225367</v>
      </c>
      <c r="AO148" s="735">
        <f t="shared" si="147"/>
        <v>1.5589606046272917</v>
      </c>
      <c r="AP148" s="733" t="str">
        <f t="shared" si="148"/>
        <v>1+4.09771223499123i</v>
      </c>
      <c r="AQ148" s="734">
        <f t="shared" si="149"/>
        <v>4.2179669938012578</v>
      </c>
      <c r="AR148" s="735">
        <f t="shared" si="150"/>
        <v>1.3314362051856323</v>
      </c>
      <c r="AS148" s="732" t="str">
        <f t="shared" si="151"/>
        <v>0.0386843204905682-27.8151921319036i</v>
      </c>
      <c r="AT148" s="337">
        <f t="shared" si="152"/>
        <v>27.815219032237799</v>
      </c>
      <c r="AU148" s="730">
        <f t="shared" si="153"/>
        <v>-1.5694055653949457</v>
      </c>
      <c r="AV148" s="732" t="str">
        <f t="shared" si="154"/>
        <v>-4.93934105270718-0.112000846365119i</v>
      </c>
      <c r="AW148" s="337">
        <f t="shared" si="155"/>
        <v>13.87561271614979</v>
      </c>
      <c r="AX148" s="730">
        <f t="shared" si="156"/>
        <v>-178.7010258585068</v>
      </c>
      <c r="AY148" s="360">
        <f t="shared" si="157"/>
        <v>1.2989741414932041</v>
      </c>
      <c r="BB148" s="337">
        <f t="shared" si="158"/>
        <v>-11.114350316751251</v>
      </c>
      <c r="BC148" s="730">
        <f t="shared" si="159"/>
        <v>-89.920315241473105</v>
      </c>
      <c r="BD148" s="351"/>
      <c r="BE148" s="337">
        <f t="shared" si="120"/>
        <v>51.105055750468935</v>
      </c>
      <c r="BF148" s="730">
        <f t="shared" si="121"/>
        <v>54.054502550050834</v>
      </c>
      <c r="BI148" s="351"/>
      <c r="BJ148" s="351"/>
      <c r="BL148" s="405">
        <f t="shared" si="122"/>
        <v>0</v>
      </c>
      <c r="BM148" s="405">
        <f t="shared" si="110"/>
        <v>0</v>
      </c>
      <c r="BN148" s="405">
        <f t="shared" si="123"/>
        <v>0</v>
      </c>
      <c r="BO148" s="405">
        <f t="shared" si="124"/>
        <v>0</v>
      </c>
    </row>
    <row r="149" spans="4:67" ht="13.5" thickBot="1" x14ac:dyDescent="0.25">
      <c r="D149" s="345">
        <v>8462.9500000000007</v>
      </c>
      <c r="E149" s="340" t="str">
        <f t="shared" si="111"/>
        <v>0.140380107371844i</v>
      </c>
      <c r="F149" s="728" t="str">
        <f t="shared" si="125"/>
        <v>0.005-0.308296448370366i</v>
      </c>
      <c r="G149" s="337" t="str">
        <f t="shared" si="126"/>
        <v>0.005-0.482207265399804i</v>
      </c>
      <c r="H149" s="338" t="str">
        <f t="shared" si="127"/>
        <v>0.168311274391876-0.413799116133123i</v>
      </c>
      <c r="I149" s="338" t="str">
        <f t="shared" si="128"/>
        <v>0.178311274391876-0.413799116133123i</v>
      </c>
      <c r="J149" s="337" t="str">
        <f t="shared" si="129"/>
        <v>0.0323723763823281-0.183653618107463i</v>
      </c>
      <c r="K149" s="338" t="str">
        <f t="shared" si="112"/>
        <v>0.999204205303306-0.0443119025794962i</v>
      </c>
      <c r="L149" s="732"/>
      <c r="M149" s="732" t="str">
        <f t="shared" si="113"/>
        <v>221.685522141852+296.336318008879i</v>
      </c>
      <c r="N149" s="337">
        <f t="shared" si="114"/>
        <v>0</v>
      </c>
      <c r="O149" s="730" t="str">
        <f t="shared" si="115"/>
        <v>117.529845155027+98.2187396903851i</v>
      </c>
      <c r="P149" s="731" t="str">
        <f t="shared" si="116"/>
        <v>61.5997241402634-31.1202374010564i</v>
      </c>
      <c r="Q149" s="729" t="str">
        <f t="shared" si="117"/>
        <v>60.4244256887131-32.1024247979602i</v>
      </c>
      <c r="R149" s="730"/>
      <c r="S149" s="405" t="str">
        <f t="shared" si="130"/>
        <v>39.0368257059567+2.74238432610915i</v>
      </c>
      <c r="T149" s="405" t="str">
        <f t="shared" si="131"/>
        <v>15.9834600757471-2.61640848139007i</v>
      </c>
      <c r="U149" s="405" t="str">
        <f t="shared" si="132"/>
        <v>1.60752901749825-7.05431269792566i</v>
      </c>
      <c r="V149" s="731" t="str">
        <f t="shared" si="118"/>
        <v>6000</v>
      </c>
      <c r="W149" s="733" t="str">
        <f>IMSUM(COMPLEX(1,0),IMDIV(COMPLEX(0,2*PI()*D149),COMPLEX(2*PI()*'Stability Calculations'!EA_Pole1,0)))</f>
        <v>1+53706.0259263495i</v>
      </c>
      <c r="X149" s="734">
        <f t="shared" si="133"/>
        <v>53706.02593565944</v>
      </c>
      <c r="Y149" s="735">
        <f t="shared" si="134"/>
        <v>1.5707777069103932</v>
      </c>
      <c r="Z149" s="340" t="str">
        <f>IMSUM(COMPLEX(1,0),IMDIV(COMPLEX(0,2*PI()*D149),COMPLEX(2*PI()*'Stability Calculations'!EA_Zero1,0)))</f>
        <v>1+531.742830953955i</v>
      </c>
      <c r="AA149" s="734">
        <f t="shared" si="135"/>
        <v>531.7437712572912</v>
      </c>
      <c r="AB149" s="735">
        <f t="shared" si="136"/>
        <v>1.5689157206768742</v>
      </c>
      <c r="AC149" s="733" t="str">
        <f>IMSUM(COMPLEX(1,0),IMDIV(COMPLEX(0,2*PI()*D149),COMPLEX(2*PI()*'Stability Calculations'!EA_Pole2,0)))</f>
        <v>1+5.35648807877032i</v>
      </c>
      <c r="AD149" s="734">
        <f t="shared" si="137"/>
        <v>5.4490333581295456</v>
      </c>
      <c r="AE149" s="735">
        <f t="shared" si="138"/>
        <v>1.3862314798326627</v>
      </c>
      <c r="AF149" s="732" t="str">
        <f t="shared" si="139"/>
        <v>1.9807865668113-10.7206728069552i</v>
      </c>
      <c r="AG149" s="337">
        <f t="shared" si="140"/>
        <v>10.902125520147381</v>
      </c>
      <c r="AH149" s="730">
        <f t="shared" si="141"/>
        <v>-1.3880934660661821</v>
      </c>
      <c r="AI149" s="731" t="str">
        <f t="shared" si="119"/>
        <v>10000</v>
      </c>
      <c r="AJ149" s="733" t="str">
        <f t="shared" si="142"/>
        <v>1+50068.7986140584i</v>
      </c>
      <c r="AK149" s="734">
        <f t="shared" si="143"/>
        <v>50068.798624044663</v>
      </c>
      <c r="AL149" s="735">
        <f t="shared" si="144"/>
        <v>1.570776354276531</v>
      </c>
      <c r="AM149" s="340" t="str">
        <f t="shared" si="145"/>
        <v>1+84.972504386442i</v>
      </c>
      <c r="AN149" s="734">
        <f t="shared" si="146"/>
        <v>84.978388439084341</v>
      </c>
      <c r="AO149" s="735">
        <f t="shared" si="147"/>
        <v>1.5590283573194494</v>
      </c>
      <c r="AP149" s="733" t="str">
        <f t="shared" si="148"/>
        <v>1+4.12130652553557i</v>
      </c>
      <c r="AQ149" s="734">
        <f t="shared" si="149"/>
        <v>4.2408922973145726</v>
      </c>
      <c r="AR149" s="735">
        <f t="shared" si="150"/>
        <v>1.3327552107536402</v>
      </c>
      <c r="AS149" s="732" t="str">
        <f t="shared" si="151"/>
        <v>0.0382426573018757-27.6559520453857i</v>
      </c>
      <c r="AT149" s="337">
        <f t="shared" si="152"/>
        <v>27.655978486351028</v>
      </c>
      <c r="AU149" s="730">
        <f t="shared" si="153"/>
        <v>-1.5694135274298961</v>
      </c>
      <c r="AV149" s="732" t="str">
        <f t="shared" si="154"/>
        <v>-4.88213288249958-0.10659372103554i</v>
      </c>
      <c r="AW149" s="337">
        <f t="shared" si="155"/>
        <v>13.774261701735018</v>
      </c>
      <c r="AX149" s="730">
        <f t="shared" si="156"/>
        <v>-178.74923515937027</v>
      </c>
      <c r="AY149" s="360">
        <f t="shared" si="157"/>
        <v>1.2507648406297278</v>
      </c>
      <c r="BB149" s="337">
        <f t="shared" si="158"/>
        <v>-11.164219426083806</v>
      </c>
      <c r="BC149" s="730">
        <f t="shared" si="159"/>
        <v>-89.920771432472108</v>
      </c>
      <c r="BD149" s="351"/>
      <c r="BE149" s="337">
        <f t="shared" si="120"/>
        <v>51.365927456209349</v>
      </c>
      <c r="BF149" s="730">
        <f t="shared" si="121"/>
        <v>53.200293463926414</v>
      </c>
      <c r="BI149" s="351"/>
      <c r="BJ149" s="351"/>
      <c r="BL149" s="405">
        <f t="shared" si="122"/>
        <v>0</v>
      </c>
      <c r="BM149" s="405">
        <f t="shared" si="110"/>
        <v>0</v>
      </c>
      <c r="BN149" s="405">
        <f t="shared" si="123"/>
        <v>0</v>
      </c>
      <c r="BO149" s="405">
        <f t="shared" si="124"/>
        <v>0</v>
      </c>
    </row>
    <row r="150" spans="4:67" ht="13.5" thickBot="1" x14ac:dyDescent="0.25">
      <c r="D150" s="345">
        <v>8511.4</v>
      </c>
      <c r="E150" s="340" t="str">
        <f t="shared" si="111"/>
        <v>0.141183777038115i</v>
      </c>
      <c r="F150" s="728" t="str">
        <f t="shared" si="125"/>
        <v>0.005-0.306541512293628i</v>
      </c>
      <c r="G150" s="337" t="str">
        <f t="shared" si="126"/>
        <v>0.005-0.479462365382343i</v>
      </c>
      <c r="H150" s="338" t="str">
        <f t="shared" si="127"/>
        <v>0.166704560138088-0.412074200675051i</v>
      </c>
      <c r="I150" s="338" t="str">
        <f t="shared" si="128"/>
        <v>0.176704560138088-0.412074200675051i</v>
      </c>
      <c r="J150" s="337" t="str">
        <f t="shared" si="129"/>
        <v>0.0320591233454682-0.182656199117997i</v>
      </c>
      <c r="K150" s="338" t="str">
        <f t="shared" si="112"/>
        <v>0.999195067444889-0.0445655861862736i</v>
      </c>
      <c r="L150" s="732"/>
      <c r="M150" s="732" t="str">
        <f t="shared" si="113"/>
        <v>233.348251329073+301.864685020768i</v>
      </c>
      <c r="N150" s="337">
        <f t="shared" si="114"/>
        <v>0</v>
      </c>
      <c r="O150" s="730" t="str">
        <f t="shared" si="115"/>
        <v>122.572644219156+99.3977568526398i</v>
      </c>
      <c r="P150" s="731" t="str">
        <f t="shared" si="116"/>
        <v>62.6183963856529-32.9449874878779i</v>
      </c>
      <c r="Q150" s="729" t="str">
        <f t="shared" si="117"/>
        <v>61.3926699434613-33.9389650564043i</v>
      </c>
      <c r="R150" s="730"/>
      <c r="S150" s="405" t="str">
        <f t="shared" si="130"/>
        <v>39.0493732109553+2.70998522999065i</v>
      </c>
      <c r="T150" s="405" t="str">
        <f t="shared" si="131"/>
        <v>15.9779721022608-2.61238450831401i</v>
      </c>
      <c r="U150" s="405" t="str">
        <f t="shared" si="132"/>
        <v>1.58710455308661-7.01960649281742i</v>
      </c>
      <c r="V150" s="731" t="str">
        <f t="shared" si="118"/>
        <v>6000</v>
      </c>
      <c r="W150" s="733" t="str">
        <f>IMSUM(COMPLEX(1,0),IMDIV(COMPLEX(0,2*PI()*D150),COMPLEX(2*PI()*'Stability Calculations'!EA_Pole1,0)))</f>
        <v>1+54013.4904577636i</v>
      </c>
      <c r="X150" s="734">
        <f t="shared" si="133"/>
        <v>54013.490467020536</v>
      </c>
      <c r="Y150" s="735">
        <f t="shared" si="134"/>
        <v>1.5707778129015819</v>
      </c>
      <c r="Z150" s="340" t="str">
        <f>IMSUM(COMPLEX(1,0),IMDIV(COMPLEX(0,2*PI()*D150),COMPLEX(2*PI()*'Stability Calculations'!EA_Zero1,0)))</f>
        <v>1+534.787034235283i</v>
      </c>
      <c r="AA150" s="734">
        <f t="shared" si="135"/>
        <v>534.78796918607827</v>
      </c>
      <c r="AB150" s="735">
        <f t="shared" si="136"/>
        <v>1.5689264257492967</v>
      </c>
      <c r="AC150" s="733" t="str">
        <f>IMSUM(COMPLEX(1,0),IMDIV(COMPLEX(0,2*PI()*D150),COMPLEX(2*PI()*'Stability Calculations'!EA_Pole2,0)))</f>
        <v>1+5.38715372696822i</v>
      </c>
      <c r="AD150" s="734">
        <f t="shared" si="137"/>
        <v>5.4791810773132505</v>
      </c>
      <c r="AE150" s="735">
        <f t="shared" si="138"/>
        <v>1.3872585901825121</v>
      </c>
      <c r="AF150" s="732" t="str">
        <f t="shared" si="139"/>
        <v>1.95904904351308-10.6636818806913i</v>
      </c>
      <c r="AG150" s="337">
        <f t="shared" si="140"/>
        <v>10.842139291093501</v>
      </c>
      <c r="AH150" s="730">
        <f t="shared" si="141"/>
        <v>-1.3891099773347984</v>
      </c>
      <c r="AI150" s="731" t="str">
        <f t="shared" si="119"/>
        <v>10000</v>
      </c>
      <c r="AJ150" s="733" t="str">
        <f t="shared" si="142"/>
        <v>1+50355.4401861876i</v>
      </c>
      <c r="AK150" s="734">
        <f t="shared" si="143"/>
        <v>50355.440196117015</v>
      </c>
      <c r="AL150" s="735">
        <f t="shared" si="144"/>
        <v>1.5707764679674061</v>
      </c>
      <c r="AM150" s="340" t="str">
        <f t="shared" si="145"/>
        <v>1+85.4589680707982i</v>
      </c>
      <c r="AN150" s="734">
        <f t="shared" si="146"/>
        <v>85.464818631561528</v>
      </c>
      <c r="AO150" s="735">
        <f t="shared" si="147"/>
        <v>1.5590953387716371</v>
      </c>
      <c r="AP150" s="733" t="str">
        <f t="shared" si="148"/>
        <v>1+4.14490081607991i</v>
      </c>
      <c r="AQ150" s="734">
        <f t="shared" si="149"/>
        <v>4.2638248996810253</v>
      </c>
      <c r="AR150" s="735">
        <f t="shared" si="150"/>
        <v>1.3340600302635595</v>
      </c>
      <c r="AS150" s="732" t="str">
        <f t="shared" si="151"/>
        <v>0.0378085149317327-27.4985248540872i</v>
      </c>
      <c r="AT150" s="337">
        <f t="shared" si="152"/>
        <v>27.498550846083738</v>
      </c>
      <c r="AU150" s="730">
        <f t="shared" si="153"/>
        <v>-1.5694213988193924</v>
      </c>
      <c r="AV150" s="732" t="str">
        <f t="shared" si="154"/>
        <v>-4.82591042360919-0.101340206550801i</v>
      </c>
      <c r="AW150" s="337">
        <f t="shared" si="155"/>
        <v>13.673499798026389</v>
      </c>
      <c r="AX150" s="730">
        <f t="shared" si="156"/>
        <v>-178.79701188448064</v>
      </c>
      <c r="AY150" s="360">
        <f t="shared" si="157"/>
        <v>1.2029881155193607</v>
      </c>
      <c r="BB150" s="337">
        <f t="shared" si="158"/>
        <v>-11.213803851491026</v>
      </c>
      <c r="BC150" s="730">
        <f t="shared" si="159"/>
        <v>-89.921222429869147</v>
      </c>
      <c r="BD150" s="351"/>
      <c r="BE150" s="337">
        <f t="shared" si="120"/>
        <v>51.630829039429287</v>
      </c>
      <c r="BF150" s="730">
        <f t="shared" si="121"/>
        <v>52.295162977345427</v>
      </c>
      <c r="BI150" s="351"/>
      <c r="BJ150" s="351"/>
      <c r="BL150" s="405">
        <f t="shared" si="122"/>
        <v>0</v>
      </c>
      <c r="BM150" s="405">
        <f t="shared" si="110"/>
        <v>0</v>
      </c>
      <c r="BN150" s="405">
        <f t="shared" si="123"/>
        <v>0</v>
      </c>
      <c r="BO150" s="405">
        <f t="shared" si="124"/>
        <v>0</v>
      </c>
    </row>
    <row r="151" spans="4:67" ht="13.5" thickBot="1" x14ac:dyDescent="0.25">
      <c r="D151" s="345">
        <v>8560.9500000000007</v>
      </c>
      <c r="E151" s="340" t="str">
        <f t="shared" si="111"/>
        <v>0.142005693074518i</v>
      </c>
      <c r="F151" s="728" t="str">
        <f t="shared" si="125"/>
        <v>0.005-0.304767277899765i</v>
      </c>
      <c r="G151" s="337" t="str">
        <f t="shared" si="126"/>
        <v>0.005-0.476687280817581i</v>
      </c>
      <c r="H151" s="338" t="str">
        <f t="shared" si="127"/>
        <v>0.165084530454171-0.410321278909258i</v>
      </c>
      <c r="I151" s="338" t="str">
        <f t="shared" si="128"/>
        <v>0.175084530454171-0.410321278909258i</v>
      </c>
      <c r="J151" s="337" t="str">
        <f t="shared" si="129"/>
        <v>0.0317440777218539-0.181647003968468i</v>
      </c>
      <c r="K151" s="338" t="str">
        <f t="shared" si="112"/>
        <v>0.99918566816775-0.0448250293795826i</v>
      </c>
      <c r="L151" s="732"/>
      <c r="M151" s="732" t="str">
        <f t="shared" si="113"/>
        <v>246.162084155+307.401833935566i</v>
      </c>
      <c r="N151" s="337">
        <f t="shared" si="114"/>
        <v>0</v>
      </c>
      <c r="O151" s="730" t="str">
        <f t="shared" si="115"/>
        <v>128.068645954823+100.482168136872i</v>
      </c>
      <c r="P151" s="731" t="str">
        <f t="shared" si="116"/>
        <v>63.6528104803979-34.9564173690985i</v>
      </c>
      <c r="Q151" s="729" t="str">
        <f t="shared" si="117"/>
        <v>62.3721240208496-35.9612390504672i</v>
      </c>
      <c r="R151" s="730"/>
      <c r="S151" s="405" t="str">
        <f t="shared" si="130"/>
        <v>39.0619941529091+2.67705426057561i</v>
      </c>
      <c r="T151" s="405" t="str">
        <f t="shared" si="131"/>
        <v>15.9724398697159-2.60834942166925i</v>
      </c>
      <c r="U151" s="405" t="str">
        <f t="shared" si="132"/>
        <v>1.56654146555798-6.98443009417972i</v>
      </c>
      <c r="V151" s="731" t="str">
        <f t="shared" si="118"/>
        <v>6000</v>
      </c>
      <c r="W151" s="733" t="str">
        <f>IMSUM(COMPLEX(1,0),IMDIV(COMPLEX(0,2*PI()*D151),COMPLEX(2*PI()*'Stability Calculations'!EA_Pole1,0)))</f>
        <v>1+54327.9356080541i</v>
      </c>
      <c r="X151" s="734">
        <f t="shared" si="133"/>
        <v>54327.93561725747</v>
      </c>
      <c r="Y151" s="735">
        <f t="shared" si="134"/>
        <v>1.5707779200583127</v>
      </c>
      <c r="Z151" s="340" t="str">
        <f>IMSUM(COMPLEX(1,0),IMDIV(COMPLEX(0,2*PI()*D151),COMPLEX(2*PI()*'Stability Calculations'!EA_Zero1,0)))</f>
        <v>1+537.900352554991i</v>
      </c>
      <c r="AA151" s="734">
        <f t="shared" si="135"/>
        <v>537.90128209438535</v>
      </c>
      <c r="AB151" s="735">
        <f t="shared" si="136"/>
        <v>1.5689372485414756</v>
      </c>
      <c r="AC151" s="733" t="str">
        <f>IMSUM(COMPLEX(1,0),IMDIV(COMPLEX(0,2*PI()*D151),COMPLEX(2*PI()*'Stability Calculations'!EA_Pole2,0)))</f>
        <v>1+5.41851560247299i</v>
      </c>
      <c r="AD151" s="734">
        <f t="shared" si="137"/>
        <v>5.5100191773026728</v>
      </c>
      <c r="AE151" s="735">
        <f t="shared" si="138"/>
        <v>1.388297393531003</v>
      </c>
      <c r="AF151" s="732" t="str">
        <f t="shared" si="139"/>
        <v>1.93718186235794-10.6059970959931i</v>
      </c>
      <c r="AG151" s="337">
        <f t="shared" si="140"/>
        <v>10.781458526937005</v>
      </c>
      <c r="AH151" s="730">
        <f t="shared" si="141"/>
        <v>-1.3901380650478397</v>
      </c>
      <c r="AI151" s="731" t="str">
        <f t="shared" si="119"/>
        <v>10000</v>
      </c>
      <c r="AJ151" s="733" t="str">
        <f t="shared" si="142"/>
        <v>1+50648.5896165076i</v>
      </c>
      <c r="AK151" s="734">
        <f t="shared" si="143"/>
        <v>50648.589626379544</v>
      </c>
      <c r="AL151" s="735">
        <f t="shared" si="144"/>
        <v>1.5707765829084934</v>
      </c>
      <c r="AM151" s="340" t="str">
        <f t="shared" si="145"/>
        <v>1+85.9564763382875i</v>
      </c>
      <c r="AN151" s="734">
        <f t="shared" si="146"/>
        <v>85.962293038835227</v>
      </c>
      <c r="AO151" s="735">
        <f t="shared" si="147"/>
        <v>1.5591630568983026</v>
      </c>
      <c r="AP151" s="733" t="str">
        <f t="shared" si="148"/>
        <v>1+4.16903078711132i</v>
      </c>
      <c r="AQ151" s="734">
        <f t="shared" si="149"/>
        <v>4.2872855869281716</v>
      </c>
      <c r="AR151" s="735">
        <f t="shared" si="150"/>
        <v>1.3353800339718913</v>
      </c>
      <c r="AS151" s="732" t="str">
        <f t="shared" si="151"/>
        <v>0.0373721178366815-27.3393664897056i</v>
      </c>
      <c r="AT151" s="337">
        <f t="shared" si="152"/>
        <v>27.339392032992048</v>
      </c>
      <c r="AU151" s="730">
        <f t="shared" si="153"/>
        <v>-1.5694293567675255</v>
      </c>
      <c r="AV151" s="732" t="str">
        <f t="shared" si="154"/>
        <v>-4.76940765467237-0.0961211492407111i</v>
      </c>
      <c r="AW151" s="337">
        <f t="shared" si="155"/>
        <v>13.571052508336743</v>
      </c>
      <c r="AX151" s="730">
        <f t="shared" si="156"/>
        <v>-178.84543509099274</v>
      </c>
      <c r="AY151" s="360">
        <f t="shared" si="157"/>
        <v>1.1545649090072629</v>
      </c>
      <c r="BB151" s="337">
        <f t="shared" si="158"/>
        <v>-11.264222947999283</v>
      </c>
      <c r="BC151" s="730">
        <f t="shared" si="159"/>
        <v>-89.921678386710752</v>
      </c>
      <c r="BD151" s="351"/>
      <c r="BE151" s="337">
        <f t="shared" si="120"/>
        <v>51.905884421177568</v>
      </c>
      <c r="BF151" s="730">
        <f t="shared" si="121"/>
        <v>51.312855880762172</v>
      </c>
      <c r="BI151" s="351"/>
      <c r="BJ151" s="351"/>
      <c r="BL151" s="405">
        <f t="shared" si="122"/>
        <v>0</v>
      </c>
      <c r="BM151" s="405">
        <f t="shared" si="110"/>
        <v>0</v>
      </c>
      <c r="BN151" s="405">
        <f t="shared" si="123"/>
        <v>0</v>
      </c>
      <c r="BO151" s="405">
        <f t="shared" si="124"/>
        <v>0</v>
      </c>
    </row>
    <row r="152" spans="4:67" ht="13.5" thickBot="1" x14ac:dyDescent="0.25">
      <c r="D152" s="345">
        <v>8610.5</v>
      </c>
      <c r="E152" s="340" t="str">
        <f t="shared" si="111"/>
        <v>0.14282760911092i</v>
      </c>
      <c r="F152" s="728" t="str">
        <f t="shared" si="125"/>
        <v>0.005-0.303013463531269i</v>
      </c>
      <c r="G152" s="337" t="str">
        <f t="shared" si="126"/>
        <v>0.005-0.473944135266857i</v>
      </c>
      <c r="H152" s="338" t="str">
        <f t="shared" si="127"/>
        <v>0.163487509825028-0.408579605541928i</v>
      </c>
      <c r="I152" s="338" t="str">
        <f t="shared" si="128"/>
        <v>0.173487509825028-0.408579605541928i</v>
      </c>
      <c r="J152" s="337" t="str">
        <f t="shared" si="129"/>
        <v>0.0314342933110131-0.180648629360587i</v>
      </c>
      <c r="K152" s="338" t="str">
        <f t="shared" si="112"/>
        <v>0.999176214330556-0.0450844725728915i</v>
      </c>
      <c r="L152" s="732"/>
      <c r="M152" s="732" t="str">
        <f t="shared" si="113"/>
        <v>259.943904424285+312.758539717638i</v>
      </c>
      <c r="N152" s="337">
        <f t="shared" si="114"/>
        <v>0</v>
      </c>
      <c r="O152" s="730" t="str">
        <f t="shared" si="115"/>
        <v>133.930054559382+101.413193998504i</v>
      </c>
      <c r="P152" s="731" t="str">
        <f t="shared" si="116"/>
        <v>64.670554456893-37.1271663718781i</v>
      </c>
      <c r="Q152" s="729" t="str">
        <f t="shared" si="117"/>
        <v>63.3312539112992-38.1412983118632i</v>
      </c>
      <c r="R152" s="730"/>
      <c r="S152" s="405" t="str">
        <f t="shared" si="130"/>
        <v>39.0744055322324+2.64432690354636i</v>
      </c>
      <c r="T152" s="405" t="str">
        <f t="shared" si="131"/>
        <v>15.9669871997373-2.60439453926849i</v>
      </c>
      <c r="U152" s="405" t="str">
        <f t="shared" si="132"/>
        <v>1.54630048316327-6.94957130958858i</v>
      </c>
      <c r="V152" s="731" t="str">
        <f t="shared" si="118"/>
        <v>6000</v>
      </c>
      <c r="W152" s="733" t="str">
        <f>IMSUM(COMPLEX(1,0),IMDIV(COMPLEX(0,2*PI()*D152),COMPLEX(2*PI()*'Stability Calculations'!EA_Pole1,0)))</f>
        <v>1+54642.3807583445i</v>
      </c>
      <c r="X152" s="734">
        <f t="shared" si="133"/>
        <v>54642.380767494906</v>
      </c>
      <c r="Y152" s="735">
        <f t="shared" si="134"/>
        <v>1.5707780259817548</v>
      </c>
      <c r="Z152" s="340" t="str">
        <f>IMSUM(COMPLEX(1,0),IMDIV(COMPLEX(0,2*PI()*D152),COMPLEX(2*PI()*'Stability Calculations'!EA_Zero1,0)))</f>
        <v>1+541.013670874698i</v>
      </c>
      <c r="AA152" s="734">
        <f t="shared" si="135"/>
        <v>541.01459506497247</v>
      </c>
      <c r="AB152" s="735">
        <f t="shared" si="136"/>
        <v>1.5689479467723608</v>
      </c>
      <c r="AC152" s="733" t="str">
        <f>IMSUM(COMPLEX(1,0),IMDIV(COMPLEX(0,2*PI()*D152),COMPLEX(2*PI()*'Stability Calculations'!EA_Pole2,0)))</f>
        <v>1+5.44987747797775i</v>
      </c>
      <c r="AD152" s="734">
        <f t="shared" si="137"/>
        <v>5.5408631570333089</v>
      </c>
      <c r="AE152" s="735">
        <f t="shared" si="138"/>
        <v>1.389324632693228</v>
      </c>
      <c r="AF152" s="732" t="str">
        <f t="shared" si="139"/>
        <v>1.9156747093845-10.5489101556151i</v>
      </c>
      <c r="AG152" s="337">
        <f t="shared" si="140"/>
        <v>10.721441836964598</v>
      </c>
      <c r="AH152" s="730">
        <f t="shared" si="141"/>
        <v>-1.391154711902622</v>
      </c>
      <c r="AI152" s="731" t="str">
        <f t="shared" si="119"/>
        <v>10000</v>
      </c>
      <c r="AJ152" s="733" t="str">
        <f t="shared" si="142"/>
        <v>1+50941.7390468276i</v>
      </c>
      <c r="AK152" s="734">
        <f t="shared" si="143"/>
        <v>50941.739056642742</v>
      </c>
      <c r="AL152" s="735">
        <f t="shared" si="144"/>
        <v>1.5707766965267005</v>
      </c>
      <c r="AM152" s="340" t="str">
        <f t="shared" si="145"/>
        <v>1+86.4539846057767i</v>
      </c>
      <c r="AN152" s="734">
        <f t="shared" si="146"/>
        <v>86.459767835773633</v>
      </c>
      <c r="AO152" s="735">
        <f t="shared" si="147"/>
        <v>1.5592299957481086</v>
      </c>
      <c r="AP152" s="733" t="str">
        <f t="shared" si="148"/>
        <v>1+4.19316075814273i</v>
      </c>
      <c r="AQ152" s="734">
        <f t="shared" si="149"/>
        <v>4.3107536630649754</v>
      </c>
      <c r="AR152" s="735">
        <f t="shared" si="150"/>
        <v>1.3366856675301453</v>
      </c>
      <c r="AS152" s="732" t="str">
        <f t="shared" si="151"/>
        <v>0.036943232899587-27.1820399011789i</v>
      </c>
      <c r="AT152" s="337">
        <f t="shared" si="152"/>
        <v>27.182065006024445</v>
      </c>
      <c r="AU152" s="730">
        <f t="shared" si="153"/>
        <v>-1.5694372231261811</v>
      </c>
      <c r="AV152" s="732" t="str">
        <f t="shared" si="154"/>
        <v>-4.71388907877325-0.0910524999686291i</v>
      </c>
      <c r="AW152" s="337">
        <f t="shared" si="155"/>
        <v>13.469207230588136</v>
      </c>
      <c r="AX152" s="730">
        <f t="shared" si="156"/>
        <v>-178.89342425983392</v>
      </c>
      <c r="AY152" s="360">
        <f t="shared" si="157"/>
        <v>1.106575740166079</v>
      </c>
      <c r="BB152" s="337">
        <f t="shared" si="158"/>
        <v>-11.314351064907024</v>
      </c>
      <c r="BC152" s="730">
        <f t="shared" si="159"/>
        <v>-89.922129095861848</v>
      </c>
      <c r="BD152" s="351"/>
      <c r="BE152" s="337">
        <f t="shared" si="120"/>
        <v>52.185059323097747</v>
      </c>
      <c r="BF152" s="730">
        <f t="shared" si="121"/>
        <v>50.268915544754719</v>
      </c>
      <c r="BI152" s="351"/>
      <c r="BJ152" s="351"/>
      <c r="BL152" s="405">
        <f t="shared" si="122"/>
        <v>0</v>
      </c>
      <c r="BM152" s="405">
        <f t="shared" si="110"/>
        <v>0</v>
      </c>
      <c r="BN152" s="405">
        <f t="shared" si="123"/>
        <v>0</v>
      </c>
      <c r="BO152" s="405">
        <f t="shared" si="124"/>
        <v>0</v>
      </c>
    </row>
    <row r="153" spans="4:67" ht="13.5" thickBot="1" x14ac:dyDescent="0.25">
      <c r="D153" s="345">
        <v>8660.0499999999993</v>
      </c>
      <c r="E153" s="340" t="str">
        <f t="shared" si="111"/>
        <v>0.143649525147323i</v>
      </c>
      <c r="F153" s="728" t="str">
        <f t="shared" si="125"/>
        <v>0.005-0.301279718677835i</v>
      </c>
      <c r="G153" s="337" t="str">
        <f t="shared" si="126"/>
        <v>0.005-0.471232380496102i</v>
      </c>
      <c r="H153" s="338" t="str">
        <f t="shared" si="127"/>
        <v>0.16191308962198-0.406849145113954i</v>
      </c>
      <c r="I153" s="338" t="str">
        <f t="shared" si="128"/>
        <v>0.17191308962198-0.406849145113954i</v>
      </c>
      <c r="J153" s="337" t="str">
        <f t="shared" si="129"/>
        <v>0.0311296545042722-0.179660906931712i</v>
      </c>
      <c r="K153" s="338" t="str">
        <f t="shared" si="112"/>
        <v>0.999166705933306-0.0453439157662005i</v>
      </c>
      <c r="L153" s="732"/>
      <c r="M153" s="732" t="str">
        <f t="shared" si="113"/>
        <v>274.769388427732+317.858502026618i</v>
      </c>
      <c r="N153" s="337">
        <f t="shared" si="114"/>
        <v>0</v>
      </c>
      <c r="O153" s="730" t="str">
        <f t="shared" si="115"/>
        <v>140.180133794614+102.154381974349i</v>
      </c>
      <c r="P153" s="731" t="str">
        <f t="shared" si="116"/>
        <v>65.6602228801631-39.470492172664i</v>
      </c>
      <c r="Q153" s="729" t="str">
        <f t="shared" si="117"/>
        <v>64.2584215422169-40.4920359924075i</v>
      </c>
      <c r="R153" s="730"/>
      <c r="S153" s="405" t="str">
        <f t="shared" si="130"/>
        <v>39.0866115260027+2.61180078379824i</v>
      </c>
      <c r="T153" s="405" t="str">
        <f t="shared" si="131"/>
        <v>15.9616124430227-2.6005189221746i</v>
      </c>
      <c r="U153" s="405" t="str">
        <f t="shared" si="132"/>
        <v>1.52637508565907-6.91502643039376i</v>
      </c>
      <c r="V153" s="731" t="str">
        <f t="shared" si="118"/>
        <v>6000</v>
      </c>
      <c r="W153" s="733" t="str">
        <f>IMSUM(COMPLEX(1,0),IMDIV(COMPLEX(0,2*PI()*D153),COMPLEX(2*PI()*'Stability Calculations'!EA_Pole1,0)))</f>
        <v>1+54956.825908635i</v>
      </c>
      <c r="X153" s="734">
        <f t="shared" si="133"/>
        <v>54956.82591773304</v>
      </c>
      <c r="Y153" s="735">
        <f t="shared" si="134"/>
        <v>1.5707781306930775</v>
      </c>
      <c r="Z153" s="340" t="str">
        <f>IMSUM(COMPLEX(1,0),IMDIV(COMPLEX(0,2*PI()*D153),COMPLEX(2*PI()*'Stability Calculations'!EA_Zero1,0)))</f>
        <v>1+544.126989194406i</v>
      </c>
      <c r="AA153" s="734">
        <f t="shared" si="135"/>
        <v>544.12790809677199</v>
      </c>
      <c r="AB153" s="735">
        <f t="shared" si="136"/>
        <v>1.5689585225800409</v>
      </c>
      <c r="AC153" s="733" t="str">
        <f>IMSUM(COMPLEX(1,0),IMDIV(COMPLEX(0,2*PI()*D153),COMPLEX(2*PI()*'Stability Calculations'!EA_Pole2,0)))</f>
        <v>1+5.48123935348252i</v>
      </c>
      <c r="AD153" s="734">
        <f t="shared" si="137"/>
        <v>5.5717129188576715</v>
      </c>
      <c r="AE153" s="735">
        <f t="shared" si="138"/>
        <v>1.3903404975706986</v>
      </c>
      <c r="AF153" s="732" t="str">
        <f t="shared" si="139"/>
        <v>1.89451981407332-10.4924122151983i</v>
      </c>
      <c r="AG153" s="337">
        <f t="shared" si="140"/>
        <v>10.662078569376561</v>
      </c>
      <c r="AH153" s="730">
        <f t="shared" si="141"/>
        <v>-1.3921601056837358</v>
      </c>
      <c r="AI153" s="731" t="str">
        <f t="shared" si="119"/>
        <v>10000</v>
      </c>
      <c r="AJ153" s="733" t="str">
        <f t="shared" si="142"/>
        <v>1+51234.8884771476i</v>
      </c>
      <c r="AK153" s="734">
        <f t="shared" si="143"/>
        <v>51234.888486906573</v>
      </c>
      <c r="AL153" s="735">
        <f t="shared" si="144"/>
        <v>1.5707768088447343</v>
      </c>
      <c r="AM153" s="340" t="str">
        <f t="shared" si="145"/>
        <v>1+86.9514928732661i</v>
      </c>
      <c r="AN153" s="734">
        <f t="shared" si="146"/>
        <v>86.957243015689301</v>
      </c>
      <c r="AO153" s="735">
        <f t="shared" si="147"/>
        <v>1.5592961686949853</v>
      </c>
      <c r="AP153" s="733" t="str">
        <f t="shared" si="148"/>
        <v>1+4.21729072917415i</v>
      </c>
      <c r="AQ153" s="734">
        <f t="shared" si="149"/>
        <v>4.3342290080680126</v>
      </c>
      <c r="AR153" s="735">
        <f t="shared" si="150"/>
        <v>1.337977159948158</v>
      </c>
      <c r="AS153" s="732" t="str">
        <f t="shared" si="151"/>
        <v>0.0365216886852479-27.0265136462551i</v>
      </c>
      <c r="AT153" s="337">
        <f t="shared" si="152"/>
        <v>27.026538322636835</v>
      </c>
      <c r="AU153" s="730">
        <f t="shared" si="153"/>
        <v>-1.5694449994674915</v>
      </c>
      <c r="AV153" s="732" t="str">
        <f t="shared" si="154"/>
        <v>-4.65933204369285-0.0861293627076432i</v>
      </c>
      <c r="AW153" s="337">
        <f t="shared" si="155"/>
        <v>13.367956989716284</v>
      </c>
      <c r="AX153" s="730">
        <f t="shared" si="156"/>
        <v>-178.94098833227875</v>
      </c>
      <c r="AY153" s="360">
        <f t="shared" si="157"/>
        <v>1.0590116677212507</v>
      </c>
      <c r="BB153" s="337">
        <f t="shared" si="158"/>
        <v>-11.364191541558659</v>
      </c>
      <c r="BC153" s="730">
        <f t="shared" si="159"/>
        <v>-89.922574647399003</v>
      </c>
      <c r="BD153" s="351"/>
      <c r="BE153" s="337">
        <f t="shared" si="120"/>
        <v>52.468240421187879</v>
      </c>
      <c r="BF153" s="730">
        <f t="shared" si="121"/>
        <v>49.158575106409735</v>
      </c>
      <c r="BI153" s="351"/>
      <c r="BJ153" s="351"/>
      <c r="BL153" s="405">
        <f t="shared" si="122"/>
        <v>0</v>
      </c>
      <c r="BM153" s="405">
        <f t="shared" si="110"/>
        <v>0</v>
      </c>
      <c r="BN153" s="405">
        <f t="shared" si="123"/>
        <v>0</v>
      </c>
      <c r="BO153" s="405">
        <f t="shared" si="124"/>
        <v>0</v>
      </c>
    </row>
    <row r="154" spans="4:67" ht="13.5" thickBot="1" x14ac:dyDescent="0.25">
      <c r="D154" s="345">
        <v>8709.6</v>
      </c>
      <c r="E154" s="340" t="str">
        <f t="shared" si="111"/>
        <v>0.144471441183726i</v>
      </c>
      <c r="F154" s="728" t="str">
        <f t="shared" si="125"/>
        <v>0.005-0.299565700805547i</v>
      </c>
      <c r="G154" s="337" t="str">
        <f t="shared" si="126"/>
        <v>0.005-0.468551480747137i</v>
      </c>
      <c r="H154" s="338" t="str">
        <f t="shared" si="127"/>
        <v>0.160360869592651-0.405129859760557i</v>
      </c>
      <c r="I154" s="338" t="str">
        <f t="shared" si="128"/>
        <v>0.170360869592651-0.405129859760557i</v>
      </c>
      <c r="J154" s="337" t="str">
        <f t="shared" si="129"/>
        <v>0.0308300488263105-0.178683671682383i</v>
      </c>
      <c r="K154" s="338" t="str">
        <f t="shared" si="112"/>
        <v>0.999157142976-0.0456033589595094i</v>
      </c>
      <c r="L154" s="732"/>
      <c r="M154" s="732" t="str">
        <f t="shared" si="113"/>
        <v>290.716689003705+322.60949147486i</v>
      </c>
      <c r="N154" s="337">
        <f t="shared" si="114"/>
        <v>0</v>
      </c>
      <c r="O154" s="730" t="str">
        <f t="shared" si="115"/>
        <v>146.841764879705+102.662804069978i</v>
      </c>
      <c r="P154" s="731" t="str">
        <f t="shared" si="116"/>
        <v>66.6078581729221-42.0002590365264i</v>
      </c>
      <c r="Q154" s="729" t="str">
        <f t="shared" si="117"/>
        <v>65.1394405241251-43.0268870772262i</v>
      </c>
      <c r="R154" s="730"/>
      <c r="S154" s="405" t="str">
        <f t="shared" si="130"/>
        <v>39.0986162090899+2.57947355312426i</v>
      </c>
      <c r="T154" s="405" t="str">
        <f t="shared" si="131"/>
        <v>15.9563139906273-2.59672164207093i</v>
      </c>
      <c r="U154" s="405" t="str">
        <f t="shared" si="132"/>
        <v>1.50675891234097-6.88079178993082i</v>
      </c>
      <c r="V154" s="731" t="str">
        <f t="shared" si="118"/>
        <v>6000</v>
      </c>
      <c r="W154" s="733" t="str">
        <f>IMSUM(COMPLEX(1,0),IMDIV(COMPLEX(0,2*PI()*D154),COMPLEX(2*PI()*'Stability Calculations'!EA_Pole1,0)))</f>
        <v>1+55271.2710589254i</v>
      </c>
      <c r="X154" s="734">
        <f t="shared" si="133"/>
        <v>55271.271067971691</v>
      </c>
      <c r="Y154" s="735">
        <f t="shared" si="134"/>
        <v>1.5707782342129688</v>
      </c>
      <c r="Z154" s="340" t="str">
        <f>IMSUM(COMPLEX(1,0),IMDIV(COMPLEX(0,2*PI()*D154),COMPLEX(2*PI()*'Stability Calculations'!EA_Zero1,0)))</f>
        <v>1+547.240307514113i</v>
      </c>
      <c r="AA154" s="734">
        <f t="shared" si="135"/>
        <v>547.24122118873777</v>
      </c>
      <c r="AB154" s="735">
        <f t="shared" si="136"/>
        <v>1.5689689780539486</v>
      </c>
      <c r="AC154" s="733" t="str">
        <f>IMSUM(COMPLEX(1,0),IMDIV(COMPLEX(0,2*PI()*D154),COMPLEX(2*PI()*'Stability Calculations'!EA_Pole2,0)))</f>
        <v>1+5.51260122898729i</v>
      </c>
      <c r="AD154" s="734">
        <f t="shared" si="137"/>
        <v>5.6025683672608748</v>
      </c>
      <c r="AE154" s="735">
        <f t="shared" si="138"/>
        <v>1.3913451739765741</v>
      </c>
      <c r="AF154" s="732" t="str">
        <f t="shared" si="139"/>
        <v>1.87370961194584-10.4364945942745i</v>
      </c>
      <c r="AG154" s="337">
        <f t="shared" si="140"/>
        <v>10.60335829472055</v>
      </c>
      <c r="AH154" s="730">
        <f t="shared" si="141"/>
        <v>-1.3931544301355947</v>
      </c>
      <c r="AI154" s="731" t="str">
        <f t="shared" si="119"/>
        <v>10000</v>
      </c>
      <c r="AJ154" s="733" t="str">
        <f t="shared" si="142"/>
        <v>1+51528.0379074676i</v>
      </c>
      <c r="AK154" s="734">
        <f t="shared" si="143"/>
        <v>51528.037917171052</v>
      </c>
      <c r="AL154" s="735">
        <f t="shared" si="144"/>
        <v>1.5707769198847854</v>
      </c>
      <c r="AM154" s="340" t="str">
        <f t="shared" si="145"/>
        <v>1+87.4490011407552i</v>
      </c>
      <c r="AN154" s="734">
        <f t="shared" si="146"/>
        <v>87.454718572046204</v>
      </c>
      <c r="AO154" s="735">
        <f t="shared" si="147"/>
        <v>1.5593615888085857</v>
      </c>
      <c r="AP154" s="733" t="str">
        <f t="shared" si="148"/>
        <v>1+4.24142070020556i</v>
      </c>
      <c r="AQ154" s="734">
        <f t="shared" si="149"/>
        <v>4.3577115044633485</v>
      </c>
      <c r="AR154" s="735">
        <f t="shared" si="150"/>
        <v>1.3392547354904787</v>
      </c>
      <c r="AS154" s="732" t="str">
        <f t="shared" si="151"/>
        <v>0.0361073186211146-26.8727569981912i</v>
      </c>
      <c r="AT154" s="337">
        <f t="shared" si="152"/>
        <v>26.872781255804025</v>
      </c>
      <c r="AU154" s="730">
        <f t="shared" si="153"/>
        <v>-1.5694526873278127</v>
      </c>
      <c r="AV154" s="732" t="str">
        <f t="shared" si="154"/>
        <v>-4.60571454149706-0.0813470254256085i</v>
      </c>
      <c r="AW154" s="337">
        <f t="shared" si="155"/>
        <v>13.267294928624871</v>
      </c>
      <c r="AX154" s="730">
        <f t="shared" si="156"/>
        <v>-178.98813601518376</v>
      </c>
      <c r="AY154" s="360">
        <f t="shared" si="157"/>
        <v>1.0118639848162445</v>
      </c>
      <c r="BB154" s="337">
        <f t="shared" si="158"/>
        <v>-11.413747660141979</v>
      </c>
      <c r="BC154" s="730">
        <f t="shared" si="159"/>
        <v>-89.923015129348883</v>
      </c>
      <c r="BD154" s="351"/>
      <c r="BE154" s="337">
        <f t="shared" si="120"/>
        <v>52.755257469105523</v>
      </c>
      <c r="BF154" s="730">
        <f t="shared" si="121"/>
        <v>47.976684662723173</v>
      </c>
      <c r="BI154" s="351"/>
      <c r="BJ154" s="351"/>
      <c r="BL154" s="405">
        <f t="shared" si="122"/>
        <v>0</v>
      </c>
      <c r="BM154" s="405">
        <f t="shared" ref="BM154:BM217" si="160">IF(BL154&gt;0,AY154,0)</f>
        <v>0</v>
      </c>
      <c r="BN154" s="405">
        <f t="shared" si="123"/>
        <v>0</v>
      </c>
      <c r="BO154" s="405">
        <f t="shared" si="124"/>
        <v>0</v>
      </c>
    </row>
    <row r="155" spans="4:67" ht="13.5" thickBot="1" x14ac:dyDescent="0.25">
      <c r="D155" s="345">
        <v>8760.3250000000007</v>
      </c>
      <c r="E155" s="340" t="str">
        <f t="shared" si="111"/>
        <v>0.145312847660952i</v>
      </c>
      <c r="F155" s="728" t="str">
        <f t="shared" si="125"/>
        <v>0.005-0.297831122445342i</v>
      </c>
      <c r="G155" s="337" t="str">
        <f t="shared" si="126"/>
        <v>0.005-0.465838422286304i</v>
      </c>
      <c r="H155" s="338" t="str">
        <f t="shared" si="127"/>
        <v>0.158794427918834-0.403381338072665i</v>
      </c>
      <c r="I155" s="338" t="str">
        <f t="shared" si="128"/>
        <v>0.168794427918834-0.403381338072665i</v>
      </c>
      <c r="J155" s="337" t="str">
        <f t="shared" si="129"/>
        <v>0.0305284378018193-0.177693957182489i</v>
      </c>
      <c r="K155" s="338" t="str">
        <f t="shared" si="112"/>
        <v>0.99914729673216-0.0458689544384317i</v>
      </c>
      <c r="L155" s="732"/>
      <c r="M155" s="732" t="str">
        <f t="shared" si="113"/>
        <v>308.286819038352+326.995744627726i</v>
      </c>
      <c r="N155" s="337">
        <f t="shared" si="114"/>
        <v>0</v>
      </c>
      <c r="O155" s="730" t="str">
        <f t="shared" si="115"/>
        <v>154.110297192493+102.889547573427i</v>
      </c>
      <c r="P155" s="731" t="str">
        <f t="shared" si="116"/>
        <v>67.5166828248684-44.7980355707995i</v>
      </c>
      <c r="Q155" s="729" t="str">
        <f t="shared" si="117"/>
        <v>65.9755798529434-45.8269310465337i</v>
      </c>
      <c r="R155" s="730"/>
      <c r="S155" s="405" t="str">
        <f t="shared" si="130"/>
        <v>39.1107011863799+2.54658332936333i</v>
      </c>
      <c r="T155" s="405" t="str">
        <f t="shared" si="131"/>
        <v>15.9509672951065-2.59291450289568i</v>
      </c>
      <c r="U155" s="405" t="str">
        <f t="shared" si="132"/>
        <v>1.4869914046924-6.84606290618314i</v>
      </c>
      <c r="V155" s="731" t="str">
        <f t="shared" si="118"/>
        <v>6000</v>
      </c>
      <c r="W155" s="733" t="str">
        <f>IMSUM(COMPLEX(1,0),IMDIV(COMPLEX(0,2*PI()*D155),COMPLEX(2*PI()*'Stability Calculations'!EA_Pole1,0)))</f>
        <v>1+55593.1727793792i</v>
      </c>
      <c r="X155" s="734">
        <f t="shared" si="133"/>
        <v>55593.172788373107</v>
      </c>
      <c r="Y155" s="735">
        <f t="shared" si="134"/>
        <v>1.5707783389746321</v>
      </c>
      <c r="Z155" s="340" t="str">
        <f>IMSUM(COMPLEX(1,0),IMDIV(COMPLEX(0,2*PI()*D155),COMPLEX(2*PI()*'Stability Calculations'!EA_Zero1,0)))</f>
        <v>1+550.42745326118i</v>
      </c>
      <c r="AA155" s="734">
        <f t="shared" si="135"/>
        <v>550.4283616453539</v>
      </c>
      <c r="AB155" s="735">
        <f t="shared" si="136"/>
        <v>1.5689795589468181</v>
      </c>
      <c r="AC155" s="733" t="str">
        <f>IMSUM(COMPLEX(1,0),IMDIV(COMPLEX(0,2*PI()*D155),COMPLEX(2*PI()*'Stability Calculations'!EA_Pole2,0)))</f>
        <v>1+5.54470680184257i</v>
      </c>
      <c r="AD155" s="734">
        <f t="shared" si="137"/>
        <v>5.6341612968035681</v>
      </c>
      <c r="AE155" s="735">
        <f t="shared" si="138"/>
        <v>1.3923622749206443</v>
      </c>
      <c r="AF155" s="732" t="str">
        <f t="shared" si="139"/>
        <v>1.8527552916028-10.3798432056821i</v>
      </c>
      <c r="AG155" s="337">
        <f t="shared" si="140"/>
        <v>10.543900945338354</v>
      </c>
      <c r="AH155" s="730">
        <f t="shared" si="141"/>
        <v>-1.394161054948458</v>
      </c>
      <c r="AI155" s="731" t="str">
        <f t="shared" si="119"/>
        <v>10000</v>
      </c>
      <c r="AJ155" s="733" t="str">
        <f t="shared" si="142"/>
        <v>1+51828.1389135823i</v>
      </c>
      <c r="AK155" s="734">
        <f t="shared" si="143"/>
        <v>51828.138923229562</v>
      </c>
      <c r="AL155" s="735">
        <f t="shared" si="144"/>
        <v>1.5707770322568169</v>
      </c>
      <c r="AM155" s="340" t="str">
        <f t="shared" si="145"/>
        <v>1+87.9583070311365i</v>
      </c>
      <c r="AN155" s="734">
        <f t="shared" si="146"/>
        <v>87.963991358871837</v>
      </c>
      <c r="AO155" s="735">
        <f t="shared" si="147"/>
        <v>1.5594277937682917</v>
      </c>
      <c r="AP155" s="733" t="str">
        <f t="shared" si="148"/>
        <v>1+4.26612287539362i</v>
      </c>
      <c r="AQ155" s="734">
        <f t="shared" si="149"/>
        <v>4.3817581389160143</v>
      </c>
      <c r="AR155" s="735">
        <f t="shared" si="150"/>
        <v>1.3405484201891442</v>
      </c>
      <c r="AS155" s="732" t="str">
        <f t="shared" si="151"/>
        <v>0.0356903848030612-26.7171559537623i</v>
      </c>
      <c r="AT155" s="337">
        <f t="shared" si="152"/>
        <v>26.71717979243363</v>
      </c>
      <c r="AU155" s="730">
        <f t="shared" si="153"/>
        <v>-1.5694604674079635</v>
      </c>
      <c r="AV155" s="732" t="str">
        <f t="shared" si="154"/>
        <v>-4.55177647788014-0.0765923957960608i</v>
      </c>
      <c r="AW155" s="337">
        <f t="shared" si="155"/>
        <v>13.164848054617359</v>
      </c>
      <c r="AX155" s="730">
        <f t="shared" si="156"/>
        <v>-179.03597926511483</v>
      </c>
      <c r="AY155" s="360">
        <f t="shared" si="157"/>
        <v>0.96402073488516749</v>
      </c>
      <c r="BB155" s="337">
        <f t="shared" si="158"/>
        <v>-11.464187739218223</v>
      </c>
      <c r="BC155" s="730">
        <f t="shared" si="159"/>
        <v>-89.923460895105805</v>
      </c>
      <c r="BD155" s="351"/>
      <c r="BE155" s="337">
        <f t="shared" si="120"/>
        <v>53.052803711100367</v>
      </c>
      <c r="BF155" s="730">
        <f t="shared" si="121"/>
        <v>46.686859994776427</v>
      </c>
      <c r="BI155" s="351"/>
      <c r="BJ155" s="351"/>
      <c r="BL155" s="405">
        <f t="shared" si="122"/>
        <v>0</v>
      </c>
      <c r="BM155" s="405">
        <f t="shared" si="160"/>
        <v>0</v>
      </c>
      <c r="BN155" s="405">
        <f t="shared" si="123"/>
        <v>0</v>
      </c>
      <c r="BO155" s="405">
        <f t="shared" si="124"/>
        <v>0</v>
      </c>
    </row>
    <row r="156" spans="4:67" ht="13.5" thickBot="1" x14ac:dyDescent="0.25">
      <c r="D156" s="345">
        <v>8811.0499999999993</v>
      </c>
      <c r="E156" s="340" t="str">
        <f t="shared" si="111"/>
        <v>0.146154254138177i</v>
      </c>
      <c r="F156" s="728" t="str">
        <f t="shared" si="125"/>
        <v>0.005-0.296116515935784i</v>
      </c>
      <c r="G156" s="337" t="str">
        <f t="shared" si="126"/>
        <v>0.005-0.463156601848278i</v>
      </c>
      <c r="H156" s="338" t="str">
        <f t="shared" si="127"/>
        <v>0.157250429022143-0.401644440303131i</v>
      </c>
      <c r="I156" s="338" t="str">
        <f t="shared" si="128"/>
        <v>0.167250429022143-0.401644440303131i</v>
      </c>
      <c r="J156" s="337" t="str">
        <f t="shared" si="129"/>
        <v>0.0302318725311271-0.176714893651688i</v>
      </c>
      <c r="K156" s="338" t="str">
        <f t="shared" si="112"/>
        <v>0.999137393309972-0.0461345499173539i</v>
      </c>
      <c r="L156" s="732"/>
      <c r="M156" s="732" t="str">
        <f t="shared" si="113"/>
        <v>327.199143839017+330.757384402773i</v>
      </c>
      <c r="N156" s="337">
        <f t="shared" si="114"/>
        <v>0</v>
      </c>
      <c r="O156" s="730" t="str">
        <f t="shared" si="115"/>
        <v>161.853581049403+102.756353150687i</v>
      </c>
      <c r="P156" s="731" t="str">
        <f t="shared" si="116"/>
        <v>68.3415988180815-47.8215468224416i</v>
      </c>
      <c r="Q156" s="729" t="str">
        <f t="shared" si="117"/>
        <v>66.7230630075875-48.8491103539485i</v>
      </c>
      <c r="R156" s="730"/>
      <c r="S156" s="405" t="str">
        <f t="shared" si="130"/>
        <v>39.1225835185811+2.51389664539451i</v>
      </c>
      <c r="T156" s="405" t="str">
        <f t="shared" si="131"/>
        <v>15.945697278074-2.58918752532941i</v>
      </c>
      <c r="U156" s="405" t="str">
        <f t="shared" si="132"/>
        <v>1.46753496358358-6.81165150767202i</v>
      </c>
      <c r="V156" s="731" t="str">
        <f t="shared" si="118"/>
        <v>6000</v>
      </c>
      <c r="W156" s="733" t="str">
        <f>IMSUM(COMPLEX(1,0),IMDIV(COMPLEX(0,2*PI()*D156),COMPLEX(2*PI()*'Stability Calculations'!EA_Pole1,0)))</f>
        <v>1+55915.074499833i</v>
      </c>
      <c r="X156" s="734">
        <f t="shared" si="133"/>
        <v>55915.074508775142</v>
      </c>
      <c r="Y156" s="735">
        <f t="shared" si="134"/>
        <v>1.5707784425300746</v>
      </c>
      <c r="Z156" s="340" t="str">
        <f>IMSUM(COMPLEX(1,0),IMDIV(COMPLEX(0,2*PI()*D156),COMPLEX(2*PI()*'Stability Calculations'!EA_Zero1,0)))</f>
        <v>1+553.614599008247i</v>
      </c>
      <c r="AA156" s="734">
        <f t="shared" si="135"/>
        <v>553.6155021628839</v>
      </c>
      <c r="AB156" s="735">
        <f t="shared" si="136"/>
        <v>1.5689900180122032</v>
      </c>
      <c r="AC156" s="733" t="str">
        <f>IMSUM(COMPLEX(1,0),IMDIV(COMPLEX(0,2*PI()*D156),COMPLEX(2*PI()*'Stability Calculations'!EA_Pole2,0)))</f>
        <v>1+5.57681237469786i</v>
      </c>
      <c r="AD156" s="734">
        <f t="shared" si="137"/>
        <v>5.6657599898498328</v>
      </c>
      <c r="AE156" s="735">
        <f t="shared" si="138"/>
        <v>1.3933680318824597</v>
      </c>
      <c r="AF156" s="732" t="str">
        <f t="shared" si="139"/>
        <v>1.83214679700224-10.3237820871205i</v>
      </c>
      <c r="AG156" s="337">
        <f t="shared" si="140"/>
        <v>10.48509601616102</v>
      </c>
      <c r="AH156" s="730">
        <f t="shared" si="141"/>
        <v>-1.3951564564003309</v>
      </c>
      <c r="AI156" s="731" t="str">
        <f t="shared" si="119"/>
        <v>10000</v>
      </c>
      <c r="AJ156" s="733" t="str">
        <f t="shared" si="142"/>
        <v>1+52128.2399196969i</v>
      </c>
      <c r="AK156" s="734">
        <f t="shared" si="143"/>
        <v>52128.239929288626</v>
      </c>
      <c r="AL156" s="735">
        <f t="shared" si="144"/>
        <v>1.570777143335002</v>
      </c>
      <c r="AM156" s="340" t="str">
        <f t="shared" si="145"/>
        <v>1+88.4676129215179i</v>
      </c>
      <c r="AN156" s="734">
        <f t="shared" si="146"/>
        <v>88.473264526813523</v>
      </c>
      <c r="AO156" s="735">
        <f t="shared" si="147"/>
        <v>1.5594932365452709</v>
      </c>
      <c r="AP156" s="733" t="str">
        <f t="shared" si="148"/>
        <v>1+4.29082505058168i</v>
      </c>
      <c r="AQ156" s="734">
        <f t="shared" si="149"/>
        <v>4.4058120267096372</v>
      </c>
      <c r="AR156" s="735">
        <f t="shared" si="150"/>
        <v>1.3418279810569702</v>
      </c>
      <c r="AS156" s="732" t="str">
        <f t="shared" si="151"/>
        <v>0.0352806310539703-26.5633464826343i</v>
      </c>
      <c r="AT156" s="337">
        <f t="shared" si="152"/>
        <v>26.56336991195597</v>
      </c>
      <c r="AU156" s="730">
        <f t="shared" si="153"/>
        <v>-1.5694681579088099</v>
      </c>
      <c r="AV156" s="732" t="str">
        <f t="shared" si="154"/>
        <v>-4.49877833536954-0.0719758868093615i</v>
      </c>
      <c r="AW156" s="337">
        <f t="shared" si="155"/>
        <v>13.063003411669694</v>
      </c>
      <c r="AX156" s="730">
        <f t="shared" si="156"/>
        <v>-179.08340388772368</v>
      </c>
      <c r="AY156" s="360">
        <f t="shared" si="157"/>
        <v>0.91659611227632354</v>
      </c>
      <c r="BB156" s="337">
        <f t="shared" si="158"/>
        <v>-11.514336597127986</v>
      </c>
      <c r="BC156" s="730">
        <f t="shared" si="159"/>
        <v>-89.923901528346647</v>
      </c>
      <c r="BD156" s="351"/>
      <c r="BE156" s="337">
        <f t="shared" si="120"/>
        <v>53.353771065093014</v>
      </c>
      <c r="BF156" s="730">
        <f t="shared" si="121"/>
        <v>45.309853570187663</v>
      </c>
      <c r="BI156" s="351"/>
      <c r="BJ156" s="351"/>
      <c r="BL156" s="405">
        <f t="shared" si="122"/>
        <v>0</v>
      </c>
      <c r="BM156" s="405">
        <f t="shared" si="160"/>
        <v>0</v>
      </c>
      <c r="BN156" s="405">
        <f t="shared" si="123"/>
        <v>0</v>
      </c>
      <c r="BO156" s="405">
        <f t="shared" si="124"/>
        <v>0</v>
      </c>
    </row>
    <row r="157" spans="4:67" ht="13.5" thickBot="1" x14ac:dyDescent="0.25">
      <c r="D157" s="345">
        <v>8861.7749999999996</v>
      </c>
      <c r="E157" s="340" t="str">
        <f t="shared" si="111"/>
        <v>0.146995660615403i</v>
      </c>
      <c r="F157" s="728" t="str">
        <f t="shared" si="125"/>
        <v>0.005-0.294421538318902i</v>
      </c>
      <c r="G157" s="337" t="str">
        <f t="shared" si="126"/>
        <v>0.005-0.460505483011617i</v>
      </c>
      <c r="H157" s="338" t="str">
        <f t="shared" si="127"/>
        <v>0.15572846958037-0.39991911887697i</v>
      </c>
      <c r="I157" s="338" t="str">
        <f t="shared" si="128"/>
        <v>0.16572846958037-0.39991911887697i</v>
      </c>
      <c r="J157" s="337" t="str">
        <f t="shared" si="129"/>
        <v>0.0299402419056007-0.175746314506801i</v>
      </c>
      <c r="K157" s="338" t="str">
        <f t="shared" si="112"/>
        <v>0.999127432709437-0.0464001453962761i</v>
      </c>
      <c r="L157" s="732"/>
      <c r="M157" s="732" t="str">
        <f t="shared" si="113"/>
        <v>347.532512124243+333.724323390424i</v>
      </c>
      <c r="N157" s="337">
        <f t="shared" si="114"/>
        <v>0</v>
      </c>
      <c r="O157" s="730" t="str">
        <f t="shared" si="115"/>
        <v>170.088140853483+102.189613283675i</v>
      </c>
      <c r="P157" s="731" t="str">
        <f t="shared" si="116"/>
        <v>69.0560273802037-51.0857712050337i</v>
      </c>
      <c r="Q157" s="729" t="str">
        <f t="shared" si="117"/>
        <v>67.3551459716688-52.1076673378704i</v>
      </c>
      <c r="R157" s="730"/>
      <c r="S157" s="405" t="str">
        <f t="shared" si="130"/>
        <v>39.1342672631286+2.48141106947831i</v>
      </c>
      <c r="T157" s="405" t="str">
        <f t="shared" si="131"/>
        <v>15.9405023374716-2.58553974799057i</v>
      </c>
      <c r="U157" s="405" t="str">
        <f t="shared" si="132"/>
        <v>1.44838325551899-6.7775537972517i</v>
      </c>
      <c r="V157" s="731" t="str">
        <f t="shared" si="118"/>
        <v>6000</v>
      </c>
      <c r="W157" s="733" t="str">
        <f>IMSUM(COMPLEX(1,0),IMDIV(COMPLEX(0,2*PI()*D157),COMPLEX(2*PI()*'Stability Calculations'!EA_Pole1,0)))</f>
        <v>1+56236.9762202867i</v>
      </c>
      <c r="X157" s="734">
        <f t="shared" si="133"/>
        <v>56236.97622917765</v>
      </c>
      <c r="Y157" s="735">
        <f t="shared" si="134"/>
        <v>1.57077854490001</v>
      </c>
      <c r="Z157" s="340" t="str">
        <f>IMSUM(COMPLEX(1,0),IMDIV(COMPLEX(0,2*PI()*D157),COMPLEX(2*PI()*'Stability Calculations'!EA_Zero1,0)))</f>
        <v>1+556.801744755314i</v>
      </c>
      <c r="AA157" s="734">
        <f t="shared" si="135"/>
        <v>556.80264274028173</v>
      </c>
      <c r="AB157" s="735">
        <f t="shared" si="136"/>
        <v>1.5690003573421241</v>
      </c>
      <c r="AC157" s="733" t="str">
        <f>IMSUM(COMPLEX(1,0),IMDIV(COMPLEX(0,2*PI()*D157),COMPLEX(2*PI()*'Stability Calculations'!EA_Pole2,0)))</f>
        <v>1+5.60891794755314i</v>
      </c>
      <c r="AD157" s="734">
        <f t="shared" si="137"/>
        <v>5.6973643505031095</v>
      </c>
      <c r="AE157" s="735">
        <f t="shared" si="138"/>
        <v>1.3943626315918272</v>
      </c>
      <c r="AF157" s="732" t="str">
        <f t="shared" si="139"/>
        <v>1.811876642336-10.2683024370573i</v>
      </c>
      <c r="AG157" s="337">
        <f t="shared" si="140"/>
        <v>10.42693300572703</v>
      </c>
      <c r="AH157" s="730">
        <f t="shared" si="141"/>
        <v>-1.3961408191497129</v>
      </c>
      <c r="AI157" s="731" t="str">
        <f t="shared" si="119"/>
        <v>10000</v>
      </c>
      <c r="AJ157" s="733" t="str">
        <f t="shared" si="142"/>
        <v>1+52428.3409258116i</v>
      </c>
      <c r="AK157" s="734">
        <f t="shared" si="143"/>
        <v>52428.340935348424</v>
      </c>
      <c r="AL157" s="735">
        <f t="shared" si="144"/>
        <v>1.5707772531415591</v>
      </c>
      <c r="AM157" s="340" t="str">
        <f t="shared" si="145"/>
        <v>1+88.9769188118992i</v>
      </c>
      <c r="AN157" s="734">
        <f t="shared" si="146"/>
        <v>88.982538069327418</v>
      </c>
      <c r="AO157" s="735">
        <f t="shared" si="147"/>
        <v>1.5595579302255536</v>
      </c>
      <c r="AP157" s="733" t="str">
        <f t="shared" si="148"/>
        <v>1+4.31552722576974i</v>
      </c>
      <c r="AQ157" s="734">
        <f t="shared" si="149"/>
        <v>4.4298730496888803</v>
      </c>
      <c r="AR157" s="735">
        <f t="shared" si="150"/>
        <v>1.3430936440118428</v>
      </c>
      <c r="AS157" s="732" t="str">
        <f t="shared" si="151"/>
        <v>0.0348778934502241-26.4112978200055i</v>
      </c>
      <c r="AT157" s="337">
        <f t="shared" si="152"/>
        <v>26.411320849296406</v>
      </c>
      <c r="AU157" s="730">
        <f t="shared" si="153"/>
        <v>-1.5694757603686103</v>
      </c>
      <c r="AV157" s="732" t="str">
        <f t="shared" si="154"/>
        <v>-4.44669846222437-0.0674929923217454i</v>
      </c>
      <c r="AW157" s="337">
        <f t="shared" si="155"/>
        <v>12.961754010818659</v>
      </c>
      <c r="AX157" s="730">
        <f t="shared" si="156"/>
        <v>-179.13041850761329</v>
      </c>
      <c r="AY157" s="360">
        <f t="shared" si="157"/>
        <v>0.86958149238671467</v>
      </c>
      <c r="BB157" s="337">
        <f t="shared" si="158"/>
        <v>-11.564197577363529</v>
      </c>
      <c r="BC157" s="730">
        <f t="shared" si="159"/>
        <v>-89.924337117207116</v>
      </c>
      <c r="BD157" s="351"/>
      <c r="BE157" s="337">
        <f t="shared" si="120"/>
        <v>53.657701303584332</v>
      </c>
      <c r="BF157" s="730">
        <f t="shared" si="121"/>
        <v>43.838848166518602</v>
      </c>
      <c r="BI157" s="351"/>
      <c r="BJ157" s="351"/>
      <c r="BL157" s="405">
        <f t="shared" si="122"/>
        <v>0</v>
      </c>
      <c r="BM157" s="405">
        <f t="shared" si="160"/>
        <v>0</v>
      </c>
      <c r="BN157" s="405">
        <f t="shared" si="123"/>
        <v>0</v>
      </c>
      <c r="BO157" s="405">
        <f t="shared" si="124"/>
        <v>0</v>
      </c>
    </row>
    <row r="158" spans="4:67" ht="13.5" thickBot="1" x14ac:dyDescent="0.25">
      <c r="D158" s="345">
        <v>8912.5</v>
      </c>
      <c r="E158" s="340" t="str">
        <f t="shared" si="111"/>
        <v>0.147837067092628i</v>
      </c>
      <c r="F158" s="728" t="str">
        <f t="shared" si="125"/>
        <v>0.005-0.292745854444431i</v>
      </c>
      <c r="G158" s="337" t="str">
        <f t="shared" si="126"/>
        <v>0.005-0.457884541566931i</v>
      </c>
      <c r="H158" s="338" t="str">
        <f t="shared" si="127"/>
        <v>0.154228154678211-0.39820532415134i</v>
      </c>
      <c r="I158" s="338" t="str">
        <f t="shared" si="128"/>
        <v>0.164228154678211-0.39820532415134i</v>
      </c>
      <c r="J158" s="337" t="str">
        <f t="shared" si="129"/>
        <v>0.0296534378354554-0.17478805651626i</v>
      </c>
      <c r="K158" s="338" t="str">
        <f t="shared" si="112"/>
        <v>0.999117414930556-0.0466657408751984i</v>
      </c>
      <c r="L158" s="732"/>
      <c r="M158" s="732" t="str">
        <f t="shared" si="113"/>
        <v>369.356248923263+335.695186963484i</v>
      </c>
      <c r="N158" s="337">
        <f t="shared" si="114"/>
        <v>0</v>
      </c>
      <c r="O158" s="730" t="str">
        <f t="shared" si="115"/>
        <v>178.824091055479+101.104226764286i</v>
      </c>
      <c r="P158" s="731" t="str">
        <f t="shared" si="116"/>
        <v>69.6281918777929-54.6045445531499i</v>
      </c>
      <c r="Q158" s="729" t="str">
        <f t="shared" si="117"/>
        <v>67.8399509672382-55.6155868207927i</v>
      </c>
      <c r="R158" s="730"/>
      <c r="S158" s="405" t="str">
        <f t="shared" si="130"/>
        <v>39.1457563774495+2.44912419927503i</v>
      </c>
      <c r="T158" s="405" t="str">
        <f t="shared" si="131"/>
        <v>15.9353809107303-2.5819702211065i</v>
      </c>
      <c r="U158" s="405" t="str">
        <f t="shared" si="132"/>
        <v>1.42953010311152-6.74376602366781i</v>
      </c>
      <c r="V158" s="731" t="str">
        <f t="shared" si="118"/>
        <v>6000</v>
      </c>
      <c r="W158" s="733" t="str">
        <f>IMSUM(COMPLEX(1,0),IMDIV(COMPLEX(0,2*PI()*D158),COMPLEX(2*PI()*'Stability Calculations'!EA_Pole1,0)))</f>
        <v>1+56558.8779407405i</v>
      </c>
      <c r="X158" s="734">
        <f t="shared" si="133"/>
        <v>56558.877949580849</v>
      </c>
      <c r="Y158" s="735">
        <f t="shared" si="134"/>
        <v>1.5707786461046795</v>
      </c>
      <c r="Z158" s="340" t="str">
        <f>IMSUM(COMPLEX(1,0),IMDIV(COMPLEX(0,2*PI()*D158),COMPLEX(2*PI()*'Stability Calculations'!EA_Zero1,0)))</f>
        <v>1+559.988890502381i</v>
      </c>
      <c r="AA158" s="734">
        <f t="shared" si="135"/>
        <v>559.98978337652522</v>
      </c>
      <c r="AB158" s="735">
        <f t="shared" si="136"/>
        <v>1.5690105789809756</v>
      </c>
      <c r="AC158" s="733" t="str">
        <f>IMSUM(COMPLEX(1,0),IMDIV(COMPLEX(0,2*PI()*D158),COMPLEX(2*PI()*'Stability Calculations'!EA_Pole2,0)))</f>
        <v>1+5.64102352040843i</v>
      </c>
      <c r="AD158" s="734">
        <f t="shared" si="137"/>
        <v>5.7289742849659495</v>
      </c>
      <c r="AE158" s="735">
        <f t="shared" si="138"/>
        <v>1.3953462567467962</v>
      </c>
      <c r="AF158" s="732" t="str">
        <f t="shared" si="139"/>
        <v>1.79193754098083-10.2133956190236i</v>
      </c>
      <c r="AG158" s="337">
        <f t="shared" si="140"/>
        <v>10.369401632759091</v>
      </c>
      <c r="AH158" s="730">
        <f t="shared" si="141"/>
        <v>-1.3971143238705002</v>
      </c>
      <c r="AI158" s="731" t="str">
        <f t="shared" si="119"/>
        <v>10000</v>
      </c>
      <c r="AJ158" s="733" t="str">
        <f t="shared" si="142"/>
        <v>1+52728.4419319263i</v>
      </c>
      <c r="AK158" s="734">
        <f t="shared" si="143"/>
        <v>52728.441941408855</v>
      </c>
      <c r="AL158" s="735">
        <f t="shared" si="144"/>
        <v>1.5707773616982004</v>
      </c>
      <c r="AM158" s="340" t="str">
        <f t="shared" si="145"/>
        <v>1+89.4862247022805i</v>
      </c>
      <c r="AN158" s="734">
        <f t="shared" si="146"/>
        <v>89.491811980018795</v>
      </c>
      <c r="AO158" s="735">
        <f t="shared" si="147"/>
        <v>1.5596218875973193</v>
      </c>
      <c r="AP158" s="733" t="str">
        <f t="shared" si="148"/>
        <v>1+4.3402294009578i</v>
      </c>
      <c r="AQ158" s="734">
        <f t="shared" si="149"/>
        <v>4.4539410922169269</v>
      </c>
      <c r="AR158" s="735">
        <f t="shared" si="150"/>
        <v>1.3443456302687069</v>
      </c>
      <c r="AS158" s="732" t="str">
        <f t="shared" si="151"/>
        <v>0.0344820127196863-26.2609799014531i</v>
      </c>
      <c r="AT158" s="337">
        <f t="shared" si="152"/>
        <v>26.261002539768448</v>
      </c>
      <c r="AU158" s="730">
        <f t="shared" si="153"/>
        <v>-1.5694832762906028</v>
      </c>
      <c r="AV158" s="732" t="str">
        <f t="shared" si="154"/>
        <v>-4.39551582340777-0.0631393757515075i</v>
      </c>
      <c r="AW158" s="337">
        <f t="shared" si="155"/>
        <v>12.861092981704354</v>
      </c>
      <c r="AX158" s="730">
        <f t="shared" si="156"/>
        <v>-179.1770315227248</v>
      </c>
      <c r="AY158" s="360">
        <f t="shared" si="157"/>
        <v>0.82296847727519662</v>
      </c>
      <c r="BB158" s="337">
        <f t="shared" si="158"/>
        <v>-11.613773966165873</v>
      </c>
      <c r="BC158" s="730">
        <f t="shared" si="159"/>
        <v>-89.924767747816446</v>
      </c>
      <c r="BD158" s="351"/>
      <c r="BE158" s="337">
        <f t="shared" si="120"/>
        <v>53.964003966338787</v>
      </c>
      <c r="BF158" s="730">
        <f t="shared" si="121"/>
        <v>42.266620092243258</v>
      </c>
      <c r="BI158" s="351"/>
      <c r="BJ158" s="351"/>
      <c r="BL158" s="405">
        <f t="shared" si="122"/>
        <v>0</v>
      </c>
      <c r="BM158" s="405">
        <f t="shared" si="160"/>
        <v>0</v>
      </c>
      <c r="BN158" s="405">
        <f t="shared" si="123"/>
        <v>0</v>
      </c>
      <c r="BO158" s="405">
        <f t="shared" si="124"/>
        <v>0</v>
      </c>
    </row>
    <row r="159" spans="4:67" ht="13.5" thickBot="1" x14ac:dyDescent="0.25">
      <c r="D159" s="345">
        <v>8964.4</v>
      </c>
      <c r="E159" s="340" t="str">
        <f t="shared" si="111"/>
        <v>0.148697964010677i</v>
      </c>
      <c r="F159" s="728" t="str">
        <f t="shared" si="125"/>
        <v>0.005-0.29105098252376i</v>
      </c>
      <c r="G159" s="337" t="str">
        <f t="shared" si="126"/>
        <v>0.005-0.455233588049982i</v>
      </c>
      <c r="H159" s="338" t="str">
        <f t="shared" si="127"/>
        <v>0.152715085433085-0.396463707369508i</v>
      </c>
      <c r="I159" s="338" t="str">
        <f t="shared" si="128"/>
        <v>0.162715085433085-0.396463707369508i</v>
      </c>
      <c r="J159" s="337" t="str">
        <f t="shared" si="129"/>
        <v>0.0293648760822219-0.173818117045842i</v>
      </c>
      <c r="K159" s="338" t="str">
        <f t="shared" si="112"/>
        <v>0.999107105918222-0.0469374886397339i</v>
      </c>
      <c r="L159" s="732"/>
      <c r="M159" s="732" t="str">
        <f t="shared" si="113"/>
        <v>393.283619129598+336.43406739047i</v>
      </c>
      <c r="N159" s="337">
        <f t="shared" si="114"/>
        <v>0</v>
      </c>
      <c r="O159" s="730" t="str">
        <f t="shared" si="115"/>
        <v>188.282187612013+99.3551436607654i</v>
      </c>
      <c r="P159" s="731" t="str">
        <f t="shared" si="116"/>
        <v>70.0270608447938-58.4804734433217i</v>
      </c>
      <c r="Q159" s="729" t="str">
        <f t="shared" si="117"/>
        <v>68.1442389686737-59.4740248799295i</v>
      </c>
      <c r="R159" s="730"/>
      <c r="S159" s="405" t="str">
        <f t="shared" si="130"/>
        <v>39.1573142076086+2.41629262050225i</v>
      </c>
      <c r="T159" s="405" t="str">
        <f t="shared" si="131"/>
        <v>15.9302153490233-2.57839802114476i</v>
      </c>
      <c r="U159" s="405" t="str">
        <f t="shared" si="132"/>
        <v>1.41054295945628-6.70951251054803i</v>
      </c>
      <c r="V159" s="731" t="str">
        <f t="shared" si="118"/>
        <v>6000</v>
      </c>
      <c r="W159" s="733" t="str">
        <f>IMSUM(COMPLEX(1,0),IMDIV(COMPLEX(0,2*PI()*D159),COMPLEX(2*PI()*'Stability Calculations'!EA_Pole1,0)))</f>
        <v>1+56888.2362313575i</v>
      </c>
      <c r="X159" s="734">
        <f t="shared" si="133"/>
        <v>56888.236240146653</v>
      </c>
      <c r="Y159" s="735">
        <f t="shared" si="134"/>
        <v>1.5707787484682312</v>
      </c>
      <c r="Z159" s="340" t="str">
        <f>IMSUM(COMPLEX(1,0),IMDIV(COMPLEX(0,2*PI()*D159),COMPLEX(2*PI()*'Stability Calculations'!EA_Zero1,0)))</f>
        <v>1+563.249863676807i</v>
      </c>
      <c r="AA159" s="734">
        <f t="shared" si="135"/>
        <v>563.25075138160412</v>
      </c>
      <c r="AB159" s="735">
        <f t="shared" si="136"/>
        <v>1.5690209176669132</v>
      </c>
      <c r="AC159" s="733" t="str">
        <f>IMSUM(COMPLEX(1,0),IMDIV(COMPLEX(0,2*PI()*D159),COMPLEX(2*PI()*'Stability Calculations'!EA_Pole2,0)))</f>
        <v>1+5.67387279061423i</v>
      </c>
      <c r="AD159" s="734">
        <f t="shared" si="137"/>
        <v>5.7613221090364766</v>
      </c>
      <c r="AE159" s="735">
        <f t="shared" si="138"/>
        <v>1.3963414943290196</v>
      </c>
      <c r="AF159" s="732" t="str">
        <f t="shared" si="139"/>
        <v>1.77187181522467-10.1578009838012i</v>
      </c>
      <c r="AG159" s="337">
        <f t="shared" si="140"/>
        <v>10.311180851682323</v>
      </c>
      <c r="AH159" s="730">
        <f t="shared" si="141"/>
        <v>-1.3980993251303384</v>
      </c>
      <c r="AI159" s="731" t="str">
        <f t="shared" si="119"/>
        <v>10000</v>
      </c>
      <c r="AJ159" s="733" t="str">
        <f t="shared" si="142"/>
        <v>1+53035.4945138356i</v>
      </c>
      <c r="AK159" s="734">
        <f t="shared" si="143"/>
        <v>53035.494523263245</v>
      </c>
      <c r="AL159" s="735">
        <f t="shared" si="144"/>
        <v>1.5707774714979101</v>
      </c>
      <c r="AM159" s="340" t="str">
        <f t="shared" si="145"/>
        <v>1+90.0073282155537i</v>
      </c>
      <c r="AN159" s="734">
        <f t="shared" si="146"/>
        <v>90.012883147371795</v>
      </c>
      <c r="AO159" s="735">
        <f t="shared" si="147"/>
        <v>1.5596865774299369</v>
      </c>
      <c r="AP159" s="733" t="str">
        <f t="shared" si="148"/>
        <v>1+4.36550378030251i</v>
      </c>
      <c r="AQ159" s="734">
        <f t="shared" si="149"/>
        <v>4.4785737970737411</v>
      </c>
      <c r="AR159" s="735">
        <f t="shared" si="150"/>
        <v>1.3456126880261379</v>
      </c>
      <c r="AS159" s="732" t="str">
        <f t="shared" si="151"/>
        <v>0.0340838973151154-26.1089407021858i</v>
      </c>
      <c r="AT159" s="337">
        <f t="shared" si="152"/>
        <v>26.108962949575584</v>
      </c>
      <c r="AU159" s="730">
        <f t="shared" si="153"/>
        <v>-1.5694908782766279</v>
      </c>
      <c r="AV159" s="732" t="str">
        <f t="shared" si="154"/>
        <v>-4.34405491965494-0.0588143631437575i</v>
      </c>
      <c r="AW159" s="337">
        <f t="shared" si="155"/>
        <v>12.758702157527321</v>
      </c>
      <c r="AX159" s="730">
        <f t="shared" si="156"/>
        <v>-179.2243171493765</v>
      </c>
      <c r="AY159" s="360">
        <f t="shared" si="157"/>
        <v>0.77568285062349673</v>
      </c>
      <c r="BB159" s="337">
        <f t="shared" si="158"/>
        <v>-11.664207561029681</v>
      </c>
      <c r="BC159" s="730">
        <f t="shared" si="159"/>
        <v>-89.925203309531597</v>
      </c>
      <c r="BD159" s="351"/>
      <c r="BE159" s="337">
        <f t="shared" si="120"/>
        <v>54.279076809245403</v>
      </c>
      <c r="BF159" s="730">
        <f t="shared" si="121"/>
        <v>40.545299877039085</v>
      </c>
      <c r="BI159" s="351"/>
      <c r="BJ159" s="351"/>
      <c r="BL159" s="405">
        <f t="shared" si="122"/>
        <v>0</v>
      </c>
      <c r="BM159" s="405">
        <f t="shared" si="160"/>
        <v>0</v>
      </c>
      <c r="BN159" s="405">
        <f t="shared" si="123"/>
        <v>0</v>
      </c>
      <c r="BO159" s="405">
        <f t="shared" si="124"/>
        <v>0</v>
      </c>
    </row>
    <row r="160" spans="4:67" ht="13.5" thickBot="1" x14ac:dyDescent="0.25">
      <c r="D160" s="345">
        <v>9016.2999999999993</v>
      </c>
      <c r="E160" s="340" t="str">
        <f t="shared" si="111"/>
        <v>0.149558860928726i</v>
      </c>
      <c r="F160" s="728" t="str">
        <f t="shared" si="125"/>
        <v>0.005-0.289375622787173i</v>
      </c>
      <c r="G160" s="337" t="str">
        <f t="shared" si="126"/>
        <v>0.005-0.452613153590194i</v>
      </c>
      <c r="H160" s="338" t="str">
        <f t="shared" si="127"/>
        <v>0.151223864809349-0.394734046263531i</v>
      </c>
      <c r="I160" s="338" t="str">
        <f t="shared" si="128"/>
        <v>0.161223864809349-0.394734046263531i</v>
      </c>
      <c r="J160" s="337" t="str">
        <f t="shared" si="129"/>
        <v>0.0290811474109769-0.172858647106392i</v>
      </c>
      <c r="K160" s="338" t="str">
        <f t="shared" si="112"/>
        <v>0.999096737047889-0.0472092364042694i</v>
      </c>
      <c r="L160" s="732"/>
      <c r="M160" s="732" t="str">
        <f t="shared" si="113"/>
        <v>418.857704695068+335.588373469038i</v>
      </c>
      <c r="N160" s="337">
        <f t="shared" si="114"/>
        <v>0</v>
      </c>
      <c r="O160" s="730" t="str">
        <f t="shared" si="115"/>
        <v>198.253048388128+96.8426528378635i</v>
      </c>
      <c r="P160" s="731" t="str">
        <f t="shared" si="116"/>
        <v>70.1902148769532-62.6438812054151i</v>
      </c>
      <c r="Q160" s="729" t="str">
        <f t="shared" si="117"/>
        <v>68.2076843930719-63.6123077337936i</v>
      </c>
      <c r="R160" s="730"/>
      <c r="S160" s="405" t="str">
        <f t="shared" si="130"/>
        <v>39.1686763595775+2.38366406545732i</v>
      </c>
      <c r="T160" s="405" t="str">
        <f t="shared" si="131"/>
        <v>15.9251235586756-2.57490576427428i</v>
      </c>
      <c r="U160" s="405" t="str">
        <f t="shared" si="132"/>
        <v>1.39185576103006-6.67557566075612i</v>
      </c>
      <c r="V160" s="731" t="str">
        <f t="shared" si="118"/>
        <v>6000</v>
      </c>
      <c r="W160" s="733" t="str">
        <f>IMSUM(COMPLEX(1,0),IMDIV(COMPLEX(0,2*PI()*D160),COMPLEX(2*PI()*'Stability Calculations'!EA_Pole1,0)))</f>
        <v>1+57217.5945219745i</v>
      </c>
      <c r="X160" s="734">
        <f t="shared" si="133"/>
        <v>57217.594530713075</v>
      </c>
      <c r="Y160" s="735">
        <f t="shared" si="134"/>
        <v>1.5707788496533241</v>
      </c>
      <c r="Z160" s="340" t="str">
        <f>IMSUM(COMPLEX(1,0),IMDIV(COMPLEX(0,2*PI()*D160),COMPLEX(2*PI()*'Stability Calculations'!EA_Zero1,0)))</f>
        <v>1+566.510836851233i</v>
      </c>
      <c r="AA160" s="734">
        <f t="shared" si="135"/>
        <v>566.51171944619489</v>
      </c>
      <c r="AB160" s="735">
        <f t="shared" si="136"/>
        <v>1.5690311373292782</v>
      </c>
      <c r="AC160" s="733" t="str">
        <f>IMSUM(COMPLEX(1,0),IMDIV(COMPLEX(0,2*PI()*D160),COMPLEX(2*PI()*'Stability Calculations'!EA_Pole2,0)))</f>
        <v>1+5.70672206082002i</v>
      </c>
      <c r="AD160" s="734">
        <f t="shared" si="137"/>
        <v>5.7936755759577956</v>
      </c>
      <c r="AE160" s="735">
        <f t="shared" si="138"/>
        <v>1.3973256175199595</v>
      </c>
      <c r="AF160" s="732" t="str">
        <f t="shared" si="139"/>
        <v>1.75213783645313-10.1027882482644i</v>
      </c>
      <c r="AG160" s="337">
        <f t="shared" si="140"/>
        <v>10.253600215885147</v>
      </c>
      <c r="AH160" s="730">
        <f t="shared" si="141"/>
        <v>-1.3990733298440063</v>
      </c>
      <c r="AI160" s="731" t="str">
        <f t="shared" si="119"/>
        <v>10000</v>
      </c>
      <c r="AJ160" s="733" t="str">
        <f t="shared" si="142"/>
        <v>1+53342.5470957449i</v>
      </c>
      <c r="AK160" s="734">
        <f t="shared" si="143"/>
        <v>53342.547105118283</v>
      </c>
      <c r="AL160" s="735">
        <f t="shared" si="144"/>
        <v>1.5707775800335526</v>
      </c>
      <c r="AM160" s="340" t="str">
        <f t="shared" si="145"/>
        <v>1+90.528431728827i</v>
      </c>
      <c r="AN160" s="734">
        <f t="shared" si="146"/>
        <v>90.533954687072466</v>
      </c>
      <c r="AO160" s="735">
        <f t="shared" si="147"/>
        <v>1.5597505226133495</v>
      </c>
      <c r="AP160" s="733" t="str">
        <f t="shared" si="148"/>
        <v>1+4.39077815964721i</v>
      </c>
      <c r="AQ160" s="734">
        <f t="shared" si="149"/>
        <v>4.5032136133249265</v>
      </c>
      <c r="AR160" s="735">
        <f t="shared" si="150"/>
        <v>1.3468658820923638</v>
      </c>
      <c r="AS160" s="732" t="str">
        <f t="shared" si="151"/>
        <v>0.0336926370342408-25.9586518427099i</v>
      </c>
      <c r="AT160" s="337">
        <f t="shared" si="152"/>
        <v>25.958673708123388</v>
      </c>
      <c r="AU160" s="730">
        <f t="shared" si="153"/>
        <v>-1.5694983927450668</v>
      </c>
      <c r="AV160" s="732" t="str">
        <f t="shared" si="154"/>
        <v>-4.29349063538694-0.0546160149149779i</v>
      </c>
      <c r="AW160" s="337">
        <f t="shared" si="155"/>
        <v>12.656913096844946</v>
      </c>
      <c r="AX160" s="730">
        <f t="shared" si="156"/>
        <v>-179.27119944049363</v>
      </c>
      <c r="AY160" s="360">
        <f t="shared" si="157"/>
        <v>0.72880055950636802</v>
      </c>
      <c r="BB160" s="337">
        <f t="shared" si="158"/>
        <v>-11.714350009357716</v>
      </c>
      <c r="BC160" s="730">
        <f t="shared" si="159"/>
        <v>-89.925633856858425</v>
      </c>
      <c r="BD160" s="351"/>
      <c r="BE160" s="337">
        <f t="shared" si="120"/>
        <v>54.594849663358929</v>
      </c>
      <c r="BF160" s="730">
        <f t="shared" si="121"/>
        <v>38.70167250954421</v>
      </c>
      <c r="BI160" s="351"/>
      <c r="BJ160" s="351"/>
      <c r="BL160" s="405">
        <f t="shared" si="122"/>
        <v>0</v>
      </c>
      <c r="BM160" s="405">
        <f t="shared" si="160"/>
        <v>0</v>
      </c>
      <c r="BN160" s="405">
        <f t="shared" si="123"/>
        <v>0</v>
      </c>
      <c r="BO160" s="405">
        <f t="shared" si="124"/>
        <v>0</v>
      </c>
    </row>
    <row r="161" spans="4:67" ht="13.5" thickBot="1" x14ac:dyDescent="0.25">
      <c r="D161" s="345">
        <v>9068.2000000000007</v>
      </c>
      <c r="E161" s="340" t="str">
        <f t="shared" si="111"/>
        <v>0.150419757846774i</v>
      </c>
      <c r="F161" s="728" t="str">
        <f t="shared" si="125"/>
        <v>0.005-0.28771944021261i</v>
      </c>
      <c r="G161" s="337" t="str">
        <f t="shared" si="126"/>
        <v>0.005-0.450022714178698i</v>
      </c>
      <c r="H161" s="338" t="str">
        <f t="shared" si="127"/>
        <v>0.149754095908034-0.393016281760578i</v>
      </c>
      <c r="I161" s="338" t="str">
        <f t="shared" si="128"/>
        <v>0.159754095908034-0.393016281760578i</v>
      </c>
      <c r="J161" s="337" t="str">
        <f t="shared" si="129"/>
        <v>0.0288021452363942-0.171909482232663i</v>
      </c>
      <c r="K161" s="338" t="str">
        <f t="shared" si="112"/>
        <v>0.999086308319556-0.0474809841688049i</v>
      </c>
      <c r="L161" s="732"/>
      <c r="M161" s="732" t="str">
        <f t="shared" si="113"/>
        <v>446.070522713788+332.82009069505i</v>
      </c>
      <c r="N161" s="337">
        <f t="shared" si="114"/>
        <v>0</v>
      </c>
      <c r="O161" s="730" t="str">
        <f t="shared" si="115"/>
        <v>208.704747500431+93.4344985295426i</v>
      </c>
      <c r="P161" s="731" t="str">
        <f t="shared" si="116"/>
        <v>70.0627174488908-67.0978200091918i</v>
      </c>
      <c r="Q161" s="729" t="str">
        <f t="shared" si="117"/>
        <v>67.9756699738864-68.0321649944872i</v>
      </c>
      <c r="R161" s="730"/>
      <c r="S161" s="405" t="str">
        <f t="shared" si="130"/>
        <v>39.1798467654585+2.35123605581631i</v>
      </c>
      <c r="T161" s="405" t="str">
        <f t="shared" si="131"/>
        <v>15.9201039871208-2.5714924706338i</v>
      </c>
      <c r="U161" s="405" t="str">
        <f t="shared" si="132"/>
        <v>1.37346236996935-6.64195160433402i</v>
      </c>
      <c r="V161" s="731" t="str">
        <f t="shared" si="118"/>
        <v>6000</v>
      </c>
      <c r="W161" s="733" t="str">
        <f>IMSUM(COMPLEX(1,0),IMDIV(COMPLEX(0,2*PI()*D161),COMPLEX(2*PI()*'Stability Calculations'!EA_Pole1,0)))</f>
        <v>1+57546.9528125916i</v>
      </c>
      <c r="X161" s="734">
        <f t="shared" si="133"/>
        <v>57546.952821280145</v>
      </c>
      <c r="Y161" s="735">
        <f t="shared" si="134"/>
        <v>1.5707789496801925</v>
      </c>
      <c r="Z161" s="340" t="str">
        <f>IMSUM(COMPLEX(1,0),IMDIV(COMPLEX(0,2*PI()*D161),COMPLEX(2*PI()*'Stability Calculations'!EA_Zero1,0)))</f>
        <v>1+569.771810025659i</v>
      </c>
      <c r="AA161" s="734">
        <f t="shared" si="135"/>
        <v>569.77268756927583</v>
      </c>
      <c r="AB161" s="735">
        <f t="shared" si="136"/>
        <v>1.5690412400116838</v>
      </c>
      <c r="AC161" s="733" t="str">
        <f>IMSUM(COMPLEX(1,0),IMDIV(COMPLEX(0,2*PI()*D161),COMPLEX(2*PI()*'Stability Calculations'!EA_Pole2,0)))</f>
        <v>1+5.73957133102582i</v>
      </c>
      <c r="AD161" s="734">
        <f t="shared" si="137"/>
        <v>5.8260345917213279</v>
      </c>
      <c r="AE161" s="735">
        <f t="shared" si="138"/>
        <v>1.3982988095922857</v>
      </c>
      <c r="AF161" s="732" t="str">
        <f t="shared" si="139"/>
        <v>1.73272840728219-10.0483486752512i</v>
      </c>
      <c r="AG161" s="337">
        <f t="shared" si="140"/>
        <v>10.196649392463449</v>
      </c>
      <c r="AH161" s="730">
        <f t="shared" si="141"/>
        <v>-1.4000365192607933</v>
      </c>
      <c r="AI161" s="731" t="str">
        <f t="shared" si="119"/>
        <v>10000</v>
      </c>
      <c r="AJ161" s="733" t="str">
        <f t="shared" si="142"/>
        <v>1+53649.5996776543i</v>
      </c>
      <c r="AK161" s="734">
        <f t="shared" si="143"/>
        <v>53649.599686974034</v>
      </c>
      <c r="AL161" s="735">
        <f t="shared" si="144"/>
        <v>1.5707776873268318</v>
      </c>
      <c r="AM161" s="340" t="str">
        <f t="shared" si="145"/>
        <v>1+91.0495352421003i</v>
      </c>
      <c r="AN161" s="734">
        <f t="shared" si="146"/>
        <v>91.055026592728339</v>
      </c>
      <c r="AO161" s="735">
        <f t="shared" si="147"/>
        <v>1.5598137359310285</v>
      </c>
      <c r="AP161" s="733" t="str">
        <f t="shared" si="148"/>
        <v>1+4.41605253899192i</v>
      </c>
      <c r="AQ161" s="734">
        <f t="shared" si="149"/>
        <v>4.5278604248736496</v>
      </c>
      <c r="AR161" s="735">
        <f t="shared" si="150"/>
        <v>1.3481054348941708</v>
      </c>
      <c r="AS161" s="732" t="str">
        <f t="shared" si="151"/>
        <v>0.0333080753918302-25.8100832700849i</v>
      </c>
      <c r="AT161" s="337">
        <f t="shared" si="152"/>
        <v>25.810104762216728</v>
      </c>
      <c r="AU161" s="730">
        <f t="shared" si="153"/>
        <v>-1.5695058211985835</v>
      </c>
      <c r="AV161" s="732" t="str">
        <f t="shared" si="154"/>
        <v>-4.24380231129579-0.0505401911310179i</v>
      </c>
      <c r="AW161" s="337">
        <f t="shared" si="155"/>
        <v>12.555718809523482</v>
      </c>
      <c r="AX161" s="730">
        <f t="shared" si="156"/>
        <v>-179.31768669994938</v>
      </c>
      <c r="AY161" s="360">
        <f t="shared" si="157"/>
        <v>0.68231330005062318</v>
      </c>
      <c r="BB161" s="337">
        <f t="shared" si="158"/>
        <v>-11.764204653361066</v>
      </c>
      <c r="BC161" s="730">
        <f t="shared" si="159"/>
        <v>-89.926059475893254</v>
      </c>
      <c r="BD161" s="351"/>
      <c r="BE161" s="337">
        <f t="shared" si="120"/>
        <v>54.910086847430215</v>
      </c>
      <c r="BF161" s="730">
        <f t="shared" si="121"/>
        <v>36.727186628768521</v>
      </c>
      <c r="BI161" s="351"/>
      <c r="BJ161" s="351"/>
      <c r="BL161" s="405">
        <f t="shared" si="122"/>
        <v>0</v>
      </c>
      <c r="BM161" s="405">
        <f t="shared" si="160"/>
        <v>0</v>
      </c>
      <c r="BN161" s="405">
        <f t="shared" si="123"/>
        <v>0</v>
      </c>
      <c r="BO161" s="405">
        <f t="shared" si="124"/>
        <v>0</v>
      </c>
    </row>
    <row r="162" spans="4:67" ht="13.5" thickBot="1" x14ac:dyDescent="0.25">
      <c r="D162" s="345">
        <v>9120.1</v>
      </c>
      <c r="E162" s="340" t="str">
        <f t="shared" si="111"/>
        <v>0.151280654764823i</v>
      </c>
      <c r="F162" s="728" t="str">
        <f t="shared" si="125"/>
        <v>0.005-0.286082107404084i</v>
      </c>
      <c r="G162" s="337" t="str">
        <f t="shared" si="126"/>
        <v>0.005-0.447461757734594i</v>
      </c>
      <c r="H162" s="338" t="str">
        <f t="shared" si="127"/>
        <v>0.148305390230343-0.391310353055748i</v>
      </c>
      <c r="I162" s="338" t="str">
        <f t="shared" si="128"/>
        <v>0.158305390230343-0.391310353055748i</v>
      </c>
      <c r="J162" s="337" t="str">
        <f t="shared" si="129"/>
        <v>0.028527765874452-0.170970461289136i</v>
      </c>
      <c r="K162" s="338" t="str">
        <f t="shared" si="112"/>
        <v>0.999075819733222-0.0477527319333405i</v>
      </c>
      <c r="L162" s="732"/>
      <c r="M162" s="732" t="str">
        <f t="shared" si="113"/>
        <v>474.860520047599+327.74777411312i</v>
      </c>
      <c r="N162" s="337">
        <f t="shared" si="114"/>
        <v>0</v>
      </c>
      <c r="O162" s="730" t="str">
        <f t="shared" si="115"/>
        <v>219.580592214906+88.9859065982715i</v>
      </c>
      <c r="P162" s="731" t="str">
        <f t="shared" si="116"/>
        <v>69.5818978655462-71.8372103947651i</v>
      </c>
      <c r="Q162" s="729" t="str">
        <f t="shared" si="117"/>
        <v>67.3860919433972-72.7270694607479i</v>
      </c>
      <c r="R162" s="730"/>
      <c r="S162" s="405" t="str">
        <f t="shared" si="130"/>
        <v>39.1908292598058+2.31900614492535i</v>
      </c>
      <c r="T162" s="405" t="str">
        <f t="shared" si="131"/>
        <v>15.9151551203094-2.56815717286748i</v>
      </c>
      <c r="U162" s="405" t="str">
        <f t="shared" si="132"/>
        <v>1.35535680067651-6.60863652076027i</v>
      </c>
      <c r="V162" s="731" t="str">
        <f t="shared" si="118"/>
        <v>6000</v>
      </c>
      <c r="W162" s="733" t="str">
        <f>IMSUM(COMPLEX(1,0),IMDIV(COMPLEX(0,2*PI()*D162),COMPLEX(2*PI()*'Stability Calculations'!EA_Pole1,0)))</f>
        <v>1+57876.3111032086i</v>
      </c>
      <c r="X162" s="734">
        <f t="shared" si="133"/>
        <v>57876.311111847717</v>
      </c>
      <c r="Y162" s="735">
        <f t="shared" si="134"/>
        <v>1.5707790485686095</v>
      </c>
      <c r="Z162" s="340" t="str">
        <f>IMSUM(COMPLEX(1,0),IMDIV(COMPLEX(0,2*PI()*D162),COMPLEX(2*PI()*'Stability Calculations'!EA_Zero1,0)))</f>
        <v>1+573.032783200085i</v>
      </c>
      <c r="AA162" s="734">
        <f t="shared" si="135"/>
        <v>573.03365574984832</v>
      </c>
      <c r="AB162" s="735">
        <f t="shared" si="136"/>
        <v>1.5690512277112252</v>
      </c>
      <c r="AC162" s="733" t="str">
        <f>IMSUM(COMPLEX(1,0),IMDIV(COMPLEX(0,2*PI()*D162),COMPLEX(2*PI()*'Stability Calculations'!EA_Pole2,0)))</f>
        <v>1+5.77242060123162i</v>
      </c>
      <c r="AD162" s="734">
        <f t="shared" si="137"/>
        <v>5.8583990643795527</v>
      </c>
      <c r="AE162" s="735">
        <f t="shared" si="138"/>
        <v>1.3992612498526082</v>
      </c>
      <c r="AF162" s="732" t="str">
        <f t="shared" si="139"/>
        <v>1.71363652237761-9.99447369321288i</v>
      </c>
      <c r="AG162" s="337">
        <f t="shared" si="140"/>
        <v>10.140318265969306</v>
      </c>
      <c r="AH162" s="730">
        <f t="shared" si="141"/>
        <v>-1.4009890707099928</v>
      </c>
      <c r="AI162" s="731" t="str">
        <f t="shared" si="119"/>
        <v>10000</v>
      </c>
      <c r="AJ162" s="733" t="str">
        <f t="shared" si="142"/>
        <v>1+53956.6522595636i</v>
      </c>
      <c r="AK162" s="734">
        <f t="shared" si="143"/>
        <v>53956.652268830301</v>
      </c>
      <c r="AL162" s="735">
        <f t="shared" si="144"/>
        <v>1.5707777933989573</v>
      </c>
      <c r="AM162" s="340" t="str">
        <f t="shared" si="145"/>
        <v>1+91.5706387553736i</v>
      </c>
      <c r="AN162" s="734">
        <f t="shared" si="146"/>
        <v>91.576098858092493</v>
      </c>
      <c r="AO162" s="735">
        <f t="shared" si="147"/>
        <v>1.5598762298755144</v>
      </c>
      <c r="AP162" s="733" t="str">
        <f t="shared" si="148"/>
        <v>1+4.44132691833663i</v>
      </c>
      <c r="AQ162" s="734">
        <f t="shared" si="149"/>
        <v>4.5525141181045825</v>
      </c>
      <c r="AR162" s="735">
        <f t="shared" si="150"/>
        <v>1.3493315642099573</v>
      </c>
      <c r="AS162" s="732" t="str">
        <f t="shared" si="151"/>
        <v>0.0329300603425055-25.6632056154572i</v>
      </c>
      <c r="AT162" s="337">
        <f t="shared" si="152"/>
        <v>25.663226742756031</v>
      </c>
      <c r="AU162" s="730">
        <f t="shared" si="153"/>
        <v>-1.5695131651056371</v>
      </c>
      <c r="AV162" s="732" t="str">
        <f t="shared" si="154"/>
        <v>-4.19496987696525-0.0465829077546986i</v>
      </c>
      <c r="AW162" s="337">
        <f t="shared" si="155"/>
        <v>12.455112424361179</v>
      </c>
      <c r="AX162" s="730">
        <f t="shared" si="156"/>
        <v>-179.36378701303465</v>
      </c>
      <c r="AY162" s="360">
        <f t="shared" si="157"/>
        <v>0.63621298696534723</v>
      </c>
      <c r="BB162" s="337">
        <f t="shared" si="158"/>
        <v>-11.813774778028815</v>
      </c>
      <c r="BC162" s="730">
        <f t="shared" si="159"/>
        <v>-89.926480250772556</v>
      </c>
      <c r="BD162" s="351"/>
      <c r="BE162" s="337">
        <f t="shared" si="120"/>
        <v>55.223282978401755</v>
      </c>
      <c r="BF162" s="730">
        <f t="shared" si="121"/>
        <v>34.613359758359643</v>
      </c>
      <c r="BI162" s="351"/>
      <c r="BJ162" s="351"/>
      <c r="BL162" s="405">
        <f t="shared" si="122"/>
        <v>0</v>
      </c>
      <c r="BM162" s="405">
        <f t="shared" si="160"/>
        <v>0</v>
      </c>
      <c r="BN162" s="405">
        <f t="shared" si="123"/>
        <v>0</v>
      </c>
      <c r="BO162" s="405">
        <f t="shared" si="124"/>
        <v>0</v>
      </c>
    </row>
    <row r="163" spans="4:67" ht="13.5" thickBot="1" x14ac:dyDescent="0.25">
      <c r="D163" s="345">
        <v>9173.2000000000007</v>
      </c>
      <c r="E163" s="340" t="str">
        <f t="shared" si="111"/>
        <v>0.152161456813924i</v>
      </c>
      <c r="F163" s="728" t="str">
        <f t="shared" si="125"/>
        <v>0.005-0.284426092065581i</v>
      </c>
      <c r="G163" s="337" t="str">
        <f t="shared" si="126"/>
        <v>0.005-0.444871579897448i</v>
      </c>
      <c r="H163" s="338" t="str">
        <f t="shared" si="127"/>
        <v>0.146844591269299-0.389577165258821i</v>
      </c>
      <c r="I163" s="338" t="str">
        <f t="shared" si="128"/>
        <v>0.156844591269299-0.389577165258821i</v>
      </c>
      <c r="J163" s="337" t="str">
        <f t="shared" si="129"/>
        <v>0.0282517216680954-0.170020062688034i</v>
      </c>
      <c r="K163" s="338" t="str">
        <f t="shared" si="112"/>
        <v>0.999065026686222-0.0480307628831832i</v>
      </c>
      <c r="L163" s="732"/>
      <c r="M163" s="732" t="str">
        <f t="shared" si="113"/>
        <v>505.809420285758+319.734534780456i</v>
      </c>
      <c r="N163" s="337">
        <f t="shared" si="114"/>
        <v>0</v>
      </c>
      <c r="O163" s="730" t="str">
        <f t="shared" si="115"/>
        <v>231.054786154672+83.1968143952648i</v>
      </c>
      <c r="P163" s="731" t="str">
        <f t="shared" si="116"/>
        <v>68.6512726059164-76.9646982608873i</v>
      </c>
      <c r="Q163" s="729" t="str">
        <f t="shared" si="117"/>
        <v>66.3407247443697-77.79666640484i</v>
      </c>
      <c r="R163" s="730"/>
      <c r="S163" s="405" t="str">
        <f t="shared" si="130"/>
        <v>39.2018751055242+2.28623353730748i</v>
      </c>
      <c r="T163" s="405" t="str">
        <f t="shared" si="131"/>
        <v>15.9101634648562-2.56482448433045i</v>
      </c>
      <c r="U163" s="405" t="str">
        <f t="shared" si="132"/>
        <v>1.33712439903266-6.57486698452212i</v>
      </c>
      <c r="V163" s="731" t="str">
        <f t="shared" si="118"/>
        <v>6000</v>
      </c>
      <c r="W163" s="733" t="str">
        <f>IMSUM(COMPLEX(1,0),IMDIV(COMPLEX(0,2*PI()*D163),COMPLEX(2*PI()*'Stability Calculations'!EA_Pole1,0)))</f>
        <v>1+58213.284614418i</v>
      </c>
      <c r="X163" s="734">
        <f t="shared" si="133"/>
        <v>58213.284623007108</v>
      </c>
      <c r="Y163" s="735">
        <f t="shared" si="134"/>
        <v>1.5707791485853775</v>
      </c>
      <c r="Z163" s="340" t="str">
        <f>IMSUM(COMPLEX(1,0),IMDIV(COMPLEX(0,2*PI()*D163),COMPLEX(2*PI()*'Stability Calculations'!EA_Zero1,0)))</f>
        <v>1+576.369154598198i</v>
      </c>
      <c r="AA163" s="734">
        <f t="shared" si="135"/>
        <v>576.37002209712591</v>
      </c>
      <c r="AB163" s="735">
        <f t="shared" si="136"/>
        <v>1.5690613293742044</v>
      </c>
      <c r="AC163" s="733" t="str">
        <f>IMSUM(COMPLEX(1,0),IMDIV(COMPLEX(0,2*PI()*D163),COMPLEX(2*PI()*'Stability Calculations'!EA_Pole2,0)))</f>
        <v>1+5.80602939213583i</v>
      </c>
      <c r="AD163" s="734">
        <f t="shared" si="137"/>
        <v>5.891517402362922</v>
      </c>
      <c r="AE163" s="735">
        <f t="shared" si="138"/>
        <v>1.4002349984402791</v>
      </c>
      <c r="AF163" s="732" t="str">
        <f t="shared" si="139"/>
        <v>1.69442473788455-9.93992860032012i</v>
      </c>
      <c r="AG163" s="337">
        <f t="shared" si="140"/>
        <v>10.083315713187654</v>
      </c>
      <c r="AH163" s="730">
        <f t="shared" si="141"/>
        <v>-1.4019528176514529</v>
      </c>
      <c r="AI163" s="731" t="str">
        <f t="shared" si="119"/>
        <v>10000</v>
      </c>
      <c r="AJ163" s="733" t="str">
        <f t="shared" si="142"/>
        <v>1+54270.8043231356i</v>
      </c>
      <c r="AK163" s="734">
        <f t="shared" si="143"/>
        <v>54270.804332348656</v>
      </c>
      <c r="AL163" s="735">
        <f t="shared" si="144"/>
        <v>1.5707779006814022</v>
      </c>
      <c r="AM163" s="340" t="str">
        <f t="shared" si="145"/>
        <v>1+92.103790904792i</v>
      </c>
      <c r="AN163" s="734">
        <f t="shared" si="146"/>
        <v>92.109219403019836</v>
      </c>
      <c r="AO163" s="735">
        <f t="shared" si="147"/>
        <v>1.5599394369841455</v>
      </c>
      <c r="AP163" s="733" t="str">
        <f t="shared" si="148"/>
        <v>1+4.46718567639451i</v>
      </c>
      <c r="AQ163" s="734">
        <f t="shared" si="149"/>
        <v>4.5777448451594891</v>
      </c>
      <c r="AR163" s="735">
        <f t="shared" si="150"/>
        <v>1.3505723730836217</v>
      </c>
      <c r="AS163" s="732" t="str">
        <f t="shared" si="151"/>
        <v>0.0325499263800549-25.514652027872i</v>
      </c>
      <c r="AT163" s="337">
        <f t="shared" si="152"/>
        <v>25.514672790398471</v>
      </c>
      <c r="AU163" s="730">
        <f t="shared" si="153"/>
        <v>-1.5695205928093345</v>
      </c>
      <c r="AV163" s="732" t="str">
        <f t="shared" si="154"/>
        <v>-4.14587383638619-0.0426528112521929i</v>
      </c>
      <c r="AW163" s="337">
        <f t="shared" si="155"/>
        <v>12.352781284826733</v>
      </c>
      <c r="AX163" s="730">
        <f t="shared" si="156"/>
        <v>-179.41056096972443</v>
      </c>
      <c r="AY163" s="360">
        <f t="shared" si="157"/>
        <v>0.58943903027557099</v>
      </c>
      <c r="BB163" s="337">
        <f t="shared" si="158"/>
        <v>-11.864199936982287</v>
      </c>
      <c r="BC163" s="730">
        <f t="shared" si="159"/>
        <v>-89.926905826845896</v>
      </c>
      <c r="BD163" s="351"/>
      <c r="BE163" s="337">
        <f t="shared" si="120"/>
        <v>55.539719901330109</v>
      </c>
      <c r="BF163" s="730">
        <f t="shared" si="121"/>
        <v>32.297984179430117</v>
      </c>
      <c r="BI163" s="351"/>
      <c r="BJ163" s="351"/>
      <c r="BL163" s="405">
        <f t="shared" si="122"/>
        <v>0</v>
      </c>
      <c r="BM163" s="405">
        <f t="shared" si="160"/>
        <v>0</v>
      </c>
      <c r="BN163" s="405">
        <f t="shared" si="123"/>
        <v>0</v>
      </c>
      <c r="BO163" s="405">
        <f t="shared" si="124"/>
        <v>0</v>
      </c>
    </row>
    <row r="164" spans="4:67" ht="13.5" thickBot="1" x14ac:dyDescent="0.25">
      <c r="D164" s="345">
        <v>9226.2999999999993</v>
      </c>
      <c r="E164" s="340" t="str">
        <f t="shared" si="111"/>
        <v>0.153042258863026i</v>
      </c>
      <c r="F164" s="728" t="str">
        <f t="shared" si="125"/>
        <v>0.005-0.28278913841258i</v>
      </c>
      <c r="G164" s="337" t="str">
        <f t="shared" si="126"/>
        <v>0.005-0.442311216491472i</v>
      </c>
      <c r="H164" s="338" t="str">
        <f t="shared" si="127"/>
        <v>0.145405044161516-0.387856233094856i</v>
      </c>
      <c r="I164" s="338" t="str">
        <f t="shared" si="128"/>
        <v>0.155405044161516-0.387856233094856i</v>
      </c>
      <c r="J164" s="337" t="str">
        <f t="shared" si="129"/>
        <v>0.0279803058400652-0.16907995160406i</v>
      </c>
      <c r="K164" s="338" t="str">
        <f t="shared" si="112"/>
        <v>0.999054170981222-0.0483087938330258i</v>
      </c>
      <c r="L164" s="732"/>
      <c r="M164" s="732" t="str">
        <f t="shared" si="113"/>
        <v>538.028430967073+308.386002322926i</v>
      </c>
      <c r="N164" s="337">
        <f t="shared" si="114"/>
        <v>0</v>
      </c>
      <c r="O164" s="730" t="str">
        <f t="shared" si="115"/>
        <v>242.744539948378+75.9878582108192i</v>
      </c>
      <c r="P164" s="731" t="str">
        <f t="shared" si="116"/>
        <v>67.196090397239-82.3410864077305i</v>
      </c>
      <c r="Q164" s="729" t="str">
        <f t="shared" si="117"/>
        <v>64.7686449977553-83.1009649898386i</v>
      </c>
      <c r="R164" s="730"/>
      <c r="S164" s="405" t="str">
        <f t="shared" si="130"/>
        <v>39.2127320696834+2.25366321424738i</v>
      </c>
      <c r="T164" s="405" t="str">
        <f t="shared" si="131"/>
        <v>15.905242733862-2.56157143124061i</v>
      </c>
      <c r="U164" s="405" t="str">
        <f t="shared" si="132"/>
        <v>1.31918107599246-6.54141294029748i</v>
      </c>
      <c r="V164" s="731" t="str">
        <f t="shared" si="118"/>
        <v>6000</v>
      </c>
      <c r="W164" s="733" t="str">
        <f>IMSUM(COMPLEX(1,0),IMDIV(COMPLEX(0,2*PI()*D164),COMPLEX(2*PI()*'Stability Calculations'!EA_Pole1,0)))</f>
        <v>1+58550.2581256273i</v>
      </c>
      <c r="X164" s="734">
        <f t="shared" si="133"/>
        <v>58550.258134166972</v>
      </c>
      <c r="Y164" s="735">
        <f t="shared" si="134"/>
        <v>1.570779247450895</v>
      </c>
      <c r="Z164" s="340" t="str">
        <f>IMSUM(COMPLEX(1,0),IMDIV(COMPLEX(0,2*PI()*D164),COMPLEX(2*PI()*'Stability Calculations'!EA_Zero1,0)))</f>
        <v>1+579.70552599631i</v>
      </c>
      <c r="AA164" s="734">
        <f t="shared" si="135"/>
        <v>579.70638850254056</v>
      </c>
      <c r="AB164" s="735">
        <f t="shared" si="136"/>
        <v>1.569071314761602</v>
      </c>
      <c r="AC164" s="733" t="str">
        <f>IMSUM(COMPLEX(1,0),IMDIV(COMPLEX(0,2*PI()*D164),COMPLEX(2*PI()*'Stability Calculations'!EA_Pole2,0)))</f>
        <v>1+5.83963818304002i</v>
      </c>
      <c r="AD164" s="734">
        <f t="shared" si="137"/>
        <v>5.9246412641457837</v>
      </c>
      <c r="AE164" s="735">
        <f t="shared" si="138"/>
        <v>1.4011978597411692</v>
      </c>
      <c r="AF164" s="732" t="str">
        <f t="shared" si="139"/>
        <v>1.67553110570695-9.88595687125158i</v>
      </c>
      <c r="AG164" s="337">
        <f t="shared" si="140"/>
        <v>10.026941096188702</v>
      </c>
      <c r="AH164" s="730">
        <f t="shared" si="141"/>
        <v>-1.4029057924304627</v>
      </c>
      <c r="AI164" s="731" t="str">
        <f t="shared" si="119"/>
        <v>10000</v>
      </c>
      <c r="AJ164" s="733" t="str">
        <f t="shared" si="142"/>
        <v>1+54584.9563867076i</v>
      </c>
      <c r="AK164" s="734">
        <f t="shared" si="143"/>
        <v>54584.956395867637</v>
      </c>
      <c r="AL164" s="735">
        <f t="shared" si="144"/>
        <v>1.5707780067289647</v>
      </c>
      <c r="AM164" s="340" t="str">
        <f t="shared" si="145"/>
        <v>1+92.6369430542103i</v>
      </c>
      <c r="AN164" s="734">
        <f t="shared" si="146"/>
        <v>92.642340311700906</v>
      </c>
      <c r="AO164" s="735">
        <f t="shared" si="147"/>
        <v>1.560001916627999</v>
      </c>
      <c r="AP164" s="733" t="str">
        <f t="shared" si="148"/>
        <v>1+4.49304443445239i</v>
      </c>
      <c r="AQ164" s="734">
        <f t="shared" si="149"/>
        <v>4.602982542869742</v>
      </c>
      <c r="AR164" s="735">
        <f t="shared" si="150"/>
        <v>1.3517995773649776</v>
      </c>
      <c r="AS164" s="732" t="str">
        <f t="shared" si="151"/>
        <v>0.0321763368379082-25.3678083689055i</v>
      </c>
      <c r="AT164" s="337">
        <f t="shared" si="152"/>
        <v>25.367828775008796</v>
      </c>
      <c r="AU164" s="730">
        <f t="shared" si="153"/>
        <v>-1.5695279350160443</v>
      </c>
      <c r="AV164" s="732" t="str">
        <f t="shared" si="154"/>
        <v>-4.09763302028011-0.0388388342135148i</v>
      </c>
      <c r="AW164" s="337">
        <f t="shared" si="155"/>
        <v>12.251051366458999</v>
      </c>
      <c r="AX164" s="730">
        <f t="shared" si="156"/>
        <v>-179.45694633111316</v>
      </c>
      <c r="AY164" s="360">
        <f t="shared" si="157"/>
        <v>0.54305366888684148</v>
      </c>
      <c r="BB164" s="337">
        <f t="shared" si="158"/>
        <v>-11.914334046487694</v>
      </c>
      <c r="BC164" s="730">
        <f t="shared" si="159"/>
        <v>-89.92732650430267</v>
      </c>
      <c r="BD164" s="351"/>
      <c r="BE164" s="337">
        <f t="shared" si="120"/>
        <v>55.849827640458464</v>
      </c>
      <c r="BF164" s="730">
        <f t="shared" si="121"/>
        <v>29.820381403211037</v>
      </c>
      <c r="BI164" s="351"/>
      <c r="BJ164" s="351"/>
      <c r="BL164" s="405">
        <f t="shared" si="122"/>
        <v>0</v>
      </c>
      <c r="BM164" s="405">
        <f t="shared" si="160"/>
        <v>0</v>
      </c>
      <c r="BN164" s="405">
        <f t="shared" si="123"/>
        <v>0</v>
      </c>
      <c r="BO164" s="405">
        <f t="shared" si="124"/>
        <v>0</v>
      </c>
    </row>
    <row r="165" spans="4:67" ht="13.5" thickBot="1" x14ac:dyDescent="0.25">
      <c r="D165" s="345">
        <v>9279.4</v>
      </c>
      <c r="E165" s="340" t="str">
        <f t="shared" si="111"/>
        <v>0.153923060912128i</v>
      </c>
      <c r="F165" s="728" t="str">
        <f t="shared" si="125"/>
        <v>0.005-0.281170919212017i</v>
      </c>
      <c r="G165" s="337" t="str">
        <f t="shared" si="126"/>
        <v>0.005-0.43978015569059i</v>
      </c>
      <c r="H165" s="338" t="str">
        <f t="shared" si="127"/>
        <v>0.143986358880004-0.386147486574065i</v>
      </c>
      <c r="I165" s="338" t="str">
        <f t="shared" si="128"/>
        <v>0.153986358880004-0.386147486574065i</v>
      </c>
      <c r="J165" s="337" t="str">
        <f t="shared" si="129"/>
        <v>0.0277134161775794-0.168149965764933i</v>
      </c>
      <c r="K165" s="338" t="str">
        <f t="shared" si="112"/>
        <v>0.999043252618222-0.0485868247828685i</v>
      </c>
      <c r="L165" s="732"/>
      <c r="M165" s="732" t="str">
        <f t="shared" si="113"/>
        <v>571.15258907678+293.2057704168i</v>
      </c>
      <c r="N165" s="337">
        <f t="shared" si="114"/>
        <v>0</v>
      </c>
      <c r="O165" s="730" t="str">
        <f t="shared" si="115"/>
        <v>254.464044581781+67.1948902188395i</v>
      </c>
      <c r="P165" s="731" t="str">
        <f t="shared" si="116"/>
        <v>65.1311296596526-87.9135547585848i</v>
      </c>
      <c r="Q165" s="729" t="str">
        <f t="shared" si="117"/>
        <v>62.5864892138349-88.5855036607731i</v>
      </c>
      <c r="R165" s="730"/>
      <c r="S165" s="405" t="str">
        <f t="shared" si="130"/>
        <v>39.2234039599996+2.22129265705926i</v>
      </c>
      <c r="T165" s="405" t="str">
        <f t="shared" si="131"/>
        <v>15.9003914238783-2.55839701770833i</v>
      </c>
      <c r="U165" s="405" t="str">
        <f t="shared" si="132"/>
        <v>1.30152088784443-6.50827045502369i</v>
      </c>
      <c r="V165" s="731" t="str">
        <f t="shared" si="118"/>
        <v>6000</v>
      </c>
      <c r="W165" s="733" t="str">
        <f>IMSUM(COMPLEX(1,0),IMDIV(COMPLEX(0,2*PI()*D165),COMPLEX(2*PI()*'Stability Calculations'!EA_Pole1,0)))</f>
        <v>1+58887.2316368366i</v>
      </c>
      <c r="X165" s="734">
        <f t="shared" si="133"/>
        <v>58887.231645327403</v>
      </c>
      <c r="Y165" s="735">
        <f t="shared" si="134"/>
        <v>1.5707793451849261</v>
      </c>
      <c r="Z165" s="340" t="str">
        <f>IMSUM(COMPLEX(1,0),IMDIV(COMPLEX(0,2*PI()*D165),COMPLEX(2*PI()*'Stability Calculations'!EA_Zero1,0)))</f>
        <v>1+583.041897394422i</v>
      </c>
      <c r="AA165" s="734">
        <f t="shared" si="135"/>
        <v>583.04275496509479</v>
      </c>
      <c r="AB165" s="735">
        <f t="shared" si="136"/>
        <v>1.5690811858695202</v>
      </c>
      <c r="AC165" s="733" t="str">
        <f>IMSUM(COMPLEX(1,0),IMDIV(COMPLEX(0,2*PI()*D165),COMPLEX(2*PI()*'Stability Calculations'!EA_Pole2,0)))</f>
        <v>1+5.87324697394422i</v>
      </c>
      <c r="AD165" s="734">
        <f t="shared" si="137"/>
        <v>5.9577705575949249</v>
      </c>
      <c r="AE165" s="735">
        <f t="shared" si="138"/>
        <v>1.4021500135772444</v>
      </c>
      <c r="AF165" s="732" t="str">
        <f t="shared" si="139"/>
        <v>1.65694870872142-9.83254984076988i</v>
      </c>
      <c r="AG165" s="337">
        <f t="shared" si="140"/>
        <v>9.9711842523622725</v>
      </c>
      <c r="AH165" s="730">
        <f t="shared" si="141"/>
        <v>-1.4038481728926511</v>
      </c>
      <c r="AI165" s="731" t="str">
        <f t="shared" si="119"/>
        <v>10000</v>
      </c>
      <c r="AJ165" s="733" t="str">
        <f t="shared" si="142"/>
        <v>1+54899.1084502795i</v>
      </c>
      <c r="AK165" s="734">
        <f t="shared" si="143"/>
        <v>54899.108459387113</v>
      </c>
      <c r="AL165" s="735">
        <f t="shared" si="144"/>
        <v>1.5707781115628443</v>
      </c>
      <c r="AM165" s="340" t="str">
        <f t="shared" si="145"/>
        <v>1+93.1700952036286i</v>
      </c>
      <c r="AN165" s="734">
        <f t="shared" si="146"/>
        <v>93.175461577891951</v>
      </c>
      <c r="AO165" s="735">
        <f t="shared" si="147"/>
        <v>1.5600636812935709</v>
      </c>
      <c r="AP165" s="733" t="str">
        <f t="shared" si="148"/>
        <v>1+4.51890319251027i</v>
      </c>
      <c r="AQ165" s="734">
        <f t="shared" si="149"/>
        <v>4.6282270972025037</v>
      </c>
      <c r="AR165" s="735">
        <f t="shared" si="150"/>
        <v>1.3530133959448256</v>
      </c>
      <c r="AS165" s="732" t="str">
        <f t="shared" si="151"/>
        <v>0.031809142347963-25.222645284302i</v>
      </c>
      <c r="AT165" s="337">
        <f t="shared" si="152"/>
        <v>25.22266534209378</v>
      </c>
      <c r="AU165" s="730">
        <f t="shared" si="153"/>
        <v>-1.5695351931934953</v>
      </c>
      <c r="AV165" s="732" t="str">
        <f t="shared" si="154"/>
        <v>-4.05022772041203-0.0351371740559978i</v>
      </c>
      <c r="AW165" s="337">
        <f t="shared" si="155"/>
        <v>12.149915680035212</v>
      </c>
      <c r="AX165" s="730">
        <f t="shared" si="156"/>
        <v>-179.50295108999455</v>
      </c>
      <c r="AY165" s="360">
        <f t="shared" si="157"/>
        <v>0.49704891000544649</v>
      </c>
      <c r="BB165" s="337">
        <f t="shared" si="158"/>
        <v>-11.964180447089579</v>
      </c>
      <c r="BC165" s="730">
        <f t="shared" si="159"/>
        <v>-89.92774236723757</v>
      </c>
      <c r="BD165" s="351"/>
      <c r="BE165" s="337">
        <f t="shared" si="120"/>
        <v>56.15092081790646</v>
      </c>
      <c r="BF165" s="730">
        <f t="shared" si="121"/>
        <v>27.174061237768722</v>
      </c>
      <c r="BI165" s="351"/>
      <c r="BJ165" s="351"/>
      <c r="BL165" s="405">
        <f t="shared" si="122"/>
        <v>0</v>
      </c>
      <c r="BM165" s="405">
        <f t="shared" si="160"/>
        <v>0</v>
      </c>
      <c r="BN165" s="405">
        <f t="shared" si="123"/>
        <v>0</v>
      </c>
      <c r="BO165" s="405">
        <f t="shared" si="124"/>
        <v>0</v>
      </c>
    </row>
    <row r="166" spans="4:67" ht="13.5" thickBot="1" x14ac:dyDescent="0.25">
      <c r="D166" s="345">
        <v>9332.5</v>
      </c>
      <c r="E166" s="340" t="str">
        <f t="shared" si="111"/>
        <v>0.154803862961229i</v>
      </c>
      <c r="F166" s="728" t="str">
        <f t="shared" si="125"/>
        <v>0.005-0.279571114678381i</v>
      </c>
      <c r="G166" s="337" t="str">
        <f t="shared" si="126"/>
        <v>0.005-0.437277897317467i</v>
      </c>
      <c r="H166" s="338" t="str">
        <f t="shared" si="127"/>
        <v>0.142588153771771-0.384450854302225i</v>
      </c>
      <c r="I166" s="338" t="str">
        <f t="shared" si="128"/>
        <v>0.152588153771771-0.384450854302225i</v>
      </c>
      <c r="J166" s="337" t="str">
        <f t="shared" si="129"/>
        <v>0.0274509532549243-0.167229946202928i</v>
      </c>
      <c r="K166" s="338" t="str">
        <f t="shared" si="112"/>
        <v>0.999032271597222-0.0488648557327112i</v>
      </c>
      <c r="L166" s="732"/>
      <c r="M166" s="732" t="str">
        <f t="shared" si="113"/>
        <v>604.671600492298+273.713614672409i</v>
      </c>
      <c r="N166" s="337">
        <f t="shared" si="114"/>
        <v>0</v>
      </c>
      <c r="O166" s="730" t="str">
        <f t="shared" si="115"/>
        <v>265.971712825722+56.6725032262506i</v>
      </c>
      <c r="P166" s="731" t="str">
        <f t="shared" si="116"/>
        <v>62.3719248963702-93.6054995791567i</v>
      </c>
      <c r="Q166" s="729" t="str">
        <f t="shared" si="117"/>
        <v>59.712207768113-94.1722246114193i</v>
      </c>
      <c r="R166" s="730"/>
      <c r="S166" s="405" t="str">
        <f t="shared" si="130"/>
        <v>39.2338944891498+2.18911938082544i</v>
      </c>
      <c r="T166" s="405" t="str">
        <f t="shared" si="131"/>
        <v>15.8956080689829-2.55530026117716i</v>
      </c>
      <c r="U166" s="405" t="str">
        <f t="shared" si="132"/>
        <v>1.28413803922768-6.47543564834761i</v>
      </c>
      <c r="V166" s="731" t="str">
        <f t="shared" si="118"/>
        <v>6000</v>
      </c>
      <c r="W166" s="733" t="str">
        <f>IMSUM(COMPLEX(1,0),IMDIV(COMPLEX(0,2*PI()*D166),COMPLEX(2*PI()*'Stability Calculations'!EA_Pole1,0)))</f>
        <v>1+59224.205148046i</v>
      </c>
      <c r="X166" s="734">
        <f t="shared" si="133"/>
        <v>59224.20515648849</v>
      </c>
      <c r="Y166" s="735">
        <f t="shared" si="134"/>
        <v>1.570779441806784</v>
      </c>
      <c r="Z166" s="340" t="str">
        <f>IMSUM(COMPLEX(1,0),IMDIV(COMPLEX(0,2*PI()*D166),COMPLEX(2*PI()*'Stability Calculations'!EA_Zero1,0)))</f>
        <v>1+586.378268792535i</v>
      </c>
      <c r="AA166" s="734">
        <f t="shared" si="135"/>
        <v>586.37912148381474</v>
      </c>
      <c r="AB166" s="735">
        <f t="shared" si="136"/>
        <v>1.5690909446486307</v>
      </c>
      <c r="AC166" s="733" t="str">
        <f>IMSUM(COMPLEX(1,0),IMDIV(COMPLEX(0,2*PI()*D166),COMPLEX(2*PI()*'Stability Calculations'!EA_Pole2,0)))</f>
        <v>1+5.90685576484843i</v>
      </c>
      <c r="AD166" s="734">
        <f t="shared" si="137"/>
        <v>5.9909051926001249</v>
      </c>
      <c r="AE166" s="735">
        <f t="shared" si="138"/>
        <v>1.4030916358708576</v>
      </c>
      <c r="AF166" s="732" t="str">
        <f t="shared" si="139"/>
        <v>1.63867081486357-9.77969900952174i</v>
      </c>
      <c r="AG166" s="337">
        <f t="shared" si="140"/>
        <v>9.916035233717464</v>
      </c>
      <c r="AH166" s="730">
        <f t="shared" si="141"/>
        <v>-1.4047801330290108</v>
      </c>
      <c r="AI166" s="731" t="str">
        <f t="shared" si="119"/>
        <v>10000</v>
      </c>
      <c r="AJ166" s="733" t="str">
        <f t="shared" si="142"/>
        <v>1+55213.2605138516i</v>
      </c>
      <c r="AK166" s="734">
        <f t="shared" si="143"/>
        <v>55213.260522907403</v>
      </c>
      <c r="AL166" s="735">
        <f t="shared" si="144"/>
        <v>1.5707782152037575</v>
      </c>
      <c r="AM166" s="340" t="str">
        <f t="shared" si="145"/>
        <v>1+93.7032473530471i</v>
      </c>
      <c r="AN166" s="734">
        <f t="shared" si="146"/>
        <v>93.708583195491386</v>
      </c>
      <c r="AO166" s="735">
        <f t="shared" si="147"/>
        <v>1.5601247431832286</v>
      </c>
      <c r="AP166" s="733" t="str">
        <f t="shared" si="148"/>
        <v>1+4.54476195056815i</v>
      </c>
      <c r="AQ166" s="734">
        <f t="shared" si="149"/>
        <v>4.6534783965687447</v>
      </c>
      <c r="AR166" s="735">
        <f t="shared" si="150"/>
        <v>1.3542140431225922</v>
      </c>
      <c r="AS166" s="732" t="str">
        <f t="shared" si="151"/>
        <v>0.0314481977793479-25.079134087879i</v>
      </c>
      <c r="AT166" s="337">
        <f t="shared" si="152"/>
        <v>25.079153805241479</v>
      </c>
      <c r="AU166" s="730">
        <f t="shared" si="153"/>
        <v>-1.5695423687760117</v>
      </c>
      <c r="AV166" s="732" t="str">
        <f t="shared" si="154"/>
        <v>-4.00363879068091-0.0315441714885657i</v>
      </c>
      <c r="AW166" s="337">
        <f t="shared" si="155"/>
        <v>12.04936735552474</v>
      </c>
      <c r="AX166" s="730">
        <f t="shared" si="156"/>
        <v>-179.54858302849902</v>
      </c>
      <c r="AY166" s="360">
        <f t="shared" si="157"/>
        <v>0.45141697150097571</v>
      </c>
      <c r="BB166" s="337">
        <f t="shared" si="158"/>
        <v>-12.013742422148612</v>
      </c>
      <c r="BC166" s="730">
        <f t="shared" si="159"/>
        <v>-89.928153497831318</v>
      </c>
      <c r="BD166" s="351"/>
      <c r="BE166" s="337">
        <f t="shared" si="120"/>
        <v>56.439921370648875</v>
      </c>
      <c r="BF166" s="730">
        <f t="shared" si="121"/>
        <v>24.354594081957838</v>
      </c>
      <c r="BI166" s="351"/>
      <c r="BJ166" s="351"/>
      <c r="BL166" s="405">
        <f t="shared" si="122"/>
        <v>0</v>
      </c>
      <c r="BM166" s="405">
        <f t="shared" si="160"/>
        <v>0</v>
      </c>
      <c r="BN166" s="405">
        <f t="shared" si="123"/>
        <v>0</v>
      </c>
      <c r="BO166" s="405">
        <f t="shared" si="124"/>
        <v>0</v>
      </c>
    </row>
    <row r="167" spans="4:67" ht="13.5" thickBot="1" x14ac:dyDescent="0.25">
      <c r="D167" s="345">
        <v>9386.85</v>
      </c>
      <c r="E167" s="340" t="str">
        <f t="shared" si="111"/>
        <v>0.155705399521845i</v>
      </c>
      <c r="F167" s="728" t="str">
        <f t="shared" si="125"/>
        <v>0.005-0.27795239379941i</v>
      </c>
      <c r="G167" s="337" t="str">
        <f t="shared" si="126"/>
        <v>0.005-0.434746051840102i</v>
      </c>
      <c r="H167" s="338" t="str">
        <f t="shared" si="127"/>
        <v>0.141177853494944-0.382726751971027i</v>
      </c>
      <c r="I167" s="338" t="str">
        <f t="shared" si="128"/>
        <v>0.151177853494944-0.382726751971027i</v>
      </c>
      <c r="J167" s="337" t="str">
        <f t="shared" si="129"/>
        <v>0.0271867951633999-0.166298427352129i</v>
      </c>
      <c r="K167" s="338" t="str">
        <f t="shared" si="112"/>
        <v>0.99902096718975-0.0491494316672489i</v>
      </c>
      <c r="L167" s="732"/>
      <c r="M167" s="732" t="str">
        <f t="shared" si="113"/>
        <v>638.686882754654+248.857133884084i</v>
      </c>
      <c r="N167" s="337">
        <f t="shared" si="114"/>
        <v>0</v>
      </c>
      <c r="O167" s="730" t="str">
        <f t="shared" si="115"/>
        <v>277.217460140632+43.9981234475515i</v>
      </c>
      <c r="P167" s="731" t="str">
        <f t="shared" si="116"/>
        <v>58.7483994552826-99.4469962486752i</v>
      </c>
      <c r="Q167" s="729" t="str">
        <f t="shared" si="117"/>
        <v>55.9762248538764-99.8869774831507i</v>
      </c>
      <c r="R167" s="730"/>
      <c r="S167" s="405" t="str">
        <f t="shared" si="130"/>
        <v>39.2444479331816+2.15639047328516i</v>
      </c>
      <c r="T167" s="405" t="str">
        <f t="shared" si="131"/>
        <v>15.8907809932792-2.55221001450034i</v>
      </c>
      <c r="U167" s="405" t="str">
        <f t="shared" si="132"/>
        <v>1.26662730179177-6.44214252735611i</v>
      </c>
      <c r="V167" s="731" t="str">
        <f t="shared" si="118"/>
        <v>6000</v>
      </c>
      <c r="W167" s="733" t="str">
        <f>IMSUM(COMPLEX(1,0),IMDIV(COMPLEX(0,2*PI()*D167),COMPLEX(2*PI()*'Stability Calculations'!EA_Pole1,0)))</f>
        <v>1+59569.1111807057i</v>
      </c>
      <c r="X167" s="734">
        <f t="shared" si="133"/>
        <v>59569.11118909932</v>
      </c>
      <c r="Y167" s="735">
        <f t="shared" si="134"/>
        <v>1.5707795395711144</v>
      </c>
      <c r="Z167" s="340" t="str">
        <f>IMSUM(COMPLEX(1,0),IMDIV(COMPLEX(0,2*PI()*D167),COMPLEX(2*PI()*'Stability Calculations'!EA_Zero1,0)))</f>
        <v>1+589.793180006987i</v>
      </c>
      <c r="AA167" s="734">
        <f t="shared" si="135"/>
        <v>589.79402776117877</v>
      </c>
      <c r="AB167" s="735">
        <f t="shared" si="136"/>
        <v>1.5691008188174411</v>
      </c>
      <c r="AC167" s="733" t="str">
        <f>IMSUM(COMPLEX(1,0),IMDIV(COMPLEX(0,2*PI()*D167),COMPLEX(2*PI()*'Stability Calculations'!EA_Pole2,0)))</f>
        <v>1+5.94125572314679i</v>
      </c>
      <c r="AD167" s="734">
        <f t="shared" si="137"/>
        <v>6.0248252728045557</v>
      </c>
      <c r="AE167" s="735">
        <f t="shared" si="138"/>
        <v>1.4040446977056382</v>
      </c>
      <c r="AF167" s="732" t="str">
        <f t="shared" si="139"/>
        <v>1.62027115193257-9.72617133632562i</v>
      </c>
      <c r="AG167" s="337">
        <f t="shared" si="140"/>
        <v>9.8602072731432475</v>
      </c>
      <c r="AH167" s="730">
        <f t="shared" si="141"/>
        <v>-1.4057234184593113</v>
      </c>
      <c r="AI167" s="731" t="str">
        <f t="shared" si="119"/>
        <v>10000</v>
      </c>
      <c r="AJ167" s="733" t="str">
        <f t="shared" si="142"/>
        <v>1+55534.8078708221i</v>
      </c>
      <c r="AK167" s="734">
        <f t="shared" si="143"/>
        <v>55534.807879825457</v>
      </c>
      <c r="AL167" s="735">
        <f t="shared" si="144"/>
        <v>1.5707783200701373</v>
      </c>
      <c r="AM167" s="340" t="str">
        <f t="shared" si="145"/>
        <v>1+94.2489501651165i</v>
      </c>
      <c r="AN167" s="734">
        <f t="shared" si="146"/>
        <v>94.254255114698196</v>
      </c>
      <c r="AO167" s="735">
        <f t="shared" si="147"/>
        <v>1.5601865271594582</v>
      </c>
      <c r="AP167" s="733" t="str">
        <f t="shared" si="148"/>
        <v>1+4.57122943645225i</v>
      </c>
      <c r="AQ167" s="734">
        <f t="shared" si="149"/>
        <v>4.679330994991437</v>
      </c>
      <c r="AR167" s="735">
        <f t="shared" si="150"/>
        <v>1.3554295329503785</v>
      </c>
      <c r="AS167" s="732" t="str">
        <f t="shared" si="151"/>
        <v>0.0310850815633228-24.9339259841719i</v>
      </c>
      <c r="AT167" s="337">
        <f t="shared" si="152"/>
        <v>24.933945361022563</v>
      </c>
      <c r="AU167" s="730">
        <f t="shared" si="153"/>
        <v>-1.569549629203898</v>
      </c>
      <c r="AV167" s="732" t="str">
        <f t="shared" si="154"/>
        <v>-3.95677914474977-0.0279754370595509i</v>
      </c>
      <c r="AW167" s="337">
        <f t="shared" si="155"/>
        <v>11.947053291076923</v>
      </c>
      <c r="AX167" s="730">
        <f t="shared" si="156"/>
        <v>-179.59491098510222</v>
      </c>
      <c r="AY167" s="360">
        <f t="shared" si="157"/>
        <v>0.40508901489778282</v>
      </c>
      <c r="BB167" s="337">
        <f t="shared" si="158"/>
        <v>-12.064179930965492</v>
      </c>
      <c r="BC167" s="730">
        <f t="shared" si="159"/>
        <v>-89.928569489706646</v>
      </c>
      <c r="BD167" s="351"/>
      <c r="BE167" s="337">
        <f t="shared" si="120"/>
        <v>56.719599773877299</v>
      </c>
      <c r="BF167" s="730">
        <f t="shared" si="121"/>
        <v>21.28781395175973</v>
      </c>
      <c r="BI167" s="351"/>
      <c r="BJ167" s="351"/>
      <c r="BL167" s="405">
        <f t="shared" si="122"/>
        <v>0</v>
      </c>
      <c r="BM167" s="405">
        <f t="shared" si="160"/>
        <v>0</v>
      </c>
      <c r="BN167" s="405">
        <f t="shared" si="123"/>
        <v>0</v>
      </c>
      <c r="BO167" s="405">
        <f t="shared" si="124"/>
        <v>0</v>
      </c>
    </row>
    <row r="168" spans="4:67" ht="13.5" thickBot="1" x14ac:dyDescent="0.25">
      <c r="D168" s="345">
        <v>9441.2000000000007</v>
      </c>
      <c r="E168" s="340" t="str">
        <f t="shared" si="111"/>
        <v>0.15660693608246i</v>
      </c>
      <c r="F168" s="728" t="str">
        <f t="shared" si="125"/>
        <v>0.005-0.276352309847899i</v>
      </c>
      <c r="G168" s="337" t="str">
        <f t="shared" si="126"/>
        <v>0.005-0.432243356428766i</v>
      </c>
      <c r="H168" s="338" t="str">
        <f t="shared" si="127"/>
        <v>0.139788225914011-0.381015185563469i</v>
      </c>
      <c r="I168" s="338" t="str">
        <f t="shared" si="128"/>
        <v>0.149788225914011-0.381015185563469i</v>
      </c>
      <c r="J168" s="337" t="str">
        <f t="shared" si="129"/>
        <v>0.0269270724634587-0.165377022780335i</v>
      </c>
      <c r="K168" s="338" t="str">
        <f t="shared" si="112"/>
        <v>0.999009597139556-0.0494340076017866i</v>
      </c>
      <c r="L168" s="732"/>
      <c r="M168" s="732" t="str">
        <f t="shared" si="113"/>
        <v>671.513429056304+218.710407512851i</v>
      </c>
      <c r="N168" s="337">
        <f t="shared" si="114"/>
        <v>0</v>
      </c>
      <c r="O168" s="730" t="str">
        <f t="shared" si="115"/>
        <v>287.545259509175+29.3444275758611i</v>
      </c>
      <c r="P168" s="731" t="str">
        <f t="shared" si="116"/>
        <v>54.2515668099338-105.163660662734i</v>
      </c>
      <c r="Q168" s="729" t="str">
        <f t="shared" si="117"/>
        <v>51.376114214842-105.457104938493i</v>
      </c>
      <c r="R168" s="730"/>
      <c r="S168" s="405" t="str">
        <f t="shared" si="130"/>
        <v>39.2548189543076+2.12386308350716i</v>
      </c>
      <c r="T168" s="405" t="str">
        <f t="shared" si="131"/>
        <v>15.8860221178301-2.54919908338573i</v>
      </c>
      <c r="U168" s="405" t="str">
        <f t="shared" si="132"/>
        <v>1.24939528688775-6.40916368245855i</v>
      </c>
      <c r="V168" s="731" t="str">
        <f t="shared" si="118"/>
        <v>6000</v>
      </c>
      <c r="W168" s="733" t="str">
        <f>IMSUM(COMPLEX(1,0),IMDIV(COMPLEX(0,2*PI()*D168),COMPLEX(2*PI()*'Stability Calculations'!EA_Pole1,0)))</f>
        <v>1+59914.0172133653i</v>
      </c>
      <c r="X168" s="734">
        <f t="shared" si="133"/>
        <v>59914.017221710586</v>
      </c>
      <c r="Y168" s="735">
        <f t="shared" si="134"/>
        <v>1.5707796362098478</v>
      </c>
      <c r="Z168" s="340" t="str">
        <f>IMSUM(COMPLEX(1,0),IMDIV(COMPLEX(0,2*PI()*D168),COMPLEX(2*PI()*'Stability Calculations'!EA_Zero1,0)))</f>
        <v>1+593.208091221439i</v>
      </c>
      <c r="AA168" s="734">
        <f t="shared" si="135"/>
        <v>593.20893409538519</v>
      </c>
      <c r="AB168" s="735">
        <f t="shared" si="136"/>
        <v>1.5691105793016475</v>
      </c>
      <c r="AC168" s="733" t="str">
        <f>IMSUM(COMPLEX(1,0),IMDIV(COMPLEX(0,2*PI()*D168),COMPLEX(2*PI()*'Stability Calculations'!EA_Pole2,0)))</f>
        <v>1+5.97565568144516i</v>
      </c>
      <c r="AD168" s="734">
        <f t="shared" si="137"/>
        <v>6.0587507642407443</v>
      </c>
      <c r="AE168" s="735">
        <f t="shared" si="138"/>
        <v>1.4049870872010612</v>
      </c>
      <c r="AF168" s="732" t="str">
        <f t="shared" si="139"/>
        <v>1.60217679454525-9.6732088553736i</v>
      </c>
      <c r="AG168" s="337">
        <f t="shared" si="140"/>
        <v>9.8049956675491465</v>
      </c>
      <c r="AH168" s="730">
        <f t="shared" si="141"/>
        <v>-1.4066561441092609</v>
      </c>
      <c r="AI168" s="731" t="str">
        <f t="shared" si="119"/>
        <v>10000</v>
      </c>
      <c r="AJ168" s="733" t="str">
        <f t="shared" si="142"/>
        <v>1+55856.3552277927i</v>
      </c>
      <c r="AK168" s="734">
        <f t="shared" si="143"/>
        <v>55856.355236744232</v>
      </c>
      <c r="AL168" s="735">
        <f t="shared" si="144"/>
        <v>1.570778423729152</v>
      </c>
      <c r="AM168" s="340" t="str">
        <f t="shared" si="145"/>
        <v>1+94.7946529771859i</v>
      </c>
      <c r="AN168" s="734">
        <f t="shared" si="146"/>
        <v>94.799927389556061</v>
      </c>
      <c r="AO168" s="735">
        <f t="shared" si="147"/>
        <v>1.5602475998737104</v>
      </c>
      <c r="AP168" s="733" t="str">
        <f t="shared" si="148"/>
        <v>1+4.59769692233635i</v>
      </c>
      <c r="AQ168" s="734">
        <f t="shared" si="149"/>
        <v>4.7051904307542269</v>
      </c>
      <c r="AR168" s="735">
        <f t="shared" si="150"/>
        <v>1.3566316640240617</v>
      </c>
      <c r="AS168" s="732" t="str">
        <f t="shared" si="151"/>
        <v>0.0307282183021571-24.7903897068953i</v>
      </c>
      <c r="AT168" s="337">
        <f t="shared" si="152"/>
        <v>24.790408751029911</v>
      </c>
      <c r="AU168" s="730">
        <f t="shared" si="153"/>
        <v>-1.5695568060399427</v>
      </c>
      <c r="AV168" s="732" t="str">
        <f t="shared" si="154"/>
        <v>-3.91073589116526-0.0245132123531577i</v>
      </c>
      <c r="AW168" s="337">
        <f t="shared" si="155"/>
        <v>11.845340374840124</v>
      </c>
      <c r="AX168" s="730">
        <f t="shared" si="156"/>
        <v>-179.64086421193176</v>
      </c>
      <c r="AY168" s="360">
        <f t="shared" si="157"/>
        <v>0.35913578806824376</v>
      </c>
      <c r="BB168" s="337">
        <f t="shared" si="158"/>
        <v>-12.114326248142351</v>
      </c>
      <c r="BC168" s="730">
        <f t="shared" si="159"/>
        <v>-89.928980692122281</v>
      </c>
      <c r="BD168" s="351"/>
      <c r="BE168" s="337">
        <f t="shared" si="120"/>
        <v>56.978955587859971</v>
      </c>
      <c r="BF168" s="730">
        <f t="shared" si="121"/>
        <v>18.040312619228931</v>
      </c>
      <c r="BI168" s="351"/>
      <c r="BJ168" s="351"/>
      <c r="BL168" s="405">
        <f t="shared" si="122"/>
        <v>0</v>
      </c>
      <c r="BM168" s="405">
        <f t="shared" si="160"/>
        <v>0</v>
      </c>
      <c r="BN168" s="405">
        <f t="shared" si="123"/>
        <v>0</v>
      </c>
      <c r="BO168" s="405">
        <f t="shared" si="124"/>
        <v>0</v>
      </c>
    </row>
    <row r="169" spans="4:67" ht="13.5" thickBot="1" x14ac:dyDescent="0.25">
      <c r="D169" s="345">
        <v>9495.5499999999993</v>
      </c>
      <c r="E169" s="340" t="str">
        <f t="shared" si="111"/>
        <v>0.157508472643075i</v>
      </c>
      <c r="F169" s="728" t="str">
        <f t="shared" si="125"/>
        <v>0.005-0.274770542805418i</v>
      </c>
      <c r="G169" s="337" t="str">
        <f t="shared" si="126"/>
        <v>0.005-0.429769310541807i</v>
      </c>
      <c r="H169" s="338" t="str">
        <f t="shared" si="127"/>
        <v>0.138418887760545-0.37931607465243i</v>
      </c>
      <c r="I169" s="338" t="str">
        <f t="shared" si="128"/>
        <v>0.148418887760545-0.37931607465243i</v>
      </c>
      <c r="J169" s="337" t="str">
        <f t="shared" si="129"/>
        <v>0.0266716870352045-0.16446557226014i</v>
      </c>
      <c r="K169" s="338" t="str">
        <f t="shared" si="112"/>
        <v>0.998998161446639-0.0497185835363243i</v>
      </c>
      <c r="L169" s="732"/>
      <c r="M169" s="732" t="str">
        <f t="shared" si="113"/>
        <v>702.089622488362+183.13455153069i</v>
      </c>
      <c r="N169" s="337">
        <f t="shared" si="114"/>
        <v>0</v>
      </c>
      <c r="O169" s="730" t="str">
        <f t="shared" si="115"/>
        <v>296.525766548216+12.7472030832725i</v>
      </c>
      <c r="P169" s="731" t="str">
        <f t="shared" si="116"/>
        <v>48.8452434997735-110.585064096695i</v>
      </c>
      <c r="Q169" s="729" t="str">
        <f t="shared" si="117"/>
        <v>45.8799858342913-110.712536127528i</v>
      </c>
      <c r="R169" s="730"/>
      <c r="S169" s="405" t="str">
        <f t="shared" si="130"/>
        <v>39.2650112420103+2.09153465496247i</v>
      </c>
      <c r="T169" s="405" t="str">
        <f t="shared" si="131"/>
        <v>15.8813299858758-2.54626645690112i</v>
      </c>
      <c r="U169" s="405" t="str">
        <f t="shared" si="132"/>
        <v>1.23243623535224-6.37649512140861i</v>
      </c>
      <c r="V169" s="731" t="str">
        <f t="shared" si="118"/>
        <v>6000</v>
      </c>
      <c r="W169" s="733" t="str">
        <f>IMSUM(COMPLEX(1,0),IMDIV(COMPLEX(0,2*PI()*D169),COMPLEX(2*PI()*'Stability Calculations'!EA_Pole1,0)))</f>
        <v>1+60258.923246025i</v>
      </c>
      <c r="X169" s="734">
        <f t="shared" si="133"/>
        <v>60258.923254322523</v>
      </c>
      <c r="Y169" s="735">
        <f t="shared" si="134"/>
        <v>1.5707797317423129</v>
      </c>
      <c r="Z169" s="340" t="str">
        <f>IMSUM(COMPLEX(1,0),IMDIV(COMPLEX(0,2*PI()*D169),COMPLEX(2*PI()*'Stability Calculations'!EA_Zero1,0)))</f>
        <v>1+596.623002435891i</v>
      </c>
      <c r="AA169" s="734">
        <f t="shared" si="135"/>
        <v>596.623840485458</v>
      </c>
      <c r="AB169" s="735">
        <f t="shared" si="136"/>
        <v>1.5691202280533441</v>
      </c>
      <c r="AC169" s="733" t="str">
        <f>IMSUM(COMPLEX(1,0),IMDIV(COMPLEX(0,2*PI()*D169),COMPLEX(2*PI()*'Stability Calculations'!EA_Pole2,0)))</f>
        <v>1+6.01005563974353i</v>
      </c>
      <c r="AD169" s="734">
        <f t="shared" si="137"/>
        <v>6.0926815765156324</v>
      </c>
      <c r="AE169" s="735">
        <f t="shared" si="138"/>
        <v>1.4059189809754085</v>
      </c>
      <c r="AF169" s="732" t="str">
        <f t="shared" si="139"/>
        <v>1.58438108875804-9.62080296876972i</v>
      </c>
      <c r="AG169" s="337">
        <f t="shared" si="140"/>
        <v>9.7503904126092511</v>
      </c>
      <c r="AH169" s="730">
        <f t="shared" si="141"/>
        <v>-1.4075784846643771</v>
      </c>
      <c r="AI169" s="731" t="str">
        <f t="shared" si="119"/>
        <v>10000</v>
      </c>
      <c r="AJ169" s="733" t="str">
        <f t="shared" si="142"/>
        <v>1+56177.9025847632i</v>
      </c>
      <c r="AK169" s="734">
        <f t="shared" si="143"/>
        <v>56177.902593663501</v>
      </c>
      <c r="AL169" s="735">
        <f t="shared" si="144"/>
        <v>1.5707785262015337</v>
      </c>
      <c r="AM169" s="340" t="str">
        <f t="shared" si="145"/>
        <v>1+95.3403557892554i</v>
      </c>
      <c r="AN169" s="734">
        <f t="shared" si="146"/>
        <v>95.34560001395873</v>
      </c>
      <c r="AO169" s="735">
        <f t="shared" si="147"/>
        <v>1.5603079735374006</v>
      </c>
      <c r="AP169" s="733" t="str">
        <f t="shared" si="148"/>
        <v>1+4.62416440822046i</v>
      </c>
      <c r="AQ169" s="734">
        <f t="shared" si="149"/>
        <v>4.7310565917406731</v>
      </c>
      <c r="AR169" s="735">
        <f t="shared" si="150"/>
        <v>1.3578206519498215</v>
      </c>
      <c r="AS169" s="732" t="str">
        <f t="shared" si="151"/>
        <v>0.030377465245718-24.6484965489574i</v>
      </c>
      <c r="AT169" s="337">
        <f t="shared" si="152"/>
        <v>24.648515267949904</v>
      </c>
      <c r="AU169" s="730">
        <f t="shared" si="153"/>
        <v>-1.5695639007195159</v>
      </c>
      <c r="AV169" s="732" t="str">
        <f t="shared" si="154"/>
        <v>-3.86549020750851-0.0211540008116766i</v>
      </c>
      <c r="AW169" s="337">
        <f t="shared" si="155"/>
        <v>11.744221611069836</v>
      </c>
      <c r="AX169" s="730">
        <f t="shared" si="156"/>
        <v>-179.68645041070778</v>
      </c>
      <c r="AY169" s="360">
        <f t="shared" si="157"/>
        <v>0.31354958929222221</v>
      </c>
      <c r="BB169" s="337">
        <f t="shared" si="158"/>
        <v>-12.164184716665281</v>
      </c>
      <c r="BC169" s="730">
        <f t="shared" si="159"/>
        <v>-89.92938718731881</v>
      </c>
      <c r="BD169" s="351"/>
      <c r="BE169" s="337">
        <f t="shared" si="120"/>
        <v>57.213720629707161</v>
      </c>
      <c r="BF169" s="730">
        <f t="shared" si="121"/>
        <v>14.619402134241088</v>
      </c>
      <c r="BI169" s="351"/>
      <c r="BJ169" s="351"/>
      <c r="BL169" s="405">
        <f t="shared" si="122"/>
        <v>0</v>
      </c>
      <c r="BM169" s="405">
        <f t="shared" si="160"/>
        <v>0</v>
      </c>
      <c r="BN169" s="405">
        <f t="shared" si="123"/>
        <v>0</v>
      </c>
      <c r="BO169" s="405">
        <f t="shared" si="124"/>
        <v>0</v>
      </c>
    </row>
    <row r="170" spans="4:67" ht="13.5" thickBot="1" x14ac:dyDescent="0.25">
      <c r="D170" s="345">
        <v>9549.9</v>
      </c>
      <c r="E170" s="340" t="str">
        <f t="shared" si="111"/>
        <v>0.158410009203691i</v>
      </c>
      <c r="F170" s="728" t="str">
        <f t="shared" si="125"/>
        <v>0.005-0.273206779938637i</v>
      </c>
      <c r="G170" s="337" t="str">
        <f t="shared" si="126"/>
        <v>0.005-0.427323425032227i</v>
      </c>
      <c r="H170" s="338" t="str">
        <f t="shared" si="127"/>
        <v>0.137069464110563-0.377629337722907i</v>
      </c>
      <c r="I170" s="338" t="str">
        <f t="shared" si="128"/>
        <v>0.147069464110563-0.377629337722907i</v>
      </c>
      <c r="J170" s="337" t="str">
        <f t="shared" si="129"/>
        <v>0.0264205434396584-0.163563918846342i</v>
      </c>
      <c r="K170" s="338" t="str">
        <f t="shared" si="112"/>
        <v>0.998986660111-0.0500031594708619i</v>
      </c>
      <c r="L170" s="732"/>
      <c r="M170" s="732" t="str">
        <f t="shared" si="113"/>
        <v>729.236968862434+142.253752432516i</v>
      </c>
      <c r="N170" s="337">
        <f t="shared" si="114"/>
        <v>0</v>
      </c>
      <c r="O170" s="730" t="str">
        <f t="shared" si="115"/>
        <v>303.706074361558-5.64434793185123i</v>
      </c>
      <c r="P170" s="731" t="str">
        <f t="shared" si="116"/>
        <v>42.5344182320944-115.51843494917i</v>
      </c>
      <c r="Q170" s="729" t="str">
        <f t="shared" si="117"/>
        <v>39.4973574884788-115.461991469851i</v>
      </c>
      <c r="R170" s="730"/>
      <c r="S170" s="405" t="str">
        <f t="shared" si="130"/>
        <v>39.2750283931116+2.05940266688036i</v>
      </c>
      <c r="T170" s="405" t="str">
        <f t="shared" si="131"/>
        <v>15.876703177244-2.54341113823344i</v>
      </c>
      <c r="U170" s="405" t="str">
        <f t="shared" si="132"/>
        <v>1.21574453265914-6.34413290777628i</v>
      </c>
      <c r="V170" s="731" t="str">
        <f t="shared" si="118"/>
        <v>6000</v>
      </c>
      <c r="W170" s="733" t="str">
        <f>IMSUM(COMPLEX(1,0),IMDIV(COMPLEX(0,2*PI()*D170),COMPLEX(2*PI()*'Stability Calculations'!EA_Pole1,0)))</f>
        <v>1+60603.8292786847i</v>
      </c>
      <c r="X170" s="734">
        <f t="shared" si="133"/>
        <v>60603.829286935012</v>
      </c>
      <c r="Y170" s="735">
        <f t="shared" si="134"/>
        <v>1.5707798261873969</v>
      </c>
      <c r="Z170" s="340" t="str">
        <f>IMSUM(COMPLEX(1,0),IMDIV(COMPLEX(0,2*PI()*D170),COMPLEX(2*PI()*'Stability Calculations'!EA_Zero1,0)))</f>
        <v>1+600.037913650343i</v>
      </c>
      <c r="AA170" s="734">
        <f t="shared" si="135"/>
        <v>600.03874693044315</v>
      </c>
      <c r="AB170" s="735">
        <f t="shared" si="136"/>
        <v>1.5691297669801858</v>
      </c>
      <c r="AC170" s="733" t="str">
        <f>IMSUM(COMPLEX(1,0),IMDIV(COMPLEX(0,2*PI()*D170),COMPLEX(2*PI()*'Stability Calculations'!EA_Pole2,0)))</f>
        <v>1+6.04445559804189i</v>
      </c>
      <c r="AD170" s="734">
        <f t="shared" si="137"/>
        <v>6.1266176212246135</v>
      </c>
      <c r="AE170" s="735">
        <f t="shared" si="138"/>
        <v>1.4068405518075673</v>
      </c>
      <c r="AF170" s="732" t="str">
        <f t="shared" si="139"/>
        <v>1.56687755916432-9.56894524480878i</v>
      </c>
      <c r="AG170" s="337">
        <f t="shared" si="140"/>
        <v>9.6963817160609604</v>
      </c>
      <c r="AH170" s="730">
        <f t="shared" si="141"/>
        <v>-1.4084906110147786</v>
      </c>
      <c r="AI170" s="731" t="str">
        <f t="shared" si="119"/>
        <v>10000</v>
      </c>
      <c r="AJ170" s="733" t="str">
        <f t="shared" si="142"/>
        <v>1+56499.4499417338i</v>
      </c>
      <c r="AK170" s="734">
        <f t="shared" si="143"/>
        <v>56499.449950583454</v>
      </c>
      <c r="AL170" s="735">
        <f t="shared" si="144"/>
        <v>1.5707786275075419</v>
      </c>
      <c r="AM170" s="340" t="str">
        <f t="shared" si="145"/>
        <v>1+95.8860586013248i</v>
      </c>
      <c r="AN170" s="734">
        <f t="shared" si="146"/>
        <v>95.891272981938741</v>
      </c>
      <c r="AO170" s="735">
        <f t="shared" si="147"/>
        <v>1.5603676600840073</v>
      </c>
      <c r="AP170" s="733" t="str">
        <f t="shared" si="148"/>
        <v>1+4.65063189410456i</v>
      </c>
      <c r="AQ170" s="734">
        <f t="shared" si="149"/>
        <v>4.7569293682440321</v>
      </c>
      <c r="AR170" s="735">
        <f t="shared" si="150"/>
        <v>1.3589967077936176</v>
      </c>
      <c r="AS170" s="732" t="str">
        <f t="shared" si="151"/>
        <v>0.0300326836943362-24.5082184567674i</v>
      </c>
      <c r="AT170" s="337">
        <f t="shared" si="152"/>
        <v>24.508236857977444</v>
      </c>
      <c r="AU170" s="730">
        <f t="shared" si="153"/>
        <v>-1.5695709146453107</v>
      </c>
      <c r="AV170" s="732" t="str">
        <f t="shared" si="154"/>
        <v>-3.82102380872902-0.0178944377800316i</v>
      </c>
      <c r="AW170" s="337">
        <f t="shared" si="155"/>
        <v>11.643690123623692</v>
      </c>
      <c r="AX170" s="730">
        <f t="shared" si="156"/>
        <v>-179.73167707987318</v>
      </c>
      <c r="AY170" s="360">
        <f t="shared" si="157"/>
        <v>0.26832292012682046</v>
      </c>
      <c r="BB170" s="337">
        <f t="shared" si="158"/>
        <v>-12.213758622281103</v>
      </c>
      <c r="BC170" s="730">
        <f t="shared" si="159"/>
        <v>-89.929789055664685</v>
      </c>
      <c r="BD170" s="351"/>
      <c r="BE170" s="337">
        <f t="shared" si="120"/>
        <v>57.419569265798678</v>
      </c>
      <c r="BF170" s="730">
        <f t="shared" si="121"/>
        <v>11.038186037188915</v>
      </c>
      <c r="BI170" s="351"/>
      <c r="BJ170" s="351"/>
      <c r="BL170" s="405">
        <f t="shared" si="122"/>
        <v>0</v>
      </c>
      <c r="BM170" s="405">
        <f t="shared" si="160"/>
        <v>0</v>
      </c>
      <c r="BN170" s="405">
        <f t="shared" si="123"/>
        <v>0</v>
      </c>
      <c r="BO170" s="405">
        <f t="shared" si="124"/>
        <v>0</v>
      </c>
    </row>
    <row r="171" spans="4:67" ht="13.5" thickBot="1" x14ac:dyDescent="0.25">
      <c r="D171" s="345">
        <v>9605.5249999999996</v>
      </c>
      <c r="E171" s="340" t="str">
        <f t="shared" si="111"/>
        <v>0.15933269496605i</v>
      </c>
      <c r="F171" s="728" t="str">
        <f t="shared" si="125"/>
        <v>0.005-0.271624656407223i</v>
      </c>
      <c r="G171" s="337" t="str">
        <f t="shared" si="126"/>
        <v>0.005-0.424848821560016i</v>
      </c>
      <c r="H171" s="338" t="str">
        <f t="shared" si="127"/>
        <v>0.135708622285584-0.375915758235571i</v>
      </c>
      <c r="I171" s="338" t="str">
        <f t="shared" si="128"/>
        <v>0.145708622285584-0.375915758235571i</v>
      </c>
      <c r="J171" s="337" t="str">
        <f t="shared" si="129"/>
        <v>0.0261678036412134-0.16265109761601i</v>
      </c>
      <c r="K171" s="338" t="str">
        <f t="shared" si="112"/>
        <v>0.99897482099416-0.0502944112897885i</v>
      </c>
      <c r="L171" s="732"/>
      <c r="M171" s="732" t="str">
        <f t="shared" si="113"/>
        <v>752.201552999973+95.3885034068297i</v>
      </c>
      <c r="N171" s="337">
        <f t="shared" si="114"/>
        <v>0</v>
      </c>
      <c r="O171" s="730" t="str">
        <f t="shared" si="115"/>
        <v>308.731467365597-26.0333046302535i</v>
      </c>
      <c r="P171" s="731" t="str">
        <f t="shared" si="116"/>
        <v>35.1985073165884-119.850300597134i</v>
      </c>
      <c r="Q171" s="729" t="str">
        <f t="shared" si="117"/>
        <v>32.1111926429325-119.589967550832i</v>
      </c>
      <c r="R171" s="730"/>
      <c r="S171" s="405" t="str">
        <f t="shared" si="130"/>
        <v>39.2851028486694+2.02671770606735i</v>
      </c>
      <c r="T171" s="405" t="str">
        <f t="shared" si="131"/>
        <v>15.8720340231976-2.54056786034769i</v>
      </c>
      <c r="U171" s="405" t="str">
        <f t="shared" si="132"/>
        <v>1.19893237658653-6.31132466872196i</v>
      </c>
      <c r="V171" s="731" t="str">
        <f t="shared" si="118"/>
        <v>6000</v>
      </c>
      <c r="W171" s="733" t="str">
        <f>IMSUM(COMPLEX(1,0),IMDIV(COMPLEX(0,2*PI()*D171),COMPLEX(2*PI()*'Stability Calculations'!EA_Pole1,0)))</f>
        <v>1+60956.8264832237i</v>
      </c>
      <c r="X171" s="734">
        <f t="shared" si="133"/>
        <v>60956.826491426233</v>
      </c>
      <c r="Y171" s="735">
        <f t="shared" si="134"/>
        <v>1.5707799217413922</v>
      </c>
      <c r="Z171" s="340" t="str">
        <f>IMSUM(COMPLEX(1,0),IMDIV(COMPLEX(0,2*PI()*D171),COMPLEX(2*PI()*'Stability Calculations'!EA_Zero1,0)))</f>
        <v>1+603.532935477462i</v>
      </c>
      <c r="AA171" s="734">
        <f t="shared" si="135"/>
        <v>603.53376393209555</v>
      </c>
      <c r="AB171" s="735">
        <f t="shared" si="136"/>
        <v>1.5691394179070774</v>
      </c>
      <c r="AC171" s="733" t="str">
        <f>IMSUM(COMPLEX(1,0),IMDIV(COMPLEX(0,2*PI()*D171),COMPLEX(2*PI()*'Stability Calculations'!EA_Pole2,0)))</f>
        <v>1+6.07966254708231i</v>
      </c>
      <c r="AD171" s="734">
        <f t="shared" si="137"/>
        <v>6.1613551014687795</v>
      </c>
      <c r="AE171" s="735">
        <f t="shared" si="138"/>
        <v>1.4077732291776746</v>
      </c>
      <c r="AF171" s="732" t="str">
        <f t="shared" si="139"/>
        <v>1.54925937500822-9.51642996132804i</v>
      </c>
      <c r="AG171" s="337">
        <f t="shared" si="140"/>
        <v>9.6417137387454552</v>
      </c>
      <c r="AH171" s="730">
        <f t="shared" si="141"/>
        <v>-1.4094137330119885</v>
      </c>
      <c r="AI171" s="731" t="str">
        <f t="shared" si="119"/>
        <v>10000</v>
      </c>
      <c r="AJ171" s="733" t="str">
        <f t="shared" si="142"/>
        <v>1+56828.5404979709i</v>
      </c>
      <c r="AK171" s="734">
        <f t="shared" si="143"/>
        <v>56828.540506769292</v>
      </c>
      <c r="AL171" s="735">
        <f t="shared" si="144"/>
        <v>1.5707787300030183</v>
      </c>
      <c r="AM171" s="340" t="str">
        <f t="shared" si="145"/>
        <v>1+96.4445630892984i</v>
      </c>
      <c r="AN171" s="734">
        <f t="shared" si="146"/>
        <v>96.449747275385135</v>
      </c>
      <c r="AO171" s="735">
        <f t="shared" si="147"/>
        <v>1.5604280475060077</v>
      </c>
      <c r="AP171" s="733" t="str">
        <f t="shared" si="148"/>
        <v>1+4.67772028237141i</v>
      </c>
      <c r="AQ171" s="734">
        <f t="shared" si="149"/>
        <v>4.7834158339108326</v>
      </c>
      <c r="AR171" s="735">
        <f t="shared" si="150"/>
        <v>1.3601871777193595</v>
      </c>
      <c r="AS171" s="732" t="str">
        <f t="shared" si="151"/>
        <v>0.0296858565339056-24.3662933050564i</v>
      </c>
      <c r="AT171" s="337">
        <f t="shared" si="152"/>
        <v>24.366311388433711</v>
      </c>
      <c r="AU171" s="730">
        <f t="shared" si="153"/>
        <v>-1.5695780109240853</v>
      </c>
      <c r="AV171" s="732" t="str">
        <f t="shared" si="154"/>
        <v>-3.77630265451414-0.0146582121423932i</v>
      </c>
      <c r="AW171" s="337">
        <f t="shared" si="155"/>
        <v>11.541401312242957</v>
      </c>
      <c r="AX171" s="730">
        <f t="shared" si="156"/>
        <v>-179.77760006286579</v>
      </c>
      <c r="AY171" s="360">
        <f t="shared" si="157"/>
        <v>0.22239993713421313</v>
      </c>
      <c r="BB171" s="337">
        <f t="shared" si="158"/>
        <v>-12.26420420079088</v>
      </c>
      <c r="BC171" s="730">
        <f t="shared" si="159"/>
        <v>-89.930195642488712</v>
      </c>
      <c r="BD171" s="351"/>
      <c r="BE171" s="337">
        <f t="shared" si="120"/>
        <v>57.595969491417748</v>
      </c>
      <c r="BF171" s="730">
        <f t="shared" si="121"/>
        <v>7.2272401647548392</v>
      </c>
      <c r="BI171" s="351"/>
      <c r="BJ171" s="351"/>
      <c r="BL171" s="405">
        <f t="shared" si="122"/>
        <v>0</v>
      </c>
      <c r="BM171" s="405">
        <f t="shared" si="160"/>
        <v>0</v>
      </c>
      <c r="BN171" s="405">
        <f t="shared" si="123"/>
        <v>0</v>
      </c>
      <c r="BO171" s="405">
        <f t="shared" si="124"/>
        <v>0</v>
      </c>
    </row>
    <row r="172" spans="4:67" ht="13.5" thickBot="1" x14ac:dyDescent="0.25">
      <c r="D172" s="345">
        <v>9661.15</v>
      </c>
      <c r="E172" s="340" t="str">
        <f t="shared" si="111"/>
        <v>0.160255380728409i</v>
      </c>
      <c r="F172" s="728" t="str">
        <f t="shared" si="125"/>
        <v>0.005-0.270060751332501i</v>
      </c>
      <c r="G172" s="337" t="str">
        <f t="shared" si="126"/>
        <v>0.005-0.42240271362263i</v>
      </c>
      <c r="H172" s="338" t="str">
        <f t="shared" si="127"/>
        <v>0.134367871529947-0.374214964269784i</v>
      </c>
      <c r="I172" s="338" t="str">
        <f t="shared" si="128"/>
        <v>0.144367871529947-0.374214964269784i</v>
      </c>
      <c r="J172" s="337" t="str">
        <f t="shared" si="129"/>
        <v>0.0259193129753024-0.16174821608189i</v>
      </c>
      <c r="K172" s="338" t="str">
        <f t="shared" si="112"/>
        <v>0.998962913118639-0.050585663108715i</v>
      </c>
      <c r="L172" s="732"/>
      <c r="M172" s="732" t="str">
        <f t="shared" si="113"/>
        <v>769.074187242646+44.2951993850865i</v>
      </c>
      <c r="N172" s="337">
        <f t="shared" si="114"/>
        <v>0</v>
      </c>
      <c r="O172" s="730" t="str">
        <f t="shared" si="115"/>
        <v>311.001018759059-47.5662728098709i</v>
      </c>
      <c r="P172" s="731" t="str">
        <f t="shared" si="116"/>
        <v>27.0985440418978-123.248276684962i</v>
      </c>
      <c r="Q172" s="729" t="str">
        <f t="shared" si="117"/>
        <v>23.9885338543072-122.772613956863i</v>
      </c>
      <c r="R172" s="730"/>
      <c r="S172" s="405" t="str">
        <f t="shared" si="130"/>
        <v>39.2950011919548+1.99423328080862i</v>
      </c>
      <c r="T172" s="405" t="str">
        <f t="shared" si="131"/>
        <v>15.8674303960149-2.53780349188953i</v>
      </c>
      <c r="U172" s="405" t="str">
        <f t="shared" si="132"/>
        <v>1.18238880592094-6.27882915226449i</v>
      </c>
      <c r="V172" s="731" t="str">
        <f t="shared" si="118"/>
        <v>6000</v>
      </c>
      <c r="W172" s="733" t="str">
        <f>IMSUM(COMPLEX(1,0),IMDIV(COMPLEX(0,2*PI()*D172),COMPLEX(2*PI()*'Stability Calculations'!EA_Pole1,0)))</f>
        <v>1+61309.8236877627i</v>
      </c>
      <c r="X172" s="734">
        <f t="shared" si="133"/>
        <v>61309.823695917999</v>
      </c>
      <c r="Y172" s="735">
        <f t="shared" si="134"/>
        <v>1.5707800161950651</v>
      </c>
      <c r="Z172" s="340" t="str">
        <f>IMSUM(COMPLEX(1,0),IMDIV(COMPLEX(0,2*PI()*D172),COMPLEX(2*PI()*'Stability Calculations'!EA_Zero1,0)))</f>
        <v>1+607.027957304581i</v>
      </c>
      <c r="AA172" s="734">
        <f t="shared" si="135"/>
        <v>607.02878098931376</v>
      </c>
      <c r="AB172" s="735">
        <f t="shared" si="136"/>
        <v>1.5691489577019937</v>
      </c>
      <c r="AC172" s="733" t="str">
        <f>IMSUM(COMPLEX(1,0),IMDIV(COMPLEX(0,2*PI()*D172),COMPLEX(2*PI()*'Stability Calculations'!EA_Pole2,0)))</f>
        <v>1+6.11486949612273i</v>
      </c>
      <c r="AD172" s="734">
        <f t="shared" si="137"/>
        <v>6.1960978812969252</v>
      </c>
      <c r="AE172" s="735">
        <f t="shared" si="138"/>
        <v>1.4086954479194715</v>
      </c>
      <c r="AF172" s="732" t="str">
        <f t="shared" si="139"/>
        <v>1.53193406014143-9.46447150687746i</v>
      </c>
      <c r="AG172" s="337">
        <f t="shared" si="140"/>
        <v>9.5876505395804195</v>
      </c>
      <c r="AH172" s="730">
        <f t="shared" si="141"/>
        <v>-1.4103265064125423</v>
      </c>
      <c r="AI172" s="731" t="str">
        <f t="shared" si="119"/>
        <v>10000</v>
      </c>
      <c r="AJ172" s="733" t="str">
        <f t="shared" si="142"/>
        <v>1+57157.6310542081i</v>
      </c>
      <c r="AK172" s="734">
        <f t="shared" si="143"/>
        <v>57157.631062955836</v>
      </c>
      <c r="AL172" s="735">
        <f t="shared" si="144"/>
        <v>1.5707788313182394</v>
      </c>
      <c r="AM172" s="340" t="str">
        <f t="shared" si="145"/>
        <v>1+97.003067577272i</v>
      </c>
      <c r="AN172" s="734">
        <f t="shared" si="146"/>
        <v>97.008221916499437</v>
      </c>
      <c r="AO172" s="735">
        <f t="shared" si="147"/>
        <v>1.560487739629554</v>
      </c>
      <c r="AP172" s="733" t="str">
        <f t="shared" si="148"/>
        <v>1+4.70480867063826i</v>
      </c>
      <c r="AQ172" s="734">
        <f t="shared" si="149"/>
        <v>4.8099090040574524</v>
      </c>
      <c r="AR172" s="735">
        <f t="shared" si="150"/>
        <v>1.3613645349869692</v>
      </c>
      <c r="AS172" s="732" t="str">
        <f t="shared" si="151"/>
        <v>0.0293450027712923-24.2260024415226i</v>
      </c>
      <c r="AT172" s="337">
        <f t="shared" si="152"/>
        <v>24.226020214344878</v>
      </c>
      <c r="AU172" s="730">
        <f t="shared" si="153"/>
        <v>-1.5695850254879655</v>
      </c>
      <c r="AV172" s="732" t="str">
        <f t="shared" si="154"/>
        <v>-3.73236066763694-0.0115196328370436i</v>
      </c>
      <c r="AW172" s="337">
        <f t="shared" si="155"/>
        <v>11.439713452608588</v>
      </c>
      <c r="AX172" s="730">
        <f t="shared" si="156"/>
        <v>-179.82316171825602</v>
      </c>
      <c r="AY172" s="360">
        <f t="shared" si="157"/>
        <v>0.17683828174398286</v>
      </c>
      <c r="BB172" s="337">
        <f t="shared" si="158"/>
        <v>-12.314358494723889</v>
      </c>
      <c r="BC172" s="730">
        <f t="shared" si="159"/>
        <v>-89.930597547394171</v>
      </c>
      <c r="BD172" s="351"/>
      <c r="BE172" s="337">
        <f t="shared" si="120"/>
        <v>57.733747450391455</v>
      </c>
      <c r="BF172" s="730">
        <f t="shared" si="121"/>
        <v>3.296336409010812</v>
      </c>
      <c r="BI172" s="351"/>
      <c r="BJ172" s="351"/>
      <c r="BL172" s="405">
        <f t="shared" si="122"/>
        <v>0</v>
      </c>
      <c r="BM172" s="405">
        <f t="shared" si="160"/>
        <v>0</v>
      </c>
      <c r="BN172" s="405">
        <f t="shared" si="123"/>
        <v>0</v>
      </c>
      <c r="BO172" s="405">
        <f t="shared" si="124"/>
        <v>0</v>
      </c>
    </row>
    <row r="173" spans="4:67" ht="13.5" thickBot="1" x14ac:dyDescent="0.25">
      <c r="D173" s="345">
        <v>9716.7749999999996</v>
      </c>
      <c r="E173" s="340" t="str">
        <f t="shared" si="111"/>
        <v>0.161178066490769i</v>
      </c>
      <c r="F173" s="728" t="str">
        <f t="shared" si="125"/>
        <v>0.005-0.268514751832371i</v>
      </c>
      <c r="G173" s="337" t="str">
        <f t="shared" si="126"/>
        <v>0.005-0.419984611840375i</v>
      </c>
      <c r="H173" s="338" t="str">
        <f t="shared" si="127"/>
        <v>0.133046835762233-0.372526865537461i</v>
      </c>
      <c r="I173" s="338" t="str">
        <f t="shared" si="128"/>
        <v>0.143046835762233-0.372526865537461i</v>
      </c>
      <c r="J173" s="337" t="str">
        <f t="shared" si="129"/>
        <v>0.0256749772943698-0.160855116149316i</v>
      </c>
      <c r="K173" s="338" t="str">
        <f t="shared" si="112"/>
        <v>0.998950936484437-0.0508769149276416i</v>
      </c>
      <c r="L173" s="732"/>
      <c r="M173" s="732" t="str">
        <f t="shared" si="113"/>
        <v>778.845330389656-9.79663438469976i</v>
      </c>
      <c r="N173" s="337">
        <f t="shared" si="114"/>
        <v>0</v>
      </c>
      <c r="O173" s="730" t="str">
        <f t="shared" si="115"/>
        <v>310.22239979192-69.6737273527818i</v>
      </c>
      <c r="P173" s="731" t="str">
        <f t="shared" si="116"/>
        <v>18.4209974117571-125.532784447569i</v>
      </c>
      <c r="Q173" s="729" t="str">
        <f t="shared" si="117"/>
        <v>15.318773413838-124.836047174041i</v>
      </c>
      <c r="R173" s="730"/>
      <c r="S173" s="405" t="str">
        <f t="shared" si="130"/>
        <v>39.3047269948075+1.9619468026876i</v>
      </c>
      <c r="T173" s="405" t="str">
        <f t="shared" si="131"/>
        <v>15.8628908853923-2.53511700922892i</v>
      </c>
      <c r="U173" s="405" t="str">
        <f t="shared" si="132"/>
        <v>1.16610824512426-6.24664231626286i</v>
      </c>
      <c r="V173" s="731" t="str">
        <f t="shared" si="118"/>
        <v>6000</v>
      </c>
      <c r="W173" s="733" t="str">
        <f>IMSUM(COMPLEX(1,0),IMDIV(COMPLEX(0,2*PI()*D173),COMPLEX(2*PI()*'Stability Calculations'!EA_Pole1,0)))</f>
        <v>1+61662.8208923016i</v>
      </c>
      <c r="X173" s="734">
        <f t="shared" si="133"/>
        <v>61662.820900410217</v>
      </c>
      <c r="Y173" s="735">
        <f t="shared" si="134"/>
        <v>1.5707801095673122</v>
      </c>
      <c r="Z173" s="340" t="str">
        <f>IMSUM(COMPLEX(1,0),IMDIV(COMPLEX(0,2*PI()*D173),COMPLEX(2*PI()*'Stability Calculations'!EA_Zero1,0)))</f>
        <v>1+610.522979131699i</v>
      </c>
      <c r="AA173" s="734">
        <f t="shared" si="135"/>
        <v>610.5237981011428</v>
      </c>
      <c r="AB173" s="735">
        <f t="shared" si="136"/>
        <v>1.5691583882734979</v>
      </c>
      <c r="AC173" s="733" t="str">
        <f>IMSUM(COMPLEX(1,0),IMDIV(COMPLEX(0,2*PI()*D173),COMPLEX(2*PI()*'Stability Calculations'!EA_Pole2,0)))</f>
        <v>1+6.15007644516315i</v>
      </c>
      <c r="AD173" s="734">
        <f t="shared" si="137"/>
        <v>6.2308458720586728</v>
      </c>
      <c r="AE173" s="735">
        <f t="shared" si="138"/>
        <v>1.4096073814270962</v>
      </c>
      <c r="AF173" s="732" t="str">
        <f t="shared" si="139"/>
        <v>1.51489521731257-9.41306135871588i</v>
      </c>
      <c r="AG173" s="337">
        <f t="shared" si="140"/>
        <v>9.5341822754962333</v>
      </c>
      <c r="AH173" s="730">
        <f t="shared" si="141"/>
        <v>-1.4112291027209096</v>
      </c>
      <c r="AI173" s="731" t="str">
        <f t="shared" si="119"/>
        <v>10000</v>
      </c>
      <c r="AJ173" s="733" t="str">
        <f t="shared" si="142"/>
        <v>1+57486.7216104452i</v>
      </c>
      <c r="AK173" s="734">
        <f t="shared" si="143"/>
        <v>57486.72161914286</v>
      </c>
      <c r="AL173" s="735">
        <f t="shared" si="144"/>
        <v>1.5707789314734748</v>
      </c>
      <c r="AM173" s="340" t="str">
        <f t="shared" si="145"/>
        <v>1+97.5615720652455i</v>
      </c>
      <c r="AN173" s="734">
        <f t="shared" si="146"/>
        <v>97.566696899311353</v>
      </c>
      <c r="AO173" s="735">
        <f t="shared" si="147"/>
        <v>1.5605467483939506</v>
      </c>
      <c r="AP173" s="733" t="str">
        <f t="shared" si="148"/>
        <v>1+4.7318970589051i</v>
      </c>
      <c r="AQ173" s="734">
        <f t="shared" si="149"/>
        <v>4.8364087685052777</v>
      </c>
      <c r="AR173" s="735">
        <f t="shared" si="150"/>
        <v>1.3625289918468546</v>
      </c>
      <c r="AS173" s="732" t="str">
        <f t="shared" si="151"/>
        <v>0.0290099860169848-24.0873177992156i</v>
      </c>
      <c r="AT173" s="337">
        <f t="shared" si="152"/>
        <v>24.087335268553421</v>
      </c>
      <c r="AU173" s="730">
        <f t="shared" si="153"/>
        <v>-1.5695919597403132</v>
      </c>
      <c r="AV173" s="732" t="str">
        <f t="shared" si="154"/>
        <v>-3.68917987779791-0.0084754860021371i</v>
      </c>
      <c r="AW173" s="337">
        <f t="shared" si="155"/>
        <v>11.338619545281706</v>
      </c>
      <c r="AX173" s="730">
        <f t="shared" si="156"/>
        <v>-179.86836946449253</v>
      </c>
      <c r="AY173" s="360">
        <f t="shared" si="157"/>
        <v>0.13163053550746895</v>
      </c>
      <c r="BB173" s="337">
        <f t="shared" si="158"/>
        <v>-12.364224848662673</v>
      </c>
      <c r="BC173" s="730">
        <f t="shared" si="159"/>
        <v>-89.930994850787769</v>
      </c>
      <c r="BD173" s="351"/>
      <c r="BE173" s="337">
        <f t="shared" si="120"/>
        <v>57.82971147872064</v>
      </c>
      <c r="BF173" s="730">
        <f t="shared" si="121"/>
        <v>-0.72065169039406607</v>
      </c>
      <c r="BI173" s="351"/>
      <c r="BJ173" s="351"/>
      <c r="BL173" s="405">
        <f t="shared" si="122"/>
        <v>0</v>
      </c>
      <c r="BM173" s="405">
        <f t="shared" si="160"/>
        <v>0</v>
      </c>
      <c r="BN173" s="405">
        <f t="shared" si="123"/>
        <v>0</v>
      </c>
      <c r="BO173" s="405">
        <f t="shared" si="124"/>
        <v>0</v>
      </c>
    </row>
    <row r="174" spans="4:67" ht="13.5" thickBot="1" x14ac:dyDescent="0.25">
      <c r="D174" s="345">
        <v>9772.4</v>
      </c>
      <c r="E174" s="340" t="str">
        <f t="shared" si="111"/>
        <v>0.162100752253128i</v>
      </c>
      <c r="F174" s="728" t="str">
        <f t="shared" si="125"/>
        <v>0.005-0.266986352148499i</v>
      </c>
      <c r="G174" s="337" t="str">
        <f t="shared" si="126"/>
        <v>0.005-0.417594037975857i</v>
      </c>
      <c r="H174" s="338" t="str">
        <f t="shared" si="127"/>
        <v>0.131745147197073-0.370851370970431i</v>
      </c>
      <c r="I174" s="338" t="str">
        <f t="shared" si="128"/>
        <v>0.141745147197073-0.370851370970431i</v>
      </c>
      <c r="J174" s="337" t="str">
        <f t="shared" si="129"/>
        <v>0.0254347050280577-0.159971642979967i</v>
      </c>
      <c r="K174" s="338" t="str">
        <f t="shared" si="112"/>
        <v>0.998938891091556-0.0511681667465682i</v>
      </c>
      <c r="L174" s="732"/>
      <c r="M174" s="732" t="str">
        <f t="shared" si="113"/>
        <v>780.855598874871-65.3645047084369i</v>
      </c>
      <c r="N174" s="337">
        <f t="shared" si="114"/>
        <v>0</v>
      </c>
      <c r="O174" s="730" t="str">
        <f t="shared" si="115"/>
        <v>306.265942313199-91.700743533821i</v>
      </c>
      <c r="P174" s="731" t="str">
        <f t="shared" si="116"/>
        <v>9.40436461610925-126.577279978683i</v>
      </c>
      <c r="Q174" s="729" t="str">
        <f t="shared" si="117"/>
        <v>6.34170519297719-125.660272543345i</v>
      </c>
      <c r="R174" s="730"/>
      <c r="S174" s="405" t="str">
        <f t="shared" si="130"/>
        <v>39.3142837388369+1.92985572087022i</v>
      </c>
      <c r="T174" s="405" t="str">
        <f t="shared" si="131"/>
        <v>15.8584141166537-2.53250740357521i</v>
      </c>
      <c r="U174" s="405" t="str">
        <f t="shared" si="132"/>
        <v>1.15008525950204-6.21476017723954i</v>
      </c>
      <c r="V174" s="731" t="str">
        <f t="shared" si="118"/>
        <v>6000</v>
      </c>
      <c r="W174" s="733" t="str">
        <f>IMSUM(COMPLEX(1,0),IMDIV(COMPLEX(0,2*PI()*D174),COMPLEX(2*PI()*'Stability Calculations'!EA_Pole1,0)))</f>
        <v>1+62015.8180968406i</v>
      </c>
      <c r="X174" s="734">
        <f t="shared" si="133"/>
        <v>62015.818104903061</v>
      </c>
      <c r="Y174" s="735">
        <f t="shared" si="134"/>
        <v>1.5707802018765999</v>
      </c>
      <c r="Z174" s="340" t="str">
        <f>IMSUM(COMPLEX(1,0),IMDIV(COMPLEX(0,2*PI()*D174),COMPLEX(2*PI()*'Stability Calculations'!EA_Zero1,0)))</f>
        <v>1+614.018000958818i</v>
      </c>
      <c r="AA174" s="734">
        <f t="shared" si="135"/>
        <v>614.01881526665215</v>
      </c>
      <c r="AB174" s="735">
        <f t="shared" si="136"/>
        <v>1.5691677114866989</v>
      </c>
      <c r="AC174" s="733" t="str">
        <f>IMSUM(COMPLEX(1,0),IMDIV(COMPLEX(0,2*PI()*D174),COMPLEX(2*PI()*'Stability Calculations'!EA_Pole2,0)))</f>
        <v>1+6.18528339420357i</v>
      </c>
      <c r="AD174" s="734">
        <f t="shared" si="137"/>
        <v>6.265598987057059</v>
      </c>
      <c r="AE174" s="735">
        <f t="shared" si="138"/>
        <v>1.4105091993169534</v>
      </c>
      <c r="AF174" s="732" t="str">
        <f t="shared" si="139"/>
        <v>1.49813662138456-9.3621911603232i</v>
      </c>
      <c r="AG174" s="337">
        <f t="shared" si="140"/>
        <v>9.481299312792915</v>
      </c>
      <c r="AH174" s="730">
        <f t="shared" si="141"/>
        <v>-1.4121216897068543</v>
      </c>
      <c r="AI174" s="731" t="str">
        <f t="shared" si="119"/>
        <v>10000</v>
      </c>
      <c r="AJ174" s="733" t="str">
        <f t="shared" si="142"/>
        <v>1+57815.8121666823i</v>
      </c>
      <c r="AK174" s="734">
        <f t="shared" si="143"/>
        <v>57815.812175330459</v>
      </c>
      <c r="AL174" s="735">
        <f t="shared" si="144"/>
        <v>1.570779030488533</v>
      </c>
      <c r="AM174" s="340" t="str">
        <f t="shared" si="145"/>
        <v>1+98.1200765532191i</v>
      </c>
      <c r="AN174" s="734">
        <f t="shared" si="146"/>
        <v>98.125172217986858</v>
      </c>
      <c r="AO174" s="735">
        <f t="shared" si="147"/>
        <v>1.5606050854667133</v>
      </c>
      <c r="AP174" s="733" t="str">
        <f t="shared" si="148"/>
        <v>1+4.75898544717195i</v>
      </c>
      <c r="AQ174" s="734">
        <f t="shared" si="149"/>
        <v>4.8629150194502078</v>
      </c>
      <c r="AR174" s="735">
        <f t="shared" si="150"/>
        <v>1.3636807560634521</v>
      </c>
      <c r="AS174" s="732" t="str">
        <f t="shared" si="151"/>
        <v>0.0286806737520614-23.9502119502142i</v>
      </c>
      <c r="AT174" s="337">
        <f t="shared" si="152"/>
        <v>23.950229122938055</v>
      </c>
      <c r="AU174" s="730">
        <f t="shared" si="153"/>
        <v>-1.5695988150525375</v>
      </c>
      <c r="AV174" s="732" t="str">
        <f t="shared" si="154"/>
        <v>-3.64674282812702-0.00552267913687743i</v>
      </c>
      <c r="AW174" s="337">
        <f t="shared" si="155"/>
        <v>11.238112710752631</v>
      </c>
      <c r="AX174" s="730">
        <f t="shared" si="156"/>
        <v>-179.91323052401577</v>
      </c>
      <c r="AY174" s="360">
        <f t="shared" si="157"/>
        <v>8.6769475984226574E-2</v>
      </c>
      <c r="BB174" s="337">
        <f t="shared" si="158"/>
        <v>-12.413806549913854</v>
      </c>
      <c r="BC174" s="730">
        <f t="shared" si="159"/>
        <v>-89.931387631245471</v>
      </c>
      <c r="BD174" s="351"/>
      <c r="BE174" s="337">
        <f t="shared" si="120"/>
        <v>57.881740188919949</v>
      </c>
      <c r="BF174" s="730">
        <f t="shared" si="121"/>
        <v>-4.7850067428647574</v>
      </c>
      <c r="BI174" s="351"/>
      <c r="BJ174" s="351"/>
      <c r="BL174" s="405">
        <f t="shared" si="122"/>
        <v>0</v>
      </c>
      <c r="BM174" s="405">
        <f t="shared" si="160"/>
        <v>0</v>
      </c>
      <c r="BN174" s="405">
        <f t="shared" si="123"/>
        <v>0</v>
      </c>
      <c r="BO174" s="405">
        <f t="shared" si="124"/>
        <v>0</v>
      </c>
    </row>
    <row r="175" spans="4:67" ht="13.5" thickBot="1" x14ac:dyDescent="0.25">
      <c r="D175" s="345">
        <v>9829.2999999999993</v>
      </c>
      <c r="E175" s="340" t="str">
        <f t="shared" si="111"/>
        <v>0.163044587217231i</v>
      </c>
      <c r="F175" s="728" t="str">
        <f t="shared" si="125"/>
        <v>0.005-0.265440817528816i</v>
      </c>
      <c r="G175" s="337" t="str">
        <f t="shared" si="126"/>
        <v>0.005-0.415176663314302i</v>
      </c>
      <c r="H175" s="338" t="str">
        <f t="shared" si="127"/>
        <v>0.130433264705255-0.369150416976984i</v>
      </c>
      <c r="I175" s="338" t="str">
        <f t="shared" si="128"/>
        <v>0.140433264705255-0.369150416976984i</v>
      </c>
      <c r="J175" s="337" t="str">
        <f t="shared" si="129"/>
        <v>0.0251930367353789-0.159077721596375i</v>
      </c>
      <c r="K175" s="338" t="str">
        <f t="shared" si="112"/>
        <v>0.998926498461222-0.0514660944498836i</v>
      </c>
      <c r="L175" s="732"/>
      <c r="M175" s="732" t="str">
        <f t="shared" si="113"/>
        <v>774.663703848583-121.977626071829i</v>
      </c>
      <c r="N175" s="337">
        <f t="shared" si="114"/>
        <v>0</v>
      </c>
      <c r="O175" s="730" t="str">
        <f t="shared" si="115"/>
        <v>298.994442850986-113.440363345229i</v>
      </c>
      <c r="P175" s="731" t="str">
        <f t="shared" si="116"/>
        <v>0.112208307380814-126.304723826163i</v>
      </c>
      <c r="Q175" s="729" t="str">
        <f t="shared" si="117"/>
        <v>-2.87773612112889-125.170320192711i</v>
      </c>
      <c r="R175" s="730"/>
      <c r="S175" s="405" t="str">
        <f t="shared" si="130"/>
        <v>39.3238881584479+1.89722861351502i</v>
      </c>
      <c r="T175" s="405" t="str">
        <f t="shared" si="131"/>
        <v>15.8538982529822-2.52991648629326i</v>
      </c>
      <c r="U175" s="405" t="str">
        <f t="shared" si="132"/>
        <v>1.13395598160931-6.18245841753792i</v>
      </c>
      <c r="V175" s="731" t="str">
        <f t="shared" si="118"/>
        <v>6000</v>
      </c>
      <c r="W175" s="733" t="str">
        <f>IMSUM(COMPLEX(1,0),IMDIV(COMPLEX(0,2*PI()*D175),COMPLEX(2*PI()*'Stability Calculations'!EA_Pole1,0)))</f>
        <v>1+62376.9064732589i</v>
      </c>
      <c r="X175" s="734">
        <f t="shared" si="133"/>
        <v>62376.906481274687</v>
      </c>
      <c r="Y175" s="735">
        <f t="shared" si="134"/>
        <v>1.5707802952207701</v>
      </c>
      <c r="Z175" s="340" t="str">
        <f>IMSUM(COMPLEX(1,0),IMDIV(COMPLEX(0,2*PI()*D175),COMPLEX(2*PI()*'Stability Calculations'!EA_Zero1,0)))</f>
        <v>1+617.593133398603i</v>
      </c>
      <c r="AA175" s="734">
        <f t="shared" si="135"/>
        <v>617.59394299256576</v>
      </c>
      <c r="AB175" s="735">
        <f t="shared" si="136"/>
        <v>1.5691771392230172</v>
      </c>
      <c r="AC175" s="733" t="str">
        <f>IMSUM(COMPLEX(1,0),IMDIV(COMPLEX(0,2*PI()*D175),COMPLEX(2*PI()*'Stability Calculations'!EA_Pole2,0)))</f>
        <v>1+6.22129733398603i</v>
      </c>
      <c r="AD175" s="734">
        <f t="shared" si="137"/>
        <v>6.3011539036799986</v>
      </c>
      <c r="AE175" s="735">
        <f t="shared" si="138"/>
        <v>1.4114213949975944</v>
      </c>
      <c r="AF175" s="732" t="str">
        <f t="shared" si="139"/>
        <v>1.48127753650264-9.3107050627404i</v>
      </c>
      <c r="AG175" s="337">
        <f t="shared" si="140"/>
        <v>9.4277999504384393</v>
      </c>
      <c r="AH175" s="730">
        <f t="shared" si="141"/>
        <v>-1.4130245509953474</v>
      </c>
      <c r="AI175" s="731" t="str">
        <f t="shared" si="119"/>
        <v>10000</v>
      </c>
      <c r="AJ175" s="733" t="str">
        <f t="shared" si="142"/>
        <v>1+58152.445922186i</v>
      </c>
      <c r="AK175" s="734">
        <f t="shared" si="143"/>
        <v>58152.445930784081</v>
      </c>
      <c r="AL175" s="735">
        <f t="shared" si="144"/>
        <v>1.5707791306136518</v>
      </c>
      <c r="AM175" s="340" t="str">
        <f t="shared" si="145"/>
        <v>1+98.6913827170967i</v>
      </c>
      <c r="AN175" s="734">
        <f t="shared" si="146"/>
        <v>98.696448885521988</v>
      </c>
      <c r="AO175" s="735">
        <f t="shared" si="147"/>
        <v>1.5606640766287287</v>
      </c>
      <c r="AP175" s="733" t="str">
        <f t="shared" si="148"/>
        <v>1+4.78669473782154i</v>
      </c>
      <c r="AQ175" s="734">
        <f t="shared" si="149"/>
        <v>4.8900354306577798</v>
      </c>
      <c r="AR175" s="735">
        <f t="shared" si="150"/>
        <v>1.3648459999157945</v>
      </c>
      <c r="AS175" s="732" t="str">
        <f t="shared" si="151"/>
        <v>0.0283495810885969-23.8115689964603i</v>
      </c>
      <c r="AT175" s="337">
        <f t="shared" si="152"/>
        <v>23.811585872678393</v>
      </c>
      <c r="AU175" s="730">
        <f t="shared" si="153"/>
        <v>-1.5696057472199922</v>
      </c>
      <c r="AV175" s="732" t="str">
        <f t="shared" si="154"/>
        <v>-3.60408489123837-0.00259359204712994i</v>
      </c>
      <c r="AW175" s="337">
        <f t="shared" si="155"/>
        <v>11.135902486537292</v>
      </c>
      <c r="AX175" s="730">
        <f t="shared" si="156"/>
        <v>-179.95876849272091</v>
      </c>
      <c r="AY175" s="360">
        <f t="shared" si="157"/>
        <v>4.1231507279093194E-2</v>
      </c>
      <c r="BB175" s="337">
        <f t="shared" si="158"/>
        <v>-12.464233584705832</v>
      </c>
      <c r="BC175" s="730">
        <f t="shared" si="159"/>
        <v>-89.931784815183505</v>
      </c>
      <c r="BD175" s="351"/>
      <c r="BE175" s="337">
        <f t="shared" si="120"/>
        <v>57.888626837043347</v>
      </c>
      <c r="BF175" s="730">
        <f t="shared" si="121"/>
        <v>-8.9482558348655363</v>
      </c>
      <c r="BI175" s="351"/>
      <c r="BJ175" s="351"/>
      <c r="BL175" s="405">
        <f t="shared" si="122"/>
        <v>0</v>
      </c>
      <c r="BM175" s="405">
        <f t="shared" si="160"/>
        <v>0</v>
      </c>
      <c r="BN175" s="405">
        <f t="shared" si="123"/>
        <v>0</v>
      </c>
      <c r="BO175" s="405">
        <f t="shared" si="124"/>
        <v>0</v>
      </c>
    </row>
    <row r="176" spans="4:67" ht="13.5" thickBot="1" x14ac:dyDescent="0.25">
      <c r="D176" s="345">
        <v>9886.2000000000007</v>
      </c>
      <c r="E176" s="340" t="str">
        <f t="shared" si="111"/>
        <v>0.163988422181335i</v>
      </c>
      <c r="F176" s="728" t="str">
        <f t="shared" si="125"/>
        <v>0.005-0.263913073550605i</v>
      </c>
      <c r="G176" s="337" t="str">
        <f t="shared" si="126"/>
        <v>0.005-0.41278711504069i</v>
      </c>
      <c r="H176" s="338" t="str">
        <f t="shared" si="127"/>
        <v>0.129140873714623-0.367462456702602i</v>
      </c>
      <c r="I176" s="338" t="str">
        <f t="shared" si="128"/>
        <v>0.139140873714623-0.367462456702602i</v>
      </c>
      <c r="J176" s="337" t="str">
        <f t="shared" si="129"/>
        <v>0.0249554343404808-0.158193555686227i</v>
      </c>
      <c r="K176" s="338" t="str">
        <f t="shared" si="112"/>
        <v>0.998914033884-0.051764022153199i</v>
      </c>
      <c r="L176" s="732"/>
      <c r="M176" s="732" t="str">
        <f t="shared" si="113"/>
        <v>760.425851462477-176.577423118855i</v>
      </c>
      <c r="N176" s="337">
        <f t="shared" si="114"/>
        <v>0</v>
      </c>
      <c r="O176" s="730" t="str">
        <f t="shared" si="115"/>
        <v>288.730146611179-133.702959257959i</v>
      </c>
      <c r="P176" s="731" t="str">
        <f t="shared" si="116"/>
        <v>-8.95665301010695-124.70103556723i</v>
      </c>
      <c r="Q176" s="729" t="str">
        <f t="shared" si="117"/>
        <v>-11.8439544762188-123.36400597465i</v>
      </c>
      <c r="R176" s="730"/>
      <c r="S176" s="405" t="str">
        <f t="shared" si="130"/>
        <v>39.3333227721857+1.86480068171425i</v>
      </c>
      <c r="T176" s="405" t="str">
        <f t="shared" si="131"/>
        <v>15.849445240267-2.52740392212034i</v>
      </c>
      <c r="U176" s="405" t="str">
        <f t="shared" si="132"/>
        <v>1.11808515191802-6.15046723609428i</v>
      </c>
      <c r="V176" s="731" t="str">
        <f t="shared" si="118"/>
        <v>6000</v>
      </c>
      <c r="W176" s="733" t="str">
        <f>IMSUM(COMPLEX(1,0),IMDIV(COMPLEX(0,2*PI()*D176),COMPLEX(2*PI()*'Stability Calculations'!EA_Pole1,0)))</f>
        <v>1+62737.9948496772i</v>
      </c>
      <c r="X176" s="734">
        <f t="shared" si="133"/>
        <v>62737.99485764686</v>
      </c>
      <c r="Y176" s="735">
        <f t="shared" si="134"/>
        <v>1.5707803874904558</v>
      </c>
      <c r="Z176" s="340" t="str">
        <f>IMSUM(COMPLEX(1,0),IMDIV(COMPLEX(0,2*PI()*D176),COMPLEX(2*PI()*'Stability Calculations'!EA_Zero1,0)))</f>
        <v>1+621.168265838388i</v>
      </c>
      <c r="AA176" s="734">
        <f t="shared" si="135"/>
        <v>621.16907077274084</v>
      </c>
      <c r="AB176" s="735">
        <f t="shared" si="136"/>
        <v>1.5691864584369919</v>
      </c>
      <c r="AC176" s="733" t="str">
        <f>IMSUM(COMPLEX(1,0),IMDIV(COMPLEX(0,2*PI()*D176),COMPLEX(2*PI()*'Stability Calculations'!EA_Pole2,0)))</f>
        <v>1+6.2573112737685i</v>
      </c>
      <c r="AD176" s="734">
        <f t="shared" si="137"/>
        <v>6.3367140046581216</v>
      </c>
      <c r="AE176" s="735">
        <f t="shared" si="138"/>
        <v>1.4123233533802406</v>
      </c>
      <c r="AF176" s="732" t="str">
        <f t="shared" si="139"/>
        <v>1.46469904417853-9.25976677907238i</v>
      </c>
      <c r="AG176" s="337">
        <f t="shared" si="140"/>
        <v>9.3748932843435604</v>
      </c>
      <c r="AH176" s="730">
        <f t="shared" si="141"/>
        <v>-1.4139172824337043</v>
      </c>
      <c r="AI176" s="731" t="str">
        <f t="shared" si="119"/>
        <v>10000</v>
      </c>
      <c r="AJ176" s="733" t="str">
        <f t="shared" si="142"/>
        <v>1+58489.0796776897i</v>
      </c>
      <c r="AK176" s="734">
        <f t="shared" si="143"/>
        <v>58489.079686238307</v>
      </c>
      <c r="AL176" s="735">
        <f t="shared" si="144"/>
        <v>1.5707792295862311</v>
      </c>
      <c r="AM176" s="340" t="str">
        <f t="shared" si="145"/>
        <v>1+99.2626888809744i</v>
      </c>
      <c r="AN176" s="734">
        <f t="shared" si="146"/>
        <v>99.267725892563476</v>
      </c>
      <c r="AO176" s="735">
        <f t="shared" si="147"/>
        <v>1.5607223888130766</v>
      </c>
      <c r="AP176" s="733" t="str">
        <f t="shared" si="148"/>
        <v>1+4.81440402847113i</v>
      </c>
      <c r="AQ176" s="734">
        <f t="shared" si="149"/>
        <v>4.9171624082756358</v>
      </c>
      <c r="AR176" s="735">
        <f t="shared" si="150"/>
        <v>1.3659983884952736</v>
      </c>
      <c r="AS176" s="732" t="str">
        <f t="shared" si="151"/>
        <v>0.0280241887560452-23.6745219543236i</v>
      </c>
      <c r="AT176" s="337">
        <f t="shared" si="152"/>
        <v>23.67453854082283</v>
      </c>
      <c r="AU176" s="730">
        <f t="shared" si="153"/>
        <v>-1.5696125995914139</v>
      </c>
      <c r="AV176" s="732" t="str">
        <f t="shared" si="154"/>
        <v>-3.5621697995482+0.000246099159448621i</v>
      </c>
      <c r="AW176" s="337">
        <f t="shared" si="155"/>
        <v>11.034292367345301</v>
      </c>
      <c r="AX176" s="730">
        <f t="shared" si="156"/>
        <v>179.99604161397428</v>
      </c>
      <c r="AY176" s="360">
        <f t="shared" si="157"/>
        <v>-3.9583860257152992E-3</v>
      </c>
      <c r="BB176" s="337">
        <f t="shared" si="158"/>
        <v>-12.514369548396576</v>
      </c>
      <c r="BC176" s="730">
        <f t="shared" si="159"/>
        <v>-89.932177427145618</v>
      </c>
      <c r="BD176" s="351"/>
      <c r="BE176" s="337">
        <f t="shared" si="120"/>
        <v>57.849217353886779</v>
      </c>
      <c r="BF176" s="730">
        <f t="shared" si="121"/>
        <v>-13.072892072789692</v>
      </c>
      <c r="BI176" s="351"/>
      <c r="BJ176" s="351"/>
      <c r="BL176" s="405">
        <f t="shared" si="122"/>
        <v>0</v>
      </c>
      <c r="BM176" s="405">
        <f t="shared" si="160"/>
        <v>0</v>
      </c>
      <c r="BN176" s="405">
        <f t="shared" si="123"/>
        <v>0</v>
      </c>
      <c r="BO176" s="405">
        <f t="shared" si="124"/>
        <v>0</v>
      </c>
    </row>
    <row r="177" spans="4:67" ht="13.5" thickBot="1" x14ac:dyDescent="0.25">
      <c r="D177" s="345">
        <v>9943.1</v>
      </c>
      <c r="E177" s="340" t="str">
        <f t="shared" si="111"/>
        <v>0.164932257145438i</v>
      </c>
      <c r="F177" s="728" t="str">
        <f t="shared" si="125"/>
        <v>0.005-0.262402814789752i</v>
      </c>
      <c r="G177" s="337" t="str">
        <f t="shared" si="126"/>
        <v>0.005-0.410424915440382i</v>
      </c>
      <c r="H177" s="338" t="str">
        <f t="shared" si="127"/>
        <v>0.12786760619686-0.365787390716143i</v>
      </c>
      <c r="I177" s="338" t="str">
        <f t="shared" si="128"/>
        <v>0.13786760619686-0.365787390716143i</v>
      </c>
      <c r="J177" s="337" t="str">
        <f t="shared" si="129"/>
        <v>0.0247218076663404-0.157318989572741i</v>
      </c>
      <c r="K177" s="338" t="str">
        <f t="shared" si="112"/>
        <v>0.998901497359889-0.0520619498565145i</v>
      </c>
      <c r="L177" s="732"/>
      <c r="M177" s="732" t="str">
        <f t="shared" si="113"/>
        <v>738.924328636854-227.557333420539i</v>
      </c>
      <c r="N177" s="337">
        <f t="shared" si="114"/>
        <v>0</v>
      </c>
      <c r="O177" s="730" t="str">
        <f t="shared" si="115"/>
        <v>275.917529718294-151.9233176744i</v>
      </c>
      <c r="P177" s="731" t="str">
        <f t="shared" si="116"/>
        <v>-17.5315446310464-121.872457381754i</v>
      </c>
      <c r="Q177" s="729" t="str">
        <f t="shared" si="117"/>
        <v>-20.2907199282294-120.35322420501i</v>
      </c>
      <c r="R177" s="730"/>
      <c r="S177" s="405" t="str">
        <f t="shared" si="130"/>
        <v>39.3425910305749+1.83256931434351i</v>
      </c>
      <c r="T177" s="405" t="str">
        <f t="shared" si="131"/>
        <v>15.8450537161107-2.52496867834811i</v>
      </c>
      <c r="U177" s="405" t="str">
        <f t="shared" si="132"/>
        <v>1.1024673842468-6.11878255519573i</v>
      </c>
      <c r="V177" s="731" t="str">
        <f t="shared" si="118"/>
        <v>6000</v>
      </c>
      <c r="W177" s="733" t="str">
        <f>IMSUM(COMPLEX(1,0),IMDIV(COMPLEX(0,2*PI()*D177),COMPLEX(2*PI()*'Stability Calculations'!EA_Pole1,0)))</f>
        <v>1+63099.0832260955i</v>
      </c>
      <c r="X177" s="734">
        <f t="shared" si="133"/>
        <v>63099.083234019541</v>
      </c>
      <c r="Y177" s="735">
        <f t="shared" si="134"/>
        <v>1.5707804787041038</v>
      </c>
      <c r="Z177" s="340" t="str">
        <f>IMSUM(COMPLEX(1,0),IMDIV(COMPLEX(0,2*PI()*D177),COMPLEX(2*PI()*'Stability Calculations'!EA_Zero1,0)))</f>
        <v>1+624.743398278173i</v>
      </c>
      <c r="AA177" s="734">
        <f t="shared" si="135"/>
        <v>624.7441986062455</v>
      </c>
      <c r="AB177" s="735">
        <f t="shared" si="136"/>
        <v>1.5691956709916934</v>
      </c>
      <c r="AC177" s="733" t="str">
        <f>IMSUM(COMPLEX(1,0),IMDIV(COMPLEX(0,2*PI()*D177),COMPLEX(2*PI()*'Stability Calculations'!EA_Pole2,0)))</f>
        <v>1+6.29332521355096i</v>
      </c>
      <c r="AD177" s="734">
        <f t="shared" si="137"/>
        <v>6.3722792031985094</v>
      </c>
      <c r="AE177" s="735">
        <f t="shared" si="138"/>
        <v>1.4132152443952806</v>
      </c>
      <c r="AF177" s="732" t="str">
        <f t="shared" si="139"/>
        <v>1.44839500531246-9.2093678801157i</v>
      </c>
      <c r="AG177" s="337">
        <f t="shared" si="140"/>
        <v>9.3225696480488036</v>
      </c>
      <c r="AH177" s="730">
        <f t="shared" si="141"/>
        <v>-1.4148000521076913</v>
      </c>
      <c r="AI177" s="731" t="str">
        <f t="shared" si="119"/>
        <v>10000</v>
      </c>
      <c r="AJ177" s="733" t="str">
        <f t="shared" si="142"/>
        <v>1+58825.7134331933i</v>
      </c>
      <c r="AK177" s="734">
        <f t="shared" si="143"/>
        <v>58825.713441692984</v>
      </c>
      <c r="AL177" s="735">
        <f t="shared" si="144"/>
        <v>1.5707793274260571</v>
      </c>
      <c r="AM177" s="340" t="str">
        <f t="shared" si="145"/>
        <v>1+99.833995044852i</v>
      </c>
      <c r="AN177" s="734">
        <f t="shared" si="146"/>
        <v>99.839003233283208</v>
      </c>
      <c r="AO177" s="735">
        <f t="shared" si="147"/>
        <v>1.5607800336746578</v>
      </c>
      <c r="AP177" s="733" t="str">
        <f t="shared" si="148"/>
        <v>1+4.84211331912072i</v>
      </c>
      <c r="AQ177" s="734">
        <f t="shared" si="149"/>
        <v>4.944295844223551</v>
      </c>
      <c r="AR177" s="735">
        <f t="shared" si="150"/>
        <v>1.3671381303581913</v>
      </c>
      <c r="AS177" s="732" t="str">
        <f t="shared" si="151"/>
        <v>0.0277043666468004-23.5390434258505i</v>
      </c>
      <c r="AT177" s="337">
        <f t="shared" si="152"/>
        <v>23.539059729224675</v>
      </c>
      <c r="AU177" s="730">
        <f t="shared" si="153"/>
        <v>-1.5696193735367123</v>
      </c>
      <c r="AV177" s="732" t="str">
        <f t="shared" si="154"/>
        <v>-3.52098042439533+0.00299934346895603i</v>
      </c>
      <c r="AW177" s="337">
        <f t="shared" si="155"/>
        <v>10.933275362015246</v>
      </c>
      <c r="AX177" s="730">
        <f t="shared" si="156"/>
        <v>179.95119266232689</v>
      </c>
      <c r="AY177" s="360">
        <f t="shared" si="157"/>
        <v>-4.8807337673110851E-2</v>
      </c>
      <c r="BB177" s="337">
        <f t="shared" si="158"/>
        <v>-12.564217781903494</v>
      </c>
      <c r="BC177" s="730">
        <f t="shared" si="159"/>
        <v>-89.93256554562187</v>
      </c>
      <c r="BD177" s="351"/>
      <c r="BE177" s="337">
        <f t="shared" si="120"/>
        <v>57.765497380147004</v>
      </c>
      <c r="BF177" s="730">
        <f t="shared" si="121"/>
        <v>-17.116611374439348</v>
      </c>
      <c r="BI177" s="351"/>
      <c r="BJ177" s="351"/>
      <c r="BL177" s="405">
        <f t="shared" si="122"/>
        <v>0</v>
      </c>
      <c r="BM177" s="405">
        <f t="shared" si="160"/>
        <v>0</v>
      </c>
      <c r="BN177" s="405">
        <f t="shared" si="123"/>
        <v>0</v>
      </c>
      <c r="BO177" s="405">
        <f t="shared" si="124"/>
        <v>0</v>
      </c>
    </row>
    <row r="178" spans="4:67" ht="13.5" thickBot="1" x14ac:dyDescent="0.25">
      <c r="D178" s="345">
        <v>10000</v>
      </c>
      <c r="E178" s="340" t="str">
        <f t="shared" si="111"/>
        <v>0.165876092109541i</v>
      </c>
      <c r="F178" s="728" t="str">
        <f t="shared" si="125"/>
        <v>0.005-0.260909742773599i</v>
      </c>
      <c r="G178" s="337" t="str">
        <f t="shared" si="126"/>
        <v>0.005-0.408089597671526i</v>
      </c>
      <c r="H178" s="338" t="str">
        <f t="shared" si="127"/>
        <v>0.126613102339199-0.364125119105164i</v>
      </c>
      <c r="I178" s="338" t="str">
        <f t="shared" si="128"/>
        <v>0.136613102339199-0.364125119105164i</v>
      </c>
      <c r="J178" s="337" t="str">
        <f t="shared" si="129"/>
        <v>0.0244920690075947-0.156453870800694i</v>
      </c>
      <c r="K178" s="338" t="str">
        <f t="shared" si="112"/>
        <v>0.998888888888889-0.0523598775598299i</v>
      </c>
      <c r="L178" s="732"/>
      <c r="M178" s="732" t="str">
        <f t="shared" si="113"/>
        <v>711.317371189935-273.64734641653i</v>
      </c>
      <c r="N178" s="337">
        <f t="shared" si="114"/>
        <v>0</v>
      </c>
      <c r="O178" s="730" t="str">
        <f t="shared" si="115"/>
        <v>261.120261611296-167.700601409007i</v>
      </c>
      <c r="P178" s="731" t="str">
        <f t="shared" si="116"/>
        <v>-25.3915524397198-117.990545782618i</v>
      </c>
      <c r="Q178" s="729" t="str">
        <f t="shared" si="117"/>
        <v>-28.0027550558328-116.313539768528i</v>
      </c>
      <c r="R178" s="730"/>
      <c r="S178" s="405" t="str">
        <f t="shared" si="130"/>
        <v>39.3516962965347+1.80053193945255i</v>
      </c>
      <c r="T178" s="405" t="str">
        <f t="shared" si="131"/>
        <v>15.8407223527078-2.52260973773616i</v>
      </c>
      <c r="U178" s="405" t="str">
        <f t="shared" si="132"/>
        <v>1.08709742916119-6.08740035827738i</v>
      </c>
      <c r="V178" s="731" t="str">
        <f t="shared" si="118"/>
        <v>6000</v>
      </c>
      <c r="W178" s="733" t="str">
        <f>IMSUM(COMPLEX(1,0),IMDIV(COMPLEX(0,2*PI()*D178),COMPLEX(2*PI()*'Stability Calculations'!EA_Pole1,0)))</f>
        <v>1+63460.1716025139i</v>
      </c>
      <c r="X178" s="734">
        <f t="shared" si="133"/>
        <v>63460.171610392848</v>
      </c>
      <c r="Y178" s="735">
        <f t="shared" si="134"/>
        <v>1.5707805688797403</v>
      </c>
      <c r="Z178" s="340" t="str">
        <f>IMSUM(COMPLEX(1,0),IMDIV(COMPLEX(0,2*PI()*D178),COMPLEX(2*PI()*'Stability Calculations'!EA_Zero1,0)))</f>
        <v>1+628.318530717959i</v>
      </c>
      <c r="AA178" s="734">
        <f t="shared" si="135"/>
        <v>628.31932649217049</v>
      </c>
      <c r="AB178" s="735">
        <f t="shared" si="136"/>
        <v>1.5692047787077896</v>
      </c>
      <c r="AC178" s="733" t="str">
        <f>IMSUM(COMPLEX(1,0),IMDIV(COMPLEX(0,2*PI()*D178),COMPLEX(2*PI()*'Stability Calculations'!EA_Pole2,0)))</f>
        <v>1+6.32933915333344i</v>
      </c>
      <c r="AD178" s="734">
        <f t="shared" si="137"/>
        <v>6.4078494144228824</v>
      </c>
      <c r="AE178" s="735">
        <f t="shared" si="138"/>
        <v>1.4140972342648259</v>
      </c>
      <c r="AF178" s="732" t="str">
        <f t="shared" si="139"/>
        <v>1.43235944631599-9.1595001023655i</v>
      </c>
      <c r="AG178" s="337">
        <f t="shared" si="140"/>
        <v>9.2708195812821348</v>
      </c>
      <c r="AH178" s="730">
        <f t="shared" si="141"/>
        <v>-1.4156730244367768</v>
      </c>
      <c r="AI178" s="731" t="str">
        <f t="shared" si="119"/>
        <v>10000</v>
      </c>
      <c r="AJ178" s="733" t="str">
        <f t="shared" si="142"/>
        <v>1+59162.3471886971i</v>
      </c>
      <c r="AK178" s="734">
        <f t="shared" si="143"/>
        <v>59162.347197148425</v>
      </c>
      <c r="AL178" s="735">
        <f t="shared" si="144"/>
        <v>1.5707794241524657</v>
      </c>
      <c r="AM178" s="340" t="str">
        <f t="shared" si="145"/>
        <v>1+100.40530120873i</v>
      </c>
      <c r="AN178" s="734">
        <f t="shared" si="146"/>
        <v>100.41028090198631</v>
      </c>
      <c r="AO178" s="735">
        <f t="shared" si="147"/>
        <v>1.5608370226031532</v>
      </c>
      <c r="AP178" s="733" t="str">
        <f t="shared" si="148"/>
        <v>1+4.86982260977032i</v>
      </c>
      <c r="AQ178" s="734">
        <f t="shared" si="149"/>
        <v>4.9714356327554121</v>
      </c>
      <c r="AR178" s="735">
        <f t="shared" si="150"/>
        <v>1.3682654296397525</v>
      </c>
      <c r="AS178" s="732" t="str">
        <f t="shared" si="151"/>
        <v>0.0273899883442463-23.4051066366608i</v>
      </c>
      <c r="AT178" s="337">
        <f t="shared" si="152"/>
        <v>23.405122663317211</v>
      </c>
      <c r="AU178" s="730">
        <f t="shared" si="153"/>
        <v>-1.5696260703946197</v>
      </c>
      <c r="AV178" s="732" t="str">
        <f t="shared" si="154"/>
        <v>-3.48050012657887+0.00566897845042591i</v>
      </c>
      <c r="AW178" s="337">
        <f t="shared" si="155"/>
        <v>10.832844599351628</v>
      </c>
      <c r="AX178" s="730">
        <f t="shared" si="156"/>
        <v>179.90667770713517</v>
      </c>
      <c r="AY178" s="360">
        <f t="shared" si="157"/>
        <v>-9.3322292864826295E-2</v>
      </c>
      <c r="BB178" s="337">
        <f t="shared" si="158"/>
        <v>-12.613781568951508</v>
      </c>
      <c r="BC178" s="730">
        <f t="shared" si="159"/>
        <v>-89.93294924731596</v>
      </c>
      <c r="BD178" s="351"/>
      <c r="BE178" s="337">
        <f t="shared" si="120"/>
        <v>57.640679360518455</v>
      </c>
      <c r="BF178" s="730">
        <f t="shared" si="121"/>
        <v>-21.041983600155579</v>
      </c>
      <c r="BI178" s="351"/>
      <c r="BJ178" s="351"/>
      <c r="BL178" s="405">
        <f t="shared" si="122"/>
        <v>0</v>
      </c>
      <c r="BM178" s="405">
        <f t="shared" si="160"/>
        <v>0</v>
      </c>
      <c r="BN178" s="405">
        <f t="shared" si="123"/>
        <v>0</v>
      </c>
      <c r="BO178" s="405">
        <f t="shared" si="124"/>
        <v>0</v>
      </c>
    </row>
    <row r="179" spans="4:67" ht="13.5" thickBot="1" x14ac:dyDescent="0.25">
      <c r="D179" s="345">
        <v>10058.25</v>
      </c>
      <c r="E179" s="340" t="str">
        <f t="shared" si="111"/>
        <v>0.166842320346079i</v>
      </c>
      <c r="F179" s="728" t="str">
        <f t="shared" si="125"/>
        <v>0.005-0.259398745083488i</v>
      </c>
      <c r="G179" s="337" t="str">
        <f t="shared" si="126"/>
        <v>0.005-0.405726242310071i</v>
      </c>
      <c r="H179" s="338" t="str">
        <f t="shared" si="127"/>
        <v>0.125347903791637-0.362436557290937i</v>
      </c>
      <c r="I179" s="338" t="str">
        <f t="shared" si="128"/>
        <v>0.135347903791637-0.362436557290937i</v>
      </c>
      <c r="J179" s="337" t="str">
        <f t="shared" si="129"/>
        <v>0.0242608180279058-0.155577856708633i</v>
      </c>
      <c r="K179" s="338" t="str">
        <f t="shared" si="112"/>
        <v>0.99887590674375-0.0526648738466159i</v>
      </c>
      <c r="L179" s="732"/>
      <c r="M179" s="732" t="str">
        <f t="shared" si="113"/>
        <v>678.173335617185-314.88051516475i</v>
      </c>
      <c r="N179" s="337">
        <f t="shared" si="114"/>
        <v>0</v>
      </c>
      <c r="O179" s="730" t="str">
        <f t="shared" si="115"/>
        <v>244.558702751277-181.096255973305i</v>
      </c>
      <c r="P179" s="731" t="str">
        <f t="shared" si="116"/>
        <v>-32.5353957818557-113.148012911211i</v>
      </c>
      <c r="Q179" s="729" t="str">
        <f t="shared" si="117"/>
        <v>-34.9809828093685-111.337050351478i</v>
      </c>
      <c r="R179" s="730"/>
      <c r="S179" s="405" t="str">
        <f t="shared" si="130"/>
        <v>39.3608521753563+1.76793275745515i</v>
      </c>
      <c r="T179" s="405" t="str">
        <f t="shared" si="131"/>
        <v>15.8363491917607-2.52027282342955i</v>
      </c>
      <c r="U179" s="405" t="str">
        <f t="shared" si="132"/>
        <v>1.07161416934186-6.05558279651876i</v>
      </c>
      <c r="V179" s="731" t="str">
        <f t="shared" si="118"/>
        <v>6000</v>
      </c>
      <c r="W179" s="733" t="str">
        <f>IMSUM(COMPLEX(1,0),IMDIV(COMPLEX(0,2*PI()*D179),COMPLEX(2*PI()*'Stability Calculations'!EA_Pole1,0)))</f>
        <v>1+63829.8271020985i</v>
      </c>
      <c r="X179" s="734">
        <f t="shared" si="133"/>
        <v>63829.827109931823</v>
      </c>
      <c r="Y179" s="735">
        <f t="shared" si="134"/>
        <v>1.5707806601380165</v>
      </c>
      <c r="Z179" s="340" t="str">
        <f>IMSUM(COMPLEX(1,0),IMDIV(COMPLEX(0,2*PI()*D179),COMPLEX(2*PI()*'Stability Calculations'!EA_Zero1,0)))</f>
        <v>1+631.978486159391i</v>
      </c>
      <c r="AA179" s="734">
        <f t="shared" si="135"/>
        <v>631.97927732506821</v>
      </c>
      <c r="AB179" s="735">
        <f t="shared" si="136"/>
        <v>1.5692139957704871</v>
      </c>
      <c r="AC179" s="733" t="str">
        <f>IMSUM(COMPLEX(1,0),IMDIV(COMPLEX(0,2*PI()*D179),COMPLEX(2*PI()*'Stability Calculations'!EA_Pole2,0)))</f>
        <v>1+6.3662075539016i</v>
      </c>
      <c r="AD179" s="734">
        <f t="shared" si="137"/>
        <v>6.4442686644299512</v>
      </c>
      <c r="AE179" s="735">
        <f t="shared" si="138"/>
        <v>1.4149900635354999</v>
      </c>
      <c r="AF179" s="732" t="str">
        <f t="shared" si="139"/>
        <v>1.41621547205629-9.10899088493388i</v>
      </c>
      <c r="AG179" s="337">
        <f t="shared" si="140"/>
        <v>9.2184261783180812</v>
      </c>
      <c r="AH179" s="730">
        <f t="shared" si="141"/>
        <v>-1.4165567279030289</v>
      </c>
      <c r="AI179" s="731" t="str">
        <f t="shared" si="119"/>
        <v>10000</v>
      </c>
      <c r="AJ179" s="733" t="str">
        <f t="shared" si="142"/>
        <v>1+59506.9678610713i</v>
      </c>
      <c r="AK179" s="734">
        <f t="shared" si="143"/>
        <v>59506.967869473679</v>
      </c>
      <c r="AL179" s="735">
        <f t="shared" si="144"/>
        <v>1.5707795220401619</v>
      </c>
      <c r="AM179" s="340" t="str">
        <f t="shared" si="145"/>
        <v>1+100.990162088271i</v>
      </c>
      <c r="AN179" s="734">
        <f t="shared" si="146"/>
        <v>100.99511294421751</v>
      </c>
      <c r="AO179" s="735">
        <f t="shared" si="147"/>
        <v>1.5608946958009102</v>
      </c>
      <c r="AP179" s="733" t="str">
        <f t="shared" si="148"/>
        <v>1+4.89818932647223i</v>
      </c>
      <c r="AQ179" s="734">
        <f t="shared" si="149"/>
        <v>4.9992258078593004</v>
      </c>
      <c r="AR179" s="735">
        <f t="shared" si="150"/>
        <v>1.3694067947461579</v>
      </c>
      <c r="AS179" s="732" t="str">
        <f t="shared" si="151"/>
        <v>0.0270736619890113-23.2695618093047i</v>
      </c>
      <c r="AT179" s="337">
        <f t="shared" si="152"/>
        <v>23.269577559126969</v>
      </c>
      <c r="AU179" s="730">
        <f t="shared" si="153"/>
        <v>-1.5696328476544432</v>
      </c>
      <c r="AV179" s="732" t="str">
        <f t="shared" si="154"/>
        <v>-3.43977703615699+0.00831819497232589i</v>
      </c>
      <c r="AW179" s="337">
        <f t="shared" si="155"/>
        <v>10.730631253531037</v>
      </c>
      <c r="AX179" s="730">
        <f t="shared" si="156"/>
        <v>179.86144551491321</v>
      </c>
      <c r="AY179" s="360">
        <f t="shared" si="157"/>
        <v>-0.13855448508678592</v>
      </c>
      <c r="BB179" s="337">
        <f t="shared" si="158"/>
        <v>-12.664230018326755</v>
      </c>
      <c r="BC179" s="730">
        <f t="shared" si="159"/>
        <v>-89.933337555700518</v>
      </c>
      <c r="BD179" s="351"/>
      <c r="BE179" s="337">
        <f t="shared" si="120"/>
        <v>57.474652655263974</v>
      </c>
      <c r="BF179" s="730">
        <f t="shared" si="121"/>
        <v>-24.905764338710089</v>
      </c>
      <c r="BI179" s="351"/>
      <c r="BJ179" s="351"/>
      <c r="BL179" s="405">
        <f t="shared" si="122"/>
        <v>0</v>
      </c>
      <c r="BM179" s="405">
        <f t="shared" si="160"/>
        <v>0</v>
      </c>
      <c r="BN179" s="405">
        <f t="shared" si="123"/>
        <v>0</v>
      </c>
      <c r="BO179" s="405">
        <f t="shared" si="124"/>
        <v>0</v>
      </c>
    </row>
    <row r="180" spans="4:67" ht="13.5" thickBot="1" x14ac:dyDescent="0.25">
      <c r="D180" s="345">
        <v>10116.5</v>
      </c>
      <c r="E180" s="340" t="str">
        <f t="shared" si="111"/>
        <v>0.167808548582617i</v>
      </c>
      <c r="F180" s="728" t="str">
        <f t="shared" si="125"/>
        <v>0.005-0.257905147801709i</v>
      </c>
      <c r="G180" s="337" t="str">
        <f t="shared" si="126"/>
        <v>0.005-0.403390102971904i</v>
      </c>
      <c r="H180" s="338" t="str">
        <f t="shared" si="127"/>
        <v>0.124101632207088-0.360761191067518i</v>
      </c>
      <c r="I180" s="338" t="str">
        <f t="shared" si="128"/>
        <v>0.134101632207088-0.360761191067518i</v>
      </c>
      <c r="J180" s="337" t="str">
        <f t="shared" si="129"/>
        <v>0.0240334633237034-0.154711430224591i</v>
      </c>
      <c r="K180" s="338" t="str">
        <f t="shared" si="112"/>
        <v>0.998862849197222-0.0529698701334019i</v>
      </c>
      <c r="L180" s="732"/>
      <c r="M180" s="732" t="str">
        <f t="shared" si="113"/>
        <v>641.626488400814-349.656557901998i</v>
      </c>
      <c r="N180" s="337">
        <f t="shared" si="114"/>
        <v>0</v>
      </c>
      <c r="O180" s="730" t="str">
        <f t="shared" si="115"/>
        <v>227.208858445526-191.662628812093i</v>
      </c>
      <c r="P180" s="731" t="str">
        <f t="shared" si="116"/>
        <v>-38.6753594839281-107.670409750702i</v>
      </c>
      <c r="Q180" s="729" t="str">
        <f t="shared" si="117"/>
        <v>-40.9474480683834-105.753783462581i</v>
      </c>
      <c r="R180" s="730"/>
      <c r="S180" s="405" t="str">
        <f t="shared" si="130"/>
        <v>39.3698440979545+1.73553155114169i</v>
      </c>
      <c r="T180" s="405" t="str">
        <f t="shared" si="131"/>
        <v>15.8320363707056-2.51801376728032i</v>
      </c>
      <c r="U180" s="405" t="str">
        <f t="shared" si="132"/>
        <v>1.05637990895808-6.02407391655942i</v>
      </c>
      <c r="V180" s="731" t="str">
        <f t="shared" si="118"/>
        <v>6000</v>
      </c>
      <c r="W180" s="733" t="str">
        <f>IMSUM(COMPLEX(1,0),IMDIV(COMPLEX(0,2*PI()*D180),COMPLEX(2*PI()*'Stability Calculations'!EA_Pole1,0)))</f>
        <v>1+64199.4826016831i</v>
      </c>
      <c r="X180" s="734">
        <f t="shared" si="133"/>
        <v>64199.482609471313</v>
      </c>
      <c r="Y180" s="735">
        <f t="shared" si="134"/>
        <v>1.5707807503453772</v>
      </c>
      <c r="Z180" s="340" t="str">
        <f>IMSUM(COMPLEX(1,0),IMDIV(COMPLEX(0,2*PI()*D180),COMPLEX(2*PI()*'Stability Calculations'!EA_Zero1,0)))</f>
        <v>1+635.638441600823i</v>
      </c>
      <c r="AA180" s="734">
        <f t="shared" si="135"/>
        <v>635.63922821103699</v>
      </c>
      <c r="AB180" s="735">
        <f t="shared" si="136"/>
        <v>1.5692231066912254</v>
      </c>
      <c r="AC180" s="733" t="str">
        <f>IMSUM(COMPLEX(1,0),IMDIV(COMPLEX(0,2*PI()*D180),COMPLEX(2*PI()*'Stability Calculations'!EA_Pole2,0)))</f>
        <v>1+6.40307595446977i</v>
      </c>
      <c r="AD180" s="734">
        <f t="shared" si="137"/>
        <v>6.4806929937090025</v>
      </c>
      <c r="AE180" s="735">
        <f t="shared" si="138"/>
        <v>1.415872857321262</v>
      </c>
      <c r="AF180" s="732" t="str">
        <f t="shared" si="139"/>
        <v>1.40034070812559-9.05902127973096i</v>
      </c>
      <c r="AG180" s="337">
        <f t="shared" si="140"/>
        <v>9.1666144593002308</v>
      </c>
      <c r="AH180" s="730">
        <f t="shared" si="141"/>
        <v>-1.4174305009754136</v>
      </c>
      <c r="AI180" s="731" t="str">
        <f t="shared" si="119"/>
        <v>10000</v>
      </c>
      <c r="AJ180" s="733" t="str">
        <f t="shared" si="142"/>
        <v>1+59851.5885334454i</v>
      </c>
      <c r="AK180" s="734">
        <f t="shared" si="143"/>
        <v>59851.5885417994</v>
      </c>
      <c r="AL180" s="735">
        <f t="shared" si="144"/>
        <v>1.5707796188005991</v>
      </c>
      <c r="AM180" s="340" t="str">
        <f t="shared" si="145"/>
        <v>1+101.575022967811i</v>
      </c>
      <c r="AN180" s="734">
        <f t="shared" si="146"/>
        <v>101.57994531850925</v>
      </c>
      <c r="AO180" s="735">
        <f t="shared" si="147"/>
        <v>1.5609517049080628</v>
      </c>
      <c r="AP180" s="733" t="str">
        <f t="shared" si="148"/>
        <v>1+4.92655604317415i</v>
      </c>
      <c r="AQ180" s="734">
        <f t="shared" si="149"/>
        <v>5.0270224235163044</v>
      </c>
      <c r="AR180" s="735">
        <f t="shared" si="150"/>
        <v>1.3705355390911864</v>
      </c>
      <c r="AS180" s="732" t="str">
        <f t="shared" si="151"/>
        <v>0.0267627840235011-23.1355778882528i</v>
      </c>
      <c r="AT180" s="337">
        <f t="shared" si="152"/>
        <v>23.135593367580192</v>
      </c>
      <c r="AU180" s="730">
        <f t="shared" si="153"/>
        <v>-1.5696395468685287</v>
      </c>
      <c r="AV180" s="732" t="str">
        <f t="shared" si="154"/>
        <v>-3.3997632797114+0.0108854685500845i</v>
      </c>
      <c r="AW180" s="337">
        <f t="shared" si="155"/>
        <v>10.629018099204524</v>
      </c>
      <c r="AX180" s="730">
        <f t="shared" si="156"/>
        <v>179.81654920553638</v>
      </c>
      <c r="AY180" s="360">
        <f t="shared" si="157"/>
        <v>-0.18345079446362433</v>
      </c>
      <c r="BB180" s="337">
        <f t="shared" si="158"/>
        <v>-12.714387150028019</v>
      </c>
      <c r="BC180" s="730">
        <f t="shared" si="159"/>
        <v>-89.933721392393664</v>
      </c>
      <c r="BD180" s="351"/>
      <c r="BE180" s="337">
        <f t="shared" si="120"/>
        <v>57.274959213952037</v>
      </c>
      <c r="BF180" s="730">
        <f t="shared" si="121"/>
        <v>-28.588326957781586</v>
      </c>
      <c r="BI180" s="351"/>
      <c r="BJ180" s="351"/>
      <c r="BL180" s="405">
        <f t="shared" si="122"/>
        <v>0</v>
      </c>
      <c r="BM180" s="405">
        <f t="shared" si="160"/>
        <v>0</v>
      </c>
      <c r="BN180" s="405">
        <f t="shared" si="123"/>
        <v>0</v>
      </c>
      <c r="BO180" s="405">
        <f t="shared" si="124"/>
        <v>0</v>
      </c>
    </row>
    <row r="181" spans="4:67" ht="13.5" thickBot="1" x14ac:dyDescent="0.25">
      <c r="D181" s="345">
        <v>10174.75</v>
      </c>
      <c r="E181" s="340" t="str">
        <f t="shared" si="111"/>
        <v>0.168774776819155i</v>
      </c>
      <c r="F181" s="728" t="str">
        <f t="shared" si="125"/>
        <v>0.005-0.256428652078526i</v>
      </c>
      <c r="G181" s="337" t="str">
        <f t="shared" si="126"/>
        <v>0.005-0.401080712225389i</v>
      </c>
      <c r="H181" s="338" t="str">
        <f t="shared" si="127"/>
        <v>0.122873926980384-0.359098912191269i</v>
      </c>
      <c r="I181" s="338" t="str">
        <f t="shared" si="128"/>
        <v>0.132873926980384-0.359098912191269i</v>
      </c>
      <c r="J181" s="337" t="str">
        <f t="shared" si="129"/>
        <v>0.0238099183321312-0.153854437753813i</v>
      </c>
      <c r="K181" s="338" t="str">
        <f t="shared" si="112"/>
        <v>0.998849716249306-0.0532748664201879i</v>
      </c>
      <c r="L181" s="732"/>
      <c r="M181" s="732" t="str">
        <f t="shared" si="113"/>
        <v>603.142544745464-377.955570733368i</v>
      </c>
      <c r="N181" s="337">
        <f t="shared" si="114"/>
        <v>0</v>
      </c>
      <c r="O181" s="730" t="str">
        <f t="shared" si="115"/>
        <v>209.648864229686-199.516714038652i</v>
      </c>
      <c r="P181" s="731" t="str">
        <f t="shared" si="116"/>
        <v>-43.7893670980806-101.795248379553i</v>
      </c>
      <c r="Q181" s="729" t="str">
        <f t="shared" si="117"/>
        <v>-45.8858557403774-99.8000812391665i</v>
      </c>
      <c r="R181" s="730"/>
      <c r="S181" s="405" t="str">
        <f t="shared" si="130"/>
        <v>39.3786754037096+1.70332568533231i</v>
      </c>
      <c r="T181" s="405" t="str">
        <f t="shared" si="131"/>
        <v>15.827782571036-2.5158315269576i</v>
      </c>
      <c r="U181" s="405" t="str">
        <f t="shared" si="132"/>
        <v>1.04138943530789-5.99286960299728i</v>
      </c>
      <c r="V181" s="731" t="str">
        <f t="shared" si="118"/>
        <v>6000</v>
      </c>
      <c r="W181" s="733" t="str">
        <f>IMSUM(COMPLEX(1,0),IMDIV(COMPLEX(0,2*PI()*D181),COMPLEX(2*PI()*'Stability Calculations'!EA_Pole1,0)))</f>
        <v>1+64569.1381012678i</v>
      </c>
      <c r="X181" s="734">
        <f t="shared" si="133"/>
        <v>64569.138109011437</v>
      </c>
      <c r="Y181" s="735">
        <f t="shared" si="134"/>
        <v>1.5707808395198712</v>
      </c>
      <c r="Z181" s="340" t="str">
        <f>IMSUM(COMPLEX(1,0),IMDIV(COMPLEX(0,2*PI()*D181),COMPLEX(2*PI()*'Stability Calculations'!EA_Zero1,0)))</f>
        <v>1+639.298397042255i</v>
      </c>
      <c r="AA181" s="734">
        <f t="shared" si="135"/>
        <v>639.29917914916541</v>
      </c>
      <c r="AB181" s="735">
        <f t="shared" si="136"/>
        <v>1.5692321132929725</v>
      </c>
      <c r="AC181" s="733" t="str">
        <f>IMSUM(COMPLEX(1,0),IMDIV(COMPLEX(0,2*PI()*D181),COMPLEX(2*PI()*'Stability Calculations'!EA_Pole2,0)))</f>
        <v>1+6.43994435503794i</v>
      </c>
      <c r="AD181" s="734">
        <f t="shared" si="137"/>
        <v>6.5171223170955619</v>
      </c>
      <c r="AE181" s="735">
        <f t="shared" si="138"/>
        <v>1.4167457825231395</v>
      </c>
      <c r="AF181" s="732" t="str">
        <f t="shared" si="139"/>
        <v>1.3847292507665-9.00958293572652i</v>
      </c>
      <c r="AG181" s="337">
        <f t="shared" si="140"/>
        <v>9.1153749113057803</v>
      </c>
      <c r="AH181" s="730">
        <f t="shared" si="141"/>
        <v>-1.418294508750038</v>
      </c>
      <c r="AI181" s="731" t="str">
        <f t="shared" si="119"/>
        <v>10000</v>
      </c>
      <c r="AJ181" s="733" t="str">
        <f t="shared" si="142"/>
        <v>1+60196.2092058196i</v>
      </c>
      <c r="AK181" s="734">
        <f t="shared" si="143"/>
        <v>60196.209214125767</v>
      </c>
      <c r="AL181" s="735">
        <f t="shared" si="144"/>
        <v>1.5707797144531379</v>
      </c>
      <c r="AM181" s="340" t="str">
        <f t="shared" si="145"/>
        <v>1+102.159883847352i</v>
      </c>
      <c r="AN181" s="734">
        <f t="shared" si="146"/>
        <v>102.16477801916105</v>
      </c>
      <c r="AO181" s="735">
        <f t="shared" si="147"/>
        <v>1.5610080613288106</v>
      </c>
      <c r="AP181" s="733" t="str">
        <f t="shared" si="148"/>
        <v>1+4.95492275987606i</v>
      </c>
      <c r="AQ181" s="734">
        <f t="shared" si="149"/>
        <v>5.0548253734760991</v>
      </c>
      <c r="AR181" s="735">
        <f t="shared" si="150"/>
        <v>1.3716518680277971</v>
      </c>
      <c r="AS181" s="732" t="str">
        <f t="shared" si="151"/>
        <v>0.0264572300386504-23.0031280652868i</v>
      </c>
      <c r="AT181" s="337">
        <f t="shared" si="152"/>
        <v>23.003143280278163</v>
      </c>
      <c r="AU181" s="730">
        <f t="shared" si="153"/>
        <v>-1.5696461693772994</v>
      </c>
      <c r="AV181" s="732" t="str">
        <f t="shared" si="154"/>
        <v>-3.36044249306112+0.013373511161771i</v>
      </c>
      <c r="AW181" s="337">
        <f t="shared" si="155"/>
        <v>10.527998137826337</v>
      </c>
      <c r="AX181" s="730">
        <f t="shared" si="156"/>
        <v>179.77198190321164</v>
      </c>
      <c r="AY181" s="360">
        <f t="shared" si="157"/>
        <v>-0.22801809678836094</v>
      </c>
      <c r="BB181" s="337">
        <f t="shared" si="158"/>
        <v>-12.764256309206836</v>
      </c>
      <c r="BC181" s="730">
        <f t="shared" si="159"/>
        <v>-89.934100834196016</v>
      </c>
      <c r="BD181" s="351"/>
      <c r="BE181" s="337">
        <f t="shared" si="120"/>
        <v>57.046920538986825</v>
      </c>
      <c r="BF181" s="730">
        <f t="shared" si="121"/>
        <v>-32.07306249361941</v>
      </c>
      <c r="BI181" s="351"/>
      <c r="BJ181" s="351"/>
      <c r="BL181" s="405">
        <f t="shared" si="122"/>
        <v>0</v>
      </c>
      <c r="BM181" s="405">
        <f t="shared" si="160"/>
        <v>0</v>
      </c>
      <c r="BN181" s="405">
        <f t="shared" si="123"/>
        <v>0</v>
      </c>
      <c r="BO181" s="405">
        <f t="shared" si="124"/>
        <v>0</v>
      </c>
    </row>
    <row r="182" spans="4:67" ht="13.5" thickBot="1" x14ac:dyDescent="0.25">
      <c r="D182" s="345">
        <v>10233</v>
      </c>
      <c r="E182" s="340" t="str">
        <f t="shared" si="111"/>
        <v>0.169741005055693i</v>
      </c>
      <c r="F182" s="728" t="str">
        <f t="shared" si="125"/>
        <v>0.005-0.254968965868855i</v>
      </c>
      <c r="G182" s="337" t="str">
        <f t="shared" si="126"/>
        <v>0.005-0.398797613282055i</v>
      </c>
      <c r="H182" s="338" t="str">
        <f t="shared" si="127"/>
        <v>0.121664435653525-0.357449612223656i</v>
      </c>
      <c r="I182" s="338" t="str">
        <f t="shared" si="128"/>
        <v>0.131664435653525-0.357449612223656i</v>
      </c>
      <c r="J182" s="337" t="str">
        <f t="shared" si="129"/>
        <v>0.0235900988676255-0.153006728896492i</v>
      </c>
      <c r="K182" s="338" t="str">
        <f t="shared" si="112"/>
        <v>0.9988365079-0.0535798627069739i</v>
      </c>
      <c r="L182" s="732"/>
      <c r="M182" s="732" t="str">
        <f t="shared" si="113"/>
        <v>563.999707041877-400.088482219118i</v>
      </c>
      <c r="N182" s="337">
        <f t="shared" si="114"/>
        <v>0</v>
      </c>
      <c r="O182" s="730" t="str">
        <f t="shared" si="115"/>
        <v>192.354935963003-204.889647847747i</v>
      </c>
      <c r="P182" s="731" t="str">
        <f t="shared" si="116"/>
        <v>-47.9114210830799-95.7338771244046i</v>
      </c>
      <c r="Q182" s="729" t="str">
        <f t="shared" si="117"/>
        <v>-49.83497044271-93.6849806459272i</v>
      </c>
      <c r="R182" s="730"/>
      <c r="S182" s="405" t="str">
        <f t="shared" si="130"/>
        <v>39.3873493467461+1.67131256558903i</v>
      </c>
      <c r="T182" s="405" t="str">
        <f t="shared" si="131"/>
        <v>15.8235865079096-2.51372507621749i</v>
      </c>
      <c r="U182" s="405" t="str">
        <f t="shared" si="132"/>
        <v>1.02663766876873-5.96196580402587i</v>
      </c>
      <c r="V182" s="731" t="str">
        <f t="shared" si="118"/>
        <v>6000</v>
      </c>
      <c r="W182" s="733" t="str">
        <f>IMSUM(COMPLEX(1,0),IMDIV(COMPLEX(0,2*PI()*D182),COMPLEX(2*PI()*'Stability Calculations'!EA_Pole1,0)))</f>
        <v>1+64938.7936008524i</v>
      </c>
      <c r="X182" s="734">
        <f t="shared" si="133"/>
        <v>64938.793608551961</v>
      </c>
      <c r="Y182" s="735">
        <f t="shared" si="134"/>
        <v>1.5707809276791374</v>
      </c>
      <c r="Z182" s="340" t="str">
        <f>IMSUM(COMPLEX(1,0),IMDIV(COMPLEX(0,2*PI()*D182),COMPLEX(2*PI()*'Stability Calculations'!EA_Zero1,0)))</f>
        <v>1+642.958352483687i</v>
      </c>
      <c r="AA182" s="734">
        <f t="shared" si="135"/>
        <v>642.95913013856261</v>
      </c>
      <c r="AB182" s="735">
        <f t="shared" si="136"/>
        <v>1.5692410173571891</v>
      </c>
      <c r="AC182" s="733" t="str">
        <f>IMSUM(COMPLEX(1,0),IMDIV(COMPLEX(0,2*PI()*D182),COMPLEX(2*PI()*'Stability Calculations'!EA_Pole2,0)))</f>
        <v>1+6.4768127556061i</v>
      </c>
      <c r="AD182" s="734">
        <f t="shared" si="137"/>
        <v>6.5535565513072278</v>
      </c>
      <c r="AE182" s="735">
        <f t="shared" si="138"/>
        <v>1.4176090023915671</v>
      </c>
      <c r="AF182" s="732" t="str">
        <f t="shared" si="139"/>
        <v>1.36937535582385-8.96066766739716i</v>
      </c>
      <c r="AG182" s="337">
        <f t="shared" si="140"/>
        <v>9.0646982250196579</v>
      </c>
      <c r="AH182" s="730">
        <f t="shared" si="141"/>
        <v>-1.4191489127135151</v>
      </c>
      <c r="AI182" s="731" t="str">
        <f t="shared" si="119"/>
        <v>10000</v>
      </c>
      <c r="AJ182" s="733" t="str">
        <f t="shared" si="142"/>
        <v>1+60540.8298781937i</v>
      </c>
      <c r="AK182" s="734">
        <f t="shared" si="143"/>
        <v>60540.829886452586</v>
      </c>
      <c r="AL182" s="735">
        <f t="shared" si="144"/>
        <v>1.5707798090166976</v>
      </c>
      <c r="AM182" s="340" t="str">
        <f t="shared" si="145"/>
        <v>1+102.744744726893i</v>
      </c>
      <c r="AN182" s="734">
        <f t="shared" si="146"/>
        <v>102.74961104059911</v>
      </c>
      <c r="AO182" s="735">
        <f t="shared" si="147"/>
        <v>1.5610637762077271</v>
      </c>
      <c r="AP182" s="733" t="str">
        <f t="shared" si="148"/>
        <v>1+4.98328947657797i</v>
      </c>
      <c r="AQ182" s="734">
        <f t="shared" si="149"/>
        <v>5.0826345537892781</v>
      </c>
      <c r="AR182" s="735">
        <f t="shared" si="150"/>
        <v>1.3727559825399867</v>
      </c>
      <c r="AS182" s="732" t="str">
        <f t="shared" si="151"/>
        <v>0.0261568791561875-22.872186142593i</v>
      </c>
      <c r="AT182" s="337">
        <f t="shared" si="152"/>
        <v>22.872201099232896</v>
      </c>
      <c r="AU182" s="730">
        <f t="shared" si="153"/>
        <v>-1.5696527164906575</v>
      </c>
      <c r="AV182" s="732" t="str">
        <f t="shared" si="154"/>
        <v>-3.32179878004001+0.0157849321865876i</v>
      </c>
      <c r="AW182" s="337">
        <f t="shared" si="155"/>
        <v>10.427564491193781</v>
      </c>
      <c r="AX182" s="730">
        <f t="shared" si="156"/>
        <v>179.72773691401997</v>
      </c>
      <c r="AY182" s="360">
        <f t="shared" si="157"/>
        <v>-0.27226308598002902</v>
      </c>
      <c r="BB182" s="337">
        <f t="shared" si="158"/>
        <v>-12.813840783726064</v>
      </c>
      <c r="BC182" s="730">
        <f t="shared" si="159"/>
        <v>-89.934475956159432</v>
      </c>
      <c r="BD182" s="351"/>
      <c r="BE182" s="337">
        <f t="shared" si="120"/>
        <v>56.795791130164005</v>
      </c>
      <c r="BF182" s="730">
        <f t="shared" si="121"/>
        <v>-35.351017076826139</v>
      </c>
      <c r="BI182" s="351"/>
      <c r="BJ182" s="351"/>
      <c r="BL182" s="405">
        <f t="shared" si="122"/>
        <v>0</v>
      </c>
      <c r="BM182" s="405">
        <f t="shared" si="160"/>
        <v>0</v>
      </c>
      <c r="BN182" s="405">
        <f t="shared" si="123"/>
        <v>0</v>
      </c>
      <c r="BO182" s="405">
        <f t="shared" si="124"/>
        <v>0</v>
      </c>
    </row>
    <row r="183" spans="4:67" ht="13.5" thickBot="1" x14ac:dyDescent="0.25">
      <c r="D183" s="345">
        <v>10292.5</v>
      </c>
      <c r="E183" s="340" t="str">
        <f t="shared" si="111"/>
        <v>0.170727967803745i</v>
      </c>
      <c r="F183" s="728" t="str">
        <f t="shared" si="125"/>
        <v>0.005-0.253495013625066i</v>
      </c>
      <c r="G183" s="337" t="str">
        <f t="shared" si="126"/>
        <v>0.005-0.39649220079818i</v>
      </c>
      <c r="H183" s="338" t="str">
        <f t="shared" si="127"/>
        <v>0.120447435767447-0.355778206343672i</v>
      </c>
      <c r="I183" s="338" t="str">
        <f t="shared" si="128"/>
        <v>0.130447435767447-0.355778206343672i</v>
      </c>
      <c r="J183" s="337" t="str">
        <f t="shared" si="129"/>
        <v>0.0233693234198551-0.152150260310718i</v>
      </c>
      <c r="K183" s="338" t="str">
        <f t="shared" si="112"/>
        <v>0.998822938263889-0.0538914039784549i</v>
      </c>
      <c r="L183" s="732"/>
      <c r="M183" s="732" t="str">
        <f t="shared" si="113"/>
        <v>524.412974462221-416.888014688094i</v>
      </c>
      <c r="N183" s="337">
        <f t="shared" si="114"/>
        <v>0</v>
      </c>
      <c r="O183" s="730" t="str">
        <f t="shared" si="115"/>
        <v>175.340397221793-208.1272754575i</v>
      </c>
      <c r="P183" s="731" t="str">
        <f t="shared" si="116"/>
        <v>-51.1744435494361-89.5319614198522i</v>
      </c>
      <c r="Q183" s="729" t="str">
        <f t="shared" si="117"/>
        <v>-52.927847521654-87.4506886652772i</v>
      </c>
      <c r="R183" s="730"/>
      <c r="S183" s="405" t="str">
        <f t="shared" si="130"/>
        <v>39.3960502588206+1.63880880801983i</v>
      </c>
      <c r="T183" s="405" t="str">
        <f t="shared" si="131"/>
        <v>15.8193587069725-2.51165061876744i</v>
      </c>
      <c r="U183" s="405" t="str">
        <f t="shared" si="132"/>
        <v>1.01181063963322-5.93070494284808i</v>
      </c>
      <c r="V183" s="731" t="str">
        <f t="shared" si="118"/>
        <v>6000</v>
      </c>
      <c r="W183" s="733" t="str">
        <f>IMSUM(COMPLEX(1,0),IMDIV(COMPLEX(0,2*PI()*D183),COMPLEX(2*PI()*'Stability Calculations'!EA_Pole1,0)))</f>
        <v>1+65316.3816218874i</v>
      </c>
      <c r="X183" s="734">
        <f t="shared" si="133"/>
        <v>65316.381629542448</v>
      </c>
      <c r="Y183" s="735">
        <f t="shared" si="134"/>
        <v>1.5707810167000156</v>
      </c>
      <c r="Z183" s="340" t="str">
        <f>IMSUM(COMPLEX(1,0),IMDIV(COMPLEX(0,2*PI()*D183),COMPLEX(2*PI()*'Stability Calculations'!EA_Zero1,0)))</f>
        <v>1+646.696847741459i</v>
      </c>
      <c r="AA183" s="734">
        <f t="shared" si="135"/>
        <v>646.69762090078837</v>
      </c>
      <c r="AB183" s="735">
        <f t="shared" si="136"/>
        <v>1.5692500084442524</v>
      </c>
      <c r="AC183" s="733" t="str">
        <f>IMSUM(COMPLEX(1,0),IMDIV(COMPLEX(0,2*PI()*D183),COMPLEX(2*PI()*'Stability Calculations'!EA_Pole2,0)))</f>
        <v>1+6.51447232356844i</v>
      </c>
      <c r="AD183" s="734">
        <f t="shared" si="137"/>
        <v>6.5907776213842313</v>
      </c>
      <c r="AE183" s="735">
        <f t="shared" si="138"/>
        <v>1.4184808923555099</v>
      </c>
      <c r="AF183" s="732" t="str">
        <f t="shared" si="139"/>
        <v>1.3539520792033-8.91123440609328i</v>
      </c>
      <c r="AG183" s="337">
        <f t="shared" si="140"/>
        <v>9.0135056927435055</v>
      </c>
      <c r="AH183" s="730">
        <f t="shared" si="141"/>
        <v>-1.4200119006112728</v>
      </c>
      <c r="AI183" s="731" t="str">
        <f t="shared" si="119"/>
        <v>10000</v>
      </c>
      <c r="AJ183" s="733" t="str">
        <f t="shared" si="142"/>
        <v>1+60892.8458439665i</v>
      </c>
      <c r="AK183" s="734">
        <f t="shared" si="143"/>
        <v>60892.845852177648</v>
      </c>
      <c r="AL183" s="735">
        <f t="shared" si="144"/>
        <v>1.5707799045044608</v>
      </c>
      <c r="AM183" s="340" t="str">
        <f t="shared" si="145"/>
        <v>1+103.342156269085i</v>
      </c>
      <c r="AN183" s="734">
        <f t="shared" si="146"/>
        <v>103.34699445239799</v>
      </c>
      <c r="AO183" s="735">
        <f t="shared" si="147"/>
        <v>1.5611200356693455</v>
      </c>
      <c r="AP183" s="733" t="str">
        <f t="shared" si="148"/>
        <v>1+5.0122649211061i</v>
      </c>
      <c r="AQ183" s="734">
        <f t="shared" si="149"/>
        <v>5.111046824218179</v>
      </c>
      <c r="AR183" s="735">
        <f t="shared" si="150"/>
        <v>1.3738713846279718</v>
      </c>
      <c r="AS183" s="732" t="str">
        <f t="shared" si="151"/>
        <v>0.0258553326338523-22.7399644718021i</v>
      </c>
      <c r="AT183" s="337">
        <f t="shared" si="152"/>
        <v>22.73997917054999</v>
      </c>
      <c r="AU183" s="730">
        <f t="shared" si="153"/>
        <v>-1.5696593275913899</v>
      </c>
      <c r="AV183" s="732" t="str">
        <f t="shared" si="154"/>
        <v>-3.28300877019021+0.0181716054747822i</v>
      </c>
      <c r="AW183" s="337">
        <f t="shared" si="155"/>
        <v>10.325573909620495</v>
      </c>
      <c r="AX183" s="730">
        <f t="shared" si="156"/>
        <v>179.6828684474477</v>
      </c>
      <c r="AY183" s="360">
        <f t="shared" si="157"/>
        <v>-0.31713155255229708</v>
      </c>
      <c r="BB183" s="337">
        <f t="shared" si="158"/>
        <v>-12.864198749095266</v>
      </c>
      <c r="BC183" s="730">
        <f t="shared" si="159"/>
        <v>-89.934854744329328</v>
      </c>
      <c r="BD183" s="351"/>
      <c r="BE183" s="337">
        <f t="shared" si="120"/>
        <v>56.52057284623794</v>
      </c>
      <c r="BF183" s="730">
        <f t="shared" si="121"/>
        <v>-38.48334042564705</v>
      </c>
      <c r="BI183" s="351"/>
      <c r="BJ183" s="351"/>
      <c r="BL183" s="405">
        <f t="shared" si="122"/>
        <v>0</v>
      </c>
      <c r="BM183" s="405">
        <f t="shared" si="160"/>
        <v>0</v>
      </c>
      <c r="BN183" s="405">
        <f t="shared" si="123"/>
        <v>0</v>
      </c>
      <c r="BO183" s="405">
        <f t="shared" si="124"/>
        <v>0</v>
      </c>
    </row>
    <row r="184" spans="4:67" ht="13.5" thickBot="1" x14ac:dyDescent="0.25">
      <c r="D184" s="345">
        <v>10352</v>
      </c>
      <c r="E184" s="340" t="str">
        <f t="shared" si="111"/>
        <v>0.171714930551797i</v>
      </c>
      <c r="F184" s="728" t="str">
        <f t="shared" si="125"/>
        <v>0.005-0.25203800499768i</v>
      </c>
      <c r="G184" s="337" t="str">
        <f t="shared" si="126"/>
        <v>0.005-0.394213289868167i</v>
      </c>
      <c r="H184" s="338" t="str">
        <f t="shared" si="127"/>
        <v>0.119248721605303-0.354120113355802i</v>
      </c>
      <c r="I184" s="338" t="str">
        <f t="shared" si="128"/>
        <v>0.129248721605303-0.354120113355802i</v>
      </c>
      <c r="J184" s="337" t="str">
        <f t="shared" si="129"/>
        <v>0.0231522648040704-0.151303170685991i</v>
      </c>
      <c r="K184" s="338" t="str">
        <f t="shared" si="112"/>
        <v>0.998809289955556-0.0542029452499359i</v>
      </c>
      <c r="L184" s="732"/>
      <c r="M184" s="732" t="str">
        <f t="shared" si="113"/>
        <v>486.051418980999-428.518113913857i</v>
      </c>
      <c r="N184" s="337">
        <f t="shared" si="114"/>
        <v>0</v>
      </c>
      <c r="O184" s="730" t="str">
        <f t="shared" si="115"/>
        <v>159.248022983449-209.436173666786i</v>
      </c>
      <c r="P184" s="731" t="str">
        <f t="shared" si="116"/>
        <v>-53.5829581709049-83.4622856549246i</v>
      </c>
      <c r="Q184" s="729" t="str">
        <f t="shared" si="117"/>
        <v>-55.1754384007394-81.3679239182568i</v>
      </c>
      <c r="R184" s="730"/>
      <c r="S184" s="405" t="str">
        <f t="shared" si="130"/>
        <v>39.4045935841964+1.60650081307086i</v>
      </c>
      <c r="T184" s="405" t="str">
        <f t="shared" si="131"/>
        <v>15.8151885403352-2.50965312441001i</v>
      </c>
      <c r="U184" s="405" t="str">
        <f t="shared" si="132"/>
        <v>0.99722236648201-5.89974928540551i</v>
      </c>
      <c r="V184" s="731" t="str">
        <f t="shared" si="118"/>
        <v>6000</v>
      </c>
      <c r="W184" s="733" t="str">
        <f>IMSUM(COMPLEX(1,0),IMDIV(COMPLEX(0,2*PI()*D184),COMPLEX(2*PI()*'Stability Calculations'!EA_Pole1,0)))</f>
        <v>1+65693.9696429223i</v>
      </c>
      <c r="X184" s="734">
        <f t="shared" si="133"/>
        <v>65693.969650533356</v>
      </c>
      <c r="Y184" s="735">
        <f t="shared" si="134"/>
        <v>1.5707811046975662</v>
      </c>
      <c r="Z184" s="340" t="str">
        <f>IMSUM(COMPLEX(1,0),IMDIV(COMPLEX(0,2*PI()*D184),COMPLEX(2*PI()*'Stability Calculations'!EA_Zero1,0)))</f>
        <v>1+650.435342999231i</v>
      </c>
      <c r="AA184" s="734">
        <f t="shared" si="135"/>
        <v>650.43611171469195</v>
      </c>
      <c r="AB184" s="735">
        <f t="shared" si="136"/>
        <v>1.5692588961757499</v>
      </c>
      <c r="AC184" s="733" t="str">
        <f>IMSUM(COMPLEX(1,0),IMDIV(COMPLEX(0,2*PI()*D184),COMPLEX(2*PI()*'Stability Calculations'!EA_Pole2,0)))</f>
        <v>1+6.55213189153077i</v>
      </c>
      <c r="AD184" s="734">
        <f t="shared" si="137"/>
        <v>6.6280036454436715</v>
      </c>
      <c r="AE184" s="735">
        <f t="shared" si="138"/>
        <v>1.4193429890704039</v>
      </c>
      <c r="AF184" s="732" t="str">
        <f t="shared" si="139"/>
        <v>1.33878591000823-8.86233015785544i</v>
      </c>
      <c r="AG184" s="337">
        <f t="shared" si="140"/>
        <v>8.9628814306377276</v>
      </c>
      <c r="AH184" s="730">
        <f t="shared" si="141"/>
        <v>-1.4208651975922197</v>
      </c>
      <c r="AI184" s="731" t="str">
        <f t="shared" si="119"/>
        <v>10000</v>
      </c>
      <c r="AJ184" s="733" t="str">
        <f t="shared" si="142"/>
        <v>1+61244.8618097392i</v>
      </c>
      <c r="AK184" s="734">
        <f t="shared" si="143"/>
        <v>61244.861817903147</v>
      </c>
      <c r="AL184" s="735">
        <f t="shared" si="144"/>
        <v>1.5707799988945574</v>
      </c>
      <c r="AM184" s="340" t="str">
        <f t="shared" si="145"/>
        <v>1+103.939567811277i</v>
      </c>
      <c r="AN184" s="734">
        <f t="shared" si="146"/>
        <v>103.94437818754342</v>
      </c>
      <c r="AO184" s="735">
        <f t="shared" si="147"/>
        <v>1.5611756484682227</v>
      </c>
      <c r="AP184" s="733" t="str">
        <f t="shared" si="148"/>
        <v>1+5.04124036563424i</v>
      </c>
      <c r="AQ184" s="734">
        <f t="shared" si="149"/>
        <v>5.139465383101637</v>
      </c>
      <c r="AR184" s="735">
        <f t="shared" si="150"/>
        <v>1.374974452893895</v>
      </c>
      <c r="AS184" s="732" t="str">
        <f t="shared" si="151"/>
        <v>0.0255589707256534-22.6092627312808i</v>
      </c>
      <c r="AT184" s="337">
        <f t="shared" si="152"/>
        <v>22.609277178031753</v>
      </c>
      <c r="AU184" s="730">
        <f t="shared" si="153"/>
        <v>-1.5696658626952158</v>
      </c>
      <c r="AV184" s="732" t="str">
        <f t="shared" si="154"/>
        <v>-3.24489310293814+0.0204835283397882i</v>
      </c>
      <c r="AW184" s="337">
        <f t="shared" si="155"/>
        <v>10.224180941811172</v>
      </c>
      <c r="AX184" s="730">
        <f t="shared" si="156"/>
        <v>179.63832271274595</v>
      </c>
      <c r="AY184" s="360">
        <f t="shared" si="157"/>
        <v>-0.36167728725405368</v>
      </c>
      <c r="BB184" s="337">
        <f t="shared" si="158"/>
        <v>-12.914266437843033</v>
      </c>
      <c r="BC184" s="730">
        <f t="shared" si="159"/>
        <v>-89.935229178197233</v>
      </c>
      <c r="BD184" s="351"/>
      <c r="BE184" s="337">
        <f t="shared" si="120"/>
        <v>56.231187299664008</v>
      </c>
      <c r="BF184" s="730">
        <f t="shared" si="121"/>
        <v>-41.400407650669706</v>
      </c>
      <c r="BI184" s="351"/>
      <c r="BJ184" s="351"/>
      <c r="BL184" s="405">
        <f t="shared" si="122"/>
        <v>0</v>
      </c>
      <c r="BM184" s="405">
        <f t="shared" si="160"/>
        <v>0</v>
      </c>
      <c r="BN184" s="405">
        <f t="shared" si="123"/>
        <v>0</v>
      </c>
      <c r="BO184" s="405">
        <f t="shared" si="124"/>
        <v>0</v>
      </c>
    </row>
    <row r="185" spans="4:67" ht="13.5" thickBot="1" x14ac:dyDescent="0.25">
      <c r="D185" s="345">
        <v>10411.5</v>
      </c>
      <c r="E185" s="340" t="str">
        <f t="shared" si="111"/>
        <v>0.172701893299849i</v>
      </c>
      <c r="F185" s="728" t="str">
        <f t="shared" si="125"/>
        <v>0.005-0.250597649496805i</v>
      </c>
      <c r="G185" s="337" t="str">
        <f t="shared" si="126"/>
        <v>0.005-0.391960426136029i</v>
      </c>
      <c r="H185" s="338" t="str">
        <f t="shared" si="127"/>
        <v>0.118067942531773-0.352475217515206i</v>
      </c>
      <c r="I185" s="338" t="str">
        <f t="shared" si="128"/>
        <v>0.128067942531773-0.352475217515206i</v>
      </c>
      <c r="J185" s="337" t="str">
        <f t="shared" si="129"/>
        <v>0.0229388404879437-0.150465309540306i</v>
      </c>
      <c r="K185" s="338" t="str">
        <f t="shared" si="112"/>
        <v>0.998795562975-0.0545144865214169i</v>
      </c>
      <c r="L185" s="732"/>
      <c r="M185" s="732" t="str">
        <f t="shared" si="113"/>
        <v>449.49207439876-435.731185578978i</v>
      </c>
      <c r="N185" s="337">
        <f t="shared" si="114"/>
        <v>0</v>
      </c>
      <c r="O185" s="730" t="str">
        <f t="shared" si="115"/>
        <v>144.240674564656-209.161391997686i</v>
      </c>
      <c r="P185" s="731" t="str">
        <f t="shared" si="116"/>
        <v>-55.2516007192773-77.6281322719425i</v>
      </c>
      <c r="Q185" s="729" t="str">
        <f t="shared" si="117"/>
        <v>-56.6940074649238-75.5365183519656i</v>
      </c>
      <c r="R185" s="730"/>
      <c r="S185" s="405" t="str">
        <f t="shared" si="130"/>
        <v>39.4129825317126+1.57438594354838i</v>
      </c>
      <c r="T185" s="405" t="str">
        <f t="shared" si="131"/>
        <v>15.8110747410414-2.50773154989864i</v>
      </c>
      <c r="U185" s="405" t="str">
        <f t="shared" si="132"/>
        <v>0.982867840370568-5.86909471301632i</v>
      </c>
      <c r="V185" s="731" t="str">
        <f t="shared" si="118"/>
        <v>6000</v>
      </c>
      <c r="W185" s="733" t="str">
        <f>IMSUM(COMPLEX(1,0),IMDIV(COMPLEX(0,2*PI()*D185),COMPLEX(2*PI()*'Stability Calculations'!EA_Pole1,0)))</f>
        <v>1+66071.5576639573i</v>
      </c>
      <c r="X185" s="734">
        <f t="shared" si="133"/>
        <v>66071.557671524846</v>
      </c>
      <c r="Y185" s="735">
        <f t="shared" si="134"/>
        <v>1.5707811916893342</v>
      </c>
      <c r="Z185" s="340" t="str">
        <f>IMSUM(COMPLEX(1,0),IMDIV(COMPLEX(0,2*PI()*D185),COMPLEX(2*PI()*'Stability Calculations'!EA_Zero1,0)))</f>
        <v>1+654.173838257003i</v>
      </c>
      <c r="AA185" s="734">
        <f t="shared" si="135"/>
        <v>654.17460257938751</v>
      </c>
      <c r="AB185" s="735">
        <f t="shared" si="136"/>
        <v>1.5692676823236558</v>
      </c>
      <c r="AC185" s="733" t="str">
        <f>IMSUM(COMPLEX(1,0),IMDIV(COMPLEX(0,2*PI()*D185),COMPLEX(2*PI()*'Stability Calculations'!EA_Pole2,0)))</f>
        <v>1+6.58979145949311i</v>
      </c>
      <c r="AD185" s="734">
        <f t="shared" si="137"/>
        <v>6.6652345404800517</v>
      </c>
      <c r="AE185" s="735">
        <f t="shared" si="138"/>
        <v>1.4201954553543508</v>
      </c>
      <c r="AF185" s="732" t="str">
        <f t="shared" si="139"/>
        <v>1.32387120960128-8.81394670867872i</v>
      </c>
      <c r="AG185" s="337">
        <f t="shared" si="140"/>
        <v>8.9128161409870685</v>
      </c>
      <c r="AH185" s="730">
        <f t="shared" si="141"/>
        <v>-1.4217089647200287</v>
      </c>
      <c r="AI185" s="731" t="str">
        <f t="shared" si="119"/>
        <v>10000</v>
      </c>
      <c r="AJ185" s="733" t="str">
        <f t="shared" si="142"/>
        <v>1+61596.877775512i</v>
      </c>
      <c r="AK185" s="734">
        <f t="shared" si="143"/>
        <v>61596.877783629287</v>
      </c>
      <c r="AL185" s="735">
        <f t="shared" si="144"/>
        <v>1.5707800922058066</v>
      </c>
      <c r="AM185" s="340" t="str">
        <f t="shared" si="145"/>
        <v>1+104.536979353469i</v>
      </c>
      <c r="AN185" s="734">
        <f t="shared" si="146"/>
        <v>104.54176224049222</v>
      </c>
      <c r="AO185" s="735">
        <f t="shared" si="147"/>
        <v>1.5612306256897064</v>
      </c>
      <c r="AP185" s="733" t="str">
        <f t="shared" si="148"/>
        <v>1+5.07021581016237i</v>
      </c>
      <c r="AQ185" s="734">
        <f t="shared" si="149"/>
        <v>5.1678901266977855</v>
      </c>
      <c r="AR185" s="735">
        <f t="shared" si="150"/>
        <v>1.3760653881487492</v>
      </c>
      <c r="AS185" s="732" t="str">
        <f t="shared" si="151"/>
        <v>0.0252676752542973-22.4800548627118i</v>
      </c>
      <c r="AT185" s="337">
        <f t="shared" si="152"/>
        <v>22.480069063193405</v>
      </c>
      <c r="AU185" s="730">
        <f t="shared" si="153"/>
        <v>-1.5696723231050622</v>
      </c>
      <c r="AV185" s="732" t="str">
        <f t="shared" si="154"/>
        <v>-3.20743624809035+0.0227231780633709i</v>
      </c>
      <c r="AW185" s="337">
        <f t="shared" si="155"/>
        <v>10.123378628837687</v>
      </c>
      <c r="AX185" s="730">
        <f t="shared" si="156"/>
        <v>179.59409312660583</v>
      </c>
      <c r="AY185" s="360">
        <f t="shared" si="157"/>
        <v>-0.40590687339417286</v>
      </c>
      <c r="BB185" s="337">
        <f t="shared" si="158"/>
        <v>-12.964047177257285</v>
      </c>
      <c r="BC185" s="730">
        <f t="shared" si="159"/>
        <v>-89.935599332415364</v>
      </c>
      <c r="BD185" s="351"/>
      <c r="BE185" s="337">
        <f t="shared" si="120"/>
        <v>55.931805727575956</v>
      </c>
      <c r="BF185" s="730">
        <f t="shared" si="121"/>
        <v>-44.109402805390268</v>
      </c>
      <c r="BI185" s="351"/>
      <c r="BJ185" s="351"/>
      <c r="BL185" s="405">
        <f t="shared" si="122"/>
        <v>0</v>
      </c>
      <c r="BM185" s="405">
        <f t="shared" si="160"/>
        <v>0</v>
      </c>
      <c r="BN185" s="405">
        <f t="shared" si="123"/>
        <v>0</v>
      </c>
      <c r="BO185" s="405">
        <f t="shared" si="124"/>
        <v>0</v>
      </c>
    </row>
    <row r="186" spans="4:67" ht="13.5" thickBot="1" x14ac:dyDescent="0.25">
      <c r="D186" s="345">
        <v>10471</v>
      </c>
      <c r="E186" s="340" t="str">
        <f t="shared" si="111"/>
        <v>0.1736888560479i</v>
      </c>
      <c r="F186" s="728" t="str">
        <f t="shared" si="125"/>
        <v>0.005-0.24917366323522i</v>
      </c>
      <c r="G186" s="337" t="str">
        <f t="shared" si="126"/>
        <v>0.005-0.389733165573037i</v>
      </c>
      <c r="H186" s="338" t="str">
        <f t="shared" si="127"/>
        <v>0.11690475590686-0.350843403157221i</v>
      </c>
      <c r="I186" s="338" t="str">
        <f t="shared" si="128"/>
        <v>0.12690475590686-0.350843403157221i</v>
      </c>
      <c r="J186" s="337" t="str">
        <f t="shared" si="129"/>
        <v>0.0227289702051426-0.149636529530415i</v>
      </c>
      <c r="K186" s="338" t="str">
        <f t="shared" si="112"/>
        <v>0.998781757322222-0.0548260277928979i</v>
      </c>
      <c r="L186" s="732"/>
      <c r="M186" s="732" t="str">
        <f t="shared" si="113"/>
        <v>415.095329824209-439.26356182015i</v>
      </c>
      <c r="N186" s="337">
        <f t="shared" si="114"/>
        <v>0</v>
      </c>
      <c r="O186" s="730" t="str">
        <f t="shared" si="115"/>
        <v>130.39737939891-207.623208827837i</v>
      </c>
      <c r="P186" s="731" t="str">
        <f t="shared" si="116"/>
        <v>-56.2951855560679-72.0974329879926i</v>
      </c>
      <c r="Q186" s="729" t="str">
        <f t="shared" si="117"/>
        <v>-57.5991593500569-70.0212008997142i</v>
      </c>
      <c r="R186" s="730"/>
      <c r="S186" s="405" t="str">
        <f t="shared" si="130"/>
        <v>39.4212202280275+1.54246160406094i</v>
      </c>
      <c r="T186" s="405" t="str">
        <f t="shared" si="131"/>
        <v>15.8070160745847-2.5058848684927i</v>
      </c>
      <c r="U186" s="405" t="str">
        <f t="shared" si="132"/>
        <v>0.96874218063298-5.83873717225001i</v>
      </c>
      <c r="V186" s="731" t="str">
        <f t="shared" si="118"/>
        <v>6000</v>
      </c>
      <c r="W186" s="733" t="str">
        <f>IMSUM(COMPLEX(1,0),IMDIV(COMPLEX(0,2*PI()*D186),COMPLEX(2*PI()*'Stability Calculations'!EA_Pole1,0)))</f>
        <v>1+66449.1456849923i</v>
      </c>
      <c r="X186" s="734">
        <f t="shared" si="133"/>
        <v>66449.14569251686</v>
      </c>
      <c r="Y186" s="735">
        <f t="shared" si="134"/>
        <v>1.5707812776924648</v>
      </c>
      <c r="Z186" s="340" t="str">
        <f>IMSUM(COMPLEX(1,0),IMDIV(COMPLEX(0,2*PI()*D186),COMPLEX(2*PI()*'Stability Calculations'!EA_Zero1,0)))</f>
        <v>1+657.912333514775i</v>
      </c>
      <c r="AA186" s="734">
        <f t="shared" si="135"/>
        <v>657.91309349400899</v>
      </c>
      <c r="AB186" s="735">
        <f t="shared" si="136"/>
        <v>1.5692763686196689</v>
      </c>
      <c r="AC186" s="733" t="str">
        <f>IMSUM(COMPLEX(1,0),IMDIV(COMPLEX(0,2*PI()*D186),COMPLEX(2*PI()*'Stability Calculations'!EA_Pole2,0)))</f>
        <v>1+6.62745102745544i</v>
      </c>
      <c r="AD186" s="734">
        <f t="shared" si="137"/>
        <v>6.7024702253214192</v>
      </c>
      <c r="AE186" s="735">
        <f t="shared" si="138"/>
        <v>1.421038450463997</v>
      </c>
      <c r="AF186" s="732" t="str">
        <f t="shared" si="139"/>
        <v>1.30920249184936-8.76607600824696i</v>
      </c>
      <c r="AG186" s="337">
        <f t="shared" si="140"/>
        <v>8.8633007252957157</v>
      </c>
      <c r="AH186" s="730">
        <f t="shared" si="141"/>
        <v>-1.4225433595367922</v>
      </c>
      <c r="AI186" s="731" t="str">
        <f t="shared" si="119"/>
        <v>10000</v>
      </c>
      <c r="AJ186" s="733" t="str">
        <f t="shared" si="142"/>
        <v>1+61948.8937412847i</v>
      </c>
      <c r="AK186" s="734">
        <f t="shared" si="143"/>
        <v>61948.89374935587</v>
      </c>
      <c r="AL186" s="735">
        <f t="shared" si="144"/>
        <v>1.5707801844565994</v>
      </c>
      <c r="AM186" s="340" t="str">
        <f t="shared" si="145"/>
        <v>1+105.134390895661i</v>
      </c>
      <c r="AN186" s="734">
        <f t="shared" si="146"/>
        <v>105.13914660582731</v>
      </c>
      <c r="AO186" s="735">
        <f t="shared" si="147"/>
        <v>1.5612849781672185</v>
      </c>
      <c r="AP186" s="733" t="str">
        <f t="shared" si="148"/>
        <v>1+5.09919125469051i</v>
      </c>
      <c r="AQ186" s="734">
        <f t="shared" si="149"/>
        <v>5.1963209535124149</v>
      </c>
      <c r="AR186" s="735">
        <f t="shared" si="150"/>
        <v>1.3771443869256699</v>
      </c>
      <c r="AS186" s="732" t="str">
        <f t="shared" si="151"/>
        <v>0.0249813313905456-22.3523154000652i</v>
      </c>
      <c r="AT186" s="337">
        <f t="shared" si="152"/>
        <v>22.352329359843235</v>
      </c>
      <c r="AU186" s="730">
        <f t="shared" si="153"/>
        <v>-1.5696787100942415</v>
      </c>
      <c r="AV186" s="732" t="str">
        <f t="shared" si="154"/>
        <v>-3.17062311900122+0.0248929382804245i</v>
      </c>
      <c r="AW186" s="337">
        <f t="shared" si="155"/>
        <v>10.023160131400392</v>
      </c>
      <c r="AX186" s="730">
        <f t="shared" si="156"/>
        <v>179.55017327958058</v>
      </c>
      <c r="AY186" s="360">
        <f t="shared" si="157"/>
        <v>-0.44982672041942351</v>
      </c>
      <c r="BB186" s="337">
        <f t="shared" si="158"/>
        <v>-13.013544237743337</v>
      </c>
      <c r="BC186" s="730">
        <f t="shared" si="159"/>
        <v>-89.935965279939126</v>
      </c>
      <c r="BD186" s="351"/>
      <c r="BE186" s="337">
        <f t="shared" si="120"/>
        <v>55.625980835528956</v>
      </c>
      <c r="BF186" s="730">
        <f t="shared" si="121"/>
        <v>-46.620359450563228</v>
      </c>
      <c r="BI186" s="351"/>
      <c r="BJ186" s="351"/>
      <c r="BL186" s="405">
        <f t="shared" si="122"/>
        <v>0</v>
      </c>
      <c r="BM186" s="405">
        <f t="shared" si="160"/>
        <v>0</v>
      </c>
      <c r="BN186" s="405">
        <f t="shared" si="123"/>
        <v>0</v>
      </c>
      <c r="BO186" s="405">
        <f t="shared" si="124"/>
        <v>0</v>
      </c>
    </row>
    <row r="187" spans="4:67" ht="13.5" thickBot="1" x14ac:dyDescent="0.25">
      <c r="D187" s="345">
        <v>10532</v>
      </c>
      <c r="E187" s="340" t="str">
        <f t="shared" si="111"/>
        <v>0.174700700209769i</v>
      </c>
      <c r="F187" s="728" t="str">
        <f t="shared" si="125"/>
        <v>0.005-0.247730481175084i</v>
      </c>
      <c r="G187" s="337" t="str">
        <f t="shared" si="126"/>
        <v>0.005-0.387475880812312i</v>
      </c>
      <c r="H187" s="338" t="str">
        <f t="shared" si="127"/>
        <v>0.115730158058863-0.349183910006473i</v>
      </c>
      <c r="I187" s="338" t="str">
        <f t="shared" si="128"/>
        <v>0.125730158058863-0.349183910006473i</v>
      </c>
      <c r="J187" s="337" t="str">
        <f t="shared" si="129"/>
        <v>0.022517416915401-0.148796132307722i</v>
      </c>
      <c r="K187" s="338" t="str">
        <f t="shared" si="112"/>
        <v>0.998767521955556-0.0551454230460128i</v>
      </c>
      <c r="L187" s="732"/>
      <c r="M187" s="732" t="str">
        <f t="shared" si="113"/>
        <v>382.272909880436-439.775778381483i</v>
      </c>
      <c r="N187" s="337">
        <f t="shared" si="114"/>
        <v>0</v>
      </c>
      <c r="O187" s="730" t="str">
        <f t="shared" si="115"/>
        <v>117.430155874669-205.031350030455i</v>
      </c>
      <c r="P187" s="731" t="str">
        <f t="shared" si="116"/>
        <v>-56.8291364185413-66.7833450273381i</v>
      </c>
      <c r="Q187" s="729" t="str">
        <f t="shared" si="117"/>
        <v>-58.003437977288-64.7330315270334i</v>
      </c>
      <c r="R187" s="730"/>
      <c r="S187" s="405" t="str">
        <f t="shared" si="130"/>
        <v>39.4295117677065+1.50992757114769i</v>
      </c>
      <c r="T187" s="405" t="str">
        <f t="shared" si="131"/>
        <v>15.8029110648206-2.50406832336038i</v>
      </c>
      <c r="U187" s="405" t="str">
        <f t="shared" si="132"/>
        <v>0.954493027247526-5.80791849795133i</v>
      </c>
      <c r="V187" s="731" t="str">
        <f t="shared" si="118"/>
        <v>6000</v>
      </c>
      <c r="W187" s="733" t="str">
        <f>IMSUM(COMPLEX(1,0),IMDIV(COMPLEX(0,2*PI()*D187),COMPLEX(2*PI()*'Stability Calculations'!EA_Pole1,0)))</f>
        <v>1+66836.2527317676i</v>
      </c>
      <c r="X187" s="734">
        <f t="shared" si="133"/>
        <v>66836.252739248564</v>
      </c>
      <c r="Y187" s="735">
        <f t="shared" si="134"/>
        <v>1.5707813648549456</v>
      </c>
      <c r="Z187" s="340" t="str">
        <f>IMSUM(COMPLEX(1,0),IMDIV(COMPLEX(0,2*PI()*D187),COMPLEX(2*PI()*'Stability Calculations'!EA_Zero1,0)))</f>
        <v>1+661.745076552154i</v>
      </c>
      <c r="AA187" s="734">
        <f t="shared" si="135"/>
        <v>661.74583212969026</v>
      </c>
      <c r="AB187" s="735">
        <f t="shared" si="136"/>
        <v>1.5692851720100149</v>
      </c>
      <c r="AC187" s="733" t="str">
        <f>IMSUM(COMPLEX(1,0),IMDIV(COMPLEX(0,2*PI()*D187),COMPLEX(2*PI()*'Stability Calculations'!EA_Pole2,0)))</f>
        <v>1+6.66605999629077i</v>
      </c>
      <c r="AD187" s="734">
        <f t="shared" si="137"/>
        <v>6.740649514264045</v>
      </c>
      <c r="AE187" s="735">
        <f t="shared" si="138"/>
        <v>1.4218930282823221</v>
      </c>
      <c r="AF187" s="732" t="str">
        <f t="shared" si="139"/>
        <v>1.29441374946994-8.7175225255674i</v>
      </c>
      <c r="AG187" s="337">
        <f t="shared" si="140"/>
        <v>8.8130985435652462</v>
      </c>
      <c r="AH187" s="730">
        <f t="shared" si="141"/>
        <v>-1.4233892211272527</v>
      </c>
      <c r="AI187" s="731" t="str">
        <f t="shared" si="119"/>
        <v>10000</v>
      </c>
      <c r="AJ187" s="733" t="str">
        <f t="shared" si="142"/>
        <v>1+62309.7840591358i</v>
      </c>
      <c r="AK187" s="734">
        <f t="shared" si="143"/>
        <v>62309.784067160232</v>
      </c>
      <c r="AL187" s="735">
        <f t="shared" si="144"/>
        <v>1.5707802779509628</v>
      </c>
      <c r="AM187" s="340" t="str">
        <f t="shared" si="145"/>
        <v>1+105.746863233034i</v>
      </c>
      <c r="AN187" s="734">
        <f t="shared" si="146"/>
        <v>105.751591399969</v>
      </c>
      <c r="AO187" s="735">
        <f t="shared" si="147"/>
        <v>1.5613400633911665</v>
      </c>
      <c r="AP187" s="733" t="str">
        <f t="shared" si="148"/>
        <v>1+5.1288971726101i</v>
      </c>
      <c r="AQ187" s="734">
        <f t="shared" si="149"/>
        <v>5.2254747351037762</v>
      </c>
      <c r="AR187" s="735">
        <f t="shared" si="150"/>
        <v>1.3782383970557484</v>
      </c>
      <c r="AS187" s="732" t="str">
        <f t="shared" si="151"/>
        <v>0.0246927923981405-22.2228539622798i</v>
      </c>
      <c r="AT187" s="337">
        <f t="shared" si="152"/>
        <v>22.222867680900485</v>
      </c>
      <c r="AU187" s="730">
        <f t="shared" si="153"/>
        <v>-1.5696851831822078</v>
      </c>
      <c r="AV187" s="732" t="str">
        <f t="shared" si="154"/>
        <v>-3.13353485848143+0.0270472446686126i</v>
      </c>
      <c r="AW187" s="337">
        <f t="shared" si="155"/>
        <v>9.9210141587529055</v>
      </c>
      <c r="AX187" s="730">
        <f t="shared" si="156"/>
        <v>179.50546122740059</v>
      </c>
      <c r="AY187" s="360">
        <f t="shared" si="157"/>
        <v>-0.49453877259941237</v>
      </c>
      <c r="BB187" s="337">
        <f t="shared" si="158"/>
        <v>-13.06399799194268</v>
      </c>
      <c r="BC187" s="730">
        <f t="shared" si="159"/>
        <v>-89.936336160560018</v>
      </c>
      <c r="BD187" s="351"/>
      <c r="BE187" s="337">
        <f t="shared" si="120"/>
        <v>55.308849491354252</v>
      </c>
      <c r="BF187" s="730">
        <f t="shared" si="121"/>
        <v>-49.001361143314156</v>
      </c>
      <c r="BI187" s="351"/>
      <c r="BJ187" s="351"/>
      <c r="BL187" s="405">
        <f t="shared" si="122"/>
        <v>0</v>
      </c>
      <c r="BM187" s="405">
        <f t="shared" si="160"/>
        <v>0</v>
      </c>
      <c r="BN187" s="405">
        <f t="shared" si="123"/>
        <v>0</v>
      </c>
      <c r="BO187" s="405">
        <f t="shared" si="124"/>
        <v>0</v>
      </c>
    </row>
    <row r="188" spans="4:67" ht="13.5" thickBot="1" x14ac:dyDescent="0.25">
      <c r="D188" s="345">
        <v>10593</v>
      </c>
      <c r="E188" s="340" t="str">
        <f t="shared" si="111"/>
        <v>0.175712544371637i</v>
      </c>
      <c r="F188" s="728" t="str">
        <f t="shared" si="125"/>
        <v>0.005-0.246303920299819i</v>
      </c>
      <c r="G188" s="337" t="str">
        <f t="shared" si="126"/>
        <v>0.005-0.385244593289462i</v>
      </c>
      <c r="H188" s="338" t="str">
        <f t="shared" si="127"/>
        <v>0.114573346400924-0.347537920545274i</v>
      </c>
      <c r="I188" s="338" t="str">
        <f t="shared" si="128"/>
        <v>0.124573346400924-0.347537920545274i</v>
      </c>
      <c r="J188" s="337" t="str">
        <f t="shared" si="129"/>
        <v>0.0223094352462435-0.147964976006523i</v>
      </c>
      <c r="K188" s="338" t="str">
        <f t="shared" si="112"/>
        <v>0.9987532039-0.0554648182991278i</v>
      </c>
      <c r="L188" s="732"/>
      <c r="M188" s="732" t="str">
        <f t="shared" si="113"/>
        <v>351.984199050187-437.783633641263i</v>
      </c>
      <c r="N188" s="337">
        <f t="shared" si="114"/>
        <v>0</v>
      </c>
      <c r="O188" s="730" t="str">
        <f t="shared" si="115"/>
        <v>105.672761615388-201.670325871944i</v>
      </c>
      <c r="P188" s="731" t="str">
        <f t="shared" si="116"/>
        <v>-56.924076151367-61.848039193721i</v>
      </c>
      <c r="Q188" s="729" t="str">
        <f t="shared" si="117"/>
        <v>-57.9808037675209-59.8313359350014i</v>
      </c>
      <c r="R188" s="730"/>
      <c r="S188" s="405" t="str">
        <f t="shared" si="130"/>
        <v>39.4376507349865+1.47758840335789i</v>
      </c>
      <c r="T188" s="405" t="str">
        <f t="shared" si="131"/>
        <v>15.7988614754072-2.50232836165083i</v>
      </c>
      <c r="U188" s="405" t="str">
        <f t="shared" si="132"/>
        <v>0.940474433232425-5.77740359833408i</v>
      </c>
      <c r="V188" s="731" t="str">
        <f t="shared" si="118"/>
        <v>6000</v>
      </c>
      <c r="W188" s="733" t="str">
        <f>IMSUM(COMPLEX(1,0),IMDIV(COMPLEX(0,2*PI()*D188),COMPLEX(2*PI()*'Stability Calculations'!EA_Pole1,0)))</f>
        <v>1+67223.3597785429i</v>
      </c>
      <c r="X188" s="734">
        <f t="shared" si="133"/>
        <v>67223.359785980792</v>
      </c>
      <c r="Y188" s="735">
        <f t="shared" si="134"/>
        <v>1.5707814510135727</v>
      </c>
      <c r="Z188" s="340" t="str">
        <f>IMSUM(COMPLEX(1,0),IMDIV(COMPLEX(0,2*PI()*D188),COMPLEX(2*PI()*'Stability Calculations'!EA_Zero1,0)))</f>
        <v>1+665.577819589534i</v>
      </c>
      <c r="AA188" s="734">
        <f t="shared" si="135"/>
        <v>665.57857081606699</v>
      </c>
      <c r="AB188" s="735">
        <f t="shared" si="136"/>
        <v>1.5692938740115965</v>
      </c>
      <c r="AC188" s="733" t="str">
        <f>IMSUM(COMPLEX(1,0),IMDIV(COMPLEX(0,2*PI()*D188),COMPLEX(2*PI()*'Stability Calculations'!EA_Pole2,0)))</f>
        <v>1+6.70466896512611i</v>
      </c>
      <c r="AD188" s="734">
        <f t="shared" si="137"/>
        <v>6.7788336704720251</v>
      </c>
      <c r="AE188" s="735">
        <f t="shared" si="138"/>
        <v>1.4227379792938621</v>
      </c>
      <c r="AF188" s="732" t="str">
        <f t="shared" si="139"/>
        <v>1.27987234148608-8.669491345434i</v>
      </c>
      <c r="AG188" s="337">
        <f t="shared" si="140"/>
        <v>8.7634555626793755</v>
      </c>
      <c r="AH188" s="730">
        <f t="shared" si="141"/>
        <v>-1.4242255562958384</v>
      </c>
      <c r="AI188" s="731" t="str">
        <f t="shared" si="119"/>
        <v>10000</v>
      </c>
      <c r="AJ188" s="733" t="str">
        <f t="shared" si="142"/>
        <v>1+62670.6743769868i</v>
      </c>
      <c r="AK188" s="734">
        <f t="shared" si="143"/>
        <v>62670.674384965008</v>
      </c>
      <c r="AL188" s="735">
        <f t="shared" si="144"/>
        <v>1.5707803703685479</v>
      </c>
      <c r="AM188" s="340" t="str">
        <f t="shared" si="145"/>
        <v>1+106.359335570408i</v>
      </c>
      <c r="AN188" s="734">
        <f t="shared" si="146"/>
        <v>106.36403651130705</v>
      </c>
      <c r="AO188" s="735">
        <f t="shared" si="147"/>
        <v>1.5613945142528149</v>
      </c>
      <c r="AP188" s="733" t="str">
        <f t="shared" si="148"/>
        <v>1+5.1586030905297i</v>
      </c>
      <c r="AQ188" s="734">
        <f t="shared" si="149"/>
        <v>5.2546347014442949</v>
      </c>
      <c r="AR188" s="735">
        <f t="shared" si="150"/>
        <v>1.3793202663121766</v>
      </c>
      <c r="AS188" s="732" t="str">
        <f t="shared" si="151"/>
        <v>0.0244092237040446-22.0948835315032i</v>
      </c>
      <c r="AT188" s="337">
        <f t="shared" si="152"/>
        <v>22.094897014489412</v>
      </c>
      <c r="AU188" s="730">
        <f t="shared" si="153"/>
        <v>-1.5696915817194557</v>
      </c>
      <c r="AV188" s="732" t="str">
        <f t="shared" si="154"/>
        <v>-3.0970924415259+0.0291328823957525i</v>
      </c>
      <c r="AW188" s="337">
        <f t="shared" si="155"/>
        <v>9.8194676247345853</v>
      </c>
      <c r="AX188" s="730">
        <f t="shared" si="156"/>
        <v>179.46106162185453</v>
      </c>
      <c r="AY188" s="360">
        <f t="shared" si="157"/>
        <v>-0.53893837814547396</v>
      </c>
      <c r="BB188" s="337">
        <f t="shared" si="158"/>
        <v>-13.114160367341025</v>
      </c>
      <c r="BC188" s="730">
        <f t="shared" si="159"/>
        <v>-89.93670276973937</v>
      </c>
      <c r="BD188" s="351"/>
      <c r="BE188" s="337">
        <f t="shared" si="120"/>
        <v>54.990645871876318</v>
      </c>
      <c r="BF188" s="730">
        <f t="shared" si="121"/>
        <v>-51.20022888453034</v>
      </c>
      <c r="BI188" s="351"/>
      <c r="BJ188" s="351"/>
      <c r="BL188" s="405">
        <f t="shared" si="122"/>
        <v>0</v>
      </c>
      <c r="BM188" s="405">
        <f t="shared" si="160"/>
        <v>0</v>
      </c>
      <c r="BN188" s="405">
        <f t="shared" si="123"/>
        <v>0</v>
      </c>
      <c r="BO188" s="405">
        <f t="shared" si="124"/>
        <v>0</v>
      </c>
    </row>
    <row r="189" spans="4:67" ht="13.5" thickBot="1" x14ac:dyDescent="0.25">
      <c r="D189" s="345">
        <v>10654</v>
      </c>
      <c r="E189" s="340" t="str">
        <f t="shared" si="111"/>
        <v>0.176724388533505i</v>
      </c>
      <c r="F189" s="728" t="str">
        <f t="shared" si="125"/>
        <v>0.005-0.244893695113196i</v>
      </c>
      <c r="G189" s="337" t="str">
        <f t="shared" si="126"/>
        <v>0.005-0.383038856459101i</v>
      </c>
      <c r="H189" s="338" t="str">
        <f t="shared" si="127"/>
        <v>0.113433976555762-0.345905310800856i</v>
      </c>
      <c r="I189" s="338" t="str">
        <f t="shared" si="128"/>
        <v>0.123433976555762-0.345905310800856i</v>
      </c>
      <c r="J189" s="337" t="str">
        <f t="shared" si="129"/>
        <v>0.0221049456478167-0.147142911615302i</v>
      </c>
      <c r="K189" s="338" t="str">
        <f t="shared" si="112"/>
        <v>0.998738803155556-0.0557842135522428i</v>
      </c>
      <c r="L189" s="732"/>
      <c r="M189" s="732" t="str">
        <f t="shared" si="113"/>
        <v>324.192547644849-433.843833773767i</v>
      </c>
      <c r="N189" s="337">
        <f t="shared" si="114"/>
        <v>0</v>
      </c>
      <c r="O189" s="730" t="str">
        <f t="shared" si="115"/>
        <v>95.0633724411695-197.755958616367i</v>
      </c>
      <c r="P189" s="731" t="str">
        <f t="shared" si="116"/>
        <v>-56.6707862427005-57.2927297496552i</v>
      </c>
      <c r="Q189" s="729" t="str">
        <f t="shared" si="117"/>
        <v>-57.6214199671122-55.3151701634915i</v>
      </c>
      <c r="R189" s="730"/>
      <c r="S189" s="405" t="str">
        <f t="shared" si="130"/>
        <v>39.4456402459127+1.44544143664185i</v>
      </c>
      <c r="T189" s="405" t="str">
        <f t="shared" si="131"/>
        <v>15.7948660760344-2.50066392936217i</v>
      </c>
      <c r="U189" s="405" t="str">
        <f t="shared" si="132"/>
        <v>0.926681534475782-5.74718831262565i</v>
      </c>
      <c r="V189" s="731" t="str">
        <f t="shared" si="118"/>
        <v>6000</v>
      </c>
      <c r="W189" s="733" t="str">
        <f>IMSUM(COMPLEX(1,0),IMDIV(COMPLEX(0,2*PI()*D189),COMPLEX(2*PI()*'Stability Calculations'!EA_Pole1,0)))</f>
        <v>1+67610.4668253182i</v>
      </c>
      <c r="X189" s="734">
        <f t="shared" si="133"/>
        <v>67610.4668327135</v>
      </c>
      <c r="Y189" s="735">
        <f t="shared" si="134"/>
        <v>1.5707815361855888</v>
      </c>
      <c r="Z189" s="340" t="str">
        <f>IMSUM(COMPLEX(1,0),IMDIV(COMPLEX(0,2*PI()*D189),COMPLEX(2*PI()*'Stability Calculations'!EA_Zero1,0)))</f>
        <v>1+669.410562626913i</v>
      </c>
      <c r="AA189" s="734">
        <f t="shared" si="135"/>
        <v>669.41130955226652</v>
      </c>
      <c r="AB189" s="735">
        <f t="shared" si="136"/>
        <v>1.5693024763659271</v>
      </c>
      <c r="AC189" s="733" t="str">
        <f>IMSUM(COMPLEX(1,0),IMDIV(COMPLEX(0,2*PI()*D189),COMPLEX(2*PI()*'Stability Calculations'!EA_Pole2,0)))</f>
        <v>1+6.74327793396144i</v>
      </c>
      <c r="AD189" s="734">
        <f t="shared" si="137"/>
        <v>6.8170226121563697</v>
      </c>
      <c r="AE189" s="735">
        <f t="shared" si="138"/>
        <v>1.4235734640699074</v>
      </c>
      <c r="AF189" s="732" t="str">
        <f t="shared" si="139"/>
        <v>1.26557282401021-8.62197430374498i</v>
      </c>
      <c r="AG189" s="337">
        <f t="shared" si="140"/>
        <v>8.7143625967314389</v>
      </c>
      <c r="AH189" s="730">
        <f t="shared" si="141"/>
        <v>-1.4250525238895679</v>
      </c>
      <c r="AI189" s="731" t="str">
        <f t="shared" si="119"/>
        <v>10000</v>
      </c>
      <c r="AJ189" s="733" t="str">
        <f t="shared" si="142"/>
        <v>1+63031.5646948378i</v>
      </c>
      <c r="AK189" s="734">
        <f t="shared" si="143"/>
        <v>63031.564702770331</v>
      </c>
      <c r="AL189" s="735">
        <f t="shared" si="144"/>
        <v>1.5707804617278502</v>
      </c>
      <c r="AM189" s="340" t="str">
        <f t="shared" si="145"/>
        <v>1+106.971807907781i</v>
      </c>
      <c r="AN189" s="734">
        <f t="shared" si="146"/>
        <v>106.97648193439153</v>
      </c>
      <c r="AO189" s="735">
        <f t="shared" si="147"/>
        <v>1.5614483416471001</v>
      </c>
      <c r="AP189" s="733" t="str">
        <f t="shared" si="148"/>
        <v>1+5.1883090084493i</v>
      </c>
      <c r="AQ189" s="734">
        <f t="shared" si="149"/>
        <v>5.2838007501377415</v>
      </c>
      <c r="AR189" s="735">
        <f t="shared" si="150"/>
        <v>1.3803901931904359</v>
      </c>
      <c r="AS189" s="732" t="str">
        <f t="shared" si="151"/>
        <v>0.0241305118042403-21.9683784973586i</v>
      </c>
      <c r="AT189" s="337">
        <f t="shared" si="152"/>
        <v>21.968391750076009</v>
      </c>
      <c r="AU189" s="730">
        <f t="shared" si="153"/>
        <v>-1.5696979069865142</v>
      </c>
      <c r="AV189" s="732" t="str">
        <f t="shared" si="154"/>
        <v>-3.06128096638628+0.0311521391619483i</v>
      </c>
      <c r="AW189" s="337">
        <f t="shared" si="155"/>
        <v>9.7185135338113717</v>
      </c>
      <c r="AX189" s="730">
        <f t="shared" si="156"/>
        <v>179.41696808977733</v>
      </c>
      <c r="AY189" s="360">
        <f t="shared" si="157"/>
        <v>-0.58303191022267242</v>
      </c>
      <c r="BB189" s="337">
        <f t="shared" si="158"/>
        <v>-13.164034710140465</v>
      </c>
      <c r="BC189" s="730">
        <f t="shared" si="159"/>
        <v>-89.937065180846119</v>
      </c>
      <c r="BD189" s="351"/>
      <c r="BE189" s="337">
        <f t="shared" si="120"/>
        <v>54.673435715857359</v>
      </c>
      <c r="BF189" s="730">
        <f t="shared" si="121"/>
        <v>-53.230843663754335</v>
      </c>
      <c r="BI189" s="351"/>
      <c r="BJ189" s="351"/>
      <c r="BL189" s="405">
        <f t="shared" si="122"/>
        <v>0</v>
      </c>
      <c r="BM189" s="405">
        <f t="shared" si="160"/>
        <v>0</v>
      </c>
      <c r="BN189" s="405">
        <f t="shared" si="123"/>
        <v>0</v>
      </c>
      <c r="BO189" s="405">
        <f t="shared" si="124"/>
        <v>0</v>
      </c>
    </row>
    <row r="190" spans="4:67" ht="13.5" thickBot="1" x14ac:dyDescent="0.25">
      <c r="D190" s="345">
        <v>10715</v>
      </c>
      <c r="E190" s="340" t="str">
        <f t="shared" si="111"/>
        <v>0.177736232695373i</v>
      </c>
      <c r="F190" s="728" t="str">
        <f t="shared" si="125"/>
        <v>0.005-0.243499526620251i</v>
      </c>
      <c r="G190" s="337" t="str">
        <f t="shared" si="126"/>
        <v>0.005-0.380858233944495i</v>
      </c>
      <c r="H190" s="338" t="str">
        <f t="shared" si="127"/>
        <v>0.112311712095681-0.344285957145233i</v>
      </c>
      <c r="I190" s="338" t="str">
        <f t="shared" si="128"/>
        <v>0.122311712095681-0.344285957145233i</v>
      </c>
      <c r="J190" s="337" t="str">
        <f t="shared" si="129"/>
        <v>0.02190387076155-0.146329793249671i</v>
      </c>
      <c r="K190" s="338" t="str">
        <f t="shared" si="112"/>
        <v>0.998724319722222-0.0561036088053577i</v>
      </c>
      <c r="L190" s="732"/>
      <c r="M190" s="732" t="str">
        <f t="shared" si="113"/>
        <v>298.795628072-428.422304981666i</v>
      </c>
      <c r="N190" s="337">
        <f t="shared" si="114"/>
        <v>0</v>
      </c>
      <c r="O190" s="730" t="str">
        <f t="shared" si="115"/>
        <v>85.5220650770893-193.462775083648i</v>
      </c>
      <c r="P190" s="731" t="str">
        <f t="shared" si="116"/>
        <v>-56.1461664901094-53.1068092793651i</v>
      </c>
      <c r="Q190" s="729" t="str">
        <f t="shared" si="117"/>
        <v>-57.0013871408802-51.1721815285287i</v>
      </c>
      <c r="R190" s="730"/>
      <c r="S190" s="405" t="str">
        <f t="shared" si="130"/>
        <v>39.4534833362046+1.41348405029263i</v>
      </c>
      <c r="T190" s="405" t="str">
        <f t="shared" si="131"/>
        <v>15.7909236681097-2.49907398960668i</v>
      </c>
      <c r="U190" s="405" t="str">
        <f t="shared" si="132"/>
        <v>0.913109592249143-5.71726854770895i</v>
      </c>
      <c r="V190" s="731" t="str">
        <f t="shared" si="118"/>
        <v>6000</v>
      </c>
      <c r="W190" s="733" t="str">
        <f>IMSUM(COMPLEX(1,0),IMDIV(COMPLEX(0,2*PI()*D190),COMPLEX(2*PI()*'Stability Calculations'!EA_Pole1,0)))</f>
        <v>1+67997.5738720936i</v>
      </c>
      <c r="X190" s="734">
        <f t="shared" si="133"/>
        <v>67997.57387944682</v>
      </c>
      <c r="Y190" s="735">
        <f t="shared" si="134"/>
        <v>1.5707816203878444</v>
      </c>
      <c r="Z190" s="340" t="str">
        <f>IMSUM(COMPLEX(1,0),IMDIV(COMPLEX(0,2*PI()*D190),COMPLEX(2*PI()*'Stability Calculations'!EA_Zero1,0)))</f>
        <v>1+673.243305664293i</v>
      </c>
      <c r="AA190" s="734">
        <f t="shared" si="135"/>
        <v>673.24404833743949</v>
      </c>
      <c r="AB190" s="735">
        <f t="shared" si="136"/>
        <v>1.5693109807748638</v>
      </c>
      <c r="AC190" s="733" t="str">
        <f>IMSUM(COMPLEX(1,0),IMDIV(COMPLEX(0,2*PI()*D190),COMPLEX(2*PI()*'Stability Calculations'!EA_Pole2,0)))</f>
        <v>1+6.78188690279678i</v>
      </c>
      <c r="AD190" s="734">
        <f t="shared" si="137"/>
        <v>6.8552162593405095</v>
      </c>
      <c r="AE190" s="735">
        <f t="shared" si="138"/>
        <v>1.4243996396568124</v>
      </c>
      <c r="AF190" s="732" t="str">
        <f t="shared" si="139"/>
        <v>1.251509900977-8.57496340051356i</v>
      </c>
      <c r="AG190" s="337">
        <f t="shared" si="140"/>
        <v>8.6658106575432718</v>
      </c>
      <c r="AH190" s="730">
        <f t="shared" si="141"/>
        <v>-1.425870279269793</v>
      </c>
      <c r="AI190" s="731" t="str">
        <f t="shared" si="119"/>
        <v>10000</v>
      </c>
      <c r="AJ190" s="733" t="str">
        <f t="shared" si="142"/>
        <v>1+63392.4550126889i</v>
      </c>
      <c r="AK190" s="734">
        <f t="shared" si="143"/>
        <v>63392.455020576279</v>
      </c>
      <c r="AL190" s="735">
        <f t="shared" si="144"/>
        <v>1.570780552046944</v>
      </c>
      <c r="AM190" s="340" t="str">
        <f t="shared" si="145"/>
        <v>1+107.584280245154i</v>
      </c>
      <c r="AN190" s="734">
        <f t="shared" si="146"/>
        <v>107.58892766389965</v>
      </c>
      <c r="AO190" s="735">
        <f t="shared" si="147"/>
        <v>1.561501556220898</v>
      </c>
      <c r="AP190" s="733" t="str">
        <f t="shared" si="148"/>
        <v>1+5.2180149263689i</v>
      </c>
      <c r="AQ190" s="734">
        <f t="shared" si="149"/>
        <v>5.3129727810152234</v>
      </c>
      <c r="AR190" s="735">
        <f t="shared" si="150"/>
        <v>1.3814483719372144</v>
      </c>
      <c r="AS190" s="732" t="str">
        <f t="shared" si="151"/>
        <v>0.0238565464163452-21.8433138326605i</v>
      </c>
      <c r="AT190" s="337">
        <f t="shared" si="152"/>
        <v>21.843326860322914</v>
      </c>
      <c r="AU190" s="730">
        <f t="shared" si="153"/>
        <v>-1.5697041602347528</v>
      </c>
      <c r="AV190" s="732" t="str">
        <f t="shared" si="154"/>
        <v>-3.02608595783418+0.0331072159377307i</v>
      </c>
      <c r="AW190" s="337">
        <f t="shared" si="155"/>
        <v>9.6181450110914675</v>
      </c>
      <c r="AX190" s="730">
        <f t="shared" si="156"/>
        <v>179.37317442662103</v>
      </c>
      <c r="AY190" s="360">
        <f t="shared" si="157"/>
        <v>-0.62682557337896583</v>
      </c>
      <c r="BB190" s="337">
        <f t="shared" si="158"/>
        <v>-13.213624309230308</v>
      </c>
      <c r="BC190" s="730">
        <f t="shared" si="159"/>
        <v>-89.937423465578448</v>
      </c>
      <c r="BD190" s="351"/>
      <c r="BE190" s="337">
        <f t="shared" si="120"/>
        <v>54.358833659803587</v>
      </c>
      <c r="BF190" s="730">
        <f t="shared" si="121"/>
        <v>-55.106829410827032</v>
      </c>
      <c r="BI190" s="351"/>
      <c r="BJ190" s="351"/>
      <c r="BL190" s="405">
        <f t="shared" si="122"/>
        <v>0</v>
      </c>
      <c r="BM190" s="405">
        <f t="shared" si="160"/>
        <v>0</v>
      </c>
      <c r="BN190" s="405">
        <f t="shared" si="123"/>
        <v>0</v>
      </c>
      <c r="BO190" s="405">
        <f t="shared" si="124"/>
        <v>0</v>
      </c>
    </row>
    <row r="191" spans="4:67" ht="13.5" thickBot="1" x14ac:dyDescent="0.25">
      <c r="D191" s="345">
        <v>10777.5</v>
      </c>
      <c r="E191" s="340" t="str">
        <f t="shared" si="111"/>
        <v>0.178772958271058i</v>
      </c>
      <c r="F191" s="728" t="str">
        <f t="shared" si="125"/>
        <v>0.005-0.242087444002411i</v>
      </c>
      <c r="G191" s="337" t="str">
        <f t="shared" si="126"/>
        <v>0.005-0.378649591901208i</v>
      </c>
      <c r="H191" s="338" t="str">
        <f t="shared" si="127"/>
        <v>0.111179248806753-0.342640403512614i</v>
      </c>
      <c r="I191" s="338" t="str">
        <f t="shared" si="128"/>
        <v>0.121179248806753-0.342640403512614i</v>
      </c>
      <c r="J191" s="337" t="str">
        <f t="shared" si="129"/>
        <v>0.0217013144446341-0.145505809532778i</v>
      </c>
      <c r="K191" s="338" t="str">
        <f t="shared" si="112"/>
        <v>0.998709394375-0.0564308580401067i</v>
      </c>
      <c r="L191" s="732"/>
      <c r="M191" s="732" t="str">
        <f t="shared" si="113"/>
        <v>275.109323723384-421.73034333671i</v>
      </c>
      <c r="N191" s="337">
        <f t="shared" si="114"/>
        <v>0</v>
      </c>
      <c r="O191" s="730" t="str">
        <f t="shared" si="115"/>
        <v>76.7614315903867-188.815659289419i</v>
      </c>
      <c r="P191" s="731" t="str">
        <f t="shared" si="116"/>
        <v>-55.3939810709726-49.1821076499795i</v>
      </c>
      <c r="Q191" s="729" t="str">
        <f t="shared" si="117"/>
        <v>-56.1615953868765-47.2939510570852i</v>
      </c>
      <c r="R191" s="730"/>
      <c r="S191" s="405" t="str">
        <f t="shared" si="130"/>
        <v>39.4613705161781+1.38093476138869i</v>
      </c>
      <c r="T191" s="405" t="str">
        <f t="shared" si="131"/>
        <v>15.7869380568035-2.49752114915157i</v>
      </c>
      <c r="U191" s="405" t="str">
        <f t="shared" si="132"/>
        <v>0.899428259787566-5.68691535125345i</v>
      </c>
      <c r="V191" s="731" t="str">
        <f t="shared" si="118"/>
        <v>6000</v>
      </c>
      <c r="W191" s="733" t="str">
        <f>IMSUM(COMPLEX(1,0),IMDIV(COMPLEX(0,2*PI()*D191),COMPLEX(2*PI()*'Stability Calculations'!EA_Pole1,0)))</f>
        <v>1+68394.1999446093i</v>
      </c>
      <c r="X191" s="734">
        <f t="shared" si="133"/>
        <v>68394.199951919858</v>
      </c>
      <c r="Y191" s="735">
        <f t="shared" si="134"/>
        <v>1.5707817056720421</v>
      </c>
      <c r="Z191" s="340" t="str">
        <f>IMSUM(COMPLEX(1,0),IMDIV(COMPLEX(0,2*PI()*D191),COMPLEX(2*PI()*'Stability Calculations'!EA_Zero1,0)))</f>
        <v>1+677.17029648128i</v>
      </c>
      <c r="AA191" s="734">
        <f t="shared" si="135"/>
        <v>677.17103484758172</v>
      </c>
      <c r="AB191" s="735">
        <f t="shared" si="136"/>
        <v>1.5693195944599385</v>
      </c>
      <c r="AC191" s="733" t="str">
        <f>IMSUM(COMPLEX(1,0),IMDIV(COMPLEX(0,2*PI()*D191),COMPLEX(2*PI()*'Stability Calculations'!EA_Pole2,0)))</f>
        <v>1+6.82144527250511i</v>
      </c>
      <c r="AD191" s="734">
        <f t="shared" si="137"/>
        <v>6.8943538932797983</v>
      </c>
      <c r="AE191" s="735">
        <f t="shared" si="138"/>
        <v>1.4252366362753879</v>
      </c>
      <c r="AF191" s="732" t="str">
        <f t="shared" si="139"/>
        <v>1.23734117364325-8.5273132549839i</v>
      </c>
      <c r="AG191" s="337">
        <f t="shared" si="140"/>
        <v>8.6166167681182717</v>
      </c>
      <c r="AH191" s="730">
        <f t="shared" si="141"/>
        <v>-1.4266987474874919</v>
      </c>
      <c r="AI191" s="731" t="str">
        <f t="shared" si="119"/>
        <v>10000</v>
      </c>
      <c r="AJ191" s="733" t="str">
        <f t="shared" si="142"/>
        <v>1+63762.2196826183i</v>
      </c>
      <c r="AK191" s="734">
        <f t="shared" si="143"/>
        <v>63762.21969045994</v>
      </c>
      <c r="AL191" s="735">
        <f t="shared" si="144"/>
        <v>1.5707806435265772</v>
      </c>
      <c r="AM191" s="340" t="str">
        <f t="shared" si="145"/>
        <v>1+108.211813377709i</v>
      </c>
      <c r="AN191" s="734">
        <f t="shared" si="146"/>
        <v>108.21643384667657</v>
      </c>
      <c r="AO191" s="735">
        <f t="shared" si="147"/>
        <v>1.5615554546197419</v>
      </c>
      <c r="AP191" s="733" t="str">
        <f t="shared" si="148"/>
        <v>1+5.24845131767996i</v>
      </c>
      <c r="AQ191" s="734">
        <f t="shared" si="149"/>
        <v>5.3428682590960923</v>
      </c>
      <c r="AR191" s="735">
        <f t="shared" si="150"/>
        <v>1.3825205852261111</v>
      </c>
      <c r="AS191" s="732" t="str">
        <f t="shared" si="151"/>
        <v>0.0235806551509775-21.7166421661419i</v>
      </c>
      <c r="AT191" s="337">
        <f t="shared" si="152"/>
        <v>21.716654968469467</v>
      </c>
      <c r="AU191" s="730">
        <f t="shared" si="153"/>
        <v>-1.569710493833101</v>
      </c>
      <c r="AV191" s="732" t="str">
        <f t="shared" si="154"/>
        <v>-2.99065018655481+0.0350460159114484i</v>
      </c>
      <c r="AW191" s="337">
        <f t="shared" si="155"/>
        <v>9.5159086890717397</v>
      </c>
      <c r="AX191" s="730">
        <f t="shared" si="156"/>
        <v>179.3286085741039</v>
      </c>
      <c r="AY191" s="360">
        <f t="shared" si="157"/>
        <v>-0.67139142589610401</v>
      </c>
      <c r="BB191" s="337">
        <f t="shared" si="158"/>
        <v>-13.26414137228274</v>
      </c>
      <c r="BC191" s="730">
        <f t="shared" si="159"/>
        <v>-89.937786354032923</v>
      </c>
      <c r="BD191" s="351"/>
      <c r="BE191" s="337">
        <f t="shared" si="120"/>
        <v>54.040492651844914</v>
      </c>
      <c r="BF191" s="730">
        <f t="shared" si="121"/>
        <v>-56.882196429097569</v>
      </c>
      <c r="BI191" s="351"/>
      <c r="BJ191" s="351"/>
      <c r="BL191" s="405">
        <f t="shared" si="122"/>
        <v>0</v>
      </c>
      <c r="BM191" s="405">
        <f t="shared" si="160"/>
        <v>0</v>
      </c>
      <c r="BN191" s="405">
        <f t="shared" si="123"/>
        <v>0</v>
      </c>
      <c r="BO191" s="405">
        <f t="shared" si="124"/>
        <v>0</v>
      </c>
    </row>
    <row r="192" spans="4:67" ht="13.5" thickBot="1" x14ac:dyDescent="0.25">
      <c r="D192" s="345">
        <v>10840</v>
      </c>
      <c r="E192" s="340" t="str">
        <f t="shared" si="111"/>
        <v>0.179809683846743i</v>
      </c>
      <c r="F192" s="728" t="str">
        <f t="shared" si="125"/>
        <v>0.005-0.240691644625091i</v>
      </c>
      <c r="G192" s="337" t="str">
        <f t="shared" si="126"/>
        <v>0.005-0.376466418516169i</v>
      </c>
      <c r="H192" s="338" t="str">
        <f t="shared" si="127"/>
        <v>0.110064052149428-0.341008504508541i</v>
      </c>
      <c r="I192" s="338" t="str">
        <f t="shared" si="128"/>
        <v>0.120064052149428-0.341008504508541i</v>
      </c>
      <c r="J192" s="337" t="str">
        <f t="shared" si="129"/>
        <v>0.0215021851704833-0.144690916881146i</v>
      </c>
      <c r="K192" s="338" t="str">
        <f t="shared" si="112"/>
        <v>0.998694382222222-0.0567581072748556i</v>
      </c>
      <c r="L192" s="732"/>
      <c r="M192" s="732" t="str">
        <f t="shared" si="113"/>
        <v>253.612587931644-414.216569362433i</v>
      </c>
      <c r="N192" s="337">
        <f t="shared" si="114"/>
        <v>0</v>
      </c>
      <c r="O192" s="730" t="str">
        <f t="shared" si="115"/>
        <v>68.9319962009021-184.031789055275i</v>
      </c>
      <c r="P192" s="731" t="str">
        <f t="shared" si="116"/>
        <v>-54.4801503811415-45.6019992555431i</v>
      </c>
      <c r="Q192" s="729" t="str">
        <f t="shared" si="117"/>
        <v>-55.1694703431505-43.7616813649904i</v>
      </c>
      <c r="R192" s="730"/>
      <c r="S192" s="405" t="str">
        <f t="shared" si="130"/>
        <v>39.4691101898971+1.34857905755971i</v>
      </c>
      <c r="T192" s="405" t="str">
        <f t="shared" si="131"/>
        <v>15.7830056256356-2.4960443599356i</v>
      </c>
      <c r="U192" s="405" t="str">
        <f t="shared" si="132"/>
        <v>0.885969199886056-5.65686390164715i</v>
      </c>
      <c r="V192" s="731" t="str">
        <f t="shared" si="118"/>
        <v>6000</v>
      </c>
      <c r="W192" s="733" t="str">
        <f>IMSUM(COMPLEX(1,0),IMDIV(COMPLEX(0,2*PI()*D192),COMPLEX(2*PI()*'Stability Calculations'!EA_Pole1,0)))</f>
        <v>1+68790.826017125i</v>
      </c>
      <c r="X192" s="734">
        <f t="shared" si="133"/>
        <v>68790.826024393406</v>
      </c>
      <c r="Y192" s="735">
        <f t="shared" si="134"/>
        <v>1.5707817899727965</v>
      </c>
      <c r="Z192" s="340" t="str">
        <f>IMSUM(COMPLEX(1,0),IMDIV(COMPLEX(0,2*PI()*D192),COMPLEX(2*PI()*'Stability Calculations'!EA_Zero1,0)))</f>
        <v>1+681.097287298267i</v>
      </c>
      <c r="AA192" s="734">
        <f t="shared" si="135"/>
        <v>681.09802140738748</v>
      </c>
      <c r="AB192" s="735">
        <f t="shared" si="136"/>
        <v>1.5693281088176794</v>
      </c>
      <c r="AC192" s="733" t="str">
        <f>IMSUM(COMPLEX(1,0),IMDIV(COMPLEX(0,2*PI()*D192),COMPLEX(2*PI()*'Stability Calculations'!EA_Pole2,0)))</f>
        <v>1+6.86100364221344i</v>
      </c>
      <c r="AD192" s="734">
        <f t="shared" si="137"/>
        <v>6.9334963026215055</v>
      </c>
      <c r="AE192" s="735">
        <f t="shared" si="138"/>
        <v>1.4260641830949428</v>
      </c>
      <c r="AF192" s="732" t="str">
        <f t="shared" si="139"/>
        <v>1.22341001884695-8.48017795422762i</v>
      </c>
      <c r="AG192" s="337">
        <f t="shared" si="140"/>
        <v>8.5679723511215453</v>
      </c>
      <c r="AH192" s="730">
        <f t="shared" si="141"/>
        <v>-1.4275178642500597</v>
      </c>
      <c r="AI192" s="731" t="str">
        <f t="shared" si="119"/>
        <v>10000</v>
      </c>
      <c r="AJ192" s="733" t="str">
        <f t="shared" si="142"/>
        <v>1+64131.9843525476i</v>
      </c>
      <c r="AK192" s="734">
        <f t="shared" si="143"/>
        <v>64131.984360344031</v>
      </c>
      <c r="AL192" s="735">
        <f t="shared" si="144"/>
        <v>1.5707807339513253</v>
      </c>
      <c r="AM192" s="340" t="str">
        <f t="shared" si="145"/>
        <v>1+108.839346510263i</v>
      </c>
      <c r="AN192" s="734">
        <f t="shared" si="146"/>
        <v>108.84394034020038</v>
      </c>
      <c r="AO192" s="735">
        <f t="shared" si="147"/>
        <v>1.5616087315492266</v>
      </c>
      <c r="AP192" s="733" t="str">
        <f t="shared" si="148"/>
        <v>1+5.27888770899103i</v>
      </c>
      <c r="AQ192" s="734">
        <f t="shared" si="149"/>
        <v>5.3727698111994862</v>
      </c>
      <c r="AR192" s="735">
        <f t="shared" si="150"/>
        <v>1.3835808651553416</v>
      </c>
      <c r="AS192" s="732" t="str">
        <f t="shared" si="151"/>
        <v>0.0233095222120902-21.5914311917478i</v>
      </c>
      <c r="AT192" s="337">
        <f t="shared" si="152"/>
        <v>21.591443773907425</v>
      </c>
      <c r="AU192" s="730">
        <f t="shared" si="153"/>
        <v>-1.5697167543964985</v>
      </c>
      <c r="AV192" s="732" t="str">
        <f t="shared" si="154"/>
        <v>-2.95583211785324+0.0369218554075535i</v>
      </c>
      <c r="AW192" s="337">
        <f t="shared" si="155"/>
        <v>9.414272852607585</v>
      </c>
      <c r="AX192" s="730">
        <f t="shared" si="156"/>
        <v>179.28434485202729</v>
      </c>
      <c r="AY192" s="360">
        <f t="shared" si="157"/>
        <v>-0.71565514797271135</v>
      </c>
      <c r="BB192" s="337">
        <f t="shared" si="158"/>
        <v>-13.314366326935778</v>
      </c>
      <c r="BC192" s="730">
        <f t="shared" si="159"/>
        <v>-89.938145057892982</v>
      </c>
      <c r="BD192" s="351"/>
      <c r="BE192" s="337">
        <f t="shared" si="120"/>
        <v>53.727182038385024</v>
      </c>
      <c r="BF192" s="730">
        <f t="shared" si="121"/>
        <v>-58.522093521969062</v>
      </c>
      <c r="BI192" s="351"/>
      <c r="BJ192" s="351"/>
      <c r="BL192" s="405">
        <f t="shared" si="122"/>
        <v>0</v>
      </c>
      <c r="BM192" s="405">
        <f t="shared" si="160"/>
        <v>0</v>
      </c>
      <c r="BN192" s="405">
        <f t="shared" si="123"/>
        <v>0</v>
      </c>
      <c r="BO192" s="405">
        <f t="shared" si="124"/>
        <v>0</v>
      </c>
    </row>
    <row r="193" spans="4:67" ht="13.5" thickBot="1" x14ac:dyDescent="0.25">
      <c r="D193" s="345">
        <v>10902.5</v>
      </c>
      <c r="E193" s="340" t="str">
        <f t="shared" si="111"/>
        <v>0.180846409422427i</v>
      </c>
      <c r="F193" s="728" t="str">
        <f t="shared" si="125"/>
        <v>0.005-0.239311848450905i</v>
      </c>
      <c r="G193" s="337" t="str">
        <f t="shared" si="126"/>
        <v>0.005-0.374308275782185i</v>
      </c>
      <c r="H193" s="338" t="str">
        <f t="shared" si="127"/>
        <v>0.108965784882663-0.339390128629995i</v>
      </c>
      <c r="I193" s="338" t="str">
        <f t="shared" si="128"/>
        <v>0.118965784882663-0.339390128629995i</v>
      </c>
      <c r="J193" s="337" t="str">
        <f t="shared" si="129"/>
        <v>0.0213064064290793-0.143884968079849i</v>
      </c>
      <c r="K193" s="338" t="str">
        <f t="shared" si="112"/>
        <v>0.998679283263889-0.0570853565096045i</v>
      </c>
      <c r="L193" s="732"/>
      <c r="M193" s="732" t="str">
        <f t="shared" si="113"/>
        <v>234.12204251578-406.144892159813i</v>
      </c>
      <c r="N193" s="337">
        <f t="shared" si="114"/>
        <v>0</v>
      </c>
      <c r="O193" s="730" t="str">
        <f t="shared" si="115"/>
        <v>61.9391637486126-179.199338908868i</v>
      </c>
      <c r="P193" s="731" t="str">
        <f t="shared" si="116"/>
        <v>-53.4498454523611-42.3401307556237i</v>
      </c>
      <c r="Q193" s="729" t="str">
        <f t="shared" si="117"/>
        <v>-54.0692370898473-40.548137366535i</v>
      </c>
      <c r="R193" s="730"/>
      <c r="S193" s="405" t="str">
        <f t="shared" si="130"/>
        <v>39.4767053758316+1.31641425692469i</v>
      </c>
      <c r="T193" s="405" t="str">
        <f t="shared" si="131"/>
        <v>15.7791251828312-2.49464256075749i</v>
      </c>
      <c r="U193" s="405" t="str">
        <f t="shared" si="132"/>
        <v>0.872727700727652-5.62711001010449i</v>
      </c>
      <c r="V193" s="731" t="str">
        <f t="shared" si="118"/>
        <v>6000</v>
      </c>
      <c r="W193" s="733" t="str">
        <f>IMSUM(COMPLEX(1,0),IMDIV(COMPLEX(0,2*PI()*D193),COMPLEX(2*PI()*'Stability Calculations'!EA_Pole1,0)))</f>
        <v>1+69187.4520896407i</v>
      </c>
      <c r="X193" s="734">
        <f t="shared" si="133"/>
        <v>69187.452096867448</v>
      </c>
      <c r="Y193" s="735">
        <f t="shared" si="134"/>
        <v>1.5707818733070209</v>
      </c>
      <c r="Z193" s="340" t="str">
        <f>IMSUM(COMPLEX(1,0),IMDIV(COMPLEX(0,2*PI()*D193),COMPLEX(2*PI()*'Stability Calculations'!EA_Zero1,0)))</f>
        <v>1+685.024278115254i</v>
      </c>
      <c r="AA193" s="734">
        <f t="shared" si="135"/>
        <v>685.02500801600297</v>
      </c>
      <c r="AB193" s="735">
        <f t="shared" si="136"/>
        <v>1.5693365255563021</v>
      </c>
      <c r="AC193" s="733" t="str">
        <f>IMSUM(COMPLEX(1,0),IMDIV(COMPLEX(0,2*PI()*D193),COMPLEX(2*PI()*'Stability Calculations'!EA_Pole2,0)))</f>
        <v>1+6.90056201192177i</v>
      </c>
      <c r="AD193" s="734">
        <f t="shared" si="137"/>
        <v>6.9726434069424368</v>
      </c>
      <c r="AE193" s="735">
        <f t="shared" si="138"/>
        <v>1.4268824381367893</v>
      </c>
      <c r="AF193" s="732" t="str">
        <f t="shared" si="139"/>
        <v>1.20971119241321-8.4335494039635i</v>
      </c>
      <c r="AG193" s="337">
        <f t="shared" si="140"/>
        <v>8.5198683509865862</v>
      </c>
      <c r="AH193" s="730">
        <f t="shared" si="141"/>
        <v>-1.4283277858875083</v>
      </c>
      <c r="AI193" s="731" t="str">
        <f t="shared" si="119"/>
        <v>10000</v>
      </c>
      <c r="AJ193" s="733" t="str">
        <f t="shared" si="142"/>
        <v>1+64501.7490224769i</v>
      </c>
      <c r="AK193" s="734">
        <f t="shared" si="143"/>
        <v>64501.749030228624</v>
      </c>
      <c r="AL193" s="735">
        <f t="shared" si="144"/>
        <v>1.5707808233393303</v>
      </c>
      <c r="AM193" s="340" t="str">
        <f t="shared" si="145"/>
        <v>1+109.466879642818i</v>
      </c>
      <c r="AN193" s="734">
        <f t="shared" si="146"/>
        <v>109.4714471391294</v>
      </c>
      <c r="AO193" s="735">
        <f t="shared" si="147"/>
        <v>1.5616613976961147</v>
      </c>
      <c r="AP193" s="733" t="str">
        <f t="shared" si="148"/>
        <v>1+5.30932410030209i</v>
      </c>
      <c r="AQ193" s="734">
        <f t="shared" si="149"/>
        <v>5.4026773364738903</v>
      </c>
      <c r="AR193" s="735">
        <f t="shared" si="150"/>
        <v>1.3846294074989731</v>
      </c>
      <c r="AS193" s="732" t="str">
        <f t="shared" si="151"/>
        <v>0.0230430388023416-21.467655788772i</v>
      </c>
      <c r="AT193" s="337">
        <f t="shared" si="152"/>
        <v>21.467668155783318</v>
      </c>
      <c r="AU193" s="730">
        <f t="shared" si="153"/>
        <v>-1.5697229431809905</v>
      </c>
      <c r="AV193" s="732" t="str">
        <f t="shared" si="154"/>
        <v>-2.9216174821121+0.0387368423357903i</v>
      </c>
      <c r="AW193" s="337">
        <f t="shared" si="155"/>
        <v>9.3132304835415187</v>
      </c>
      <c r="AX193" s="730">
        <f t="shared" si="156"/>
        <v>179.24037710284466</v>
      </c>
      <c r="AY193" s="360">
        <f t="shared" si="157"/>
        <v>-0.75962289715533871</v>
      </c>
      <c r="BB193" s="337">
        <f t="shared" si="158"/>
        <v>-13.364302531931491</v>
      </c>
      <c r="BC193" s="730">
        <f t="shared" si="159"/>
        <v>-89.93849964912468</v>
      </c>
      <c r="BD193" s="351"/>
      <c r="BE193" s="337">
        <f t="shared" si="120"/>
        <v>53.419620928501431</v>
      </c>
      <c r="BF193" s="730">
        <f t="shared" si="121"/>
        <v>-60.038720419645905</v>
      </c>
      <c r="BI193" s="351"/>
      <c r="BJ193" s="351"/>
      <c r="BL193" s="405">
        <f t="shared" si="122"/>
        <v>0</v>
      </c>
      <c r="BM193" s="405">
        <f t="shared" si="160"/>
        <v>0</v>
      </c>
      <c r="BN193" s="405">
        <f t="shared" si="123"/>
        <v>0</v>
      </c>
      <c r="BO193" s="405">
        <f t="shared" si="124"/>
        <v>0</v>
      </c>
    </row>
    <row r="194" spans="4:67" ht="13.5" thickBot="1" x14ac:dyDescent="0.25">
      <c r="D194" s="345">
        <v>10965</v>
      </c>
      <c r="E194" s="340" t="str">
        <f t="shared" si="111"/>
        <v>0.181883134998112i</v>
      </c>
      <c r="F194" s="728" t="str">
        <f t="shared" si="125"/>
        <v>0.005-0.237947781827268i</v>
      </c>
      <c r="G194" s="337" t="str">
        <f t="shared" si="126"/>
        <v>0.005-0.372174735678547i</v>
      </c>
      <c r="H194" s="338" t="str">
        <f t="shared" si="127"/>
        <v>0.107884117637272-0.33778514497408i</v>
      </c>
      <c r="I194" s="338" t="str">
        <f t="shared" si="128"/>
        <v>0.117884117637272-0.33778514497408i</v>
      </c>
      <c r="J194" s="337" t="str">
        <f t="shared" si="129"/>
        <v>0.0211139038234037-0.143087819019669i</v>
      </c>
      <c r="K194" s="338" t="str">
        <f t="shared" si="112"/>
        <v>0.9986640975-0.0574126057443535i</v>
      </c>
      <c r="L194" s="732"/>
      <c r="M194" s="732" t="str">
        <f t="shared" si="113"/>
        <v>216.455901188898-397.722522194771i</v>
      </c>
      <c r="N194" s="337">
        <f t="shared" si="114"/>
        <v>0</v>
      </c>
      <c r="O194" s="730" t="str">
        <f t="shared" si="115"/>
        <v>55.6937936628647-174.384320318409i</v>
      </c>
      <c r="P194" s="731" t="str">
        <f t="shared" si="116"/>
        <v>-52.3390191961411-39.3696778970783i</v>
      </c>
      <c r="Q194" s="729" t="str">
        <f t="shared" si="117"/>
        <v>-52.8959571327699-37.6258346938943i</v>
      </c>
      <c r="R194" s="730"/>
      <c r="S194" s="405" t="str">
        <f t="shared" si="130"/>
        <v>39.4841590141985+1.28443772226335i</v>
      </c>
      <c r="T194" s="405" t="str">
        <f t="shared" si="131"/>
        <v>15.7752955675149-2.49331470804992i</v>
      </c>
      <c r="U194" s="405" t="str">
        <f t="shared" si="132"/>
        <v>0.859699172643861-5.59764955755198i</v>
      </c>
      <c r="V194" s="731" t="str">
        <f t="shared" si="118"/>
        <v>6000</v>
      </c>
      <c r="W194" s="733" t="str">
        <f>IMSUM(COMPLEX(1,0),IMDIV(COMPLEX(0,2*PI()*D194),COMPLEX(2*PI()*'Stability Calculations'!EA_Pole1,0)))</f>
        <v>1+69584.0781621564i</v>
      </c>
      <c r="X194" s="734">
        <f t="shared" si="133"/>
        <v>69584.078169341941</v>
      </c>
      <c r="Y194" s="735">
        <f t="shared" si="134"/>
        <v>1.5707819556912428</v>
      </c>
      <c r="Z194" s="340" t="str">
        <f>IMSUM(COMPLEX(1,0),IMDIV(COMPLEX(0,2*PI()*D194),COMPLEX(2*PI()*'Stability Calculations'!EA_Zero1,0)))</f>
        <v>1+688.951268932242i</v>
      </c>
      <c r="AA194" s="734">
        <f t="shared" si="135"/>
        <v>688.95199467259431</v>
      </c>
      <c r="AB194" s="735">
        <f t="shared" si="136"/>
        <v>1.5693448463450752</v>
      </c>
      <c r="AC194" s="733" t="str">
        <f>IMSUM(COMPLEX(1,0),IMDIV(COMPLEX(0,2*PI()*D194),COMPLEX(2*PI()*'Stability Calculations'!EA_Pole2,0)))</f>
        <v>1+6.94012038163011i</v>
      </c>
      <c r="AD194" s="734">
        <f t="shared" si="137"/>
        <v>7.011795127605887</v>
      </c>
      <c r="AE194" s="735">
        <f t="shared" si="138"/>
        <v>1.4276915559432763</v>
      </c>
      <c r="AF194" s="732" t="str">
        <f t="shared" si="139"/>
        <v>1.19623959302871-8.38741967387328i</v>
      </c>
      <c r="AG194" s="337">
        <f t="shared" si="140"/>
        <v>8.4722959078166102</v>
      </c>
      <c r="AH194" s="730">
        <f t="shared" si="141"/>
        <v>-1.429128665289443</v>
      </c>
      <c r="AI194" s="731" t="str">
        <f t="shared" si="119"/>
        <v>10000</v>
      </c>
      <c r="AJ194" s="733" t="str">
        <f t="shared" si="142"/>
        <v>1+64871.5136924064i</v>
      </c>
      <c r="AK194" s="734">
        <f t="shared" si="143"/>
        <v>64871.513700113945</v>
      </c>
      <c r="AL194" s="735">
        <f t="shared" si="144"/>
        <v>1.57078091170832</v>
      </c>
      <c r="AM194" s="340" t="str">
        <f t="shared" si="145"/>
        <v>1+110.094412775372i</v>
      </c>
      <c r="AN194" s="734">
        <f t="shared" si="146"/>
        <v>110.0989542382397</v>
      </c>
      <c r="AO194" s="735">
        <f t="shared" si="147"/>
        <v>1.5617134635035459</v>
      </c>
      <c r="AP194" s="733" t="str">
        <f t="shared" si="148"/>
        <v>1+5.33976049161316i</v>
      </c>
      <c r="AQ194" s="734">
        <f t="shared" si="149"/>
        <v>5.4325907362687298</v>
      </c>
      <c r="AR194" s="735">
        <f t="shared" si="150"/>
        <v>1.3856664038236566</v>
      </c>
      <c r="AS194" s="732" t="str">
        <f t="shared" si="151"/>
        <v>0.0227810992162194-21.3452914092524i</v>
      </c>
      <c r="AT194" s="337">
        <f t="shared" si="152"/>
        <v>21.345303565992822</v>
      </c>
      <c r="AU194" s="730">
        <f t="shared" si="153"/>
        <v>-1.5697290614139845</v>
      </c>
      <c r="AV194" s="732" t="str">
        <f t="shared" si="154"/>
        <v>-2.88799241874209+0.0404930045058123i</v>
      </c>
      <c r="AW194" s="337">
        <f t="shared" si="155"/>
        <v>9.2127746850398857</v>
      </c>
      <c r="AX194" s="730">
        <f t="shared" si="156"/>
        <v>179.19669933208101</v>
      </c>
      <c r="AY194" s="360">
        <f t="shared" si="157"/>
        <v>-0.80330066791898957</v>
      </c>
      <c r="BB194" s="337">
        <f t="shared" si="158"/>
        <v>-13.413953288413536</v>
      </c>
      <c r="BC194" s="730">
        <f t="shared" si="159"/>
        <v>-89.938850198053316</v>
      </c>
      <c r="BD194" s="351"/>
      <c r="BE194" s="337">
        <f t="shared" si="120"/>
        <v>53.118308870929205</v>
      </c>
      <c r="BF194" s="730">
        <f t="shared" si="121"/>
        <v>-61.443266645464284</v>
      </c>
      <c r="BI194" s="351"/>
      <c r="BJ194" s="351"/>
      <c r="BL194" s="405">
        <f t="shared" si="122"/>
        <v>0</v>
      </c>
      <c r="BM194" s="405">
        <f t="shared" si="160"/>
        <v>0</v>
      </c>
      <c r="BN194" s="405">
        <f t="shared" si="123"/>
        <v>0</v>
      </c>
      <c r="BO194" s="405">
        <f t="shared" si="124"/>
        <v>0</v>
      </c>
    </row>
    <row r="195" spans="4:67" ht="13.5" thickBot="1" x14ac:dyDescent="0.25">
      <c r="D195" s="345">
        <v>11028.75</v>
      </c>
      <c r="E195" s="340" t="str">
        <f t="shared" si="111"/>
        <v>0.18294059508531i</v>
      </c>
      <c r="F195" s="728" t="str">
        <f t="shared" si="125"/>
        <v>0.005-0.236572361123064i</v>
      </c>
      <c r="G195" s="337" t="str">
        <f t="shared" si="126"/>
        <v>0.005-0.370023436628381i</v>
      </c>
      <c r="H195" s="338" t="str">
        <f t="shared" si="127"/>
        <v>0.106797584796493-0.336161723231531i</v>
      </c>
      <c r="I195" s="338" t="str">
        <f t="shared" si="128"/>
        <v>0.116797584796493-0.336161723231531i</v>
      </c>
      <c r="J195" s="337" t="str">
        <f t="shared" si="129"/>
        <v>0.020920851215649-0.142283646173917i</v>
      </c>
      <c r="K195" s="338" t="str">
        <f t="shared" si="112"/>
        <v>0.99864851859375-0.0577463999637974i</v>
      </c>
      <c r="L195" s="732"/>
      <c r="M195" s="732" t="str">
        <f t="shared" si="113"/>
        <v>200.135421805018-388.937119996353i</v>
      </c>
      <c r="N195" s="337">
        <f t="shared" si="114"/>
        <v>0</v>
      </c>
      <c r="O195" s="730" t="str">
        <f t="shared" si="115"/>
        <v>50.00836078143-169.541146427751i</v>
      </c>
      <c r="P195" s="731" t="str">
        <f t="shared" si="116"/>
        <v>-51.1523881828995-36.6128931626596i</v>
      </c>
      <c r="Q195" s="729" t="str">
        <f t="shared" si="117"/>
        <v>-51.6524717907137-34.917481698382i</v>
      </c>
      <c r="R195" s="730"/>
      <c r="S195" s="405" t="str">
        <f t="shared" si="130"/>
        <v>39.4916188731623+1.25201291928331i</v>
      </c>
      <c r="T195" s="405" t="str">
        <f t="shared" si="131"/>
        <v>15.7714405496855-2.49203541375452i</v>
      </c>
      <c r="U195" s="405" t="str">
        <f t="shared" si="132"/>
        <v>0.846624840426168-5.56789799644225i</v>
      </c>
      <c r="V195" s="731" t="str">
        <f t="shared" si="118"/>
        <v>6000</v>
      </c>
      <c r="W195" s="733" t="str">
        <f>IMSUM(COMPLEX(1,0),IMDIV(COMPLEX(0,2*PI()*D195),COMPLEX(2*PI()*'Stability Calculations'!EA_Pole1,0)))</f>
        <v>1+69988.6367561225i</v>
      </c>
      <c r="X195" s="734">
        <f t="shared" si="133"/>
        <v>69988.636763266521</v>
      </c>
      <c r="Y195" s="735">
        <f t="shared" si="134"/>
        <v>1.5707820387612059</v>
      </c>
      <c r="Z195" s="340" t="str">
        <f>IMSUM(COMPLEX(1,0),IMDIV(COMPLEX(0,2*PI()*D195),COMPLEX(2*PI()*'Stability Calculations'!EA_Zero1,0)))</f>
        <v>1+692.956799565569i</v>
      </c>
      <c r="AA195" s="734">
        <f t="shared" si="135"/>
        <v>692.95752111089473</v>
      </c>
      <c r="AB195" s="735">
        <f t="shared" si="136"/>
        <v>1.5693532363937968</v>
      </c>
      <c r="AC195" s="733" t="str">
        <f>IMSUM(COMPLEX(1,0),IMDIV(COMPLEX(0,2*PI()*D195),COMPLEX(2*PI()*'Stability Calculations'!EA_Pole2,0)))</f>
        <v>1+6.98046991873261i</v>
      </c>
      <c r="AD195" s="734">
        <f t="shared" si="137"/>
        <v>7.0517345586976576</v>
      </c>
      <c r="AE195" s="735">
        <f t="shared" si="138"/>
        <v>1.4285075996698959</v>
      </c>
      <c r="AF195" s="732" t="str">
        <f t="shared" si="139"/>
        <v>1.18272750462816-8.34087317616606i</v>
      </c>
      <c r="AG195" s="337">
        <f t="shared" si="140"/>
        <v>8.4243106359565392</v>
      </c>
      <c r="AH195" s="730">
        <f t="shared" si="141"/>
        <v>-1.4299364020373047</v>
      </c>
      <c r="AI195" s="731" t="str">
        <f t="shared" si="119"/>
        <v>10000</v>
      </c>
      <c r="AJ195" s="733" t="str">
        <f t="shared" si="142"/>
        <v>1+65248.6736557343i</v>
      </c>
      <c r="AK195" s="734">
        <f t="shared" si="143"/>
        <v>65248.673663397298</v>
      </c>
      <c r="AL195" s="735">
        <f t="shared" si="144"/>
        <v>1.5707810008128666</v>
      </c>
      <c r="AM195" s="340" t="str">
        <f t="shared" si="145"/>
        <v>1+110.734496570578i</v>
      </c>
      <c r="AN195" s="734">
        <f t="shared" si="146"/>
        <v>110.73901178328869</v>
      </c>
      <c r="AO195" s="735">
        <f t="shared" si="147"/>
        <v>1.5617659627409703</v>
      </c>
      <c r="AP195" s="733" t="str">
        <f t="shared" si="148"/>
        <v>1+5.37080561075044i</v>
      </c>
      <c r="AQ195" s="734">
        <f t="shared" si="149"/>
        <v>5.4631083559150104</v>
      </c>
      <c r="AR195" s="735">
        <f t="shared" si="150"/>
        <v>1.3867124397647059</v>
      </c>
      <c r="AS195" s="732" t="str">
        <f t="shared" si="151"/>
        <v>0.0225184953744467-21.2219085005637i</v>
      </c>
      <c r="AT195" s="337">
        <f t="shared" si="152"/>
        <v>21.221920447709998</v>
      </c>
      <c r="AU195" s="730">
        <f t="shared" si="153"/>
        <v>-1.569735230573392</v>
      </c>
      <c r="AV195" s="732" t="str">
        <f t="shared" si="154"/>
        <v>-2.85428826890439+0.0422257117598909i</v>
      </c>
      <c r="AW195" s="337">
        <f t="shared" si="155"/>
        <v>9.110907026658662</v>
      </c>
      <c r="AX195" s="730">
        <f t="shared" si="156"/>
        <v>179.15244068947703</v>
      </c>
      <c r="AY195" s="360">
        <f t="shared" si="157"/>
        <v>-0.84755931052296773</v>
      </c>
      <c r="BB195" s="337">
        <f t="shared" si="158"/>
        <v>-13.464306355814703</v>
      </c>
      <c r="BC195" s="730">
        <f t="shared" si="159"/>
        <v>-89.93920366485051</v>
      </c>
      <c r="BD195" s="351"/>
      <c r="BE195" s="337">
        <f t="shared" si="120"/>
        <v>52.817746056485532</v>
      </c>
      <c r="BF195" s="730">
        <f t="shared" si="121"/>
        <v>-62.771002966610496</v>
      </c>
      <c r="BI195" s="351"/>
      <c r="BJ195" s="351"/>
      <c r="BL195" s="405">
        <f t="shared" si="122"/>
        <v>0</v>
      </c>
      <c r="BM195" s="405">
        <f t="shared" si="160"/>
        <v>0</v>
      </c>
      <c r="BN195" s="405">
        <f t="shared" si="123"/>
        <v>0</v>
      </c>
      <c r="BO195" s="405">
        <f t="shared" si="124"/>
        <v>0</v>
      </c>
    </row>
    <row r="196" spans="4:67" ht="13.5" thickBot="1" x14ac:dyDescent="0.25">
      <c r="D196" s="345">
        <v>11092.5</v>
      </c>
      <c r="E196" s="340" t="str">
        <f t="shared" si="111"/>
        <v>0.183998055172508i</v>
      </c>
      <c r="F196" s="728" t="str">
        <f t="shared" si="125"/>
        <v>0.005-0.235212749852242i</v>
      </c>
      <c r="G196" s="337" t="str">
        <f t="shared" si="126"/>
        <v>0.005-0.367896865153506i</v>
      </c>
      <c r="H196" s="338" t="str">
        <f t="shared" si="127"/>
        <v>0.105727654536857-0.334551961751124i</v>
      </c>
      <c r="I196" s="338" t="str">
        <f t="shared" si="128"/>
        <v>0.115727654536857-0.334551961751124i</v>
      </c>
      <c r="J196" s="337" t="str">
        <f t="shared" si="129"/>
        <v>0.0207310571664417-0.141488335246625i</v>
      </c>
      <c r="K196" s="338" t="str">
        <f t="shared" si="112"/>
        <v>0.998632849375-0.0580801941832413i</v>
      </c>
      <c r="L196" s="732"/>
      <c r="M196" s="732" t="str">
        <f t="shared" si="113"/>
        <v>185.359136130105-380.08505303576i</v>
      </c>
      <c r="N196" s="337">
        <f t="shared" si="114"/>
        <v>0</v>
      </c>
      <c r="O196" s="730" t="str">
        <f t="shared" si="115"/>
        <v>44.9360020381156-164.803244286068i</v>
      </c>
      <c r="P196" s="731" t="str">
        <f t="shared" si="116"/>
        <v>-49.9349105587194-34.1057205563954i</v>
      </c>
      <c r="Q196" s="729" t="str">
        <f t="shared" si="117"/>
        <v>-50.3842705791005-32.4576881135349i</v>
      </c>
      <c r="R196" s="730"/>
      <c r="S196" s="405" t="str">
        <f t="shared" si="130"/>
        <v>39.498937406663+1.21977858444517i</v>
      </c>
      <c r="T196" s="405" t="str">
        <f t="shared" si="131"/>
        <v>15.7676360672659-2.49083091493417i</v>
      </c>
      <c r="U196" s="405" t="str">
        <f t="shared" si="132"/>
        <v>0.833762810001235-5.5384432889655i</v>
      </c>
      <c r="V196" s="731" t="str">
        <f t="shared" si="118"/>
        <v>6000</v>
      </c>
      <c r="W196" s="733" t="str">
        <f>IMSUM(COMPLEX(1,0),IMDIV(COMPLEX(0,2*PI()*D196),COMPLEX(2*PI()*'Stability Calculations'!EA_Pole1,0)))</f>
        <v>1+70393.1953500885i</v>
      </c>
      <c r="X196" s="734">
        <f t="shared" si="133"/>
        <v>70393.195357191464</v>
      </c>
      <c r="Y196" s="735">
        <f t="shared" si="134"/>
        <v>1.5707821208763422</v>
      </c>
      <c r="Z196" s="340" t="str">
        <f>IMSUM(COMPLEX(1,0),IMDIV(COMPLEX(0,2*PI()*D196),COMPLEX(2*PI()*'Stability Calculations'!EA_Zero1,0)))</f>
        <v>1+696.962330198896i</v>
      </c>
      <c r="AA196" s="734">
        <f t="shared" si="135"/>
        <v>696.96304759741372</v>
      </c>
      <c r="AB196" s="735">
        <f t="shared" si="136"/>
        <v>1.5693615300053763</v>
      </c>
      <c r="AC196" s="733" t="str">
        <f>IMSUM(COMPLEX(1,0),IMDIV(COMPLEX(0,2*PI()*D196),COMPLEX(2*PI()*'Stability Calculations'!EA_Pole2,0)))</f>
        <v>1+7.02081945583512i</v>
      </c>
      <c r="AD196" s="734">
        <f t="shared" si="137"/>
        <v>7.0916786328367243</v>
      </c>
      <c r="AE196" s="735">
        <f t="shared" si="138"/>
        <v>1.429314451151505</v>
      </c>
      <c r="AF196" s="732" t="str">
        <f t="shared" si="139"/>
        <v>1.16944153668433-8.29482948857682i</v>
      </c>
      <c r="AG196" s="337">
        <f t="shared" si="140"/>
        <v>8.3768603755993336</v>
      </c>
      <c r="AH196" s="730">
        <f t="shared" si="141"/>
        <v>-1.4307350420224705</v>
      </c>
      <c r="AI196" s="731" t="str">
        <f t="shared" si="119"/>
        <v>10000</v>
      </c>
      <c r="AJ196" s="733" t="str">
        <f t="shared" si="142"/>
        <v>1+65625.8336190623i</v>
      </c>
      <c r="AK196" s="734">
        <f t="shared" si="143"/>
        <v>65625.833626681255</v>
      </c>
      <c r="AL196" s="735">
        <f t="shared" si="144"/>
        <v>1.5707810888932232</v>
      </c>
      <c r="AM196" s="340" t="str">
        <f t="shared" si="145"/>
        <v>1+111.374580365784i</v>
      </c>
      <c r="AN196" s="734">
        <f t="shared" si="146"/>
        <v>111.37906963004529</v>
      </c>
      <c r="AO196" s="735">
        <f t="shared" si="147"/>
        <v>1.56181785858781</v>
      </c>
      <c r="AP196" s="733" t="str">
        <f t="shared" si="148"/>
        <v>1+5.40185072988773i</v>
      </c>
      <c r="AQ196" s="734">
        <f t="shared" si="149"/>
        <v>5.4936318868293865</v>
      </c>
      <c r="AR196" s="735">
        <f t="shared" si="150"/>
        <v>1.3877468529284041</v>
      </c>
      <c r="AS196" s="732" t="str">
        <f t="shared" si="151"/>
        <v>0.0222604061553331-21.0999437814649i</v>
      </c>
      <c r="AT196" s="337">
        <f t="shared" si="152"/>
        <v>21.099955523807665</v>
      </c>
      <c r="AU196" s="730">
        <f t="shared" si="153"/>
        <v>-1.5697413288230004</v>
      </c>
      <c r="AV196" s="732" t="str">
        <f t="shared" si="154"/>
        <v>-2.82116962122876+0.0439012394690652i</v>
      </c>
      <c r="AW196" s="337">
        <f t="shared" si="155"/>
        <v>9.0096355156802321</v>
      </c>
      <c r="AX196" s="730">
        <f t="shared" si="156"/>
        <v>179.10847163835535</v>
      </c>
      <c r="AY196" s="360">
        <f t="shared" si="157"/>
        <v>-0.89152836164464588</v>
      </c>
      <c r="BB196" s="337">
        <f t="shared" si="158"/>
        <v>-13.514369202847332</v>
      </c>
      <c r="BC196" s="730">
        <f t="shared" si="159"/>
        <v>-89.939553068815485</v>
      </c>
      <c r="BD196" s="351"/>
      <c r="BE196" s="337">
        <f t="shared" si="120"/>
        <v>52.524225431964766</v>
      </c>
      <c r="BF196" s="730">
        <f t="shared" si="121"/>
        <v>-64.002524554340837</v>
      </c>
      <c r="BI196" s="351"/>
      <c r="BJ196" s="351"/>
      <c r="BL196" s="405">
        <f t="shared" si="122"/>
        <v>0</v>
      </c>
      <c r="BM196" s="405">
        <f t="shared" si="160"/>
        <v>0</v>
      </c>
      <c r="BN196" s="405">
        <f t="shared" si="123"/>
        <v>0</v>
      </c>
      <c r="BO196" s="405">
        <f t="shared" si="124"/>
        <v>0</v>
      </c>
    </row>
    <row r="197" spans="4:67" ht="13.5" thickBot="1" x14ac:dyDescent="0.25">
      <c r="D197" s="345">
        <v>11156.25</v>
      </c>
      <c r="E197" s="340" t="str">
        <f t="shared" si="111"/>
        <v>0.185055515259707i</v>
      </c>
      <c r="F197" s="728" t="str">
        <f t="shared" si="125"/>
        <v>0.005-0.233868676995943i</v>
      </c>
      <c r="G197" s="337" t="str">
        <f t="shared" si="126"/>
        <v>0.005-0.365794597352629i</v>
      </c>
      <c r="H197" s="338" t="str">
        <f t="shared" si="127"/>
        <v>0.104674001311652-0.332955723832972i</v>
      </c>
      <c r="I197" s="338" t="str">
        <f t="shared" si="128"/>
        <v>0.114674001311652-0.332955723832972i</v>
      </c>
      <c r="J197" s="337" t="str">
        <f t="shared" si="129"/>
        <v>0.0205444490813821-0.140701742786952i</v>
      </c>
      <c r="K197" s="338" t="str">
        <f t="shared" si="112"/>
        <v>0.99861708984375-0.0584139884026852i</v>
      </c>
      <c r="L197" s="732"/>
      <c r="M197" s="732" t="str">
        <f t="shared" si="113"/>
        <v>171.968175232797-371.26511821349i</v>
      </c>
      <c r="N197" s="337">
        <f t="shared" si="114"/>
        <v>0</v>
      </c>
      <c r="O197" s="730" t="str">
        <f t="shared" si="115"/>
        <v>40.405822466815-160.195939788884i</v>
      </c>
      <c r="P197" s="731" t="str">
        <f t="shared" si="116"/>
        <v>-48.7046577489533-31.8236592759768i</v>
      </c>
      <c r="Q197" s="729" t="str">
        <f t="shared" si="117"/>
        <v>-49.1087159736215-30.2216998780878i</v>
      </c>
      <c r="R197" s="730"/>
      <c r="S197" s="405" t="str">
        <f t="shared" si="130"/>
        <v>39.506117498326+1.18773205778326i</v>
      </c>
      <c r="T197" s="405" t="str">
        <f t="shared" si="131"/>
        <v>15.7638809817323-2.48970015890234i</v>
      </c>
      <c r="U197" s="405" t="str">
        <f t="shared" si="132"/>
        <v>0.82110858002416-5.50928128038807i</v>
      </c>
      <c r="V197" s="731" t="str">
        <f t="shared" si="118"/>
        <v>6000</v>
      </c>
      <c r="W197" s="733" t="str">
        <f>IMSUM(COMPLEX(1,0),IMDIV(COMPLEX(0,2*PI()*D197),COMPLEX(2*PI()*'Stability Calculations'!EA_Pole1,0)))</f>
        <v>1+70797.7539440545i</v>
      </c>
      <c r="X197" s="734">
        <f t="shared" si="133"/>
        <v>70797.753951116872</v>
      </c>
      <c r="Y197" s="735">
        <f t="shared" si="134"/>
        <v>1.5707822020530195</v>
      </c>
      <c r="Z197" s="340" t="str">
        <f>IMSUM(COMPLEX(1,0),IMDIV(COMPLEX(0,2*PI()*D197),COMPLEX(2*PI()*'Stability Calculations'!EA_Zero1,0)))</f>
        <v>1+700.967860832223i</v>
      </c>
      <c r="AA197" s="734">
        <f t="shared" si="135"/>
        <v>700.96857413132489</v>
      </c>
      <c r="AB197" s="735">
        <f t="shared" si="136"/>
        <v>1.5693697288330175</v>
      </c>
      <c r="AC197" s="733" t="str">
        <f>IMSUM(COMPLEX(1,0),IMDIV(COMPLEX(0,2*PI()*D197),COMPLEX(2*PI()*'Stability Calculations'!EA_Pole2,0)))</f>
        <v>1+7.06116899293762i</v>
      </c>
      <c r="AD197" s="734">
        <f t="shared" si="137"/>
        <v>7.1316272720062761</v>
      </c>
      <c r="AE197" s="735">
        <f t="shared" si="138"/>
        <v>1.4301122638029287</v>
      </c>
      <c r="AF197" s="732" t="str">
        <f t="shared" si="139"/>
        <v>1.15637670585901-8.24928069724122i</v>
      </c>
      <c r="AG197" s="337">
        <f t="shared" si="140"/>
        <v>8.3299363207487929</v>
      </c>
      <c r="AH197" s="730">
        <f t="shared" si="141"/>
        <v>-1.4315247370229314</v>
      </c>
      <c r="AI197" s="731" t="str">
        <f t="shared" si="119"/>
        <v>10000</v>
      </c>
      <c r="AJ197" s="733" t="str">
        <f t="shared" si="142"/>
        <v>1+66002.9935823902i</v>
      </c>
      <c r="AK197" s="734">
        <f t="shared" si="143"/>
        <v>66002.993589965612</v>
      </c>
      <c r="AL197" s="735">
        <f t="shared" si="144"/>
        <v>1.570781175966947</v>
      </c>
      <c r="AM197" s="340" t="str">
        <f t="shared" si="145"/>
        <v>1+112.014664160989i</v>
      </c>
      <c r="AN197" s="734">
        <f t="shared" si="146"/>
        <v>112.01912777333679</v>
      </c>
      <c r="AO197" s="735">
        <f t="shared" si="147"/>
        <v>1.5618691613867948</v>
      </c>
      <c r="AP197" s="733" t="str">
        <f t="shared" si="148"/>
        <v>1+5.43289584902502i</v>
      </c>
      <c r="AQ197" s="734">
        <f t="shared" si="149"/>
        <v>5.5241612310244257</v>
      </c>
      <c r="AR197" s="735">
        <f t="shared" si="150"/>
        <v>1.3887698337827965</v>
      </c>
      <c r="AS197" s="732" t="str">
        <f t="shared" si="151"/>
        <v>0.0220067286630938-20.9793729402423i</v>
      </c>
      <c r="AT197" s="337">
        <f t="shared" si="152"/>
        <v>20.979384482436021</v>
      </c>
      <c r="AU197" s="730">
        <f t="shared" si="153"/>
        <v>-1.5697473573784049</v>
      </c>
      <c r="AV197" s="732" t="str">
        <f t="shared" si="154"/>
        <v>-2.78862299390029+0.0455215036802042i</v>
      </c>
      <c r="AW197" s="337">
        <f t="shared" si="155"/>
        <v>8.9089532057862346</v>
      </c>
      <c r="AX197" s="730">
        <f t="shared" si="156"/>
        <v>179.06478630859775</v>
      </c>
      <c r="AY197" s="360">
        <f t="shared" si="157"/>
        <v>-0.93521369140225374</v>
      </c>
      <c r="BB197" s="337">
        <f t="shared" si="158"/>
        <v>-13.56414515583581</v>
      </c>
      <c r="BC197" s="730">
        <f t="shared" si="159"/>
        <v>-89.939898479596721</v>
      </c>
      <c r="BD197" s="351"/>
      <c r="BE197" s="337">
        <f t="shared" si="120"/>
        <v>52.237835788790392</v>
      </c>
      <c r="BF197" s="730">
        <f t="shared" si="121"/>
        <v>-65.146660033314888</v>
      </c>
      <c r="BI197" s="351"/>
      <c r="BJ197" s="351"/>
      <c r="BL197" s="405">
        <f t="shared" si="122"/>
        <v>0</v>
      </c>
      <c r="BM197" s="405">
        <f t="shared" si="160"/>
        <v>0</v>
      </c>
      <c r="BN197" s="405">
        <f t="shared" si="123"/>
        <v>0</v>
      </c>
      <c r="BO197" s="405">
        <f t="shared" si="124"/>
        <v>0</v>
      </c>
    </row>
    <row r="198" spans="4:67" ht="13.5" thickBot="1" x14ac:dyDescent="0.25">
      <c r="D198" s="345">
        <v>11220</v>
      </c>
      <c r="E198" s="340" t="str">
        <f t="shared" si="111"/>
        <v>0.186112975346905i</v>
      </c>
      <c r="F198" s="728" t="str">
        <f t="shared" si="125"/>
        <v>0.005-0.23253987769483i</v>
      </c>
      <c r="G198" s="337" t="str">
        <f t="shared" si="126"/>
        <v>0.005-0.36371621895858i</v>
      </c>
      <c r="H198" s="338" t="str">
        <f t="shared" si="127"/>
        <v>0.103636307220194-0.331372873607623i</v>
      </c>
      <c r="I198" s="338" t="str">
        <f t="shared" si="128"/>
        <v>0.113636307220194-0.331372873607623i</v>
      </c>
      <c r="J198" s="337" t="str">
        <f t="shared" si="129"/>
        <v>0.0203609563671583-0.139923728372212i</v>
      </c>
      <c r="K198" s="338" t="str">
        <f t="shared" si="112"/>
        <v>0.99860124-0.0587477826221291i</v>
      </c>
      <c r="L198" s="732"/>
      <c r="M198" s="732" t="str">
        <f t="shared" si="113"/>
        <v>159.818177881151-362.550813237077i</v>
      </c>
      <c r="N198" s="337">
        <f t="shared" si="114"/>
        <v>0</v>
      </c>
      <c r="O198" s="730" t="str">
        <f t="shared" si="115"/>
        <v>36.3547872521793-155.735844570709i</v>
      </c>
      <c r="P198" s="731" t="str">
        <f t="shared" si="116"/>
        <v>-47.4754105659925-29.7442365999819i</v>
      </c>
      <c r="Q198" s="729" t="str">
        <f t="shared" si="117"/>
        <v>-47.8389584385144-28.1868781542749i</v>
      </c>
      <c r="R198" s="730"/>
      <c r="S198" s="405" t="str">
        <f t="shared" si="130"/>
        <v>39.5131619569403+1.15587072438326i</v>
      </c>
      <c r="T198" s="405" t="str">
        <f t="shared" si="131"/>
        <v>15.7601741841106-2.4886421107605i</v>
      </c>
      <c r="U198" s="405" t="str">
        <f t="shared" si="132"/>
        <v>0.80865776596461-5.48040788629732i</v>
      </c>
      <c r="V198" s="731" t="str">
        <f t="shared" si="118"/>
        <v>6000</v>
      </c>
      <c r="W198" s="733" t="str">
        <f>IMSUM(COMPLEX(1,0),IMDIV(COMPLEX(0,2*PI()*D198),COMPLEX(2*PI()*'Stability Calculations'!EA_Pole1,0)))</f>
        <v>1+71202.3125380205i</v>
      </c>
      <c r="X198" s="734">
        <f t="shared" si="133"/>
        <v>71202.312545042747</v>
      </c>
      <c r="Y198" s="735">
        <f t="shared" si="134"/>
        <v>1.5707822823072348</v>
      </c>
      <c r="Z198" s="340" t="str">
        <f>IMSUM(COMPLEX(1,0),IMDIV(COMPLEX(0,2*PI()*D198),COMPLEX(2*PI()*'Stability Calculations'!EA_Zero1,0)))</f>
        <v>1+704.97339146555i</v>
      </c>
      <c r="AA198" s="734">
        <f t="shared" si="135"/>
        <v>704.97410071182014</v>
      </c>
      <c r="AB198" s="735">
        <f t="shared" si="136"/>
        <v>1.5693778344923515</v>
      </c>
      <c r="AC198" s="733" t="str">
        <f>IMSUM(COMPLEX(1,0),IMDIV(COMPLEX(0,2*PI()*D198),COMPLEX(2*PI()*'Stability Calculations'!EA_Pole2,0)))</f>
        <v>1+7.10151853004012i</v>
      </c>
      <c r="AD198" s="734">
        <f t="shared" si="137"/>
        <v>7.1715803999190566</v>
      </c>
      <c r="AE198" s="735">
        <f t="shared" si="138"/>
        <v>1.4309011876668891</v>
      </c>
      <c r="AF198" s="732" t="str">
        <f t="shared" si="139"/>
        <v>1.14352816439905-8.20421904906294i</v>
      </c>
      <c r="AG198" s="337">
        <f t="shared" si="140"/>
        <v>8.2835298555495704</v>
      </c>
      <c r="AH198" s="730">
        <f t="shared" si="141"/>
        <v>-1.4323056354817725</v>
      </c>
      <c r="AI198" s="731" t="str">
        <f t="shared" si="119"/>
        <v>10000</v>
      </c>
      <c r="AJ198" s="733" t="str">
        <f t="shared" si="142"/>
        <v>1+66380.1535457181i</v>
      </c>
      <c r="AK198" s="734">
        <f t="shared" si="143"/>
        <v>66380.153553250479</v>
      </c>
      <c r="AL198" s="735">
        <f t="shared" si="144"/>
        <v>1.5707812620511967</v>
      </c>
      <c r="AM198" s="340" t="str">
        <f t="shared" si="145"/>
        <v>1+112.654747956195i</v>
      </c>
      <c r="AN198" s="734">
        <f t="shared" si="146"/>
        <v>112.65918620811098</v>
      </c>
      <c r="AO198" s="735">
        <f t="shared" si="147"/>
        <v>1.5619198812456241</v>
      </c>
      <c r="AP198" s="733" t="str">
        <f t="shared" si="148"/>
        <v>1+5.4639409681623i</v>
      </c>
      <c r="AQ198" s="734">
        <f t="shared" si="149"/>
        <v>5.554696292648444</v>
      </c>
      <c r="AR198" s="735">
        <f t="shared" si="150"/>
        <v>1.3897815687047057</v>
      </c>
      <c r="AS198" s="732" t="str">
        <f t="shared" si="151"/>
        <v>0.0217573629167851-20.8601722177182i</v>
      </c>
      <c r="AT198" s="337">
        <f t="shared" si="152"/>
        <v>20.860183564285897</v>
      </c>
      <c r="AU198" s="730">
        <f t="shared" si="153"/>
        <v>-1.5697533174275728</v>
      </c>
      <c r="AV198" s="732" t="str">
        <f t="shared" si="154"/>
        <v>-2.75663529039819+0.0470883477731984i</v>
      </c>
      <c r="AW198" s="337">
        <f t="shared" si="155"/>
        <v>8.8088532704806841</v>
      </c>
      <c r="AX198" s="730">
        <f t="shared" si="156"/>
        <v>179.02137898497952</v>
      </c>
      <c r="AY198" s="360">
        <f t="shared" si="157"/>
        <v>-0.97862101502047949</v>
      </c>
      <c r="BB198" s="337">
        <f t="shared" si="158"/>
        <v>-13.613637484243759</v>
      </c>
      <c r="BC198" s="730">
        <f t="shared" si="159"/>
        <v>-89.940239965259735</v>
      </c>
      <c r="BD198" s="351"/>
      <c r="BE198" s="337">
        <f t="shared" si="120"/>
        <v>51.958579973111867</v>
      </c>
      <c r="BF198" s="730">
        <f t="shared" si="121"/>
        <v>-66.211350087864844</v>
      </c>
      <c r="BI198" s="351"/>
      <c r="BJ198" s="351"/>
      <c r="BL198" s="405">
        <f t="shared" si="122"/>
        <v>0</v>
      </c>
      <c r="BM198" s="405">
        <f t="shared" si="160"/>
        <v>0</v>
      </c>
      <c r="BN198" s="405">
        <f t="shared" si="123"/>
        <v>0</v>
      </c>
      <c r="BO198" s="405">
        <f t="shared" si="124"/>
        <v>0</v>
      </c>
    </row>
    <row r="199" spans="4:67" ht="13.5" thickBot="1" x14ac:dyDescent="0.25">
      <c r="D199" s="345">
        <v>11285.5</v>
      </c>
      <c r="E199" s="340" t="str">
        <f t="shared" si="111"/>
        <v>0.187199463750223i</v>
      </c>
      <c r="F199" s="728" t="str">
        <f t="shared" si="125"/>
        <v>0.005-0.231190237715297i</v>
      </c>
      <c r="G199" s="337" t="str">
        <f t="shared" si="126"/>
        <v>0.005-0.361605243605979i</v>
      </c>
      <c r="H199" s="338" t="str">
        <f t="shared" si="127"/>
        <v>0.102586423429607-0.329760374694962i</v>
      </c>
      <c r="I199" s="338" t="str">
        <f t="shared" si="128"/>
        <v>0.112586423429607-0.329760374694962i</v>
      </c>
      <c r="J199" s="337" t="str">
        <f t="shared" si="129"/>
        <v>0.0201755992711966-0.139133146715301i</v>
      </c>
      <c r="K199" s="338" t="str">
        <f t="shared" si="112"/>
        <v>0.998584860997222-0.059090739820146i</v>
      </c>
      <c r="L199" s="732"/>
      <c r="M199" s="732" t="str">
        <f t="shared" si="113"/>
        <v>148.490534421679-353.763623486864i</v>
      </c>
      <c r="N199" s="337">
        <f t="shared" si="114"/>
        <v>0</v>
      </c>
      <c r="O199" s="730" t="str">
        <f t="shared" si="115"/>
        <v>32.6330643098102-151.31715159356i</v>
      </c>
      <c r="P199" s="731" t="str">
        <f t="shared" si="116"/>
        <v>-46.2243606110767-27.7973484157224i</v>
      </c>
      <c r="Q199" s="729" t="str">
        <f t="shared" si="117"/>
        <v>-46.5506912541749-26.2841768997868i</v>
      </c>
      <c r="R199" s="730"/>
      <c r="S199" s="405" t="str">
        <f t="shared" si="130"/>
        <v>39.5202613993065+1.12332495311423i</v>
      </c>
      <c r="T199" s="405" t="str">
        <f t="shared" si="131"/>
        <v>15.7564147903821-2.48762967802104i</v>
      </c>
      <c r="U199" s="405" t="str">
        <f t="shared" si="132"/>
        <v>0.796072544692135-5.45103827661116i</v>
      </c>
      <c r="V199" s="731" t="str">
        <f t="shared" si="118"/>
        <v>6000</v>
      </c>
      <c r="W199" s="733" t="str">
        <f>IMSUM(COMPLEX(1,0),IMDIV(COMPLEX(0,2*PI()*D199),COMPLEX(2*PI()*'Stability Calculations'!EA_Pole1,0)))</f>
        <v>1+71617.976662017i</v>
      </c>
      <c r="X199" s="734">
        <f t="shared" si="133"/>
        <v>71617.976668998497</v>
      </c>
      <c r="Y199" s="735">
        <f t="shared" si="134"/>
        <v>1.5707823638201444</v>
      </c>
      <c r="Z199" s="340" t="str">
        <f>IMSUM(COMPLEX(1,0),IMDIV(COMPLEX(0,2*PI()*D199),COMPLEX(2*PI()*'Stability Calculations'!EA_Zero1,0)))</f>
        <v>1+709.088877841752i</v>
      </c>
      <c r="AA199" s="734">
        <f t="shared" si="135"/>
        <v>709.08958297162644</v>
      </c>
      <c r="AB199" s="735">
        <f t="shared" si="136"/>
        <v>1.569386067279757</v>
      </c>
      <c r="AC199" s="733" t="str">
        <f>IMSUM(COMPLEX(1,0),IMDIV(COMPLEX(0,2*PI()*D199),COMPLEX(2*PI()*'Stability Calculations'!EA_Pole2,0)))</f>
        <v>1+7.14297570149444i</v>
      </c>
      <c r="AD199" s="734">
        <f t="shared" si="137"/>
        <v>7.2126348772234401</v>
      </c>
      <c r="AE199" s="735">
        <f t="shared" si="138"/>
        <v>1.4317026643550606</v>
      </c>
      <c r="AF199" s="732" t="str">
        <f t="shared" si="139"/>
        <v>1.13054723821402-8.15841981680814i</v>
      </c>
      <c r="AG199" s="337">
        <f t="shared" si="140"/>
        <v>8.2363797244372545</v>
      </c>
      <c r="AH199" s="730">
        <f t="shared" si="141"/>
        <v>-1.4330989608954479</v>
      </c>
      <c r="AI199" s="731" t="str">
        <f t="shared" si="119"/>
        <v>10000</v>
      </c>
      <c r="AJ199" s="733" t="str">
        <f t="shared" si="142"/>
        <v>1+66767.6669198041i</v>
      </c>
      <c r="AK199" s="734">
        <f t="shared" si="143"/>
        <v>66767.666927292768</v>
      </c>
      <c r="AL199" s="735">
        <f t="shared" si="144"/>
        <v>1.5707813494855782</v>
      </c>
      <c r="AM199" s="340" t="str">
        <f t="shared" si="145"/>
        <v>1+113.312402679112i</v>
      </c>
      <c r="AN199" s="734">
        <f t="shared" si="146"/>
        <v>113.31681517282959</v>
      </c>
      <c r="AO199" s="735">
        <f t="shared" si="147"/>
        <v>1.5619713966334599</v>
      </c>
      <c r="AP199" s="733" t="str">
        <f t="shared" si="148"/>
        <v>1+5.49583830625629i</v>
      </c>
      <c r="AQ199" s="734">
        <f t="shared" si="149"/>
        <v>5.586075428108181</v>
      </c>
      <c r="AR199" s="735">
        <f t="shared" si="150"/>
        <v>1.3908095551873878</v>
      </c>
      <c r="AS199" s="732" t="str">
        <f t="shared" si="151"/>
        <v>0.0215055406408378-20.739101965333i</v>
      </c>
      <c r="AT199" s="337">
        <f t="shared" si="152"/>
        <v>20.739113115481995</v>
      </c>
      <c r="AU199" s="730">
        <f t="shared" si="153"/>
        <v>-1.5697593709532867</v>
      </c>
      <c r="AV199" s="732" t="str">
        <f t="shared" si="154"/>
        <v>-2.72433827027442+0.0486444273441364i</v>
      </c>
      <c r="AW199" s="337">
        <f t="shared" si="155"/>
        <v>8.7066050166680622</v>
      </c>
      <c r="AX199" s="730">
        <f t="shared" si="156"/>
        <v>178.97706379743462</v>
      </c>
      <c r="AY199" s="360">
        <f t="shared" si="157"/>
        <v>-1.0229362025653757</v>
      </c>
      <c r="BB199" s="337">
        <f t="shared" si="158"/>
        <v>-13.664196393161152</v>
      </c>
      <c r="BC199" s="730">
        <f t="shared" si="159"/>
        <v>-89.940586806734316</v>
      </c>
      <c r="BD199" s="351"/>
      <c r="BE199" s="337">
        <f t="shared" si="120"/>
        <v>51.679023226188349</v>
      </c>
      <c r="BF199" s="730">
        <f t="shared" si="121"/>
        <v>-67.23001193738304</v>
      </c>
      <c r="BI199" s="351"/>
      <c r="BJ199" s="351"/>
      <c r="BL199" s="405">
        <f t="shared" si="122"/>
        <v>0</v>
      </c>
      <c r="BM199" s="405">
        <f t="shared" si="160"/>
        <v>0</v>
      </c>
      <c r="BN199" s="405">
        <f t="shared" si="123"/>
        <v>0</v>
      </c>
      <c r="BO199" s="405">
        <f t="shared" si="124"/>
        <v>0</v>
      </c>
    </row>
    <row r="200" spans="4:67" ht="13.5" thickBot="1" x14ac:dyDescent="0.25">
      <c r="D200" s="345">
        <v>11351</v>
      </c>
      <c r="E200" s="340" t="str">
        <f t="shared" si="111"/>
        <v>0.18828595215354i</v>
      </c>
      <c r="F200" s="728" t="str">
        <f t="shared" si="125"/>
        <v>0.005-0.229856173705928i</v>
      </c>
      <c r="G200" s="337" t="str">
        <f t="shared" si="126"/>
        <v>0.005-0.359518630668247i</v>
      </c>
      <c r="H200" s="338" t="str">
        <f t="shared" si="127"/>
        <v>0.101552730508402-0.328161720627584i</v>
      </c>
      <c r="I200" s="338" t="str">
        <f t="shared" si="128"/>
        <v>0.111552730508402-0.328161720627584i</v>
      </c>
      <c r="J200" s="337" t="str">
        <f t="shared" si="129"/>
        <v>0.019993386053292-0.138351329461392i</v>
      </c>
      <c r="K200" s="338" t="str">
        <f t="shared" si="112"/>
        <v>0.998568386655556-0.0594336970181629i</v>
      </c>
      <c r="L200" s="732"/>
      <c r="M200" s="732" t="str">
        <f t="shared" si="113"/>
        <v>138.209401562225-345.185868022637i</v>
      </c>
      <c r="N200" s="337">
        <f t="shared" si="114"/>
        <v>0</v>
      </c>
      <c r="O200" s="730" t="str">
        <f t="shared" si="115"/>
        <v>29.3051738150578-147.069932152302i</v>
      </c>
      <c r="P200" s="731" t="str">
        <f t="shared" si="116"/>
        <v>-44.9936498305884-26.0228887697145i</v>
      </c>
      <c r="Q200" s="729" t="str">
        <f t="shared" si="117"/>
        <v>-45.2867015687391-24.5521894481915i</v>
      </c>
      <c r="R200" s="730"/>
      <c r="S200" s="405" t="str">
        <f t="shared" si="130"/>
        <v>39.5272234385542+1.09096922813452i</v>
      </c>
      <c r="T200" s="405" t="str">
        <f t="shared" si="131"/>
        <v>15.7527040905171-2.48669184111975i</v>
      </c>
      <c r="U200" s="405" t="str">
        <f t="shared" si="132"/>
        <v>0.783693040030454-5.42196482527993i</v>
      </c>
      <c r="V200" s="731" t="str">
        <f t="shared" si="118"/>
        <v>6000</v>
      </c>
      <c r="W200" s="733" t="str">
        <f>IMSUM(COMPLEX(1,0),IMDIV(COMPLEX(0,2*PI()*D200),COMPLEX(2*PI()*'Stability Calculations'!EA_Pole1,0)))</f>
        <v>1+72033.6407860135i</v>
      </c>
      <c r="X200" s="734">
        <f t="shared" si="133"/>
        <v>72033.640792954699</v>
      </c>
      <c r="Y200" s="735">
        <f t="shared" si="134"/>
        <v>1.5707824443923271</v>
      </c>
      <c r="Z200" s="340" t="str">
        <f>IMSUM(COMPLEX(1,0),IMDIV(COMPLEX(0,2*PI()*D200),COMPLEX(2*PI()*'Stability Calculations'!EA_Zero1,0)))</f>
        <v>1+713.204364217955i</v>
      </c>
      <c r="AA200" s="734">
        <f t="shared" si="135"/>
        <v>713.20506527894031</v>
      </c>
      <c r="AB200" s="735">
        <f t="shared" si="136"/>
        <v>1.5693942050541227</v>
      </c>
      <c r="AC200" s="733" t="str">
        <f>IMSUM(COMPLEX(1,0),IMDIV(COMPLEX(0,2*PI()*D200),COMPLEX(2*PI()*'Stability Calculations'!EA_Pole2,0)))</f>
        <v>1+7.18443287294878i</v>
      </c>
      <c r="AD200" s="734">
        <f t="shared" si="137"/>
        <v>7.2536939352241125</v>
      </c>
      <c r="AE200" s="735">
        <f t="shared" si="138"/>
        <v>1.4324950681351705</v>
      </c>
      <c r="AF200" s="732" t="str">
        <f t="shared" si="139"/>
        <v>1.11778468453329-8.11311875066352i</v>
      </c>
      <c r="AG200" s="337">
        <f t="shared" si="140"/>
        <v>8.1897581443743022</v>
      </c>
      <c r="AH200" s="730">
        <f t="shared" si="141"/>
        <v>-1.433883307473375</v>
      </c>
      <c r="AI200" s="731" t="str">
        <f t="shared" si="119"/>
        <v>10000</v>
      </c>
      <c r="AJ200" s="733" t="str">
        <f t="shared" si="142"/>
        <v>1+67155.1802938901i</v>
      </c>
      <c r="AK200" s="734">
        <f t="shared" si="143"/>
        <v>67155.180301335524</v>
      </c>
      <c r="AL200" s="735">
        <f t="shared" si="144"/>
        <v>1.570781435910894</v>
      </c>
      <c r="AM200" s="340" t="str">
        <f t="shared" si="145"/>
        <v>1+113.970057402029i</v>
      </c>
      <c r="AN200" s="734">
        <f t="shared" si="146"/>
        <v>113.97444443480207</v>
      </c>
      <c r="AO200" s="735">
        <f t="shared" si="147"/>
        <v>1.5620223175368211</v>
      </c>
      <c r="AP200" s="733" t="str">
        <f t="shared" si="148"/>
        <v>1+5.52773564435029i</v>
      </c>
      <c r="AQ200" s="734">
        <f t="shared" si="149"/>
        <v>5.6174604007345446</v>
      </c>
      <c r="AR200" s="735">
        <f t="shared" si="150"/>
        <v>1.391826055932307</v>
      </c>
      <c r="AS200" s="732" t="str">
        <f t="shared" si="151"/>
        <v>0.0212580651272554-20.6194289600797i</v>
      </c>
      <c r="AT200" s="337">
        <f t="shared" si="152"/>
        <v>20.619439918317525</v>
      </c>
      <c r="AU200" s="730">
        <f t="shared" si="153"/>
        <v>-1.5697653546163435</v>
      </c>
      <c r="AV200" s="732" t="str">
        <f t="shared" si="154"/>
        <v>-2.69260444437995+0.0501478367282634i</v>
      </c>
      <c r="AW200" s="337">
        <f t="shared" si="155"/>
        <v>8.6049573161868249</v>
      </c>
      <c r="AX200" s="730">
        <f t="shared" si="156"/>
        <v>178.93303033751232</v>
      </c>
      <c r="AY200" s="360">
        <f t="shared" si="157"/>
        <v>-1.0669696624876792</v>
      </c>
      <c r="BB200" s="337">
        <f t="shared" si="158"/>
        <v>-13.714462710911965</v>
      </c>
      <c r="BC200" s="730">
        <f t="shared" si="159"/>
        <v>-89.940929645373501</v>
      </c>
      <c r="BD200" s="351"/>
      <c r="BE200" s="337">
        <f t="shared" si="120"/>
        <v>51.406812302899411</v>
      </c>
      <c r="BF200" s="730">
        <f t="shared" si="121"/>
        <v>-68.179268089187929</v>
      </c>
      <c r="BI200" s="351"/>
      <c r="BJ200" s="351"/>
      <c r="BL200" s="405">
        <f t="shared" si="122"/>
        <v>0</v>
      </c>
      <c r="BM200" s="405">
        <f t="shared" si="160"/>
        <v>0</v>
      </c>
      <c r="BN200" s="405">
        <f t="shared" si="123"/>
        <v>0</v>
      </c>
      <c r="BO200" s="405">
        <f t="shared" si="124"/>
        <v>0</v>
      </c>
    </row>
    <row r="201" spans="4:67" ht="13.5" thickBot="1" x14ac:dyDescent="0.25">
      <c r="D201" s="345">
        <v>11416.5</v>
      </c>
      <c r="E201" s="340" t="str">
        <f t="shared" si="111"/>
        <v>0.189372440556858i</v>
      </c>
      <c r="F201" s="728" t="str">
        <f t="shared" si="125"/>
        <v>0.005-0.228537417574212i</v>
      </c>
      <c r="G201" s="337" t="str">
        <f t="shared" si="126"/>
        <v>0.005-0.357455960821204i</v>
      </c>
      <c r="H201" s="338" t="str">
        <f t="shared" si="127"/>
        <v>0.100534907531026-0.326576767010825i</v>
      </c>
      <c r="I201" s="338" t="str">
        <f t="shared" si="128"/>
        <v>0.110534907531026-0.326576767010825i</v>
      </c>
      <c r="J201" s="337" t="str">
        <f t="shared" si="129"/>
        <v>0.0198142463201964-0.137578133782016i</v>
      </c>
      <c r="K201" s="338" t="str">
        <f t="shared" si="112"/>
        <v>0.998551816975-0.0597766542161798i</v>
      </c>
      <c r="L201" s="732"/>
      <c r="M201" s="732" t="str">
        <f t="shared" si="113"/>
        <v>128.862478597198-336.845653393675i</v>
      </c>
      <c r="N201" s="337">
        <f t="shared" si="114"/>
        <v>0</v>
      </c>
      <c r="O201" s="730" t="str">
        <f t="shared" si="115"/>
        <v>26.3245553416271-142.995676612426i</v>
      </c>
      <c r="P201" s="731" t="str">
        <f t="shared" si="116"/>
        <v>-43.7892834741297-24.4030020681572i</v>
      </c>
      <c r="Q201" s="729" t="str">
        <f t="shared" si="117"/>
        <v>-44.052529027546-22.973045302033i</v>
      </c>
      <c r="R201" s="730"/>
      <c r="S201" s="405" t="str">
        <f t="shared" si="130"/>
        <v>39.5340508891924+1.0588008564998i</v>
      </c>
      <c r="T201" s="405" t="str">
        <f t="shared" si="131"/>
        <v>15.7490409732923-2.48582753414489i</v>
      </c>
      <c r="U201" s="405" t="str">
        <f t="shared" si="132"/>
        <v>0.771514858504754-5.3931833258622i</v>
      </c>
      <c r="V201" s="731" t="str">
        <f t="shared" si="118"/>
        <v>6000</v>
      </c>
      <c r="W201" s="733" t="str">
        <f>IMSUM(COMPLEX(1,0),IMDIV(COMPLEX(0,2*PI()*D201),COMPLEX(2*PI()*'Stability Calculations'!EA_Pole1,0)))</f>
        <v>1+72449.3049100099i</v>
      </c>
      <c r="X201" s="734">
        <f t="shared" si="133"/>
        <v>72449.304916911278</v>
      </c>
      <c r="Y201" s="735">
        <f t="shared" si="134"/>
        <v>1.5707825240399746</v>
      </c>
      <c r="Z201" s="340" t="str">
        <f>IMSUM(COMPLEX(1,0),IMDIV(COMPLEX(0,2*PI()*D201),COMPLEX(2*PI()*'Stability Calculations'!EA_Zero1,0)))</f>
        <v>1+717.319850594157i</v>
      </c>
      <c r="AA201" s="734">
        <f t="shared" si="135"/>
        <v>717.32054763294195</v>
      </c>
      <c r="AB201" s="735">
        <f t="shared" si="136"/>
        <v>1.569402249450802</v>
      </c>
      <c r="AC201" s="733" t="str">
        <f>IMSUM(COMPLEX(1,0),IMDIV(COMPLEX(0,2*PI()*D201),COMPLEX(2*PI()*'Stability Calculations'!EA_Pole2,0)))</f>
        <v>1+7.22589004440311i</v>
      </c>
      <c r="AD201" s="734">
        <f t="shared" si="137"/>
        <v>7.2947574965727258</v>
      </c>
      <c r="AE201" s="735">
        <f t="shared" si="138"/>
        <v>1.43327855122293</v>
      </c>
      <c r="AF201" s="732" t="str">
        <f t="shared" si="139"/>
        <v>1.10523566411591-8.06830794593664i</v>
      </c>
      <c r="AG201" s="337">
        <f t="shared" si="140"/>
        <v>8.1436563645390923</v>
      </c>
      <c r="AH201" s="730">
        <f t="shared" si="141"/>
        <v>-1.4346588258121034</v>
      </c>
      <c r="AI201" s="731" t="str">
        <f t="shared" si="119"/>
        <v>10000</v>
      </c>
      <c r="AJ201" s="733" t="str">
        <f t="shared" si="142"/>
        <v>1+67542.693667976i</v>
      </c>
      <c r="AK201" s="734">
        <f t="shared" si="143"/>
        <v>67542.69367537873</v>
      </c>
      <c r="AL201" s="735">
        <f t="shared" si="144"/>
        <v>1.5707815213445122</v>
      </c>
      <c r="AM201" s="340" t="str">
        <f t="shared" si="145"/>
        <v>1+114.627712124946i</v>
      </c>
      <c r="AN201" s="734">
        <f t="shared" si="146"/>
        <v>114.63207398891244</v>
      </c>
      <c r="AO201" s="735">
        <f t="shared" si="147"/>
        <v>1.5620726541868855</v>
      </c>
      <c r="AP201" s="733" t="str">
        <f t="shared" si="148"/>
        <v>1+5.55963298244428i</v>
      </c>
      <c r="AQ201" s="734">
        <f t="shared" si="149"/>
        <v>5.6488511132337589</v>
      </c>
      <c r="AR201" s="735">
        <f t="shared" si="150"/>
        <v>1.3928312603001349</v>
      </c>
      <c r="AS201" s="732" t="str">
        <f t="shared" si="151"/>
        <v>0.0210148369080355-20.5011291527403i</v>
      </c>
      <c r="AT201" s="337">
        <f t="shared" si="152"/>
        <v>20.501139923445926</v>
      </c>
      <c r="AU201" s="730">
        <f t="shared" si="153"/>
        <v>-1.5697712696192125</v>
      </c>
      <c r="AV201" s="732" t="str">
        <f t="shared" si="154"/>
        <v>-2.66142079357534+0.0516003558019879i</v>
      </c>
      <c r="AW201" s="337">
        <f t="shared" si="155"/>
        <v>8.5039031423075677</v>
      </c>
      <c r="AX201" s="730">
        <f t="shared" si="156"/>
        <v>178.88927288494702</v>
      </c>
      <c r="AY201" s="360">
        <f t="shared" si="157"/>
        <v>-1.1107271150529812</v>
      </c>
      <c r="BB201" s="337">
        <f t="shared" si="158"/>
        <v>-13.764439804544788</v>
      </c>
      <c r="BC201" s="730">
        <f t="shared" si="159"/>
        <v>-89.941268550073701</v>
      </c>
      <c r="BD201" s="351"/>
      <c r="BE201" s="337">
        <f t="shared" si="120"/>
        <v>51.141789185557585</v>
      </c>
      <c r="BF201" s="730">
        <f t="shared" si="121"/>
        <v>-69.06532579061718</v>
      </c>
      <c r="BI201" s="351"/>
      <c r="BJ201" s="351"/>
      <c r="BL201" s="405">
        <f t="shared" si="122"/>
        <v>0</v>
      </c>
      <c r="BM201" s="405">
        <f t="shared" si="160"/>
        <v>0</v>
      </c>
      <c r="BN201" s="405">
        <f t="shared" si="123"/>
        <v>0</v>
      </c>
      <c r="BO201" s="405">
        <f t="shared" si="124"/>
        <v>0</v>
      </c>
    </row>
    <row r="202" spans="4:67" ht="13.5" thickBot="1" x14ac:dyDescent="0.25">
      <c r="D202" s="345">
        <v>11482</v>
      </c>
      <c r="E202" s="340" t="str">
        <f t="shared" si="111"/>
        <v>0.190458928960175i</v>
      </c>
      <c r="F202" s="728" t="str">
        <f t="shared" si="125"/>
        <v>0.005-0.227233707345061i</v>
      </c>
      <c r="G202" s="337" t="str">
        <f t="shared" si="126"/>
        <v>0.005-0.355416824308942i</v>
      </c>
      <c r="H202" s="338" t="str">
        <f t="shared" si="127"/>
        <v>0.099532641207226-0.325005370523541i</v>
      </c>
      <c r="I202" s="338" t="str">
        <f t="shared" si="128"/>
        <v>0.109532641207226-0.325005370523541i</v>
      </c>
      <c r="J202" s="337" t="str">
        <f t="shared" si="129"/>
        <v>0.0196381116292373-0.136813419886738i</v>
      </c>
      <c r="K202" s="338" t="str">
        <f t="shared" si="112"/>
        <v>0.998535151955556-0.0601196114141967i</v>
      </c>
      <c r="L202" s="732"/>
      <c r="M202" s="732" t="str">
        <f t="shared" si="113"/>
        <v>120.350147175368-328.760984466226i</v>
      </c>
      <c r="N202" s="337">
        <f t="shared" si="114"/>
        <v>0</v>
      </c>
      <c r="O202" s="730" t="str">
        <f t="shared" si="115"/>
        <v>23.6504965011673-139.092982556394i</v>
      </c>
      <c r="P202" s="731" t="str">
        <f t="shared" si="116"/>
        <v>-42.6154649853301-22.92176013122i</v>
      </c>
      <c r="Q202" s="729" t="str">
        <f t="shared" si="117"/>
        <v>-42.8519699503418-21.5308303056559i</v>
      </c>
      <c r="R202" s="730"/>
      <c r="S202" s="405" t="str">
        <f t="shared" si="130"/>
        <v>39.5407464920974+1.02681719191038i</v>
      </c>
      <c r="T202" s="405" t="str">
        <f t="shared" si="131"/>
        <v>15.7454243565589-2.48503570960239i</v>
      </c>
      <c r="U202" s="405" t="str">
        <f t="shared" si="132"/>
        <v>0.75953372157332-5.36468964472482i</v>
      </c>
      <c r="V202" s="731" t="str">
        <f t="shared" si="118"/>
        <v>6000</v>
      </c>
      <c r="W202" s="733" t="str">
        <f>IMSUM(COMPLEX(1,0),IMDIV(COMPLEX(0,2*PI()*D202),COMPLEX(2*PI()*'Stability Calculations'!EA_Pole1,0)))</f>
        <v>1+72864.9690340064i</v>
      </c>
      <c r="X202" s="734">
        <f t="shared" si="133"/>
        <v>72864.969040868411</v>
      </c>
      <c r="Y202" s="735">
        <f t="shared" si="134"/>
        <v>1.5707826027789094</v>
      </c>
      <c r="Z202" s="340" t="str">
        <f>IMSUM(COMPLEX(1,0),IMDIV(COMPLEX(0,2*PI()*D202),COMPLEX(2*PI()*'Stability Calculations'!EA_Zero1,0)))</f>
        <v>1+721.43533697036i</v>
      </c>
      <c r="AA202" s="734">
        <f t="shared" si="135"/>
        <v>721.43603003283442</v>
      </c>
      <c r="AB202" s="735">
        <f t="shared" si="136"/>
        <v>1.5694102020678322</v>
      </c>
      <c r="AC202" s="733" t="str">
        <f>IMSUM(COMPLEX(1,0),IMDIV(COMPLEX(0,2*PI()*D202),COMPLEX(2*PI()*'Stability Calculations'!EA_Pole2,0)))</f>
        <v>1+7.26734721585745i</v>
      </c>
      <c r="AD202" s="734">
        <f t="shared" si="137"/>
        <v>7.3358254856444773</v>
      </c>
      <c r="AE202" s="735">
        <f t="shared" si="138"/>
        <v>1.4340532624698386</v>
      </c>
      <c r="AF202" s="732" t="str">
        <f t="shared" si="139"/>
        <v>1.09289547015426-8.02397966008392i</v>
      </c>
      <c r="AG202" s="337">
        <f t="shared" si="140"/>
        <v>8.0980658242647152</v>
      </c>
      <c r="AH202" s="730">
        <f t="shared" si="141"/>
        <v>-1.4354256631809155</v>
      </c>
      <c r="AI202" s="731" t="str">
        <f t="shared" si="119"/>
        <v>10000</v>
      </c>
      <c r="AJ202" s="733" t="str">
        <f t="shared" si="142"/>
        <v>1+67930.207042062i</v>
      </c>
      <c r="AK202" s="734">
        <f t="shared" si="143"/>
        <v>67930.20704942249</v>
      </c>
      <c r="AL202" s="735">
        <f t="shared" si="144"/>
        <v>1.5707816058034045</v>
      </c>
      <c r="AM202" s="340" t="str">
        <f t="shared" si="145"/>
        <v>1+115.285366847863i</v>
      </c>
      <c r="AN202" s="734">
        <f t="shared" si="146"/>
        <v>115.28970383016149</v>
      </c>
      <c r="AO202" s="735">
        <f t="shared" si="147"/>
        <v>1.5621224165814027</v>
      </c>
      <c r="AP202" s="733" t="str">
        <f t="shared" si="148"/>
        <v>1+5.59153032053828i</v>
      </c>
      <c r="AQ202" s="734">
        <f t="shared" si="149"/>
        <v>5.6802474704451846</v>
      </c>
      <c r="AR202" s="735">
        <f t="shared" si="150"/>
        <v>1.3938253535574086</v>
      </c>
      <c r="AS202" s="732" t="str">
        <f t="shared" si="151"/>
        <v>0.0207757593441709-20.3841790428568i</v>
      </c>
      <c r="AT202" s="337">
        <f t="shared" si="152"/>
        <v>20.384189630285007</v>
      </c>
      <c r="AU202" s="730">
        <f t="shared" si="153"/>
        <v>-1.5697771171369252</v>
      </c>
      <c r="AV202" s="732" t="str">
        <f t="shared" si="154"/>
        <v>-2.63077467233226+0.0530036965816397i</v>
      </c>
      <c r="AW202" s="337">
        <f t="shared" si="155"/>
        <v>8.4034355901079145</v>
      </c>
      <c r="AX202" s="730">
        <f t="shared" si="156"/>
        <v>178.84578587091491</v>
      </c>
      <c r="AY202" s="360">
        <f t="shared" si="157"/>
        <v>-1.1542141290850907</v>
      </c>
      <c r="BB202" s="337">
        <f t="shared" si="158"/>
        <v>-13.814130983320199</v>
      </c>
      <c r="BC202" s="730">
        <f t="shared" si="159"/>
        <v>-89.941603588159268</v>
      </c>
      <c r="BD202" s="351"/>
      <c r="BE202" s="337">
        <f t="shared" si="120"/>
        <v>50.883768970052429</v>
      </c>
      <c r="BF202" s="730">
        <f t="shared" si="121"/>
        <v>-69.893743081532136</v>
      </c>
      <c r="BI202" s="351"/>
      <c r="BJ202" s="351"/>
      <c r="BL202" s="405">
        <f t="shared" si="122"/>
        <v>0</v>
      </c>
      <c r="BM202" s="405">
        <f t="shared" si="160"/>
        <v>0</v>
      </c>
      <c r="BN202" s="405">
        <f t="shared" si="123"/>
        <v>0</v>
      </c>
      <c r="BO202" s="405">
        <f t="shared" si="124"/>
        <v>0</v>
      </c>
    </row>
    <row r="203" spans="4:67" ht="13.5" thickBot="1" x14ac:dyDescent="0.25">
      <c r="D203" s="345">
        <v>11548.75</v>
      </c>
      <c r="E203" s="340" t="str">
        <f t="shared" si="111"/>
        <v>0.191566151875006i</v>
      </c>
      <c r="F203" s="728" t="str">
        <f t="shared" si="125"/>
        <v>0.005-0.225920331441583i</v>
      </c>
      <c r="G203" s="337" t="str">
        <f t="shared" si="126"/>
        <v>0.005-0.353362569690682i</v>
      </c>
      <c r="H203" s="338" t="str">
        <f t="shared" si="127"/>
        <v>0.098526935833907-0.323417785997526i</v>
      </c>
      <c r="I203" s="338" t="str">
        <f t="shared" si="128"/>
        <v>0.108526935833907-0.323417785997526i</v>
      </c>
      <c r="J203" s="337" t="str">
        <f t="shared" si="129"/>
        <v>0.0194616383005842-0.136042696688258i</v>
      </c>
      <c r="K203" s="338" t="str">
        <f t="shared" si="112"/>
        <v>0.998518070815972-0.0604691135969085i</v>
      </c>
      <c r="L203" s="732"/>
      <c r="M203" s="732" t="str">
        <f t="shared" si="113"/>
        <v>112.442715627323-320.795607532306i</v>
      </c>
      <c r="N203" s="337">
        <f t="shared" si="114"/>
        <v>0</v>
      </c>
      <c r="O203" s="730" t="str">
        <f t="shared" si="115"/>
        <v>21.203986231362-135.288736800819i</v>
      </c>
      <c r="P203" s="731" t="str">
        <f t="shared" si="116"/>
        <v>-41.4535800733686-21.5402183391018i</v>
      </c>
      <c r="Q203" s="729" t="str">
        <f t="shared" si="117"/>
        <v>-41.6656199356822-20.1873309710936i</v>
      </c>
      <c r="R203" s="730"/>
      <c r="S203" s="405" t="str">
        <f t="shared" si="130"/>
        <v>39.547436991213+0.994410487900632i</v>
      </c>
      <c r="T203" s="405" t="str">
        <f t="shared" si="131"/>
        <v>15.7417854694093-2.48430227868986i</v>
      </c>
      <c r="U203" s="405" t="str">
        <f t="shared" si="132"/>
        <v>0.747522344133126-5.33594409536883i</v>
      </c>
      <c r="V203" s="731" t="str">
        <f t="shared" si="118"/>
        <v>6000</v>
      </c>
      <c r="W203" s="733" t="str">
        <f>IMSUM(COMPLEX(1,0),IMDIV(COMPLEX(0,2*PI()*D203),COMPLEX(2*PI()*'Stability Calculations'!EA_Pole1,0)))</f>
        <v>1+73288.5656794531i</v>
      </c>
      <c r="X203" s="734">
        <f t="shared" si="133"/>
        <v>73288.56568627544</v>
      </c>
      <c r="Y203" s="735">
        <f t="shared" si="134"/>
        <v>1.5707826821016124</v>
      </c>
      <c r="Z203" s="340" t="str">
        <f>IMSUM(COMPLEX(1,0),IMDIV(COMPLEX(0,2*PI()*D203),COMPLEX(2*PI()*'Stability Calculations'!EA_Zero1,0)))</f>
        <v>1+725.629363162902i</v>
      </c>
      <c r="AA203" s="734">
        <f t="shared" si="135"/>
        <v>725.63005221958576</v>
      </c>
      <c r="AB203" s="735">
        <f t="shared" si="136"/>
        <v>1.5694182136455392</v>
      </c>
      <c r="AC203" s="733" t="str">
        <f>IMSUM(COMPLEX(1,0),IMDIV(COMPLEX(0,2*PI()*D203),COMPLEX(2*PI()*'Stability Calculations'!EA_Pole2,0)))</f>
        <v>1+7.30959555470595i</v>
      </c>
      <c r="AD203" s="734">
        <f t="shared" si="137"/>
        <v>7.3776816936878618</v>
      </c>
      <c r="AE203" s="735">
        <f t="shared" si="138"/>
        <v>1.4348338844519277</v>
      </c>
      <c r="AF203" s="732" t="str">
        <f t="shared" si="139"/>
        <v>1.08052987872506-7.97929398211236i</v>
      </c>
      <c r="AG203" s="337">
        <f t="shared" si="140"/>
        <v>8.0521225320900385</v>
      </c>
      <c r="AH203" s="730">
        <f t="shared" si="141"/>
        <v>-1.4361983529080009</v>
      </c>
      <c r="AI203" s="731" t="str">
        <f t="shared" si="119"/>
        <v>10000</v>
      </c>
      <c r="AJ203" s="733" t="str">
        <f t="shared" si="142"/>
        <v>1+68325.1157095465i</v>
      </c>
      <c r="AK203" s="734">
        <f t="shared" si="143"/>
        <v>68325.115716864457</v>
      </c>
      <c r="AL203" s="735">
        <f t="shared" si="144"/>
        <v>1.5707816908884726</v>
      </c>
      <c r="AM203" s="340" t="str">
        <f t="shared" si="145"/>
        <v>1+115.955572233432i</v>
      </c>
      <c r="AN203" s="734">
        <f t="shared" si="146"/>
        <v>115.95988414957418</v>
      </c>
      <c r="AO203" s="735">
        <f t="shared" si="147"/>
        <v>1.562172547956479</v>
      </c>
      <c r="AP203" s="733" t="str">
        <f t="shared" si="148"/>
        <v>1+5.6240363864585i</v>
      </c>
      <c r="AQ203" s="734">
        <f t="shared" si="149"/>
        <v>5.7122487057383262</v>
      </c>
      <c r="AR203" s="735">
        <f t="shared" si="150"/>
        <v>1.3948271745307292</v>
      </c>
      <c r="AS203" s="732" t="str">
        <f t="shared" si="151"/>
        <v>0.0205362922463211-20.2663618636183i</v>
      </c>
      <c r="AT203" s="337">
        <f t="shared" si="152"/>
        <v>20.266372268524563</v>
      </c>
      <c r="AU203" s="730">
        <f t="shared" si="153"/>
        <v>-1.5697830080080553</v>
      </c>
      <c r="AV203" s="732" t="str">
        <f t="shared" si="154"/>
        <v>-2.60008399894574+0.0543849286565006i</v>
      </c>
      <c r="AW203" s="337">
        <f t="shared" si="155"/>
        <v>8.3016472141129753</v>
      </c>
      <c r="AX203" s="730">
        <f t="shared" si="156"/>
        <v>178.80174156813663</v>
      </c>
      <c r="AY203" s="360">
        <f t="shared" si="157"/>
        <v>-1.1982584318633656</v>
      </c>
      <c r="BB203" s="337">
        <f t="shared" si="158"/>
        <v>-13.864479683034492</v>
      </c>
      <c r="BC203" s="730">
        <f t="shared" si="159"/>
        <v>-89.941941110212682</v>
      </c>
      <c r="BD203" s="351"/>
      <c r="BE203" s="337">
        <f t="shared" si="120"/>
        <v>50.627819246378998</v>
      </c>
      <c r="BF203" s="730">
        <f t="shared" si="121"/>
        <v>-70.683823035499259</v>
      </c>
      <c r="BI203" s="351"/>
      <c r="BJ203" s="351"/>
      <c r="BL203" s="405">
        <f t="shared" si="122"/>
        <v>0</v>
      </c>
      <c r="BM203" s="405">
        <f t="shared" si="160"/>
        <v>0</v>
      </c>
      <c r="BN203" s="405">
        <f t="shared" si="123"/>
        <v>0</v>
      </c>
      <c r="BO203" s="405">
        <f t="shared" si="124"/>
        <v>0</v>
      </c>
    </row>
    <row r="204" spans="4:67" ht="13.5" thickBot="1" x14ac:dyDescent="0.25">
      <c r="D204" s="345">
        <v>11615.5</v>
      </c>
      <c r="E204" s="340" t="str">
        <f t="shared" si="111"/>
        <v>0.192673374789837i</v>
      </c>
      <c r="F204" s="728" t="str">
        <f t="shared" si="125"/>
        <v>0.005-0.224622050513193i</v>
      </c>
      <c r="G204" s="337" t="str">
        <f t="shared" si="126"/>
        <v>0.005-0.351331925161661i</v>
      </c>
      <c r="H204" s="338" t="str">
        <f t="shared" si="127"/>
        <v>0.0975367529286846-0.321843983983276i</v>
      </c>
      <c r="I204" s="338" t="str">
        <f t="shared" si="128"/>
        <v>0.107536752928685-0.321843983983276i</v>
      </c>
      <c r="J204" s="337" t="str">
        <f t="shared" si="129"/>
        <v>0.0192881481988822-0.135280498264531i</v>
      </c>
      <c r="K204" s="338" t="str">
        <f t="shared" si="112"/>
        <v>0.998500890663889-0.0608186157796204i</v>
      </c>
      <c r="L204" s="732"/>
      <c r="M204" s="732" t="str">
        <f t="shared" si="113"/>
        <v>105.227932713395-313.111123315773i</v>
      </c>
      <c r="N204" s="337">
        <f t="shared" si="114"/>
        <v>0</v>
      </c>
      <c r="O204" s="730" t="str">
        <f t="shared" si="115"/>
        <v>19.006055023786-131.653932853784i</v>
      </c>
      <c r="P204" s="731" t="str">
        <f t="shared" si="116"/>
        <v>-40.3281768134868-20.2746209180478i</v>
      </c>
      <c r="Q204" s="729" t="str">
        <f t="shared" si="117"/>
        <v>-40.5182373637246-18.9580815895098i</v>
      </c>
      <c r="R204" s="730"/>
      <c r="S204" s="405" t="str">
        <f t="shared" si="130"/>
        <v>39.5539960857376+0.962190203231462i</v>
      </c>
      <c r="T204" s="405" t="str">
        <f t="shared" si="131"/>
        <v>15.7381926937365-2.48364198354503i</v>
      </c>
      <c r="U204" s="405" t="str">
        <f t="shared" si="132"/>
        <v>0.735706981540739-5.307489011761i</v>
      </c>
      <c r="V204" s="731" t="str">
        <f t="shared" si="118"/>
        <v>6000</v>
      </c>
      <c r="W204" s="733" t="str">
        <f>IMSUM(COMPLEX(1,0),IMDIV(COMPLEX(0,2*PI()*D204),COMPLEX(2*PI()*'Stability Calculations'!EA_Pole1,0)))</f>
        <v>1+73712.1623249i</v>
      </c>
      <c r="X204" s="734">
        <f t="shared" si="133"/>
        <v>73712.162331683139</v>
      </c>
      <c r="Y204" s="735">
        <f t="shared" si="134"/>
        <v>1.5707827605126388</v>
      </c>
      <c r="Z204" s="340" t="str">
        <f>IMSUM(COMPLEX(1,0),IMDIV(COMPLEX(0,2*PI()*D204),COMPLEX(2*PI()*'Stability Calculations'!EA_Zero1,0)))</f>
        <v>1+729.823389355445i</v>
      </c>
      <c r="AA204" s="734">
        <f t="shared" si="135"/>
        <v>729.82407445237743</v>
      </c>
      <c r="AB204" s="735">
        <f t="shared" si="136"/>
        <v>1.5694261331442481</v>
      </c>
      <c r="AC204" s="733" t="str">
        <f>IMSUM(COMPLEX(1,0),IMDIV(COMPLEX(0,2*PI()*D204),COMPLEX(2*PI()*'Stability Calculations'!EA_Pole2,0)))</f>
        <v>1+7.35184389355445i</v>
      </c>
      <c r="AD204" s="734">
        <f t="shared" si="137"/>
        <v>7.4195423467484742</v>
      </c>
      <c r="AE204" s="735">
        <f t="shared" si="138"/>
        <v>1.4356056984466716</v>
      </c>
      <c r="AF204" s="732" t="str">
        <f t="shared" si="139"/>
        <v>1.06837169220409-7.93509367715658i</v>
      </c>
      <c r="AG204" s="337">
        <f t="shared" si="140"/>
        <v>8.0066928090163021</v>
      </c>
      <c r="AH204" s="730">
        <f t="shared" si="141"/>
        <v>-1.4369623258150619</v>
      </c>
      <c r="AI204" s="731" t="str">
        <f t="shared" si="119"/>
        <v>10000</v>
      </c>
      <c r="AJ204" s="733" t="str">
        <f t="shared" si="142"/>
        <v>1+68720.0243770311i</v>
      </c>
      <c r="AK204" s="734">
        <f t="shared" si="143"/>
        <v>68720.024384307006</v>
      </c>
      <c r="AL204" s="735">
        <f t="shared" si="144"/>
        <v>1.5707817749956359</v>
      </c>
      <c r="AM204" s="340" t="str">
        <f t="shared" si="145"/>
        <v>1+116.625777619i</v>
      </c>
      <c r="AN204" s="734">
        <f t="shared" si="146"/>
        <v>116.63006475706187</v>
      </c>
      <c r="AO204" s="735">
        <f t="shared" si="147"/>
        <v>1.5622221032010648</v>
      </c>
      <c r="AP204" s="733" t="str">
        <f t="shared" si="148"/>
        <v>1+5.65654245237872i</v>
      </c>
      <c r="AQ204" s="734">
        <f t="shared" si="149"/>
        <v>5.7442556102216287</v>
      </c>
      <c r="AR204" s="735">
        <f t="shared" si="150"/>
        <v>1.3958178322267976</v>
      </c>
      <c r="AS204" s="732" t="str">
        <f t="shared" si="151"/>
        <v>0.0203009416568775-20.1498987840961i</v>
      </c>
      <c r="AT204" s="337">
        <f t="shared" si="152"/>
        <v>20.149909010651875</v>
      </c>
      <c r="AU204" s="730">
        <f t="shared" si="153"/>
        <v>-1.5697888311739214</v>
      </c>
      <c r="AV204" s="732" t="str">
        <f t="shared" si="154"/>
        <v>-2.56992618122839+0.0557184746735578i</v>
      </c>
      <c r="AW204" s="337">
        <f t="shared" si="155"/>
        <v>8.2004539590498098</v>
      </c>
      <c r="AX204" s="730">
        <f t="shared" si="156"/>
        <v>178.75796690664978</v>
      </c>
      <c r="AY204" s="360">
        <f t="shared" si="157"/>
        <v>-1.2420330933502157</v>
      </c>
      <c r="BB204" s="337">
        <f t="shared" si="158"/>
        <v>-13.914538212552731</v>
      </c>
      <c r="BC204" s="730">
        <f t="shared" si="159"/>
        <v>-89.942274753040209</v>
      </c>
      <c r="BD204" s="351"/>
      <c r="BE204" s="337">
        <f t="shared" si="120"/>
        <v>50.378704998372108</v>
      </c>
      <c r="BF204" s="730">
        <f t="shared" si="121"/>
        <v>-71.42393632716481</v>
      </c>
      <c r="BI204" s="351"/>
      <c r="BJ204" s="351"/>
      <c r="BL204" s="405">
        <f t="shared" si="122"/>
        <v>0</v>
      </c>
      <c r="BM204" s="405">
        <f t="shared" si="160"/>
        <v>0</v>
      </c>
      <c r="BN204" s="405">
        <f t="shared" si="123"/>
        <v>0</v>
      </c>
      <c r="BO204" s="405">
        <f t="shared" si="124"/>
        <v>0</v>
      </c>
    </row>
    <row r="205" spans="4:67" ht="13.5" thickBot="1" x14ac:dyDescent="0.25">
      <c r="D205" s="345">
        <v>11682.25</v>
      </c>
      <c r="E205" s="340" t="str">
        <f t="shared" ref="E205:E268" si="161">COMPLEX(0,2*PI()*D205*L)</f>
        <v>0.193780597704669i</v>
      </c>
      <c r="F205" s="728" t="str">
        <f t="shared" si="125"/>
        <v>0.005-0.223338605811037i</v>
      </c>
      <c r="G205" s="337" t="str">
        <f t="shared" si="126"/>
        <v>0.005-0.349324486012135i</v>
      </c>
      <c r="H205" s="338" t="str">
        <f t="shared" si="127"/>
        <v>0.0965617840775482-0.320283816417567i</v>
      </c>
      <c r="I205" s="338" t="str">
        <f t="shared" si="128"/>
        <v>0.106561784077548-0.320283816417567i</v>
      </c>
      <c r="J205" s="337" t="str">
        <f t="shared" si="129"/>
        <v>0.0191175747356523-0.134526685906531i</v>
      </c>
      <c r="K205" s="338" t="str">
        <f t="shared" ref="K205:K268" si="162">IMSUM(COMPLEX(1,0),COMPLEX(0,2*PI()*D205/(Fsw*PI()*(-2)/PI())),IMPRODUCT(COMPLEX(0,2*PI()*D205/(Fsw*PI())),COMPLEX(0,2*PI()*D205/(Fsw*PI()))))</f>
        <v>0.998483611499306-0.0611681179623323i</v>
      </c>
      <c r="L205" s="732"/>
      <c r="M205" s="732" t="str">
        <f t="shared" ref="M205:M268" si="163">IF(Vin&gt;=Vout,IMDIV(COMPLEX(Vin,0),IMSUM(E205,J205)),IMDIV(IMSUM(COMPLEX(Vout,0),IMPRODUCT(J205,COMPLEX($B$4,0))),IMSUM(E205,IMPRODUCT(J205,COMPLEX((1-$B$11)^2,0)))))</f>
        <v>98.6329762829287-305.707693463717i</v>
      </c>
      <c r="N205" s="337">
        <f t="shared" ref="N205:N268" si="164">IF(Vin&gt;=Vout,0,IMSUB(IMPRODUCT(M205,COMPLEX(1-$B$11,0)),COMPLEX($B$4/(1-$B$11),0)))</f>
        <v>0</v>
      </c>
      <c r="O205" s="730" t="str">
        <f t="shared" ref="O205:O268" si="165">IMDIV(IF(Vin&gt;=Vout,M205,N205),IMPRODUCT(I205,IMSUM(IMDIV(COMPLEX(1,0),F205),IMDIV(COMPLEX(1,0),I205))))</f>
        <v>17.0280485175036-128.182432852537i</v>
      </c>
      <c r="P205" s="731" t="str">
        <f t="shared" ref="P205:P268" si="166">IF(Vin&gt;=Vout,IMDIV(IMPRODUCT(COMPLEX(Vin,0),J205),IMSUM(J205,E205)),IMPRODUCT(N205,J205))</f>
        <v>-39.2402195623148-19.1131570974964i</v>
      </c>
      <c r="Q205" s="729" t="str">
        <f t="shared" ref="Q205:Q268" si="167">IF(Vin&gt;=Vout,IMDIV(IMPRODUCT(P205,H205),IMSUM(COMPLEX($B$15,0),H205)),IMPRODUCT(O205,H205))</f>
        <v>-39.4105000474897-17.8313327689711i</v>
      </c>
      <c r="R205" s="730"/>
      <c r="S205" s="405" t="str">
        <f t="shared" si="130"/>
        <v>39.5604264547445+0.930153681142021i</v>
      </c>
      <c r="T205" s="405" t="str">
        <f t="shared" si="131"/>
        <v>15.7346449718028-2.48305377239114i</v>
      </c>
      <c r="U205" s="405" t="str">
        <f t="shared" si="132"/>
        <v>0.724083451712648-5.27932024376702i</v>
      </c>
      <c r="V205" s="731" t="str">
        <f t="shared" ref="V205:V268" si="168">COMPLEX(AEA,0)</f>
        <v>6000</v>
      </c>
      <c r="W205" s="733" t="str">
        <f>IMSUM(COMPLEX(1,0),IMDIV(COMPLEX(0,2*PI()*D205),COMPLEX(2*PI()*'Stability Calculations'!EA_Pole1,0)))</f>
        <v>1+74135.7589703467i</v>
      </c>
      <c r="X205" s="734">
        <f t="shared" si="133"/>
        <v>74135.758977091085</v>
      </c>
      <c r="Y205" s="735">
        <f t="shared" si="134"/>
        <v>1.5707828380276159</v>
      </c>
      <c r="Z205" s="340" t="str">
        <f>IMSUM(COMPLEX(1,0),IMDIV(COMPLEX(0,2*PI()*D205),COMPLEX(2*PI()*'Stability Calculations'!EA_Zero1,0)))</f>
        <v>1+734.017415547987i</v>
      </c>
      <c r="AA205" s="734">
        <f t="shared" si="135"/>
        <v>734.01809673041862</v>
      </c>
      <c r="AB205" s="735">
        <f t="shared" si="136"/>
        <v>1.5694339621423166</v>
      </c>
      <c r="AC205" s="733" t="str">
        <f>IMSUM(COMPLEX(1,0),IMDIV(COMPLEX(0,2*PI()*D205),COMPLEX(2*PI()*'Stability Calculations'!EA_Pole2,0)))</f>
        <v>1+7.39409223240295i</v>
      </c>
      <c r="AD205" s="734">
        <f t="shared" si="137"/>
        <v>7.4614073700128216</v>
      </c>
      <c r="AE205" s="735">
        <f t="shared" si="138"/>
        <v>1.4363688517882547</v>
      </c>
      <c r="AF205" s="732" t="str">
        <f t="shared" si="139"/>
        <v>1.05641632656506-7.89137104520592i</v>
      </c>
      <c r="AG205" s="337">
        <f t="shared" si="140"/>
        <v>7.9617681722182532</v>
      </c>
      <c r="AH205" s="730">
        <f t="shared" si="141"/>
        <v>-1.437717727673554</v>
      </c>
      <c r="AI205" s="731" t="str">
        <f t="shared" ref="AI205:AI268" si="169">COMPLEX(AIL,0)</f>
        <v>10000</v>
      </c>
      <c r="AJ205" s="733" t="str">
        <f t="shared" si="142"/>
        <v>1+69114.9330445156i</v>
      </c>
      <c r="AK205" s="734">
        <f t="shared" si="143"/>
        <v>69114.933051749918</v>
      </c>
      <c r="AL205" s="735">
        <f t="shared" si="144"/>
        <v>1.5707818581416566</v>
      </c>
      <c r="AM205" s="340" t="str">
        <f t="shared" si="145"/>
        <v>1+117.295983004568i</v>
      </c>
      <c r="AN205" s="734">
        <f t="shared" si="146"/>
        <v>117.30024564768782</v>
      </c>
      <c r="AO205" s="735">
        <f t="shared" si="147"/>
        <v>1.5622710921898719</v>
      </c>
      <c r="AP205" s="733" t="str">
        <f t="shared" si="148"/>
        <v>1+5.68904851829893i</v>
      </c>
      <c r="AQ205" s="734">
        <f t="shared" si="149"/>
        <v>5.7762680896543612</v>
      </c>
      <c r="AR205" s="735">
        <f t="shared" si="150"/>
        <v>1.3967975102877803</v>
      </c>
      <c r="AS205" s="732" t="str">
        <f t="shared" si="151"/>
        <v>0.0200696137617366-20.0347665932333i</v>
      </c>
      <c r="AT205" s="337">
        <f t="shared" si="152"/>
        <v>20.034776645491547</v>
      </c>
      <c r="AU205" s="730">
        <f t="shared" si="153"/>
        <v>-1.5697945877950843</v>
      </c>
      <c r="AV205" s="732" t="str">
        <f t="shared" si="154"/>
        <v>-2.54028895303129+0.0570059473645756i</v>
      </c>
      <c r="AW205" s="337">
        <f t="shared" si="155"/>
        <v>8.0998488899672445</v>
      </c>
      <c r="AX205" s="730">
        <f t="shared" si="156"/>
        <v>178.71445644741394</v>
      </c>
      <c r="AY205" s="360">
        <f t="shared" si="157"/>
        <v>-1.2855435525860628</v>
      </c>
      <c r="BB205" s="337">
        <f t="shared" si="158"/>
        <v>-13.96430989733963</v>
      </c>
      <c r="BC205" s="730">
        <f t="shared" si="159"/>
        <v>-89.942604583137097</v>
      </c>
      <c r="BD205" s="351"/>
      <c r="BE205" s="337">
        <f t="shared" ref="BE205:BE268" si="170">20*LOG10(IMABS(M205))</f>
        <v>50.13619337329844</v>
      </c>
      <c r="BF205" s="730">
        <f t="shared" ref="BF205:BF268" si="171">180/PI()*IMARGUMENT(IMPRODUCT(COMPLEX(1,0),M205))</f>
        <v>-72.118317232506328</v>
      </c>
      <c r="BI205" s="351"/>
      <c r="BJ205" s="351"/>
      <c r="BL205" s="405">
        <f t="shared" ref="BL205:BL268" si="172">SUM((AW206&lt;0)*(AW205&gt;0))*D205</f>
        <v>0</v>
      </c>
      <c r="BM205" s="405">
        <f t="shared" si="160"/>
        <v>0</v>
      </c>
      <c r="BN205" s="405">
        <f t="shared" ref="BN205:BN268" si="173">SUM((BB206&lt;0)*(BB205&gt;0))*D205</f>
        <v>0</v>
      </c>
      <c r="BO205" s="405">
        <f t="shared" ref="BO205:BO268" si="174">IF(BN205&gt;0,BC205,0)</f>
        <v>0</v>
      </c>
    </row>
    <row r="206" spans="4:67" ht="13.5" thickBot="1" x14ac:dyDescent="0.25">
      <c r="D206" s="345">
        <v>11749</v>
      </c>
      <c r="E206" s="340" t="str">
        <f t="shared" si="161"/>
        <v>0.1948878206195i</v>
      </c>
      <c r="F206" s="728" t="str">
        <f t="shared" ref="F206:F269" si="175">IMSUM(COMPLEX($B$8,0),IMDIV(COMPLEX(1,0),COMPLEX(0,2*PI()*D206*$B$6)))</f>
        <v>0.005-0.222069744466422i</v>
      </c>
      <c r="G206" s="337" t="str">
        <f t="shared" ref="G206:G269" si="176">IMSUM(COMPLEX($B$9,0),IMDIV(COMPLEX(1,0),COMPLEX(0,2*PI()*D206*$B$7)))</f>
        <v>0.005-0.347339856729531i</v>
      </c>
      <c r="H206" s="338" t="str">
        <f t="shared" ref="H206:H269" si="177">IMDIV(COMPLEX(1,0),IMSUM(IMDIV(COMPLEX(1,0),COMPLEX($B$5,0)), IMDIV(COMPLEX(1,0),G206)))</f>
        <v>0.0956017282362282-0.318737136506626i</v>
      </c>
      <c r="I206" s="338" t="str">
        <f t="shared" ref="I206:I269" si="178">IMSUM(H206,COMPLEX($B$15,0))</f>
        <v>0.105601728236228-0.318737136506626i</v>
      </c>
      <c r="J206" s="337" t="str">
        <f t="shared" ref="J206:J269" si="179">IMDIV(COMPLEX(1,0),IMSUM(IMDIV(COMPLEX(1,0),F206),IMDIV(COMPLEX(1,0),IMSUM(COMPLEX($B$15,0),H206))))</f>
        <v>0.018949853162233-0.133781123853666i</v>
      </c>
      <c r="K206" s="338" t="str">
        <f t="shared" si="162"/>
        <v>0.998466233322222-0.0615176201450441i</v>
      </c>
      <c r="L206" s="732"/>
      <c r="M206" s="732" t="str">
        <f t="shared" si="163"/>
        <v>92.5935643787775-298.582095202629i</v>
      </c>
      <c r="N206" s="337">
        <f t="shared" si="164"/>
        <v>0</v>
      </c>
      <c r="O206" s="730" t="str">
        <f t="shared" si="165"/>
        <v>15.2449592981207-124.867495187494i</v>
      </c>
      <c r="P206" s="731" t="str">
        <f t="shared" si="166"/>
        <v>-38.1900138100443-18.0453579651713i</v>
      </c>
      <c r="Q206" s="729" t="str">
        <f t="shared" si="167"/>
        <v>-38.3424634030256-16.7966830132963i</v>
      </c>
      <c r="R206" s="730"/>
      <c r="S206" s="405" t="str">
        <f t="shared" ref="S206:S269" si="180">IMDIV(IMPRODUCT(COMPLEX($B$34,0),M206),IMSUM(COMPLEX(1,0),IMPRODUCT(M206,COMPLEX($B$29,0),K206,COMPLEX($B$34,0))))</f>
        <v>39.5667307072348+0.898298311484572i</v>
      </c>
      <c r="T206" s="405" t="str">
        <f t="shared" ref="T206:T269" si="181">IMDIV(IMPRODUCT(COMPLEX($B$34,0),O206),IMSUM(COMPLEX(1,0),IMPRODUCT(M206,COMPLEX($B$29,0),K206,COMPLEX($B$34,0))))</f>
        <v>15.7311412735388-2.48253661185641i</v>
      </c>
      <c r="U206" s="405" t="str">
        <f t="shared" ref="U206:U269" si="182">IMDIV(IMPRODUCT(COMPLEX($B$34,0),Q206),IMSUM(COMPLEX(1,0),IMPRODUCT(M206,COMPLEX($B$29,0),K206,COMPLEX($B$34,0))))</f>
        <v>0.712647681942576-5.25143371401214i</v>
      </c>
      <c r="V206" s="731" t="str">
        <f t="shared" si="168"/>
        <v>6000</v>
      </c>
      <c r="W206" s="733" t="str">
        <f>IMSUM(COMPLEX(1,0),IMDIV(COMPLEX(0,2*PI()*D206),COMPLEX(2*PI()*'Stability Calculations'!EA_Pole1,0)))</f>
        <v>1+74559.3556157935i</v>
      </c>
      <c r="X206" s="734">
        <f t="shared" ref="X206:X269" si="183">IMABS(W206)</f>
        <v>74559.35562249957</v>
      </c>
      <c r="Y206" s="735">
        <f t="shared" ref="Y206:Y269" si="184">IMARGUMENT(W206)</f>
        <v>1.5707829146618157</v>
      </c>
      <c r="Z206" s="340" t="str">
        <f>IMSUM(COMPLEX(1,0),IMDIV(COMPLEX(0,2*PI()*D206),COMPLEX(2*PI()*'Stability Calculations'!EA_Zero1,0)))</f>
        <v>1+738.21144174053i</v>
      </c>
      <c r="AA206" s="734">
        <f t="shared" ref="AA206:AA269" si="185">IMABS(Z206)</f>
        <v>738.21211905293978</v>
      </c>
      <c r="AB206" s="735">
        <f t="shared" ref="AB206:AB269" si="186">IMARGUMENT(Z206)</f>
        <v>1.5694417021822342</v>
      </c>
      <c r="AC206" s="733" t="str">
        <f>IMSUM(COMPLEX(1,0),IMDIV(COMPLEX(0,2*PI()*D206),COMPLEX(2*PI()*'Stability Calculations'!EA_Pole2,0)))</f>
        <v>1+7.43634057125146i</v>
      </c>
      <c r="AD206" s="734">
        <f t="shared" ref="AD206:AD269" si="187">IMABS(AC206)</f>
        <v>7.5032766903293986</v>
      </c>
      <c r="AE206" s="735">
        <f t="shared" ref="AE206:AE269" si="188">IMARGUMENT(AC206)</f>
        <v>1.4371234885631503</v>
      </c>
      <c r="AF206" s="732" t="str">
        <f t="shared" ref="AF206:AF269" si="189">IMPRODUCT(V206,IMDIV(Z206,IMPRODUCT(W206,AC206)))</f>
        <v>1.04465932293936-7.84811854440444i</v>
      </c>
      <c r="AG206" s="337">
        <f t="shared" ref="AG206:AG269" si="190">IMABS(AF206)</f>
        <v>7.9173403228627857</v>
      </c>
      <c r="AH206" s="730">
        <f t="shared" ref="AH206:AH269" si="191">IMARGUMENT(AF206)</f>
        <v>-1.4384647010427318</v>
      </c>
      <c r="AI206" s="731" t="str">
        <f t="shared" si="169"/>
        <v>10000</v>
      </c>
      <c r="AJ206" s="733" t="str">
        <f t="shared" ref="AJ206:AJ269" si="192">IMSUM(COMPLEX(1,0),IMDIV(COMPLEX(0,2*PI()*D206),COMPLEX(2*PI()*IL_Pole1,0)))</f>
        <v>1+69509.8417120002i</v>
      </c>
      <c r="AK206" s="734">
        <f t="shared" ref="AK206:AK269" si="193">IMABS(AJ206)</f>
        <v>69509.841719193428</v>
      </c>
      <c r="AL206" s="735">
        <f t="shared" ref="AL206:AL269" si="194">IMARGUMENT(AJ206)</f>
        <v>1.5707819403429166</v>
      </c>
      <c r="AM206" s="340" t="str">
        <f t="shared" ref="AM206:AM269" si="195">IMSUM(COMPLEX(1,0),IMDIV(COMPLEX(0,2*PI()*D206),COMPLEX(2*PI()*IL_Zero1,0)))</f>
        <v>1+117.966188390137i</v>
      </c>
      <c r="AN206" s="734">
        <f t="shared" ref="AN206:AN269" si="196">IMABS(AM206)</f>
        <v>117.97042681662762</v>
      </c>
      <c r="AO206" s="735">
        <f t="shared" ref="AO206:AO269" si="197">IMARGUMENT(AM206)</f>
        <v>1.5623195245732338</v>
      </c>
      <c r="AP206" s="733" t="str">
        <f t="shared" ref="AP206:AP269" si="198">IMSUM(COMPLEX(1,0),IMDIV(COMPLEX(0,2*PI()*D206),COMPLEX(2*PI()*IL_Pole2,0)))</f>
        <v>1+5.72155458421915i</v>
      </c>
      <c r="AQ206" s="734">
        <f t="shared" ref="AQ206:AQ269" si="199">IMABS(AP206)</f>
        <v>5.8082860518572232</v>
      </c>
      <c r="AR206" s="735">
        <f t="shared" ref="AR206:AR269" si="200">IMARGUMENT(AP206)</f>
        <v>1.3977663883919289</v>
      </c>
      <c r="AS206" s="732" t="str">
        <f t="shared" ref="AS206:AS269" si="201">_xlfn.SWITCH(IMONLIM_select,0,COMPLEX(1,0),1,IMPRODUCT(gm_IL,IMDIV(COMPLEX(1,0),IMSUM(COMPLEX(1/20000000,0),COMPLEX(0,2*PI()*D206*CISET),COMPLEX(1/RISET,0)))),2,IMPRODUCT(gm_IL,IMDIV(COMPLEX(1,0),IMSUM(COMPLEX(1/20000000,0),COMPLEX(0,2*PI()*D206*CcIL)))),3,IMPRODUCT(AI206,IMDIV(AM206,IMPRODUCT(AJ206,AP206))))</f>
        <v>0.0198422174041439-19.9209426074492i</v>
      </c>
      <c r="AT206" s="337">
        <f t="shared" ref="AT206:AT269" si="202">IMABS(AS206)</f>
        <v>19.920952489348405</v>
      </c>
      <c r="AU206" s="730">
        <f t="shared" ref="AU206:AU269" si="203">IMARGUMENT(AS206)</f>
        <v>-1.5698002790057308</v>
      </c>
      <c r="AV206" s="732" t="str">
        <f t="shared" ref="AV206:AV269" si="204">IMPRODUCT(T206,AS206,COMPLEX($B$15,0),IMPRODUCT(COMPLEX(0.1,0),AF206))</f>
        <v>-2.51116039881226+0.0582488981341186i</v>
      </c>
      <c r="AW206" s="337">
        <f t="shared" ref="AW206:AW269" si="205">20*LOG10(IMABS(AV206))</f>
        <v>7.9998251917319134</v>
      </c>
      <c r="AX206" s="730">
        <f t="shared" ref="AX206:AX269" si="206">(180/PI())*IMARGUMENT(AV206)</f>
        <v>178.67120489467902</v>
      </c>
      <c r="AY206" s="360">
        <f t="shared" ref="AY206:AY269" si="207">IF(AX206&gt;0,AX206-180,AX206+180)</f>
        <v>-1.3287951053209781</v>
      </c>
      <c r="BB206" s="337">
        <f t="shared" ref="BB206:BB269" si="208">20*LOG10(IMPRODUCT(COMPLEX($B$15,0),IMABS(AS206)))</f>
        <v>-14.013798006018842</v>
      </c>
      <c r="BC206" s="730">
        <f t="shared" ref="BC206:BC269" si="209">(180/PI())*IMARGUMENT(AS206)</f>
        <v>-89.942930665487467</v>
      </c>
      <c r="BD206" s="351"/>
      <c r="BE206" s="337">
        <f t="shared" si="170"/>
        <v>49.900049491243465</v>
      </c>
      <c r="BF206" s="730">
        <f t="shared" si="171"/>
        <v>-72.770766611702541</v>
      </c>
      <c r="BI206" s="351"/>
      <c r="BJ206" s="351"/>
      <c r="BL206" s="405">
        <f t="shared" si="172"/>
        <v>0</v>
      </c>
      <c r="BM206" s="405">
        <f t="shared" si="160"/>
        <v>0</v>
      </c>
      <c r="BN206" s="405">
        <f t="shared" si="173"/>
        <v>0</v>
      </c>
      <c r="BO206" s="405">
        <f t="shared" si="174"/>
        <v>0</v>
      </c>
    </row>
    <row r="207" spans="4:67" ht="13.5" thickBot="1" x14ac:dyDescent="0.25">
      <c r="D207" s="345">
        <v>11817.5</v>
      </c>
      <c r="E207" s="340" t="str">
        <f t="shared" si="161"/>
        <v>0.19602407185045i</v>
      </c>
      <c r="F207" s="728" t="str">
        <f t="shared" si="175"/>
        <v>0.005-0.220782519799957i</v>
      </c>
      <c r="G207" s="337" t="str">
        <f t="shared" si="176"/>
        <v>0.005-0.345326505328137i</v>
      </c>
      <c r="H207" s="338" t="str">
        <f t="shared" si="177"/>
        <v>0.0946316988367143-0.317163777050494i</v>
      </c>
      <c r="I207" s="338" t="str">
        <f t="shared" si="178"/>
        <v>0.104631698836714-0.317163777050494i</v>
      </c>
      <c r="J207" s="337" t="str">
        <f t="shared" si="179"/>
        <v>0.0187806333894707-0.133024453472364i</v>
      </c>
      <c r="K207" s="338" t="str">
        <f t="shared" si="162"/>
        <v>0.998448296597222-0.061876285306329i</v>
      </c>
      <c r="L207" s="732"/>
      <c r="M207" s="732" t="str">
        <f t="shared" si="163"/>
        <v>86.9138967191742-291.552590986106i</v>
      </c>
      <c r="N207" s="337">
        <f t="shared" si="164"/>
        <v>0</v>
      </c>
      <c r="O207" s="730" t="str">
        <f t="shared" si="165"/>
        <v>13.5948763594596-121.62101678613i</v>
      </c>
      <c r="P207" s="731" t="str">
        <f t="shared" si="166"/>
        <v>-37.1513260436453-17.037215935282i</v>
      </c>
      <c r="Q207" s="729" t="str">
        <f t="shared" si="167"/>
        <v>-37.28727480724-15.8210057674207i</v>
      </c>
      <c r="R207" s="730"/>
      <c r="S207" s="405" t="str">
        <f t="shared" si="180"/>
        <v>39.5730717847744+0.865793431834681i</v>
      </c>
      <c r="T207" s="405" t="str">
        <f t="shared" si="181"/>
        <v>15.7275904360987-2.48207869726848i</v>
      </c>
      <c r="U207" s="405" t="str">
        <f t="shared" si="182"/>
        <v>0.701103147013838-5.22310531038525i</v>
      </c>
      <c r="V207" s="731" t="str">
        <f t="shared" si="168"/>
        <v>6000</v>
      </c>
      <c r="W207" s="733" t="str">
        <f>IMSUM(COMPLEX(1,0),IMDIV(COMPLEX(0,2*PI()*D207),COMPLEX(2*PI()*'Stability Calculations'!EA_Pole1,0)))</f>
        <v>1+74994.0577912708i</v>
      </c>
      <c r="X207" s="734">
        <f t="shared" si="183"/>
        <v>74994.057797938003</v>
      </c>
      <c r="Y207" s="735">
        <f t="shared" si="184"/>
        <v>1.5707829924050878</v>
      </c>
      <c r="Z207" s="340" t="str">
        <f>IMSUM(COMPLEX(1,0),IMDIV(COMPLEX(0,2*PI()*D207),COMPLEX(2*PI()*'Stability Calculations'!EA_Zero1,0)))</f>
        <v>1+742.515423675948i</v>
      </c>
      <c r="AA207" s="734">
        <f t="shared" si="185"/>
        <v>742.51609706232807</v>
      </c>
      <c r="AB207" s="735">
        <f t="shared" si="186"/>
        <v>1.5694495542383744</v>
      </c>
      <c r="AC207" s="733" t="str">
        <f>IMSUM(COMPLEX(1,0),IMDIV(COMPLEX(0,2*PI()*D207),COMPLEX(2*PI()*'Stability Calculations'!EA_Pole2,0)))</f>
        <v>1+7.47969654445179i</v>
      </c>
      <c r="AD207" s="734">
        <f t="shared" si="187"/>
        <v>7.5462481006844744</v>
      </c>
      <c r="AE207" s="735">
        <f t="shared" si="188"/>
        <v>1.4378892031849366</v>
      </c>
      <c r="AF207" s="732" t="str">
        <f t="shared" si="189"/>
        <v>1.03279576576043-7.804213117158i</v>
      </c>
      <c r="AG207" s="337">
        <f t="shared" si="190"/>
        <v>7.8722556787615607</v>
      </c>
      <c r="AH207" s="730">
        <f t="shared" si="191"/>
        <v>-1.4392226413516507</v>
      </c>
      <c r="AI207" s="731" t="str">
        <f t="shared" si="169"/>
        <v>10000</v>
      </c>
      <c r="AJ207" s="733" t="str">
        <f t="shared" si="192"/>
        <v>1+69915.1037902428i</v>
      </c>
      <c r="AK207" s="734">
        <f t="shared" si="193"/>
        <v>69915.103797394346</v>
      </c>
      <c r="AL207" s="735">
        <f t="shared" si="194"/>
        <v>1.5707820237338166</v>
      </c>
      <c r="AM207" s="340" t="str">
        <f t="shared" si="195"/>
        <v>1+118.653964703416i</v>
      </c>
      <c r="AN207" s="734">
        <f t="shared" si="196"/>
        <v>118.65817856279223</v>
      </c>
      <c r="AO207" s="735">
        <f t="shared" si="197"/>
        <v>1.5623686579244418</v>
      </c>
      <c r="AP207" s="733" t="str">
        <f t="shared" si="198"/>
        <v>1+5.75491286909608i</v>
      </c>
      <c r="AQ207" s="734">
        <f t="shared" si="199"/>
        <v>5.8411490420025816</v>
      </c>
      <c r="AR207" s="735">
        <f t="shared" si="200"/>
        <v>1.3987496237745374</v>
      </c>
      <c r="AS207" s="732" t="str">
        <f t="shared" si="201"/>
        <v>0.0196128539527806-19.805471324651i</v>
      </c>
      <c r="AT207" s="337">
        <f t="shared" si="202"/>
        <v>19.805481035703554</v>
      </c>
      <c r="AU207" s="730">
        <f t="shared" si="203"/>
        <v>-1.5698060525812605</v>
      </c>
      <c r="AV207" s="732" t="str">
        <f t="shared" si="204"/>
        <v>-2.48178488842197+0.0594797126497868i</v>
      </c>
      <c r="AW207" s="337">
        <f t="shared" si="205"/>
        <v>7.8977765590888236</v>
      </c>
      <c r="AX207" s="730">
        <f t="shared" si="206"/>
        <v>178.62708317574146</v>
      </c>
      <c r="AY207" s="360">
        <f t="shared" si="207"/>
        <v>-1.3729168242585388</v>
      </c>
      <c r="BB207" s="337">
        <f t="shared" si="208"/>
        <v>-14.064292099665231</v>
      </c>
      <c r="BC207" s="730">
        <f t="shared" si="209"/>
        <v>-89.94326146699801</v>
      </c>
      <c r="BD207" s="351"/>
      <c r="BE207" s="337">
        <f t="shared" si="170"/>
        <v>49.664089822402048</v>
      </c>
      <c r="BF207" s="730">
        <f t="shared" si="171"/>
        <v>-73.400307818917241</v>
      </c>
      <c r="BI207" s="351"/>
      <c r="BJ207" s="351"/>
      <c r="BL207" s="405">
        <f t="shared" si="172"/>
        <v>0</v>
      </c>
      <c r="BM207" s="405">
        <f t="shared" si="160"/>
        <v>0</v>
      </c>
      <c r="BN207" s="405">
        <f t="shared" si="173"/>
        <v>0</v>
      </c>
      <c r="BO207" s="405">
        <f t="shared" si="174"/>
        <v>0</v>
      </c>
    </row>
    <row r="208" spans="4:67" ht="13.5" thickBot="1" x14ac:dyDescent="0.25">
      <c r="D208" s="345">
        <v>11886</v>
      </c>
      <c r="E208" s="340" t="str">
        <f t="shared" si="161"/>
        <v>0.197160323081401i</v>
      </c>
      <c r="F208" s="728" t="str">
        <f t="shared" si="175"/>
        <v>0.005-0.219510131897694i</v>
      </c>
      <c r="G208" s="337" t="str">
        <f t="shared" si="176"/>
        <v>0.005-0.343336360147675i</v>
      </c>
      <c r="H208" s="338" t="str">
        <f t="shared" si="177"/>
        <v>0.0936767552260697-0.315604312695695i</v>
      </c>
      <c r="I208" s="338" t="str">
        <f t="shared" si="178"/>
        <v>0.10367675522607-0.315604312695695i</v>
      </c>
      <c r="J208" s="337" t="str">
        <f t="shared" si="179"/>
        <v>0.0186142845287328-0.13227619117702i</v>
      </c>
      <c r="K208" s="338" t="str">
        <f t="shared" si="162"/>
        <v>0.9984302556-0.0622349504676138i</v>
      </c>
      <c r="L208" s="732"/>
      <c r="M208" s="732" t="str">
        <f t="shared" si="163"/>
        <v>81.7053475889961-284.801736111564i</v>
      </c>
      <c r="N208" s="337">
        <f t="shared" si="164"/>
        <v>0</v>
      </c>
      <c r="O208" s="730" t="str">
        <f t="shared" si="165"/>
        <v>12.1064408053787-118.524232088063i</v>
      </c>
      <c r="P208" s="731" t="str">
        <f t="shared" si="166"/>
        <v>-36.1516023058998-16.1090527281246i</v>
      </c>
      <c r="Q208" s="729" t="str">
        <f t="shared" si="167"/>
        <v>-36.2726667139536-14.923810407244i</v>
      </c>
      <c r="R208" s="730"/>
      <c r="S208" s="405" t="str">
        <f t="shared" si="180"/>
        <v>39.579285396196+0.833473904934759i</v>
      </c>
      <c r="T208" s="405" t="str">
        <f t="shared" si="181"/>
        <v>15.7240838487279-2.48169346055496i</v>
      </c>
      <c r="U208" s="405" t="str">
        <f t="shared" si="182"/>
        <v>0.689747994911638-5.19506566669777i</v>
      </c>
      <c r="V208" s="731" t="str">
        <f t="shared" si="168"/>
        <v>6000</v>
      </c>
      <c r="W208" s="733" t="str">
        <f>IMSUM(COMPLEX(1,0),IMDIV(COMPLEX(0,2*PI()*D208),COMPLEX(2*PI()*'Stability Calculations'!EA_Pole1,0)))</f>
        <v>1+75428.759966748i</v>
      </c>
      <c r="X208" s="734">
        <f t="shared" si="183"/>
        <v>75428.759973376771</v>
      </c>
      <c r="Y208" s="735">
        <f t="shared" si="184"/>
        <v>1.5707830692522777</v>
      </c>
      <c r="Z208" s="340" t="str">
        <f>IMSUM(COMPLEX(1,0),IMDIV(COMPLEX(0,2*PI()*D208),COMPLEX(2*PI()*'Stability Calculations'!EA_Zero1,0)))</f>
        <v>1+746.819405611366i</v>
      </c>
      <c r="AA208" s="734">
        <f t="shared" si="185"/>
        <v>746.82007511696827</v>
      </c>
      <c r="AB208" s="735">
        <f t="shared" si="186"/>
        <v>1.5694573157905813</v>
      </c>
      <c r="AC208" s="733" t="str">
        <f>IMSUM(COMPLEX(1,0),IMDIV(COMPLEX(0,2*PI()*D208),COMPLEX(2*PI()*'Stability Calculations'!EA_Pole2,0)))</f>
        <v>1+7.52305251765212i</v>
      </c>
      <c r="AD208" s="734">
        <f t="shared" si="187"/>
        <v>7.5892238854412444</v>
      </c>
      <c r="AE208" s="735">
        <f t="shared" si="188"/>
        <v>1.4386462461641893</v>
      </c>
      <c r="AF208" s="732" t="str">
        <f t="shared" si="189"/>
        <v>1.02113198061018-7.7607871964988i</v>
      </c>
      <c r="AG208" s="337">
        <f t="shared" si="190"/>
        <v>7.8276770775987288</v>
      </c>
      <c r="AH208" s="730">
        <f t="shared" si="191"/>
        <v>-1.4399719996258862</v>
      </c>
      <c r="AI208" s="731" t="str">
        <f t="shared" si="169"/>
        <v>10000</v>
      </c>
      <c r="AJ208" s="733" t="str">
        <f t="shared" si="192"/>
        <v>1+70320.3658684854i</v>
      </c>
      <c r="AK208" s="734">
        <f t="shared" si="193"/>
        <v>70320.365875595729</v>
      </c>
      <c r="AL208" s="735">
        <f t="shared" si="194"/>
        <v>1.5707821061635392</v>
      </c>
      <c r="AM208" s="340" t="str">
        <f t="shared" si="195"/>
        <v>1+119.341741016696i</v>
      </c>
      <c r="AN208" s="734">
        <f t="shared" si="196"/>
        <v>119.34593059210749</v>
      </c>
      <c r="AO208" s="735">
        <f t="shared" si="197"/>
        <v>1.5624172249965165</v>
      </c>
      <c r="AP208" s="733" t="str">
        <f t="shared" si="198"/>
        <v>1+5.78827115397301i</v>
      </c>
      <c r="AQ208" s="734">
        <f t="shared" si="199"/>
        <v>5.8740176159010655</v>
      </c>
      <c r="AR208" s="735">
        <f t="shared" si="200"/>
        <v>1.3997218565309659</v>
      </c>
      <c r="AS208" s="732" t="str">
        <f t="shared" si="201"/>
        <v>0.0193874445799656-19.6913309790452i</v>
      </c>
      <c r="AT208" s="337">
        <f t="shared" si="202"/>
        <v>19.691340523166843</v>
      </c>
      <c r="AU208" s="730">
        <f t="shared" si="203"/>
        <v>-1.5698117596096695</v>
      </c>
      <c r="AV208" s="732" t="str">
        <f t="shared" si="204"/>
        <v>-2.45292072997167+0.0606667636688235i</v>
      </c>
      <c r="AW208" s="337">
        <f t="shared" si="205"/>
        <v>7.7963260139603276</v>
      </c>
      <c r="AX208" s="730">
        <f t="shared" si="206"/>
        <v>178.58322326006532</v>
      </c>
      <c r="AY208" s="360">
        <f t="shared" si="207"/>
        <v>-1.4167767399346758</v>
      </c>
      <c r="BB208" s="337">
        <f t="shared" si="208"/>
        <v>-14.114494349663007</v>
      </c>
      <c r="BC208" s="730">
        <f t="shared" si="209"/>
        <v>-89.943588455639414</v>
      </c>
      <c r="BD208" s="351"/>
      <c r="BE208" s="337">
        <f t="shared" si="170"/>
        <v>49.434341295243449</v>
      </c>
      <c r="BF208" s="730">
        <f t="shared" si="171"/>
        <v>-73.992608438230064</v>
      </c>
      <c r="BI208" s="351"/>
      <c r="BJ208" s="351"/>
      <c r="BL208" s="405">
        <f t="shared" si="172"/>
        <v>0</v>
      </c>
      <c r="BM208" s="405">
        <f t="shared" si="160"/>
        <v>0</v>
      </c>
      <c r="BN208" s="405">
        <f t="shared" si="173"/>
        <v>0</v>
      </c>
      <c r="BO208" s="405">
        <f t="shared" si="174"/>
        <v>0</v>
      </c>
    </row>
    <row r="209" spans="4:67" ht="13.5" thickBot="1" x14ac:dyDescent="0.25">
      <c r="D209" s="345">
        <v>11954.5</v>
      </c>
      <c r="E209" s="340" t="str">
        <f t="shared" si="161"/>
        <v>0.198296574312351i</v>
      </c>
      <c r="F209" s="728" t="str">
        <f t="shared" si="175"/>
        <v>0.005-0.218252325712994i</v>
      </c>
      <c r="G209" s="337" t="str">
        <f t="shared" si="176"/>
        <v>0.005-0.341369022269042i</v>
      </c>
      <c r="H209" s="338" t="str">
        <f t="shared" si="177"/>
        <v>0.0927365949485834-0.314058589097825i</v>
      </c>
      <c r="I209" s="338" t="str">
        <f t="shared" si="178"/>
        <v>0.102736594948583-0.314058589097825i</v>
      </c>
      <c r="J209" s="337" t="str">
        <f t="shared" si="179"/>
        <v>0.018450742256413-0.131536199433113i</v>
      </c>
      <c r="K209" s="338" t="str">
        <f t="shared" si="162"/>
        <v>0.998412110330556-0.0625936156288986i</v>
      </c>
      <c r="L209" s="732"/>
      <c r="M209" s="732" t="str">
        <f t="shared" si="163"/>
        <v>76.9201176594775-278.320287570921i</v>
      </c>
      <c r="N209" s="337">
        <f t="shared" si="164"/>
        <v>0</v>
      </c>
      <c r="O209" s="730" t="str">
        <f t="shared" si="165"/>
        <v>10.7616402178269-115.56943550962i</v>
      </c>
      <c r="P209" s="731" t="str">
        <f t="shared" si="166"/>
        <v>-35.1899595869421-15.2529958275774i</v>
      </c>
      <c r="Q209" s="729" t="str">
        <f t="shared" si="167"/>
        <v>-35.2975759891204-14.0973014724812i</v>
      </c>
      <c r="R209" s="730"/>
      <c r="S209" s="405" t="str">
        <f t="shared" si="180"/>
        <v>39.585374144934+0.801337057154138i</v>
      </c>
      <c r="T209" s="405" t="str">
        <f t="shared" si="181"/>
        <v>15.7206204835652-2.48137984305494i</v>
      </c>
      <c r="U209" s="405" t="str">
        <f t="shared" si="182"/>
        <v>0.678578161599174-5.16731060622981i</v>
      </c>
      <c r="V209" s="731" t="str">
        <f t="shared" si="168"/>
        <v>6000</v>
      </c>
      <c r="W209" s="733" t="str">
        <f>IMSUM(COMPLEX(1,0),IMDIV(COMPLEX(0,2*PI()*D209),COMPLEX(2*PI()*'Stability Calculations'!EA_Pole1,0)))</f>
        <v>1+75863.4621422252i</v>
      </c>
      <c r="X209" s="734">
        <f t="shared" si="183"/>
        <v>75863.462148815976</v>
      </c>
      <c r="Y209" s="735">
        <f t="shared" si="184"/>
        <v>1.5707831452187899</v>
      </c>
      <c r="Z209" s="340" t="str">
        <f>IMSUM(COMPLEX(1,0),IMDIV(COMPLEX(0,2*PI()*D209),COMPLEX(2*PI()*'Stability Calculations'!EA_Zero1,0)))</f>
        <v>1+751.123387546784i</v>
      </c>
      <c r="AA209" s="734">
        <f t="shared" si="185"/>
        <v>751.12405321608242</v>
      </c>
      <c r="AB209" s="735">
        <f t="shared" si="186"/>
        <v>1.5694649883946301</v>
      </c>
      <c r="AC209" s="733" t="str">
        <f>IMSUM(COMPLEX(1,0),IMDIV(COMPLEX(0,2*PI()*D209),COMPLEX(2*PI()*'Stability Calculations'!EA_Pole2,0)))</f>
        <v>1+7.56640849085246i</v>
      </c>
      <c r="AD209" s="734">
        <f t="shared" si="187"/>
        <v>7.6322039707049374</v>
      </c>
      <c r="AE209" s="735">
        <f t="shared" si="188"/>
        <v>1.4393947631265278</v>
      </c>
      <c r="AF209" s="732" t="str">
        <f t="shared" si="189"/>
        <v>1.0096635335194-7.71783312562902i</v>
      </c>
      <c r="AG209" s="337">
        <f t="shared" si="190"/>
        <v>7.7835961229996693</v>
      </c>
      <c r="AH209" s="730">
        <f t="shared" si="191"/>
        <v>-1.4407129199506878</v>
      </c>
      <c r="AI209" s="731" t="str">
        <f t="shared" si="169"/>
        <v>10000</v>
      </c>
      <c r="AJ209" s="733" t="str">
        <f t="shared" si="192"/>
        <v>1+70725.627946728i</v>
      </c>
      <c r="AK209" s="734">
        <f t="shared" si="193"/>
        <v>70725.627953797579</v>
      </c>
      <c r="AL209" s="735">
        <f t="shared" si="194"/>
        <v>1.5707821876486074</v>
      </c>
      <c r="AM209" s="340" t="str">
        <f t="shared" si="195"/>
        <v>1+120.029517329976i</v>
      </c>
      <c r="AN209" s="734">
        <f t="shared" si="196"/>
        <v>120.03368289970533</v>
      </c>
      <c r="AO209" s="735">
        <f t="shared" si="197"/>
        <v>1.5624652355229893</v>
      </c>
      <c r="AP209" s="733" t="str">
        <f t="shared" si="198"/>
        <v>1+5.82162943884993i</v>
      </c>
      <c r="AQ209" s="734">
        <f t="shared" si="199"/>
        <v>5.9068916803412055</v>
      </c>
      <c r="AR209" s="735">
        <f t="shared" si="200"/>
        <v>1.4006832685089292</v>
      </c>
      <c r="AS209" s="732" t="str">
        <f t="shared" si="201"/>
        <v>0.0191658989175729-19.5784986916713i</v>
      </c>
      <c r="AT209" s="337">
        <f t="shared" si="202"/>
        <v>19.578508072666217</v>
      </c>
      <c r="AU209" s="730">
        <f t="shared" si="203"/>
        <v>-1.5698174012349133</v>
      </c>
      <c r="AV209" s="732" t="str">
        <f t="shared" si="204"/>
        <v>-2.42455612044439+0.0618115433684869i</v>
      </c>
      <c r="AW209" s="337">
        <f t="shared" si="205"/>
        <v>7.695466566880417</v>
      </c>
      <c r="AX209" s="730">
        <f t="shared" si="206"/>
        <v>178.53961986528699</v>
      </c>
      <c r="AY209" s="360">
        <f t="shared" si="207"/>
        <v>-1.4603801347130059</v>
      </c>
      <c r="BB209" s="337">
        <f t="shared" si="208"/>
        <v>-14.164408110203015</v>
      </c>
      <c r="BC209" s="730">
        <f t="shared" si="209"/>
        <v>-89.943911696955482</v>
      </c>
      <c r="BD209" s="351"/>
      <c r="BE209" s="337">
        <f t="shared" si="170"/>
        <v>49.210560934270909</v>
      </c>
      <c r="BF209" s="730">
        <f t="shared" si="171"/>
        <v>-74.550656476270944</v>
      </c>
      <c r="BI209" s="351"/>
      <c r="BJ209" s="351"/>
      <c r="BL209" s="405">
        <f t="shared" si="172"/>
        <v>0</v>
      </c>
      <c r="BM209" s="405">
        <f t="shared" si="160"/>
        <v>0</v>
      </c>
      <c r="BN209" s="405">
        <f t="shared" si="173"/>
        <v>0</v>
      </c>
      <c r="BO209" s="405">
        <f t="shared" si="174"/>
        <v>0</v>
      </c>
    </row>
    <row r="210" spans="4:67" ht="13.5" thickBot="1" x14ac:dyDescent="0.25">
      <c r="D210" s="345">
        <v>12023</v>
      </c>
      <c r="E210" s="340" t="str">
        <f t="shared" si="161"/>
        <v>0.199432825543301i</v>
      </c>
      <c r="F210" s="728" t="str">
        <f t="shared" si="175"/>
        <v>0.005-0.217008852011643i</v>
      </c>
      <c r="G210" s="337" t="str">
        <f t="shared" si="176"/>
        <v>0.005-0.339424101864365i</v>
      </c>
      <c r="H210" s="338" t="str">
        <f t="shared" si="177"/>
        <v>0.0918109228546968-0.312526453400014i</v>
      </c>
      <c r="I210" s="338" t="str">
        <f t="shared" si="178"/>
        <v>0.101810922854697-0.312526453400014i</v>
      </c>
      <c r="J210" s="337" t="str">
        <f t="shared" si="179"/>
        <v>0.0182899440331687-0.130804343647362i</v>
      </c>
      <c r="K210" s="338" t="str">
        <f t="shared" si="162"/>
        <v>0.998393860788889-0.0629522807901835i</v>
      </c>
      <c r="L210" s="732"/>
      <c r="M210" s="732" t="str">
        <f t="shared" si="163"/>
        <v>72.5159709297811-272.098208124409i</v>
      </c>
      <c r="N210" s="337">
        <f t="shared" si="164"/>
        <v>0</v>
      </c>
      <c r="O210" s="730" t="str">
        <f t="shared" si="165"/>
        <v>9.54471779116203-112.749082885233i</v>
      </c>
      <c r="P210" s="731" t="str">
        <f t="shared" si="166"/>
        <v>-34.26531447152-14.4620649795421i</v>
      </c>
      <c r="Q210" s="729" t="str">
        <f t="shared" si="167"/>
        <v>-34.3607616494316-13.3345741506898i</v>
      </c>
      <c r="R210" s="730"/>
      <c r="S210" s="405" t="str">
        <f t="shared" si="180"/>
        <v>39.5913405658856+0.769380262644603i</v>
      </c>
      <c r="T210" s="405" t="str">
        <f t="shared" si="181"/>
        <v>15.7171993398126-2.48113680497451i</v>
      </c>
      <c r="U210" s="405" t="str">
        <f t="shared" si="182"/>
        <v>0.66758969002051-5.13983602684609i</v>
      </c>
      <c r="V210" s="731" t="str">
        <f t="shared" si="168"/>
        <v>6000</v>
      </c>
      <c r="W210" s="733" t="str">
        <f>IMSUM(COMPLEX(1,0),IMDIV(COMPLEX(0,2*PI()*D210),COMPLEX(2*PI()*'Stability Calculations'!EA_Pole1,0)))</f>
        <v>1+76298.1643177024i</v>
      </c>
      <c r="X210" s="734">
        <f t="shared" si="183"/>
        <v>76298.164324255646</v>
      </c>
      <c r="Y210" s="735">
        <f t="shared" si="184"/>
        <v>1.5707832203196768</v>
      </c>
      <c r="Z210" s="340" t="str">
        <f>IMSUM(COMPLEX(1,0),IMDIV(COMPLEX(0,2*PI()*D210),COMPLEX(2*PI()*'Stability Calculations'!EA_Zero1,0)))</f>
        <v>1+755.427369482202i</v>
      </c>
      <c r="AA210" s="734">
        <f t="shared" si="185"/>
        <v>755.42803135891074</v>
      </c>
      <c r="AB210" s="735">
        <f t="shared" si="186"/>
        <v>1.5694725735708404</v>
      </c>
      <c r="AC210" s="733" t="str">
        <f>IMSUM(COMPLEX(1,0),IMDIV(COMPLEX(0,2*PI()*D210),COMPLEX(2*PI()*'Stability Calculations'!EA_Pole2,0)))</f>
        <v>1+7.60976446405279i</v>
      </c>
      <c r="AD210" s="734">
        <f t="shared" si="187"/>
        <v>7.6751882842286445</v>
      </c>
      <c r="AE210" s="735">
        <f t="shared" si="188"/>
        <v>1.4401348964740177</v>
      </c>
      <c r="AF210" s="732" t="str">
        <f t="shared" si="189"/>
        <v>0.998386112124024-7.67534340626652i</v>
      </c>
      <c r="AG210" s="337">
        <f t="shared" si="190"/>
        <v>7.7400046016136876</v>
      </c>
      <c r="AH210" s="730">
        <f t="shared" si="191"/>
        <v>-1.4414455432228541</v>
      </c>
      <c r="AI210" s="731" t="str">
        <f t="shared" si="169"/>
        <v>10000</v>
      </c>
      <c r="AJ210" s="733" t="str">
        <f t="shared" si="192"/>
        <v>1+71130.8900249705i</v>
      </c>
      <c r="AK210" s="734">
        <f t="shared" si="193"/>
        <v>71130.890031999792</v>
      </c>
      <c r="AL210" s="735">
        <f t="shared" si="194"/>
        <v>1.5707822682051673</v>
      </c>
      <c r="AM210" s="340" t="str">
        <f t="shared" si="195"/>
        <v>1+120.717293643256i</v>
      </c>
      <c r="AN210" s="734">
        <f t="shared" si="196"/>
        <v>120.72143548082957</v>
      </c>
      <c r="AO210" s="735">
        <f t="shared" si="197"/>
        <v>1.5625126990155929</v>
      </c>
      <c r="AP210" s="733" t="str">
        <f t="shared" si="198"/>
        <v>1+5.85498772372686i</v>
      </c>
      <c r="AQ210" s="734">
        <f t="shared" si="199"/>
        <v>5.9397711441597005</v>
      </c>
      <c r="AR210" s="735">
        <f t="shared" si="200"/>
        <v>1.4016340376107141</v>
      </c>
      <c r="AS210" s="732" t="str">
        <f t="shared" si="201"/>
        <v>0.0189481291644391-19.4669521049697i</v>
      </c>
      <c r="AT210" s="337">
        <f t="shared" si="202"/>
        <v>19.466961326534324</v>
      </c>
      <c r="AU210" s="730">
        <f t="shared" si="203"/>
        <v>-1.5698229785748772</v>
      </c>
      <c r="AV210" s="732" t="str">
        <f t="shared" si="204"/>
        <v>-2.39667959516409+0.0629154869337226i</v>
      </c>
      <c r="AW210" s="337">
        <f t="shared" si="205"/>
        <v>7.5951913495674797</v>
      </c>
      <c r="AX210" s="730">
        <f t="shared" si="206"/>
        <v>178.49626784845617</v>
      </c>
      <c r="AY210" s="360">
        <f t="shared" si="207"/>
        <v>-1.5037321515438293</v>
      </c>
      <c r="BB210" s="337">
        <f t="shared" si="208"/>
        <v>-14.214036677981509</v>
      </c>
      <c r="BC210" s="730">
        <f t="shared" si="209"/>
        <v>-89.944231254996325</v>
      </c>
      <c r="BD210" s="351"/>
      <c r="BE210" s="337">
        <f t="shared" si="170"/>
        <v>48.992512853132553</v>
      </c>
      <c r="BF210" s="730">
        <f t="shared" si="171"/>
        <v>-75.077144920394346</v>
      </c>
      <c r="BI210" s="351"/>
      <c r="BJ210" s="351"/>
      <c r="BL210" s="405">
        <f t="shared" si="172"/>
        <v>0</v>
      </c>
      <c r="BM210" s="405">
        <f t="shared" si="160"/>
        <v>0</v>
      </c>
      <c r="BN210" s="405">
        <f t="shared" si="173"/>
        <v>0</v>
      </c>
      <c r="BO210" s="405">
        <f t="shared" si="174"/>
        <v>0</v>
      </c>
    </row>
    <row r="211" spans="4:67" ht="13.5" thickBot="1" x14ac:dyDescent="0.25">
      <c r="D211" s="345">
        <v>12093</v>
      </c>
      <c r="E211" s="340" t="str">
        <f t="shared" si="161"/>
        <v>0.200593958188068i</v>
      </c>
      <c r="F211" s="728" t="str">
        <f t="shared" si="175"/>
        <v>0.005-0.215752702202596i</v>
      </c>
      <c r="G211" s="337" t="str">
        <f t="shared" si="176"/>
        <v>0.005-0.337459354727136i</v>
      </c>
      <c r="H211" s="338" t="str">
        <f t="shared" si="177"/>
        <v>0.0908796484059853-0.310974647265296i</v>
      </c>
      <c r="I211" s="338" t="str">
        <f t="shared" si="178"/>
        <v>0.100879648405985-0.310974647265296i</v>
      </c>
      <c r="J211" s="337" t="str">
        <f t="shared" si="179"/>
        <v>0.0181283962458887-0.130064729905983i</v>
      </c>
      <c r="K211" s="338" t="str">
        <f t="shared" si="162"/>
        <v>0.9983751039-0.0633187999331023i</v>
      </c>
      <c r="L211" s="732"/>
      <c r="M211" s="732" t="str">
        <f t="shared" si="163"/>
        <v>68.370203098505-265.996925300028i</v>
      </c>
      <c r="N211" s="337">
        <f t="shared" si="164"/>
        <v>0</v>
      </c>
      <c r="O211" s="730" t="str">
        <f t="shared" si="165"/>
        <v>8.41889669648311-109.998264332185i</v>
      </c>
      <c r="P211" s="731" t="str">
        <f t="shared" si="166"/>
        <v>-33.3573761117885-13.7146496616512i</v>
      </c>
      <c r="Q211" s="729" t="str">
        <f t="shared" si="167"/>
        <v>-33.4415650787533-12.6146670183294i</v>
      </c>
      <c r="R211" s="730"/>
      <c r="S211" s="405" t="str">
        <f t="shared" si="180"/>
        <v>39.5973138316117+0.736907011383945i</v>
      </c>
      <c r="T211" s="405" t="str">
        <f t="shared" si="181"/>
        <v>15.7137458848486-2.48096029684563i</v>
      </c>
      <c r="U211" s="405" t="str">
        <f t="shared" si="182"/>
        <v>0.656543947965265-5.11204538324379i</v>
      </c>
      <c r="V211" s="731" t="str">
        <f t="shared" si="168"/>
        <v>6000</v>
      </c>
      <c r="W211" s="733" t="str">
        <f>IMSUM(COMPLEX(1,0),IMDIV(COMPLEX(0,2*PI()*D211),COMPLEX(2*PI()*'Stability Calculations'!EA_Pole1,0)))</f>
        <v>1+76742.3855189199i</v>
      </c>
      <c r="X211" s="734">
        <f t="shared" si="183"/>
        <v>76742.385525435195</v>
      </c>
      <c r="Y211" s="735">
        <f t="shared" si="184"/>
        <v>1.5707832961861505</v>
      </c>
      <c r="Z211" s="340" t="str">
        <f>IMSUM(COMPLEX(1,0),IMDIV(COMPLEX(0,2*PI()*D211),COMPLEX(2*PI()*'Stability Calculations'!EA_Zero1,0)))</f>
        <v>1+759.825599197227i</v>
      </c>
      <c r="AA211" s="734">
        <f t="shared" si="185"/>
        <v>759.82625724268371</v>
      </c>
      <c r="AB211" s="735">
        <f t="shared" si="186"/>
        <v>1.569480236071326</v>
      </c>
      <c r="AC211" s="733" t="str">
        <f>IMSUM(COMPLEX(1,0),IMDIV(COMPLEX(0,2*PI()*D211),COMPLEX(2*PI()*'Stability Calculations'!EA_Pole2,0)))</f>
        <v>1+7.65406983812612i</v>
      </c>
      <c r="AD211" s="734">
        <f t="shared" si="187"/>
        <v>7.7191181547448799</v>
      </c>
      <c r="AE211" s="735">
        <f t="shared" si="188"/>
        <v>1.4408827210292403</v>
      </c>
      <c r="AF211" s="732" t="str">
        <f t="shared" si="189"/>
        <v>0.987054721474992-7.6323953291208i</v>
      </c>
      <c r="AG211" s="337">
        <f t="shared" si="190"/>
        <v>7.6959557875010622</v>
      </c>
      <c r="AH211" s="730">
        <f t="shared" si="191"/>
        <v>-1.442185781144065</v>
      </c>
      <c r="AI211" s="731" t="str">
        <f t="shared" si="169"/>
        <v>10000</v>
      </c>
      <c r="AJ211" s="733" t="str">
        <f t="shared" si="192"/>
        <v>1+71545.0264552913i</v>
      </c>
      <c r="AK211" s="734">
        <f t="shared" si="193"/>
        <v>71545.0264622799</v>
      </c>
      <c r="AL211" s="735">
        <f t="shared" si="194"/>
        <v>1.5707823495829298</v>
      </c>
      <c r="AM211" s="340" t="str">
        <f t="shared" si="195"/>
        <v>1+121.420130751717i</v>
      </c>
      <c r="AN211" s="734">
        <f t="shared" si="196"/>
        <v>121.42424861519238</v>
      </c>
      <c r="AO211" s="735">
        <f t="shared" si="197"/>
        <v>1.5625606463941566</v>
      </c>
      <c r="AP211" s="733" t="str">
        <f t="shared" si="198"/>
        <v>1+5.88907648199525i</v>
      </c>
      <c r="AQ211" s="734">
        <f t="shared" si="199"/>
        <v>5.9733760814793468</v>
      </c>
      <c r="AR211" s="735">
        <f t="shared" si="200"/>
        <v>1.4025948125748873</v>
      </c>
      <c r="AS211" s="732" t="str">
        <f t="shared" si="201"/>
        <v>0.0187294027975282-19.3542683964038i</v>
      </c>
      <c r="AT211" s="337">
        <f t="shared" si="202"/>
        <v>19.354277458757384</v>
      </c>
      <c r="AU211" s="730">
        <f t="shared" si="203"/>
        <v>-1.5698286127709196</v>
      </c>
      <c r="AV211" s="732" t="str">
        <f t="shared" si="204"/>
        <v>-2.36868527967795+0.0640028536345289i</v>
      </c>
      <c r="AW211" s="337">
        <f t="shared" si="205"/>
        <v>7.4933168610216825</v>
      </c>
      <c r="AX211" s="730">
        <f t="shared" si="206"/>
        <v>178.45222100181144</v>
      </c>
      <c r="AY211" s="360">
        <f t="shared" si="207"/>
        <v>-1.5477789981885621</v>
      </c>
      <c r="BB211" s="337">
        <f t="shared" si="208"/>
        <v>-14.264460745781333</v>
      </c>
      <c r="BC211" s="730">
        <f t="shared" si="209"/>
        <v>-89.944554070650497</v>
      </c>
      <c r="BD211" s="351"/>
      <c r="BE211" s="337">
        <f t="shared" si="170"/>
        <v>48.775374803465503</v>
      </c>
      <c r="BF211" s="730">
        <f t="shared" si="171"/>
        <v>-75.585087473418497</v>
      </c>
      <c r="BI211" s="351"/>
      <c r="BJ211" s="351"/>
      <c r="BL211" s="405">
        <f t="shared" si="172"/>
        <v>0</v>
      </c>
      <c r="BM211" s="405">
        <f t="shared" si="160"/>
        <v>0</v>
      </c>
      <c r="BN211" s="405">
        <f t="shared" si="173"/>
        <v>0</v>
      </c>
      <c r="BO211" s="405">
        <f t="shared" si="174"/>
        <v>0</v>
      </c>
    </row>
    <row r="212" spans="4:67" ht="13.5" thickBot="1" x14ac:dyDescent="0.25">
      <c r="D212" s="345">
        <v>12163</v>
      </c>
      <c r="E212" s="340" t="str">
        <f t="shared" si="161"/>
        <v>0.201755090832835i</v>
      </c>
      <c r="F212" s="728" t="str">
        <f t="shared" si="175"/>
        <v>0.005-0.214511011077529i</v>
      </c>
      <c r="G212" s="337" t="str">
        <f t="shared" si="176"/>
        <v>0.005-0.335517222454597i</v>
      </c>
      <c r="H212" s="338" t="str">
        <f t="shared" si="177"/>
        <v>0.0899629028956748-0.309436712700887i</v>
      </c>
      <c r="I212" s="338" t="str">
        <f t="shared" si="178"/>
        <v>0.0999629028956748-0.309436712700887i</v>
      </c>
      <c r="J212" s="337" t="str">
        <f t="shared" si="179"/>
        <v>0.017969587403459-0.129333337227854i</v>
      </c>
      <c r="K212" s="338" t="str">
        <f t="shared" si="162"/>
        <v>0.998356238122222-0.0636853190760211i</v>
      </c>
      <c r="L212" s="732"/>
      <c r="M212" s="732" t="str">
        <f t="shared" si="163"/>
        <v>64.548059409015-260.144184128541i</v>
      </c>
      <c r="N212" s="337">
        <f t="shared" si="164"/>
        <v>0</v>
      </c>
      <c r="O212" s="730" t="str">
        <f t="shared" si="165"/>
        <v>7.39928044215084-107.372737904377i</v>
      </c>
      <c r="P212" s="731" t="str">
        <f t="shared" si="166"/>
        <v>-32.4854134984876-13.022899589149i</v>
      </c>
      <c r="Q212" s="729" t="str">
        <f t="shared" si="167"/>
        <v>-32.5594063029091-11.9491722101052i</v>
      </c>
      <c r="R212" s="730"/>
      <c r="S212" s="405" t="str">
        <f t="shared" si="180"/>
        <v>39.6031644958063+0.704616389595055i</v>
      </c>
      <c r="T212" s="405" t="str">
        <f t="shared" si="181"/>
        <v>15.7103344904295-2.4808553562767i</v>
      </c>
      <c r="U212" s="405" t="str">
        <f t="shared" si="182"/>
        <v>0.645679570088419-5.08453920966479i</v>
      </c>
      <c r="V212" s="731" t="str">
        <f t="shared" si="168"/>
        <v>6000</v>
      </c>
      <c r="W212" s="733" t="str">
        <f>IMSUM(COMPLEX(1,0),IMDIV(COMPLEX(0,2*PI()*D212),COMPLEX(2*PI()*'Stability Calculations'!EA_Pole1,0)))</f>
        <v>1+77186.6067201376i</v>
      </c>
      <c r="X212" s="734">
        <f t="shared" si="183"/>
        <v>77186.606726615413</v>
      </c>
      <c r="Y212" s="735">
        <f t="shared" si="184"/>
        <v>1.5707833711793768</v>
      </c>
      <c r="Z212" s="340" t="str">
        <f>IMSUM(COMPLEX(1,0),IMDIV(COMPLEX(0,2*PI()*D212),COMPLEX(2*PI()*'Stability Calculations'!EA_Zero1,0)))</f>
        <v>1+764.223828912253i</v>
      </c>
      <c r="AA212" s="734">
        <f t="shared" si="185"/>
        <v>764.22448317055682</v>
      </c>
      <c r="AB212" s="735">
        <f t="shared" si="186"/>
        <v>1.5694878103741448</v>
      </c>
      <c r="AC212" s="733" t="str">
        <f>IMSUM(COMPLEX(1,0),IMDIV(COMPLEX(0,2*PI()*D212),COMPLEX(2*PI()*'Stability Calculations'!EA_Pole2,0)))</f>
        <v>1+7.69837521219945i</v>
      </c>
      <c r="AD212" s="734">
        <f t="shared" si="187"/>
        <v>7.7630522932546917</v>
      </c>
      <c r="AE212" s="735">
        <f t="shared" si="188"/>
        <v>1.4416220815328207</v>
      </c>
      <c r="AF212" s="732" t="str">
        <f t="shared" si="189"/>
        <v>0.975914080625088-7.58991682010484i</v>
      </c>
      <c r="AG212" s="337">
        <f t="shared" si="190"/>
        <v>7.6524012982117364</v>
      </c>
      <c r="AH212" s="730">
        <f t="shared" si="191"/>
        <v>-1.4429176423380525</v>
      </c>
      <c r="AI212" s="731" t="str">
        <f t="shared" si="169"/>
        <v>10000</v>
      </c>
      <c r="AJ212" s="733" t="str">
        <f t="shared" si="192"/>
        <v>1+71959.1628856122i</v>
      </c>
      <c r="AK212" s="734">
        <f t="shared" si="193"/>
        <v>71959.162892560576</v>
      </c>
      <c r="AL212" s="735">
        <f t="shared" si="194"/>
        <v>1.5707824300240083</v>
      </c>
      <c r="AM212" s="340" t="str">
        <f t="shared" si="195"/>
        <v>1+122.122967860178i</v>
      </c>
      <c r="AN212" s="734">
        <f t="shared" si="196"/>
        <v>122.12706202549074</v>
      </c>
      <c r="AO212" s="735">
        <f t="shared" si="197"/>
        <v>1.5626080419203543</v>
      </c>
      <c r="AP212" s="733" t="str">
        <f t="shared" si="198"/>
        <v>1+5.92316524026364i</v>
      </c>
      <c r="AQ212" s="734">
        <f t="shared" si="199"/>
        <v>6.0069864710574663</v>
      </c>
      <c r="AR212" s="735">
        <f t="shared" si="200"/>
        <v>1.4035448369200698</v>
      </c>
      <c r="AS212" s="732" t="str">
        <f t="shared" si="201"/>
        <v>0.0185144419636224-19.242881709554i</v>
      </c>
      <c r="AT212" s="337">
        <f t="shared" si="202"/>
        <v>19.242890616340599</v>
      </c>
      <c r="AU212" s="730">
        <f t="shared" si="203"/>
        <v>-1.5698341821156332</v>
      </c>
      <c r="AV212" s="732" t="str">
        <f t="shared" si="204"/>
        <v>-2.34117748337052+0.065050434838201i</v>
      </c>
      <c r="AW212" s="337">
        <f t="shared" si="205"/>
        <v>7.3920383426066074</v>
      </c>
      <c r="AX212" s="730">
        <f t="shared" si="206"/>
        <v>178.40842623024528</v>
      </c>
      <c r="AY212" s="360">
        <f t="shared" si="207"/>
        <v>-1.5915737697547172</v>
      </c>
      <c r="BB212" s="337">
        <f t="shared" si="208"/>
        <v>-14.314593776492748</v>
      </c>
      <c r="BC212" s="730">
        <f t="shared" si="209"/>
        <v>-89.944873170597234</v>
      </c>
      <c r="BD212" s="351"/>
      <c r="BE212" s="337">
        <f t="shared" si="170"/>
        <v>48.563750802473066</v>
      </c>
      <c r="BF212" s="730">
        <f t="shared" si="171"/>
        <v>-76.06495612506663</v>
      </c>
      <c r="BI212" s="351"/>
      <c r="BJ212" s="351"/>
      <c r="BL212" s="405">
        <f t="shared" si="172"/>
        <v>0</v>
      </c>
      <c r="BM212" s="405">
        <f t="shared" si="160"/>
        <v>0</v>
      </c>
      <c r="BN212" s="405">
        <f t="shared" si="173"/>
        <v>0</v>
      </c>
      <c r="BO212" s="405">
        <f t="shared" si="174"/>
        <v>0</v>
      </c>
    </row>
    <row r="213" spans="4:67" ht="13.5" thickBot="1" x14ac:dyDescent="0.25">
      <c r="D213" s="345">
        <v>12233</v>
      </c>
      <c r="E213" s="340" t="str">
        <f t="shared" si="161"/>
        <v>0.202916223477602i</v>
      </c>
      <c r="F213" s="728" t="str">
        <f t="shared" si="175"/>
        <v>0.005-0.213283530428839i</v>
      </c>
      <c r="G213" s="337" t="str">
        <f t="shared" si="176"/>
        <v>0.005-0.333597316824594i</v>
      </c>
      <c r="H213" s="338" t="str">
        <f t="shared" si="177"/>
        <v>0.0890603937043148-0.307912491482801i</v>
      </c>
      <c r="I213" s="338" t="str">
        <f t="shared" si="178"/>
        <v>0.0990603937043148-0.307912491482801i</v>
      </c>
      <c r="J213" s="337" t="str">
        <f t="shared" si="179"/>
        <v>0.0178134561678096-0.128610031009582i</v>
      </c>
      <c r="K213" s="338" t="str">
        <f t="shared" si="162"/>
        <v>0.998337263455556-0.0640518382189399i</v>
      </c>
      <c r="L213" s="732"/>
      <c r="M213" s="732" t="str">
        <f t="shared" si="163"/>
        <v>61.0182619032062-254.528636685174i</v>
      </c>
      <c r="N213" s="337">
        <f t="shared" si="164"/>
        <v>0</v>
      </c>
      <c r="O213" s="730" t="str">
        <f t="shared" si="165"/>
        <v>6.4745334325309-104.865377167526i</v>
      </c>
      <c r="P213" s="731" t="str">
        <f t="shared" si="166"/>
        <v>-31.6479897230582-12.3815952685658i</v>
      </c>
      <c r="Q213" s="729" t="str">
        <f t="shared" si="167"/>
        <v>-31.7127350573835-11.3329414968905i</v>
      </c>
      <c r="R213" s="730"/>
      <c r="S213" s="405" t="str">
        <f t="shared" si="180"/>
        <v>39.6088950552835+0.6725057436633i</v>
      </c>
      <c r="T213" s="405" t="str">
        <f t="shared" si="181"/>
        <v>15.7069641708044-2.48082093230957i</v>
      </c>
      <c r="U213" s="405" t="str">
        <f t="shared" si="182"/>
        <v>0.634992658761267-5.05731336040485i</v>
      </c>
      <c r="V213" s="731" t="str">
        <f t="shared" si="168"/>
        <v>6000</v>
      </c>
      <c r="W213" s="733" t="str">
        <f>IMSUM(COMPLEX(1,0),IMDIV(COMPLEX(0,2*PI()*D213),COMPLEX(2*PI()*'Stability Calculations'!EA_Pole1,0)))</f>
        <v>1+77630.8279213552i</v>
      </c>
      <c r="X213" s="734">
        <f t="shared" si="183"/>
        <v>77630.827927795937</v>
      </c>
      <c r="Y213" s="735">
        <f t="shared" si="184"/>
        <v>1.5707834453143468</v>
      </c>
      <c r="Z213" s="340" t="str">
        <f>IMSUM(COMPLEX(1,0),IMDIV(COMPLEX(0,2*PI()*D213),COMPLEX(2*PI()*'Stability Calculations'!EA_Zero1,0)))</f>
        <v>1+768.622058627279i</v>
      </c>
      <c r="AA213" s="734">
        <f t="shared" si="185"/>
        <v>768.62270914177157</v>
      </c>
      <c r="AB213" s="735">
        <f t="shared" si="186"/>
        <v>1.5694952979933545</v>
      </c>
      <c r="AC213" s="733" t="str">
        <f>IMSUM(COMPLEX(1,0),IMDIV(COMPLEX(0,2*PI()*D213),COMPLEX(2*PI()*'Stability Calculations'!EA_Pole2,0)))</f>
        <v>1+7.74268058627279i</v>
      </c>
      <c r="AD213" s="734">
        <f t="shared" si="187"/>
        <v>7.8069906277031969</v>
      </c>
      <c r="AE213" s="735">
        <f t="shared" si="188"/>
        <v>1.4423531200784798</v>
      </c>
      <c r="AF213" s="732" t="str">
        <f t="shared" si="189"/>
        <v>0.96495995605101-7.54790036506968i</v>
      </c>
      <c r="AG213" s="337">
        <f t="shared" si="190"/>
        <v>7.6093329298829442</v>
      </c>
      <c r="AH213" s="730">
        <f t="shared" si="191"/>
        <v>-1.4436412673994721</v>
      </c>
      <c r="AI213" s="731" t="str">
        <f t="shared" si="169"/>
        <v>10000</v>
      </c>
      <c r="AJ213" s="733" t="str">
        <f t="shared" si="192"/>
        <v>1+72373.2993159332i</v>
      </c>
      <c r="AK213" s="734">
        <f t="shared" si="193"/>
        <v>72373.299322841835</v>
      </c>
      <c r="AL213" s="735">
        <f t="shared" si="194"/>
        <v>1.5707825095444825</v>
      </c>
      <c r="AM213" s="340" t="str">
        <f t="shared" si="195"/>
        <v>1+122.825804968639i</v>
      </c>
      <c r="AN213" s="734">
        <f t="shared" si="196"/>
        <v>122.82987570698809</v>
      </c>
      <c r="AO213" s="735">
        <f t="shared" si="197"/>
        <v>1.5626548950668151</v>
      </c>
      <c r="AP213" s="733" t="str">
        <f t="shared" si="198"/>
        <v>1+5.95725399853204i</v>
      </c>
      <c r="AQ213" s="734">
        <f t="shared" si="199"/>
        <v>6.0406022218836748</v>
      </c>
      <c r="AR213" s="735">
        <f t="shared" si="200"/>
        <v>1.404484288397422</v>
      </c>
      <c r="AS213" s="732" t="str">
        <f t="shared" si="201"/>
        <v>0.0183031607209908-19.1327697789453i</v>
      </c>
      <c r="AT213" s="337">
        <f t="shared" si="202"/>
        <v>19.132778533705316</v>
      </c>
      <c r="AU213" s="730">
        <f t="shared" si="203"/>
        <v>-1.5698396877222986</v>
      </c>
      <c r="AV213" s="732" t="str">
        <f t="shared" si="204"/>
        <v>-2.31414499337632+0.0660595931969634i</v>
      </c>
      <c r="AW213" s="337">
        <f t="shared" si="205"/>
        <v>7.2913488394093804</v>
      </c>
      <c r="AX213" s="730">
        <f t="shared" si="206"/>
        <v>178.36487846815251</v>
      </c>
      <c r="AY213" s="360">
        <f t="shared" si="207"/>
        <v>-1.6351215318474885</v>
      </c>
      <c r="BB213" s="337">
        <f t="shared" si="208"/>
        <v>-14.364439110451602</v>
      </c>
      <c r="BC213" s="730">
        <f t="shared" si="209"/>
        <v>-89.945188618622836</v>
      </c>
      <c r="BD213" s="351"/>
      <c r="BE213" s="337">
        <f t="shared" si="170"/>
        <v>48.35741638848625</v>
      </c>
      <c r="BF213" s="730">
        <f t="shared" si="171"/>
        <v>-76.518871136061946</v>
      </c>
      <c r="BI213" s="351"/>
      <c r="BJ213" s="351"/>
      <c r="BL213" s="405">
        <f t="shared" si="172"/>
        <v>0</v>
      </c>
      <c r="BM213" s="405">
        <f t="shared" si="160"/>
        <v>0</v>
      </c>
      <c r="BN213" s="405">
        <f t="shared" si="173"/>
        <v>0</v>
      </c>
      <c r="BO213" s="405">
        <f t="shared" si="174"/>
        <v>0</v>
      </c>
    </row>
    <row r="214" spans="4:67" ht="13.5" thickBot="1" x14ac:dyDescent="0.25">
      <c r="D214" s="345">
        <v>12303</v>
      </c>
      <c r="E214" s="340" t="str">
        <f t="shared" si="161"/>
        <v>0.204077356122368i</v>
      </c>
      <c r="F214" s="728" t="str">
        <f t="shared" si="175"/>
        <v>0.005-0.212070017697796i</v>
      </c>
      <c r="G214" s="337" t="str">
        <f t="shared" si="176"/>
        <v>0.005-0.331699258450399i</v>
      </c>
      <c r="H214" s="338" t="str">
        <f t="shared" si="177"/>
        <v>0.0881718353254331-0.306401827056749i</v>
      </c>
      <c r="I214" s="338" t="str">
        <f t="shared" si="178"/>
        <v>0.0981718353254331-0.306401827056749i</v>
      </c>
      <c r="J214" s="337" t="str">
        <f t="shared" si="179"/>
        <v>0.0176599429018383-0.127894679531252i</v>
      </c>
      <c r="K214" s="338" t="str">
        <f t="shared" si="162"/>
        <v>0.9983181799-0.0644183573618587i</v>
      </c>
      <c r="L214" s="732"/>
      <c r="M214" s="732" t="str">
        <f t="shared" si="163"/>
        <v>57.753057116053-249.139110861028i</v>
      </c>
      <c r="N214" s="337">
        <f t="shared" si="164"/>
        <v>0</v>
      </c>
      <c r="O214" s="730" t="str">
        <f t="shared" si="165"/>
        <v>5.63469123478291-102.46942497961i</v>
      </c>
      <c r="P214" s="731" t="str">
        <f t="shared" si="166"/>
        <v>-30.8436510511961-11.7860912042282i</v>
      </c>
      <c r="Q214" s="729" t="str">
        <f t="shared" si="167"/>
        <v>-30.8999979635439-10.7613969544321i</v>
      </c>
      <c r="R214" s="730"/>
      <c r="S214" s="405" t="str">
        <f t="shared" si="180"/>
        <v>39.6145079409864+0.640572468023673i</v>
      </c>
      <c r="T214" s="405" t="str">
        <f t="shared" si="181"/>
        <v>15.7036339662325-2.48085599295855i</v>
      </c>
      <c r="U214" s="405" t="str">
        <f t="shared" si="182"/>
        <v>0.624479419174346-5.03036376476131i</v>
      </c>
      <c r="V214" s="731" t="str">
        <f t="shared" si="168"/>
        <v>6000</v>
      </c>
      <c r="W214" s="733" t="str">
        <f>IMSUM(COMPLEX(1,0),IMDIV(COMPLEX(0,2*PI()*D214),COMPLEX(2*PI()*'Stability Calculations'!EA_Pole1,0)))</f>
        <v>1+78075.0491225728i</v>
      </c>
      <c r="X214" s="734">
        <f t="shared" si="183"/>
        <v>78075.049128976898</v>
      </c>
      <c r="Y214" s="735">
        <f t="shared" si="184"/>
        <v>1.5707835186057095</v>
      </c>
      <c r="Z214" s="340" t="str">
        <f>IMSUM(COMPLEX(1,0),IMDIV(COMPLEX(0,2*PI()*D214),COMPLEX(2*PI()*'Stability Calculations'!EA_Zero1,0)))</f>
        <v>1+773.020288342305i</v>
      </c>
      <c r="AA214" s="734">
        <f t="shared" si="185"/>
        <v>773.02093515558829</v>
      </c>
      <c r="AB214" s="735">
        <f t="shared" si="186"/>
        <v>1.5695027004085551</v>
      </c>
      <c r="AC214" s="733" t="str">
        <f>IMSUM(COMPLEX(1,0),IMDIV(COMPLEX(0,2*PI()*D214),COMPLEX(2*PI()*'Stability Calculations'!EA_Pole2,0)))</f>
        <v>1+7.78698596034613i</v>
      </c>
      <c r="AD214" s="734">
        <f t="shared" si="187"/>
        <v>7.8509330876417325</v>
      </c>
      <c r="AE214" s="735">
        <f t="shared" si="188"/>
        <v>1.4430759756147238</v>
      </c>
      <c r="AF214" s="732" t="str">
        <f t="shared" si="189"/>
        <v>0.954188230364592-7.50633860596422i</v>
      </c>
      <c r="AG214" s="337">
        <f t="shared" si="190"/>
        <v>7.5667426576007708</v>
      </c>
      <c r="AH214" s="730">
        <f t="shared" si="191"/>
        <v>-1.4443567938118778</v>
      </c>
      <c r="AI214" s="731" t="str">
        <f t="shared" si="169"/>
        <v>10000</v>
      </c>
      <c r="AJ214" s="733" t="str">
        <f t="shared" si="192"/>
        <v>1+72787.4357462541i</v>
      </c>
      <c r="AK214" s="734">
        <f t="shared" si="193"/>
        <v>72787.435753123427</v>
      </c>
      <c r="AL214" s="735">
        <f t="shared" si="194"/>
        <v>1.5707825881600666</v>
      </c>
      <c r="AM214" s="340" t="str">
        <f t="shared" si="195"/>
        <v>1+123.5286420771i</v>
      </c>
      <c r="AN214" s="734">
        <f t="shared" si="196"/>
        <v>123.53268965505561</v>
      </c>
      <c r="AO214" s="735">
        <f t="shared" si="197"/>
        <v>1.5627012150906066</v>
      </c>
      <c r="AP214" s="733" t="str">
        <f t="shared" si="198"/>
        <v>1+5.99134275680043i</v>
      </c>
      <c r="AQ214" s="734">
        <f t="shared" si="199"/>
        <v>6.0742232449478655</v>
      </c>
      <c r="AR214" s="735">
        <f t="shared" si="200"/>
        <v>1.4054133408982639</v>
      </c>
      <c r="AS214" s="732" t="str">
        <f t="shared" si="201"/>
        <v>0.0180954755658227-19.0239108458334i</v>
      </c>
      <c r="AT214" s="337">
        <f t="shared" si="202"/>
        <v>19.023919452007085</v>
      </c>
      <c r="AU214" s="730">
        <f t="shared" si="203"/>
        <v>-1.5698451306788601</v>
      </c>
      <c r="AV214" s="732" t="str">
        <f t="shared" si="204"/>
        <v>-2.28757691782542+0.0670316392972596i</v>
      </c>
      <c r="AW214" s="337">
        <f t="shared" si="205"/>
        <v>7.1912415170061292</v>
      </c>
      <c r="AX214" s="730">
        <f t="shared" si="206"/>
        <v>178.32157278328089</v>
      </c>
      <c r="AY214" s="360">
        <f t="shared" si="207"/>
        <v>-1.6784272167191148</v>
      </c>
      <c r="BB214" s="337">
        <f t="shared" si="208"/>
        <v>-14.414000030814339</v>
      </c>
      <c r="BC214" s="730">
        <f t="shared" si="209"/>
        <v>-89.94550047706187</v>
      </c>
      <c r="BD214" s="351"/>
      <c r="BE214" s="337">
        <f t="shared" si="170"/>
        <v>48.156156788169568</v>
      </c>
      <c r="BF214" s="730">
        <f t="shared" si="171"/>
        <v>-76.948753382843449</v>
      </c>
      <c r="BI214" s="351"/>
      <c r="BJ214" s="351"/>
      <c r="BL214" s="405">
        <f t="shared" si="172"/>
        <v>0</v>
      </c>
      <c r="BM214" s="405">
        <f t="shared" si="160"/>
        <v>0</v>
      </c>
      <c r="BN214" s="405">
        <f t="shared" si="173"/>
        <v>0</v>
      </c>
      <c r="BO214" s="405">
        <f t="shared" si="174"/>
        <v>0</v>
      </c>
    </row>
    <row r="215" spans="4:67" ht="13.5" thickBot="1" x14ac:dyDescent="0.25">
      <c r="D215" s="345">
        <v>12374.5</v>
      </c>
      <c r="E215" s="340" t="str">
        <f t="shared" si="161"/>
        <v>0.205263370180952i</v>
      </c>
      <c r="F215" s="728" t="str">
        <f t="shared" si="175"/>
        <v>0.005-0.210844674753403i</v>
      </c>
      <c r="G215" s="337" t="str">
        <f t="shared" si="176"/>
        <v>0.005-0.329782696409169i</v>
      </c>
      <c r="H215" s="338" t="str">
        <f t="shared" si="177"/>
        <v>0.0872783492159214-0.304872625884247i</v>
      </c>
      <c r="I215" s="338" t="str">
        <f t="shared" si="178"/>
        <v>0.0972783492159214-0.304872625884247i</v>
      </c>
      <c r="J215" s="337" t="str">
        <f t="shared" si="179"/>
        <v>0.0175057824973715-0.127172077326421i</v>
      </c>
      <c r="K215" s="338" t="str">
        <f t="shared" si="162"/>
        <v>0.998298574997222-0.0647927304864115i</v>
      </c>
      <c r="L215" s="732"/>
      <c r="M215" s="732" t="str">
        <f t="shared" si="163"/>
        <v>54.6654045520423-243.856115345082i</v>
      </c>
      <c r="N215" s="337">
        <f t="shared" si="164"/>
        <v>0</v>
      </c>
      <c r="O215" s="730" t="str">
        <f t="shared" si="165"/>
        <v>4.85538604243938-100.130511637249i</v>
      </c>
      <c r="P215" s="731" t="str">
        <f t="shared" si="166"/>
        <v>-30.0547280749666-11.2208051706574i</v>
      </c>
      <c r="Q215" s="729" t="str">
        <f t="shared" si="167"/>
        <v>-30.103281935391-10.2195000542849i</v>
      </c>
      <c r="R215" s="730"/>
      <c r="S215" s="405" t="str">
        <f t="shared" si="180"/>
        <v>39.6201220805053+0.608135360183685i</v>
      </c>
      <c r="T215" s="405" t="str">
        <f t="shared" si="181"/>
        <v>15.7002728422636-2.4809624853341i</v>
      </c>
      <c r="U215" s="405" t="str">
        <f t="shared" si="182"/>
        <v>0.613916348288211-5.00311771870659i</v>
      </c>
      <c r="V215" s="731" t="str">
        <f t="shared" si="168"/>
        <v>6000</v>
      </c>
      <c r="W215" s="733" t="str">
        <f>IMSUM(COMPLEX(1,0),IMDIV(COMPLEX(0,2*PI()*D215),COMPLEX(2*PI()*'Stability Calculations'!EA_Pole1,0)))</f>
        <v>1+78528.7893495308i</v>
      </c>
      <c r="X215" s="734">
        <f t="shared" si="183"/>
        <v>78528.789355897883</v>
      </c>
      <c r="Y215" s="735">
        <f t="shared" si="184"/>
        <v>1.5707835926115705</v>
      </c>
      <c r="Z215" s="340" t="str">
        <f>IMSUM(COMPLEX(1,0),IMDIV(COMPLEX(0,2*PI()*D215),COMPLEX(2*PI()*'Stability Calculations'!EA_Zero1,0)))</f>
        <v>1+777.512765836938i</v>
      </c>
      <c r="AA215" s="734">
        <f t="shared" si="185"/>
        <v>777.51340891293012</v>
      </c>
      <c r="AB215" s="735">
        <f t="shared" si="186"/>
        <v>1.5695101749880795</v>
      </c>
      <c r="AC215" s="733" t="str">
        <f>IMSUM(COMPLEX(1,0),IMDIV(COMPLEX(0,2*PI()*D215),COMPLEX(2*PI()*'Stability Calculations'!EA_Pole2,0)))</f>
        <v>1+7.83224073529246i</v>
      </c>
      <c r="AD215" s="734">
        <f t="shared" si="187"/>
        <v>7.8958213591477984</v>
      </c>
      <c r="AE215" s="735">
        <f t="shared" si="188"/>
        <v>1.4438060142728013</v>
      </c>
      <c r="AF215" s="732" t="str">
        <f t="shared" si="189"/>
        <v>0.94336982196138-7.4643481618212i</v>
      </c>
      <c r="AG215" s="337">
        <f t="shared" si="190"/>
        <v>7.5237251479483875</v>
      </c>
      <c r="AH215" s="730">
        <f t="shared" si="191"/>
        <v>-1.4450794318962927</v>
      </c>
      <c r="AI215" s="731" t="str">
        <f t="shared" si="169"/>
        <v>10000</v>
      </c>
      <c r="AJ215" s="733" t="str">
        <f t="shared" si="192"/>
        <v>1+73210.4465286532i</v>
      </c>
      <c r="AK215" s="734">
        <f t="shared" si="193"/>
        <v>73210.446535482828</v>
      </c>
      <c r="AL215" s="735">
        <f t="shared" si="194"/>
        <v>1.5707826675420529</v>
      </c>
      <c r="AM215" s="340" t="str">
        <f t="shared" si="195"/>
        <v>1+124.246539980743i</v>
      </c>
      <c r="AN215" s="734">
        <f t="shared" si="196"/>
        <v>124.25056417250735</v>
      </c>
      <c r="AO215" s="735">
        <f t="shared" si="197"/>
        <v>1.5627479867112555</v>
      </c>
      <c r="AP215" s="733" t="str">
        <f t="shared" si="198"/>
        <v>1+6.02616198846028i</v>
      </c>
      <c r="AQ215" s="734">
        <f t="shared" si="199"/>
        <v>6.1085700709055928</v>
      </c>
      <c r="AR215" s="735">
        <f t="shared" si="200"/>
        <v>1.4063517429265842</v>
      </c>
      <c r="AS215" s="732" t="str">
        <f t="shared" si="201"/>
        <v>0.0178869681550774-18.9139906724604i</v>
      </c>
      <c r="AT215" s="337">
        <f t="shared" si="202"/>
        <v>18.913999130314796</v>
      </c>
      <c r="AU215" s="730">
        <f t="shared" si="203"/>
        <v>-1.5698506266974166</v>
      </c>
      <c r="AV215" s="732" t="str">
        <f t="shared" si="204"/>
        <v>-2.26090797431259+0.0679875118951136i</v>
      </c>
      <c r="AW215" s="337">
        <f t="shared" si="205"/>
        <v>7.0895830821064312</v>
      </c>
      <c r="AX215" s="730">
        <f t="shared" si="206"/>
        <v>178.27758403990839</v>
      </c>
      <c r="AY215" s="360">
        <f t="shared" si="207"/>
        <v>-1.7224159600916096</v>
      </c>
      <c r="BB215" s="337">
        <f t="shared" si="208"/>
        <v>-14.464332705380789</v>
      </c>
      <c r="BC215" s="730">
        <f t="shared" si="209"/>
        <v>-89.945815375729282</v>
      </c>
      <c r="BD215" s="351"/>
      <c r="BE215" s="337">
        <f t="shared" si="170"/>
        <v>47.955610338958969</v>
      </c>
      <c r="BF215" s="730">
        <f t="shared" si="171"/>
        <v>-77.364848468400439</v>
      </c>
      <c r="BI215" s="351"/>
      <c r="BJ215" s="351"/>
      <c r="BL215" s="405">
        <f t="shared" si="172"/>
        <v>0</v>
      </c>
      <c r="BM215" s="405">
        <f t="shared" si="160"/>
        <v>0</v>
      </c>
      <c r="BN215" s="405">
        <f t="shared" si="173"/>
        <v>0</v>
      </c>
      <c r="BO215" s="405">
        <f t="shared" si="174"/>
        <v>0</v>
      </c>
    </row>
    <row r="216" spans="4:67" ht="13.5" thickBot="1" x14ac:dyDescent="0.25">
      <c r="D216" s="345">
        <v>12446</v>
      </c>
      <c r="E216" s="340" t="str">
        <f t="shared" si="161"/>
        <v>0.206449384239535i</v>
      </c>
      <c r="F216" s="728" t="str">
        <f t="shared" si="175"/>
        <v>0.005-0.209633410552466i</v>
      </c>
      <c r="G216" s="337" t="str">
        <f t="shared" si="176"/>
        <v>0.005-0.327888154966677i</v>
      </c>
      <c r="H216" s="338" t="str">
        <f t="shared" si="177"/>
        <v>0.0863988379288827-0.303357243915162i</v>
      </c>
      <c r="I216" s="338" t="str">
        <f t="shared" si="178"/>
        <v>0.0963988379288827-0.303357243915162i</v>
      </c>
      <c r="J216" s="337" t="str">
        <f t="shared" si="179"/>
        <v>0.017354232877451-0.126457505512124i</v>
      </c>
      <c r="K216" s="338" t="str">
        <f t="shared" si="162"/>
        <v>0.998278856488889-0.0651671036109643i</v>
      </c>
      <c r="L216" s="732"/>
      <c r="M216" s="732" t="str">
        <f t="shared" si="163"/>
        <v>51.8046849242541-238.786358534871i</v>
      </c>
      <c r="N216" s="337">
        <f t="shared" si="164"/>
        <v>0</v>
      </c>
      <c r="O216" s="730" t="str">
        <f t="shared" si="165"/>
        <v>4.14726550405144-97.8947721050735i</v>
      </c>
      <c r="P216" s="731" t="str">
        <f t="shared" si="166"/>
        <v>-29.297296684325-10.6950453033354i</v>
      </c>
      <c r="Q216" s="729" t="str">
        <f t="shared" si="167"/>
        <v>-29.3387693393655-9.71609758228466i</v>
      </c>
      <c r="R216" s="730"/>
      <c r="S216" s="405" t="str">
        <f t="shared" si="180"/>
        <v>39.6256183744509+0.575877959667335i</v>
      </c>
      <c r="T216" s="405" t="str">
        <f t="shared" si="181"/>
        <v>15.6969516264415-2.48113935457292i</v>
      </c>
      <c r="U216" s="405" t="str">
        <f t="shared" si="182"/>
        <v>0.603526783177753-4.97615154024166i</v>
      </c>
      <c r="V216" s="731" t="str">
        <f t="shared" si="168"/>
        <v>6000</v>
      </c>
      <c r="W216" s="733" t="str">
        <f>IMSUM(COMPLEX(1,0),IMDIV(COMPLEX(0,2*PI()*D216),COMPLEX(2*PI()*'Stability Calculations'!EA_Pole1,0)))</f>
        <v>1+78982.5295764887i</v>
      </c>
      <c r="X216" s="734">
        <f t="shared" si="183"/>
        <v>78982.529582819203</v>
      </c>
      <c r="Y216" s="735">
        <f t="shared" si="184"/>
        <v>1.5707836657671312</v>
      </c>
      <c r="Z216" s="340" t="str">
        <f>IMSUM(COMPLEX(1,0),IMDIV(COMPLEX(0,2*PI()*D216),COMPLEX(2*PI()*'Stability Calculations'!EA_Zero1,0)))</f>
        <v>1+782.005243331571i</v>
      </c>
      <c r="AA216" s="734">
        <f t="shared" si="185"/>
        <v>782.0058827132118</v>
      </c>
      <c r="AB216" s="735">
        <f t="shared" si="186"/>
        <v>1.5695175636875531</v>
      </c>
      <c r="AC216" s="733" t="str">
        <f>IMSUM(COMPLEX(1,0),IMDIV(COMPLEX(0,2*PI()*D216),COMPLEX(2*PI()*'Stability Calculations'!EA_Pole2,0)))</f>
        <v>1+7.87749551023879i</v>
      </c>
      <c r="AD216" s="734">
        <f t="shared" si="187"/>
        <v>7.9407137912049359</v>
      </c>
      <c r="AE216" s="735">
        <f t="shared" si="188"/>
        <v>1.4445277988371634</v>
      </c>
      <c r="AF216" s="732" t="str">
        <f t="shared" si="189"/>
        <v>0.932733384189966-7.42281707252712i</v>
      </c>
      <c r="AG216" s="337">
        <f t="shared" si="190"/>
        <v>7.4811900696468436</v>
      </c>
      <c r="AH216" s="730">
        <f t="shared" si="191"/>
        <v>-1.4457939009167411</v>
      </c>
      <c r="AI216" s="731" t="str">
        <f t="shared" si="169"/>
        <v>10000</v>
      </c>
      <c r="AJ216" s="733" t="str">
        <f t="shared" si="192"/>
        <v>1+73633.4573110523i</v>
      </c>
      <c r="AK216" s="734">
        <f t="shared" si="193"/>
        <v>73633.45731784268</v>
      </c>
      <c r="AL216" s="735">
        <f t="shared" si="194"/>
        <v>1.5707827460119692</v>
      </c>
      <c r="AM216" s="340" t="str">
        <f t="shared" si="195"/>
        <v>1+124.964437884385i</v>
      </c>
      <c r="AN216" s="734">
        <f t="shared" si="196"/>
        <v>124.96843895864394</v>
      </c>
      <c r="AO216" s="735">
        <f t="shared" si="197"/>
        <v>1.5627942209776544</v>
      </c>
      <c r="AP216" s="733" t="str">
        <f t="shared" si="198"/>
        <v>1+6.06098122012014i</v>
      </c>
      <c r="AQ216" s="734">
        <f t="shared" si="199"/>
        <v>6.1429222159041714</v>
      </c>
      <c r="AR216" s="735">
        <f t="shared" si="200"/>
        <v>1.4072796503938421</v>
      </c>
      <c r="AS216" s="732" t="str">
        <f t="shared" si="201"/>
        <v>0.0176820439192305-18.805333438414i</v>
      </c>
      <c r="AT216" s="337">
        <f t="shared" si="202"/>
        <v>18.805341751337806</v>
      </c>
      <c r="AU216" s="730">
        <f t="shared" si="203"/>
        <v>-1.5698560595687809</v>
      </c>
      <c r="AV216" s="732" t="str">
        <f t="shared" si="204"/>
        <v>-2.2347015686531+0.0689072721032654i</v>
      </c>
      <c r="AW216" s="337">
        <f t="shared" si="205"/>
        <v>6.9885180048806674</v>
      </c>
      <c r="AX216" s="730">
        <f t="shared" si="206"/>
        <v>178.2338378647913</v>
      </c>
      <c r="AY216" s="360">
        <f t="shared" si="207"/>
        <v>-1.7661621352087025</v>
      </c>
      <c r="BB216" s="337">
        <f t="shared" si="208"/>
        <v>-14.514375393864825</v>
      </c>
      <c r="BC216" s="730">
        <f t="shared" si="209"/>
        <v>-89.946126656329099</v>
      </c>
      <c r="BD216" s="351"/>
      <c r="BE216" s="337">
        <f t="shared" si="170"/>
        <v>47.759936113572877</v>
      </c>
      <c r="BF216" s="730">
        <f t="shared" si="171"/>
        <v>-77.759375910640316</v>
      </c>
      <c r="BI216" s="351"/>
      <c r="BJ216" s="351"/>
      <c r="BL216" s="405">
        <f t="shared" si="172"/>
        <v>0</v>
      </c>
      <c r="BM216" s="405">
        <f t="shared" si="160"/>
        <v>0</v>
      </c>
      <c r="BN216" s="405">
        <f t="shared" si="173"/>
        <v>0</v>
      </c>
      <c r="BO216" s="405">
        <f t="shared" si="174"/>
        <v>0</v>
      </c>
    </row>
    <row r="217" spans="4:67" ht="13.5" thickBot="1" x14ac:dyDescent="0.25">
      <c r="D217" s="345">
        <v>12517.5</v>
      </c>
      <c r="E217" s="340" t="str">
        <f t="shared" si="161"/>
        <v>0.207635398298118i</v>
      </c>
      <c r="F217" s="728" t="str">
        <f t="shared" si="175"/>
        <v>0.005-0.208435983841501i</v>
      </c>
      <c r="G217" s="337" t="str">
        <f t="shared" si="176"/>
        <v>0.005-0.326015256777732i</v>
      </c>
      <c r="H217" s="338" t="str">
        <f t="shared" si="177"/>
        <v>0.085533018918759-0.301855519743902i</v>
      </c>
      <c r="I217" s="338" t="str">
        <f t="shared" si="178"/>
        <v>0.095533018918759-0.301855519743902i</v>
      </c>
      <c r="J217" s="337" t="str">
        <f t="shared" si="179"/>
        <v>0.0172052356284543-0.125750832552147i</v>
      </c>
      <c r="K217" s="338" t="str">
        <f t="shared" si="162"/>
        <v>0.998259024375-0.0655414767355171i</v>
      </c>
      <c r="L217" s="732"/>
      <c r="M217" s="732" t="str">
        <f t="shared" si="163"/>
        <v>49.150076766714-233.919068551872i</v>
      </c>
      <c r="N217" s="337">
        <f t="shared" si="164"/>
        <v>0</v>
      </c>
      <c r="O217" s="730" t="str">
        <f t="shared" si="165"/>
        <v>3.50305731906699-95.7561969844101i</v>
      </c>
      <c r="P217" s="731" t="str">
        <f t="shared" si="166"/>
        <v>-28.5698789682927-10.2052957658397i</v>
      </c>
      <c r="Q217" s="729" t="str">
        <f t="shared" si="167"/>
        <v>-28.6049095414834-9.2477337959956i</v>
      </c>
      <c r="R217" s="730"/>
      <c r="S217" s="405" t="str">
        <f t="shared" si="180"/>
        <v>39.6309992135896+0.543797638774963i</v>
      </c>
      <c r="T217" s="405" t="str">
        <f t="shared" si="181"/>
        <v>15.6936693749008-2.48138555974026i</v>
      </c>
      <c r="U217" s="405" t="str">
        <f t="shared" si="182"/>
        <v>0.593306991727727-4.94946112387565i</v>
      </c>
      <c r="V217" s="731" t="str">
        <f t="shared" si="168"/>
        <v>6000</v>
      </c>
      <c r="W217" s="733" t="str">
        <f>IMSUM(COMPLEX(1,0),IMDIV(COMPLEX(0,2*PI()*D217),COMPLEX(2*PI()*'Stability Calculations'!EA_Pole1,0)))</f>
        <v>1+79436.2698034467i</v>
      </c>
      <c r="X217" s="734">
        <f t="shared" si="183"/>
        <v>79436.269809741076</v>
      </c>
      <c r="Y217" s="735">
        <f t="shared" si="184"/>
        <v>1.5707837380869623</v>
      </c>
      <c r="Z217" s="340" t="str">
        <f>IMSUM(COMPLEX(1,0),IMDIV(COMPLEX(0,2*PI()*D217),COMPLEX(2*PI()*'Stability Calculations'!EA_Zero1,0)))</f>
        <v>1+786.497720826205i</v>
      </c>
      <c r="AA217" s="734">
        <f t="shared" si="185"/>
        <v>786.49835655569882</v>
      </c>
      <c r="AB217" s="735">
        <f t="shared" si="186"/>
        <v>1.5695248679786138</v>
      </c>
      <c r="AC217" s="733" t="str">
        <f>IMSUM(COMPLEX(1,0),IMDIV(COMPLEX(0,2*PI()*D217),COMPLEX(2*PI()*'Stability Calculations'!EA_Pole2,0)))</f>
        <v>1+7.92275028518513i</v>
      </c>
      <c r="AD217" s="734">
        <f t="shared" si="187"/>
        <v>7.9856103136454815</v>
      </c>
      <c r="AE217" s="735">
        <f t="shared" si="188"/>
        <v>1.445241467767288</v>
      </c>
      <c r="AF217" s="732" t="str">
        <f t="shared" si="189"/>
        <v>0.92227488049977-7.38173797606092i</v>
      </c>
      <c r="AG217" s="337">
        <f t="shared" si="190"/>
        <v>7.4391294183137342</v>
      </c>
      <c r="AH217" s="730">
        <f t="shared" si="191"/>
        <v>-1.4465003378756363</v>
      </c>
      <c r="AI217" s="731" t="str">
        <f t="shared" si="169"/>
        <v>10000</v>
      </c>
      <c r="AJ217" s="733" t="str">
        <f t="shared" si="192"/>
        <v>1+74056.4680934516i</v>
      </c>
      <c r="AK217" s="734">
        <f t="shared" si="193"/>
        <v>74056.468100203216</v>
      </c>
      <c r="AL217" s="735">
        <f t="shared" si="194"/>
        <v>1.5707828235854446</v>
      </c>
      <c r="AM217" s="340" t="str">
        <f t="shared" si="195"/>
        <v>1+125.682335788028i</v>
      </c>
      <c r="AN217" s="734">
        <f t="shared" si="196"/>
        <v>125.68631400886345</v>
      </c>
      <c r="AO217" s="735">
        <f t="shared" si="197"/>
        <v>1.5628399270971267</v>
      </c>
      <c r="AP217" s="733" t="str">
        <f t="shared" si="198"/>
        <v>1+6.09580045178i</v>
      </c>
      <c r="AQ217" s="734">
        <f t="shared" si="199"/>
        <v>6.1772795912052789</v>
      </c>
      <c r="AR217" s="735">
        <f t="shared" si="200"/>
        <v>1.4081972367975948</v>
      </c>
      <c r="AS217" s="732" t="str">
        <f t="shared" si="201"/>
        <v>0.0174806212242424-18.6979175020303i</v>
      </c>
      <c r="AT217" s="337">
        <f t="shared" si="202"/>
        <v>18.697925673315996</v>
      </c>
      <c r="AU217" s="730">
        <f t="shared" si="203"/>
        <v>-1.5698614303750427</v>
      </c>
      <c r="AV217" s="732" t="str">
        <f t="shared" si="204"/>
        <v>-2.20894706140773+0.0697921625187869i</v>
      </c>
      <c r="AW217" s="337">
        <f t="shared" si="205"/>
        <v>6.8880393738444248</v>
      </c>
      <c r="AX217" s="730">
        <f t="shared" si="206"/>
        <v>178.19032940542849</v>
      </c>
      <c r="AY217" s="360">
        <f t="shared" si="207"/>
        <v>-1.8096705945715144</v>
      </c>
      <c r="BB217" s="337">
        <f t="shared" si="208"/>
        <v>-14.564131418576277</v>
      </c>
      <c r="BC217" s="730">
        <f t="shared" si="209"/>
        <v>-89.946434380860481</v>
      </c>
      <c r="BD217" s="351"/>
      <c r="BE217" s="337">
        <f t="shared" si="170"/>
        <v>47.568935714201459</v>
      </c>
      <c r="BF217" s="730">
        <f t="shared" si="171"/>
        <v>-78.133870040246208</v>
      </c>
      <c r="BI217" s="351"/>
      <c r="BJ217" s="351"/>
      <c r="BL217" s="405">
        <f t="shared" si="172"/>
        <v>0</v>
      </c>
      <c r="BM217" s="405">
        <f t="shared" si="160"/>
        <v>0</v>
      </c>
      <c r="BN217" s="405">
        <f t="shared" si="173"/>
        <v>0</v>
      </c>
      <c r="BO217" s="405">
        <f t="shared" si="174"/>
        <v>0</v>
      </c>
    </row>
    <row r="218" spans="4:67" ht="13.5" thickBot="1" x14ac:dyDescent="0.25">
      <c r="D218" s="345">
        <v>12589</v>
      </c>
      <c r="E218" s="340" t="str">
        <f t="shared" si="161"/>
        <v>0.208821412356701i</v>
      </c>
      <c r="F218" s="728" t="str">
        <f t="shared" si="175"/>
        <v>0.005-0.207252158847882i</v>
      </c>
      <c r="G218" s="337" t="str">
        <f t="shared" si="176"/>
        <v>0.005-0.324163633069764i</v>
      </c>
      <c r="H218" s="338" t="str">
        <f t="shared" si="177"/>
        <v>0.0846806165456932-0.300367293799324i</v>
      </c>
      <c r="I218" s="338" t="str">
        <f t="shared" si="178"/>
        <v>0.0946806165456932-0.300367293799324i</v>
      </c>
      <c r="J218" s="337" t="str">
        <f t="shared" si="179"/>
        <v>0.017058733955416-0.125051929731227i</v>
      </c>
      <c r="K218" s="338" t="str">
        <f t="shared" si="162"/>
        <v>0.998239078655556-0.0659158498600698i</v>
      </c>
      <c r="L218" s="732"/>
      <c r="M218" s="732" t="str">
        <f t="shared" si="163"/>
        <v>46.6830092146143-229.243948556152i</v>
      </c>
      <c r="N218" s="337">
        <f t="shared" si="164"/>
        <v>0</v>
      </c>
      <c r="O218" s="730" t="str">
        <f t="shared" si="165"/>
        <v>2.9163338674863-93.7091553621496i</v>
      </c>
      <c r="P218" s="731" t="str">
        <f t="shared" si="166"/>
        <v>-27.8710451117226-9.74841191725664i</v>
      </c>
      <c r="Q218" s="729" t="str">
        <f t="shared" si="167"/>
        <v>-27.9002084503975-8.81132036363513i</v>
      </c>
      <c r="R218" s="730"/>
      <c r="S218" s="405" t="str">
        <f t="shared" si="180"/>
        <v>39.6362669255156+0.511891817942158i</v>
      </c>
      <c r="T218" s="405" t="str">
        <f t="shared" si="181"/>
        <v>15.6904251687195-2.48170007890713i</v>
      </c>
      <c r="U218" s="405" t="str">
        <f t="shared" si="182"/>
        <v>0.58325334042832-4.92304243925244i</v>
      </c>
      <c r="V218" s="731" t="str">
        <f t="shared" si="168"/>
        <v>6000</v>
      </c>
      <c r="W218" s="733" t="str">
        <f>IMSUM(COMPLEX(1,0),IMDIV(COMPLEX(0,2*PI()*D218),COMPLEX(2*PI()*'Stability Calculations'!EA_Pole1,0)))</f>
        <v>1+79890.0100304047i</v>
      </c>
      <c r="X218" s="734">
        <f t="shared" si="183"/>
        <v>79890.010036663298</v>
      </c>
      <c r="Y218" s="735">
        <f t="shared" si="184"/>
        <v>1.5707838095853035</v>
      </c>
      <c r="Z218" s="340" t="str">
        <f>IMSUM(COMPLEX(1,0),IMDIV(COMPLEX(0,2*PI()*D218),COMPLEX(2*PI()*'Stability Calculations'!EA_Zero1,0)))</f>
        <v>1+790.990198320838i</v>
      </c>
      <c r="AA218" s="734">
        <f t="shared" si="185"/>
        <v>790.99083043966982</v>
      </c>
      <c r="AB218" s="735">
        <f t="shared" si="186"/>
        <v>1.5695320892994671</v>
      </c>
      <c r="AC218" s="733" t="str">
        <f>IMSUM(COMPLEX(1,0),IMDIV(COMPLEX(0,2*PI()*D218),COMPLEX(2*PI()*'Stability Calculations'!EA_Pole2,0)))</f>
        <v>1+7.96800506013146i</v>
      </c>
      <c r="AD218" s="734">
        <f t="shared" si="187"/>
        <v>8.0305108578645577</v>
      </c>
      <c r="AE218" s="735">
        <f t="shared" si="188"/>
        <v>1.4459471564595017</v>
      </c>
      <c r="AF218" s="732" t="str">
        <f t="shared" si="189"/>
        <v>0.911990385043608-7.34110366376022i</v>
      </c>
      <c r="AG218" s="337">
        <f t="shared" si="190"/>
        <v>7.3975353641929766</v>
      </c>
      <c r="AH218" s="730">
        <f t="shared" si="191"/>
        <v>-1.4471988767453381</v>
      </c>
      <c r="AI218" s="731" t="str">
        <f t="shared" si="169"/>
        <v>10000</v>
      </c>
      <c r="AJ218" s="733" t="str">
        <f t="shared" si="192"/>
        <v>1+74479.4788758507i</v>
      </c>
      <c r="AK218" s="734">
        <f t="shared" si="193"/>
        <v>74479.47888256397</v>
      </c>
      <c r="AL218" s="735">
        <f t="shared" si="194"/>
        <v>1.5707829002777534</v>
      </c>
      <c r="AM218" s="340" t="str">
        <f t="shared" si="195"/>
        <v>1+126.40023369167i</v>
      </c>
      <c r="AN218" s="734">
        <f t="shared" si="196"/>
        <v>126.40418931866456</v>
      </c>
      <c r="AO218" s="735">
        <f t="shared" si="197"/>
        <v>1.5628851140678437</v>
      </c>
      <c r="AP218" s="733" t="str">
        <f t="shared" si="198"/>
        <v>1+6.13061968343986i</v>
      </c>
      <c r="AQ218" s="734">
        <f t="shared" si="199"/>
        <v>6.2116421100205264</v>
      </c>
      <c r="AR218" s="735">
        <f t="shared" si="200"/>
        <v>1.4091046718666767</v>
      </c>
      <c r="AS218" s="732" t="str">
        <f t="shared" si="201"/>
        <v>0.0172826207476951-18.5917217133035i</v>
      </c>
      <c r="AT218" s="337">
        <f t="shared" si="202"/>
        <v>18.591729746150591</v>
      </c>
      <c r="AU218" s="730">
        <f t="shared" si="203"/>
        <v>-1.5698667401737083</v>
      </c>
      <c r="AV218" s="732" t="str">
        <f t="shared" si="204"/>
        <v>-2.18363411717464+0.0706433782526873i</v>
      </c>
      <c r="AW218" s="337">
        <f t="shared" si="205"/>
        <v>6.7881403970923548</v>
      </c>
      <c r="AX218" s="730">
        <f t="shared" si="206"/>
        <v>178.1470539366658</v>
      </c>
      <c r="AY218" s="360">
        <f t="shared" si="207"/>
        <v>-1.8529460633342012</v>
      </c>
      <c r="BB218" s="337">
        <f t="shared" si="208"/>
        <v>-14.613604045055766</v>
      </c>
      <c r="BC218" s="730">
        <f t="shared" si="209"/>
        <v>-89.946738609914092</v>
      </c>
      <c r="BD218" s="351"/>
      <c r="BE218" s="337">
        <f t="shared" si="170"/>
        <v>47.382420427385377</v>
      </c>
      <c r="BF218" s="730">
        <f t="shared" si="171"/>
        <v>-78.489728219777604</v>
      </c>
      <c r="BI218" s="351"/>
      <c r="BJ218" s="351"/>
      <c r="BL218" s="405">
        <f t="shared" si="172"/>
        <v>0</v>
      </c>
      <c r="BM218" s="405">
        <f t="shared" ref="BM218:BM281" si="210">IF(BL218&gt;0,AY218,0)</f>
        <v>0</v>
      </c>
      <c r="BN218" s="405">
        <f t="shared" si="173"/>
        <v>0</v>
      </c>
      <c r="BO218" s="405">
        <f t="shared" si="174"/>
        <v>0</v>
      </c>
    </row>
    <row r="219" spans="4:67" ht="13.5" thickBot="1" x14ac:dyDescent="0.25">
      <c r="D219" s="345">
        <v>12662.25</v>
      </c>
      <c r="E219" s="340" t="str">
        <f t="shared" si="161"/>
        <v>0.210036454731404i</v>
      </c>
      <c r="F219" s="728" t="str">
        <f t="shared" si="175"/>
        <v>0.005-0.206053223379414i</v>
      </c>
      <c r="G219" s="337" t="str">
        <f t="shared" si="176"/>
        <v>0.005-0.322288375029341i</v>
      </c>
      <c r="H219" s="338" t="str">
        <f t="shared" si="177"/>
        <v>0.0838209832856272-0.298856475680119i</v>
      </c>
      <c r="I219" s="338" t="str">
        <f t="shared" si="178"/>
        <v>0.0938209832856272-0.298856475680119i</v>
      </c>
      <c r="J219" s="337" t="str">
        <f t="shared" si="179"/>
        <v>0.0169111767899731-0.124343846951475i</v>
      </c>
      <c r="K219" s="338" t="str">
        <f t="shared" si="162"/>
        <v>0.99821852694375-0.0662993859631956i</v>
      </c>
      <c r="L219" s="732"/>
      <c r="M219" s="732" t="str">
        <f t="shared" si="163"/>
        <v>44.3327021584788-224.643435821889i</v>
      </c>
      <c r="N219" s="337">
        <f t="shared" si="164"/>
        <v>0</v>
      </c>
      <c r="O219" s="730" t="str">
        <f t="shared" si="165"/>
        <v>2.36891534631581-91.7014253864006i</v>
      </c>
      <c r="P219" s="731" t="str">
        <f t="shared" si="166"/>
        <v>-27.1833108387111-9.31148359003014i</v>
      </c>
      <c r="Q219" s="729" t="str">
        <f t="shared" si="167"/>
        <v>-27.2069999921743-8.39446933616614i</v>
      </c>
      <c r="R219" s="730"/>
      <c r="S219" s="405" t="str">
        <f t="shared" si="180"/>
        <v>39.6415486221533+0.479383396917864i</v>
      </c>
      <c r="T219" s="405" t="str">
        <f t="shared" si="181"/>
        <v>15.6871400771251-2.48209208976364i</v>
      </c>
      <c r="U219" s="405" t="str">
        <f t="shared" si="182"/>
        <v>0.573122211943729-4.89625479651938i</v>
      </c>
      <c r="V219" s="731" t="str">
        <f t="shared" si="168"/>
        <v>6000</v>
      </c>
      <c r="W219" s="733" t="str">
        <f>IMSUM(COMPLEX(1,0),IMDIV(COMPLEX(0,2*PI()*D219),COMPLEX(2*PI()*'Stability Calculations'!EA_Pole1,0)))</f>
        <v>1+80354.8557873931i</v>
      </c>
      <c r="X219" s="734">
        <f t="shared" si="183"/>
        <v>80354.855793615498</v>
      </c>
      <c r="Y219" s="735">
        <f t="shared" si="184"/>
        <v>1.5707838819962576</v>
      </c>
      <c r="Z219" s="340" t="str">
        <f>IMSUM(COMPLEX(1,0),IMDIV(COMPLEX(0,2*PI()*D219),COMPLEX(2*PI()*'Stability Calculations'!EA_Zero1,0)))</f>
        <v>1+795.592631558347i</v>
      </c>
      <c r="AA219" s="734">
        <f t="shared" si="185"/>
        <v>795.59326002043008</v>
      </c>
      <c r="AB219" s="735">
        <f t="shared" si="186"/>
        <v>1.5695394027942031</v>
      </c>
      <c r="AC219" s="733" t="str">
        <f>IMSUM(COMPLEX(1,0),IMDIV(COMPLEX(0,2*PI()*D219),COMPLEX(2*PI()*'Stability Calculations'!EA_Pole2,0)))</f>
        <v>1+8.01436746942963i</v>
      </c>
      <c r="AD219" s="734">
        <f t="shared" si="187"/>
        <v>8.076514466962335</v>
      </c>
      <c r="AE219" s="735">
        <f t="shared" si="188"/>
        <v>1.4466619800633744</v>
      </c>
      <c r="AF219" s="732" t="str">
        <f t="shared" si="189"/>
        <v>0.901630628204346-7.29992867298066i</v>
      </c>
      <c r="AG219" s="337">
        <f t="shared" si="190"/>
        <v>7.3553991339913942</v>
      </c>
      <c r="AH219" s="730">
        <f t="shared" si="191"/>
        <v>-1.4479064592654292</v>
      </c>
      <c r="AI219" s="731" t="str">
        <f t="shared" si="169"/>
        <v>10000</v>
      </c>
      <c r="AJ219" s="733" t="str">
        <f t="shared" si="192"/>
        <v>1+74912.8430690079i</v>
      </c>
      <c r="AK219" s="734">
        <f t="shared" si="193"/>
        <v>74912.843075682322</v>
      </c>
      <c r="AL219" s="735">
        <f t="shared" si="194"/>
        <v>1.5707829779489715</v>
      </c>
      <c r="AM219" s="340" t="str">
        <f t="shared" si="195"/>
        <v>1+127.135702523024i</v>
      </c>
      <c r="AN219" s="734">
        <f t="shared" si="196"/>
        <v>127.13963526777498</v>
      </c>
      <c r="AO219" s="735">
        <f t="shared" si="197"/>
        <v>1.5629308778430457</v>
      </c>
      <c r="AP219" s="733" t="str">
        <f t="shared" si="198"/>
        <v>1+6.16629113405642i</v>
      </c>
      <c r="AQ219" s="734">
        <f t="shared" si="199"/>
        <v>6.2468509146563456</v>
      </c>
      <c r="AR219" s="735">
        <f t="shared" si="200"/>
        <v>1.4100239634102001</v>
      </c>
      <c r="AS219" s="732" t="str">
        <f t="shared" si="201"/>
        <v>0.0170832424095173-18.4841704264264i</v>
      </c>
      <c r="AT219" s="337">
        <f t="shared" si="202"/>
        <v>18.484178320670559</v>
      </c>
      <c r="AU219" s="730">
        <f t="shared" si="203"/>
        <v>-1.5698721177472923</v>
      </c>
      <c r="AV219" s="732" t="str">
        <f t="shared" si="204"/>
        <v>-2.1581490353364+0.071481708533103i</v>
      </c>
      <c r="AW219" s="337">
        <f t="shared" si="205"/>
        <v>6.6863904715593412</v>
      </c>
      <c r="AX219" s="730">
        <f t="shared" si="206"/>
        <v>178.10295608195813</v>
      </c>
      <c r="AY219" s="360">
        <f t="shared" si="207"/>
        <v>-1.8970439180418737</v>
      </c>
      <c r="BB219" s="337">
        <f t="shared" si="208"/>
        <v>-14.663997008098363</v>
      </c>
      <c r="BC219" s="730">
        <f t="shared" si="209"/>
        <v>-89.947046722184467</v>
      </c>
      <c r="BD219" s="351"/>
      <c r="BE219" s="337">
        <f t="shared" si="170"/>
        <v>47.195803691134856</v>
      </c>
      <c r="BF219" s="730">
        <f t="shared" si="171"/>
        <v>-78.836302611485522</v>
      </c>
      <c r="BI219" s="351"/>
      <c r="BJ219" s="351"/>
      <c r="BL219" s="405">
        <f t="shared" si="172"/>
        <v>0</v>
      </c>
      <c r="BM219" s="405">
        <f t="shared" si="210"/>
        <v>0</v>
      </c>
      <c r="BN219" s="405">
        <f t="shared" si="173"/>
        <v>0</v>
      </c>
      <c r="BO219" s="405">
        <f t="shared" si="174"/>
        <v>0</v>
      </c>
    </row>
    <row r="220" spans="4:67" ht="13.5" thickBot="1" x14ac:dyDescent="0.25">
      <c r="D220" s="345">
        <v>12735.5</v>
      </c>
      <c r="E220" s="340" t="str">
        <f t="shared" si="161"/>
        <v>0.211251497106106i</v>
      </c>
      <c r="F220" s="728" t="str">
        <f t="shared" si="175"/>
        <v>0.005-0.20486807959923i</v>
      </c>
      <c r="G220" s="337" t="str">
        <f t="shared" si="176"/>
        <v>0.005-0.320434688603923i</v>
      </c>
      <c r="H220" s="338" t="str">
        <f t="shared" si="177"/>
        <v>0.0829748671645741-0.297359491470347i</v>
      </c>
      <c r="I220" s="338" t="str">
        <f t="shared" si="178"/>
        <v>0.0929748671645741-0.297359491470347i</v>
      </c>
      <c r="J220" s="337" t="str">
        <f t="shared" si="179"/>
        <v>0.0167661231589892-0.123643654587563i</v>
      </c>
      <c r="K220" s="338" t="str">
        <f t="shared" si="162"/>
        <v>0.998197855997222-0.0666829220663213i</v>
      </c>
      <c r="L220" s="732"/>
      <c r="M220" s="732" t="str">
        <f t="shared" si="163"/>
        <v>42.145861795168-220.224317091439i</v>
      </c>
      <c r="N220" s="337">
        <f t="shared" si="164"/>
        <v>0</v>
      </c>
      <c r="O220" s="730" t="str">
        <f t="shared" si="165"/>
        <v>1.87043414653355-89.7789403628725i</v>
      </c>
      <c r="P220" s="731" t="str">
        <f t="shared" si="166"/>
        <v>-26.5227166847363-8.90337640105628i</v>
      </c>
      <c r="Q220" s="729" t="str">
        <f t="shared" si="167"/>
        <v>-26.5414210262016-8.00558699742756i</v>
      </c>
      <c r="R220" s="730"/>
      <c r="S220" s="405" t="str">
        <f t="shared" si="180"/>
        <v>39.6467163369292+0.447052791996967i</v>
      </c>
      <c r="T220" s="405" t="str">
        <f t="shared" si="181"/>
        <v>15.6838930404594-2.48255368765713i</v>
      </c>
      <c r="U220" s="405" t="str">
        <f t="shared" si="182"/>
        <v>0.563158039545952-4.86974402124859i</v>
      </c>
      <c r="V220" s="731" t="str">
        <f t="shared" si="168"/>
        <v>6000</v>
      </c>
      <c r="W220" s="733" t="str">
        <f>IMSUM(COMPLEX(1,0),IMDIV(COMPLEX(0,2*PI()*D220),COMPLEX(2*PI()*'Stability Calculations'!EA_Pole1,0)))</f>
        <v>1+80819.7015443815i</v>
      </c>
      <c r="X220" s="734">
        <f t="shared" si="183"/>
        <v>80819.701550568119</v>
      </c>
      <c r="Y220" s="735">
        <f t="shared" si="184"/>
        <v>1.5707839535742483</v>
      </c>
      <c r="Z220" s="340" t="str">
        <f>IMSUM(COMPLEX(1,0),IMDIV(COMPLEX(0,2*PI()*D220),COMPLEX(2*PI()*'Stability Calculations'!EA_Zero1,0)))</f>
        <v>1+800.195064795856i</v>
      </c>
      <c r="AA220" s="734">
        <f t="shared" si="185"/>
        <v>800.19568964325481</v>
      </c>
      <c r="AB220" s="735">
        <f t="shared" si="186"/>
        <v>1.5695466321599063</v>
      </c>
      <c r="AC220" s="733" t="str">
        <f>IMSUM(COMPLEX(1,0),IMDIV(COMPLEX(0,2*PI()*D220),COMPLEX(2*PI()*'Stability Calculations'!EA_Pole2,0)))</f>
        <v>1+8.06072987872779i</v>
      </c>
      <c r="AD220" s="734">
        <f t="shared" si="187"/>
        <v>8.1225221561910761</v>
      </c>
      <c r="AE220" s="735">
        <f t="shared" si="188"/>
        <v>1.4473687061997837</v>
      </c>
      <c r="AF220" s="732" t="str">
        <f t="shared" si="189"/>
        <v>0.891445500891618-7.25920566536682i</v>
      </c>
      <c r="AG220" s="337">
        <f t="shared" si="190"/>
        <v>7.3137365260961955</v>
      </c>
      <c r="AH220" s="730">
        <f t="shared" si="191"/>
        <v>-1.4486060276141257</v>
      </c>
      <c r="AI220" s="731" t="str">
        <f t="shared" si="169"/>
        <v>10000</v>
      </c>
      <c r="AJ220" s="733" t="str">
        <f t="shared" si="192"/>
        <v>1+75346.2072621651i</v>
      </c>
      <c r="AK220" s="734">
        <f t="shared" si="193"/>
        <v>75346.207268801139</v>
      </c>
      <c r="AL220" s="735">
        <f t="shared" si="194"/>
        <v>1.5707830547267159</v>
      </c>
      <c r="AM220" s="340" t="str">
        <f t="shared" si="195"/>
        <v>1+127.871171354378i</v>
      </c>
      <c r="AN220" s="734">
        <f t="shared" si="196"/>
        <v>127.8750814800941</v>
      </c>
      <c r="AO220" s="735">
        <f t="shared" si="197"/>
        <v>1.5629761152171893</v>
      </c>
      <c r="AP220" s="733" t="str">
        <f t="shared" si="198"/>
        <v>1+6.20196258467299i</v>
      </c>
      <c r="AQ220" s="734">
        <f t="shared" si="199"/>
        <v>6.2820649393080679</v>
      </c>
      <c r="AR220" s="735">
        <f t="shared" si="200"/>
        <v>1.4109329495636977</v>
      </c>
      <c r="AS220" s="732" t="str">
        <f t="shared" si="201"/>
        <v>0.0168872944210901-18.3778563287749i</v>
      </c>
      <c r="AT220" s="337">
        <f t="shared" si="202"/>
        <v>18.37786408758658</v>
      </c>
      <c r="AU220" s="730">
        <f t="shared" si="203"/>
        <v>-1.5698774334612038</v>
      </c>
      <c r="AV220" s="732" t="str">
        <f t="shared" si="204"/>
        <v>-2.13310636939817+0.0722870908609349i</v>
      </c>
      <c r="AW220" s="337">
        <f t="shared" si="205"/>
        <v>6.5852348639420928</v>
      </c>
      <c r="AX220" s="730">
        <f t="shared" si="206"/>
        <v>178.05909311485485</v>
      </c>
      <c r="AY220" s="360">
        <f t="shared" si="207"/>
        <v>-1.9409068851451536</v>
      </c>
      <c r="BB220" s="337">
        <f t="shared" si="208"/>
        <v>-14.714099291944311</v>
      </c>
      <c r="BC220" s="730">
        <f t="shared" si="209"/>
        <v>-89.947351290156703</v>
      </c>
      <c r="BD220" s="351"/>
      <c r="BE220" s="337">
        <f t="shared" si="170"/>
        <v>47.013522823125072</v>
      </c>
      <c r="BF220" s="730">
        <f t="shared" si="171"/>
        <v>-79.165906652844157</v>
      </c>
      <c r="BI220" s="351"/>
      <c r="BJ220" s="351"/>
      <c r="BL220" s="405">
        <f t="shared" si="172"/>
        <v>0</v>
      </c>
      <c r="BM220" s="405">
        <f t="shared" si="210"/>
        <v>0</v>
      </c>
      <c r="BN220" s="405">
        <f t="shared" si="173"/>
        <v>0</v>
      </c>
      <c r="BO220" s="405">
        <f t="shared" si="174"/>
        <v>0</v>
      </c>
    </row>
    <row r="221" spans="4:67" ht="13.5" thickBot="1" x14ac:dyDescent="0.25">
      <c r="D221" s="345">
        <v>12808.75</v>
      </c>
      <c r="E221" s="340" t="str">
        <f t="shared" si="161"/>
        <v>0.212466539480808i</v>
      </c>
      <c r="F221" s="728" t="str">
        <f t="shared" si="175"/>
        <v>0.005-0.203696490893802i</v>
      </c>
      <c r="G221" s="337" t="str">
        <f t="shared" si="176"/>
        <v>0.005-0.318602203705691i</v>
      </c>
      <c r="H221" s="338" t="str">
        <f t="shared" si="177"/>
        <v>0.0821419930928498-0.295876175573613i</v>
      </c>
      <c r="I221" s="338" t="str">
        <f t="shared" si="178"/>
        <v>0.0921419930928498-0.295876175573613i</v>
      </c>
      <c r="J221" s="337" t="str">
        <f t="shared" si="179"/>
        <v>0.0166235169367666-0.122951222971715i</v>
      </c>
      <c r="K221" s="338" t="str">
        <f t="shared" si="162"/>
        <v>0.998177065815972-0.0670664581694471i</v>
      </c>
      <c r="L221" s="732"/>
      <c r="M221" s="732" t="str">
        <f t="shared" si="163"/>
        <v>40.1082126282462-215.977122151012i</v>
      </c>
      <c r="N221" s="337">
        <f t="shared" si="164"/>
        <v>0</v>
      </c>
      <c r="O221" s="730" t="str">
        <f t="shared" si="165"/>
        <v>1.41608151718422-87.9367602794748i</v>
      </c>
      <c r="P221" s="731" t="str">
        <f t="shared" si="166"/>
        <v>-25.8879117504494-8.52165314188392i</v>
      </c>
      <c r="Q221" s="729" t="str">
        <f t="shared" si="167"/>
        <v>-25.9020725656213-7.64228553908917i</v>
      </c>
      <c r="R221" s="730"/>
      <c r="S221" s="405" t="str">
        <f t="shared" si="180"/>
        <v>39.651772378958+0.414897380202572i</v>
      </c>
      <c r="T221" s="405" t="str">
        <f t="shared" si="181"/>
        <v>15.6806831471108-2.48308383326179i</v>
      </c>
      <c r="U221" s="405" t="str">
        <f t="shared" si="182"/>
        <v>0.553357218546978-4.84350601502955i</v>
      </c>
      <c r="V221" s="731" t="str">
        <f t="shared" si="168"/>
        <v>6000</v>
      </c>
      <c r="W221" s="733" t="str">
        <f>IMSUM(COMPLEX(1,0),IMDIV(COMPLEX(0,2*PI()*D221),COMPLEX(2*PI()*'Stability Calculations'!EA_Pole1,0)))</f>
        <v>1+81284.5473013699i</v>
      </c>
      <c r="X221" s="734">
        <f t="shared" si="183"/>
        <v>81284.547307521119</v>
      </c>
      <c r="Y221" s="735">
        <f t="shared" si="184"/>
        <v>1.570784024333566</v>
      </c>
      <c r="Z221" s="340" t="str">
        <f>IMSUM(COMPLEX(1,0),IMDIV(COMPLEX(0,2*PI()*D221),COMPLEX(2*PI()*'Stability Calculations'!EA_Zero1,0)))</f>
        <v>1+804.797498033365i</v>
      </c>
      <c r="AA221" s="734">
        <f t="shared" si="185"/>
        <v>804.79811930742244</v>
      </c>
      <c r="AB221" s="735">
        <f t="shared" si="186"/>
        <v>1.5695537788399119</v>
      </c>
      <c r="AC221" s="733" t="str">
        <f>IMSUM(COMPLEX(1,0),IMDIV(COMPLEX(0,2*PI()*D221),COMPLEX(2*PI()*'Stability Calculations'!EA_Pole2,0)))</f>
        <v>1+8.10709228802596i</v>
      </c>
      <c r="AD221" s="734">
        <f t="shared" si="187"/>
        <v>8.1685338566091517</v>
      </c>
      <c r="AE221" s="735">
        <f t="shared" si="188"/>
        <v>1.4480674709909254</v>
      </c>
      <c r="AF221" s="732" t="str">
        <f t="shared" si="189"/>
        <v>0.881431120181676-7.2189273655401i</v>
      </c>
      <c r="AG221" s="337">
        <f t="shared" si="190"/>
        <v>7.2725396615328579</v>
      </c>
      <c r="AH221" s="730">
        <f t="shared" si="191"/>
        <v>-1.4492977164845786</v>
      </c>
      <c r="AI221" s="731" t="str">
        <f t="shared" si="169"/>
        <v>10000</v>
      </c>
      <c r="AJ221" s="733" t="str">
        <f t="shared" si="192"/>
        <v>1+75779.5714553223i</v>
      </c>
      <c r="AK221" s="734">
        <f t="shared" si="193"/>
        <v>75779.571461920379</v>
      </c>
      <c r="AL221" s="735">
        <f t="shared" si="194"/>
        <v>1.5707831306263154</v>
      </c>
      <c r="AM221" s="340" t="str">
        <f t="shared" si="195"/>
        <v>1+128.606640185732i</v>
      </c>
      <c r="AN221" s="734">
        <f t="shared" si="196"/>
        <v>128.61052795110646</v>
      </c>
      <c r="AO221" s="735">
        <f t="shared" si="197"/>
        <v>1.563020835220603</v>
      </c>
      <c r="AP221" s="733" t="str">
        <f t="shared" si="198"/>
        <v>1+6.23763403528956i</v>
      </c>
      <c r="AQ221" s="734">
        <f t="shared" si="199"/>
        <v>6.3172840966829025</v>
      </c>
      <c r="AR221" s="735">
        <f t="shared" si="200"/>
        <v>1.4118318011714688</v>
      </c>
      <c r="AS221" s="732" t="str">
        <f t="shared" si="201"/>
        <v>0.0166946985381199-18.2727581949042i</v>
      </c>
      <c r="AT221" s="337">
        <f t="shared" si="202"/>
        <v>18.272765821363713</v>
      </c>
      <c r="AU221" s="730">
        <f t="shared" si="203"/>
        <v>-1.5698826883767207</v>
      </c>
      <c r="AV221" s="732" t="str">
        <f t="shared" si="204"/>
        <v>-2.10849593259182+0.0730606682834328i</v>
      </c>
      <c r="AW221" s="337">
        <f t="shared" si="205"/>
        <v>6.4846666441550225</v>
      </c>
      <c r="AX221" s="730">
        <f t="shared" si="206"/>
        <v>178.0154603442322</v>
      </c>
      <c r="AY221" s="360">
        <f t="shared" si="207"/>
        <v>-1.9845396557678043</v>
      </c>
      <c r="BB221" s="337">
        <f t="shared" si="208"/>
        <v>-14.76391423078789</v>
      </c>
      <c r="BC221" s="730">
        <f t="shared" si="209"/>
        <v>-89.947652374637514</v>
      </c>
      <c r="BD221" s="351"/>
      <c r="BE221" s="337">
        <f t="shared" si="170"/>
        <v>46.835403940714706</v>
      </c>
      <c r="BF221" s="730">
        <f t="shared" si="171"/>
        <v>-79.479683524392996</v>
      </c>
      <c r="BI221" s="351"/>
      <c r="BJ221" s="351"/>
      <c r="BL221" s="405">
        <f t="shared" si="172"/>
        <v>0</v>
      </c>
      <c r="BM221" s="405">
        <f t="shared" si="210"/>
        <v>0</v>
      </c>
      <c r="BN221" s="405">
        <f t="shared" si="173"/>
        <v>0</v>
      </c>
      <c r="BO221" s="405">
        <f t="shared" si="174"/>
        <v>0</v>
      </c>
    </row>
    <row r="222" spans="4:67" ht="13.5" thickBot="1" x14ac:dyDescent="0.25">
      <c r="D222" s="345">
        <v>12882</v>
      </c>
      <c r="E222" s="340" t="str">
        <f t="shared" si="161"/>
        <v>0.213681581855511i</v>
      </c>
      <c r="F222" s="728" t="str">
        <f t="shared" si="175"/>
        <v>0.005-0.202538226031361i</v>
      </c>
      <c r="G222" s="337" t="str">
        <f t="shared" si="176"/>
        <v>0.005-0.316790558664436i</v>
      </c>
      <c r="H222" s="338" t="str">
        <f t="shared" si="177"/>
        <v>0.0813220927585918-0.294406364402436i</v>
      </c>
      <c r="I222" s="338" t="str">
        <f t="shared" si="178"/>
        <v>0.0913220927585918-0.294406364402436i</v>
      </c>
      <c r="J222" s="337" t="str">
        <f t="shared" si="179"/>
        <v>0.0164833035562102-0.12226642522799i</v>
      </c>
      <c r="K222" s="338" t="str">
        <f t="shared" si="162"/>
        <v>0.9981561564-0.0674499942725729i</v>
      </c>
      <c r="L222" s="732"/>
      <c r="M222" s="732" t="str">
        <f t="shared" si="163"/>
        <v>38.2069582892766-211.892905106361i</v>
      </c>
      <c r="N222" s="337">
        <f t="shared" si="164"/>
        <v>0</v>
      </c>
      <c r="O222" s="730" t="str">
        <f t="shared" si="165"/>
        <v>1.00158578394362-86.1702772915464i</v>
      </c>
      <c r="P222" s="731" t="str">
        <f t="shared" si="166"/>
        <v>-25.2776111470868-8.16412328514015i</v>
      </c>
      <c r="Q222" s="729" t="str">
        <f t="shared" si="167"/>
        <v>-25.2876270049262-7.30242051222469i</v>
      </c>
      <c r="R222" s="730"/>
      <c r="S222" s="405" t="str">
        <f t="shared" si="180"/>
        <v>39.6567189960741+0.382914587264221i</v>
      </c>
      <c r="T222" s="405" t="str">
        <f t="shared" si="181"/>
        <v>15.677509509665-2.48368150648315i</v>
      </c>
      <c r="U222" s="405" t="str">
        <f t="shared" si="182"/>
        <v>0.543716239911417-4.81753675547808i</v>
      </c>
      <c r="V222" s="731" t="str">
        <f t="shared" si="168"/>
        <v>6000</v>
      </c>
      <c r="W222" s="733" t="str">
        <f>IMSUM(COMPLEX(1,0),IMDIV(COMPLEX(0,2*PI()*D222),COMPLEX(2*PI()*'Stability Calculations'!EA_Pole1,0)))</f>
        <v>1+81749.3930583583i</v>
      </c>
      <c r="X222" s="734">
        <f t="shared" si="183"/>
        <v>81749.393064474541</v>
      </c>
      <c r="Y222" s="735">
        <f t="shared" si="184"/>
        <v>1.5707840942881766</v>
      </c>
      <c r="Z222" s="340" t="str">
        <f>IMSUM(COMPLEX(1,0),IMDIV(COMPLEX(0,2*PI()*D222),COMPLEX(2*PI()*'Stability Calculations'!EA_Zero1,0)))</f>
        <v>1+809.399931270874i</v>
      </c>
      <c r="AA222" s="734">
        <f t="shared" si="185"/>
        <v>809.40054901222766</v>
      </c>
      <c r="AB222" s="735">
        <f t="shared" si="186"/>
        <v>1.5695608442447262</v>
      </c>
      <c r="AC222" s="733" t="str">
        <f>IMSUM(COMPLEX(1,0),IMDIV(COMPLEX(0,2*PI()*D222),COMPLEX(2*PI()*'Stability Calculations'!EA_Pole2,0)))</f>
        <v>1+8.15345469732413i</v>
      </c>
      <c r="AD222" s="734">
        <f t="shared" si="187"/>
        <v>8.2145495008135985</v>
      </c>
      <c r="AE222" s="735">
        <f t="shared" si="188"/>
        <v>1.4487584075404172</v>
      </c>
      <c r="AF222" s="732" t="str">
        <f t="shared" si="189"/>
        <v>0.871583709920076-7.1790866505048i</v>
      </c>
      <c r="AG222" s="337">
        <f t="shared" si="190"/>
        <v>7.2318008337380446</v>
      </c>
      <c r="AH222" s="730">
        <f t="shared" si="191"/>
        <v>-1.4499816575838669</v>
      </c>
      <c r="AI222" s="731" t="str">
        <f t="shared" si="169"/>
        <v>10000</v>
      </c>
      <c r="AJ222" s="733" t="str">
        <f t="shared" si="192"/>
        <v>1+76212.9356484795i</v>
      </c>
      <c r="AK222" s="734">
        <f t="shared" si="193"/>
        <v>76212.93565504007</v>
      </c>
      <c r="AL222" s="735">
        <f t="shared" si="194"/>
        <v>1.5707832056627498</v>
      </c>
      <c r="AM222" s="340" t="str">
        <f t="shared" si="195"/>
        <v>1+129.342109017086i</v>
      </c>
      <c r="AN222" s="734">
        <f t="shared" si="196"/>
        <v>129.34597467639938</v>
      </c>
      <c r="AO222" s="735">
        <f t="shared" si="197"/>
        <v>1.563065046678243</v>
      </c>
      <c r="AP222" s="733" t="str">
        <f t="shared" si="198"/>
        <v>1+6.27330548590612i</v>
      </c>
      <c r="AQ222" s="734">
        <f t="shared" si="199"/>
        <v>6.3525083014113273</v>
      </c>
      <c r="AR222" s="735">
        <f t="shared" si="200"/>
        <v>1.4127206853548695</v>
      </c>
      <c r="AS222" s="732" t="str">
        <f t="shared" si="201"/>
        <v>0.0165053787345408-18.1688552821384i</v>
      </c>
      <c r="AT222" s="337">
        <f t="shared" si="202"/>
        <v>18.168862779238978</v>
      </c>
      <c r="AU222" s="730">
        <f t="shared" si="203"/>
        <v>-1.5698878835309831</v>
      </c>
      <c r="AV222" s="732" t="str">
        <f t="shared" si="204"/>
        <v>-2.08430782958074+0.0738035400224838i</v>
      </c>
      <c r="AW222" s="337">
        <f t="shared" si="205"/>
        <v>6.3846790022016435</v>
      </c>
      <c r="AX222" s="730">
        <f t="shared" si="206"/>
        <v>177.97205320203997</v>
      </c>
      <c r="AY222" s="360">
        <f t="shared" si="207"/>
        <v>-2.027946797960027</v>
      </c>
      <c r="BB222" s="337">
        <f t="shared" si="208"/>
        <v>-14.813445101783795</v>
      </c>
      <c r="BC222" s="730">
        <f t="shared" si="209"/>
        <v>-89.947950035050667</v>
      </c>
      <c r="BD222" s="351"/>
      <c r="BE222" s="337">
        <f t="shared" si="170"/>
        <v>46.661282032619454</v>
      </c>
      <c r="BF222" s="730">
        <f t="shared" si="171"/>
        <v>-79.778679273134102</v>
      </c>
      <c r="BI222" s="351"/>
      <c r="BJ222" s="351"/>
      <c r="BL222" s="405">
        <f t="shared" si="172"/>
        <v>0</v>
      </c>
      <c r="BM222" s="405">
        <f t="shared" si="210"/>
        <v>0</v>
      </c>
      <c r="BN222" s="405">
        <f t="shared" si="173"/>
        <v>0</v>
      </c>
      <c r="BO222" s="405">
        <f t="shared" si="174"/>
        <v>0</v>
      </c>
    </row>
    <row r="223" spans="4:67" ht="13.5" thickBot="1" x14ac:dyDescent="0.25">
      <c r="D223" s="345">
        <v>12957.25</v>
      </c>
      <c r="E223" s="340" t="str">
        <f t="shared" si="161"/>
        <v>0.214929799448635i</v>
      </c>
      <c r="F223" s="728" t="str">
        <f t="shared" si="175"/>
        <v>0.005-0.201361973237839i</v>
      </c>
      <c r="G223" s="337" t="str">
        <f t="shared" si="176"/>
        <v>0.005-0.314950778654055i</v>
      </c>
      <c r="H223" s="338" t="str">
        <f t="shared" si="177"/>
        <v>0.0804930410095302-0.292910314941541i</v>
      </c>
      <c r="I223" s="338" t="str">
        <f t="shared" si="178"/>
        <v>0.0904930410095302-0.292910314941541i</v>
      </c>
      <c r="J223" s="337" t="str">
        <f t="shared" si="179"/>
        <v>0.0163416978127068-0.121570748855911i</v>
      </c>
      <c r="K223" s="338" t="str">
        <f t="shared" si="162"/>
        <v>0.998134551915972-0.0678440023512106i</v>
      </c>
      <c r="L223" s="732"/>
      <c r="M223" s="732" t="str">
        <f t="shared" si="163"/>
        <v>36.3837568022631-207.858022525336i</v>
      </c>
      <c r="N223" s="337">
        <f t="shared" si="164"/>
        <v>0</v>
      </c>
      <c r="O223" s="730" t="str">
        <f t="shared" si="165"/>
        <v>0.6132848687031-84.4298744237469i</v>
      </c>
      <c r="P223" s="731" t="str">
        <f t="shared" si="166"/>
        <v>-24.6748830951603-7.81995355269831i</v>
      </c>
      <c r="Q223" s="729" t="str">
        <f t="shared" si="167"/>
        <v>-24.6810159438473-6.97565480846086i</v>
      </c>
      <c r="R223" s="730"/>
      <c r="S223" s="405" t="str">
        <f t="shared" si="180"/>
        <v>39.661689026386+0.350235642292257i</v>
      </c>
      <c r="T223" s="405" t="str">
        <f t="shared" si="181"/>
        <v>15.6742860665978-2.48436476484187i</v>
      </c>
      <c r="U223" s="405" t="str">
        <f t="shared" si="182"/>
        <v>0.533974885454271-4.79113414315001i</v>
      </c>
      <c r="V223" s="731" t="str">
        <f t="shared" si="168"/>
        <v>6000</v>
      </c>
      <c r="W223" s="733" t="str">
        <f>IMSUM(COMPLEX(1,0),IMDIV(COMPLEX(0,2*PI()*D223),COMPLEX(2*PI()*'Stability Calculations'!EA_Pole1,0)))</f>
        <v>1+82226.9308496672i</v>
      </c>
      <c r="X223" s="734">
        <f t="shared" si="183"/>
        <v>82226.930855747938</v>
      </c>
      <c r="Y223" s="735">
        <f t="shared" si="184"/>
        <v>1.5707841653291867</v>
      </c>
      <c r="Z223" s="340" t="str">
        <f>IMSUM(COMPLEX(1,0),IMDIV(COMPLEX(0,2*PI()*D223),COMPLEX(2*PI()*'Stability Calculations'!EA_Zero1,0)))</f>
        <v>1+814.128028214527i</v>
      </c>
      <c r="AA223" s="734">
        <f t="shared" si="185"/>
        <v>814.12864236831376</v>
      </c>
      <c r="AB223" s="735">
        <f t="shared" si="186"/>
        <v>1.5695680193758781</v>
      </c>
      <c r="AC223" s="733" t="str">
        <f>IMSUM(COMPLEX(1,0),IMDIV(COMPLEX(0,2*PI()*D223),COMPLEX(2*PI()*'Stability Calculations'!EA_Pole2,0)))</f>
        <v>1+8.20108297445296i</v>
      </c>
      <c r="AD223" s="734">
        <f t="shared" si="187"/>
        <v>8.2618255823917153</v>
      </c>
      <c r="AE223" s="735">
        <f t="shared" si="188"/>
        <v>1.4494601942419916</v>
      </c>
      <c r="AF223" s="732" t="str">
        <f t="shared" si="189"/>
        <v>0.861637440702756-7.1386064760408i</v>
      </c>
      <c r="AG223" s="337">
        <f t="shared" si="190"/>
        <v>7.1904187290443975</v>
      </c>
      <c r="AH223" s="730">
        <f t="shared" si="191"/>
        <v>-1.4506763401953002</v>
      </c>
      <c r="AI223" s="731" t="str">
        <f t="shared" si="169"/>
        <v>10000</v>
      </c>
      <c r="AJ223" s="733" t="str">
        <f t="shared" si="192"/>
        <v>1+76658.1323110745i</v>
      </c>
      <c r="AK223" s="734">
        <f t="shared" si="193"/>
        <v>76658.132317596959</v>
      </c>
      <c r="AL223" s="735">
        <f t="shared" si="194"/>
        <v>1.5707832818645051</v>
      </c>
      <c r="AM223" s="340" t="str">
        <f t="shared" si="195"/>
        <v>1+130.097658908681i</v>
      </c>
      <c r="AN223" s="734">
        <f t="shared" si="196"/>
        <v>130.10150211861315</v>
      </c>
      <c r="AO223" s="735">
        <f t="shared" si="197"/>
        <v>1.5631099447737196</v>
      </c>
      <c r="AP223" s="733" t="str">
        <f t="shared" si="198"/>
        <v>1+6.30995090104465i</v>
      </c>
      <c r="AQ223" s="734">
        <f t="shared" si="199"/>
        <v>6.3886994273947648</v>
      </c>
      <c r="AR223" s="735">
        <f t="shared" si="200"/>
        <v>1.4136236318313364</v>
      </c>
      <c r="AS223" s="732" t="str">
        <f t="shared" si="201"/>
        <v>0.0163142236424097-18.0633387471503i</v>
      </c>
      <c r="AT223" s="337">
        <f t="shared" si="202"/>
        <v>18.063346114388505</v>
      </c>
      <c r="AU223" s="730">
        <f t="shared" si="203"/>
        <v>-1.5698931593663898</v>
      </c>
      <c r="AV223" s="732" t="str">
        <f t="shared" si="204"/>
        <v>-2.05988898839784+0.0745358309651939i</v>
      </c>
      <c r="AW223" s="337">
        <f t="shared" si="205"/>
        <v>6.2825588625703199</v>
      </c>
      <c r="AX223" s="730">
        <f t="shared" si="206"/>
        <v>177.92769116106359</v>
      </c>
      <c r="AY223" s="360">
        <f t="shared" si="207"/>
        <v>-2.0723088389364079</v>
      </c>
      <c r="BB223" s="337">
        <f t="shared" si="208"/>
        <v>-14.864035928281137</v>
      </c>
      <c r="BC223" s="730">
        <f t="shared" si="209"/>
        <v>-89.948252318152882</v>
      </c>
      <c r="BD223" s="351"/>
      <c r="BE223" s="337">
        <f t="shared" si="170"/>
        <v>46.486403603996969</v>
      </c>
      <c r="BF223" s="730">
        <f t="shared" si="171"/>
        <v>-80.071453607950872</v>
      </c>
      <c r="BI223" s="351"/>
      <c r="BJ223" s="351"/>
      <c r="BL223" s="405">
        <f t="shared" si="172"/>
        <v>0</v>
      </c>
      <c r="BM223" s="405">
        <f t="shared" si="210"/>
        <v>0</v>
      </c>
      <c r="BN223" s="405">
        <f t="shared" si="173"/>
        <v>0</v>
      </c>
      <c r="BO223" s="405">
        <f t="shared" si="174"/>
        <v>0</v>
      </c>
    </row>
    <row r="224" spans="4:67" ht="13.5" thickBot="1" x14ac:dyDescent="0.25">
      <c r="D224" s="345">
        <v>13032.5</v>
      </c>
      <c r="E224" s="340" t="str">
        <f t="shared" si="161"/>
        <v>0.216178017041759i</v>
      </c>
      <c r="F224" s="728" t="str">
        <f t="shared" si="175"/>
        <v>0.005-0.200199303873853i</v>
      </c>
      <c r="G224" s="337" t="str">
        <f t="shared" si="176"/>
        <v>0.005-0.313132244520642i</v>
      </c>
      <c r="H224" s="338" t="str">
        <f t="shared" si="177"/>
        <v>0.0796771282206387-0.291428174218358i</v>
      </c>
      <c r="I224" s="338" t="str">
        <f t="shared" si="178"/>
        <v>0.0896771282206387-0.291428174218358i</v>
      </c>
      <c r="J224" s="337" t="str">
        <f t="shared" si="179"/>
        <v>0.0162025054471944-0.120882866195719i</v>
      </c>
      <c r="K224" s="338" t="str">
        <f t="shared" si="162"/>
        <v>0.998112821597222-0.0682380104298483i</v>
      </c>
      <c r="L224" s="732"/>
      <c r="M224" s="732" t="str">
        <f t="shared" si="163"/>
        <v>34.6811821090105-203.977618854584i</v>
      </c>
      <c r="N224" s="337">
        <f t="shared" si="164"/>
        <v>0</v>
      </c>
      <c r="O224" s="730" t="str">
        <f t="shared" si="165"/>
        <v>0.2593666295985-82.7604828670785i</v>
      </c>
      <c r="P224" s="731" t="str">
        <f t="shared" si="166"/>
        <v>-24.0954771648836-7.49730917699002i</v>
      </c>
      <c r="Q224" s="729" t="str">
        <f t="shared" si="167"/>
        <v>-24.0980708311796-6.66970434831923i</v>
      </c>
      <c r="R224" s="730"/>
      <c r="S224" s="405" t="str">
        <f t="shared" si="180"/>
        <v>39.6665481936113+0.317733516928485i</v>
      </c>
      <c r="T224" s="405" t="str">
        <f t="shared" si="181"/>
        <v>15.6710990628742-2.48511716676336i</v>
      </c>
      <c r="U224" s="405" t="str">
        <f t="shared" si="182"/>
        <v>0.524395010762408-4.76500678702793i</v>
      </c>
      <c r="V224" s="731" t="str">
        <f t="shared" si="168"/>
        <v>6000</v>
      </c>
      <c r="W224" s="733" t="str">
        <f>IMSUM(COMPLEX(1,0),IMDIV(COMPLEX(0,2*PI()*D224),COMPLEX(2*PI()*'Stability Calculations'!EA_Pole1,0)))</f>
        <v>1+82704.4686409762i</v>
      </c>
      <c r="X224" s="734">
        <f t="shared" si="183"/>
        <v>82704.468647021829</v>
      </c>
      <c r="Y224" s="735">
        <f t="shared" si="184"/>
        <v>1.5707842355498118</v>
      </c>
      <c r="Z224" s="340" t="str">
        <f>IMSUM(COMPLEX(1,0),IMDIV(COMPLEX(0,2*PI()*D224),COMPLEX(2*PI()*'Stability Calculations'!EA_Zero1,0)))</f>
        <v>1+818.85612515818i</v>
      </c>
      <c r="AA224" s="734">
        <f t="shared" si="185"/>
        <v>818.85673576582906</v>
      </c>
      <c r="AB224" s="735">
        <f t="shared" si="186"/>
        <v>1.5695751116483596</v>
      </c>
      <c r="AC224" s="733" t="str">
        <f>IMSUM(COMPLEX(1,0),IMDIV(COMPLEX(0,2*PI()*D224),COMPLEX(2*PI()*'Stability Calculations'!EA_Pole2,0)))</f>
        <v>1+8.2487112515818i</v>
      </c>
      <c r="AD224" s="734">
        <f t="shared" si="187"/>
        <v>8.3091056866531794</v>
      </c>
      <c r="AE224" s="735">
        <f t="shared" si="188"/>
        <v>1.4501539947309718</v>
      </c>
      <c r="AF224" s="732" t="str">
        <f t="shared" si="189"/>
        <v>0.851859636323568-7.09857334562556i</v>
      </c>
      <c r="AG224" s="337">
        <f t="shared" si="190"/>
        <v>7.1495040655434963</v>
      </c>
      <c r="AH224" s="730">
        <f t="shared" si="191"/>
        <v>-1.4513631186324243</v>
      </c>
      <c r="AI224" s="731" t="str">
        <f t="shared" si="169"/>
        <v>10000</v>
      </c>
      <c r="AJ224" s="733" t="str">
        <f t="shared" si="192"/>
        <v>1+77103.3289736695i</v>
      </c>
      <c r="AK224" s="734">
        <f t="shared" si="193"/>
        <v>77103.3289801543</v>
      </c>
      <c r="AL224" s="735">
        <f t="shared" si="194"/>
        <v>1.5707833571862784</v>
      </c>
      <c r="AM224" s="340" t="str">
        <f t="shared" si="195"/>
        <v>1+130.853208800277i</v>
      </c>
      <c r="AN224" s="734">
        <f t="shared" si="196"/>
        <v>130.85702982006313</v>
      </c>
      <c r="AO224" s="735">
        <f t="shared" si="197"/>
        <v>1.5631543244140682</v>
      </c>
      <c r="AP224" s="733" t="str">
        <f t="shared" si="198"/>
        <v>1+6.34659631618317i</v>
      </c>
      <c r="AQ224" s="734">
        <f t="shared" si="199"/>
        <v>6.4248957034795353</v>
      </c>
      <c r="AR224" s="735">
        <f t="shared" si="200"/>
        <v>1.4145164050738521</v>
      </c>
      <c r="AS224" s="732" t="str">
        <f t="shared" si="201"/>
        <v>0.0161263701816367-17.95904071973i</v>
      </c>
      <c r="AT224" s="337">
        <f t="shared" si="202"/>
        <v>17.959047960087847</v>
      </c>
      <c r="AU224" s="730">
        <f t="shared" si="203"/>
        <v>-1.5698983742762196</v>
      </c>
      <c r="AV224" s="732" t="str">
        <f t="shared" si="204"/>
        <v>-2.03589558948499+0.0752379343945254i</v>
      </c>
      <c r="AW224" s="337">
        <f t="shared" si="205"/>
        <v>6.1810372449931803</v>
      </c>
      <c r="AX224" s="730">
        <f t="shared" si="206"/>
        <v>177.88355784638782</v>
      </c>
      <c r="AY224" s="360">
        <f t="shared" si="207"/>
        <v>-2.1164421536121836</v>
      </c>
      <c r="BB224" s="337">
        <f t="shared" si="208"/>
        <v>-14.914333795066369</v>
      </c>
      <c r="BC224" s="730">
        <f t="shared" si="209"/>
        <v>-89.948551110476672</v>
      </c>
      <c r="BD224" s="351"/>
      <c r="BE224" s="337">
        <f t="shared" si="170"/>
        <v>46.315417115266939</v>
      </c>
      <c r="BF224" s="730">
        <f t="shared" si="171"/>
        <v>-80.3505932512019</v>
      </c>
      <c r="BI224" s="351"/>
      <c r="BJ224" s="351"/>
      <c r="BL224" s="405">
        <f t="shared" si="172"/>
        <v>0</v>
      </c>
      <c r="BM224" s="405">
        <f t="shared" si="210"/>
        <v>0</v>
      </c>
      <c r="BN224" s="405">
        <f t="shared" si="173"/>
        <v>0</v>
      </c>
      <c r="BO224" s="405">
        <f t="shared" si="174"/>
        <v>0</v>
      </c>
    </row>
    <row r="225" spans="4:67" ht="13.5" thickBot="1" x14ac:dyDescent="0.25">
      <c r="D225" s="345">
        <v>13107.75</v>
      </c>
      <c r="E225" s="340" t="str">
        <f t="shared" si="161"/>
        <v>0.217426234634884i</v>
      </c>
      <c r="F225" s="728" t="str">
        <f t="shared" si="175"/>
        <v>0.005-0.199049983996947i</v>
      </c>
      <c r="G225" s="337" t="str">
        <f t="shared" si="176"/>
        <v>0.005-0.3113345903542i</v>
      </c>
      <c r="H225" s="338" t="str">
        <f t="shared" si="177"/>
        <v>0.0788740845807547-0.289959771447556i</v>
      </c>
      <c r="I225" s="338" t="str">
        <f t="shared" si="178"/>
        <v>0.0888740845807547-0.289959771447556i</v>
      </c>
      <c r="J225" s="337" t="str">
        <f t="shared" si="179"/>
        <v>0.0160656721039361-0.120202648415453i</v>
      </c>
      <c r="K225" s="338" t="str">
        <f t="shared" si="162"/>
        <v>0.99809096544375-0.068632018508486i</v>
      </c>
      <c r="L225" s="732"/>
      <c r="M225" s="732" t="str">
        <f t="shared" si="163"/>
        <v>33.08917136382-200.243592935754i</v>
      </c>
      <c r="N225" s="337">
        <f t="shared" si="164"/>
        <v>0</v>
      </c>
      <c r="O225" s="730" t="str">
        <f t="shared" si="165"/>
        <v>-0.0634375367287002-81.1580597932456i</v>
      </c>
      <c r="P225" s="731" t="str">
        <f t="shared" si="166"/>
        <v>-23.5382104217814-7.1944539368238i</v>
      </c>
      <c r="Q225" s="729" t="str">
        <f t="shared" si="167"/>
        <v>-23.5375760464141-6.38287333889136i</v>
      </c>
      <c r="R225" s="730"/>
      <c r="S225" s="405" t="str">
        <f t="shared" si="180"/>
        <v>39.6712987452236+0.285405574016819i</v>
      </c>
      <c r="T225" s="405" t="str">
        <f t="shared" si="181"/>
        <v>15.6679476112382-2.48593766701525i</v>
      </c>
      <c r="U225" s="405" t="str">
        <f t="shared" si="182"/>
        <v>0.514973107335025-4.73915056621756i</v>
      </c>
      <c r="V225" s="731" t="str">
        <f t="shared" si="168"/>
        <v>6000</v>
      </c>
      <c r="W225" s="733" t="str">
        <f>IMSUM(COMPLEX(1,0),IMDIV(COMPLEX(0,2*PI()*D225),COMPLEX(2*PI()*'Stability Calculations'!EA_Pole1,0)))</f>
        <v>1+83182.006432285i</v>
      </c>
      <c r="X225" s="734">
        <f t="shared" si="183"/>
        <v>83182.00643829591</v>
      </c>
      <c r="Y225" s="735">
        <f t="shared" si="184"/>
        <v>1.5707843049641805</v>
      </c>
      <c r="Z225" s="340" t="str">
        <f>IMSUM(COMPLEX(1,0),IMDIV(COMPLEX(0,2*PI()*D225),COMPLEX(2*PI()*'Stability Calculations'!EA_Zero1,0)))</f>
        <v>1+823.584222101832i</v>
      </c>
      <c r="AA225" s="734">
        <f t="shared" si="185"/>
        <v>823.58482920405936</v>
      </c>
      <c r="AB225" s="735">
        <f t="shared" si="186"/>
        <v>1.5695821224892128</v>
      </c>
      <c r="AC225" s="733" t="str">
        <f>IMSUM(COMPLEX(1,0),IMDIV(COMPLEX(0,2*PI()*D225),COMPLEX(2*PI()*'Stability Calculations'!EA_Pole2,0)))</f>
        <v>1+8.29633952871063i</v>
      </c>
      <c r="AD225" s="734">
        <f t="shared" si="187"/>
        <v>8.3563897453174434</v>
      </c>
      <c r="AE225" s="735">
        <f t="shared" si="188"/>
        <v>1.4508399439019992</v>
      </c>
      <c r="AF225" s="732" t="str">
        <f t="shared" si="189"/>
        <v>0.842246532153384-7.05898001375172i</v>
      </c>
      <c r="AG225" s="337">
        <f t="shared" si="190"/>
        <v>7.1090490260984023</v>
      </c>
      <c r="AH225" s="730">
        <f t="shared" si="191"/>
        <v>-1.4520421263769663</v>
      </c>
      <c r="AI225" s="731" t="str">
        <f t="shared" si="169"/>
        <v>10000</v>
      </c>
      <c r="AJ225" s="733" t="str">
        <f t="shared" si="192"/>
        <v>1+77548.5256362644i</v>
      </c>
      <c r="AK225" s="734">
        <f t="shared" si="193"/>
        <v>77548.525642711975</v>
      </c>
      <c r="AL225" s="735">
        <f t="shared" si="194"/>
        <v>1.5707834316432256</v>
      </c>
      <c r="AM225" s="340" t="str">
        <f t="shared" si="195"/>
        <v>1+131.608758691873i</v>
      </c>
      <c r="AN225" s="734">
        <f t="shared" si="196"/>
        <v>131.61255777628384</v>
      </c>
      <c r="AO225" s="735">
        <f t="shared" si="197"/>
        <v>1.5631981945277593</v>
      </c>
      <c r="AP225" s="733" t="str">
        <f t="shared" si="198"/>
        <v>1+6.38324173132169i</v>
      </c>
      <c r="AQ225" s="734">
        <f t="shared" si="199"/>
        <v>6.4610970431101507</v>
      </c>
      <c r="AR225" s="735">
        <f t="shared" si="200"/>
        <v>1.4153991746481693</v>
      </c>
      <c r="AS225" s="732" t="str">
        <f t="shared" si="201"/>
        <v>0.0159417427533148-17.8559402140334i</v>
      </c>
      <c r="AT225" s="337">
        <f t="shared" si="202"/>
        <v>17.85594733040779</v>
      </c>
      <c r="AU225" s="730">
        <f t="shared" si="203"/>
        <v>-1.5699035293097701</v>
      </c>
      <c r="AV225" s="732" t="str">
        <f t="shared" si="204"/>
        <v>-2.01231780095286+0.0759109097775978i</v>
      </c>
      <c r="AW225" s="337">
        <f t="shared" si="205"/>
        <v>6.0801071442843231</v>
      </c>
      <c r="AX225" s="730">
        <f t="shared" si="206"/>
        <v>177.83964868555321</v>
      </c>
      <c r="AY225" s="360">
        <f t="shared" si="207"/>
        <v>-2.1603513144467854</v>
      </c>
      <c r="BB225" s="337">
        <f t="shared" si="208"/>
        <v>-14.96434207553466</v>
      </c>
      <c r="BC225" s="730">
        <f t="shared" si="209"/>
        <v>-89.948846472142364</v>
      </c>
      <c r="BD225" s="351"/>
      <c r="BE225" s="337">
        <f t="shared" si="170"/>
        <v>46.148169882486883</v>
      </c>
      <c r="BF225" s="730">
        <f t="shared" si="171"/>
        <v>-80.61697261928667</v>
      </c>
      <c r="BI225" s="351"/>
      <c r="BJ225" s="351"/>
      <c r="BL225" s="405">
        <f t="shared" si="172"/>
        <v>0</v>
      </c>
      <c r="BM225" s="405">
        <f t="shared" si="210"/>
        <v>0</v>
      </c>
      <c r="BN225" s="405">
        <f t="shared" si="173"/>
        <v>0</v>
      </c>
      <c r="BO225" s="405">
        <f t="shared" si="174"/>
        <v>0</v>
      </c>
    </row>
    <row r="226" spans="4:67" ht="13.5" thickBot="1" x14ac:dyDescent="0.25">
      <c r="D226" s="345">
        <v>13183</v>
      </c>
      <c r="E226" s="340" t="str">
        <f t="shared" si="161"/>
        <v>0.218674452228008i</v>
      </c>
      <c r="F226" s="728" t="str">
        <f t="shared" si="175"/>
        <v>0.005-0.197913785006143i</v>
      </c>
      <c r="G226" s="337" t="str">
        <f t="shared" si="176"/>
        <v>0.005-0.309557458599353i</v>
      </c>
      <c r="H226" s="338" t="str">
        <f t="shared" si="177"/>
        <v>0.0780836469959548-0.288504938041181i</v>
      </c>
      <c r="I226" s="338" t="str">
        <f t="shared" si="178"/>
        <v>0.0880836469959548-0.288504938041181i</v>
      </c>
      <c r="J226" s="337" t="str">
        <f t="shared" si="179"/>
        <v>0.0159311449438583-0.119529969474987i</v>
      </c>
      <c r="K226" s="338" t="str">
        <f t="shared" si="162"/>
        <v>0.998068983455556-0.0690260265871237i</v>
      </c>
      <c r="L226" s="732"/>
      <c r="M226" s="732" t="str">
        <f t="shared" si="163"/>
        <v>31.5986627512686-196.648331629764i</v>
      </c>
      <c r="N226" s="337">
        <f t="shared" si="164"/>
        <v>0</v>
      </c>
      <c r="O226" s="730" t="str">
        <f t="shared" si="165"/>
        <v>-0.358044092949467-79.6188395497031i</v>
      </c>
      <c r="P226" s="731" t="str">
        <f t="shared" si="166"/>
        <v>-23.0019662006902-6.90982026827122i</v>
      </c>
      <c r="Q226" s="729" t="str">
        <f t="shared" si="167"/>
        <v>-22.9983857597607-6.11363187277418i</v>
      </c>
      <c r="R226" s="730"/>
      <c r="S226" s="405" t="str">
        <f t="shared" si="180"/>
        <v>39.6759428686406+0.253249226132816i</v>
      </c>
      <c r="T226" s="405" t="str">
        <f t="shared" si="181"/>
        <v>15.6648308481481-2.48682524000141i</v>
      </c>
      <c r="U226" s="405" t="str">
        <f t="shared" si="182"/>
        <v>0.50570576041229-4.71356143745147i</v>
      </c>
      <c r="V226" s="731" t="str">
        <f t="shared" si="168"/>
        <v>6000</v>
      </c>
      <c r="W226" s="733" t="str">
        <f>IMSUM(COMPLEX(1,0),IMDIV(COMPLEX(0,2*PI()*D226),COMPLEX(2*PI()*'Stability Calculations'!EA_Pole1,0)))</f>
        <v>1+83659.544223594i</v>
      </c>
      <c r="X226" s="734">
        <f t="shared" si="183"/>
        <v>83659.544229570616</v>
      </c>
      <c r="Y226" s="735">
        <f t="shared" si="184"/>
        <v>1.5707843735860998</v>
      </c>
      <c r="Z226" s="340" t="str">
        <f>IMSUM(COMPLEX(1,0),IMDIV(COMPLEX(0,2*PI()*D226),COMPLEX(2*PI()*'Stability Calculations'!EA_Zero1,0)))</f>
        <v>1+828.312319045485i</v>
      </c>
      <c r="AA226" s="734">
        <f t="shared" si="185"/>
        <v>828.31292268230936</v>
      </c>
      <c r="AB226" s="735">
        <f t="shared" si="186"/>
        <v>1.5695890532928969</v>
      </c>
      <c r="AC226" s="733" t="str">
        <f>IMSUM(COMPLEX(1,0),IMDIV(COMPLEX(0,2*PI()*D226),COMPLEX(2*PI()*'Stability Calculations'!EA_Pole2,0)))</f>
        <v>1+8.34396780583947i</v>
      </c>
      <c r="AD226" s="734">
        <f t="shared" si="187"/>
        <v>8.4036776916351066</v>
      </c>
      <c r="AE226" s="735">
        <f t="shared" si="188"/>
        <v>1.4515181736434146</v>
      </c>
      <c r="AF226" s="732" t="str">
        <f t="shared" si="189"/>
        <v>0.832794467621034-7.0198193878737i</v>
      </c>
      <c r="AG226" s="337">
        <f t="shared" si="190"/>
        <v>7.0690459655930731</v>
      </c>
      <c r="AH226" s="730">
        <f t="shared" si="191"/>
        <v>-1.452713493936618</v>
      </c>
      <c r="AI226" s="731" t="str">
        <f t="shared" si="169"/>
        <v>10000</v>
      </c>
      <c r="AJ226" s="733" t="str">
        <f t="shared" si="192"/>
        <v>1+77993.7222988594i</v>
      </c>
      <c r="AK226" s="734">
        <f t="shared" si="193"/>
        <v>77993.722305270174</v>
      </c>
      <c r="AL226" s="735">
        <f t="shared" si="194"/>
        <v>1.570783505250156</v>
      </c>
      <c r="AM226" s="340" t="str">
        <f t="shared" si="195"/>
        <v>1+132.364308583468i</v>
      </c>
      <c r="AN226" s="734">
        <f t="shared" si="196"/>
        <v>132.36808598291182</v>
      </c>
      <c r="AO226" s="735">
        <f t="shared" si="197"/>
        <v>1.5632415638394237</v>
      </c>
      <c r="AP226" s="733" t="str">
        <f t="shared" si="198"/>
        <v>1+6.41988714646021i</v>
      </c>
      <c r="AQ226" s="734">
        <f t="shared" si="199"/>
        <v>6.4973033616482017</v>
      </c>
      <c r="AR226" s="735">
        <f t="shared" si="200"/>
        <v>1.4162721064035719</v>
      </c>
      <c r="AS226" s="732" t="str">
        <f t="shared" si="201"/>
        <v>0.0157602679099915-17.7540167233724i</v>
      </c>
      <c r="AT226" s="337">
        <f t="shared" si="202"/>
        <v>17.754023718578033</v>
      </c>
      <c r="AU226" s="730">
        <f t="shared" si="203"/>
        <v>-1.5699086254923809</v>
      </c>
      <c r="AV226" s="732" t="str">
        <f t="shared" si="204"/>
        <v>-1.9891460732522+0.0765557757099634i</v>
      </c>
      <c r="AW226" s="337">
        <f t="shared" si="205"/>
        <v>5.9797616771544506</v>
      </c>
      <c r="AX226" s="730">
        <f t="shared" si="206"/>
        <v>177.79595922632555</v>
      </c>
      <c r="AY226" s="360">
        <f t="shared" si="207"/>
        <v>-2.2040407736744498</v>
      </c>
      <c r="BB226" s="337">
        <f t="shared" si="208"/>
        <v>-15.014064085148418</v>
      </c>
      <c r="BC226" s="730">
        <f t="shared" si="209"/>
        <v>-89.94913846189759</v>
      </c>
      <c r="BD226" s="351"/>
      <c r="BE226" s="337">
        <f t="shared" si="170"/>
        <v>45.984517105038435</v>
      </c>
      <c r="BF226" s="730">
        <f t="shared" si="171"/>
        <v>-80.871395152444435</v>
      </c>
      <c r="BI226" s="351"/>
      <c r="BJ226" s="351"/>
      <c r="BL226" s="405">
        <f t="shared" si="172"/>
        <v>0</v>
      </c>
      <c r="BM226" s="405">
        <f t="shared" si="210"/>
        <v>0</v>
      </c>
      <c r="BN226" s="405">
        <f t="shared" si="173"/>
        <v>0</v>
      </c>
      <c r="BO226" s="405">
        <f t="shared" si="174"/>
        <v>0</v>
      </c>
    </row>
    <row r="227" spans="4:67" ht="13.5" thickBot="1" x14ac:dyDescent="0.25">
      <c r="D227" s="345">
        <v>13259.75</v>
      </c>
      <c r="E227" s="340" t="str">
        <f t="shared" si="161"/>
        <v>0.219947551234949i</v>
      </c>
      <c r="F227" s="728" t="str">
        <f t="shared" si="175"/>
        <v>0.005-0.196768221703726i</v>
      </c>
      <c r="G227" s="337" t="str">
        <f t="shared" si="176"/>
        <v>0.005-0.3077656801007i</v>
      </c>
      <c r="H227" s="338" t="str">
        <f t="shared" si="177"/>
        <v>0.0772901726486239-0.287034909881758i</v>
      </c>
      <c r="I227" s="338" t="str">
        <f t="shared" si="178"/>
        <v>0.0872901726486239-0.287034909881758i</v>
      </c>
      <c r="J227" s="337" t="str">
        <f t="shared" si="179"/>
        <v>0.0157962585130037-0.118851519538557i</v>
      </c>
      <c r="K227" s="338" t="str">
        <f t="shared" si="162"/>
        <v>0.998046433665972-0.0694278886473954i</v>
      </c>
      <c r="L227" s="732"/>
      <c r="M227" s="732" t="str">
        <f t="shared" si="163"/>
        <v>30.1745272538029-193.116930896191i</v>
      </c>
      <c r="N227" s="337">
        <f t="shared" si="164"/>
        <v>0</v>
      </c>
      <c r="O227" s="730" t="str">
        <f t="shared" si="165"/>
        <v>-0.63217871345847-78.1104050124751i</v>
      </c>
      <c r="P227" s="731" t="str">
        <f t="shared" si="166"/>
        <v>-22.475596052626-6.63681337914618i</v>
      </c>
      <c r="Q227" s="729" t="str">
        <f t="shared" si="167"/>
        <v>-22.4692742654914-5.85570932902142i</v>
      </c>
      <c r="R227" s="730"/>
      <c r="S227" s="405" t="str">
        <f t="shared" si="180"/>
        <v>39.6805721419939+0.220626015475135i</v>
      </c>
      <c r="T227" s="405" t="str">
        <f t="shared" si="181"/>
        <v>15.6616868180135-2.4877985535608i</v>
      </c>
      <c r="U227" s="405" t="str">
        <f t="shared" si="182"/>
        <v>0.496409444507653-4.68773324412455i</v>
      </c>
      <c r="V227" s="731" t="str">
        <f t="shared" si="168"/>
        <v>6000</v>
      </c>
      <c r="W227" s="733" t="str">
        <f>IMSUM(COMPLEX(1,0),IMDIV(COMPLEX(0,2*PI()*D227),COMPLEX(2*PI()*'Stability Calculations'!EA_Pole1,0)))</f>
        <v>1+84146.6010406432i</v>
      </c>
      <c r="X227" s="734">
        <f t="shared" si="183"/>
        <v>84146.601046585216</v>
      </c>
      <c r="Y227" s="735">
        <f t="shared" si="184"/>
        <v>1.5707844427735864</v>
      </c>
      <c r="Z227" s="340" t="str">
        <f>IMSUM(COMPLEX(1,0),IMDIV(COMPLEX(0,2*PI()*D227),COMPLEX(2*PI()*'Stability Calculations'!EA_Zero1,0)))</f>
        <v>1+833.134663768745i</v>
      </c>
      <c r="AA227" s="734">
        <f t="shared" si="185"/>
        <v>833.13526391160508</v>
      </c>
      <c r="AB227" s="735">
        <f t="shared" si="186"/>
        <v>1.5695960412189156</v>
      </c>
      <c r="AC227" s="733" t="str">
        <f>IMSUM(COMPLEX(1,0),IMDIV(COMPLEX(0,2*PI()*D227),COMPLEX(2*PI()*'Stability Calculations'!EA_Pole2,0)))</f>
        <v>1+8.3925454838413i</v>
      </c>
      <c r="AD227" s="734">
        <f t="shared" si="187"/>
        <v>8.451912191826473</v>
      </c>
      <c r="AE227" s="735">
        <f t="shared" si="188"/>
        <v>1.4522021048523539</v>
      </c>
      <c r="AF227" s="732" t="str">
        <f t="shared" si="189"/>
        <v>0.823316185674522-6.9803166822471i</v>
      </c>
      <c r="AG227" s="337">
        <f t="shared" si="190"/>
        <v>7.0287033317711458</v>
      </c>
      <c r="AH227" s="730">
        <f t="shared" si="191"/>
        <v>-1.4533905064070249</v>
      </c>
      <c r="AI227" s="731" t="str">
        <f t="shared" si="169"/>
        <v>10000</v>
      </c>
      <c r="AJ227" s="733" t="str">
        <f t="shared" si="192"/>
        <v>1+78447.7933135326i</v>
      </c>
      <c r="AK227" s="734">
        <f t="shared" si="193"/>
        <v>78447.793319906268</v>
      </c>
      <c r="AL227" s="735">
        <f t="shared" si="194"/>
        <v>1.570783579463739</v>
      </c>
      <c r="AM227" s="340" t="str">
        <f t="shared" si="195"/>
        <v>1+133.134919270245i</v>
      </c>
      <c r="AN227" s="734">
        <f t="shared" si="196"/>
        <v>133.13867480598813</v>
      </c>
      <c r="AO227" s="735">
        <f t="shared" si="197"/>
        <v>1.5632852906205479</v>
      </c>
      <c r="AP227" s="733" t="str">
        <f t="shared" si="198"/>
        <v>1+6.4572630349902i</v>
      </c>
      <c r="AQ227" s="734">
        <f t="shared" si="199"/>
        <v>6.5342364437668508</v>
      </c>
      <c r="AR227" s="735">
        <f t="shared" si="200"/>
        <v>1.4171524730728966</v>
      </c>
      <c r="AS227" s="732" t="str">
        <f t="shared" si="201"/>
        <v>0.0155783491073704-17.651253198072i</v>
      </c>
      <c r="AT227" s="337">
        <f t="shared" si="202"/>
        <v>17.651260072510624</v>
      </c>
      <c r="AU227" s="730">
        <f t="shared" si="203"/>
        <v>-1.5699137636766971</v>
      </c>
      <c r="AV227" s="732" t="str">
        <f t="shared" si="204"/>
        <v>-1.9659211152814+0.0771855560842325i</v>
      </c>
      <c r="AW227" s="337">
        <f t="shared" si="205"/>
        <v>5.8780111851458861</v>
      </c>
      <c r="AX227" s="730">
        <f t="shared" si="206"/>
        <v>177.75162069979427</v>
      </c>
      <c r="AY227" s="360">
        <f t="shared" si="207"/>
        <v>-2.2483793002057268</v>
      </c>
      <c r="BB227" s="337">
        <f t="shared" si="208"/>
        <v>-15.064485722798352</v>
      </c>
      <c r="BC227" s="730">
        <f t="shared" si="209"/>
        <v>-89.949432858173267</v>
      </c>
      <c r="BD227" s="351"/>
      <c r="BE227" s="337">
        <f t="shared" si="170"/>
        <v>45.821162378172559</v>
      </c>
      <c r="BF227" s="730">
        <f t="shared" si="171"/>
        <v>-81.119338879703221</v>
      </c>
      <c r="BI227" s="351"/>
      <c r="BJ227" s="351"/>
      <c r="BL227" s="405">
        <f t="shared" si="172"/>
        <v>0</v>
      </c>
      <c r="BM227" s="405">
        <f t="shared" si="210"/>
        <v>0</v>
      </c>
      <c r="BN227" s="405">
        <f t="shared" si="173"/>
        <v>0</v>
      </c>
      <c r="BO227" s="405">
        <f t="shared" si="174"/>
        <v>0</v>
      </c>
    </row>
    <row r="228" spans="4:67" ht="13.5" thickBot="1" x14ac:dyDescent="0.25">
      <c r="D228" s="345">
        <v>13336.5</v>
      </c>
      <c r="E228" s="340" t="str">
        <f t="shared" si="161"/>
        <v>0.221220650241889i</v>
      </c>
      <c r="F228" s="728" t="str">
        <f t="shared" si="175"/>
        <v>0.005-0.195635843567352i</v>
      </c>
      <c r="G228" s="337" t="str">
        <f t="shared" si="176"/>
        <v>0.005-0.305994524554063i</v>
      </c>
      <c r="H228" s="338" t="str">
        <f t="shared" si="177"/>
        <v>0.0765092796183685-0.285578650122767i</v>
      </c>
      <c r="I228" s="338" t="str">
        <f t="shared" si="178"/>
        <v>0.0865092796183685-0.285578650122767i</v>
      </c>
      <c r="J228" s="337" t="str">
        <f t="shared" si="179"/>
        <v>0.0156636646986583-0.118180655699205i</v>
      </c>
      <c r="K228" s="338" t="str">
        <f t="shared" si="162"/>
        <v>0.998023752975-0.0698297507076671i</v>
      </c>
      <c r="L228" s="732"/>
      <c r="M228" s="732" t="str">
        <f t="shared" si="163"/>
        <v>28.8396477235091-189.715318937966i</v>
      </c>
      <c r="N228" s="337">
        <f t="shared" si="164"/>
        <v>0</v>
      </c>
      <c r="O228" s="730" t="str">
        <f t="shared" si="165"/>
        <v>-0.88216563174542-76.6606001309496i</v>
      </c>
      <c r="P228" s="731" t="str">
        <f t="shared" si="166"/>
        <v>-21.9689462163041-6.37992562214171i</v>
      </c>
      <c r="Q228" s="729" t="str">
        <f t="shared" si="167"/>
        <v>-21.9601245599866-5.61331962083221i</v>
      </c>
      <c r="R228" s="730"/>
      <c r="S228" s="405" t="str">
        <f t="shared" si="180"/>
        <v>39.6850951154623+0.18817602554631i</v>
      </c>
      <c r="T228" s="405" t="str">
        <f t="shared" si="181"/>
        <v>15.6585771307774-2.48883954601569i</v>
      </c>
      <c r="U228" s="405" t="str">
        <f t="shared" si="182"/>
        <v>0.487267018201122-4.662174640602i</v>
      </c>
      <c r="V228" s="731" t="str">
        <f t="shared" si="168"/>
        <v>6000</v>
      </c>
      <c r="W228" s="733" t="str">
        <f>IMSUM(COMPLEX(1,0),IMDIV(COMPLEX(0,2*PI()*D228),COMPLEX(2*PI()*'Stability Calculations'!EA_Pole1,0)))</f>
        <v>1+84633.6578576926i</v>
      </c>
      <c r="X228" s="734">
        <f t="shared" si="183"/>
        <v>84633.657863600412</v>
      </c>
      <c r="Y228" s="735">
        <f t="shared" si="184"/>
        <v>1.5707845111647412</v>
      </c>
      <c r="Z228" s="340" t="str">
        <f>IMSUM(COMPLEX(1,0),IMDIV(COMPLEX(0,2*PI()*D228),COMPLEX(2*PI()*'Stability Calculations'!EA_Zero1,0)))</f>
        <v>1+837.957008492006i</v>
      </c>
      <c r="AA228" s="734">
        <f t="shared" si="185"/>
        <v>837.95760518111649</v>
      </c>
      <c r="AB228" s="735">
        <f t="shared" si="186"/>
        <v>1.5696029487156531</v>
      </c>
      <c r="AC228" s="733" t="str">
        <f>IMSUM(COMPLEX(1,0),IMDIV(COMPLEX(0,2*PI()*D228),COMPLEX(2*PI()*'Stability Calculations'!EA_Pole2,0)))</f>
        <v>1+8.44112316184314i</v>
      </c>
      <c r="AD228" s="734">
        <f t="shared" si="187"/>
        <v>8.5001506006308354</v>
      </c>
      <c r="AE228" s="735">
        <f t="shared" si="188"/>
        <v>1.4528782737466601</v>
      </c>
      <c r="AF228" s="732" t="str">
        <f t="shared" si="189"/>
        <v>0.813998051816676-6.9412496711883i</v>
      </c>
      <c r="AG228" s="337">
        <f t="shared" si="190"/>
        <v>6.9888153378189228</v>
      </c>
      <c r="AH228" s="730">
        <f t="shared" si="191"/>
        <v>-1.4540598361957482</v>
      </c>
      <c r="AI228" s="731" t="str">
        <f t="shared" si="169"/>
        <v>10000</v>
      </c>
      <c r="AJ228" s="733" t="str">
        <f t="shared" si="192"/>
        <v>1+78901.8643282059i</v>
      </c>
      <c r="AK228" s="734">
        <f t="shared" si="193"/>
        <v>78901.864334542901</v>
      </c>
      <c r="AL228" s="735">
        <f t="shared" si="194"/>
        <v>1.5707836528231411</v>
      </c>
      <c r="AM228" s="340" t="str">
        <f t="shared" si="195"/>
        <v>1+133.905529957023i</v>
      </c>
      <c r="AN228" s="734">
        <f t="shared" si="196"/>
        <v>133.90926388070088</v>
      </c>
      <c r="AO228" s="735">
        <f t="shared" si="197"/>
        <v>1.5633285141448647</v>
      </c>
      <c r="AP228" s="733" t="str">
        <f t="shared" si="198"/>
        <v>1+6.49463892352019i</v>
      </c>
      <c r="AQ228" s="734">
        <f t="shared" si="199"/>
        <v>6.5711745332857738</v>
      </c>
      <c r="AR228" s="735">
        <f t="shared" si="200"/>
        <v>1.41802294292187</v>
      </c>
      <c r="AS228" s="732" t="str">
        <f t="shared" si="201"/>
        <v>0.0153995620198063-17.5496724541974i</v>
      </c>
      <c r="AT228" s="337">
        <f t="shared" si="202"/>
        <v>17.549679210633037</v>
      </c>
      <c r="AU228" s="730">
        <f t="shared" si="203"/>
        <v>-1.5699188427217576</v>
      </c>
      <c r="AV228" s="732" t="str">
        <f t="shared" si="204"/>
        <v>-1.94309935785751+0.0777881131787642i</v>
      </c>
      <c r="AW228" s="337">
        <f t="shared" si="205"/>
        <v>5.7768547784095068</v>
      </c>
      <c r="AX228" s="730">
        <f t="shared" si="206"/>
        <v>177.70750173123528</v>
      </c>
      <c r="AY228" s="360">
        <f t="shared" si="207"/>
        <v>-2.2924982687647173</v>
      </c>
      <c r="BB228" s="337">
        <f t="shared" si="208"/>
        <v>-15.114616351285326</v>
      </c>
      <c r="BC228" s="730">
        <f t="shared" si="209"/>
        <v>-89.949723866019184</v>
      </c>
      <c r="BD228" s="351"/>
      <c r="BE228" s="337">
        <f t="shared" si="170"/>
        <v>45.661265689197059</v>
      </c>
      <c r="BF228" s="730">
        <f t="shared" si="171"/>
        <v>-81.35633569241638</v>
      </c>
      <c r="BI228" s="351"/>
      <c r="BJ228" s="351"/>
      <c r="BL228" s="405">
        <f t="shared" si="172"/>
        <v>0</v>
      </c>
      <c r="BM228" s="405">
        <f t="shared" si="210"/>
        <v>0</v>
      </c>
      <c r="BN228" s="405">
        <f t="shared" si="173"/>
        <v>0</v>
      </c>
      <c r="BO228" s="405">
        <f t="shared" si="174"/>
        <v>0</v>
      </c>
    </row>
    <row r="229" spans="4:67" ht="13.5" thickBot="1" x14ac:dyDescent="0.25">
      <c r="D229" s="345">
        <v>13413.25</v>
      </c>
      <c r="E229" s="340" t="str">
        <f t="shared" si="161"/>
        <v>0.22249374924883i</v>
      </c>
      <c r="F229" s="728" t="str">
        <f t="shared" si="175"/>
        <v>0.005-0.194516424262277i</v>
      </c>
      <c r="G229" s="337" t="str">
        <f t="shared" si="176"/>
        <v>0.005-0.30424363794869i</v>
      </c>
      <c r="H229" s="338" t="str">
        <f t="shared" si="177"/>
        <v>0.0757407091260519-0.284135986864052i</v>
      </c>
      <c r="I229" s="338" t="str">
        <f t="shared" si="178"/>
        <v>0.0857407091260519-0.284135986864052i</v>
      </c>
      <c r="J229" s="337" t="str">
        <f t="shared" si="179"/>
        <v>0.0155333119962923-0.1175172527318i</v>
      </c>
      <c r="K229" s="338" t="str">
        <f t="shared" si="162"/>
        <v>0.998000941382639-0.0702316127679388i</v>
      </c>
      <c r="L229" s="732"/>
      <c r="M229" s="732" t="str">
        <f t="shared" si="163"/>
        <v>27.5869481435916-186.436811827541i</v>
      </c>
      <c r="N229" s="337">
        <f t="shared" si="164"/>
        <v>0</v>
      </c>
      <c r="O229" s="730" t="str">
        <f t="shared" si="165"/>
        <v>-1.11021948062317-75.2661938108753i</v>
      </c>
      <c r="P229" s="731" t="str">
        <f t="shared" si="166"/>
        <v>-21.4810252615082-6.13792352280076i</v>
      </c>
      <c r="Q229" s="729" t="str">
        <f t="shared" si="167"/>
        <v>-21.469923066702-5.38526158469201i</v>
      </c>
      <c r="R229" s="730"/>
      <c r="S229" s="405" t="str">
        <f t="shared" si="180"/>
        <v>39.6895139288113+0.155896664063322i</v>
      </c>
      <c r="T229" s="405" t="str">
        <f t="shared" si="181"/>
        <v>15.6555009417274-2.48994718960957i</v>
      </c>
      <c r="U229" s="405" t="str">
        <f t="shared" si="182"/>
        <v>0.47827514109092-4.63688157575624i</v>
      </c>
      <c r="V229" s="731" t="str">
        <f t="shared" si="168"/>
        <v>6000</v>
      </c>
      <c r="W229" s="733" t="str">
        <f>IMSUM(COMPLEX(1,0),IMDIV(COMPLEX(0,2*PI()*D229),COMPLEX(2*PI()*'Stability Calculations'!EA_Pole1,0)))</f>
        <v>1+85120.7146747419i</v>
      </c>
      <c r="X229" s="734">
        <f t="shared" si="183"/>
        <v>85120.7146806159</v>
      </c>
      <c r="Y229" s="735">
        <f t="shared" si="184"/>
        <v>1.5707845787732337</v>
      </c>
      <c r="Z229" s="340" t="str">
        <f>IMSUM(COMPLEX(1,0),IMDIV(COMPLEX(0,2*PI()*D229),COMPLEX(2*PI()*'Stability Calculations'!EA_Zero1,0)))</f>
        <v>1+842.779353215266i</v>
      </c>
      <c r="AA229" s="734">
        <f t="shared" si="185"/>
        <v>842.77994649015125</v>
      </c>
      <c r="AB229" s="735">
        <f t="shared" si="186"/>
        <v>1.5696097771637447</v>
      </c>
      <c r="AC229" s="733" t="str">
        <f>IMSUM(COMPLEX(1,0),IMDIV(COMPLEX(0,2*PI()*D229),COMPLEX(2*PI()*'Stability Calculations'!EA_Pole2,0)))</f>
        <v>1+8.48970083984497i</v>
      </c>
      <c r="AD229" s="734">
        <f t="shared" si="187"/>
        <v>8.5483928518794912</v>
      </c>
      <c r="AE229" s="735">
        <f t="shared" si="188"/>
        <v>1.4535468111209675</v>
      </c>
      <c r="AF229" s="732" t="str">
        <f t="shared" si="189"/>
        <v>0.804836495118978-6.902611296243i</v>
      </c>
      <c r="AG229" s="337">
        <f t="shared" si="190"/>
        <v>6.949374395648638</v>
      </c>
      <c r="AH229" s="730">
        <f t="shared" si="191"/>
        <v>-1.4547216127304565</v>
      </c>
      <c r="AI229" s="731" t="str">
        <f t="shared" si="169"/>
        <v>10000</v>
      </c>
      <c r="AJ229" s="733" t="str">
        <f t="shared" si="192"/>
        <v>1+79355.9353428791i</v>
      </c>
      <c r="AK229" s="734">
        <f t="shared" si="193"/>
        <v>79355.93534917981</v>
      </c>
      <c r="AL229" s="735">
        <f t="shared" si="194"/>
        <v>1.570783725343025</v>
      </c>
      <c r="AM229" s="340" t="str">
        <f t="shared" si="195"/>
        <v>1+134.676140643799i</v>
      </c>
      <c r="AN229" s="734">
        <f t="shared" si="196"/>
        <v>134.67985320272786</v>
      </c>
      <c r="AO229" s="735">
        <f t="shared" si="197"/>
        <v>1.56337124305057</v>
      </c>
      <c r="AP229" s="733" t="str">
        <f t="shared" si="198"/>
        <v>1+6.53201481205018i</v>
      </c>
      <c r="AQ229" s="734">
        <f t="shared" si="199"/>
        <v>6.6081175462337951</v>
      </c>
      <c r="AR229" s="735">
        <f t="shared" si="200"/>
        <v>1.4188836806061795</v>
      </c>
      <c r="AS229" s="732" t="str">
        <f t="shared" si="201"/>
        <v>0.0152238351747369-17.449254188348i</v>
      </c>
      <c r="AT229" s="337">
        <f t="shared" si="202"/>
        <v>17.449260829466034</v>
      </c>
      <c r="AU229" s="730">
        <f t="shared" si="203"/>
        <v>-1.5699238636427379</v>
      </c>
      <c r="AV229" s="732" t="str">
        <f t="shared" si="204"/>
        <v>-1.92067151555756+0.0783644074577287i</v>
      </c>
      <c r="AW229" s="337">
        <f t="shared" si="205"/>
        <v>5.6762855278580515</v>
      </c>
      <c r="AX229" s="730">
        <f t="shared" si="206"/>
        <v>177.66359795883858</v>
      </c>
      <c r="AY229" s="360">
        <f t="shared" si="207"/>
        <v>-2.3364020411614206</v>
      </c>
      <c r="BB229" s="337">
        <f t="shared" si="208"/>
        <v>-15.164459310466619</v>
      </c>
      <c r="BC229" s="730">
        <f t="shared" si="209"/>
        <v>-89.950011543600638</v>
      </c>
      <c r="BD229" s="351"/>
      <c r="BE229" s="337">
        <f t="shared" si="170"/>
        <v>45.504695887717091</v>
      </c>
      <c r="BF229" s="730">
        <f t="shared" si="171"/>
        <v>-81.58305130908812</v>
      </c>
      <c r="BI229" s="351"/>
      <c r="BJ229" s="351"/>
      <c r="BL229" s="405">
        <f t="shared" si="172"/>
        <v>0</v>
      </c>
      <c r="BM229" s="405">
        <f t="shared" si="210"/>
        <v>0</v>
      </c>
      <c r="BN229" s="405">
        <f t="shared" si="173"/>
        <v>0</v>
      </c>
      <c r="BO229" s="405">
        <f t="shared" si="174"/>
        <v>0</v>
      </c>
    </row>
    <row r="230" spans="4:67" ht="13.5" thickBot="1" x14ac:dyDescent="0.25">
      <c r="D230" s="345">
        <v>13490</v>
      </c>
      <c r="E230" s="340" t="str">
        <f t="shared" si="161"/>
        <v>0.223766848255771i</v>
      </c>
      <c r="F230" s="728" t="str">
        <f t="shared" si="175"/>
        <v>0.005-0.193409742604595i</v>
      </c>
      <c r="G230" s="337" t="str">
        <f t="shared" si="176"/>
        <v>0.005-0.302512674330265i</v>
      </c>
      <c r="H230" s="338" t="str">
        <f t="shared" si="177"/>
        <v>0.0749842088542258-0.282706750517428i</v>
      </c>
      <c r="I230" s="338" t="str">
        <f t="shared" si="178"/>
        <v>0.0849842088542258-0.282706750517428i</v>
      </c>
      <c r="J230" s="337" t="str">
        <f t="shared" si="179"/>
        <v>0.0154051503350664-0.116861188122731i</v>
      </c>
      <c r="K230" s="338" t="str">
        <f t="shared" si="162"/>
        <v>0.997977998888889-0.0706334748282105i</v>
      </c>
      <c r="L230" s="732"/>
      <c r="M230" s="732" t="str">
        <f t="shared" si="163"/>
        <v>26.4100240288963-183.275137959012i</v>
      </c>
      <c r="N230" s="337">
        <f t="shared" si="164"/>
        <v>0</v>
      </c>
      <c r="O230" s="730" t="str">
        <f t="shared" si="165"/>
        <v>-1.31832589186036-73.9241743026914i</v>
      </c>
      <c r="P230" s="731" t="str">
        <f t="shared" si="166"/>
        <v>-21.0108999847297-5.90968783930531i</v>
      </c>
      <c r="Q230" s="729" t="str">
        <f t="shared" si="167"/>
        <v>-20.9977167258111-5.17044609627841i</v>
      </c>
      <c r="R230" s="730"/>
      <c r="S230" s="405" t="str">
        <f t="shared" si="180"/>
        <v>39.6938306646506+0.123785387998004i</v>
      </c>
      <c r="T230" s="405" t="str">
        <f t="shared" si="181"/>
        <v>15.6524574287202-2.4911204760338i</v>
      </c>
      <c r="U230" s="405" t="str">
        <f t="shared" si="182"/>
        <v>0.469430561990092-4.61185007534183i</v>
      </c>
      <c r="V230" s="731" t="str">
        <f t="shared" si="168"/>
        <v>6000</v>
      </c>
      <c r="W230" s="733" t="str">
        <f>IMSUM(COMPLEX(1,0),IMDIV(COMPLEX(0,2*PI()*D230),COMPLEX(2*PI()*'Stability Calculations'!EA_Pole1,0)))</f>
        <v>1+85607.7714917911i</v>
      </c>
      <c r="X230" s="734">
        <f t="shared" si="183"/>
        <v>85607.771497631693</v>
      </c>
      <c r="Y230" s="735">
        <f t="shared" si="184"/>
        <v>1.570784645612423</v>
      </c>
      <c r="Z230" s="340" t="str">
        <f>IMSUM(COMPLEX(1,0),IMDIV(COMPLEX(0,2*PI()*D230),COMPLEX(2*PI()*'Stability Calculations'!EA_Zero1,0)))</f>
        <v>1+847.601697938526i</v>
      </c>
      <c r="AA230" s="734">
        <f t="shared" si="185"/>
        <v>847.60228783803552</v>
      </c>
      <c r="AB230" s="735">
        <f t="shared" si="186"/>
        <v>1.5696165279124061</v>
      </c>
      <c r="AC230" s="733" t="str">
        <f>IMSUM(COMPLEX(1,0),IMDIV(COMPLEX(0,2*PI()*D230),COMPLEX(2*PI()*'Stability Calculations'!EA_Pole2,0)))</f>
        <v>1+8.5382785178468i</v>
      </c>
      <c r="AD230" s="734">
        <f t="shared" si="187"/>
        <v>8.5966388808838641</v>
      </c>
      <c r="AE230" s="735">
        <f t="shared" si="188"/>
        <v>1.4542078448613693</v>
      </c>
      <c r="AF230" s="732" t="str">
        <f t="shared" si="189"/>
        <v>0.79582804316424-6.86439464805252i</v>
      </c>
      <c r="AG230" s="337">
        <f t="shared" si="190"/>
        <v>6.9103730838861877</v>
      </c>
      <c r="AH230" s="730">
        <f t="shared" si="191"/>
        <v>-1.455375962561386</v>
      </c>
      <c r="AI230" s="731" t="str">
        <f t="shared" si="169"/>
        <v>10000</v>
      </c>
      <c r="AJ230" s="733" t="str">
        <f t="shared" si="192"/>
        <v>1+79810.0063575523i</v>
      </c>
      <c r="AK230" s="734">
        <f t="shared" si="193"/>
        <v>79810.00636381717</v>
      </c>
      <c r="AL230" s="735">
        <f t="shared" si="194"/>
        <v>1.5707837970377196</v>
      </c>
      <c r="AM230" s="340" t="str">
        <f t="shared" si="195"/>
        <v>1+135.446751330576i</v>
      </c>
      <c r="AN230" s="734">
        <f t="shared" si="196"/>
        <v>135.45044276785106</v>
      </c>
      <c r="AO230" s="735">
        <f t="shared" si="197"/>
        <v>1.5634134857792941</v>
      </c>
      <c r="AP230" s="733" t="str">
        <f t="shared" si="198"/>
        <v>1+6.56939070058016i</v>
      </c>
      <c r="AQ230" s="734">
        <f t="shared" si="199"/>
        <v>6.6450654004960032</v>
      </c>
      <c r="AR230" s="735">
        <f t="shared" si="200"/>
        <v>1.419734847177859</v>
      </c>
      <c r="AS230" s="732" t="str">
        <f t="shared" si="201"/>
        <v>0.0150510991269765-17.3499785591783i</v>
      </c>
      <c r="AT230" s="337">
        <f t="shared" si="202"/>
        <v>17.349985087588163</v>
      </c>
      <c r="AU230" s="730">
        <f t="shared" si="203"/>
        <v>-1.5699288274317105</v>
      </c>
      <c r="AV230" s="732" t="str">
        <f t="shared" si="204"/>
        <v>-1.8986285687115+0.0789153623577542i</v>
      </c>
      <c r="AW230" s="337">
        <f t="shared" si="205"/>
        <v>5.5762966246077861</v>
      </c>
      <c r="AX230" s="730">
        <f t="shared" si="206"/>
        <v>177.61990513490522</v>
      </c>
      <c r="AY230" s="360">
        <f t="shared" si="207"/>
        <v>-2.380094865094776</v>
      </c>
      <c r="BB230" s="337">
        <f t="shared" si="208"/>
        <v>-15.214017883030957</v>
      </c>
      <c r="BC230" s="730">
        <f t="shared" si="209"/>
        <v>-89.950295947759145</v>
      </c>
      <c r="BD230" s="351"/>
      <c r="BE230" s="337">
        <f t="shared" si="170"/>
        <v>45.351328511630975</v>
      </c>
      <c r="BF230" s="730">
        <f t="shared" si="171"/>
        <v>-81.800100086895341</v>
      </c>
      <c r="BI230" s="351"/>
      <c r="BJ230" s="351"/>
      <c r="BL230" s="405">
        <f t="shared" si="172"/>
        <v>0</v>
      </c>
      <c r="BM230" s="405">
        <f t="shared" si="210"/>
        <v>0</v>
      </c>
      <c r="BN230" s="405">
        <f t="shared" si="173"/>
        <v>0</v>
      </c>
      <c r="BO230" s="405">
        <f t="shared" si="174"/>
        <v>0</v>
      </c>
    </row>
    <row r="231" spans="4:67" ht="13.5" thickBot="1" x14ac:dyDescent="0.25">
      <c r="D231" s="345">
        <v>13568.5</v>
      </c>
      <c r="E231" s="340" t="str">
        <f t="shared" si="161"/>
        <v>0.225068975578831i</v>
      </c>
      <c r="F231" s="728" t="str">
        <f t="shared" si="175"/>
        <v>0.005-0.192290778474849i</v>
      </c>
      <c r="G231" s="337" t="str">
        <f t="shared" si="176"/>
        <v>0.005-0.30076249966579i</v>
      </c>
      <c r="H231" s="338" t="str">
        <f t="shared" si="177"/>
        <v>0.0742226891533438-0.281258640986386i</v>
      </c>
      <c r="I231" s="338" t="str">
        <f t="shared" si="178"/>
        <v>0.0842226891533438-0.281258640986386i</v>
      </c>
      <c r="J231" s="337" t="str">
        <f t="shared" si="179"/>
        <v>0.0152762822324198-0.116197630705426i</v>
      </c>
      <c r="K231" s="338" t="str">
        <f t="shared" si="162"/>
        <v>0.997954397863889-0.0710444998670552i</v>
      </c>
      <c r="L231" s="732"/>
      <c r="M231" s="732" t="str">
        <f t="shared" si="163"/>
        <v>25.2786023590844-180.156100383699i</v>
      </c>
      <c r="N231" s="337">
        <f t="shared" si="164"/>
        <v>0</v>
      </c>
      <c r="O231" s="730" t="str">
        <f t="shared" si="165"/>
        <v>-1.51240018956058-72.6028202190731i</v>
      </c>
      <c r="P231" s="731" t="str">
        <f t="shared" si="166"/>
        <v>-20.5475489576363-5.68942913702374i</v>
      </c>
      <c r="Q231" s="729" t="str">
        <f t="shared" si="167"/>
        <v>-20.5324249557407-4.96340093483302i</v>
      </c>
      <c r="R231" s="730"/>
      <c r="S231" s="405" t="str">
        <f t="shared" si="180"/>
        <v>39.6981423451346+0.0911132107897322i</v>
      </c>
      <c r="T231" s="405" t="str">
        <f t="shared" si="181"/>
        <v>15.6493774877422-2.49238738887526i</v>
      </c>
      <c r="U231" s="405" t="str">
        <f t="shared" si="182"/>
        <v>0.46053339090936-4.58651433889952i</v>
      </c>
      <c r="V231" s="731" t="str">
        <f t="shared" si="168"/>
        <v>6000</v>
      </c>
      <c r="W231" s="733" t="str">
        <f>IMSUM(COMPLEX(1,0),IMDIV(COMPLEX(0,2*PI()*D231),COMPLEX(2*PI()*'Stability Calculations'!EA_Pole1,0)))</f>
        <v>1+86105.9338388709i</v>
      </c>
      <c r="X231" s="734">
        <f t="shared" si="183"/>
        <v>86105.933844677696</v>
      </c>
      <c r="Y231" s="735">
        <f t="shared" si="184"/>
        <v>1.5707847131934249</v>
      </c>
      <c r="Z231" s="340" t="str">
        <f>IMSUM(COMPLEX(1,0),IMDIV(COMPLEX(0,2*PI()*D231),COMPLEX(2*PI()*'Stability Calculations'!EA_Zero1,0)))</f>
        <v>1+852.533998404662i</v>
      </c>
      <c r="AA231" s="734">
        <f t="shared" si="185"/>
        <v>852.53458489133459</v>
      </c>
      <c r="AB231" s="735">
        <f t="shared" si="186"/>
        <v>1.5696233535841517</v>
      </c>
      <c r="AC231" s="733" t="str">
        <f>IMSUM(COMPLEX(1,0),IMDIV(COMPLEX(0,2*PI()*D231),COMPLEX(2*PI()*'Stability Calculations'!EA_Pole2,0)))</f>
        <v>1+8.58796383020047i</v>
      </c>
      <c r="AD231" s="734">
        <f t="shared" si="187"/>
        <v>8.6459888242370262</v>
      </c>
      <c r="AE231" s="735">
        <f t="shared" si="188"/>
        <v>1.4548763191430287</v>
      </c>
      <c r="AF231" s="732" t="str">
        <f t="shared" si="189"/>
        <v>0.786769048274388-6.82573582120674i</v>
      </c>
      <c r="AG231" s="337">
        <f t="shared" si="190"/>
        <v>6.8709297068320696</v>
      </c>
      <c r="AH231" s="730">
        <f t="shared" si="191"/>
        <v>-1.4560376787523024</v>
      </c>
      <c r="AI231" s="731" t="str">
        <f t="shared" si="169"/>
        <v>10000</v>
      </c>
      <c r="AJ231" s="733" t="str">
        <f t="shared" si="192"/>
        <v>1+80274.4307829836i</v>
      </c>
      <c r="AK231" s="734">
        <f t="shared" si="193"/>
        <v>80274.430789212231</v>
      </c>
      <c r="AL231" s="735">
        <f t="shared" si="194"/>
        <v>1.5707838695281158</v>
      </c>
      <c r="AM231" s="340" t="str">
        <f t="shared" si="195"/>
        <v>1+136.234932945065i</v>
      </c>
      <c r="AN231" s="734">
        <f t="shared" si="196"/>
        <v>136.23860302625812</v>
      </c>
      <c r="AO231" s="735">
        <f t="shared" si="197"/>
        <v>1.5634561973644221</v>
      </c>
      <c r="AP231" s="733" t="str">
        <f t="shared" si="198"/>
        <v>1+6.60761880806686i</v>
      </c>
      <c r="AQ231" s="734">
        <f t="shared" si="199"/>
        <v>6.6828606384331337</v>
      </c>
      <c r="AR231" s="735">
        <f t="shared" si="200"/>
        <v>1.4205956846982493</v>
      </c>
      <c r="AS231" s="732" t="str">
        <f t="shared" si="201"/>
        <v>0.0148774480067205-17.2496011199086i</v>
      </c>
      <c r="AT231" s="337">
        <f t="shared" si="202"/>
        <v>17.249607535663277</v>
      </c>
      <c r="AU231" s="730">
        <f t="shared" si="203"/>
        <v>-1.5699338463111843</v>
      </c>
      <c r="AV231" s="732" t="str">
        <f t="shared" si="204"/>
        <v>-1.87647204125197+0.0794535925185977i</v>
      </c>
      <c r="AW231" s="337">
        <f t="shared" si="205"/>
        <v>5.4746212173047351</v>
      </c>
      <c r="AX231" s="730">
        <f t="shared" si="206"/>
        <v>177.57542996408827</v>
      </c>
      <c r="AY231" s="360">
        <f t="shared" si="207"/>
        <v>-2.4245700359117279</v>
      </c>
      <c r="BB231" s="337">
        <f t="shared" si="208"/>
        <v>-15.264415631564574</v>
      </c>
      <c r="BC231" s="730">
        <f t="shared" si="209"/>
        <v>-89.950583508370883</v>
      </c>
      <c r="BD231" s="351"/>
      <c r="BE231" s="337">
        <f t="shared" si="170"/>
        <v>45.197653805654539</v>
      </c>
      <c r="BF231" s="730">
        <f t="shared" si="171"/>
        <v>-82.012689415498571</v>
      </c>
      <c r="BI231" s="351"/>
      <c r="BJ231" s="351"/>
      <c r="BL231" s="405">
        <f t="shared" si="172"/>
        <v>0</v>
      </c>
      <c r="BM231" s="405">
        <f t="shared" si="210"/>
        <v>0</v>
      </c>
      <c r="BN231" s="405">
        <f t="shared" si="173"/>
        <v>0</v>
      </c>
      <c r="BO231" s="405">
        <f t="shared" si="174"/>
        <v>0</v>
      </c>
    </row>
    <row r="232" spans="4:67" ht="13.5" thickBot="1" x14ac:dyDescent="0.25">
      <c r="D232" s="345">
        <v>13647</v>
      </c>
      <c r="E232" s="340" t="str">
        <f t="shared" si="161"/>
        <v>0.226371102901891i</v>
      </c>
      <c r="F232" s="728" t="str">
        <f t="shared" si="175"/>
        <v>0.005-0.191184687311203i</v>
      </c>
      <c r="G232" s="337" t="str">
        <f t="shared" si="176"/>
        <v>0.005-0.2990324596406i</v>
      </c>
      <c r="H232" s="338" t="str">
        <f t="shared" si="177"/>
        <v>0.0734732823458772-0.279824226105027i</v>
      </c>
      <c r="I232" s="338" t="str">
        <f t="shared" si="178"/>
        <v>0.0834732823458772-0.279824226105027i</v>
      </c>
      <c r="J232" s="337" t="str">
        <f t="shared" si="179"/>
        <v>0.0151496046613494-0.115541499234431i</v>
      </c>
      <c r="K232" s="338" t="str">
        <f t="shared" si="162"/>
        <v>0.9979306599-0.0714555249058998i</v>
      </c>
      <c r="L232" s="732"/>
      <c r="M232" s="732" t="str">
        <f t="shared" si="163"/>
        <v>24.2147428653092-177.147220317803i</v>
      </c>
      <c r="N232" s="337">
        <f t="shared" si="164"/>
        <v>0</v>
      </c>
      <c r="O232" s="730" t="str">
        <f t="shared" si="165"/>
        <v>-1.68918623912327-71.330527729149i</v>
      </c>
      <c r="P232" s="731" t="str">
        <f t="shared" si="166"/>
        <v>-20.1010116393454-5.48151804890575i</v>
      </c>
      <c r="Q232" s="729" t="str">
        <f t="shared" si="167"/>
        <v>-20.0841197769542-4.76821277161427i</v>
      </c>
      <c r="R232" s="730"/>
      <c r="S232" s="405" t="str">
        <f t="shared" si="180"/>
        <v>39.7023514716936+0.058611643310316i</v>
      </c>
      <c r="T232" s="405" t="str">
        <f t="shared" si="181"/>
        <v>15.646330059414-2.49372089892452i</v>
      </c>
      <c r="U232" s="405" t="str">
        <f t="shared" si="182"/>
        <v>0.451783705468628-4.56144405995786i</v>
      </c>
      <c r="V232" s="731" t="str">
        <f t="shared" si="168"/>
        <v>6000</v>
      </c>
      <c r="W232" s="733" t="str">
        <f>IMSUM(COMPLEX(1,0),IMDIV(COMPLEX(0,2*PI()*D232),COMPLEX(2*PI()*'Stability Calculations'!EA_Pole1,0)))</f>
        <v>1+86604.0961859506i</v>
      </c>
      <c r="X232" s="734">
        <f t="shared" si="183"/>
        <v>86604.096191724006</v>
      </c>
      <c r="Y232" s="735">
        <f t="shared" si="184"/>
        <v>1.5707847799969505</v>
      </c>
      <c r="Z232" s="340" t="str">
        <f>IMSUM(COMPLEX(1,0),IMDIV(COMPLEX(0,2*PI()*D232),COMPLEX(2*PI()*'Stability Calculations'!EA_Zero1,0)))</f>
        <v>1+857.466298870798i</v>
      </c>
      <c r="AA232" s="734">
        <f t="shared" si="185"/>
        <v>857.46688198389597</v>
      </c>
      <c r="AB232" s="735">
        <f t="shared" si="186"/>
        <v>1.5696301007310201</v>
      </c>
      <c r="AC232" s="733" t="str">
        <f>IMSUM(COMPLEX(1,0),IMDIV(COMPLEX(0,2*PI()*D232),COMPLEX(2*PI()*'Stability Calculations'!EA_Pole2,0)))</f>
        <v>1+8.63764914255414i</v>
      </c>
      <c r="AD232" s="734">
        <f t="shared" si="187"/>
        <v>8.6953425872628092</v>
      </c>
      <c r="AE232" s="735">
        <f t="shared" si="188"/>
        <v>1.4555372053511626</v>
      </c>
      <c r="AF232" s="732" t="str">
        <f t="shared" si="189"/>
        <v>0.777863173442352-6.78750401238588i</v>
      </c>
      <c r="AG232" s="337">
        <f t="shared" si="190"/>
        <v>6.8319310472773518</v>
      </c>
      <c r="AH232" s="730">
        <f t="shared" si="191"/>
        <v>-1.4566918846170933</v>
      </c>
      <c r="AI232" s="731" t="str">
        <f t="shared" si="169"/>
        <v>10000</v>
      </c>
      <c r="AJ232" s="733" t="str">
        <f t="shared" si="192"/>
        <v>1+80738.8552084149i</v>
      </c>
      <c r="AK232" s="734">
        <f t="shared" si="193"/>
        <v>80738.855214607713</v>
      </c>
      <c r="AL232" s="735">
        <f t="shared" si="194"/>
        <v>1.5707839411845561</v>
      </c>
      <c r="AM232" s="340" t="str">
        <f t="shared" si="195"/>
        <v>1+137.023114559554i</v>
      </c>
      <c r="AN232" s="734">
        <f t="shared" si="196"/>
        <v>137.02676353034343</v>
      </c>
      <c r="AO232" s="735">
        <f t="shared" si="197"/>
        <v>1.5634984176064228</v>
      </c>
      <c r="AP232" s="733" t="str">
        <f t="shared" si="198"/>
        <v>1+6.64584691555356i</v>
      </c>
      <c r="AQ232" s="734">
        <f t="shared" si="199"/>
        <v>6.7206607729428489</v>
      </c>
      <c r="AR232" s="735">
        <f t="shared" si="200"/>
        <v>1.4214468393390873</v>
      </c>
      <c r="AS232" s="732" t="str">
        <f t="shared" si="201"/>
        <v>0.0147067848741355-17.150378456267i</v>
      </c>
      <c r="AT232" s="337">
        <f t="shared" si="202"/>
        <v>17.150384761943638</v>
      </c>
      <c r="AU232" s="730">
        <f t="shared" si="203"/>
        <v>-1.5699388074517049</v>
      </c>
      <c r="AV232" s="732" t="str">
        <f t="shared" si="204"/>
        <v>-1.85469988749828+0.0799671569024289i</v>
      </c>
      <c r="AW232" s="337">
        <f t="shared" si="205"/>
        <v>5.3735388892971727</v>
      </c>
      <c r="AX232" s="730">
        <f t="shared" si="206"/>
        <v>177.53116683247407</v>
      </c>
      <c r="AY232" s="360">
        <f t="shared" si="207"/>
        <v>-2.4688331675259292</v>
      </c>
      <c r="BB232" s="337">
        <f t="shared" si="208"/>
        <v>-15.314522645818352</v>
      </c>
      <c r="BC232" s="730">
        <f t="shared" si="209"/>
        <v>-89.950867760784291</v>
      </c>
      <c r="BD232" s="351"/>
      <c r="BE232" s="337">
        <f t="shared" si="170"/>
        <v>45.04708557534628</v>
      </c>
      <c r="BF232" s="730">
        <f t="shared" si="171"/>
        <v>-82.216321530230701</v>
      </c>
      <c r="BI232" s="351"/>
      <c r="BJ232" s="351"/>
      <c r="BL232" s="405">
        <f t="shared" si="172"/>
        <v>0</v>
      </c>
      <c r="BM232" s="405">
        <f t="shared" si="210"/>
        <v>0</v>
      </c>
      <c r="BN232" s="405">
        <f t="shared" si="173"/>
        <v>0</v>
      </c>
      <c r="BO232" s="405">
        <f t="shared" si="174"/>
        <v>0</v>
      </c>
    </row>
    <row r="233" spans="4:67" ht="13.5" thickBot="1" x14ac:dyDescent="0.25">
      <c r="D233" s="345">
        <v>13725.5</v>
      </c>
      <c r="E233" s="340" t="str">
        <f t="shared" si="161"/>
        <v>0.227673230224951i</v>
      </c>
      <c r="F233" s="728" t="str">
        <f t="shared" si="175"/>
        <v>0.005-0.190091248241302i</v>
      </c>
      <c r="G233" s="337" t="str">
        <f t="shared" si="176"/>
        <v>0.005-0.297322208787678i</v>
      </c>
      <c r="H233" s="338" t="str">
        <f t="shared" si="177"/>
        <v>0.0727357382343233-0.278403331794306i</v>
      </c>
      <c r="I233" s="338" t="str">
        <f t="shared" si="178"/>
        <v>0.0827357382343233-0.278403331794306i</v>
      </c>
      <c r="J233" s="337" t="str">
        <f t="shared" si="179"/>
        <v>0.0150250683986278-0.114892670963299i</v>
      </c>
      <c r="K233" s="338" t="str">
        <f t="shared" si="162"/>
        <v>0.997906784997222-0.0718665499447445i</v>
      </c>
      <c r="L233" s="732"/>
      <c r="M233" s="732" t="str">
        <f t="shared" si="163"/>
        <v>23.2133300522438-174.242956914357i</v>
      </c>
      <c r="N233" s="337">
        <f t="shared" si="164"/>
        <v>0</v>
      </c>
      <c r="O233" s="730" t="str">
        <f t="shared" si="165"/>
        <v>-1.85022499329431-70.1046822540866i</v>
      </c>
      <c r="P233" s="731" t="str">
        <f t="shared" si="166"/>
        <v>-19.6704568446386-5.28505383727228i</v>
      </c>
      <c r="Q233" s="729" t="str">
        <f t="shared" si="167"/>
        <v>-19.6519545947056-4.58400701473142i</v>
      </c>
      <c r="R233" s="730"/>
      <c r="S233" s="405" t="str">
        <f t="shared" si="180"/>
        <v>39.7064600986365+0.0262781174858926i</v>
      </c>
      <c r="T233" s="405" t="str">
        <f t="shared" si="181"/>
        <v>15.6433143327841-2.49511998768914i</v>
      </c>
      <c r="U233" s="405" t="str">
        <f t="shared" si="182"/>
        <v>0.4431782986274-4.53663522484048i</v>
      </c>
      <c r="V233" s="731" t="str">
        <f t="shared" si="168"/>
        <v>6000</v>
      </c>
      <c r="W233" s="733" t="str">
        <f>IMSUM(COMPLEX(1,0),IMDIV(COMPLEX(0,2*PI()*D233),COMPLEX(2*PI()*'Stability Calculations'!EA_Pole1,0)))</f>
        <v>1+87102.2585330303i</v>
      </c>
      <c r="X233" s="734">
        <f t="shared" si="183"/>
        <v>87102.258538770679</v>
      </c>
      <c r="Y233" s="735">
        <f t="shared" si="184"/>
        <v>1.5707848460363401</v>
      </c>
      <c r="Z233" s="340" t="str">
        <f>IMSUM(COMPLEX(1,0),IMDIV(COMPLEX(0,2*PI()*D233),COMPLEX(2*PI()*'Stability Calculations'!EA_Zero1,0)))</f>
        <v>1+862.398599336934i</v>
      </c>
      <c r="AA233" s="734">
        <f t="shared" si="185"/>
        <v>862.39917911504619</v>
      </c>
      <c r="AB233" s="735">
        <f t="shared" si="186"/>
        <v>1.5696367707003265</v>
      </c>
      <c r="AC233" s="733" t="str">
        <f>IMSUM(COMPLEX(1,0),IMDIV(COMPLEX(0,2*PI()*D233),COMPLEX(2*PI()*'Stability Calculations'!EA_Pole2,0)))</f>
        <v>1+8.6873344549078i</v>
      </c>
      <c r="AD233" s="734">
        <f t="shared" si="187"/>
        <v>8.7447001052882438</v>
      </c>
      <c r="AE233" s="735">
        <f t="shared" si="188"/>
        <v>1.4561906313911048</v>
      </c>
      <c r="AF233" s="732" t="str">
        <f t="shared" si="189"/>
        <v>0.769107002467494-6.74969228811978i</v>
      </c>
      <c r="AG233" s="337">
        <f t="shared" si="190"/>
        <v>6.7933696767913458</v>
      </c>
      <c r="AH233" s="730">
        <f t="shared" si="191"/>
        <v>-1.457338706727118</v>
      </c>
      <c r="AI233" s="731" t="str">
        <f t="shared" si="169"/>
        <v>10000</v>
      </c>
      <c r="AJ233" s="733" t="str">
        <f t="shared" si="192"/>
        <v>1+81203.2796338461i</v>
      </c>
      <c r="AK233" s="734">
        <f t="shared" si="193"/>
        <v>81203.2796400035</v>
      </c>
      <c r="AL233" s="735">
        <f t="shared" si="194"/>
        <v>1.5707840120213499</v>
      </c>
      <c r="AM233" s="340" t="str">
        <f t="shared" si="195"/>
        <v>1+137.811296174042i</v>
      </c>
      <c r="AN233" s="734">
        <f t="shared" si="196"/>
        <v>137.81492427589083</v>
      </c>
      <c r="AO233" s="735">
        <f t="shared" si="197"/>
        <v>1.5635401549350889</v>
      </c>
      <c r="AP233" s="733" t="str">
        <f t="shared" si="198"/>
        <v>1+6.68407502304025i</v>
      </c>
      <c r="AQ233" s="734">
        <f t="shared" si="199"/>
        <v>6.7584657218654671</v>
      </c>
      <c r="AR233" s="735">
        <f t="shared" si="200"/>
        <v>1.4222884723465306</v>
      </c>
      <c r="AS233" s="732" t="str">
        <f t="shared" si="201"/>
        <v>0.0145390415685849-17.0522907548508i</v>
      </c>
      <c r="AT233" s="337">
        <f t="shared" si="202"/>
        <v>17.052296952953288</v>
      </c>
      <c r="AU233" s="730">
        <f t="shared" si="203"/>
        <v>-1.5699437118439472</v>
      </c>
      <c r="AV233" s="732" t="str">
        <f t="shared" si="204"/>
        <v>-1.83330326153693+0.0804569335190689i</v>
      </c>
      <c r="AW233" s="337">
        <f t="shared" si="205"/>
        <v>5.2730427278104708</v>
      </c>
      <c r="AX233" s="730">
        <f t="shared" si="206"/>
        <v>177.48711154219001</v>
      </c>
      <c r="AY233" s="360">
        <f t="shared" si="207"/>
        <v>-2.5128884578099928</v>
      </c>
      <c r="BB233" s="337">
        <f t="shared" si="208"/>
        <v>-15.364342260931981</v>
      </c>
      <c r="BC233" s="730">
        <f t="shared" si="209"/>
        <v>-89.951148761760848</v>
      </c>
      <c r="BD233" s="351"/>
      <c r="BE233" s="337">
        <f t="shared" si="170"/>
        <v>44.899509842859324</v>
      </c>
      <c r="BF233" s="730">
        <f t="shared" si="171"/>
        <v>-82.411516044232584</v>
      </c>
      <c r="BI233" s="351"/>
      <c r="BJ233" s="351"/>
      <c r="BL233" s="405">
        <f t="shared" si="172"/>
        <v>0</v>
      </c>
      <c r="BM233" s="405">
        <f t="shared" si="210"/>
        <v>0</v>
      </c>
      <c r="BN233" s="405">
        <f t="shared" si="173"/>
        <v>0</v>
      </c>
      <c r="BO233" s="405">
        <f t="shared" si="174"/>
        <v>0</v>
      </c>
    </row>
    <row r="234" spans="4:67" ht="13.5" thickBot="1" x14ac:dyDescent="0.25">
      <c r="D234" s="345">
        <v>13804</v>
      </c>
      <c r="E234" s="340" t="str">
        <f t="shared" si="161"/>
        <v>0.228975357548011i</v>
      </c>
      <c r="F234" s="728" t="str">
        <f t="shared" si="175"/>
        <v>0.005-0.18901024541698i</v>
      </c>
      <c r="G234" s="337" t="str">
        <f t="shared" si="176"/>
        <v>0.005-0.295631409498353i</v>
      </c>
      <c r="H234" s="338" t="str">
        <f t="shared" si="177"/>
        <v>0.0720098129028083-0.276995786414864i</v>
      </c>
      <c r="I234" s="338" t="str">
        <f t="shared" si="178"/>
        <v>0.0820098129028083-0.276995786414864i</v>
      </c>
      <c r="J234" s="337" t="str">
        <f t="shared" si="179"/>
        <v>0.0149026255917455-0.11425102580848i</v>
      </c>
      <c r="K234" s="338" t="str">
        <f t="shared" si="162"/>
        <v>0.997882773155556-0.0722775749835892i</v>
      </c>
      <c r="L234" s="732"/>
      <c r="M234" s="732" t="str">
        <f t="shared" si="163"/>
        <v>22.2697134251621-171.438111694071i</v>
      </c>
      <c r="N234" s="337">
        <f t="shared" si="164"/>
        <v>0</v>
      </c>
      <c r="O234" s="730" t="str">
        <f t="shared" si="165"/>
        <v>-1.99690367131903-68.9228434595832i</v>
      </c>
      <c r="P234" s="731" t="str">
        <f t="shared" si="166"/>
        <v>-19.2551029225057-5.09921559401823i</v>
      </c>
      <c r="Q234" s="729" t="str">
        <f t="shared" si="167"/>
        <v>-19.2351338857925-4.40998715942239i</v>
      </c>
      <c r="R234" s="730"/>
      <c r="S234" s="405" t="str">
        <f t="shared" si="180"/>
        <v>39.7104702252721-0.00588988549069576i</v>
      </c>
      <c r="T234" s="405" t="str">
        <f t="shared" si="181"/>
        <v>15.6403295186184-2.49658365612912i</v>
      </c>
      <c r="U234" s="405" t="str">
        <f t="shared" si="182"/>
        <v>0.434714049193995-4.51208389677139i</v>
      </c>
      <c r="V234" s="731" t="str">
        <f t="shared" si="168"/>
        <v>6000</v>
      </c>
      <c r="W234" s="733" t="str">
        <f>IMSUM(COMPLEX(1,0),IMDIV(COMPLEX(0,2*PI()*D234),COMPLEX(2*PI()*'Stability Calculations'!EA_Pole1,0)))</f>
        <v>1+87600.4208801101i</v>
      </c>
      <c r="X234" s="734">
        <f t="shared" si="183"/>
        <v>87600.420885817832</v>
      </c>
      <c r="Y234" s="735">
        <f t="shared" si="184"/>
        <v>1.5707849113246293</v>
      </c>
      <c r="Z234" s="340" t="str">
        <f>IMSUM(COMPLEX(1,0),IMDIV(COMPLEX(0,2*PI()*D234),COMPLEX(2*PI()*'Stability Calculations'!EA_Zero1,0)))</f>
        <v>1+867.33089980307i</v>
      </c>
      <c r="AA234" s="734">
        <f t="shared" si="185"/>
        <v>867.33147628412689</v>
      </c>
      <c r="AB234" s="735">
        <f t="shared" si="186"/>
        <v>1.5696433648087389</v>
      </c>
      <c r="AC234" s="733" t="str">
        <f>IMSUM(COMPLEX(1,0),IMDIV(COMPLEX(0,2*PI()*D234),COMPLEX(2*PI()*'Stability Calculations'!EA_Pole2,0)))</f>
        <v>1+8.73701976726147i</v>
      </c>
      <c r="AD234" s="734">
        <f t="shared" si="187"/>
        <v>8.794061315087454</v>
      </c>
      <c r="AE234" s="735">
        <f t="shared" si="188"/>
        <v>1.4568367223222611</v>
      </c>
      <c r="AF234" s="732" t="str">
        <f t="shared" si="189"/>
        <v>0.760497213467148-6.71229386185884i</v>
      </c>
      <c r="AG234" s="337">
        <f t="shared" si="190"/>
        <v>6.7552383303358852</v>
      </c>
      <c r="AH234" s="730">
        <f t="shared" si="191"/>
        <v>-1.4579782688381511</v>
      </c>
      <c r="AI234" s="731" t="str">
        <f t="shared" si="169"/>
        <v>10000</v>
      </c>
      <c r="AJ234" s="733" t="str">
        <f t="shared" si="192"/>
        <v>1+81667.7040592774i</v>
      </c>
      <c r="AK234" s="734">
        <f t="shared" si="193"/>
        <v>81667.704065399754</v>
      </c>
      <c r="AL234" s="735">
        <f t="shared" si="194"/>
        <v>1.5707840820524801</v>
      </c>
      <c r="AM234" s="340" t="str">
        <f t="shared" si="195"/>
        <v>1+138.599477788531i</v>
      </c>
      <c r="AN234" s="734">
        <f t="shared" si="196"/>
        <v>138.6030852587831</v>
      </c>
      <c r="AO234" s="735">
        <f t="shared" si="197"/>
        <v>1.5635814175884766</v>
      </c>
      <c r="AP234" s="733" t="str">
        <f t="shared" si="198"/>
        <v>1+6.72230313052695i</v>
      </c>
      <c r="AQ234" s="734">
        <f t="shared" si="199"/>
        <v>6.7962754048590792</v>
      </c>
      <c r="AR234" s="735">
        <f t="shared" si="200"/>
        <v>1.4231207414331419</v>
      </c>
      <c r="AS234" s="732" t="str">
        <f t="shared" si="201"/>
        <v>0.0143741518619677-16.9553186529511i</v>
      </c>
      <c r="AT234" s="337">
        <f t="shared" si="202"/>
        <v>16.955324745912517</v>
      </c>
      <c r="AU234" s="730">
        <f t="shared" si="203"/>
        <v>-1.5699485604560517</v>
      </c>
      <c r="AV234" s="732" t="str">
        <f t="shared" si="204"/>
        <v>-1.8122735704843+0.0809237664485575i</v>
      </c>
      <c r="AW234" s="337">
        <f t="shared" si="205"/>
        <v>5.1731259399543532</v>
      </c>
      <c r="AX234" s="730">
        <f t="shared" si="206"/>
        <v>177.44326000492973</v>
      </c>
      <c r="AY234" s="360">
        <f t="shared" si="207"/>
        <v>-2.5567399950702736</v>
      </c>
      <c r="BB234" s="337">
        <f t="shared" si="208"/>
        <v>-15.413877754984565</v>
      </c>
      <c r="BC234" s="730">
        <f t="shared" si="209"/>
        <v>-89.951426566770934</v>
      </c>
      <c r="BD234" s="351"/>
      <c r="BE234" s="337">
        <f t="shared" si="170"/>
        <v>44.754818335434976</v>
      </c>
      <c r="BF234" s="730">
        <f t="shared" si="171"/>
        <v>-82.598754274250481</v>
      </c>
      <c r="BI234" s="351"/>
      <c r="BJ234" s="351"/>
      <c r="BL234" s="405">
        <f t="shared" si="172"/>
        <v>0</v>
      </c>
      <c r="BM234" s="405">
        <f t="shared" si="210"/>
        <v>0</v>
      </c>
      <c r="BN234" s="405">
        <f t="shared" si="173"/>
        <v>0</v>
      </c>
      <c r="BO234" s="405">
        <f t="shared" si="174"/>
        <v>0</v>
      </c>
    </row>
    <row r="235" spans="4:67" ht="13.5" thickBot="1" x14ac:dyDescent="0.25">
      <c r="D235" s="345">
        <v>13884.25</v>
      </c>
      <c r="E235" s="340" t="str">
        <f t="shared" si="161"/>
        <v>0.23030651318719i</v>
      </c>
      <c r="F235" s="728" t="str">
        <f t="shared" si="175"/>
        <v>0.005-0.187917779335289i</v>
      </c>
      <c r="G235" s="337" t="str">
        <f t="shared" si="176"/>
        <v>0.005-0.293922680498786i</v>
      </c>
      <c r="H235" s="338" t="str">
        <f t="shared" si="177"/>
        <v>0.0712794670941503-0.275570485053767i</v>
      </c>
      <c r="I235" s="338" t="str">
        <f t="shared" si="178"/>
        <v>0.0812794670941503-0.275570485053767i</v>
      </c>
      <c r="J235" s="337" t="str">
        <f t="shared" si="179"/>
        <v>0.0147795687037704-0.11360237922578i</v>
      </c>
      <c r="K235" s="338" t="str">
        <f t="shared" si="162"/>
        <v>0.997858084465972-0.0726977630010068i</v>
      </c>
      <c r="L235" s="732"/>
      <c r="M235" s="732" t="str">
        <f t="shared" si="163"/>
        <v>21.360396599066-168.668425725461i</v>
      </c>
      <c r="N235" s="337">
        <f t="shared" si="164"/>
        <v>0</v>
      </c>
      <c r="O235" s="730" t="str">
        <f t="shared" si="165"/>
        <v>-2.13331016447853-67.7577741921274i</v>
      </c>
      <c r="P235" s="731" t="str">
        <f t="shared" si="166"/>
        <v>-18.8454370136034-4.9194384610264i</v>
      </c>
      <c r="Q235" s="729" t="str">
        <f t="shared" si="167"/>
        <v>-18.8241039119586-4.24186071910513i</v>
      </c>
      <c r="R235" s="730"/>
      <c r="S235" s="405" t="str">
        <f t="shared" si="180"/>
        <v>39.714469957306-0.0386064831526075i</v>
      </c>
      <c r="T235" s="405" t="str">
        <f t="shared" si="181"/>
        <v>15.6373093179883-2.498145688897i</v>
      </c>
      <c r="U235" s="405" t="str">
        <f t="shared" si="182"/>
        <v>0.426203855748277-4.4872474071219i</v>
      </c>
      <c r="V235" s="731" t="str">
        <f t="shared" si="168"/>
        <v>6000</v>
      </c>
      <c r="W235" s="733" t="str">
        <f>IMSUM(COMPLEX(1,0),IMDIV(COMPLEX(0,2*PI()*D235),COMPLEX(2*PI()*'Stability Calculations'!EA_Pole1,0)))</f>
        <v>1+88109.6887572203i</v>
      </c>
      <c r="X235" s="734">
        <f t="shared" si="183"/>
        <v>88109.688762895035</v>
      </c>
      <c r="Y235" s="735">
        <f t="shared" si="184"/>
        <v>1.570784977305254</v>
      </c>
      <c r="Z235" s="340" t="str">
        <f>IMSUM(COMPLEX(1,0),IMDIV(COMPLEX(0,2*PI()*D235),COMPLEX(2*PI()*'Stability Calculations'!EA_Zero1,0)))</f>
        <v>1+872.373156012082i</v>
      </c>
      <c r="AA235" s="734">
        <f t="shared" si="185"/>
        <v>872.37372916112065</v>
      </c>
      <c r="AB235" s="735">
        <f t="shared" si="186"/>
        <v>1.5696500288430297</v>
      </c>
      <c r="AC235" s="733" t="str">
        <f>IMSUM(COMPLEX(1,0),IMDIV(COMPLEX(0,2*PI()*D235),COMPLEX(2*PI()*'Stability Calculations'!EA_Pole2,0)))</f>
        <v>1+8.78781271396698i</v>
      </c>
      <c r="AD235" s="734">
        <f t="shared" si="187"/>
        <v>8.8445266857961204</v>
      </c>
      <c r="AE235" s="735">
        <f t="shared" si="188"/>
        <v>1.4574897616759168</v>
      </c>
      <c r="AF235" s="732" t="str">
        <f t="shared" si="189"/>
        <v>0.75184343599002-6.67448201644764i</v>
      </c>
      <c r="AG235" s="337">
        <f t="shared" si="190"/>
        <v>6.7166940335349672</v>
      </c>
      <c r="AH235" s="730">
        <f t="shared" si="191"/>
        <v>-1.4586247101381409</v>
      </c>
      <c r="AI235" s="731" t="str">
        <f t="shared" si="169"/>
        <v>10000</v>
      </c>
      <c r="AJ235" s="733" t="str">
        <f t="shared" si="192"/>
        <v>1+82142.4818954668i</v>
      </c>
      <c r="AK235" s="734">
        <f t="shared" si="193"/>
        <v>82142.48190155378</v>
      </c>
      <c r="AL235" s="735">
        <f t="shared" si="194"/>
        <v>1.5707841528262403</v>
      </c>
      <c r="AM235" s="340" t="str">
        <f t="shared" si="195"/>
        <v>1+139.405230330731i</v>
      </c>
      <c r="AN235" s="734">
        <f t="shared" si="196"/>
        <v>139.40881695059375</v>
      </c>
      <c r="AO235" s="735">
        <f t="shared" si="197"/>
        <v>1.5636231178275826</v>
      </c>
      <c r="AP235" s="733" t="str">
        <f t="shared" si="198"/>
        <v>1+6.76138345697036i</v>
      </c>
      <c r="AQ235" s="734">
        <f t="shared" si="199"/>
        <v>6.8349327906126804</v>
      </c>
      <c r="AR235" s="735">
        <f t="shared" si="200"/>
        <v>1.4239620455540014</v>
      </c>
      <c r="AS235" s="732" t="str">
        <f t="shared" si="201"/>
        <v>0.014208468988114-16.8573182292347i</v>
      </c>
      <c r="AT235" s="337">
        <f t="shared" si="202"/>
        <v>16.857324217154972</v>
      </c>
      <c r="AU235" s="730">
        <f t="shared" si="203"/>
        <v>-1.5699534604842402</v>
      </c>
      <c r="AV235" s="732" t="str">
        <f t="shared" si="204"/>
        <v>-1.79114566839166+0.081378134882206i</v>
      </c>
      <c r="AW235" s="337">
        <f t="shared" si="205"/>
        <v>5.0715736480884583</v>
      </c>
      <c r="AX235" s="730">
        <f t="shared" si="206"/>
        <v>177.39863735628293</v>
      </c>
      <c r="AY235" s="360">
        <f t="shared" si="207"/>
        <v>-2.6013626437170672</v>
      </c>
      <c r="BB235" s="337">
        <f t="shared" si="208"/>
        <v>-15.464227206264029</v>
      </c>
      <c r="BC235" s="730">
        <f t="shared" si="209"/>
        <v>-89.951707317705626</v>
      </c>
      <c r="BD235" s="351"/>
      <c r="BE235" s="337">
        <f t="shared" si="170"/>
        <v>44.609775469570678</v>
      </c>
      <c r="BF235" s="730">
        <f t="shared" si="171"/>
        <v>-82.782406991812806</v>
      </c>
      <c r="BI235" s="351"/>
      <c r="BJ235" s="351"/>
      <c r="BL235" s="405">
        <f t="shared" si="172"/>
        <v>0</v>
      </c>
      <c r="BM235" s="405">
        <f t="shared" si="210"/>
        <v>0</v>
      </c>
      <c r="BN235" s="405">
        <f t="shared" si="173"/>
        <v>0</v>
      </c>
      <c r="BO235" s="405">
        <f t="shared" si="174"/>
        <v>0</v>
      </c>
    </row>
    <row r="236" spans="4:67" ht="13.5" thickBot="1" x14ac:dyDescent="0.25">
      <c r="D236" s="345">
        <v>13964.5</v>
      </c>
      <c r="E236" s="340" t="str">
        <f t="shared" si="161"/>
        <v>0.231637668826369i</v>
      </c>
      <c r="F236" s="728" t="str">
        <f t="shared" si="175"/>
        <v>0.005-0.186837869435783i</v>
      </c>
      <c r="G236" s="337" t="str">
        <f t="shared" si="176"/>
        <v>0.005-0.292233590655968i</v>
      </c>
      <c r="H236" s="338" t="str">
        <f t="shared" si="177"/>
        <v>0.0705607676722724-0.274158779373903i</v>
      </c>
      <c r="I236" s="338" t="str">
        <f t="shared" si="178"/>
        <v>0.0805607676722724-0.274158779373903i</v>
      </c>
      <c r="J236" s="337" t="str">
        <f t="shared" si="179"/>
        <v>0.0146586027063214-0.112960994015875i</v>
      </c>
      <c r="K236" s="338" t="str">
        <f t="shared" si="162"/>
        <v>0.997833252663889-0.0731179510184244i</v>
      </c>
      <c r="L236" s="732"/>
      <c r="M236" s="732" t="str">
        <f t="shared" si="163"/>
        <v>20.5029361919455-165.992648812463i</v>
      </c>
      <c r="N236" s="337">
        <f t="shared" si="164"/>
        <v>0</v>
      </c>
      <c r="O236" s="730" t="str">
        <f t="shared" si="165"/>
        <v>-2.25722108514642-66.63403882789i</v>
      </c>
      <c r="P236" s="731" t="str">
        <f t="shared" si="166"/>
        <v>-18.4501502132331-4.74925234359806i</v>
      </c>
      <c r="Q236" s="729" t="str">
        <f t="shared" si="167"/>
        <v>-18.4275780023816-4.08291195531916i</v>
      </c>
      <c r="R236" s="730"/>
      <c r="S236" s="405" t="str">
        <f t="shared" si="180"/>
        <v>39.7183708053417-0.0711552662816262i</v>
      </c>
      <c r="T236" s="405" t="str">
        <f t="shared" si="181"/>
        <v>15.6343198219566-2.49977316169311i</v>
      </c>
      <c r="U236" s="405" t="str">
        <f t="shared" si="182"/>
        <v>0.417834849949658-4.46267195202445i</v>
      </c>
      <c r="V236" s="731" t="str">
        <f t="shared" si="168"/>
        <v>6000</v>
      </c>
      <c r="W236" s="733" t="str">
        <f>IMSUM(COMPLEX(1,0),IMDIV(COMPLEX(0,2*PI()*D236),COMPLEX(2*PI()*'Stability Calculations'!EA_Pole1,0)))</f>
        <v>1+88618.9566343304i</v>
      </c>
      <c r="X236" s="734">
        <f t="shared" si="183"/>
        <v>88618.95663997253</v>
      </c>
      <c r="Y236" s="735">
        <f t="shared" si="184"/>
        <v>1.5707850425275351</v>
      </c>
      <c r="Z236" s="340" t="str">
        <f>IMSUM(COMPLEX(1,0),IMDIV(COMPLEX(0,2*PI()*D236),COMPLEX(2*PI()*'Stability Calculations'!EA_Zero1,0)))</f>
        <v>1+877.415412221093i</v>
      </c>
      <c r="AA236" s="734">
        <f t="shared" si="185"/>
        <v>877.41598207640982</v>
      </c>
      <c r="AB236" s="735">
        <f t="shared" si="186"/>
        <v>1.5696566162848105</v>
      </c>
      <c r="AC236" s="733" t="str">
        <f>IMSUM(COMPLEX(1,0),IMDIV(COMPLEX(0,2*PI()*D236),COMPLEX(2*PI()*'Stability Calculations'!EA_Pole2,0)))</f>
        <v>1+8.83860566067247i</v>
      </c>
      <c r="AD236" s="734">
        <f t="shared" si="187"/>
        <v>8.8949957855454578</v>
      </c>
      <c r="AE236" s="735">
        <f t="shared" si="188"/>
        <v>1.4581353907741716</v>
      </c>
      <c r="AF236" s="732" t="str">
        <f t="shared" si="189"/>
        <v>0.743335907586378-6.63708821222076i</v>
      </c>
      <c r="AG236" s="337">
        <f t="shared" si="190"/>
        <v>6.6785842967134155</v>
      </c>
      <c r="AH236" s="730">
        <f t="shared" si="191"/>
        <v>-1.4592638170168961</v>
      </c>
      <c r="AI236" s="731" t="str">
        <f t="shared" si="169"/>
        <v>10000</v>
      </c>
      <c r="AJ236" s="733" t="str">
        <f t="shared" si="192"/>
        <v>1+82617.259731656i</v>
      </c>
      <c r="AK236" s="734">
        <f t="shared" si="193"/>
        <v>82617.259737707995</v>
      </c>
      <c r="AL236" s="735">
        <f t="shared" si="194"/>
        <v>1.5707842227865672</v>
      </c>
      <c r="AM236" s="340" t="str">
        <f t="shared" si="195"/>
        <v>1+140.210982872931i</v>
      </c>
      <c r="AN236" s="734">
        <f t="shared" si="196"/>
        <v>140.21454888203775</v>
      </c>
      <c r="AO236" s="735">
        <f t="shared" si="197"/>
        <v>1.5636643388124389</v>
      </c>
      <c r="AP236" s="733" t="str">
        <f t="shared" si="198"/>
        <v>1+6.80046378341376i</v>
      </c>
      <c r="AQ236" s="734">
        <f t="shared" si="199"/>
        <v>6.8735949596642802</v>
      </c>
      <c r="AR236" s="735">
        <f t="shared" si="200"/>
        <v>1.424793886028028</v>
      </c>
      <c r="AS236" s="732" t="str">
        <f t="shared" si="201"/>
        <v>0.0140456342929193-16.7604441641188i</v>
      </c>
      <c r="AT236" s="337">
        <f t="shared" si="202"/>
        <v>16.760450049398631</v>
      </c>
      <c r="AU236" s="730">
        <f t="shared" si="203"/>
        <v>-1.5699583041943386</v>
      </c>
      <c r="AV236" s="732" t="str">
        <f t="shared" si="204"/>
        <v>-1.77038385539877+0.081810206927279i</v>
      </c>
      <c r="AW236" s="337">
        <f t="shared" si="205"/>
        <v>4.9706128648663599</v>
      </c>
      <c r="AX236" s="730">
        <f t="shared" si="206"/>
        <v>177.35421934138017</v>
      </c>
      <c r="AY236" s="360">
        <f t="shared" si="207"/>
        <v>-2.6457806586198274</v>
      </c>
      <c r="BB236" s="337">
        <f t="shared" si="208"/>
        <v>-15.514286478618162</v>
      </c>
      <c r="BC236" s="730">
        <f t="shared" si="209"/>
        <v>-89.951984841851456</v>
      </c>
      <c r="BD236" s="351"/>
      <c r="BE236" s="337">
        <f t="shared" si="170"/>
        <v>44.467534815044388</v>
      </c>
      <c r="BF236" s="730">
        <f t="shared" si="171"/>
        <v>-82.958653736733552</v>
      </c>
      <c r="BI236" s="351"/>
      <c r="BJ236" s="351"/>
      <c r="BL236" s="405">
        <f t="shared" si="172"/>
        <v>0</v>
      </c>
      <c r="BM236" s="405">
        <f t="shared" si="210"/>
        <v>0</v>
      </c>
      <c r="BN236" s="405">
        <f t="shared" si="173"/>
        <v>0</v>
      </c>
      <c r="BO236" s="405">
        <f t="shared" si="174"/>
        <v>0</v>
      </c>
    </row>
    <row r="237" spans="4:67" ht="13.5" thickBot="1" x14ac:dyDescent="0.25">
      <c r="D237" s="345">
        <v>14044.75</v>
      </c>
      <c r="E237" s="340" t="str">
        <f t="shared" si="161"/>
        <v>0.232968824465548i</v>
      </c>
      <c r="F237" s="728" t="str">
        <f t="shared" si="175"/>
        <v>0.005-0.185770300484949i</v>
      </c>
      <c r="G237" s="337" t="str">
        <f t="shared" si="176"/>
        <v>0.005-0.290563803322613i</v>
      </c>
      <c r="H237" s="338" t="str">
        <f t="shared" si="177"/>
        <v>0.0698534732257798-0.272760493740848i</v>
      </c>
      <c r="I237" s="338" t="str">
        <f t="shared" si="178"/>
        <v>0.0798534732257798-0.272760493740848i</v>
      </c>
      <c r="J237" s="337" t="str">
        <f t="shared" si="179"/>
        <v>0.014539680627573-0.112326750059041i</v>
      </c>
      <c r="K237" s="338" t="str">
        <f t="shared" si="162"/>
        <v>0.997808277749306-0.0735381390358421i</v>
      </c>
      <c r="L237" s="732"/>
      <c r="M237" s="732" t="str">
        <f t="shared" si="163"/>
        <v>19.6935755872065-163.406189735442i</v>
      </c>
      <c r="N237" s="337">
        <f t="shared" si="164"/>
        <v>0</v>
      </c>
      <c r="O237" s="730" t="str">
        <f t="shared" si="165"/>
        <v>-2.36972384559489-65.5495119846456i</v>
      </c>
      <c r="P237" s="731" t="str">
        <f t="shared" si="166"/>
        <v>-18.0685479330603-4.5879891540749i</v>
      </c>
      <c r="Q237" s="729" t="str">
        <f t="shared" si="167"/>
        <v>-18.0448506946044-3.93249403422843i</v>
      </c>
      <c r="R237" s="730"/>
      <c r="S237" s="405" t="str">
        <f t="shared" si="180"/>
        <v>39.7221747382549-0.103538773353646i</v>
      </c>
      <c r="T237" s="405" t="str">
        <f t="shared" si="181"/>
        <v>15.6313602533234-2.50146506740297i</v>
      </c>
      <c r="U237" s="405" t="str">
        <f t="shared" si="182"/>
        <v>0.409603958077723-4.43835356364863i</v>
      </c>
      <c r="V237" s="731" t="str">
        <f t="shared" si="168"/>
        <v>6000</v>
      </c>
      <c r="W237" s="733" t="str">
        <f>IMSUM(COMPLEX(1,0),IMDIV(COMPLEX(0,2*PI()*D237),COMPLEX(2*PI()*'Stability Calculations'!EA_Pole1,0)))</f>
        <v>1+89128.2245114406i</v>
      </c>
      <c r="X237" s="734">
        <f t="shared" si="183"/>
        <v>89128.22451705049</v>
      </c>
      <c r="Y237" s="735">
        <f t="shared" si="184"/>
        <v>1.5707851070044718</v>
      </c>
      <c r="Z237" s="340" t="str">
        <f>IMSUM(COMPLEX(1,0),IMDIV(COMPLEX(0,2*PI()*D237),COMPLEX(2*PI()*'Stability Calculations'!EA_Zero1,0)))</f>
        <v>1+882.457668430105i</v>
      </c>
      <c r="AA237" s="734">
        <f t="shared" si="185"/>
        <v>882.45823502933968</v>
      </c>
      <c r="AB237" s="735">
        <f t="shared" si="186"/>
        <v>1.569663128447</v>
      </c>
      <c r="AC237" s="733" t="str">
        <f>IMSUM(COMPLEX(1,0),IMDIV(COMPLEX(0,2*PI()*D237),COMPLEX(2*PI()*'Stability Calculations'!EA_Pole2,0)))</f>
        <v>1+8.88939860737798i</v>
      </c>
      <c r="AD237" s="734">
        <f t="shared" si="187"/>
        <v>8.9454685512193031</v>
      </c>
      <c r="AE237" s="735">
        <f t="shared" si="188"/>
        <v>1.4587737345062013</v>
      </c>
      <c r="AF237" s="732" t="str">
        <f t="shared" si="189"/>
        <v>0.734971365169866-6.60010565034378i</v>
      </c>
      <c r="AG237" s="337">
        <f t="shared" si="190"/>
        <v>6.6409018591844546</v>
      </c>
      <c r="AH237" s="730">
        <f t="shared" si="191"/>
        <v>-1.4598957130636727</v>
      </c>
      <c r="AI237" s="731" t="str">
        <f t="shared" si="169"/>
        <v>10000</v>
      </c>
      <c r="AJ237" s="733" t="str">
        <f t="shared" si="192"/>
        <v>1+83092.0375678453i</v>
      </c>
      <c r="AK237" s="734">
        <f t="shared" si="193"/>
        <v>83092.037573862719</v>
      </c>
      <c r="AL237" s="735">
        <f t="shared" si="194"/>
        <v>1.5707842919474044</v>
      </c>
      <c r="AM237" s="340" t="str">
        <f t="shared" si="195"/>
        <v>1+141.016735415131i</v>
      </c>
      <c r="AN237" s="734">
        <f t="shared" si="196"/>
        <v>141.02028104900751</v>
      </c>
      <c r="AO237" s="735">
        <f t="shared" si="197"/>
        <v>1.5637050887576922</v>
      </c>
      <c r="AP237" s="733" t="str">
        <f t="shared" si="198"/>
        <v>1+6.83954410985717i</v>
      </c>
      <c r="AQ237" s="734">
        <f t="shared" si="199"/>
        <v>6.9122618317510147</v>
      </c>
      <c r="AR237" s="735">
        <f t="shared" si="200"/>
        <v>1.4256164205118607</v>
      </c>
      <c r="AS237" s="732" t="str">
        <f t="shared" si="201"/>
        <v>0.0138855828662031-16.6646771500276i</v>
      </c>
      <c r="AT237" s="337">
        <f t="shared" si="202"/>
        <v>16.664682934999501</v>
      </c>
      <c r="AU237" s="730">
        <f t="shared" si="203"/>
        <v>-1.5699630925517305</v>
      </c>
      <c r="AV237" s="732" t="str">
        <f t="shared" si="204"/>
        <v>-1.74997971610813+0.0822207837230704i</v>
      </c>
      <c r="AW237" s="337">
        <f t="shared" si="205"/>
        <v>4.8702367038198568</v>
      </c>
      <c r="AX237" s="730">
        <f t="shared" si="206"/>
        <v>177.31000192504047</v>
      </c>
      <c r="AY237" s="360">
        <f t="shared" si="207"/>
        <v>-2.6899980749595329</v>
      </c>
      <c r="BB237" s="337">
        <f t="shared" si="208"/>
        <v>-15.564058897662855</v>
      </c>
      <c r="BC237" s="730">
        <f t="shared" si="209"/>
        <v>-89.952259194520806</v>
      </c>
      <c r="BD237" s="351"/>
      <c r="BE237" s="337">
        <f t="shared" si="170"/>
        <v>44.32799702843753</v>
      </c>
      <c r="BF237" s="730">
        <f t="shared" si="171"/>
        <v>-83.127905364546834</v>
      </c>
      <c r="BI237" s="351"/>
      <c r="BJ237" s="351"/>
      <c r="BL237" s="405">
        <f t="shared" si="172"/>
        <v>0</v>
      </c>
      <c r="BM237" s="405">
        <f t="shared" si="210"/>
        <v>0</v>
      </c>
      <c r="BN237" s="405">
        <f t="shared" si="173"/>
        <v>0</v>
      </c>
      <c r="BO237" s="405">
        <f t="shared" si="174"/>
        <v>0</v>
      </c>
    </row>
    <row r="238" spans="4:67" ht="13.5" thickBot="1" x14ac:dyDescent="0.25">
      <c r="D238" s="345">
        <v>14125</v>
      </c>
      <c r="E238" s="340" t="str">
        <f t="shared" si="161"/>
        <v>0.234299980104727i</v>
      </c>
      <c r="F238" s="728" t="str">
        <f t="shared" si="175"/>
        <v>0.005-0.184714862140601i</v>
      </c>
      <c r="G238" s="337" t="str">
        <f t="shared" si="176"/>
        <v>0.005-0.288912989501966i</v>
      </c>
      <c r="H238" s="338" t="str">
        <f t="shared" si="177"/>
        <v>0.0691573484328644-0.271375455071452i</v>
      </c>
      <c r="I238" s="338" t="str">
        <f t="shared" si="178"/>
        <v>0.0791573484328644-0.271375455071452i</v>
      </c>
      <c r="J238" s="337" t="str">
        <f t="shared" si="179"/>
        <v>0.0144227568035599-0.111699529844865i</v>
      </c>
      <c r="K238" s="338" t="str">
        <f t="shared" si="162"/>
        <v>0.997783159722222-0.0739583270532597i</v>
      </c>
      <c r="L238" s="732"/>
      <c r="M238" s="732" t="str">
        <f t="shared" si="163"/>
        <v>18.9288856191206-160.904737660751i</v>
      </c>
      <c r="N238" s="337">
        <f t="shared" si="164"/>
        <v>0</v>
      </c>
      <c r="O238" s="730" t="str">
        <f t="shared" si="165"/>
        <v>-2.47180094189921-64.5022064344279i</v>
      </c>
      <c r="P238" s="731" t="str">
        <f t="shared" si="166"/>
        <v>-17.6999768326702-4.43503752396461i</v>
      </c>
      <c r="Q238" s="729" t="str">
        <f t="shared" si="167"/>
        <v>-17.6752588232512-3.79001545962033i</v>
      </c>
      <c r="R238" s="730"/>
      <c r="S238" s="405" t="str">
        <f t="shared" si="180"/>
        <v>39.7258836721211-0.135759493730424i</v>
      </c>
      <c r="T238" s="405" t="str">
        <f t="shared" si="181"/>
        <v>15.6284298557396-2.5032204183044i</v>
      </c>
      <c r="U238" s="405" t="str">
        <f t="shared" si="182"/>
        <v>0.401508188830453-4.41428835082652i</v>
      </c>
      <c r="V238" s="731" t="str">
        <f t="shared" si="168"/>
        <v>6000</v>
      </c>
      <c r="W238" s="733" t="str">
        <f>IMSUM(COMPLEX(1,0),IMDIV(COMPLEX(0,2*PI()*D238),COMPLEX(2*PI()*'Stability Calculations'!EA_Pole1,0)))</f>
        <v>1+89637.4923885508i</v>
      </c>
      <c r="X238" s="734">
        <f t="shared" si="183"/>
        <v>89637.492394128829</v>
      </c>
      <c r="Y238" s="735">
        <f t="shared" si="184"/>
        <v>1.5707851707487679</v>
      </c>
      <c r="Z238" s="340" t="str">
        <f>IMSUM(COMPLEX(1,0),IMDIV(COMPLEX(0,2*PI()*D238),COMPLEX(2*PI()*'Stability Calculations'!EA_Zero1,0)))</f>
        <v>1+887.499924639117i</v>
      </c>
      <c r="AA238" s="734">
        <f t="shared" si="185"/>
        <v>887.50048801926778</v>
      </c>
      <c r="AB238" s="735">
        <f t="shared" si="186"/>
        <v>1.5696695666126799</v>
      </c>
      <c r="AC238" s="733" t="str">
        <f>IMSUM(COMPLEX(1,0),IMDIV(COMPLEX(0,2*PI()*D238),COMPLEX(2*PI()*'Stability Calculations'!EA_Pole2,0)))</f>
        <v>1+8.94019155408348i</v>
      </c>
      <c r="AD238" s="734">
        <f t="shared" si="187"/>
        <v>8.9959449211133791</v>
      </c>
      <c r="AE238" s="735">
        <f t="shared" si="188"/>
        <v>1.4594049149822177</v>
      </c>
      <c r="AF238" s="732" t="str">
        <f t="shared" si="189"/>
        <v>0.726746635768602-6.56352767641086i</v>
      </c>
      <c r="AG238" s="337">
        <f t="shared" si="190"/>
        <v>6.6036396200589511</v>
      </c>
      <c r="AH238" s="730">
        <f t="shared" si="191"/>
        <v>-1.4605205191183055</v>
      </c>
      <c r="AI238" s="731" t="str">
        <f t="shared" si="169"/>
        <v>10000</v>
      </c>
      <c r="AJ238" s="733" t="str">
        <f t="shared" si="192"/>
        <v>1+83566.8154040346i</v>
      </c>
      <c r="AK238" s="734">
        <f t="shared" si="193"/>
        <v>83566.815410017836</v>
      </c>
      <c r="AL238" s="735">
        <f t="shared" si="194"/>
        <v>1.5707843603223786</v>
      </c>
      <c r="AM238" s="340" t="str">
        <f t="shared" si="195"/>
        <v>1+141.822487957331i</v>
      </c>
      <c r="AN238" s="734">
        <f t="shared" si="196"/>
        <v>141.82601344748886</v>
      </c>
      <c r="AO238" s="735">
        <f t="shared" si="197"/>
        <v>1.5637453756913209</v>
      </c>
      <c r="AP238" s="733" t="str">
        <f t="shared" si="198"/>
        <v>1+6.87862443630058i</v>
      </c>
      <c r="AQ238" s="734">
        <f t="shared" si="199"/>
        <v>6.9509333283863004</v>
      </c>
      <c r="AR238" s="735">
        <f t="shared" si="200"/>
        <v>1.4264298032046605</v>
      </c>
      <c r="AS238" s="732" t="str">
        <f t="shared" si="201"/>
        <v>0.0137282516364382-16.5699983181614i</v>
      </c>
      <c r="AT238" s="337">
        <f t="shared" si="202"/>
        <v>16.570004005091992</v>
      </c>
      <c r="AU238" s="730">
        <f t="shared" si="203"/>
        <v>-1.5699678264998598</v>
      </c>
      <c r="AV238" s="732" t="str">
        <f t="shared" si="204"/>
        <v>-1.7299250755828+0.0826106353812054i</v>
      </c>
      <c r="AW238" s="337">
        <f t="shared" si="205"/>
        <v>4.7704383978104348</v>
      </c>
      <c r="AX238" s="730">
        <f t="shared" si="206"/>
        <v>177.26598117709597</v>
      </c>
      <c r="AY238" s="360">
        <f t="shared" si="207"/>
        <v>-2.7340188229040336</v>
      </c>
      <c r="BB238" s="337">
        <f t="shared" si="208"/>
        <v>-15.613547732169517</v>
      </c>
      <c r="BC238" s="730">
        <f t="shared" si="209"/>
        <v>-89.952530429769055</v>
      </c>
      <c r="BD238" s="351"/>
      <c r="BE238" s="337">
        <f t="shared" si="170"/>
        <v>44.191067621022803</v>
      </c>
      <c r="BF238" s="730">
        <f t="shared" si="171"/>
        <v>-83.290543749727718</v>
      </c>
      <c r="BI238" s="351"/>
      <c r="BJ238" s="351"/>
      <c r="BL238" s="405">
        <f t="shared" si="172"/>
        <v>0</v>
      </c>
      <c r="BM238" s="405">
        <f t="shared" si="210"/>
        <v>0</v>
      </c>
      <c r="BN238" s="405">
        <f t="shared" si="173"/>
        <v>0</v>
      </c>
      <c r="BO238" s="405">
        <f t="shared" si="174"/>
        <v>0</v>
      </c>
    </row>
    <row r="239" spans="4:67" ht="13.5" thickBot="1" x14ac:dyDescent="0.25">
      <c r="D239" s="345">
        <v>14207.25</v>
      </c>
      <c r="E239" s="340" t="str">
        <f t="shared" si="161"/>
        <v>0.235664310962328i</v>
      </c>
      <c r="F239" s="728" t="str">
        <f t="shared" si="175"/>
        <v>0.005-0.183645492810782i</v>
      </c>
      <c r="G239" s="337" t="str">
        <f t="shared" si="176"/>
        <v>0.005-0.287240386191224i</v>
      </c>
      <c r="H239" s="338" t="str">
        <f t="shared" si="177"/>
        <v>0.0684552254163101-0.26996946615056i</v>
      </c>
      <c r="I239" s="338" t="str">
        <f t="shared" si="178"/>
        <v>0.0784552254163101-0.26996946615056i</v>
      </c>
      <c r="J239" s="337" t="str">
        <f t="shared" si="179"/>
        <v>0.0143049461188413-0.111063846188572i</v>
      </c>
      <c r="K239" s="338" t="str">
        <f t="shared" si="162"/>
        <v>0.99775726719375-0.0743889870461893i</v>
      </c>
      <c r="L239" s="732"/>
      <c r="M239" s="732" t="str">
        <f t="shared" si="163"/>
        <v>18.1882141340049-158.42491930233i</v>
      </c>
      <c r="N239" s="337">
        <f t="shared" si="164"/>
        <v>0</v>
      </c>
      <c r="O239" s="730" t="str">
        <f t="shared" si="165"/>
        <v>-2.56653291956258-63.4654791603284i</v>
      </c>
      <c r="P239" s="731" t="str">
        <f t="shared" si="166"/>
        <v>-17.335099446646-4.28631295152555i</v>
      </c>
      <c r="Q239" s="729" t="str">
        <f t="shared" si="167"/>
        <v>-17.3094341174504-3.65165815992227i</v>
      </c>
      <c r="R239" s="730"/>
      <c r="S239" s="405" t="str">
        <f t="shared" si="180"/>
        <v>39.7295884115547-0.168616854106018i</v>
      </c>
      <c r="T239" s="405" t="str">
        <f t="shared" si="181"/>
        <v>15.6254559269287-2.50508433942987i</v>
      </c>
      <c r="U239" s="405" t="str">
        <f t="shared" si="182"/>
        <v>0.393347825932519-4.3898821080946i</v>
      </c>
      <c r="V239" s="731" t="str">
        <f t="shared" si="168"/>
        <v>6000</v>
      </c>
      <c r="W239" s="733" t="str">
        <f>IMSUM(COMPLEX(1,0),IMDIV(COMPLEX(0,2*PI()*D239),COMPLEX(2*PI()*'Stability Calculations'!EA_Pole1,0)))</f>
        <v>1+90159.4522999815i</v>
      </c>
      <c r="X239" s="734">
        <f t="shared" si="183"/>
        <v>90159.452305527229</v>
      </c>
      <c r="Y239" s="735">
        <f t="shared" si="184"/>
        <v>1.5707852353344403</v>
      </c>
      <c r="Z239" s="340" t="str">
        <f>IMSUM(COMPLEX(1,0),IMDIV(COMPLEX(0,2*PI()*D239),COMPLEX(2*PI()*'Stability Calculations'!EA_Zero1,0)))</f>
        <v>1+892.667844554272i</v>
      </c>
      <c r="AA239" s="734">
        <f t="shared" si="185"/>
        <v>892.66840467284931</v>
      </c>
      <c r="AB239" s="735">
        <f t="shared" si="186"/>
        <v>1.5696760897573578</v>
      </c>
      <c r="AC239" s="733" t="str">
        <f>IMSUM(COMPLEX(1,0),IMDIV(COMPLEX(0,2*PI()*D239),COMPLEX(2*PI()*'Stability Calculations'!EA_Pole2,0)))</f>
        <v>1+8.99225036861965i</v>
      </c>
      <c r="AD239" s="734">
        <f t="shared" si="187"/>
        <v>9.0476829460332127</v>
      </c>
      <c r="AE239" s="735">
        <f t="shared" si="188"/>
        <v>1.4600445174677434</v>
      </c>
      <c r="AF239" s="732" t="str">
        <f t="shared" si="189"/>
        <v>0.718458783598836-6.52645112574684i</v>
      </c>
      <c r="AG239" s="337">
        <f t="shared" si="190"/>
        <v>6.5658774981332479</v>
      </c>
      <c r="AH239" s="730">
        <f t="shared" si="191"/>
        <v>-1.461153663044825</v>
      </c>
      <c r="AI239" s="731" t="str">
        <f t="shared" si="169"/>
        <v>10000</v>
      </c>
      <c r="AJ239" s="733" t="str">
        <f t="shared" si="192"/>
        <v>1+84053.4257096617i</v>
      </c>
      <c r="AK239" s="734">
        <f t="shared" si="193"/>
        <v>84053.425715610283</v>
      </c>
      <c r="AL239" s="735">
        <f t="shared" si="194"/>
        <v>1.5707844295998505</v>
      </c>
      <c r="AM239" s="340" t="str">
        <f t="shared" si="195"/>
        <v>1+142.648321559773i</v>
      </c>
      <c r="AN239" s="734">
        <f t="shared" si="196"/>
        <v>142.6518266403217</v>
      </c>
      <c r="AO239" s="735">
        <f t="shared" si="197"/>
        <v>1.5637861944052542</v>
      </c>
      <c r="AP239" s="733" t="str">
        <f t="shared" si="198"/>
        <v>1+6.91867872726594i</v>
      </c>
      <c r="AQ239" s="734">
        <f t="shared" si="199"/>
        <v>6.990573319200811</v>
      </c>
      <c r="AR239" s="735">
        <f t="shared" si="200"/>
        <v>1.427254118160636</v>
      </c>
      <c r="AS239" s="732" t="str">
        <f t="shared" si="201"/>
        <v>0.0135697579878836-16.4740697952674i</v>
      </c>
      <c r="AT239" s="337">
        <f t="shared" si="202"/>
        <v>16.474075383998748</v>
      </c>
      <c r="AU239" s="730">
        <f t="shared" si="203"/>
        <v>-1.5699726229325512</v>
      </c>
      <c r="AV239" s="732" t="str">
        <f t="shared" si="204"/>
        <v>-1.70972499455385+0.0829894711567418i</v>
      </c>
      <c r="AW239" s="337">
        <f t="shared" si="205"/>
        <v>4.6687455853471693</v>
      </c>
      <c r="AX239" s="730">
        <f t="shared" si="206"/>
        <v>177.22106341523588</v>
      </c>
      <c r="AY239" s="360">
        <f t="shared" si="207"/>
        <v>-2.778936584764125</v>
      </c>
      <c r="BB239" s="337">
        <f t="shared" si="208"/>
        <v>-15.663979021047236</v>
      </c>
      <c r="BC239" s="730">
        <f t="shared" si="209"/>
        <v>-89.952805245118995</v>
      </c>
      <c r="BD239" s="351"/>
      <c r="BE239" s="337">
        <f t="shared" si="170"/>
        <v>44.053338279491626</v>
      </c>
      <c r="BF239" s="730">
        <f t="shared" si="171"/>
        <v>-83.45074456673629</v>
      </c>
      <c r="BI239" s="351"/>
      <c r="BJ239" s="351"/>
      <c r="BL239" s="405">
        <f t="shared" si="172"/>
        <v>0</v>
      </c>
      <c r="BM239" s="405">
        <f t="shared" si="210"/>
        <v>0</v>
      </c>
      <c r="BN239" s="405">
        <f t="shared" si="173"/>
        <v>0</v>
      </c>
      <c r="BO239" s="405">
        <f t="shared" si="174"/>
        <v>0</v>
      </c>
    </row>
    <row r="240" spans="4:67" ht="13.5" thickBot="1" x14ac:dyDescent="0.25">
      <c r="D240" s="345">
        <v>14289.5</v>
      </c>
      <c r="E240" s="340" t="str">
        <f t="shared" si="161"/>
        <v>0.237028641819929i</v>
      </c>
      <c r="F240" s="728" t="str">
        <f t="shared" si="175"/>
        <v>0.005-0.182588434006508i</v>
      </c>
      <c r="G240" s="337" t="str">
        <f t="shared" si="176"/>
        <v>0.005-0.285587037805051i</v>
      </c>
      <c r="H240" s="338" t="str">
        <f t="shared" si="177"/>
        <v>0.0677643540278618-0.268577032628013i</v>
      </c>
      <c r="I240" s="338" t="str">
        <f t="shared" si="178"/>
        <v>0.0777643540278618-0.268577032628013i</v>
      </c>
      <c r="J240" s="337" t="str">
        <f t="shared" si="179"/>
        <v>0.0141891414268177-0.110435298879572i</v>
      </c>
      <c r="K240" s="338" t="str">
        <f t="shared" si="162"/>
        <v>0.997731224330555-0.0748196470391189i</v>
      </c>
      <c r="L240" s="732"/>
      <c r="M240" s="732" t="str">
        <f t="shared" si="163"/>
        <v>17.4880891289654-156.026048220957i</v>
      </c>
      <c r="N240" s="337">
        <f t="shared" si="164"/>
        <v>0</v>
      </c>
      <c r="O240" s="730" t="str">
        <f t="shared" si="165"/>
        <v>-2.65211262061547-62.464024974275i</v>
      </c>
      <c r="P240" s="731" t="str">
        <f t="shared" si="166"/>
        <v>-16.9826422983442-4.14517801426452i</v>
      </c>
      <c r="Q240" s="729" t="str">
        <f t="shared" si="167"/>
        <v>-16.956121172138-3.52053776452177i</v>
      </c>
      <c r="R240" s="730"/>
      <c r="S240" s="405" t="str">
        <f t="shared" si="180"/>
        <v>39.7331972705539-0.201308354415469i</v>
      </c>
      <c r="T240" s="405" t="str">
        <f t="shared" si="181"/>
        <v>15.6225110967932-2.50701286711694i</v>
      </c>
      <c r="U240" s="405" t="str">
        <f t="shared" si="182"/>
        <v>0.38532329615678-4.36573378005463i</v>
      </c>
      <c r="V240" s="731" t="str">
        <f t="shared" si="168"/>
        <v>6000</v>
      </c>
      <c r="W240" s="733" t="str">
        <f>IMSUM(COMPLEX(1,0),IMDIV(COMPLEX(0,2*PI()*D240),COMPLEX(2*PI()*'Stability Calculations'!EA_Pole1,0)))</f>
        <v>1+90681.4122114121i</v>
      </c>
      <c r="X240" s="734">
        <f t="shared" si="183"/>
        <v>90681.412216925921</v>
      </c>
      <c r="Y240" s="735">
        <f t="shared" si="184"/>
        <v>1.5707852991766056</v>
      </c>
      <c r="Z240" s="340" t="str">
        <f>IMSUM(COMPLEX(1,0),IMDIV(COMPLEX(0,2*PI()*D240),COMPLEX(2*PI()*'Stability Calculations'!EA_Zero1,0)))</f>
        <v>1+897.835764469427i</v>
      </c>
      <c r="AA240" s="734">
        <f t="shared" si="185"/>
        <v>897.83632136397807</v>
      </c>
      <c r="AB240" s="735">
        <f t="shared" si="186"/>
        <v>1.5696825378080186</v>
      </c>
      <c r="AC240" s="733" t="str">
        <f>IMSUM(COMPLEX(1,0),IMDIV(COMPLEX(0,2*PI()*D240),COMPLEX(2*PI()*'Stability Calculations'!EA_Pole2,0)))</f>
        <v>1+9.04430918315581i</v>
      </c>
      <c r="AD240" s="734">
        <f t="shared" si="187"/>
        <v>9.0994246301904447</v>
      </c>
      <c r="AE240" s="735">
        <f t="shared" si="188"/>
        <v>1.4606768463188702</v>
      </c>
      <c r="AF240" s="732" t="str">
        <f t="shared" si="189"/>
        <v>0.71031132852906-6.48978587521878i</v>
      </c>
      <c r="AG240" s="337">
        <f t="shared" si="190"/>
        <v>6.5285421718501517</v>
      </c>
      <c r="AH240" s="730">
        <f t="shared" si="191"/>
        <v>-1.461779607687457</v>
      </c>
      <c r="AI240" s="731" t="str">
        <f t="shared" si="169"/>
        <v>10000</v>
      </c>
      <c r="AJ240" s="733" t="str">
        <f t="shared" si="192"/>
        <v>1+84540.0360152887i</v>
      </c>
      <c r="AK240" s="734">
        <f t="shared" si="193"/>
        <v>84540.03602120305</v>
      </c>
      <c r="AL240" s="735">
        <f t="shared" si="194"/>
        <v>1.5707844980798038</v>
      </c>
      <c r="AM240" s="340" t="str">
        <f t="shared" si="195"/>
        <v>1+143.474155162214i</v>
      </c>
      <c r="AN240" s="734">
        <f t="shared" si="196"/>
        <v>143.47764006809933</v>
      </c>
      <c r="AO240" s="735">
        <f t="shared" si="197"/>
        <v>1.5638265432391798</v>
      </c>
      <c r="AP240" s="733" t="str">
        <f t="shared" si="198"/>
        <v>1+6.9587330182313i</v>
      </c>
      <c r="AQ240" s="734">
        <f t="shared" si="199"/>
        <v>7.0302180065075142</v>
      </c>
      <c r="AR240" s="735">
        <f t="shared" si="200"/>
        <v>1.4280691367391094</v>
      </c>
      <c r="AS240" s="732" t="str">
        <f t="shared" si="201"/>
        <v>0.0134139933088995-16.3792455944336i</v>
      </c>
      <c r="AT240" s="337">
        <f t="shared" si="202"/>
        <v>16.379251087213632</v>
      </c>
      <c r="AU240" s="730">
        <f t="shared" si="203"/>
        <v>-1.5699773641489896</v>
      </c>
      <c r="AV240" s="732" t="str">
        <f t="shared" si="204"/>
        <v>-1.68987540042138+0.0833480797942865i</v>
      </c>
      <c r="AW240" s="337">
        <f t="shared" si="205"/>
        <v>4.5676457678214311</v>
      </c>
      <c r="AX240" s="730">
        <f t="shared" si="206"/>
        <v>177.17634421070585</v>
      </c>
      <c r="AY240" s="360">
        <f t="shared" si="207"/>
        <v>-2.8236557892941505</v>
      </c>
      <c r="BB240" s="337">
        <f t="shared" si="208"/>
        <v>-15.714119189639188</v>
      </c>
      <c r="BC240" s="730">
        <f t="shared" si="209"/>
        <v>-89.953076896810657</v>
      </c>
      <c r="BD240" s="351"/>
      <c r="BE240" s="337">
        <f t="shared" si="170"/>
        <v>43.918162362263928</v>
      </c>
      <c r="BF240" s="730">
        <f t="shared" si="171"/>
        <v>-83.604727739444968</v>
      </c>
      <c r="BI240" s="351"/>
      <c r="BJ240" s="351"/>
      <c r="BL240" s="405">
        <f t="shared" si="172"/>
        <v>0</v>
      </c>
      <c r="BM240" s="405">
        <f t="shared" si="210"/>
        <v>0</v>
      </c>
      <c r="BN240" s="405">
        <f t="shared" si="173"/>
        <v>0</v>
      </c>
      <c r="BO240" s="405">
        <f t="shared" si="174"/>
        <v>0</v>
      </c>
    </row>
    <row r="241" spans="4:67" ht="13.5" thickBot="1" x14ac:dyDescent="0.25">
      <c r="D241" s="345">
        <v>14371.75</v>
      </c>
      <c r="E241" s="340" t="str">
        <f t="shared" si="161"/>
        <v>0.23839297267753i</v>
      </c>
      <c r="F241" s="728" t="str">
        <f t="shared" si="175"/>
        <v>0.005-0.181543474367143i</v>
      </c>
      <c r="G241" s="337" t="str">
        <f t="shared" si="176"/>
        <v>0.005-0.283952613753737i</v>
      </c>
      <c r="H241" s="338" t="str">
        <f t="shared" si="177"/>
        <v>0.0670844996667803-0.267197976298202i</v>
      </c>
      <c r="I241" s="338" t="str">
        <f t="shared" si="178"/>
        <v>0.0770844996667803-0.267197976298202i</v>
      </c>
      <c r="J241" s="337" t="str">
        <f t="shared" si="179"/>
        <v>0.0140752975615962-0.109813769482743i</v>
      </c>
      <c r="K241" s="338" t="str">
        <f t="shared" si="162"/>
        <v>0.997705031132639-0.0752503070320485i</v>
      </c>
      <c r="L241" s="732"/>
      <c r="M241" s="732" t="str">
        <f t="shared" si="163"/>
        <v>16.8256870453736-153.704276874531i</v>
      </c>
      <c r="N241" s="337">
        <f t="shared" si="164"/>
        <v>0</v>
      </c>
      <c r="O241" s="730" t="str">
        <f t="shared" si="165"/>
        <v>-2.72932385353906-61.4960904320347i</v>
      </c>
      <c r="P241" s="731" t="str">
        <f t="shared" si="166"/>
        <v>-16.6420194773695-4.01112555208842i</v>
      </c>
      <c r="Q241" s="729" t="str">
        <f t="shared" si="167"/>
        <v>-16.6147262388341-3.39616464776808i</v>
      </c>
      <c r="R241" s="730"/>
      <c r="S241" s="405" t="str">
        <f t="shared" si="180"/>
        <v>39.7367121501647-0.233836521447214i</v>
      </c>
      <c r="T241" s="405" t="str">
        <f t="shared" si="181"/>
        <v>15.6195946149387-2.50900499849626i</v>
      </c>
      <c r="U241" s="405" t="str">
        <f t="shared" si="182"/>
        <v>0.377431631620829-4.34183941669546i</v>
      </c>
      <c r="V241" s="731" t="str">
        <f t="shared" si="168"/>
        <v>6000</v>
      </c>
      <c r="W241" s="733" t="str">
        <f>IMSUM(COMPLEX(1,0),IMDIV(COMPLEX(0,2*PI()*D241),COMPLEX(2*PI()*'Stability Calculations'!EA_Pole1,0)))</f>
        <v>1+91203.3721228428i</v>
      </c>
      <c r="X241" s="734">
        <f t="shared" si="183"/>
        <v>91203.372128325049</v>
      </c>
      <c r="Y241" s="735">
        <f t="shared" si="184"/>
        <v>1.5707853622880292</v>
      </c>
      <c r="Z241" s="340" t="str">
        <f>IMSUM(COMPLEX(1,0),IMDIV(COMPLEX(0,2*PI()*D241),COMPLEX(2*PI()*'Stability Calculations'!EA_Zero1,0)))</f>
        <v>1+903.003684384582i</v>
      </c>
      <c r="AA241" s="734">
        <f t="shared" si="185"/>
        <v>903.00423809200913</v>
      </c>
      <c r="AB241" s="735">
        <f t="shared" si="186"/>
        <v>1.5696889120539563</v>
      </c>
      <c r="AC241" s="733" t="str">
        <f>IMSUM(COMPLEX(1,0),IMDIV(COMPLEX(0,2*PI()*D241),COMPLEX(2*PI()*'Stability Calculations'!EA_Pole2,0)))</f>
        <v>1+9.09636799769198i</v>
      </c>
      <c r="AD241" s="734">
        <f t="shared" si="187"/>
        <v>9.1511699115159484</v>
      </c>
      <c r="AE241" s="735">
        <f t="shared" si="188"/>
        <v>1.4613020244118757</v>
      </c>
      <c r="AF241" s="732" t="str">
        <f t="shared" si="189"/>
        <v>0.702301130043222-6.45352520842296i</v>
      </c>
      <c r="AG241" s="337">
        <f t="shared" si="190"/>
        <v>6.4916264905654106</v>
      </c>
      <c r="AH241" s="730">
        <f t="shared" si="191"/>
        <v>-1.4623984746459491</v>
      </c>
      <c r="AI241" s="731" t="str">
        <f t="shared" si="169"/>
        <v>10000</v>
      </c>
      <c r="AJ241" s="733" t="str">
        <f t="shared" si="192"/>
        <v>1+85026.6463209157i</v>
      </c>
      <c r="AK241" s="734">
        <f t="shared" si="193"/>
        <v>85026.646326796195</v>
      </c>
      <c r="AL241" s="735">
        <f t="shared" si="194"/>
        <v>1.5707845657759312</v>
      </c>
      <c r="AM241" s="340" t="str">
        <f t="shared" si="195"/>
        <v>1+144.299988764656i</v>
      </c>
      <c r="AN241" s="734">
        <f t="shared" si="196"/>
        <v>144.30345372679008</v>
      </c>
      <c r="AO241" s="735">
        <f t="shared" si="197"/>
        <v>1.5638664302599934</v>
      </c>
      <c r="AP241" s="733" t="str">
        <f t="shared" si="198"/>
        <v>1+6.99878730919666i</v>
      </c>
      <c r="AQ241" s="734">
        <f t="shared" si="199"/>
        <v>7.0698673112988635</v>
      </c>
      <c r="AR241" s="735">
        <f t="shared" si="200"/>
        <v>1.4288750142562383</v>
      </c>
      <c r="AS241" s="732" t="str">
        <f t="shared" si="201"/>
        <v>0.0132608953067325-16.285506755496i</v>
      </c>
      <c r="AT241" s="337">
        <f t="shared" si="202"/>
        <v>16.285512154508691</v>
      </c>
      <c r="AU241" s="730">
        <f t="shared" si="203"/>
        <v>-1.5699820510971876</v>
      </c>
      <c r="AV241" s="732" t="str">
        <f t="shared" si="204"/>
        <v>-1.67036822531908+0.0836871975582147i</v>
      </c>
      <c r="AW241" s="337">
        <f t="shared" si="205"/>
        <v>4.4671320319585046</v>
      </c>
      <c r="AX241" s="730">
        <f t="shared" si="206"/>
        <v>177.13181965387176</v>
      </c>
      <c r="AY241" s="360">
        <f t="shared" si="207"/>
        <v>-2.8681803461282414</v>
      </c>
      <c r="BB241" s="337">
        <f t="shared" si="208"/>
        <v>-15.763971579710752</v>
      </c>
      <c r="BC241" s="730">
        <f t="shared" si="209"/>
        <v>-89.953345439161211</v>
      </c>
      <c r="BD241" s="351"/>
      <c r="BE241" s="337">
        <f t="shared" si="170"/>
        <v>43.785452176143679</v>
      </c>
      <c r="BF241" s="730">
        <f t="shared" si="171"/>
        <v>-83.75282487999246</v>
      </c>
      <c r="BI241" s="351"/>
      <c r="BJ241" s="351"/>
      <c r="BL241" s="405">
        <f t="shared" si="172"/>
        <v>0</v>
      </c>
      <c r="BM241" s="405">
        <f t="shared" si="210"/>
        <v>0</v>
      </c>
      <c r="BN241" s="405">
        <f t="shared" si="173"/>
        <v>0</v>
      </c>
      <c r="BO241" s="405">
        <f t="shared" si="174"/>
        <v>0</v>
      </c>
    </row>
    <row r="242" spans="4:67" ht="13.5" thickBot="1" x14ac:dyDescent="0.25">
      <c r="D242" s="345">
        <v>14454</v>
      </c>
      <c r="E242" s="340" t="str">
        <f t="shared" si="161"/>
        <v>0.239757303535131i</v>
      </c>
      <c r="F242" s="728" t="str">
        <f t="shared" si="175"/>
        <v>0.005-0.180510407343018i</v>
      </c>
      <c r="G242" s="337" t="str">
        <f t="shared" si="176"/>
        <v>0.005-0.282336790972413i</v>
      </c>
      <c r="H242" s="338" t="str">
        <f t="shared" si="177"/>
        <v>0.0664154336914367-0.265832121634615i</v>
      </c>
      <c r="I242" s="338" t="str">
        <f t="shared" si="178"/>
        <v>0.0764154336914367-0.265832121634615i</v>
      </c>
      <c r="J242" s="337" t="str">
        <f t="shared" si="179"/>
        <v>0.0139633706178363-0.109199142145278i</v>
      </c>
      <c r="K242" s="338" t="str">
        <f t="shared" si="162"/>
        <v>0.9976786876-0.0756809670249781i</v>
      </c>
      <c r="L242" s="732"/>
      <c r="M242" s="732" t="str">
        <f t="shared" si="163"/>
        <v>16.1984213205162-151.455988880176i</v>
      </c>
      <c r="N242" s="337">
        <f t="shared" si="164"/>
        <v>0</v>
      </c>
      <c r="O242" s="730" t="str">
        <f t="shared" si="165"/>
        <v>-2.79887689241746-60.5600331802733i</v>
      </c>
      <c r="P242" s="731" t="str">
        <f t="shared" si="166"/>
        <v>-16.3126794981577-3.88368981733294i</v>
      </c>
      <c r="Q242" s="729" t="str">
        <f t="shared" si="167"/>
        <v>-16.2846907292335-3.27808948553022i</v>
      </c>
      <c r="R242" s="730"/>
      <c r="S242" s="405" t="str">
        <f t="shared" si="180"/>
        <v>39.7401349002406-0.266203832588194i</v>
      </c>
      <c r="T242" s="405" t="str">
        <f t="shared" si="181"/>
        <v>15.616705751186-2.51105975020385i</v>
      </c>
      <c r="U242" s="405" t="str">
        <f t="shared" si="182"/>
        <v>0.369669944348597-4.31819514511615i</v>
      </c>
      <c r="V242" s="731" t="str">
        <f t="shared" si="168"/>
        <v>6000</v>
      </c>
      <c r="W242" s="733" t="str">
        <f>IMSUM(COMPLEX(1,0),IMDIV(COMPLEX(0,2*PI()*D242),COMPLEX(2*PI()*'Stability Calculations'!EA_Pole1,0)))</f>
        <v>1+91725.3320342734i</v>
      </c>
      <c r="X242" s="734">
        <f t="shared" si="183"/>
        <v>91725.332039724453</v>
      </c>
      <c r="Y242" s="735">
        <f t="shared" si="184"/>
        <v>1.5707854246811863</v>
      </c>
      <c r="Z242" s="340" t="str">
        <f>IMSUM(COMPLEX(1,0),IMDIV(COMPLEX(0,2*PI()*D242),COMPLEX(2*PI()*'Stability Calculations'!EA_Zero1,0)))</f>
        <v>1+908.171604299737i</v>
      </c>
      <c r="AA242" s="734">
        <f t="shared" si="185"/>
        <v>908.17215485631243</v>
      </c>
      <c r="AB242" s="735">
        <f t="shared" si="186"/>
        <v>1.5696952137551192</v>
      </c>
      <c r="AC242" s="733" t="str">
        <f>IMSUM(COMPLEX(1,0),IMDIV(COMPLEX(0,2*PI()*D242),COMPLEX(2*PI()*'Stability Calculations'!EA_Pole2,0)))</f>
        <v>1+9.14842681222814i</v>
      </c>
      <c r="AD242" s="734">
        <f t="shared" si="187"/>
        <v>9.2029187293322714</v>
      </c>
      <c r="AE242" s="735">
        <f t="shared" si="188"/>
        <v>1.4619201718819093</v>
      </c>
      <c r="AF242" s="732" t="str">
        <f t="shared" si="189"/>
        <v>0.694425134592318-6.41766255232722i</v>
      </c>
      <c r="AG242" s="337">
        <f t="shared" si="190"/>
        <v>6.4551234614913993</v>
      </c>
      <c r="AH242" s="730">
        <f t="shared" si="191"/>
        <v>-1.4630103828079759</v>
      </c>
      <c r="AI242" s="731" t="str">
        <f t="shared" si="169"/>
        <v>10000</v>
      </c>
      <c r="AJ242" s="733" t="str">
        <f t="shared" si="192"/>
        <v>1+85513.2566265427i</v>
      </c>
      <c r="AK242" s="734">
        <f t="shared" si="193"/>
        <v>85513.256632389748</v>
      </c>
      <c r="AL242" s="735">
        <f t="shared" si="194"/>
        <v>1.5707846327016133</v>
      </c>
      <c r="AM242" s="340" t="str">
        <f t="shared" si="195"/>
        <v>1+145.125822367098i</v>
      </c>
      <c r="AN242" s="734">
        <f t="shared" si="196"/>
        <v>145.1292676124512</v>
      </c>
      <c r="AO242" s="735">
        <f t="shared" si="197"/>
        <v>1.5639058633509875</v>
      </c>
      <c r="AP242" s="733" t="str">
        <f t="shared" si="198"/>
        <v>1+7.03884160016202i</v>
      </c>
      <c r="AQ242" s="734">
        <f t="shared" si="199"/>
        <v>7.109521156320687</v>
      </c>
      <c r="AR242" s="735">
        <f t="shared" si="200"/>
        <v>1.4296719026111337</v>
      </c>
      <c r="AS242" s="732" t="str">
        <f t="shared" si="201"/>
        <v>0.0131104034559436-16.1928347498575i</v>
      </c>
      <c r="AT242" s="337">
        <f t="shared" si="202"/>
        <v>16.192840057225027</v>
      </c>
      <c r="AU242" s="730">
        <f t="shared" si="203"/>
        <v>-1.5699866847035793</v>
      </c>
      <c r="AV242" s="732" t="str">
        <f t="shared" si="204"/>
        <v>-1.65119563224497+0.0840075320536221i</v>
      </c>
      <c r="AW242" s="337">
        <f t="shared" si="205"/>
        <v>4.3671975844748507</v>
      </c>
      <c r="AX242" s="730">
        <f t="shared" si="206"/>
        <v>177.08748593679601</v>
      </c>
      <c r="AY242" s="360">
        <f t="shared" si="207"/>
        <v>-2.9125140632039859</v>
      </c>
      <c r="BB242" s="337">
        <f t="shared" si="208"/>
        <v>-15.813539475815661</v>
      </c>
      <c r="BC242" s="730">
        <f t="shared" si="209"/>
        <v>-89.953610925251368</v>
      </c>
      <c r="BD242" s="351"/>
      <c r="BE242" s="337">
        <f t="shared" si="170"/>
        <v>43.655124211480128</v>
      </c>
      <c r="BF242" s="730">
        <f t="shared" si="171"/>
        <v>-83.895345106133476</v>
      </c>
      <c r="BI242" s="351"/>
      <c r="BJ242" s="351"/>
      <c r="BL242" s="405">
        <f t="shared" si="172"/>
        <v>0</v>
      </c>
      <c r="BM242" s="405">
        <f t="shared" si="210"/>
        <v>0</v>
      </c>
      <c r="BN242" s="405">
        <f t="shared" si="173"/>
        <v>0</v>
      </c>
      <c r="BO242" s="405">
        <f t="shared" si="174"/>
        <v>0</v>
      </c>
    </row>
    <row r="243" spans="4:67" ht="13.5" thickBot="1" x14ac:dyDescent="0.25">
      <c r="D243" s="345">
        <v>14622.5</v>
      </c>
      <c r="E243" s="340" t="str">
        <f t="shared" si="161"/>
        <v>0.242552315687176i</v>
      </c>
      <c r="F243" s="728" t="str">
        <f t="shared" si="175"/>
        <v>0.005-0.178430325028962i</v>
      </c>
      <c r="G243" s="337" t="str">
        <f t="shared" si="176"/>
        <v>0.005-0.279083328891452i</v>
      </c>
      <c r="H243" s="338" t="str">
        <f t="shared" si="177"/>
        <v>0.0650775201517702-0.263074487741864i</v>
      </c>
      <c r="I243" s="338" t="str">
        <f t="shared" si="178"/>
        <v>0.0750775201517702-0.263074487741864i</v>
      </c>
      <c r="J243" s="337" t="str">
        <f t="shared" si="179"/>
        <v>0.0137398809731611-0.107961075328306i</v>
      </c>
      <c r="K243" s="338" t="str">
        <f t="shared" si="162"/>
        <v>0.997624249930556-0.0765632309618613i</v>
      </c>
      <c r="L243" s="732"/>
      <c r="M243" s="732" t="str">
        <f t="shared" si="163"/>
        <v>15.0133211492901-147.065430867711i</v>
      </c>
      <c r="N243" s="337">
        <f t="shared" si="164"/>
        <v>0</v>
      </c>
      <c r="O243" s="730" t="str">
        <f t="shared" si="165"/>
        <v>-2.92010158019838-58.7355579854815i</v>
      </c>
      <c r="P243" s="731" t="str">
        <f t="shared" si="166"/>
        <v>-15.6710608144957-3.64151581091556i</v>
      </c>
      <c r="Q243" s="729" t="str">
        <f t="shared" si="167"/>
        <v>-15.6418597986937-3.05416023106074i</v>
      </c>
      <c r="R243" s="730"/>
      <c r="S243" s="405" t="str">
        <f t="shared" si="180"/>
        <v>39.7468666915828-0.332020419176714i</v>
      </c>
      <c r="T243" s="405" t="str">
        <f t="shared" si="181"/>
        <v>15.6108708028303-2.51546068588123i</v>
      </c>
      <c r="U243" s="405" t="str">
        <f t="shared" si="182"/>
        <v>0.354163227884869-4.27052178313545i</v>
      </c>
      <c r="V243" s="731" t="str">
        <f t="shared" si="168"/>
        <v>6000</v>
      </c>
      <c r="W243" s="733" t="str">
        <f>IMSUM(COMPLEX(1,0),IMDIV(COMPLEX(0,2*PI()*D243),COMPLEX(2*PI()*'Stability Calculations'!EA_Pole1,0)))</f>
        <v>1+92794.6359257758i</v>
      </c>
      <c r="X243" s="734">
        <f t="shared" si="183"/>
        <v>92794.635931164055</v>
      </c>
      <c r="Y243" s="735">
        <f t="shared" si="184"/>
        <v>1.57078555030992</v>
      </c>
      <c r="Z243" s="340" t="str">
        <f>IMSUM(COMPLEX(1,0),IMDIV(COMPLEX(0,2*PI()*D243),COMPLEX(2*PI()*'Stability Calculations'!EA_Zero1,0)))</f>
        <v>1+918.758771542335i</v>
      </c>
      <c r="AA243" s="734">
        <f t="shared" si="185"/>
        <v>918.75931575466518</v>
      </c>
      <c r="AB243" s="735">
        <f t="shared" si="186"/>
        <v>1.5697079022420275</v>
      </c>
      <c r="AC243" s="733" t="str">
        <f>IMSUM(COMPLEX(1,0),IMDIV(COMPLEX(0,2*PI()*D243),COMPLEX(2*PI()*'Stability Calculations'!EA_Pole2,0)))</f>
        <v>1+9.25507617696181i</v>
      </c>
      <c r="AD243" s="734">
        <f t="shared" si="187"/>
        <v>9.3089438198630265</v>
      </c>
      <c r="AE243" s="735">
        <f t="shared" si="188"/>
        <v>1.4631650659253563</v>
      </c>
      <c r="AF243" s="732" t="str">
        <f t="shared" si="189"/>
        <v>0.678696776542974-6.3454090905918i</v>
      </c>
      <c r="AG243" s="337">
        <f t="shared" si="190"/>
        <v>6.3816021375086427</v>
      </c>
      <c r="AH243" s="730">
        <f t="shared" si="191"/>
        <v>-1.4642427139932481</v>
      </c>
      <c r="AI243" s="731" t="str">
        <f t="shared" si="169"/>
        <v>10000</v>
      </c>
      <c r="AJ243" s="733" t="str">
        <f t="shared" si="192"/>
        <v>1+86510.1421766723i</v>
      </c>
      <c r="AK243" s="734">
        <f t="shared" si="193"/>
        <v>86510.142182451978</v>
      </c>
      <c r="AL243" s="735">
        <f t="shared" si="194"/>
        <v>1.5707847674565949</v>
      </c>
      <c r="AM243" s="340" t="str">
        <f t="shared" si="195"/>
        <v>1+146.817651692465i</v>
      </c>
      <c r="AN243" s="734">
        <f t="shared" si="196"/>
        <v>146.82105723802007</v>
      </c>
      <c r="AO243" s="735">
        <f t="shared" si="197"/>
        <v>1.5639852620156265</v>
      </c>
      <c r="AP243" s="733" t="str">
        <f t="shared" si="198"/>
        <v>1+7.12089811113665i</v>
      </c>
      <c r="AQ243" s="734">
        <f t="shared" si="199"/>
        <v>7.1907711623434034</v>
      </c>
      <c r="AR243" s="735">
        <f t="shared" si="200"/>
        <v>1.431276985313251</v>
      </c>
      <c r="AS243" s="732" t="str">
        <f t="shared" si="201"/>
        <v>0.0128099933405562-16.0062394932474i</v>
      </c>
      <c r="AT243" s="337">
        <f t="shared" si="202"/>
        <v>16.006244619245397</v>
      </c>
      <c r="AU243" s="730">
        <f t="shared" si="203"/>
        <v>-1.569996014478501</v>
      </c>
      <c r="AV243" s="732" t="str">
        <f t="shared" si="204"/>
        <v>-1.61293101088013+0.0846079614899684i</v>
      </c>
      <c r="AW243" s="337">
        <f t="shared" si="205"/>
        <v>4.1642496276169174</v>
      </c>
      <c r="AX243" s="730">
        <f t="shared" si="206"/>
        <v>176.99724287526055</v>
      </c>
      <c r="AY243" s="360">
        <f t="shared" si="207"/>
        <v>-3.0027571247394462</v>
      </c>
      <c r="BB243" s="337">
        <f t="shared" si="208"/>
        <v>-15.914211003649845</v>
      </c>
      <c r="BC243" s="730">
        <f t="shared" si="209"/>
        <v>-89.954145481978202</v>
      </c>
      <c r="BD243" s="351"/>
      <c r="BE243" s="337">
        <f t="shared" si="170"/>
        <v>43.395237998345252</v>
      </c>
      <c r="BF243" s="730">
        <f t="shared" si="171"/>
        <v>-84.171095990711081</v>
      </c>
      <c r="BI243" s="351"/>
      <c r="BJ243" s="351"/>
      <c r="BL243" s="405">
        <f t="shared" si="172"/>
        <v>0</v>
      </c>
      <c r="BM243" s="405">
        <f t="shared" si="210"/>
        <v>0</v>
      </c>
      <c r="BN243" s="405">
        <f t="shared" si="173"/>
        <v>0</v>
      </c>
      <c r="BO243" s="405">
        <f t="shared" si="174"/>
        <v>0</v>
      </c>
    </row>
    <row r="244" spans="4:67" ht="13.5" thickBot="1" x14ac:dyDescent="0.25">
      <c r="D244" s="345">
        <v>14706.75</v>
      </c>
      <c r="E244" s="340" t="str">
        <f t="shared" si="161"/>
        <v>0.243949821763199i</v>
      </c>
      <c r="F244" s="728" t="str">
        <f t="shared" si="175"/>
        <v>0.005-0.177408158004725i</v>
      </c>
      <c r="G244" s="337" t="str">
        <f t="shared" si="176"/>
        <v>0.005-0.277484554827903i</v>
      </c>
      <c r="H244" s="338" t="str">
        <f t="shared" si="177"/>
        <v>0.0644246142761046-0.261715721387382i</v>
      </c>
      <c r="I244" s="338" t="str">
        <f t="shared" si="178"/>
        <v>0.0744246142761046-0.261715721387382i</v>
      </c>
      <c r="J244" s="337" t="str">
        <f t="shared" si="179"/>
        <v>0.013630975660057-0.107352431004432i</v>
      </c>
      <c r="K244" s="338" t="str">
        <f t="shared" si="162"/>
        <v>0.99759679449375-0.0770043629303028i</v>
      </c>
      <c r="L244" s="732"/>
      <c r="M244" s="732" t="str">
        <f t="shared" si="163"/>
        <v>14.466679065924-144.972059420539i</v>
      </c>
      <c r="N244" s="337">
        <f t="shared" si="164"/>
        <v>0</v>
      </c>
      <c r="O244" s="730" t="str">
        <f t="shared" si="165"/>
        <v>-2.97118820975763-57.8672860749343i</v>
      </c>
      <c r="P244" s="731" t="str">
        <f t="shared" si="166"/>
        <v>-15.3659080562843-3.52914377963757i</v>
      </c>
      <c r="Q244" s="729" t="str">
        <f t="shared" si="167"/>
        <v>-15.3361961741867-2.95047091888821i</v>
      </c>
      <c r="R244" s="730"/>
      <c r="S244" s="405" t="str">
        <f t="shared" si="180"/>
        <v>39.7500950790954-0.364685722314923i</v>
      </c>
      <c r="T244" s="405" t="str">
        <f t="shared" si="181"/>
        <v>15.6079938391583-2.51775566995018i</v>
      </c>
      <c r="U244" s="405" t="str">
        <f t="shared" si="182"/>
        <v>0.346602741273402-4.24706280490312i</v>
      </c>
      <c r="V244" s="731" t="str">
        <f t="shared" si="168"/>
        <v>6000</v>
      </c>
      <c r="W244" s="733" t="str">
        <f>IMSUM(COMPLEX(1,0),IMDIV(COMPLEX(0,2*PI()*D244),COMPLEX(2*PI()*'Stability Calculations'!EA_Pole1,0)))</f>
        <v>1+93329.287871527i</v>
      </c>
      <c r="X244" s="734">
        <f t="shared" si="183"/>
        <v>93329.28787688438</v>
      </c>
      <c r="Y244" s="735">
        <f t="shared" si="184"/>
        <v>1.5707856120447601</v>
      </c>
      <c r="Z244" s="340" t="str">
        <f>IMSUM(COMPLEX(1,0),IMDIV(COMPLEX(0,2*PI()*D244),COMPLEX(2*PI()*'Stability Calculations'!EA_Zero1,0)))</f>
        <v>1+924.052355163634i</v>
      </c>
      <c r="AA244" s="734">
        <f t="shared" si="185"/>
        <v>924.05289625835746</v>
      </c>
      <c r="AB244" s="735">
        <f t="shared" si="186"/>
        <v>1.5697141374535308</v>
      </c>
      <c r="AC244" s="733" t="str">
        <f>IMSUM(COMPLEX(1,0),IMDIV(COMPLEX(0,2*PI()*D244),COMPLEX(2*PI()*'Stability Calculations'!EA_Pole2,0)))</f>
        <v>1+9.30840085932865i</v>
      </c>
      <c r="AD244" s="734">
        <f t="shared" si="187"/>
        <v>9.3619616832131047</v>
      </c>
      <c r="AE244" s="735">
        <f t="shared" si="188"/>
        <v>1.4637769385676418</v>
      </c>
      <c r="AF244" s="732" t="str">
        <f t="shared" si="189"/>
        <v>0.671031467388558-6.30988186868028i</v>
      </c>
      <c r="AG244" s="337">
        <f t="shared" si="190"/>
        <v>6.3454623493427</v>
      </c>
      <c r="AH244" s="730">
        <f t="shared" si="191"/>
        <v>-1.4648484131588704</v>
      </c>
      <c r="AI244" s="731" t="str">
        <f t="shared" si="169"/>
        <v>10000</v>
      </c>
      <c r="AJ244" s="733" t="str">
        <f t="shared" si="192"/>
        <v>1+87008.5849517371i</v>
      </c>
      <c r="AK244" s="734">
        <f t="shared" si="193"/>
        <v>87008.584957483647</v>
      </c>
      <c r="AL244" s="735">
        <f t="shared" si="194"/>
        <v>1.570784833676137</v>
      </c>
      <c r="AM244" s="340" t="str">
        <f t="shared" si="195"/>
        <v>1+147.663566355149i</v>
      </c>
      <c r="AN244" s="734">
        <f t="shared" si="196"/>
        <v>147.66695239193325</v>
      </c>
      <c r="AO244" s="735">
        <f t="shared" si="197"/>
        <v>1.5640242791073069</v>
      </c>
      <c r="AP244" s="733" t="str">
        <f t="shared" si="198"/>
        <v>1+7.16192636662397i</v>
      </c>
      <c r="AQ244" s="734">
        <f t="shared" si="199"/>
        <v>7.2314029953352499</v>
      </c>
      <c r="AR244" s="735">
        <f t="shared" si="200"/>
        <v>1.4320659999567367</v>
      </c>
      <c r="AS244" s="732" t="str">
        <f t="shared" si="201"/>
        <v>0.0126636455816842-15.9145452736094i</v>
      </c>
      <c r="AT244" s="337">
        <f t="shared" si="202"/>
        <v>15.914550312015816</v>
      </c>
      <c r="AU244" s="730">
        <f t="shared" si="203"/>
        <v>-1.5700005991953223</v>
      </c>
      <c r="AV244" s="732" t="str">
        <f t="shared" si="204"/>
        <v>-1.59429365225108+0.0848814134426939i</v>
      </c>
      <c r="AW244" s="337">
        <f t="shared" si="205"/>
        <v>4.0636593446096034</v>
      </c>
      <c r="AX244" s="730">
        <f t="shared" si="206"/>
        <v>176.95240625106496</v>
      </c>
      <c r="AY244" s="360">
        <f t="shared" si="207"/>
        <v>-3.0475937489350429</v>
      </c>
      <c r="BB244" s="337">
        <f t="shared" si="208"/>
        <v>-15.964112569410347</v>
      </c>
      <c r="BC244" s="730">
        <f t="shared" si="209"/>
        <v>-89.954408166902326</v>
      </c>
      <c r="BD244" s="351"/>
      <c r="BE244" s="337">
        <f t="shared" si="170"/>
        <v>43.268719003800527</v>
      </c>
      <c r="BF244" s="730">
        <f t="shared" si="171"/>
        <v>-84.301352473355934</v>
      </c>
      <c r="BI244" s="351"/>
      <c r="BJ244" s="351"/>
      <c r="BL244" s="405">
        <f t="shared" si="172"/>
        <v>0</v>
      </c>
      <c r="BM244" s="405">
        <f t="shared" si="210"/>
        <v>0</v>
      </c>
      <c r="BN244" s="405">
        <f t="shared" si="173"/>
        <v>0</v>
      </c>
      <c r="BO244" s="405">
        <f t="shared" si="174"/>
        <v>0</v>
      </c>
    </row>
    <row r="245" spans="4:67" ht="13.5" thickBot="1" x14ac:dyDescent="0.25">
      <c r="D245" s="345">
        <v>14791</v>
      </c>
      <c r="E245" s="340" t="str">
        <f t="shared" si="161"/>
        <v>0.245347327839222i</v>
      </c>
      <c r="F245" s="728" t="str">
        <f t="shared" si="175"/>
        <v>0.005-0.17639763557136i</v>
      </c>
      <c r="G245" s="337" t="str">
        <f t="shared" si="176"/>
        <v>0.005-0.275903994098794i</v>
      </c>
      <c r="H245" s="338" t="str">
        <f t="shared" si="177"/>
        <v>0.0637821115806416-0.260370084706449i</v>
      </c>
      <c r="I245" s="338" t="str">
        <f t="shared" si="178"/>
        <v>0.0737821115806416-0.260370084706449i</v>
      </c>
      <c r="J245" s="337" t="str">
        <f t="shared" si="179"/>
        <v>0.0135239067756815-0.106750559910382i</v>
      </c>
      <c r="K245" s="338" t="str">
        <f t="shared" si="162"/>
        <v>0.997569181322222-0.0774454948987444i</v>
      </c>
      <c r="L245" s="732"/>
      <c r="M245" s="732" t="str">
        <f t="shared" si="163"/>
        <v>13.9479523283605-142.942505002508i</v>
      </c>
      <c r="N245" s="337">
        <f t="shared" si="164"/>
        <v>0</v>
      </c>
      <c r="O245" s="730" t="str">
        <f t="shared" si="165"/>
        <v>-3.01663267046808-57.0264749326319i</v>
      </c>
      <c r="P245" s="731" t="str">
        <f t="shared" si="166"/>
        <v>-15.0705616370099-3.4220928325921i</v>
      </c>
      <c r="Q245" s="729" t="str">
        <f t="shared" si="167"/>
        <v>-15.0403953103052-2.85182808326578i</v>
      </c>
      <c r="R245" s="730"/>
      <c r="S245" s="405" t="str">
        <f t="shared" si="180"/>
        <v>39.7532341870433-0.397192327436802i</v>
      </c>
      <c r="T245" s="405" t="str">
        <f t="shared" si="181"/>
        <v>15.6051429381419-2.52011235623405i</v>
      </c>
      <c r="U245" s="405" t="str">
        <f t="shared" si="182"/>
        <v>0.339167100450002-4.22385047616134i</v>
      </c>
      <c r="V245" s="731" t="str">
        <f t="shared" si="168"/>
        <v>6000</v>
      </c>
      <c r="W245" s="733" t="str">
        <f>IMSUM(COMPLEX(1,0),IMDIV(COMPLEX(0,2*PI()*D245),COMPLEX(2*PI()*'Stability Calculations'!EA_Pole1,0)))</f>
        <v>1+93863.9398172782i</v>
      </c>
      <c r="X245" s="734">
        <f t="shared" si="183"/>
        <v>93863.939822605054</v>
      </c>
      <c r="Y245" s="735">
        <f t="shared" si="184"/>
        <v>1.570785673076313</v>
      </c>
      <c r="Z245" s="340" t="str">
        <f>IMSUM(COMPLEX(1,0),IMDIV(COMPLEX(0,2*PI()*D245),COMPLEX(2*PI()*'Stability Calculations'!EA_Zero1,0)))</f>
        <v>1+929.345938784933i</v>
      </c>
      <c r="AA245" s="734">
        <f t="shared" si="185"/>
        <v>929.34647679756574</v>
      </c>
      <c r="AB245" s="735">
        <f t="shared" si="186"/>
        <v>1.5697203016331962</v>
      </c>
      <c r="AC245" s="733" t="str">
        <f>IMSUM(COMPLEX(1,0),IMDIV(COMPLEX(0,2*PI()*D245),COMPLEX(2*PI()*'Stability Calculations'!EA_Pole2,0)))</f>
        <v>1+9.36172554169549i</v>
      </c>
      <c r="AD245" s="734">
        <f t="shared" si="187"/>
        <v>9.4149830120948028</v>
      </c>
      <c r="AE245" s="735">
        <f t="shared" si="188"/>
        <v>1.4643819198019858</v>
      </c>
      <c r="AF245" s="732" t="str">
        <f t="shared" si="189"/>
        <v>0.663494800064766-6.27474563387208i</v>
      </c>
      <c r="AG245" s="337">
        <f t="shared" si="190"/>
        <v>6.3097272618956932</v>
      </c>
      <c r="AH245" s="730">
        <f t="shared" si="191"/>
        <v>-1.4654472912451031</v>
      </c>
      <c r="AI245" s="731" t="str">
        <f t="shared" si="169"/>
        <v>10000</v>
      </c>
      <c r="AJ245" s="733" t="str">
        <f t="shared" si="192"/>
        <v>1+87507.0277268019i</v>
      </c>
      <c r="AK245" s="734">
        <f t="shared" si="193"/>
        <v>87507.027732515737</v>
      </c>
      <c r="AL245" s="735">
        <f t="shared" si="194"/>
        <v>1.570784899141302</v>
      </c>
      <c r="AM245" s="340" t="str">
        <f t="shared" si="195"/>
        <v>1+148.509481017832i</v>
      </c>
      <c r="AN245" s="734">
        <f t="shared" si="196"/>
        <v>148.51284776808302</v>
      </c>
      <c r="AO245" s="735">
        <f t="shared" si="197"/>
        <v>1.5640628517340993</v>
      </c>
      <c r="AP245" s="733" t="str">
        <f t="shared" si="198"/>
        <v>1+7.20295462211128i</v>
      </c>
      <c r="AQ245" s="734">
        <f t="shared" si="199"/>
        <v>7.2720392798852691</v>
      </c>
      <c r="AR245" s="735">
        <f t="shared" si="200"/>
        <v>1.4328461970257556</v>
      </c>
      <c r="AS245" s="732" t="str">
        <f t="shared" si="201"/>
        <v>0.0125197914958519-15.8238956383015i</v>
      </c>
      <c r="AT245" s="337">
        <f t="shared" si="202"/>
        <v>15.823900591100678</v>
      </c>
      <c r="AU245" s="730">
        <f t="shared" si="203"/>
        <v>-1.570005131682795</v>
      </c>
      <c r="AV245" s="732" t="str">
        <f t="shared" si="204"/>
        <v>-1.57597618958171+0.0851378970255639i</v>
      </c>
      <c r="AW245" s="337">
        <f t="shared" si="205"/>
        <v>3.9636490759697383</v>
      </c>
      <c r="AX245" s="730">
        <f t="shared" si="206"/>
        <v>176.90775462071849</v>
      </c>
      <c r="AY245" s="360">
        <f t="shared" si="207"/>
        <v>-3.0922453792815077</v>
      </c>
      <c r="BB245" s="337">
        <f t="shared" si="208"/>
        <v>-16.013729081257466</v>
      </c>
      <c r="BC245" s="730">
        <f t="shared" si="209"/>
        <v>-89.954667859305204</v>
      </c>
      <c r="BD245" s="351"/>
      <c r="BE245" s="337">
        <f t="shared" si="170"/>
        <v>43.144382816457643</v>
      </c>
      <c r="BF245" s="730">
        <f t="shared" si="171"/>
        <v>-84.426872268872401</v>
      </c>
      <c r="BI245" s="351"/>
      <c r="BJ245" s="351"/>
      <c r="BL245" s="405">
        <f t="shared" si="172"/>
        <v>0</v>
      </c>
      <c r="BM245" s="405">
        <f t="shared" si="210"/>
        <v>0</v>
      </c>
      <c r="BN245" s="405">
        <f t="shared" si="173"/>
        <v>0</v>
      </c>
      <c r="BO245" s="405">
        <f t="shared" si="174"/>
        <v>0</v>
      </c>
    </row>
    <row r="246" spans="4:67" ht="13.5" thickBot="1" x14ac:dyDescent="0.25">
      <c r="D246" s="345">
        <v>14877.25</v>
      </c>
      <c r="E246" s="340" t="str">
        <f t="shared" si="161"/>
        <v>0.246778009133667i</v>
      </c>
      <c r="F246" s="728" t="str">
        <f t="shared" si="175"/>
        <v>0.005-0.175374980438992i</v>
      </c>
      <c r="G246" s="337" t="str">
        <f t="shared" si="176"/>
        <v>0.005-0.274304456584064i</v>
      </c>
      <c r="H246" s="338" t="str">
        <f t="shared" si="177"/>
        <v>0.0631349076889415-0.259005922754852i</v>
      </c>
      <c r="I246" s="338" t="str">
        <f t="shared" si="178"/>
        <v>0.0731349076889415-0.259005922754852i</v>
      </c>
      <c r="J246" s="337" t="str">
        <f t="shared" si="179"/>
        <v>0.0134161557775937-0.106141300992964i</v>
      </c>
      <c r="K246" s="338" t="str">
        <f t="shared" si="162"/>
        <v>0.997540749249306-0.0778970988426979i</v>
      </c>
      <c r="L246" s="732"/>
      <c r="M246" s="732" t="str">
        <f t="shared" si="163"/>
        <v>13.443933018616-140.92788691079i</v>
      </c>
      <c r="N246" s="337">
        <f t="shared" si="164"/>
        <v>0</v>
      </c>
      <c r="O246" s="730" t="str">
        <f t="shared" si="165"/>
        <v>-3.05780311958476-56.1928123479747i</v>
      </c>
      <c r="P246" s="731" t="str">
        <f t="shared" si="166"/>
        <v>-14.7779033632592-3.31766702526043i</v>
      </c>
      <c r="Q246" s="729" t="str">
        <f t="shared" si="167"/>
        <v>-14.7473253320634-2.75573890178068i</v>
      </c>
      <c r="R246" s="730"/>
      <c r="S246" s="405" t="str">
        <f t="shared" si="180"/>
        <v>39.7563571403511-0.430308725841953i</v>
      </c>
      <c r="T246" s="405" t="str">
        <f t="shared" si="181"/>
        <v>15.6022506434773-2.52258790473195i</v>
      </c>
      <c r="U246" s="405" t="str">
        <f t="shared" si="182"/>
        <v>0.331681446120336-4.20033867946881i</v>
      </c>
      <c r="V246" s="731" t="str">
        <f t="shared" si="168"/>
        <v>6000</v>
      </c>
      <c r="W246" s="733" t="str">
        <f>IMSUM(COMPLEX(1,0),IMDIV(COMPLEX(0,2*PI()*D246),COMPLEX(2*PI()*'Stability Calculations'!EA_Pole1,0)))</f>
        <v>1+94411.2837973499i</v>
      </c>
      <c r="X246" s="734">
        <f t="shared" si="183"/>
        <v>94411.283802645863</v>
      </c>
      <c r="Y246" s="735">
        <f t="shared" si="184"/>
        <v>1.5707857348406329</v>
      </c>
      <c r="Z246" s="340" t="str">
        <f>IMSUM(COMPLEX(1,0),IMDIV(COMPLEX(0,2*PI()*D246),COMPLEX(2*PI()*'Stability Calculations'!EA_Zero1,0)))</f>
        <v>1+934.765186112375i</v>
      </c>
      <c r="AA246" s="734">
        <f t="shared" si="185"/>
        <v>934.76572100591227</v>
      </c>
      <c r="AB246" s="735">
        <f t="shared" si="186"/>
        <v>1.5697265398223228</v>
      </c>
      <c r="AC246" s="733" t="str">
        <f>IMSUM(COMPLEX(1,0),IMDIV(COMPLEX(0,2*PI()*D246),COMPLEX(2*PI()*'Stability Calculations'!EA_Pole2,0)))</f>
        <v>1+9.41631609189298i</v>
      </c>
      <c r="AD246" s="734">
        <f t="shared" si="187"/>
        <v>9.4692665366670656</v>
      </c>
      <c r="AE246" s="735">
        <f t="shared" si="188"/>
        <v>1.4649942442741113</v>
      </c>
      <c r="AF246" s="732" t="str">
        <f t="shared" si="189"/>
        <v>0.655909502621952-6.23917370493654i</v>
      </c>
      <c r="AG246" s="337">
        <f t="shared" si="190"/>
        <v>6.2735560725956168</v>
      </c>
      <c r="AH246" s="730">
        <f t="shared" si="191"/>
        <v>-1.4660534392924207</v>
      </c>
      <c r="AI246" s="731" t="str">
        <f t="shared" si="169"/>
        <v>10000</v>
      </c>
      <c r="AJ246" s="733" t="str">
        <f t="shared" si="192"/>
        <v>1+88017.3029713043i</v>
      </c>
      <c r="AK246" s="734">
        <f t="shared" si="193"/>
        <v>88017.302976985011</v>
      </c>
      <c r="AL246" s="735">
        <f t="shared" si="194"/>
        <v>1.5707849653924655</v>
      </c>
      <c r="AM246" s="340" t="str">
        <f t="shared" si="195"/>
        <v>1+149.375476740757i</v>
      </c>
      <c r="AN246" s="734">
        <f t="shared" si="196"/>
        <v>149.37882397290599</v>
      </c>
      <c r="AO246" s="735">
        <f t="shared" si="197"/>
        <v>1.564101887498244</v>
      </c>
      <c r="AP246" s="733" t="str">
        <f t="shared" si="198"/>
        <v>1+7.24495684212055i</v>
      </c>
      <c r="AQ246" s="734">
        <f t="shared" si="199"/>
        <v>7.3136447578611161</v>
      </c>
      <c r="AR246" s="735">
        <f t="shared" si="200"/>
        <v>1.4336359335296145</v>
      </c>
      <c r="AS246" s="732" t="str">
        <f t="shared" si="201"/>
        <v>0.0123750468396359-15.7321576285941i</v>
      </c>
      <c r="AT246" s="337">
        <f t="shared" si="202"/>
        <v>15.732162495751048</v>
      </c>
      <c r="AU246" s="730">
        <f t="shared" si="203"/>
        <v>-1.5700097185889899</v>
      </c>
      <c r="AV246" s="732" t="str">
        <f t="shared" si="204"/>
        <v>-1.55754766290558+0.0853835424587607i</v>
      </c>
      <c r="AW246" s="337">
        <f t="shared" si="205"/>
        <v>3.8618585239970731</v>
      </c>
      <c r="AX246" s="730">
        <f t="shared" si="206"/>
        <v>176.862230898452</v>
      </c>
      <c r="AY246" s="360">
        <f t="shared" si="207"/>
        <v>-3.1377691015480025</v>
      </c>
      <c r="BB246" s="337">
        <f t="shared" si="208"/>
        <v>-16.064231529197595</v>
      </c>
      <c r="BC246" s="730">
        <f t="shared" si="209"/>
        <v>-89.954930669671185</v>
      </c>
      <c r="BD246" s="351"/>
      <c r="BE246" s="337">
        <f t="shared" si="170"/>
        <v>43.019282433868767</v>
      </c>
      <c r="BF246" s="730">
        <f t="shared" si="171"/>
        <v>-84.550711691094392</v>
      </c>
      <c r="BI246" s="351"/>
      <c r="BJ246" s="351"/>
      <c r="BL246" s="405">
        <f t="shared" si="172"/>
        <v>0</v>
      </c>
      <c r="BM246" s="405">
        <f t="shared" si="210"/>
        <v>0</v>
      </c>
      <c r="BN246" s="405">
        <f t="shared" si="173"/>
        <v>0</v>
      </c>
      <c r="BO246" s="405">
        <f t="shared" si="174"/>
        <v>0</v>
      </c>
    </row>
    <row r="247" spans="4:67" ht="13.5" thickBot="1" x14ac:dyDescent="0.25">
      <c r="D247" s="345">
        <v>14963.5</v>
      </c>
      <c r="E247" s="340" t="str">
        <f t="shared" si="161"/>
        <v>0.248208690428112i</v>
      </c>
      <c r="F247" s="728" t="str">
        <f t="shared" si="175"/>
        <v>0.005-0.17436411452775i</v>
      </c>
      <c r="G247" s="337" t="str">
        <f t="shared" si="176"/>
        <v>0.005-0.272723358620327i</v>
      </c>
      <c r="H247" s="338" t="str">
        <f t="shared" si="177"/>
        <v>0.0624981546546127-0.257655153896114i</v>
      </c>
      <c r="I247" s="338" t="str">
        <f t="shared" si="178"/>
        <v>0.0724981546546127-0.257655153896114i</v>
      </c>
      <c r="J247" s="337" t="str">
        <f t="shared" si="179"/>
        <v>0.0133102437946199-0.105538906835715i</v>
      </c>
      <c r="K247" s="338" t="str">
        <f t="shared" si="162"/>
        <v>0.997512151863889-0.0783487027866514i</v>
      </c>
      <c r="L247" s="732"/>
      <c r="M247" s="732" t="str">
        <f t="shared" si="163"/>
        <v>12.9654725984566-138.974251586786i</v>
      </c>
      <c r="N247" s="337">
        <f t="shared" si="164"/>
        <v>0</v>
      </c>
      <c r="O247" s="730" t="str">
        <f t="shared" si="165"/>
        <v>-3.09401417386212-55.3852948629806i</v>
      </c>
      <c r="P247" s="731" t="str">
        <f t="shared" si="166"/>
        <v>-14.4946169895831-3.21814297444449i</v>
      </c>
      <c r="Q247" s="729" t="str">
        <f t="shared" si="167"/>
        <v>-14.4636768478445-2.66429002581466i</v>
      </c>
      <c r="R247" s="730"/>
      <c r="S247" s="405" t="str">
        <f t="shared" si="180"/>
        <v>39.7593901524771-0.463263864019983i</v>
      </c>
      <c r="T247" s="405" t="str">
        <f t="shared" si="181"/>
        <v>15.599384231797-2.52512610924192i</v>
      </c>
      <c r="U247" s="405" t="str">
        <f t="shared" si="182"/>
        <v>0.324320971951744-4.17707746702605i</v>
      </c>
      <c r="V247" s="731" t="str">
        <f t="shared" si="168"/>
        <v>6000</v>
      </c>
      <c r="W247" s="733" t="str">
        <f>IMSUM(COMPLEX(1,0),IMDIV(COMPLEX(0,2*PI()*D247),COMPLEX(2*PI()*'Stability Calculations'!EA_Pole1,0)))</f>
        <v>1+94958.6277774215i</v>
      </c>
      <c r="X247" s="734">
        <f t="shared" si="183"/>
        <v>94958.627782686948</v>
      </c>
      <c r="Y247" s="735">
        <f t="shared" si="184"/>
        <v>1.5707857958929305</v>
      </c>
      <c r="Z247" s="340" t="str">
        <f>IMSUM(COMPLEX(1,0),IMDIV(COMPLEX(0,2*PI()*D247),COMPLEX(2*PI()*'Stability Calculations'!EA_Zero1,0)))</f>
        <v>1+940.184433439817i</v>
      </c>
      <c r="AA247" s="734">
        <f t="shared" si="185"/>
        <v>940.18496525021601</v>
      </c>
      <c r="AB247" s="735">
        <f t="shared" si="186"/>
        <v>1.5697327060973649</v>
      </c>
      <c r="AC247" s="733" t="str">
        <f>IMSUM(COMPLEX(1,0),IMDIV(COMPLEX(0,2*PI()*D247),COMPLEX(2*PI()*'Stability Calculations'!EA_Pole2,0)))</f>
        <v>1+9.47090664209048i</v>
      </c>
      <c r="AD247" s="734">
        <f t="shared" si="187"/>
        <v>9.5235535711830579</v>
      </c>
      <c r="AE247" s="735">
        <f t="shared" si="188"/>
        <v>1.465599588114695</v>
      </c>
      <c r="AF247" s="732" t="str">
        <f t="shared" si="189"/>
        <v>0.648453064074834-6.2039982452859i</v>
      </c>
      <c r="AG247" s="337">
        <f t="shared" si="190"/>
        <v>6.2377949312091499</v>
      </c>
      <c r="AH247" s="730">
        <f t="shared" si="191"/>
        <v>-1.4666526779102611</v>
      </c>
      <c r="AI247" s="731" t="str">
        <f t="shared" si="169"/>
        <v>10000</v>
      </c>
      <c r="AJ247" s="733" t="str">
        <f t="shared" si="192"/>
        <v>1+88527.5782158068i</v>
      </c>
      <c r="AK247" s="734">
        <f t="shared" si="193"/>
        <v>88527.578221454751</v>
      </c>
      <c r="AL247" s="735">
        <f t="shared" si="194"/>
        <v>1.5707850308798823</v>
      </c>
      <c r="AM247" s="340" t="str">
        <f t="shared" si="195"/>
        <v>1+150.241472463683i</v>
      </c>
      <c r="AN247" s="734">
        <f t="shared" si="196"/>
        <v>150.24480040272817</v>
      </c>
      <c r="AO247" s="735">
        <f t="shared" si="197"/>
        <v>1.564140473276137</v>
      </c>
      <c r="AP247" s="733" t="str">
        <f t="shared" si="198"/>
        <v>1+7.28695906212982i</v>
      </c>
      <c r="AQ247" s="734">
        <f t="shared" si="199"/>
        <v>7.3552547456329407</v>
      </c>
      <c r="AR247" s="735">
        <f t="shared" si="200"/>
        <v>1.4344167351553907</v>
      </c>
      <c r="AS247" s="732" t="str">
        <f t="shared" si="201"/>
        <v>0.012232797896692-15.6414771774438i</v>
      </c>
      <c r="AT247" s="337">
        <f t="shared" si="202"/>
        <v>15.641481960921721</v>
      </c>
      <c r="AU247" s="730">
        <f t="shared" si="203"/>
        <v>-1.5700142526171259</v>
      </c>
      <c r="AV247" s="732" t="str">
        <f t="shared" si="204"/>
        <v>-1.53943917339008+0.0856126999368139i</v>
      </c>
      <c r="AW247" s="337">
        <f t="shared" si="205"/>
        <v>3.7606617885541764</v>
      </c>
      <c r="AX247" s="730">
        <f t="shared" si="206"/>
        <v>176.81689354717028</v>
      </c>
      <c r="AY247" s="360">
        <f t="shared" si="207"/>
        <v>-3.183106452829719</v>
      </c>
      <c r="BB247" s="337">
        <f t="shared" si="208"/>
        <v>-16.114442037083194</v>
      </c>
      <c r="BC247" s="730">
        <f t="shared" si="209"/>
        <v>-89.955190450347573</v>
      </c>
      <c r="BD247" s="351"/>
      <c r="BE247" s="337">
        <f t="shared" si="170"/>
        <v>42.896323371034342</v>
      </c>
      <c r="BF247" s="730">
        <f t="shared" si="171"/>
        <v>-84.670071713505436</v>
      </c>
      <c r="BI247" s="351"/>
      <c r="BJ247" s="351"/>
      <c r="BL247" s="405">
        <f t="shared" si="172"/>
        <v>0</v>
      </c>
      <c r="BM247" s="405">
        <f t="shared" si="210"/>
        <v>0</v>
      </c>
      <c r="BN247" s="405">
        <f t="shared" si="173"/>
        <v>0</v>
      </c>
      <c r="BO247" s="405">
        <f t="shared" si="174"/>
        <v>0</v>
      </c>
    </row>
    <row r="248" spans="4:67" ht="13.5" thickBot="1" x14ac:dyDescent="0.25">
      <c r="D248" s="345">
        <v>15049.75</v>
      </c>
      <c r="E248" s="340" t="str">
        <f t="shared" si="161"/>
        <v>0.249639371722557i</v>
      </c>
      <c r="F248" s="728" t="str">
        <f t="shared" si="175"/>
        <v>0.005-0.173364835145832i</v>
      </c>
      <c r="G248" s="337" t="str">
        <f t="shared" si="176"/>
        <v>0.005-0.271160383176815i</v>
      </c>
      <c r="H248" s="338" t="str">
        <f t="shared" si="177"/>
        <v>0.0618716325226541-0.25631759668418i</v>
      </c>
      <c r="I248" s="338" t="str">
        <f t="shared" si="178"/>
        <v>0.0718716325226541-0.25631759668418i</v>
      </c>
      <c r="J248" s="337" t="str">
        <f t="shared" si="179"/>
        <v>0.0132061293126418-0.104943263002483i</v>
      </c>
      <c r="K248" s="338" t="str">
        <f t="shared" si="162"/>
        <v>0.997483389165972-0.078800306730605i</v>
      </c>
      <c r="L248" s="732"/>
      <c r="M248" s="732" t="str">
        <f t="shared" si="163"/>
        <v>12.5109189821664-137.078870755768i</v>
      </c>
      <c r="N248" s="337">
        <f t="shared" si="164"/>
        <v>0</v>
      </c>
      <c r="O248" s="730" t="str">
        <f t="shared" si="165"/>
        <v>-3.12568427284159-54.602708988851i</v>
      </c>
      <c r="P248" s="731" t="str">
        <f t="shared" si="166"/>
        <v>-14.2202831719074-3.12321795437982i</v>
      </c>
      <c r="Q248" s="729" t="str">
        <f t="shared" si="167"/>
        <v>-14.189026329179-2.5771908644913i</v>
      </c>
      <c r="R248" s="730"/>
      <c r="S248" s="405" t="str">
        <f t="shared" si="180"/>
        <v>39.7623349843679-0.49606022671606i</v>
      </c>
      <c r="T248" s="405" t="str">
        <f t="shared" si="181"/>
        <v>15.596543008077-2.52772598269864i</v>
      </c>
      <c r="U248" s="405" t="str">
        <f t="shared" si="182"/>
        <v>0.317082928658034-4.15406295353123i</v>
      </c>
      <c r="V248" s="731" t="str">
        <f t="shared" si="168"/>
        <v>6000</v>
      </c>
      <c r="W248" s="733" t="str">
        <f>IMSUM(COMPLEX(1,0),IMDIV(COMPLEX(0,2*PI()*D248),COMPLEX(2*PI()*'Stability Calculations'!EA_Pole1,0)))</f>
        <v>1+95505.9717574933i</v>
      </c>
      <c r="X248" s="734">
        <f t="shared" si="183"/>
        <v>95505.971762728572</v>
      </c>
      <c r="Y248" s="735">
        <f t="shared" si="184"/>
        <v>1.5707858562454475</v>
      </c>
      <c r="Z248" s="340" t="str">
        <f>IMSUM(COMPLEX(1,0),IMDIV(COMPLEX(0,2*PI()*D248),COMPLEX(2*PI()*'Stability Calculations'!EA_Zero1,0)))</f>
        <v>1+945.60368076726i</v>
      </c>
      <c r="AA248" s="734">
        <f t="shared" si="185"/>
        <v>945.6042095298593</v>
      </c>
      <c r="AB248" s="735">
        <f t="shared" si="186"/>
        <v>1.5697388016947382</v>
      </c>
      <c r="AC248" s="733" t="str">
        <f>IMSUM(COMPLEX(1,0),IMDIV(COMPLEX(0,2*PI()*D248),COMPLEX(2*PI()*'Stability Calculations'!EA_Pole2,0)))</f>
        <v>1+9.52549719228799i</v>
      </c>
      <c r="AD248" s="734">
        <f t="shared" si="187"/>
        <v>9.5778440559598987</v>
      </c>
      <c r="AE248" s="735">
        <f t="shared" si="188"/>
        <v>1.4661980695820729</v>
      </c>
      <c r="AF248" s="732" t="str">
        <f t="shared" si="189"/>
        <v>0.641122592853936-6.16921274199354i</v>
      </c>
      <c r="AG248" s="337">
        <f t="shared" si="190"/>
        <v>6.2024369432540958</v>
      </c>
      <c r="AH248" s="730">
        <f t="shared" si="191"/>
        <v>-1.4672451241327817</v>
      </c>
      <c r="AI248" s="731" t="str">
        <f t="shared" si="169"/>
        <v>10000</v>
      </c>
      <c r="AJ248" s="733" t="str">
        <f t="shared" si="192"/>
        <v>1+89037.8534603094i</v>
      </c>
      <c r="AK248" s="734">
        <f t="shared" si="193"/>
        <v>89037.853465924985</v>
      </c>
      <c r="AL248" s="735">
        <f t="shared" si="194"/>
        <v>1.5707850956166831</v>
      </c>
      <c r="AM248" s="340" t="str">
        <f t="shared" si="195"/>
        <v>1+151.107468186608i</v>
      </c>
      <c r="AN248" s="734">
        <f t="shared" si="196"/>
        <v>151.11077705367924</v>
      </c>
      <c r="AO248" s="735">
        <f t="shared" si="197"/>
        <v>1.5641786168039256</v>
      </c>
      <c r="AP248" s="733" t="str">
        <f t="shared" si="198"/>
        <v>1+7.32896128213909i</v>
      </c>
      <c r="AQ248" s="734">
        <f t="shared" si="199"/>
        <v>7.3968691670931879</v>
      </c>
      <c r="AR248" s="735">
        <f t="shared" si="200"/>
        <v>1.4351887517444784</v>
      </c>
      <c r="AS248" s="732" t="str">
        <f t="shared" si="201"/>
        <v>0.0120929876196814-15.5518361023153i</v>
      </c>
      <c r="AT248" s="337">
        <f t="shared" si="202"/>
        <v>15.551840804021468</v>
      </c>
      <c r="AU248" s="730">
        <f t="shared" si="203"/>
        <v>-1.5700187346763337</v>
      </c>
      <c r="AV248" s="732" t="str">
        <f t="shared" si="204"/>
        <v>-1.52164334715026+0.0858259865959067i</v>
      </c>
      <c r="AW248" s="337">
        <f t="shared" si="205"/>
        <v>3.6600519405851233</v>
      </c>
      <c r="AX248" s="730">
        <f t="shared" si="206"/>
        <v>176.77173891476008</v>
      </c>
      <c r="AY248" s="360">
        <f t="shared" si="207"/>
        <v>-3.2282610852399216</v>
      </c>
      <c r="BB248" s="337">
        <f t="shared" si="208"/>
        <v>-16.164363960764536</v>
      </c>
      <c r="BC248" s="730">
        <f t="shared" si="209"/>
        <v>-89.955447253423714</v>
      </c>
      <c r="BD248" s="351"/>
      <c r="BE248" s="337">
        <f t="shared" si="170"/>
        <v>42.775436618628547</v>
      </c>
      <c r="BF248" s="730">
        <f t="shared" si="171"/>
        <v>-84.785174424849117</v>
      </c>
      <c r="BI248" s="351"/>
      <c r="BJ248" s="351"/>
      <c r="BL248" s="405">
        <f t="shared" si="172"/>
        <v>0</v>
      </c>
      <c r="BM248" s="405">
        <f t="shared" si="210"/>
        <v>0</v>
      </c>
      <c r="BN248" s="405">
        <f t="shared" si="173"/>
        <v>0</v>
      </c>
      <c r="BO248" s="405">
        <f t="shared" si="174"/>
        <v>0</v>
      </c>
    </row>
    <row r="249" spans="4:67" ht="13.5" thickBot="1" x14ac:dyDescent="0.25">
      <c r="D249" s="345">
        <v>15136</v>
      </c>
      <c r="E249" s="340" t="str">
        <f t="shared" si="161"/>
        <v>0.251070053017001i</v>
      </c>
      <c r="F249" s="728" t="str">
        <f t="shared" si="175"/>
        <v>0.005-0.172376944221458i</v>
      </c>
      <c r="G249" s="337" t="str">
        <f t="shared" si="176"/>
        <v>0.005-0.269615220448947i</v>
      </c>
      <c r="H249" s="338" t="str">
        <f t="shared" si="177"/>
        <v>0.0612551269890742-0.254993072561608i</v>
      </c>
      <c r="I249" s="338" t="str">
        <f t="shared" si="178"/>
        <v>0.0712551269890742-0.254993072561608i</v>
      </c>
      <c r="J249" s="337" t="str">
        <f t="shared" si="179"/>
        <v>0.0131037719794552-0.104354257565599i</v>
      </c>
      <c r="K249" s="338" t="str">
        <f t="shared" si="162"/>
        <v>0.997454461155556-0.0792519106745585i</v>
      </c>
      <c r="L249" s="732"/>
      <c r="M249" s="732" t="str">
        <f t="shared" si="163"/>
        <v>12.0787491129108-135.239172883738i</v>
      </c>
      <c r="N249" s="337">
        <f t="shared" si="164"/>
        <v>0</v>
      </c>
      <c r="O249" s="730" t="str">
        <f t="shared" si="165"/>
        <v>-3.15319444499889-53.8439138654587i</v>
      </c>
      <c r="P249" s="731" t="str">
        <f t="shared" si="166"/>
        <v>-13.9545063058956-3.03261218015758i</v>
      </c>
      <c r="Q249" s="729" t="str">
        <f t="shared" si="167"/>
        <v>-13.9229743614456-2.49417304150299i</v>
      </c>
      <c r="R249" s="730"/>
      <c r="S249" s="405" t="str">
        <f t="shared" si="180"/>
        <v>39.7651933492599-0.528700249236792i</v>
      </c>
      <c r="T249" s="405" t="str">
        <f t="shared" si="181"/>
        <v>15.5937262961335-2.53038655755703i</v>
      </c>
      <c r="U249" s="405" t="str">
        <f t="shared" si="182"/>
        <v>0.309964641422464-4.13129133085044i</v>
      </c>
      <c r="V249" s="731" t="str">
        <f t="shared" si="168"/>
        <v>6000</v>
      </c>
      <c r="W249" s="733" t="str">
        <f>IMSUM(COMPLEX(1,0),IMDIV(COMPLEX(0,2*PI()*D249),COMPLEX(2*PI()*'Stability Calculations'!EA_Pole1,0)))</f>
        <v>1+96053.3157375649i</v>
      </c>
      <c r="X249" s="734">
        <f t="shared" si="183"/>
        <v>96053.315742770326</v>
      </c>
      <c r="Y249" s="735">
        <f t="shared" si="184"/>
        <v>1.5707859159101469</v>
      </c>
      <c r="Z249" s="340" t="str">
        <f>IMSUM(COMPLEX(1,0),IMDIV(COMPLEX(0,2*PI()*D249),COMPLEX(2*PI()*'Stability Calculations'!EA_Zero1,0)))</f>
        <v>1+951.022928094702i</v>
      </c>
      <c r="AA249" s="734">
        <f t="shared" si="185"/>
        <v>951.02345384423643</v>
      </c>
      <c r="AB249" s="735">
        <f t="shared" si="186"/>
        <v>1.5697448278226758</v>
      </c>
      <c r="AC249" s="733" t="str">
        <f>IMSUM(COMPLEX(1,0),IMDIV(COMPLEX(0,2*PI()*D249),COMPLEX(2*PI()*'Stability Calculations'!EA_Pole2,0)))</f>
        <v>1+9.58008774248548i</v>
      </c>
      <c r="AD249" s="734">
        <f t="shared" si="187"/>
        <v>9.632137932656514</v>
      </c>
      <c r="AE249" s="735">
        <f t="shared" si="188"/>
        <v>1.466789804288132</v>
      </c>
      <c r="AF249" s="732" t="str">
        <f t="shared" si="189"/>
        <v>0.633915277745544-6.13481082219672i</v>
      </c>
      <c r="AG249" s="337">
        <f t="shared" si="190"/>
        <v>6.1674753670769702</v>
      </c>
      <c r="AH249" s="730">
        <f t="shared" si="191"/>
        <v>-1.4678308923756032</v>
      </c>
      <c r="AI249" s="731" t="str">
        <f t="shared" si="169"/>
        <v>10000</v>
      </c>
      <c r="AJ249" s="733" t="str">
        <f t="shared" si="192"/>
        <v>1+89548.1287048119i</v>
      </c>
      <c r="AK249" s="734">
        <f t="shared" si="193"/>
        <v>89548.128710395467</v>
      </c>
      <c r="AL249" s="735">
        <f t="shared" si="194"/>
        <v>1.5707851596157001</v>
      </c>
      <c r="AM249" s="340" t="str">
        <f t="shared" si="195"/>
        <v>1+151.973463909533i</v>
      </c>
      <c r="AN249" s="734">
        <f t="shared" si="196"/>
        <v>151.97675392198019</v>
      </c>
      <c r="AO249" s="735">
        <f t="shared" si="197"/>
        <v>1.5642163256414372</v>
      </c>
      <c r="AP249" s="733" t="str">
        <f t="shared" si="198"/>
        <v>1+7.37096350214836i</v>
      </c>
      <c r="AQ249" s="734">
        <f t="shared" si="199"/>
        <v>7.4384879478293984</v>
      </c>
      <c r="AR249" s="735">
        <f t="shared" si="200"/>
        <v>1.4359521298272104</v>
      </c>
      <c r="AS249" s="732" t="str">
        <f t="shared" si="201"/>
        <v>0.0119555605819931-15.4632166351129i</v>
      </c>
      <c r="AT249" s="337">
        <f t="shared" si="202"/>
        <v>15.463221256900553</v>
      </c>
      <c r="AU249" s="730">
        <f t="shared" si="203"/>
        <v>-1.5700231656550219</v>
      </c>
      <c r="AV249" s="732" t="str">
        <f t="shared" si="204"/>
        <v>-1.50415302153179+0.0860239953231078i</v>
      </c>
      <c r="AW249" s="337">
        <f t="shared" si="205"/>
        <v>3.5600221714624478</v>
      </c>
      <c r="AX249" s="730">
        <f t="shared" si="206"/>
        <v>176.72676344381469</v>
      </c>
      <c r="AY249" s="360">
        <f t="shared" si="207"/>
        <v>-3.2732365561853101</v>
      </c>
      <c r="BB249" s="337">
        <f t="shared" si="208"/>
        <v>-16.214000598559139</v>
      </c>
      <c r="BC249" s="730">
        <f t="shared" si="209"/>
        <v>-89.955701129801653</v>
      </c>
      <c r="BD249" s="351"/>
      <c r="BE249" s="337">
        <f t="shared" si="170"/>
        <v>42.656556290520001</v>
      </c>
      <c r="BF249" s="730">
        <f t="shared" si="171"/>
        <v>-84.896227915006705</v>
      </c>
      <c r="BI249" s="351"/>
      <c r="BJ249" s="351"/>
      <c r="BL249" s="405">
        <f t="shared" si="172"/>
        <v>0</v>
      </c>
      <c r="BM249" s="405">
        <f t="shared" si="210"/>
        <v>0</v>
      </c>
      <c r="BN249" s="405">
        <f t="shared" si="173"/>
        <v>0</v>
      </c>
      <c r="BO249" s="405">
        <f t="shared" si="174"/>
        <v>0</v>
      </c>
    </row>
    <row r="250" spans="4:67" ht="13.5" thickBot="1" x14ac:dyDescent="0.25">
      <c r="D250" s="345">
        <v>15224</v>
      </c>
      <c r="E250" s="340" t="str">
        <f t="shared" si="161"/>
        <v>0.252529762627565i</v>
      </c>
      <c r="F250" s="728" t="str">
        <f t="shared" si="175"/>
        <v>0.005-0.171380545699947i</v>
      </c>
      <c r="G250" s="337" t="str">
        <f t="shared" si="176"/>
        <v>0.005-0.268056750966583i</v>
      </c>
      <c r="H250" s="338" t="str">
        <f t="shared" si="177"/>
        <v>0.06063621951198-0.253654924160489i</v>
      </c>
      <c r="I250" s="338" t="str">
        <f t="shared" si="178"/>
        <v>0.07063621951198-0.253654924160489i</v>
      </c>
      <c r="J250" s="337" t="str">
        <f t="shared" si="179"/>
        <v>0.0130011081210427-0.103760029502401i</v>
      </c>
      <c r="K250" s="338" t="str">
        <f t="shared" si="162"/>
        <v>0.997424775822222-0.079712677597085i</v>
      </c>
      <c r="L250" s="732"/>
      <c r="M250" s="732" t="str">
        <f t="shared" si="163"/>
        <v>11.6594220974012-133.417020893516i</v>
      </c>
      <c r="N250" s="337">
        <f t="shared" si="164"/>
        <v>0</v>
      </c>
      <c r="O250" s="730" t="str">
        <f t="shared" si="165"/>
        <v>-3.17733563005979-53.0931291172863i</v>
      </c>
      <c r="P250" s="731" t="str">
        <f t="shared" si="166"/>
        <v>-13.6917686167165-2.94435109463131i</v>
      </c>
      <c r="Q250" s="729" t="str">
        <f t="shared" si="167"/>
        <v>-13.6599952604159-2.41341980345846i</v>
      </c>
      <c r="R250" s="730"/>
      <c r="S250" s="405" t="str">
        <f t="shared" si="180"/>
        <v>39.7680223230795-0.561843879114067i</v>
      </c>
      <c r="T250" s="405" t="str">
        <f t="shared" si="181"/>
        <v>15.5908770137453-2.53316269236263i</v>
      </c>
      <c r="U250" s="405" t="str">
        <f t="shared" si="182"/>
        <v>0.302822650372327-4.10830413559075i</v>
      </c>
      <c r="V250" s="731" t="str">
        <f t="shared" si="168"/>
        <v>6000</v>
      </c>
      <c r="W250" s="733" t="str">
        <f>IMSUM(COMPLEX(1,0),IMDIV(COMPLEX(0,2*PI()*D250),COMPLEX(2*PI()*'Stability Calculations'!EA_Pole1,0)))</f>
        <v>1+96611.765247667i</v>
      </c>
      <c r="X250" s="734">
        <f t="shared" si="183"/>
        <v>96611.765252842379</v>
      </c>
      <c r="Y250" s="735">
        <f t="shared" si="184"/>
        <v>1.5707859760886715</v>
      </c>
      <c r="Z250" s="340" t="str">
        <f>IMSUM(COMPLEX(1,0),IMDIV(COMPLEX(0,2*PI()*D250),COMPLEX(2*PI()*'Stability Calculations'!EA_Zero1,0)))</f>
        <v>1+956.55213116502i</v>
      </c>
      <c r="AA250" s="734">
        <f t="shared" si="185"/>
        <v>956.55265387554152</v>
      </c>
      <c r="AB250" s="735">
        <f t="shared" si="186"/>
        <v>1.5697509058469756</v>
      </c>
      <c r="AC250" s="733" t="str">
        <f>IMSUM(COMPLEX(1,0),IMDIV(COMPLEX(0,2*PI()*D250),COMPLEX(2*PI()*'Stability Calculations'!EA_Pole2,0)))</f>
        <v>1+9.63578592703482i</v>
      </c>
      <c r="AD250" s="734">
        <f t="shared" si="187"/>
        <v>9.6875368609178611</v>
      </c>
      <c r="AE250" s="735">
        <f t="shared" si="188"/>
        <v>1.4673867089964012</v>
      </c>
      <c r="AF250" s="732" t="str">
        <f t="shared" si="189"/>
        <v>0.626685821025258-6.10009975881438i</v>
      </c>
      <c r="AG250" s="337">
        <f t="shared" si="190"/>
        <v>6.1322061434496282</v>
      </c>
      <c r="AH250" s="730">
        <f t="shared" si="191"/>
        <v>-1.4684217792380971</v>
      </c>
      <c r="AI250" s="731" t="str">
        <f t="shared" si="169"/>
        <v>10000</v>
      </c>
      <c r="AJ250" s="733" t="str">
        <f t="shared" si="192"/>
        <v>1+90068.7573600724i</v>
      </c>
      <c r="AK250" s="734">
        <f t="shared" si="193"/>
        <v>90068.757365623722</v>
      </c>
      <c r="AL250" s="735">
        <f t="shared" si="194"/>
        <v>1.5707852241658689</v>
      </c>
      <c r="AM250" s="340" t="str">
        <f t="shared" si="195"/>
        <v>1+152.85703056017i</v>
      </c>
      <c r="AN250" s="734">
        <f t="shared" si="196"/>
        <v>152.86030155561235</v>
      </c>
      <c r="AO250" s="735">
        <f t="shared" si="197"/>
        <v>1.5642543592418514</v>
      </c>
      <c r="AP250" s="733" t="str">
        <f t="shared" si="198"/>
        <v>1+7.41381794111433i</v>
      </c>
      <c r="AQ250" s="734">
        <f t="shared" si="199"/>
        <v>7.4809555849496077</v>
      </c>
      <c r="AR250" s="735">
        <f t="shared" si="200"/>
        <v>1.4367222422281549</v>
      </c>
      <c r="AS250" s="732" t="str">
        <f t="shared" si="201"/>
        <v>0.0118177455543085-15.373833985934i</v>
      </c>
      <c r="AT250" s="337">
        <f t="shared" si="202"/>
        <v>15.373838528037467</v>
      </c>
      <c r="AU250" s="730">
        <f t="shared" si="203"/>
        <v>-1.5700276347927931</v>
      </c>
      <c r="AV250" s="732" t="str">
        <f t="shared" si="204"/>
        <v>-1.486615461771+0.0862108665663653i</v>
      </c>
      <c r="AW250" s="337">
        <f t="shared" si="205"/>
        <v>3.4585537236296542</v>
      </c>
      <c r="AX250" s="730">
        <f t="shared" si="206"/>
        <v>176.68105648255613</v>
      </c>
      <c r="AY250" s="360">
        <f t="shared" si="207"/>
        <v>-3.31894351744387</v>
      </c>
      <c r="BB250" s="337">
        <f t="shared" si="208"/>
        <v>-16.264353693057892</v>
      </c>
      <c r="BC250" s="730">
        <f t="shared" si="209"/>
        <v>-89.955957192534001</v>
      </c>
      <c r="BD250" s="351"/>
      <c r="BE250" s="337">
        <f t="shared" si="170"/>
        <v>42.537266506642943</v>
      </c>
      <c r="BF250" s="730">
        <f t="shared" si="171"/>
        <v>-85.005563808399941</v>
      </c>
      <c r="BI250" s="351"/>
      <c r="BJ250" s="351"/>
      <c r="BL250" s="405">
        <f t="shared" si="172"/>
        <v>0</v>
      </c>
      <c r="BM250" s="405">
        <f t="shared" si="210"/>
        <v>0</v>
      </c>
      <c r="BN250" s="405">
        <f t="shared" si="173"/>
        <v>0</v>
      </c>
      <c r="BO250" s="405">
        <f t="shared" si="174"/>
        <v>0</v>
      </c>
    </row>
    <row r="251" spans="4:67" ht="13.5" thickBot="1" x14ac:dyDescent="0.25">
      <c r="D251" s="345">
        <v>15312</v>
      </c>
      <c r="E251" s="340" t="str">
        <f t="shared" si="161"/>
        <v>0.253989472238129i</v>
      </c>
      <c r="F251" s="728" t="str">
        <f t="shared" si="175"/>
        <v>0.005-0.170395600035005i</v>
      </c>
      <c r="G251" s="337" t="str">
        <f t="shared" si="176"/>
        <v>0.005-0.266516194926545i</v>
      </c>
      <c r="H251" s="338" t="str">
        <f t="shared" si="177"/>
        <v>0.0600273057730738-0.252329976562863i</v>
      </c>
      <c r="I251" s="338" t="str">
        <f t="shared" si="178"/>
        <v>0.0700273057730738-0.252329976562863i</v>
      </c>
      <c r="J251" s="337" t="str">
        <f t="shared" si="179"/>
        <v>0.0129001921053241-0.103172484246178i</v>
      </c>
      <c r="K251" s="338" t="str">
        <f t="shared" si="162"/>
        <v>0.9973949184-0.0801734445196115i</v>
      </c>
      <c r="L251" s="732"/>
      <c r="M251" s="732" t="str">
        <f t="shared" si="163"/>
        <v>11.2605546637888-131.647879631996i</v>
      </c>
      <c r="N251" s="337">
        <f t="shared" si="164"/>
        <v>0</v>
      </c>
      <c r="O251" s="730" t="str">
        <f t="shared" si="165"/>
        <v>-3.19784413271504-52.3649200942694i</v>
      </c>
      <c r="P251" s="731" t="str">
        <f t="shared" si="166"/>
        <v>-13.4371754689995-2.86006233616431i</v>
      </c>
      <c r="Q251" s="729" t="str">
        <f t="shared" si="167"/>
        <v>-13.4051970276723-2.33641313522163i</v>
      </c>
      <c r="R251" s="730"/>
      <c r="S251" s="405" t="str">
        <f t="shared" si="180"/>
        <v>39.7707647433806-0.594829729675408i</v>
      </c>
      <c r="T251" s="405" t="str">
        <f t="shared" si="181"/>
        <v>15.5880518831712-2.53600004206708i</v>
      </c>
      <c r="U251" s="405" t="str">
        <f t="shared" si="182"/>
        <v>0.295799925619459-4.08556201630698i</v>
      </c>
      <c r="V251" s="731" t="str">
        <f t="shared" si="168"/>
        <v>6000</v>
      </c>
      <c r="W251" s="733" t="str">
        <f>IMSUM(COMPLEX(1,0),IMDIV(COMPLEX(0,2*PI()*D251),COMPLEX(2*PI()*'Stability Calculations'!EA_Pole1,0)))</f>
        <v>1+97170.2147577692i</v>
      </c>
      <c r="X251" s="734">
        <f t="shared" si="183"/>
        <v>97170.214762914795</v>
      </c>
      <c r="Y251" s="735">
        <f t="shared" si="184"/>
        <v>1.570786035575489</v>
      </c>
      <c r="Z251" s="340" t="str">
        <f>IMSUM(COMPLEX(1,0),IMDIV(COMPLEX(0,2*PI()*D251),COMPLEX(2*PI()*'Stability Calculations'!EA_Zero1,0)))</f>
        <v>1+962.081334235338i</v>
      </c>
      <c r="AA251" s="734">
        <f t="shared" si="185"/>
        <v>962.08185394177781</v>
      </c>
      <c r="AB251" s="735">
        <f t="shared" si="186"/>
        <v>1.5697569140090031</v>
      </c>
      <c r="AC251" s="733" t="str">
        <f>IMSUM(COMPLEX(1,0),IMDIV(COMPLEX(0,2*PI()*D251),COMPLEX(2*PI()*'Stability Calculations'!EA_Pole2,0)))</f>
        <v>1+9.69148411158415i</v>
      </c>
      <c r="AD251" s="734">
        <f t="shared" si="187"/>
        <v>9.7429392015493992</v>
      </c>
      <c r="AE251" s="735">
        <f t="shared" si="188"/>
        <v>1.4679768254239021</v>
      </c>
      <c r="AF251" s="732" t="str">
        <f t="shared" si="189"/>
        <v>0.619578900759936-6.06577502946078i</v>
      </c>
      <c r="AG251" s="337">
        <f t="shared" si="190"/>
        <v>6.0973358708781014</v>
      </c>
      <c r="AH251" s="730">
        <f t="shared" si="191"/>
        <v>-1.4690059469903884</v>
      </c>
      <c r="AI251" s="731" t="str">
        <f t="shared" si="169"/>
        <v>10000</v>
      </c>
      <c r="AJ251" s="733" t="str">
        <f t="shared" si="192"/>
        <v>1+90589.3860153329i</v>
      </c>
      <c r="AK251" s="734">
        <f t="shared" si="193"/>
        <v>90589.386020852311</v>
      </c>
      <c r="AL251" s="735">
        <f t="shared" si="194"/>
        <v>1.5707852879740816</v>
      </c>
      <c r="AM251" s="340" t="str">
        <f t="shared" si="195"/>
        <v>1+153.740597210807i</v>
      </c>
      <c r="AN251" s="734">
        <f t="shared" si="196"/>
        <v>153.7438494078238</v>
      </c>
      <c r="AO251" s="735">
        <f t="shared" si="197"/>
        <v>1.564291955693047</v>
      </c>
      <c r="AP251" s="733" t="str">
        <f t="shared" si="198"/>
        <v>1+7.45667238008031i</v>
      </c>
      <c r="AQ251" s="734">
        <f t="shared" si="199"/>
        <v>7.5234276087334395</v>
      </c>
      <c r="AR251" s="735">
        <f t="shared" si="200"/>
        <v>1.4374836600416976</v>
      </c>
      <c r="AS251" s="732" t="str">
        <f t="shared" si="201"/>
        <v>0.0116822998114088-15.2854787217165i</v>
      </c>
      <c r="AT251" s="337">
        <f t="shared" si="202"/>
        <v>15.285483185957084</v>
      </c>
      <c r="AU251" s="730">
        <f t="shared" si="203"/>
        <v>-1.5700320525611948</v>
      </c>
      <c r="AV251" s="732" t="str">
        <f t="shared" si="204"/>
        <v>-1.469381502847+0.0863830078735318i</v>
      </c>
      <c r="AW251" s="337">
        <f t="shared" si="205"/>
        <v>3.3576751848100743</v>
      </c>
      <c r="AX251" s="730">
        <f t="shared" si="206"/>
        <v>176.6355288335634</v>
      </c>
      <c r="AY251" s="360">
        <f t="shared" si="207"/>
        <v>-3.3644711664366014</v>
      </c>
      <c r="BB251" s="337">
        <f t="shared" si="208"/>
        <v>-16.314416566722276</v>
      </c>
      <c r="BC251" s="730">
        <f t="shared" si="209"/>
        <v>-89.9562103120183</v>
      </c>
      <c r="BD251" s="351"/>
      <c r="BE251" s="337">
        <f t="shared" si="170"/>
        <v>42.419936011367625</v>
      </c>
      <c r="BF251" s="730">
        <f t="shared" si="171"/>
        <v>-85.111082076923566</v>
      </c>
      <c r="BI251" s="351"/>
      <c r="BJ251" s="351"/>
      <c r="BL251" s="405">
        <f t="shared" si="172"/>
        <v>0</v>
      </c>
      <c r="BM251" s="405">
        <f t="shared" si="210"/>
        <v>0</v>
      </c>
      <c r="BN251" s="405">
        <f t="shared" si="173"/>
        <v>0</v>
      </c>
      <c r="BO251" s="405">
        <f t="shared" si="174"/>
        <v>0</v>
      </c>
    </row>
    <row r="252" spans="4:67" ht="13.5" thickBot="1" x14ac:dyDescent="0.25">
      <c r="D252" s="345">
        <v>15400</v>
      </c>
      <c r="E252" s="340" t="str">
        <f t="shared" si="161"/>
        <v>0.255449181848693i</v>
      </c>
      <c r="F252" s="728" t="str">
        <f t="shared" si="175"/>
        <v>0.005-0.169421910891947i</v>
      </c>
      <c r="G252" s="337" t="str">
        <f t="shared" si="176"/>
        <v>0.005-0.264993245241251i</v>
      </c>
      <c r="H252" s="338" t="str">
        <f t="shared" si="177"/>
        <v>0.0594281752685324-0.251018049129889i</v>
      </c>
      <c r="I252" s="338" t="str">
        <f t="shared" si="178"/>
        <v>0.0694281752685324-0.251018049129889i</v>
      </c>
      <c r="J252" s="337" t="str">
        <f t="shared" si="179"/>
        <v>0.012800984568721-0.102591510560657i</v>
      </c>
      <c r="K252" s="338" t="str">
        <f t="shared" si="162"/>
        <v>0.997364888888889-0.080634211442138i</v>
      </c>
      <c r="L252" s="732"/>
      <c r="M252" s="732" t="str">
        <f t="shared" si="163"/>
        <v>10.8808733637712-129.929456209965i</v>
      </c>
      <c r="N252" s="337">
        <f t="shared" si="164"/>
        <v>0</v>
      </c>
      <c r="O252" s="730" t="str">
        <f t="shared" si="165"/>
        <v>-3.21502656357586-51.6582767816125i</v>
      </c>
      <c r="P252" s="731" t="str">
        <f t="shared" si="166"/>
        <v>-13.1903732868812-2.77951019857458i</v>
      </c>
      <c r="Q252" s="729" t="str">
        <f t="shared" si="167"/>
        <v>-13.1582230212455-2.26292743075847i</v>
      </c>
      <c r="R252" s="730"/>
      <c r="S252" s="405" t="str">
        <f t="shared" si="180"/>
        <v>39.773422285935-0.627660235811352i</v>
      </c>
      <c r="T252" s="405" t="str">
        <f t="shared" si="181"/>
        <v>15.5852502430454-2.53889763891675i</v>
      </c>
      <c r="U252" s="405" t="str">
        <f t="shared" si="182"/>
        <v>0.288893850786282-4.06306116508484i</v>
      </c>
      <c r="V252" s="731" t="str">
        <f t="shared" si="168"/>
        <v>6000</v>
      </c>
      <c r="W252" s="733" t="str">
        <f>IMSUM(COMPLEX(1,0),IMDIV(COMPLEX(0,2*PI()*D252),COMPLEX(2*PI()*'Stability Calculations'!EA_Pole1,0)))</f>
        <v>1+97728.6642678713i</v>
      </c>
      <c r="X252" s="734">
        <f t="shared" si="183"/>
        <v>97728.664272987487</v>
      </c>
      <c r="Y252" s="735">
        <f t="shared" si="184"/>
        <v>1.570786094382457</v>
      </c>
      <c r="Z252" s="340" t="str">
        <f>IMSUM(COMPLEX(1,0),IMDIV(COMPLEX(0,2*PI()*D252),COMPLEX(2*PI()*'Stability Calculations'!EA_Zero1,0)))</f>
        <v>1+967.610537305656i</v>
      </c>
      <c r="AA252" s="734">
        <f t="shared" si="185"/>
        <v>967.61105404234627</v>
      </c>
      <c r="AB252" s="735">
        <f t="shared" si="186"/>
        <v>1.5697628535063954</v>
      </c>
      <c r="AC252" s="733" t="str">
        <f>IMSUM(COMPLEX(1,0),IMDIV(COMPLEX(0,2*PI()*D252),COMPLEX(2*PI()*'Stability Calculations'!EA_Pole2,0)))</f>
        <v>1+9.74718229613349i</v>
      </c>
      <c r="AD252" s="734">
        <f t="shared" si="187"/>
        <v>9.7983448966679134</v>
      </c>
      <c r="AE252" s="735">
        <f t="shared" si="188"/>
        <v>1.4685602683110914</v>
      </c>
      <c r="AF252" s="732" t="str">
        <f t="shared" si="189"/>
        <v>0.612591772968306-6.03183029278182i</v>
      </c>
      <c r="AG252" s="337">
        <f t="shared" si="190"/>
        <v>6.0628578542819946</v>
      </c>
      <c r="AH252" s="730">
        <f t="shared" si="191"/>
        <v>-1.4695835091871525</v>
      </c>
      <c r="AI252" s="731" t="str">
        <f t="shared" si="169"/>
        <v>10000</v>
      </c>
      <c r="AJ252" s="733" t="str">
        <f t="shared" si="192"/>
        <v>1+91110.0146705935i</v>
      </c>
      <c r="AK252" s="734">
        <f t="shared" si="193"/>
        <v>91110.014676081395</v>
      </c>
      <c r="AL252" s="735">
        <f t="shared" si="194"/>
        <v>1.5707853510530578</v>
      </c>
      <c r="AM252" s="340" t="str">
        <f t="shared" si="195"/>
        <v>1+154.624163861444i</v>
      </c>
      <c r="AN252" s="734">
        <f t="shared" si="196"/>
        <v>154.62739747486756</v>
      </c>
      <c r="AO252" s="735">
        <f t="shared" si="197"/>
        <v>1.5643291224885889</v>
      </c>
      <c r="AP252" s="733" t="str">
        <f t="shared" si="198"/>
        <v>1+7.49952681904629i</v>
      </c>
      <c r="AQ252" s="734">
        <f t="shared" si="199"/>
        <v>7.5659039453058456</v>
      </c>
      <c r="AR252" s="735">
        <f t="shared" si="200"/>
        <v>1.4382365288163461</v>
      </c>
      <c r="AS252" s="732" t="str">
        <f t="shared" si="201"/>
        <v>0.0115491693532925-15.1981332301877i</v>
      </c>
      <c r="AT252" s="337">
        <f t="shared" si="202"/>
        <v>15.198137618334965</v>
      </c>
      <c r="AU252" s="730">
        <f t="shared" si="203"/>
        <v>-1.5700364198408441</v>
      </c>
      <c r="AV252" s="732" t="str">
        <f t="shared" si="204"/>
        <v>-1.45244417147637+0.0865409775518076i</v>
      </c>
      <c r="AW252" s="337">
        <f t="shared" si="205"/>
        <v>3.2573796934674486</v>
      </c>
      <c r="AX252" s="730">
        <f t="shared" si="206"/>
        <v>176.59017700412414</v>
      </c>
      <c r="AY252" s="360">
        <f t="shared" si="207"/>
        <v>-3.4098229958758566</v>
      </c>
      <c r="BB252" s="337">
        <f t="shared" si="208"/>
        <v>-16.364192545887263</v>
      </c>
      <c r="BC252" s="730">
        <f t="shared" si="209"/>
        <v>-89.956460538710147</v>
      </c>
      <c r="BD252" s="351"/>
      <c r="BE252" s="337">
        <f t="shared" si="170"/>
        <v>42.304503774419842</v>
      </c>
      <c r="BF252" s="730">
        <f t="shared" si="171"/>
        <v>-85.212965205375994</v>
      </c>
      <c r="BI252" s="351"/>
      <c r="BJ252" s="351"/>
      <c r="BL252" s="405">
        <f t="shared" si="172"/>
        <v>0</v>
      </c>
      <c r="BM252" s="405">
        <f t="shared" si="210"/>
        <v>0</v>
      </c>
      <c r="BN252" s="405">
        <f t="shared" si="173"/>
        <v>0</v>
      </c>
      <c r="BO252" s="405">
        <f t="shared" si="174"/>
        <v>0</v>
      </c>
    </row>
    <row r="253" spans="4:67" ht="13.5" thickBot="1" x14ac:dyDescent="0.25">
      <c r="D253" s="345">
        <v>15488</v>
      </c>
      <c r="E253" s="340" t="str">
        <f t="shared" si="161"/>
        <v>0.256908891459257i</v>
      </c>
      <c r="F253" s="728" t="str">
        <f t="shared" si="175"/>
        <v>0.005-0.168459286398243i</v>
      </c>
      <c r="G253" s="337" t="str">
        <f t="shared" si="176"/>
        <v>0.005-0.26348760180238i</v>
      </c>
      <c r="H253" s="338" t="str">
        <f t="shared" si="177"/>
        <v>0.0588386229121504-0.249718964159688i</v>
      </c>
      <c r="I253" s="338" t="str">
        <f t="shared" si="178"/>
        <v>0.0688386229121504-0.249718964159688i</v>
      </c>
      <c r="J253" s="337" t="str">
        <f t="shared" si="179"/>
        <v>0.0127034472469366-0.102016999645298i</v>
      </c>
      <c r="K253" s="338" t="str">
        <f t="shared" si="162"/>
        <v>0.997334687288889-0.0810949783646645i</v>
      </c>
      <c r="L253" s="732"/>
      <c r="M253" s="732" t="str">
        <f t="shared" si="163"/>
        <v>10.519200606446-128.25958581407i</v>
      </c>
      <c r="N253" s="337">
        <f t="shared" si="164"/>
        <v>0</v>
      </c>
      <c r="O253" s="730" t="str">
        <f t="shared" si="165"/>
        <v>-3.22916272668818-50.9722476948607i</v>
      </c>
      <c r="P253" s="731" t="str">
        <f t="shared" si="166"/>
        <v>-12.9510280105161-2.7024761668396i</v>
      </c>
      <c r="Q253" s="729" t="str">
        <f t="shared" si="167"/>
        <v>-12.9187363832492-2.19275368989098i</v>
      </c>
      <c r="R253" s="730"/>
      <c r="S253" s="405" t="str">
        <f t="shared" si="180"/>
        <v>39.775996581142-0.660337783748888i</v>
      </c>
      <c r="T253" s="405" t="str">
        <f t="shared" si="181"/>
        <v>15.5824714499187-2.54185453437175i</v>
      </c>
      <c r="U253" s="405" t="str">
        <f t="shared" si="182"/>
        <v>0.282101880313192-4.04079784996702i</v>
      </c>
      <c r="V253" s="731" t="str">
        <f t="shared" si="168"/>
        <v>6000</v>
      </c>
      <c r="W253" s="733" t="str">
        <f>IMSUM(COMPLEX(1,0),IMDIV(COMPLEX(0,2*PI()*D253),COMPLEX(2*PI()*'Stability Calculations'!EA_Pole1,0)))</f>
        <v>1+98287.1137779734i</v>
      </c>
      <c r="X253" s="734">
        <f t="shared" si="183"/>
        <v>98287.113783060529</v>
      </c>
      <c r="Y253" s="735">
        <f t="shared" si="184"/>
        <v>1.5707861525211639</v>
      </c>
      <c r="Z253" s="340" t="str">
        <f>IMSUM(COMPLEX(1,0),IMDIV(COMPLEX(0,2*PI()*D253),COMPLEX(2*PI()*'Stability Calculations'!EA_Zero1,0)))</f>
        <v>1+973.139740375974i</v>
      </c>
      <c r="AA253" s="734">
        <f t="shared" si="185"/>
        <v>973.14025417666187</v>
      </c>
      <c r="AB253" s="735">
        <f t="shared" si="186"/>
        <v>1.5697687255095709</v>
      </c>
      <c r="AC253" s="733" t="str">
        <f>IMSUM(COMPLEX(1,0),IMDIV(COMPLEX(0,2*PI()*D253),COMPLEX(2*PI()*'Stability Calculations'!EA_Pole2,0)))</f>
        <v>1+9.80288048068282i</v>
      </c>
      <c r="AD253" s="734">
        <f t="shared" si="187"/>
        <v>9.8537538896885497</v>
      </c>
      <c r="AE253" s="735">
        <f t="shared" si="188"/>
        <v>1.4691371498360293</v>
      </c>
      <c r="AF253" s="732" t="str">
        <f t="shared" si="189"/>
        <v>0.60572176977894-5.9982593437812i</v>
      </c>
      <c r="AG253" s="337">
        <f t="shared" si="190"/>
        <v>6.0287655467469126</v>
      </c>
      <c r="AH253" s="730">
        <f t="shared" si="191"/>
        <v>-1.4701545768476227</v>
      </c>
      <c r="AI253" s="731" t="str">
        <f t="shared" si="169"/>
        <v>10000</v>
      </c>
      <c r="AJ253" s="733" t="str">
        <f t="shared" si="192"/>
        <v>1+91630.643325854i</v>
      </c>
      <c r="AK253" s="734">
        <f t="shared" si="193"/>
        <v>91630.643331310712</v>
      </c>
      <c r="AL253" s="735">
        <f t="shared" si="194"/>
        <v>1.5707854134152273</v>
      </c>
      <c r="AM253" s="340" t="str">
        <f t="shared" si="195"/>
        <v>1+155.507730512081i</v>
      </c>
      <c r="AN253" s="734">
        <f t="shared" si="196"/>
        <v>155.51094575308198</v>
      </c>
      <c r="AO253" s="735">
        <f t="shared" si="197"/>
        <v>1.5643658669517462</v>
      </c>
      <c r="AP253" s="733" t="str">
        <f t="shared" si="198"/>
        <v>1+7.54238125801227i</v>
      </c>
      <c r="AQ253" s="734">
        <f t="shared" si="199"/>
        <v>7.6083845224341005</v>
      </c>
      <c r="AR253" s="735">
        <f t="shared" si="200"/>
        <v>1.4389809908892555</v>
      </c>
      <c r="AS253" s="732" t="str">
        <f t="shared" si="201"/>
        <v>0.0114183017096763-15.1117802993529i</v>
      </c>
      <c r="AT253" s="337">
        <f t="shared" si="202"/>
        <v>15.111784613126419</v>
      </c>
      <c r="AU253" s="730">
        <f t="shared" si="203"/>
        <v>-1.570040737492344</v>
      </c>
      <c r="AV253" s="732" t="str">
        <f t="shared" si="204"/>
        <v>-1.43579669351929+0.0866853119322882i</v>
      </c>
      <c r="AW253" s="337">
        <f t="shared" si="205"/>
        <v>3.1576605069641999</v>
      </c>
      <c r="AX253" s="730">
        <f t="shared" si="206"/>
        <v>176.54499759162709</v>
      </c>
      <c r="AY253" s="360">
        <f t="shared" si="207"/>
        <v>-3.4550024083729056</v>
      </c>
      <c r="BB253" s="337">
        <f t="shared" si="208"/>
        <v>-16.413684900026858</v>
      </c>
      <c r="BC253" s="730">
        <f t="shared" si="209"/>
        <v>-89.956707921918508</v>
      </c>
      <c r="BD253" s="351"/>
      <c r="BE253" s="337">
        <f t="shared" si="170"/>
        <v>42.190911446173672</v>
      </c>
      <c r="BF253" s="730">
        <f t="shared" si="171"/>
        <v>-85.311384594381792</v>
      </c>
      <c r="BI253" s="351"/>
      <c r="BJ253" s="351"/>
      <c r="BL253" s="405">
        <f t="shared" si="172"/>
        <v>0</v>
      </c>
      <c r="BM253" s="405">
        <f t="shared" si="210"/>
        <v>0</v>
      </c>
      <c r="BN253" s="405">
        <f t="shared" si="173"/>
        <v>0</v>
      </c>
      <c r="BO253" s="405">
        <f t="shared" si="174"/>
        <v>0</v>
      </c>
    </row>
    <row r="254" spans="4:67" ht="13.5" thickBot="1" x14ac:dyDescent="0.25">
      <c r="D254" s="345">
        <v>15578.25</v>
      </c>
      <c r="E254" s="340" t="str">
        <f t="shared" si="161"/>
        <v>0.258405923190546i</v>
      </c>
      <c r="F254" s="728" t="str">
        <f t="shared" si="175"/>
        <v>0.005-0.167483345544974i</v>
      </c>
      <c r="G254" s="337" t="str">
        <f t="shared" si="176"/>
        <v>0.005-0.26196113021137i</v>
      </c>
      <c r="H254" s="338" t="str">
        <f t="shared" si="177"/>
        <v>0.0582437361007166-0.248399820044058i</v>
      </c>
      <c r="I254" s="338" t="str">
        <f t="shared" si="178"/>
        <v>0.0682437361007166-0.248399820044058i</v>
      </c>
      <c r="J254" s="337" t="str">
        <f t="shared" si="179"/>
        <v>0.012605111927581-0.101434400801101i</v>
      </c>
      <c r="K254" s="338" t="str">
        <f t="shared" si="162"/>
        <v>0.99730353474375-0.081567526259642i</v>
      </c>
      <c r="L254" s="732"/>
      <c r="M254" s="732" t="str">
        <f t="shared" si="163"/>
        <v>10.1658442012823-126.595309095i</v>
      </c>
      <c r="N254" s="337">
        <f t="shared" si="164"/>
        <v>0</v>
      </c>
      <c r="O254" s="730" t="str">
        <f t="shared" si="165"/>
        <v>-3.24076380879842-50.2891503139494i</v>
      </c>
      <c r="P254" s="731" t="str">
        <f t="shared" si="166"/>
        <v>-12.712977718286-2.6269143558436i</v>
      </c>
      <c r="Q254" s="729" t="str">
        <f t="shared" si="167"/>
        <v>-12.680570080198-2.1240228527041i</v>
      </c>
      <c r="R254" s="730"/>
      <c r="S254" s="405" t="str">
        <f t="shared" si="180"/>
        <v>39.7785518907191-0.693694412257082i</v>
      </c>
      <c r="T254" s="405" t="str">
        <f t="shared" si="181"/>
        <v>15.5796446830517-2.5449476506374i</v>
      </c>
      <c r="U254" s="405" t="str">
        <f t="shared" si="182"/>
        <v>0.275252175022714-4.01820819497426i</v>
      </c>
      <c r="V254" s="731" t="str">
        <f t="shared" si="168"/>
        <v>6000</v>
      </c>
      <c r="W254" s="733" t="str">
        <f>IMSUM(COMPLEX(1,0),IMDIV(COMPLEX(0,2*PI()*D254),COMPLEX(2*PI()*'Stability Calculations'!EA_Pole1,0)))</f>
        <v>1+98859.8418266861i</v>
      </c>
      <c r="X254" s="734">
        <f t="shared" si="183"/>
        <v>98859.841831743761</v>
      </c>
      <c r="Y254" s="735">
        <f t="shared" si="184"/>
        <v>1.5707862114641264</v>
      </c>
      <c r="Z254" s="340" t="str">
        <f>IMSUM(COMPLEX(1,0),IMDIV(COMPLEX(0,2*PI()*D254),COMPLEX(2*PI()*'Stability Calculations'!EA_Zero1,0)))</f>
        <v>1+978.810315115704i</v>
      </c>
      <c r="AA254" s="734">
        <f t="shared" si="185"/>
        <v>978.81082593977476</v>
      </c>
      <c r="AB254" s="735">
        <f t="shared" si="186"/>
        <v>1.5697746787425257</v>
      </c>
      <c r="AC254" s="733" t="str">
        <f>IMSUM(COMPLEX(1,0),IMDIV(COMPLEX(0,2*PI()*D254),COMPLEX(2*PI()*'Stability Calculations'!EA_Pole2,0)))</f>
        <v>1+9.86000276654166i</v>
      </c>
      <c r="AD254" s="734">
        <f t="shared" si="187"/>
        <v>9.9105829574354107</v>
      </c>
      <c r="AE254" s="735">
        <f t="shared" si="188"/>
        <v>1.4697220809063969</v>
      </c>
      <c r="AF254" s="732" t="str">
        <f t="shared" si="189"/>
        <v>0.59879505087812-5.96421193212795i</v>
      </c>
      <c r="AG254" s="337">
        <f t="shared" si="190"/>
        <v>5.9941954826559956</v>
      </c>
      <c r="AH254" s="730">
        <f t="shared" si="191"/>
        <v>-1.4707336136279976</v>
      </c>
      <c r="AI254" s="731" t="str">
        <f t="shared" si="169"/>
        <v>10000</v>
      </c>
      <c r="AJ254" s="733" t="str">
        <f t="shared" si="192"/>
        <v>1+92164.583509232i</v>
      </c>
      <c r="AK254" s="734">
        <f t="shared" si="193"/>
        <v>92164.583514657075</v>
      </c>
      <c r="AL254" s="735">
        <f t="shared" si="194"/>
        <v>1.5707854766400771</v>
      </c>
      <c r="AM254" s="340" t="str">
        <f t="shared" si="195"/>
        <v>1+156.413888355489i</v>
      </c>
      <c r="AN254" s="734">
        <f t="shared" si="196"/>
        <v>156.41708496990788</v>
      </c>
      <c r="AO254" s="735">
        <f t="shared" si="197"/>
        <v>1.5644031197331001</v>
      </c>
      <c r="AP254" s="733" t="str">
        <f t="shared" si="198"/>
        <v>1+7.58633140706545i</v>
      </c>
      <c r="AQ254" s="734">
        <f t="shared" si="199"/>
        <v>7.6519555812764386</v>
      </c>
      <c r="AR254" s="735">
        <f t="shared" si="200"/>
        <v>1.439735901447994</v>
      </c>
      <c r="AS254" s="732" t="str">
        <f t="shared" si="201"/>
        <v>0.0112863849501845-15.0242328130659i</v>
      </c>
      <c r="AT254" s="337">
        <f t="shared" si="202"/>
        <v>15.024237052299572</v>
      </c>
      <c r="AU254" s="730">
        <f t="shared" si="203"/>
        <v>-1.5700451148716277</v>
      </c>
      <c r="AV254" s="732" t="str">
        <f t="shared" si="204"/>
        <v>-1.41901774114177+0.0868197136514382i</v>
      </c>
      <c r="AW254" s="337">
        <f t="shared" si="205"/>
        <v>3.0559833373164897</v>
      </c>
      <c r="AX254" s="730">
        <f t="shared" si="206"/>
        <v>176.4988386371802</v>
      </c>
      <c r="AY254" s="360">
        <f t="shared" si="207"/>
        <v>-3.5011613628198006</v>
      </c>
      <c r="BB254" s="337">
        <f t="shared" si="208"/>
        <v>-16.464151454576516</v>
      </c>
      <c r="BC254" s="730">
        <f t="shared" si="209"/>
        <v>-89.956958727276785</v>
      </c>
      <c r="BD254" s="351"/>
      <c r="BE254" s="337">
        <f t="shared" si="170"/>
        <v>42.076267388487423</v>
      </c>
      <c r="BF254" s="730">
        <f t="shared" si="171"/>
        <v>-85.408891400522592</v>
      </c>
      <c r="BI254" s="351"/>
      <c r="BJ254" s="351"/>
      <c r="BL254" s="405">
        <f t="shared" si="172"/>
        <v>0</v>
      </c>
      <c r="BM254" s="405">
        <f t="shared" si="210"/>
        <v>0</v>
      </c>
      <c r="BN254" s="405">
        <f t="shared" si="173"/>
        <v>0</v>
      </c>
      <c r="BO254" s="405">
        <f t="shared" si="174"/>
        <v>0</v>
      </c>
    </row>
    <row r="255" spans="4:67" ht="13.5" thickBot="1" x14ac:dyDescent="0.25">
      <c r="D255" s="345">
        <v>15668.5</v>
      </c>
      <c r="E255" s="340" t="str">
        <f t="shared" si="161"/>
        <v>0.259902954921834i</v>
      </c>
      <c r="F255" s="728" t="str">
        <f t="shared" si="175"/>
        <v>0.005-0.166518647460573i</v>
      </c>
      <c r="G255" s="337" t="str">
        <f t="shared" si="176"/>
        <v>0.005-0.260452243463973i</v>
      </c>
      <c r="H255" s="338" t="str">
        <f t="shared" si="177"/>
        <v>0.0576585033431143-0.247093814186094i</v>
      </c>
      <c r="I255" s="338" t="str">
        <f t="shared" si="178"/>
        <v>0.0676585033431143-0.247093814186094i</v>
      </c>
      <c r="J255" s="337" t="str">
        <f t="shared" si="179"/>
        <v>0.0125084551935307-0.100858375216364i</v>
      </c>
      <c r="K255" s="338" t="str">
        <f t="shared" si="162"/>
        <v>0.997272201197222-0.0820400741546195i</v>
      </c>
      <c r="L255" s="732"/>
      <c r="M255" s="732" t="str">
        <f t="shared" si="163"/>
        <v>9.82919395306991-124.977864726099i</v>
      </c>
      <c r="N255" s="337">
        <f t="shared" si="164"/>
        <v>0</v>
      </c>
      <c r="O255" s="730" t="str">
        <f t="shared" si="165"/>
        <v>-3.24968134602875-49.6258791678406i</v>
      </c>
      <c r="P255" s="731" t="str">
        <f t="shared" si="166"/>
        <v>-12.4821163421344-2.55463655290269i</v>
      </c>
      <c r="Q255" s="729" t="str">
        <f t="shared" si="167"/>
        <v>-12.4496195286741-2.05837776122429i</v>
      </c>
      <c r="R255" s="730"/>
      <c r="S255" s="405" t="str">
        <f t="shared" si="180"/>
        <v>39.7810229748976-0.726895092569439i</v>
      </c>
      <c r="T255" s="405" t="str">
        <f t="shared" si="181"/>
        <v>15.5768406309399-2.54810117579228i</v>
      </c>
      <c r="U255" s="405" t="str">
        <f t="shared" si="182"/>
        <v>0.268517279135621-3.9958606646309i</v>
      </c>
      <c r="V255" s="731" t="str">
        <f t="shared" si="168"/>
        <v>6000</v>
      </c>
      <c r="W255" s="733" t="str">
        <f>IMSUM(COMPLEX(1,0),IMDIV(COMPLEX(0,2*PI()*D255),COMPLEX(2*PI()*'Stability Calculations'!EA_Pole1,0)))</f>
        <v>1+99432.5698753988i</v>
      </c>
      <c r="X255" s="734">
        <f t="shared" si="183"/>
        <v>99432.569880427342</v>
      </c>
      <c r="Y255" s="735">
        <f t="shared" si="184"/>
        <v>1.5707862697280701</v>
      </c>
      <c r="Z255" s="340" t="str">
        <f>IMSUM(COMPLEX(1,0),IMDIV(COMPLEX(0,2*PI()*D255),COMPLEX(2*PI()*'Stability Calculations'!EA_Zero1,0)))</f>
        <v>1+984.480889855433i</v>
      </c>
      <c r="AA255" s="734">
        <f t="shared" si="185"/>
        <v>984.48139773717685</v>
      </c>
      <c r="AB255" s="735">
        <f t="shared" si="186"/>
        <v>1.5697805633947337</v>
      </c>
      <c r="AC255" s="733" t="str">
        <f>IMSUM(COMPLEX(1,0),IMDIV(COMPLEX(0,2*PI()*D255),COMPLEX(2*PI()*'Stability Calculations'!EA_Pole2,0)))</f>
        <v>1+9.91712505240049i</v>
      </c>
      <c r="AD255" s="734">
        <f t="shared" si="187"/>
        <v>9.9674153773658603</v>
      </c>
      <c r="AE255" s="735">
        <f t="shared" si="188"/>
        <v>1.4703003418280267</v>
      </c>
      <c r="AF255" s="732" t="str">
        <f t="shared" si="189"/>
        <v>0.591986073506999-5.93054487168891i</v>
      </c>
      <c r="AG255" s="337">
        <f t="shared" si="190"/>
        <v>5.9600176162778125</v>
      </c>
      <c r="AH255" s="730">
        <f t="shared" si="191"/>
        <v>-1.4713060481613629</v>
      </c>
      <c r="AI255" s="731" t="str">
        <f t="shared" si="169"/>
        <v>10000</v>
      </c>
      <c r="AJ255" s="733" t="str">
        <f t="shared" si="192"/>
        <v>1+92698.52369261i</v>
      </c>
      <c r="AK255" s="734">
        <f t="shared" si="193"/>
        <v>92698.523698003832</v>
      </c>
      <c r="AL255" s="735">
        <f t="shared" si="194"/>
        <v>1.570785539136581</v>
      </c>
      <c r="AM255" s="340" t="str">
        <f t="shared" si="195"/>
        <v>1+157.320046198898i</v>
      </c>
      <c r="AN255" s="734">
        <f t="shared" si="196"/>
        <v>157.32322440130511</v>
      </c>
      <c r="AO255" s="735">
        <f t="shared" si="197"/>
        <v>1.5644399433825156</v>
      </c>
      <c r="AP255" s="733" t="str">
        <f t="shared" si="198"/>
        <v>1+7.63028155611862i</v>
      </c>
      <c r="AQ255" s="734">
        <f t="shared" si="199"/>
        <v>7.6955309515097134</v>
      </c>
      <c r="AR255" s="735">
        <f t="shared" si="200"/>
        <v>1.4404822631785665</v>
      </c>
      <c r="AS255" s="732" t="str">
        <f t="shared" si="201"/>
        <v>0.011156741125159-14.9376938658652i</v>
      </c>
      <c r="AT255" s="337">
        <f t="shared" si="202"/>
        <v>14.93769803226653</v>
      </c>
      <c r="AU255" s="730">
        <f t="shared" si="203"/>
        <v>-1.5700494418238433</v>
      </c>
      <c r="AV255" s="732" t="str">
        <f t="shared" si="204"/>
        <v>-1.40252983519008+0.0869408497128362i</v>
      </c>
      <c r="AW255" s="337">
        <f t="shared" si="205"/>
        <v>2.954898326391719</v>
      </c>
      <c r="AX255" s="730">
        <f t="shared" si="206"/>
        <v>176.45285405845968</v>
      </c>
      <c r="AY255" s="360">
        <f t="shared" si="207"/>
        <v>-3.5471459415403217</v>
      </c>
      <c r="BB255" s="337">
        <f t="shared" si="208"/>
        <v>-16.514326482690652</v>
      </c>
      <c r="BC255" s="730">
        <f t="shared" si="209"/>
        <v>-89.957206643376892</v>
      </c>
      <c r="BD255" s="351"/>
      <c r="BE255" s="337">
        <f t="shared" si="170"/>
        <v>41.963442232546583</v>
      </c>
      <c r="BF255" s="730">
        <f t="shared" si="171"/>
        <v>-85.503087929772363</v>
      </c>
      <c r="BI255" s="351"/>
      <c r="BJ255" s="351"/>
      <c r="BL255" s="405">
        <f t="shared" si="172"/>
        <v>0</v>
      </c>
      <c r="BM255" s="405">
        <f t="shared" si="210"/>
        <v>0</v>
      </c>
      <c r="BN255" s="405">
        <f t="shared" si="173"/>
        <v>0</v>
      </c>
      <c r="BO255" s="405">
        <f t="shared" si="174"/>
        <v>0</v>
      </c>
    </row>
    <row r="256" spans="4:67" ht="13.5" thickBot="1" x14ac:dyDescent="0.25">
      <c r="D256" s="345">
        <v>15758.75</v>
      </c>
      <c r="E256" s="340" t="str">
        <f t="shared" si="161"/>
        <v>0.261399986653123i</v>
      </c>
      <c r="F256" s="728" t="str">
        <f t="shared" si="175"/>
        <v>0.005-0.165564998983802i</v>
      </c>
      <c r="G256" s="337" t="str">
        <f t="shared" si="176"/>
        <v>0.005-0.258960639436203i</v>
      </c>
      <c r="H256" s="338" t="str">
        <f t="shared" si="177"/>
        <v>0.0570827201153275-0.245800764211916i</v>
      </c>
      <c r="I256" s="338" t="str">
        <f t="shared" si="178"/>
        <v>0.0670827201153275-0.245800764211916i</v>
      </c>
      <c r="J256" s="337" t="str">
        <f t="shared" si="179"/>
        <v>0.0124134391367359-0.100288813086569i</v>
      </c>
      <c r="K256" s="338" t="str">
        <f t="shared" si="162"/>
        <v>0.997240686649306-0.0825126220495969i</v>
      </c>
      <c r="L256" s="732"/>
      <c r="M256" s="732" t="str">
        <f t="shared" si="163"/>
        <v>9.50824166810509-123.405283324701i</v>
      </c>
      <c r="N256" s="337">
        <f t="shared" si="164"/>
        <v>0</v>
      </c>
      <c r="O256" s="730" t="str">
        <f t="shared" si="165"/>
        <v>-3.25614519988176-48.9815740626545i</v>
      </c>
      <c r="P256" s="731" t="str">
        <f t="shared" si="166"/>
        <v>-12.2581394140016-2.48545424513734i</v>
      </c>
      <c r="Q256" s="729" t="str">
        <f t="shared" si="167"/>
        <v>-12.2255779620028-1.99563850451081i</v>
      </c>
      <c r="R256" s="730"/>
      <c r="S256" s="405" t="str">
        <f t="shared" si="180"/>
        <v>39.783411453055-0.759942246712379i</v>
      </c>
      <c r="T256" s="405" t="str">
        <f t="shared" si="181"/>
        <v>15.5740586545183-2.55131414665981i</v>
      </c>
      <c r="U256" s="405" t="str">
        <f t="shared" si="182"/>
        <v>0.261894664241915-3.97375147052189i</v>
      </c>
      <c r="V256" s="731" t="str">
        <f t="shared" si="168"/>
        <v>6000</v>
      </c>
      <c r="W256" s="733" t="str">
        <f>IMSUM(COMPLEX(1,0),IMDIV(COMPLEX(0,2*PI()*D256),COMPLEX(2*PI()*'Stability Calculations'!EA_Pole1,0)))</f>
        <v>1+100005.297924111i</v>
      </c>
      <c r="X256" s="734">
        <f t="shared" si="183"/>
        <v>100005.29792911073</v>
      </c>
      <c r="Y256" s="735">
        <f t="shared" si="184"/>
        <v>1.5707863273246614</v>
      </c>
      <c r="Z256" s="340" t="str">
        <f>IMSUM(COMPLEX(1,0),IMDIV(COMPLEX(0,2*PI()*D256),COMPLEX(2*PI()*'Stability Calculations'!EA_Zero1,0)))</f>
        <v>1+990.151464595163i</v>
      </c>
      <c r="AA256" s="734">
        <f t="shared" si="185"/>
        <v>990.15196956828106</v>
      </c>
      <c r="AB256" s="735">
        <f t="shared" si="186"/>
        <v>1.5697863806444743</v>
      </c>
      <c r="AC256" s="733" t="str">
        <f>IMSUM(COMPLEX(1,0),IMDIV(COMPLEX(0,2*PI()*D256),COMPLEX(2*PI()*'Stability Calculations'!EA_Pole2,0)))</f>
        <v>1+9.97424733825932i</v>
      </c>
      <c r="AD256" s="734">
        <f t="shared" si="187"/>
        <v>10.024251092464372</v>
      </c>
      <c r="AE256" s="735">
        <f t="shared" si="188"/>
        <v>1.4708720456665267</v>
      </c>
      <c r="AF256" s="732" t="str">
        <f t="shared" si="189"/>
        <v>0.585292193120874-5.89725189281305i</v>
      </c>
      <c r="AG256" s="337">
        <f t="shared" si="190"/>
        <v>5.9262253449067686</v>
      </c>
      <c r="AH256" s="730">
        <f t="shared" si="191"/>
        <v>-1.4718719923467141</v>
      </c>
      <c r="AI256" s="731" t="str">
        <f t="shared" si="169"/>
        <v>10000</v>
      </c>
      <c r="AJ256" s="733" t="str">
        <f t="shared" si="192"/>
        <v>1+93232.463875988i</v>
      </c>
      <c r="AK256" s="734">
        <f t="shared" si="193"/>
        <v>93232.463881350937</v>
      </c>
      <c r="AL256" s="735">
        <f t="shared" si="194"/>
        <v>1.5707856009172529</v>
      </c>
      <c r="AM256" s="340" t="str">
        <f t="shared" si="195"/>
        <v>1+158.226204042307i</v>
      </c>
      <c r="AN256" s="734">
        <f t="shared" si="196"/>
        <v>158.22936404358629</v>
      </c>
      <c r="AO256" s="735">
        <f t="shared" si="197"/>
        <v>1.5644763452724828</v>
      </c>
      <c r="AP256" s="733" t="str">
        <f t="shared" si="198"/>
        <v>1+7.6742317051718i</v>
      </c>
      <c r="AQ256" s="734">
        <f t="shared" si="199"/>
        <v>7.7391105603075649</v>
      </c>
      <c r="AR256" s="735">
        <f t="shared" si="200"/>
        <v>1.4412202196599382</v>
      </c>
      <c r="AS256" s="732" t="str">
        <f t="shared" si="201"/>
        <v>0.0110293183158579-14.8521461301489i</v>
      </c>
      <c r="AT256" s="337">
        <f t="shared" si="202"/>
        <v>14.852150225376779</v>
      </c>
      <c r="AU256" s="730">
        <f t="shared" si="203"/>
        <v>-1.5700537192153741</v>
      </c>
      <c r="AV256" s="732" t="str">
        <f t="shared" si="204"/>
        <v>-1.38632627744098+0.0870492327593546i</v>
      </c>
      <c r="AW256" s="337">
        <f t="shared" si="205"/>
        <v>2.8543985729971806</v>
      </c>
      <c r="AX256" s="730">
        <f t="shared" si="206"/>
        <v>176.40704046188836</v>
      </c>
      <c r="AY256" s="360">
        <f t="shared" si="207"/>
        <v>-3.5929595381116428</v>
      </c>
      <c r="BB256" s="337">
        <f t="shared" si="208"/>
        <v>-16.564213333110636</v>
      </c>
      <c r="BC256" s="730">
        <f t="shared" si="209"/>
        <v>-89.957451719858938</v>
      </c>
      <c r="BD256" s="351"/>
      <c r="BE256" s="337">
        <f t="shared" si="170"/>
        <v>41.852380879666484</v>
      </c>
      <c r="BF256" s="730">
        <f t="shared" si="171"/>
        <v>-85.594127835337758</v>
      </c>
      <c r="BI256" s="351"/>
      <c r="BJ256" s="351"/>
      <c r="BL256" s="405">
        <f t="shared" si="172"/>
        <v>0</v>
      </c>
      <c r="BM256" s="405">
        <f t="shared" si="210"/>
        <v>0</v>
      </c>
      <c r="BN256" s="405">
        <f t="shared" si="173"/>
        <v>0</v>
      </c>
      <c r="BO256" s="405">
        <f t="shared" si="174"/>
        <v>0</v>
      </c>
    </row>
    <row r="257" spans="4:67" ht="13.5" thickBot="1" x14ac:dyDescent="0.25">
      <c r="D257" s="345">
        <v>15849</v>
      </c>
      <c r="E257" s="340" t="str">
        <f t="shared" si="161"/>
        <v>0.262897018384412i</v>
      </c>
      <c r="F257" s="728" t="str">
        <f t="shared" si="175"/>
        <v>0.005-0.164622211353145i</v>
      </c>
      <c r="G257" s="337" t="str">
        <f t="shared" si="176"/>
        <v>0.005-0.257486022885688i</v>
      </c>
      <c r="H257" s="338" t="str">
        <f t="shared" si="177"/>
        <v>0.0565161871920213-0.244520490784871i</v>
      </c>
      <c r="I257" s="338" t="str">
        <f t="shared" si="178"/>
        <v>0.0665161871920213-0.244520490784871i</v>
      </c>
      <c r="J257" s="337" t="str">
        <f t="shared" si="179"/>
        <v>0.0123200269107957-0.0997256070210954i</v>
      </c>
      <c r="K257" s="338" t="str">
        <f t="shared" si="162"/>
        <v>0.9972089911-0.0829851699445744i</v>
      </c>
      <c r="L257" s="732"/>
      <c r="M257" s="732" t="str">
        <f t="shared" si="163"/>
        <v>9.20205278383508-121.87570295503i</v>
      </c>
      <c r="N257" s="337">
        <f t="shared" si="164"/>
        <v>0</v>
      </c>
      <c r="O257" s="730" t="str">
        <f t="shared" si="165"/>
        <v>-3.26036540926509-48.355423328948i</v>
      </c>
      <c r="P257" s="731" t="str">
        <f t="shared" si="166"/>
        <v>-12.0407589203817-2.41919223988622i</v>
      </c>
      <c r="Q257" s="729" t="str">
        <f t="shared" si="167"/>
        <v>-12.008155266289-1.93563800659673i</v>
      </c>
      <c r="R257" s="730"/>
      <c r="S257" s="405" t="str">
        <f t="shared" si="180"/>
        <v>39.7857189005352-0.79283824786074i</v>
      </c>
      <c r="T257" s="405" t="str">
        <f t="shared" si="181"/>
        <v>15.5712981321107-2.55458561935131i</v>
      </c>
      <c r="U257" s="405" t="str">
        <f t="shared" si="182"/>
        <v>0.25538187066138-3.95187690048258i</v>
      </c>
      <c r="V257" s="731" t="str">
        <f t="shared" si="168"/>
        <v>6000</v>
      </c>
      <c r="W257" s="733" t="str">
        <f>IMSUM(COMPLEX(1,0),IMDIV(COMPLEX(0,2*PI()*D257),COMPLEX(2*PI()*'Stability Calculations'!EA_Pole1,0)))</f>
        <v>1+100578.025972824i</v>
      </c>
      <c r="X257" s="734">
        <f t="shared" si="183"/>
        <v>100578.02597779526</v>
      </c>
      <c r="Y257" s="735">
        <f t="shared" si="184"/>
        <v>1.5707863842653003</v>
      </c>
      <c r="Z257" s="340" t="str">
        <f>IMSUM(COMPLEX(1,0),IMDIV(COMPLEX(0,2*PI()*D257),COMPLEX(2*PI()*'Stability Calculations'!EA_Zero1,0)))</f>
        <v>1+995.822039334893i</v>
      </c>
      <c r="AA257" s="734">
        <f t="shared" si="185"/>
        <v>995.82254143251112</v>
      </c>
      <c r="AB257" s="735">
        <f t="shared" si="186"/>
        <v>1.5697921316431886</v>
      </c>
      <c r="AC257" s="733" t="str">
        <f>IMSUM(COMPLEX(1,0),IMDIV(COMPLEX(0,2*PI()*D257),COMPLEX(2*PI()*'Stability Calculations'!EA_Pole2,0)))</f>
        <v>1+10.0313696241182i</v>
      </c>
      <c r="AD257" s="734">
        <f t="shared" si="187"/>
        <v>10.081090046997961</v>
      </c>
      <c r="AE257" s="735">
        <f t="shared" si="188"/>
        <v>1.4714373029549395</v>
      </c>
      <c r="AF257" s="732" t="str">
        <f t="shared" si="189"/>
        <v>0.578710838758454-5.86432686132059i</v>
      </c>
      <c r="AG257" s="337">
        <f t="shared" si="190"/>
        <v>5.8928122124587263</v>
      </c>
      <c r="AH257" s="730">
        <f t="shared" si="191"/>
        <v>-1.4724315555770515</v>
      </c>
      <c r="AI257" s="731" t="str">
        <f t="shared" si="169"/>
        <v>10000</v>
      </c>
      <c r="AJ257" s="733" t="str">
        <f t="shared" si="192"/>
        <v>1+93766.404059366i</v>
      </c>
      <c r="AK257" s="734">
        <f t="shared" si="193"/>
        <v>93766.404064698407</v>
      </c>
      <c r="AL257" s="735">
        <f t="shared" si="194"/>
        <v>1.5707856619943212</v>
      </c>
      <c r="AM257" s="340" t="str">
        <f t="shared" si="195"/>
        <v>1+159.132361885716i</v>
      </c>
      <c r="AN257" s="734">
        <f t="shared" si="196"/>
        <v>159.13550389314912</v>
      </c>
      <c r="AO257" s="735">
        <f t="shared" si="197"/>
        <v>1.5645123326075765</v>
      </c>
      <c r="AP257" s="733" t="str">
        <f t="shared" si="198"/>
        <v>1+7.71818185422498i</v>
      </c>
      <c r="AQ257" s="734">
        <f t="shared" si="199"/>
        <v>7.7826943364677863</v>
      </c>
      <c r="AR257" s="735">
        <f t="shared" si="200"/>
        <v>1.4419499112919443</v>
      </c>
      <c r="AS257" s="732" t="str">
        <f t="shared" si="201"/>
        <v>0.0109040660775385-14.7675726729924i</v>
      </c>
      <c r="AT257" s="337">
        <f t="shared" si="202"/>
        <v>14.767576698658752</v>
      </c>
      <c r="AU257" s="730">
        <f t="shared" si="203"/>
        <v>-1.5700579478928691</v>
      </c>
      <c r="AV257" s="732" t="str">
        <f t="shared" si="204"/>
        <v>-1.37040056134631+0.0871453551076415i</v>
      </c>
      <c r="AW257" s="337">
        <f t="shared" si="205"/>
        <v>2.7544772957762209</v>
      </c>
      <c r="AX257" s="730">
        <f t="shared" si="206"/>
        <v>176.36139454141556</v>
      </c>
      <c r="AY257" s="360">
        <f t="shared" si="207"/>
        <v>-3.6386054585844363</v>
      </c>
      <c r="BB257" s="337">
        <f t="shared" si="208"/>
        <v>-16.613815297207548</v>
      </c>
      <c r="BC257" s="730">
        <f t="shared" si="209"/>
        <v>-89.957694005232327</v>
      </c>
      <c r="BD257" s="351"/>
      <c r="BE257" s="337">
        <f t="shared" si="170"/>
        <v>41.743030592891031</v>
      </c>
      <c r="BF257" s="730">
        <f t="shared" si="171"/>
        <v>-85.682155714119361</v>
      </c>
      <c r="BI257" s="351"/>
      <c r="BJ257" s="351"/>
      <c r="BL257" s="405">
        <f t="shared" si="172"/>
        <v>0</v>
      </c>
      <c r="BM257" s="405">
        <f t="shared" si="210"/>
        <v>0</v>
      </c>
      <c r="BN257" s="405">
        <f t="shared" si="173"/>
        <v>0</v>
      </c>
      <c r="BO257" s="405">
        <f t="shared" si="174"/>
        <v>0</v>
      </c>
    </row>
    <row r="258" spans="4:67" ht="13.5" thickBot="1" x14ac:dyDescent="0.25">
      <c r="D258" s="345">
        <v>15941.25</v>
      </c>
      <c r="E258" s="340" t="str">
        <f t="shared" si="161"/>
        <v>0.264427225334122i</v>
      </c>
      <c r="F258" s="728" t="str">
        <f t="shared" si="175"/>
        <v>0.005-0.163669563411652i</v>
      </c>
      <c r="G258" s="337" t="str">
        <f t="shared" si="176"/>
        <v>0.005-0.255995983797711i</v>
      </c>
      <c r="H258" s="338" t="str">
        <f t="shared" si="177"/>
        <v>0.0559464575479706-0.243224866450662i</v>
      </c>
      <c r="I258" s="338" t="str">
        <f t="shared" si="178"/>
        <v>0.0659464575479706-0.243224866450662i</v>
      </c>
      <c r="J258" s="337" t="str">
        <f t="shared" si="179"/>
        <v>0.0122261648580921-0.0991563794933956i</v>
      </c>
      <c r="K258" s="338" t="str">
        <f t="shared" si="162"/>
        <v>0.99717640609375-0.0834681898150638i</v>
      </c>
      <c r="L258" s="732"/>
      <c r="M258" s="732" t="str">
        <f t="shared" si="163"/>
        <v>8.90343381253752-120.354833601894i</v>
      </c>
      <c r="N258" s="337">
        <f t="shared" si="164"/>
        <v>0</v>
      </c>
      <c r="O258" s="730" t="str">
        <f t="shared" si="165"/>
        <v>-3.26256025316813-47.7333612433929i</v>
      </c>
      <c r="P258" s="731" t="str">
        <f t="shared" si="166"/>
        <v>-11.8250947048986-2.35431029899529i</v>
      </c>
      <c r="Q258" s="729" t="str">
        <f t="shared" si="167"/>
        <v>-11.7924691023669-1.87697668656137i</v>
      </c>
      <c r="R258" s="730"/>
      <c r="S258" s="405" t="str">
        <f t="shared" si="180"/>
        <v>39.7879953339874-0.82630945253548i</v>
      </c>
      <c r="T258" s="405" t="str">
        <f t="shared" si="181"/>
        <v>15.5684979775019-2.55798908790216i</v>
      </c>
      <c r="U258" s="405" t="str">
        <f t="shared" si="182"/>
        <v>0.248835756896725-3.92975626932975i</v>
      </c>
      <c r="V258" s="731" t="str">
        <f t="shared" si="168"/>
        <v>6000</v>
      </c>
      <c r="W258" s="733" t="str">
        <f>IMSUM(COMPLEX(1,0),IMDIV(COMPLEX(0,2*PI()*D258),COMPLEX(2*PI()*'Stability Calculations'!EA_Pole1,0)))</f>
        <v>1+101163.446055858i</v>
      </c>
      <c r="X258" s="734">
        <f t="shared" si="183"/>
        <v>101163.44606080049</v>
      </c>
      <c r="Y258" s="735">
        <f t="shared" si="184"/>
        <v>1.5707864418014632</v>
      </c>
      <c r="Z258" s="340" t="str">
        <f>IMSUM(COMPLEX(1,0),IMDIV(COMPLEX(0,2*PI()*D258),COMPLEX(2*PI()*'Stability Calculations'!EA_Zero1,0)))</f>
        <v>1+1001.61827778077i</v>
      </c>
      <c r="AA258" s="734">
        <f t="shared" si="185"/>
        <v>1001.618776972814</v>
      </c>
      <c r="AB258" s="735">
        <f t="shared" si="186"/>
        <v>1.5697979427898057</v>
      </c>
      <c r="AC258" s="733" t="str">
        <f>IMSUM(COMPLEX(1,0),IMDIV(COMPLEX(0,2*PI()*D258),COMPLEX(2*PI()*'Stability Calculations'!EA_Pole2,0)))</f>
        <v>1+10.0897577778077i</v>
      </c>
      <c r="AD258" s="734">
        <f t="shared" si="187"/>
        <v>10.13919188174437</v>
      </c>
      <c r="AE258" s="735">
        <f t="shared" si="188"/>
        <v>1.4720085367987026</v>
      </c>
      <c r="AF258" s="732" t="str">
        <f t="shared" si="189"/>
        <v>0.572097329131722-5.83104620953397i</v>
      </c>
      <c r="AG258" s="337">
        <f t="shared" si="190"/>
        <v>5.8590438854577744</v>
      </c>
      <c r="AH258" s="730">
        <f t="shared" si="191"/>
        <v>-1.4729970358103595</v>
      </c>
      <c r="AI258" s="731" t="str">
        <f t="shared" si="169"/>
        <v>10000</v>
      </c>
      <c r="AJ258" s="733" t="str">
        <f t="shared" si="192"/>
        <v>1+94312.1767121821i</v>
      </c>
      <c r="AK258" s="734">
        <f t="shared" si="193"/>
        <v>94312.176717483657</v>
      </c>
      <c r="AL258" s="735">
        <f t="shared" si="194"/>
        <v>1.570785723710175</v>
      </c>
      <c r="AM258" s="340" t="str">
        <f t="shared" si="195"/>
        <v>1+160.058600789367i</v>
      </c>
      <c r="AN258" s="734">
        <f t="shared" si="196"/>
        <v>160.06172461475592</v>
      </c>
      <c r="AO258" s="735">
        <f t="shared" si="197"/>
        <v>1.5645486963390989</v>
      </c>
      <c r="AP258" s="733" t="str">
        <f t="shared" si="198"/>
        <v>1+7.76310596780014i</v>
      </c>
      <c r="AQ258" s="734">
        <f t="shared" si="199"/>
        <v>7.8272481925191411</v>
      </c>
      <c r="AR258" s="735">
        <f t="shared" si="200"/>
        <v>1.4426873747014817</v>
      </c>
      <c r="AS258" s="732" t="str">
        <f t="shared" si="201"/>
        <v>0.010778230393795-14.6821146877978i</v>
      </c>
      <c r="AT258" s="337">
        <f t="shared" si="202"/>
        <v>14.682118643979768</v>
      </c>
      <c r="AU258" s="730">
        <f t="shared" si="203"/>
        <v>-1.5700622207967612</v>
      </c>
      <c r="AV258" s="732" t="str">
        <f t="shared" si="204"/>
        <v>-1.35440248608604+0.0872314285411628i</v>
      </c>
      <c r="AW258" s="337">
        <f t="shared" si="205"/>
        <v>2.6529326063140735</v>
      </c>
      <c r="AX258" s="730">
        <f t="shared" si="206"/>
        <v>176.31490701468763</v>
      </c>
      <c r="AY258" s="360">
        <f t="shared" si="207"/>
        <v>-3.685092985312366</v>
      </c>
      <c r="BB258" s="337">
        <f t="shared" si="208"/>
        <v>-16.664225415647497</v>
      </c>
      <c r="BC258" s="730">
        <f t="shared" si="209"/>
        <v>-89.957938824591608</v>
      </c>
      <c r="BD258" s="351"/>
      <c r="BE258" s="337">
        <f t="shared" si="170"/>
        <v>41.632972826621575</v>
      </c>
      <c r="BF258" s="730">
        <f t="shared" si="171"/>
        <v>-85.76916320174071</v>
      </c>
      <c r="BI258" s="351"/>
      <c r="BJ258" s="351"/>
      <c r="BL258" s="405">
        <f t="shared" si="172"/>
        <v>0</v>
      </c>
      <c r="BM258" s="405">
        <f t="shared" si="210"/>
        <v>0</v>
      </c>
      <c r="BN258" s="405">
        <f t="shared" si="173"/>
        <v>0</v>
      </c>
      <c r="BO258" s="405">
        <f t="shared" si="174"/>
        <v>0</v>
      </c>
    </row>
    <row r="259" spans="4:67" ht="13.5" thickBot="1" x14ac:dyDescent="0.25">
      <c r="D259" s="345">
        <v>16033.5</v>
      </c>
      <c r="E259" s="340" t="str">
        <f t="shared" si="161"/>
        <v>0.265957432283833i</v>
      </c>
      <c r="F259" s="728" t="str">
        <f t="shared" si="175"/>
        <v>0.005-0.162727877739482i</v>
      </c>
      <c r="G259" s="337" t="str">
        <f t="shared" si="176"/>
        <v>0.005-0.254523090823293i</v>
      </c>
      <c r="H259" s="338" t="str">
        <f t="shared" si="177"/>
        <v>0.0553859880703753-0.241942221797844i</v>
      </c>
      <c r="I259" s="338" t="str">
        <f t="shared" si="178"/>
        <v>0.0653859880703753-0.241942221797844i</v>
      </c>
      <c r="J259" s="337" t="str">
        <f t="shared" si="179"/>
        <v>0.0121339039026185-0.0985935734054476i</v>
      </c>
      <c r="K259" s="338" t="str">
        <f t="shared" si="162"/>
        <v>0.997143631975-0.0839512096855533i</v>
      </c>
      <c r="L259" s="732"/>
      <c r="M259" s="732" t="str">
        <f t="shared" si="163"/>
        <v>8.61847436753646-118.87527207827i</v>
      </c>
      <c r="N259" s="337">
        <f t="shared" si="164"/>
        <v>0</v>
      </c>
      <c r="O259" s="730" t="str">
        <f t="shared" si="165"/>
        <v>-3.26279911930435-47.1286933506591i</v>
      </c>
      <c r="P259" s="731" t="str">
        <f t="shared" si="166"/>
        <v>-11.6157621239785-2.29214731299403i</v>
      </c>
      <c r="Q259" s="729" t="str">
        <f t="shared" si="167"/>
        <v>-11.5831341327854-1.82086037948743i</v>
      </c>
      <c r="R259" s="730"/>
      <c r="S259" s="405" t="str">
        <f t="shared" si="180"/>
        <v>39.7901902992101-0.859627593540223i</v>
      </c>
      <c r="T259" s="405" t="str">
        <f t="shared" si="181"/>
        <v>15.5657189780526-2.56145174533082i</v>
      </c>
      <c r="U259" s="405" t="str">
        <f t="shared" si="182"/>
        <v>0.242399399331938-3.9078731692406i</v>
      </c>
      <c r="V259" s="731" t="str">
        <f t="shared" si="168"/>
        <v>6000</v>
      </c>
      <c r="W259" s="733" t="str">
        <f>IMSUM(COMPLEX(1,0),IMDIV(COMPLEX(0,2*PI()*D259),COMPLEX(2*PI()*'Stability Calculations'!EA_Pole1,0)))</f>
        <v>1+101748.866138891i</v>
      </c>
      <c r="X259" s="734">
        <f t="shared" si="183"/>
        <v>101748.86614380506</v>
      </c>
      <c r="Y259" s="735">
        <f t="shared" si="184"/>
        <v>1.5707864986755482</v>
      </c>
      <c r="Z259" s="340" t="str">
        <f>IMSUM(COMPLEX(1,0),IMDIV(COMPLEX(0,2*PI()*D259),COMPLEX(2*PI()*'Stability Calculations'!EA_Zero1,0)))</f>
        <v>1+1007.41451622664i</v>
      </c>
      <c r="AA259" s="734">
        <f t="shared" si="185"/>
        <v>1007.4150125465447</v>
      </c>
      <c r="AB259" s="735">
        <f t="shared" si="186"/>
        <v>1.5698036870667129</v>
      </c>
      <c r="AC259" s="733" t="str">
        <f>IMSUM(COMPLEX(1,0),IMDIV(COMPLEX(0,2*PI()*D259),COMPLEX(2*PI()*'Stability Calculations'!EA_Pole2,0)))</f>
        <v>1+10.1481459314972i</v>
      </c>
      <c r="AD259" s="734">
        <f t="shared" si="187"/>
        <v>10.197296987288503</v>
      </c>
      <c r="AE259" s="735">
        <f t="shared" si="188"/>
        <v>1.4725732609424584</v>
      </c>
      <c r="AF259" s="732" t="str">
        <f t="shared" si="189"/>
        <v>0.565596181080256-5.7981374513119i</v>
      </c>
      <c r="AG259" s="337">
        <f t="shared" si="190"/>
        <v>5.8256584987757591</v>
      </c>
      <c r="AH259" s="730">
        <f t="shared" si="191"/>
        <v>-1.4735560725512942</v>
      </c>
      <c r="AI259" s="731" t="str">
        <f t="shared" si="169"/>
        <v>10000</v>
      </c>
      <c r="AJ259" s="733" t="str">
        <f t="shared" si="192"/>
        <v>1+94857.9493649975i</v>
      </c>
      <c r="AK259" s="734">
        <f t="shared" si="193"/>
        <v>94857.949370268529</v>
      </c>
      <c r="AL259" s="735">
        <f t="shared" si="194"/>
        <v>1.5707857847158546</v>
      </c>
      <c r="AM259" s="340" t="str">
        <f t="shared" si="195"/>
        <v>1+160.984839693017i</v>
      </c>
      <c r="AN259" s="734">
        <f t="shared" si="196"/>
        <v>160.98794554557921</v>
      </c>
      <c r="AO259" s="735">
        <f t="shared" si="197"/>
        <v>1.5645846416436966</v>
      </c>
      <c r="AP259" s="733" t="str">
        <f t="shared" si="198"/>
        <v>1+7.80803008137525i</v>
      </c>
      <c r="AQ259" s="734">
        <f t="shared" si="199"/>
        <v>7.8718062572487639</v>
      </c>
      <c r="AR259" s="735">
        <f t="shared" si="200"/>
        <v>1.4434164897357544</v>
      </c>
      <c r="AS259" s="732" t="str">
        <f t="shared" si="201"/>
        <v>0.0106545604704641-14.5976400794657i</v>
      </c>
      <c r="AT259" s="337">
        <f t="shared" si="202"/>
        <v>14.597643967753227</v>
      </c>
      <c r="AU259" s="730">
        <f t="shared" si="203"/>
        <v>-1.5700664445317041</v>
      </c>
      <c r="AV259" s="732" t="str">
        <f t="shared" si="204"/>
        <v>-1.33868154122504+0.0873056707977015i</v>
      </c>
      <c r="AW259" s="337">
        <f t="shared" si="205"/>
        <v>2.5519783597649406</v>
      </c>
      <c r="AX259" s="730">
        <f t="shared" si="206"/>
        <v>176.26858796098804</v>
      </c>
      <c r="AY259" s="360">
        <f t="shared" si="207"/>
        <v>-3.7314120390119569</v>
      </c>
      <c r="BB259" s="337">
        <f t="shared" si="208"/>
        <v>-16.714344657423258</v>
      </c>
      <c r="BC259" s="730">
        <f t="shared" si="209"/>
        <v>-89.958180826777607</v>
      </c>
      <c r="BD259" s="351"/>
      <c r="BE259" s="337">
        <f t="shared" si="170"/>
        <v>41.524598388588274</v>
      </c>
      <c r="BF259" s="730">
        <f t="shared" si="171"/>
        <v>-85.85330295516016</v>
      </c>
      <c r="BI259" s="351"/>
      <c r="BJ259" s="351"/>
      <c r="BL259" s="405">
        <f t="shared" si="172"/>
        <v>0</v>
      </c>
      <c r="BM259" s="405">
        <f t="shared" si="210"/>
        <v>0</v>
      </c>
      <c r="BN259" s="405">
        <f t="shared" si="173"/>
        <v>0</v>
      </c>
      <c r="BO259" s="405">
        <f t="shared" si="174"/>
        <v>0</v>
      </c>
    </row>
    <row r="260" spans="4:67" ht="13.5" thickBot="1" x14ac:dyDescent="0.25">
      <c r="D260" s="345">
        <v>16125.75</v>
      </c>
      <c r="E260" s="340" t="str">
        <f t="shared" si="161"/>
        <v>0.267487639233543i</v>
      </c>
      <c r="F260" s="728" t="str">
        <f t="shared" si="175"/>
        <v>0.005-0.161796966202254i</v>
      </c>
      <c r="G260" s="337" t="str">
        <f t="shared" si="176"/>
        <v>0.005-0.25306704970096i</v>
      </c>
      <c r="H260" s="338" t="str">
        <f t="shared" si="177"/>
        <v>0.0548345821298994-0.240672374800794i</v>
      </c>
      <c r="I260" s="338" t="str">
        <f t="shared" si="178"/>
        <v>0.0648345821298994-0.240672374800794i</v>
      </c>
      <c r="J260" s="337" t="str">
        <f t="shared" si="179"/>
        <v>0.0120432079073141-0.0980370814685805i</v>
      </c>
      <c r="K260" s="338" t="str">
        <f t="shared" si="162"/>
        <v>0.99711066874375-0.0844342295560427i</v>
      </c>
      <c r="L260" s="732"/>
      <c r="M260" s="732" t="str">
        <f t="shared" si="163"/>
        <v>8.34637644207728-117.43533403317i</v>
      </c>
      <c r="N260" s="337">
        <f t="shared" si="164"/>
        <v>0</v>
      </c>
      <c r="O260" s="730" t="str">
        <f t="shared" si="165"/>
        <v>-3.26125348965672-46.5406894546366i</v>
      </c>
      <c r="P260" s="731" t="str">
        <f t="shared" si="166"/>
        <v>-11.4125002631352-2.23255253064571i</v>
      </c>
      <c r="Q260" s="729" t="str">
        <f t="shared" si="167"/>
        <v>-11.3798877282386-1.76714563609934i</v>
      </c>
      <c r="R260" s="730"/>
      <c r="S260" s="405" t="str">
        <f t="shared" si="180"/>
        <v>39.7923053450148-0.892795054650223i</v>
      </c>
      <c r="T260" s="405" t="str">
        <f t="shared" si="181"/>
        <v>15.562960522595-2.5649726430949i</v>
      </c>
      <c r="U260" s="405" t="str">
        <f t="shared" si="182"/>
        <v>0.236070379647897-3.88622387096266i</v>
      </c>
      <c r="V260" s="731" t="str">
        <f t="shared" si="168"/>
        <v>6000</v>
      </c>
      <c r="W260" s="733" t="str">
        <f>IMSUM(COMPLEX(1,0),IMDIV(COMPLEX(0,2*PI()*D260),COMPLEX(2*PI()*'Stability Calculations'!EA_Pole1,0)))</f>
        <v>1+102334.286221924i</v>
      </c>
      <c r="X260" s="734">
        <f t="shared" si="183"/>
        <v>102334.28622680994</v>
      </c>
      <c r="Y260" s="735">
        <f t="shared" si="184"/>
        <v>1.5707865548989184</v>
      </c>
      <c r="Z260" s="340" t="str">
        <f>IMSUM(COMPLEX(1,0),IMDIV(COMPLEX(0,2*PI()*D260),COMPLEX(2*PI()*'Stability Calculations'!EA_Zero1,0)))</f>
        <v>1+1013.21075467251i</v>
      </c>
      <c r="AA260" s="734">
        <f t="shared" si="185"/>
        <v>1013.2112481531368</v>
      </c>
      <c r="AB260" s="735">
        <f t="shared" si="186"/>
        <v>1.5698093656215268</v>
      </c>
      <c r="AC260" s="733" t="str">
        <f>IMSUM(COMPLEX(1,0),IMDIV(COMPLEX(0,2*PI()*D260),COMPLEX(2*PI()*'Stability Calculations'!EA_Pole2,0)))</f>
        <v>1+10.2065340851866i</v>
      </c>
      <c r="AD260" s="734">
        <f t="shared" si="187"/>
        <v>10.255405308035169</v>
      </c>
      <c r="AE260" s="735">
        <f t="shared" si="188"/>
        <v>1.4731315856770684</v>
      </c>
      <c r="AF260" s="732" t="str">
        <f t="shared" si="189"/>
        <v>0.559204871758478-5.7655944513991i</v>
      </c>
      <c r="AG260" s="337">
        <f t="shared" si="190"/>
        <v>5.7926496067518629</v>
      </c>
      <c r="AH260" s="730">
        <f t="shared" si="191"/>
        <v>-1.4741087749544604</v>
      </c>
      <c r="AI260" s="731" t="str">
        <f t="shared" si="169"/>
        <v>10000</v>
      </c>
      <c r="AJ260" s="733" t="str">
        <f t="shared" si="192"/>
        <v>1+95403.722017813i</v>
      </c>
      <c r="AK260" s="734">
        <f t="shared" si="193"/>
        <v>95403.722023053881</v>
      </c>
      <c r="AL260" s="735">
        <f t="shared" si="194"/>
        <v>1.5707858450235483</v>
      </c>
      <c r="AM260" s="340" t="str">
        <f t="shared" si="195"/>
        <v>1+161.911078596667i</v>
      </c>
      <c r="AN260" s="734">
        <f t="shared" si="196"/>
        <v>161.91416668202965</v>
      </c>
      <c r="AO260" s="735">
        <f t="shared" si="197"/>
        <v>1.564620175702041</v>
      </c>
      <c r="AP260" s="733" t="str">
        <f t="shared" si="198"/>
        <v>1+7.85295419495036i</v>
      </c>
      <c r="AQ260" s="734">
        <f t="shared" si="199"/>
        <v>7.9163684595898172</v>
      </c>
      <c r="AR260" s="735">
        <f t="shared" si="200"/>
        <v>1.4441373965949993</v>
      </c>
      <c r="AS260" s="732" t="str">
        <f t="shared" si="201"/>
        <v>0.0105330068912644-14.5141319713255i</v>
      </c>
      <c r="AT260" s="337">
        <f t="shared" si="202"/>
        <v>14.514135793263312</v>
      </c>
      <c r="AU260" s="730">
        <f t="shared" si="203"/>
        <v>-1.5700706199415344</v>
      </c>
      <c r="AV260" s="732" t="str">
        <f t="shared" si="204"/>
        <v>-1.32323135724874+0.0873685474351522i</v>
      </c>
      <c r="AW260" s="337">
        <f t="shared" si="205"/>
        <v>2.4516076844101002</v>
      </c>
      <c r="AX260" s="730">
        <f t="shared" si="206"/>
        <v>176.22243411531031</v>
      </c>
      <c r="AY260" s="360">
        <f t="shared" si="207"/>
        <v>-3.7775658846896931</v>
      </c>
      <c r="BB260" s="337">
        <f t="shared" si="208"/>
        <v>-16.764176360119091</v>
      </c>
      <c r="BC260" s="730">
        <f t="shared" si="209"/>
        <v>-89.958420060138636</v>
      </c>
      <c r="BD260" s="351"/>
      <c r="BE260" s="337">
        <f t="shared" si="170"/>
        <v>41.417857803904205</v>
      </c>
      <c r="BF260" s="730">
        <f t="shared" si="171"/>
        <v>-85.934704055872473</v>
      </c>
      <c r="BI260" s="351"/>
      <c r="BJ260" s="351"/>
      <c r="BL260" s="405">
        <f t="shared" si="172"/>
        <v>0</v>
      </c>
      <c r="BM260" s="405">
        <f t="shared" si="210"/>
        <v>0</v>
      </c>
      <c r="BN260" s="405">
        <f t="shared" si="173"/>
        <v>0</v>
      </c>
      <c r="BO260" s="405">
        <f t="shared" si="174"/>
        <v>0</v>
      </c>
    </row>
    <row r="261" spans="4:67" ht="13.5" thickBot="1" x14ac:dyDescent="0.25">
      <c r="D261" s="345">
        <v>16218</v>
      </c>
      <c r="E261" s="340" t="str">
        <f t="shared" si="161"/>
        <v>0.269017846183254i</v>
      </c>
      <c r="F261" s="728" t="str">
        <f t="shared" si="175"/>
        <v>0.005-0.160876644946109i</v>
      </c>
      <c r="G261" s="337" t="str">
        <f t="shared" si="176"/>
        <v>0.005-0.251627572864426i</v>
      </c>
      <c r="H261" s="338" t="str">
        <f t="shared" si="177"/>
        <v>0.0542920482072634-0.239415146522908i</v>
      </c>
      <c r="I261" s="338" t="str">
        <f t="shared" si="178"/>
        <v>0.0642920482072634-0.239415146522908i</v>
      </c>
      <c r="J261" s="337" t="str">
        <f t="shared" si="179"/>
        <v>0.0119540417466851-0.0974867987540373i</v>
      </c>
      <c r="K261" s="338" t="str">
        <f t="shared" si="162"/>
        <v>0.9970775164-0.0849172494265321i</v>
      </c>
      <c r="L261" s="732"/>
      <c r="M261" s="732" t="str">
        <f t="shared" si="163"/>
        <v>8.08639848136087-116.033424579808i</v>
      </c>
      <c r="N261" s="337">
        <f t="shared" si="164"/>
        <v>0</v>
      </c>
      <c r="O261" s="730" t="str">
        <f t="shared" si="165"/>
        <v>-3.25808024822287-45.9686593483426i</v>
      </c>
      <c r="P261" s="731" t="str">
        <f t="shared" si="166"/>
        <v>-11.215061965727-2.17538550283524i</v>
      </c>
      <c r="Q261" s="729" t="str">
        <f t="shared" si="167"/>
        <v>-11.1824811632448-1.71569890935183i</v>
      </c>
      <c r="R261" s="730"/>
      <c r="S261" s="405" t="str">
        <f t="shared" si="180"/>
        <v>39.7943419780595-0.925814171297246i</v>
      </c>
      <c r="T261" s="405" t="str">
        <f t="shared" si="181"/>
        <v>15.5602220166069-2.56855085173937i</v>
      </c>
      <c r="U261" s="405" t="str">
        <f t="shared" si="182"/>
        <v>0.22984634532063-3.8648047207004i</v>
      </c>
      <c r="V261" s="731" t="str">
        <f t="shared" si="168"/>
        <v>6000</v>
      </c>
      <c r="W261" s="733" t="str">
        <f>IMSUM(COMPLEX(1,0),IMDIV(COMPLEX(0,2*PI()*D261),COMPLEX(2*PI()*'Stability Calculations'!EA_Pole1,0)))</f>
        <v>1+102919.706304957i</v>
      </c>
      <c r="X261" s="734">
        <f t="shared" si="183"/>
        <v>102919.70630981516</v>
      </c>
      <c r="Y261" s="735">
        <f t="shared" si="184"/>
        <v>1.5707866104826773</v>
      </c>
      <c r="Z261" s="340" t="str">
        <f>IMSUM(COMPLEX(1,0),IMDIV(COMPLEX(0,2*PI()*D261),COMPLEX(2*PI()*'Stability Calculations'!EA_Zero1,0)))</f>
        <v>1+1019.00699311839i</v>
      </c>
      <c r="AA261" s="734">
        <f t="shared" si="185"/>
        <v>1019.0074837920389</v>
      </c>
      <c r="AB261" s="735">
        <f t="shared" si="186"/>
        <v>1.5698149795757519</v>
      </c>
      <c r="AC261" s="733" t="str">
        <f>IMSUM(COMPLEX(1,0),IMDIV(COMPLEX(0,2*PI()*D261),COMPLEX(2*PI()*'Stability Calculations'!EA_Pole2,0)))</f>
        <v>1+10.2649222388762i</v>
      </c>
      <c r="AD261" s="734">
        <f t="shared" si="187"/>
        <v>10.313516789639467</v>
      </c>
      <c r="AE261" s="735">
        <f t="shared" si="188"/>
        <v>1.4736836188238296</v>
      </c>
      <c r="AF261" s="732" t="str">
        <f t="shared" si="189"/>
        <v>0.552920948505055-5.73341120729521i</v>
      </c>
      <c r="AG261" s="337">
        <f t="shared" si="190"/>
        <v>5.7600109068676293</v>
      </c>
      <c r="AH261" s="730">
        <f t="shared" si="191"/>
        <v>-1.474655249730755</v>
      </c>
      <c r="AI261" s="731" t="str">
        <f t="shared" si="169"/>
        <v>10000</v>
      </c>
      <c r="AJ261" s="733" t="str">
        <f t="shared" si="192"/>
        <v>1+95949.4946706293i</v>
      </c>
      <c r="AK261" s="734">
        <f t="shared" si="193"/>
        <v>95949.494675840368</v>
      </c>
      <c r="AL261" s="735">
        <f t="shared" si="194"/>
        <v>1.5707859046451667</v>
      </c>
      <c r="AM261" s="340" t="str">
        <f t="shared" si="195"/>
        <v>1+162.837317500319i</v>
      </c>
      <c r="AN261" s="734">
        <f t="shared" si="196"/>
        <v>162.84038802060041</v>
      </c>
      <c r="AO261" s="735">
        <f t="shared" si="197"/>
        <v>1.5646553055314361</v>
      </c>
      <c r="AP261" s="733" t="str">
        <f t="shared" si="198"/>
        <v>1+7.89787830852554i</v>
      </c>
      <c r="AQ261" s="734">
        <f t="shared" si="199"/>
        <v>7.9609347300601723</v>
      </c>
      <c r="AR261" s="735">
        <f t="shared" si="200"/>
        <v>1.4448502323745886</v>
      </c>
      <c r="AS261" s="732" t="str">
        <f t="shared" si="201"/>
        <v>0.010413521641334-14.4315738706923i</v>
      </c>
      <c r="AT261" s="337">
        <f t="shared" si="202"/>
        <v>14.431577627781436</v>
      </c>
      <c r="AU261" s="730">
        <f t="shared" si="203"/>
        <v>-1.5700747478508894</v>
      </c>
      <c r="AV261" s="732" t="str">
        <f t="shared" si="204"/>
        <v>-1.30804574667842+0.0874205054683447i</v>
      </c>
      <c r="AW261" s="337">
        <f t="shared" si="205"/>
        <v>2.3518138277065601</v>
      </c>
      <c r="AX261" s="730">
        <f t="shared" si="206"/>
        <v>176.17644229655735</v>
      </c>
      <c r="AY261" s="360">
        <f t="shared" si="207"/>
        <v>-3.8235577034426456</v>
      </c>
      <c r="BB261" s="337">
        <f t="shared" si="208"/>
        <v>-16.813723804202485</v>
      </c>
      <c r="BC261" s="730">
        <f t="shared" si="209"/>
        <v>-89.958656571922887</v>
      </c>
      <c r="BD261" s="351"/>
      <c r="BE261" s="337">
        <f t="shared" si="170"/>
        <v>41.312703661707253</v>
      </c>
      <c r="BF261" s="730">
        <f t="shared" si="171"/>
        <v>-86.013488213403889</v>
      </c>
      <c r="BI261" s="351"/>
      <c r="BJ261" s="351"/>
      <c r="BL261" s="405">
        <f t="shared" si="172"/>
        <v>0</v>
      </c>
      <c r="BM261" s="405">
        <f t="shared" si="210"/>
        <v>0</v>
      </c>
      <c r="BN261" s="405">
        <f t="shared" si="173"/>
        <v>0</v>
      </c>
      <c r="BO261" s="405">
        <f t="shared" si="174"/>
        <v>0</v>
      </c>
    </row>
    <row r="262" spans="4:67" ht="13.5" thickBot="1" x14ac:dyDescent="0.25">
      <c r="D262" s="345">
        <v>16312.5</v>
      </c>
      <c r="E262" s="340" t="str">
        <f t="shared" si="161"/>
        <v>0.270585375253689i</v>
      </c>
      <c r="F262" s="728" t="str">
        <f t="shared" si="175"/>
        <v>0.005-0.159944669899524i</v>
      </c>
      <c r="G262" s="337" t="str">
        <f t="shared" si="176"/>
        <v>0.005-0.250169868304384i</v>
      </c>
      <c r="H262" s="338" t="str">
        <f t="shared" si="177"/>
        <v>0.0537452860046325-0.238140154419024i</v>
      </c>
      <c r="I262" s="338" t="str">
        <f t="shared" si="178"/>
        <v>0.0637452860046325-0.238140154419024i</v>
      </c>
      <c r="J262" s="337" t="str">
        <f t="shared" si="179"/>
        <v>0.0118642513720239-0.0969294254765993i</v>
      </c>
      <c r="K262" s="338" t="str">
        <f t="shared" si="162"/>
        <v>0.997043359375-0.0854120502694725i</v>
      </c>
      <c r="L262" s="732"/>
      <c r="M262" s="732" t="str">
        <f t="shared" si="163"/>
        <v>7.8319258578124-114.635174253742i</v>
      </c>
      <c r="N262" s="337">
        <f t="shared" si="164"/>
        <v>0</v>
      </c>
      <c r="O262" s="730" t="str">
        <f t="shared" si="165"/>
        <v>-3.25329203050344-45.3985579968877i</v>
      </c>
      <c r="P262" s="731" t="str">
        <f t="shared" si="166"/>
        <v>-11.018601642721-2.11920459719524i</v>
      </c>
      <c r="Q262" s="729" t="str">
        <f t="shared" si="167"/>
        <v>-10.986068722416-1.66521901722634i</v>
      </c>
      <c r="R262" s="730"/>
      <c r="S262" s="405" t="str">
        <f t="shared" si="180"/>
        <v>39.796348512271-0.959487208084513i</v>
      </c>
      <c r="T262" s="405" t="str">
        <f t="shared" si="181"/>
        <v>15.5574367985317-2.57227480644478i</v>
      </c>
      <c r="U262" s="405" t="str">
        <f t="shared" si="182"/>
        <v>0.223576970621146-3.84309804672149i</v>
      </c>
      <c r="V262" s="731" t="str">
        <f t="shared" si="168"/>
        <v>6000</v>
      </c>
      <c r="W262" s="733" t="str">
        <f>IMSUM(COMPLEX(1,0),IMDIV(COMPLEX(0,2*PI()*D262),COMPLEX(2*PI()*'Stability Calculations'!EA_Pole1,0)))</f>
        <v>1+103519.404926601i</v>
      </c>
      <c r="X262" s="734">
        <f t="shared" si="183"/>
        <v>103519.40493143101</v>
      </c>
      <c r="Y262" s="735">
        <f t="shared" si="184"/>
        <v>1.5707866667702792</v>
      </c>
      <c r="Z262" s="340" t="str">
        <f>IMSUM(COMPLEX(1,0),IMDIV(COMPLEX(0,2*PI()*D262),COMPLEX(2*PI()*'Stability Calculations'!EA_Zero1,0)))</f>
        <v>1+1024.94460323367i</v>
      </c>
      <c r="AA262" s="734">
        <f t="shared" si="185"/>
        <v>1024.945091064797</v>
      </c>
      <c r="AB262" s="735">
        <f t="shared" si="186"/>
        <v>1.5698206646180928</v>
      </c>
      <c r="AC262" s="733" t="str">
        <f>IMSUM(COMPLEX(1,0),IMDIV(COMPLEX(0,2*PI()*D262),COMPLEX(2*PI()*'Stability Calculations'!EA_Pole2,0)))</f>
        <v>1+10.3247344938752i</v>
      </c>
      <c r="AD262" s="734">
        <f t="shared" si="187"/>
        <v>10.373048846362209</v>
      </c>
      <c r="AE262" s="735">
        <f t="shared" si="188"/>
        <v>1.4742427027365659</v>
      </c>
      <c r="AF262" s="732" t="str">
        <f t="shared" si="189"/>
        <v>0.546592613158648-5.70080989202869i</v>
      </c>
      <c r="AG262" s="337">
        <f t="shared" si="190"/>
        <v>5.7269535452814493</v>
      </c>
      <c r="AH262" s="730">
        <f t="shared" si="191"/>
        <v>-1.4752087048887521</v>
      </c>
      <c r="AI262" s="731" t="str">
        <f t="shared" si="169"/>
        <v>10000</v>
      </c>
      <c r="AJ262" s="733" t="str">
        <f t="shared" si="192"/>
        <v>1+96508.5788515621i</v>
      </c>
      <c r="AK262" s="734">
        <f t="shared" si="193"/>
        <v>96508.578856742999</v>
      </c>
      <c r="AL262" s="735">
        <f t="shared" si="194"/>
        <v>1.5707859650217584</v>
      </c>
      <c r="AM262" s="340" t="str">
        <f t="shared" si="195"/>
        <v>1+163.78614759674i</v>
      </c>
      <c r="AN262" s="734">
        <f t="shared" si="196"/>
        <v>163.78920032951225</v>
      </c>
      <c r="AO262" s="735">
        <f t="shared" si="197"/>
        <v>1.5646908802162363</v>
      </c>
      <c r="AP262" s="733" t="str">
        <f t="shared" si="198"/>
        <v>1+7.94389813218784i</v>
      </c>
      <c r="AQ262" s="734">
        <f t="shared" si="199"/>
        <v>8.0065921299000511</v>
      </c>
      <c r="AR262" s="735">
        <f t="shared" si="200"/>
        <v>1.4455722257609849</v>
      </c>
      <c r="AS262" s="732" t="str">
        <f t="shared" si="201"/>
        <v>0.010293217965273-14.3479703566436i</v>
      </c>
      <c r="AT262" s="337">
        <f t="shared" si="202"/>
        <v>14.347974048814681</v>
      </c>
      <c r="AU262" s="730">
        <f t="shared" si="203"/>
        <v>-1.5700789280309198</v>
      </c>
      <c r="AV262" s="732" t="str">
        <f t="shared" si="204"/>
        <v>-1.29275780401344+0.0874628580844011i</v>
      </c>
      <c r="AW262" s="337">
        <f t="shared" si="205"/>
        <v>2.2501771317673289</v>
      </c>
      <c r="AX262" s="730">
        <f t="shared" si="206"/>
        <v>176.12949348924758</v>
      </c>
      <c r="AY262" s="360">
        <f t="shared" si="207"/>
        <v>-3.8705065107524206</v>
      </c>
      <c r="BB262" s="337">
        <f t="shared" si="208"/>
        <v>-16.86418835007861</v>
      </c>
      <c r="BC262" s="730">
        <f t="shared" si="209"/>
        <v>-89.958896078596226</v>
      </c>
      <c r="BD262" s="351"/>
      <c r="BE262" s="337">
        <f t="shared" si="170"/>
        <v>41.206582234936789</v>
      </c>
      <c r="BF262" s="730">
        <f t="shared" si="171"/>
        <v>-86.091600482713403</v>
      </c>
      <c r="BI262" s="351"/>
      <c r="BJ262" s="351"/>
      <c r="BL262" s="405">
        <f t="shared" si="172"/>
        <v>0</v>
      </c>
      <c r="BM262" s="405">
        <f t="shared" si="210"/>
        <v>0</v>
      </c>
      <c r="BN262" s="405">
        <f t="shared" si="173"/>
        <v>0</v>
      </c>
      <c r="BO262" s="405">
        <f t="shared" si="174"/>
        <v>0</v>
      </c>
    </row>
    <row r="263" spans="4:67" ht="13.5" thickBot="1" x14ac:dyDescent="0.25">
      <c r="D263" s="345">
        <v>16407</v>
      </c>
      <c r="E263" s="340" t="str">
        <f t="shared" si="161"/>
        <v>0.272152904324124i</v>
      </c>
      <c r="F263" s="728" t="str">
        <f t="shared" si="175"/>
        <v>0.005-0.159023430714694i</v>
      </c>
      <c r="G263" s="337" t="str">
        <f t="shared" si="176"/>
        <v>0.005-0.24872895573324i</v>
      </c>
      <c r="H263" s="338" t="str">
        <f t="shared" si="177"/>
        <v>0.0532074427960099-0.236878033662937i</v>
      </c>
      <c r="I263" s="338" t="str">
        <f t="shared" si="178"/>
        <v>0.0632074427960099-0.236878033662937i</v>
      </c>
      <c r="J263" s="337" t="str">
        <f t="shared" si="179"/>
        <v>0.0117759948591853-0.0963783524159425i</v>
      </c>
      <c r="K263" s="338" t="str">
        <f t="shared" si="162"/>
        <v>0.9970090039-0.0859068511124129i</v>
      </c>
      <c r="L263" s="732"/>
      <c r="M263" s="732" t="str">
        <f t="shared" si="163"/>
        <v>7.5887582067016-113.273705472286i</v>
      </c>
      <c r="N263" s="337">
        <f t="shared" si="164"/>
        <v>0</v>
      </c>
      <c r="O263" s="730" t="str">
        <f t="shared" si="165"/>
        <v>-3.2470878216744-44.8438702645221i</v>
      </c>
      <c r="P263" s="731" t="str">
        <f t="shared" si="166"/>
        <v>-10.8277679278379-2.06530258616737i</v>
      </c>
      <c r="Q263" s="729" t="str">
        <f t="shared" si="167"/>
        <v>-10.7952970496211-1.61686388352215i</v>
      </c>
      <c r="R263" s="730"/>
      <c r="S263" s="405" t="str">
        <f t="shared" si="180"/>
        <v>39.7982758329465-0.993009386639351i</v>
      </c>
      <c r="T263" s="405" t="str">
        <f t="shared" si="181"/>
        <v>15.5546713032219-2.57605698670263i</v>
      </c>
      <c r="U263" s="405" t="str">
        <f t="shared" si="182"/>
        <v>0.217412969963133-3.82162535733973i</v>
      </c>
      <c r="V263" s="731" t="str">
        <f t="shared" si="168"/>
        <v>6000</v>
      </c>
      <c r="W263" s="733" t="str">
        <f>IMSUM(COMPLEX(1,0),IMDIV(COMPLEX(0,2*PI()*D263),COMPLEX(2*PI()*'Stability Calculations'!EA_Pole1,0)))</f>
        <v>1+104119.103548244i</v>
      </c>
      <c r="X263" s="734">
        <f t="shared" si="183"/>
        <v>104119.10355304621</v>
      </c>
      <c r="Y263" s="735">
        <f t="shared" si="184"/>
        <v>1.5707867224094776</v>
      </c>
      <c r="Z263" s="340" t="str">
        <f>IMSUM(COMPLEX(1,0),IMDIV(COMPLEX(0,2*PI()*D263),COMPLEX(2*PI()*'Stability Calculations'!EA_Zero1,0)))</f>
        <v>1+1030.88221334895i</v>
      </c>
      <c r="AA263" s="734">
        <f t="shared" si="185"/>
        <v>1030.8826983702995</v>
      </c>
      <c r="AB263" s="735">
        <f t="shared" si="186"/>
        <v>1.5698262841718016</v>
      </c>
      <c r="AC263" s="733" t="str">
        <f>IMSUM(COMPLEX(1,0),IMDIV(COMPLEX(0,2*PI()*D263),COMPLEX(2*PI()*'Stability Calculations'!EA_Pole2,0)))</f>
        <v>1+10.3845467488741i</v>
      </c>
      <c r="AD263" s="734">
        <f t="shared" si="187"/>
        <v>10.432584108434098</v>
      </c>
      <c r="AE263" s="735">
        <f t="shared" si="188"/>
        <v>1.4747954058112851</v>
      </c>
      <c r="AF263" s="732" t="str">
        <f t="shared" si="189"/>
        <v>0.540371971633636-5.66857375617223i</v>
      </c>
      <c r="AG263" s="337">
        <f t="shared" si="190"/>
        <v>5.6942717090855242</v>
      </c>
      <c r="AH263" s="730">
        <f t="shared" si="191"/>
        <v>-1.4757558440489609</v>
      </c>
      <c r="AI263" s="731" t="str">
        <f t="shared" si="169"/>
        <v>10000</v>
      </c>
      <c r="AJ263" s="733" t="str">
        <f t="shared" si="192"/>
        <v>1+97067.6630324948i</v>
      </c>
      <c r="AK263" s="734">
        <f t="shared" si="193"/>
        <v>97067.663037645834</v>
      </c>
      <c r="AL263" s="735">
        <f t="shared" si="194"/>
        <v>1.5707860247028433</v>
      </c>
      <c r="AM263" s="340" t="str">
        <f t="shared" si="195"/>
        <v>1+164.734977693162i</v>
      </c>
      <c r="AN263" s="734">
        <f t="shared" si="196"/>
        <v>164.73801284332217</v>
      </c>
      <c r="AO263" s="735">
        <f t="shared" si="197"/>
        <v>1.5647260451145895</v>
      </c>
      <c r="AP263" s="733" t="str">
        <f t="shared" si="198"/>
        <v>1+7.98991795585013i</v>
      </c>
      <c r="AQ263" s="734">
        <f t="shared" si="199"/>
        <v>8.0522536560404205</v>
      </c>
      <c r="AR263" s="735">
        <f t="shared" si="200"/>
        <v>1.4462860311698669</v>
      </c>
      <c r="AS263" s="732" t="str">
        <f t="shared" si="201"/>
        <v>0.0101749870479651-14.2653299095724i</v>
      </c>
      <c r="AT263" s="337">
        <f t="shared" si="202"/>
        <v>14.265333538312461</v>
      </c>
      <c r="AU263" s="730">
        <f t="shared" si="203"/>
        <v>-1.570083060057502</v>
      </c>
      <c r="AV263" s="732" t="str">
        <f t="shared" si="204"/>
        <v>-1.2777349128274+0.0874946464175894i</v>
      </c>
      <c r="AW263" s="337">
        <f t="shared" si="205"/>
        <v>2.1491317620047163</v>
      </c>
      <c r="AX263" s="730">
        <f t="shared" si="206"/>
        <v>176.08270820975051</v>
      </c>
      <c r="AY263" s="360">
        <f t="shared" si="207"/>
        <v>-3.917291790249493</v>
      </c>
      <c r="BB263" s="337">
        <f t="shared" si="208"/>
        <v>-16.914361392643961</v>
      </c>
      <c r="BC263" s="730">
        <f t="shared" si="209"/>
        <v>-89.959132826280225</v>
      </c>
      <c r="BD263" s="351"/>
      <c r="BE263" s="337">
        <f t="shared" si="170"/>
        <v>41.102031038017429</v>
      </c>
      <c r="BF263" s="730">
        <f t="shared" si="171"/>
        <v>-86.167203594085692</v>
      </c>
      <c r="BI263" s="351"/>
      <c r="BJ263" s="351"/>
      <c r="BL263" s="405">
        <f t="shared" si="172"/>
        <v>0</v>
      </c>
      <c r="BM263" s="405">
        <f t="shared" si="210"/>
        <v>0</v>
      </c>
      <c r="BN263" s="405">
        <f t="shared" si="173"/>
        <v>0</v>
      </c>
      <c r="BO263" s="405">
        <f t="shared" si="174"/>
        <v>0</v>
      </c>
    </row>
    <row r="264" spans="4:67" ht="13.5" thickBot="1" x14ac:dyDescent="0.25">
      <c r="D264" s="345">
        <v>16501.5</v>
      </c>
      <c r="E264" s="340" t="str">
        <f t="shared" si="161"/>
        <v>0.273720433394559i</v>
      </c>
      <c r="F264" s="728" t="str">
        <f t="shared" si="175"/>
        <v>0.005-0.158112742946762i</v>
      </c>
      <c r="G264" s="337" t="str">
        <f t="shared" si="176"/>
        <v>0.005-0.24730454666032i</v>
      </c>
      <c r="H264" s="338" t="str">
        <f t="shared" si="177"/>
        <v>0.0526783283805576-0.235628601624348i</v>
      </c>
      <c r="I264" s="338" t="str">
        <f t="shared" si="178"/>
        <v>0.0626783283805576-0.235628601624348i</v>
      </c>
      <c r="J264" s="337" t="str">
        <f t="shared" si="179"/>
        <v>0.0116892375347393-0.0958334740669136i</v>
      </c>
      <c r="K264" s="338" t="str">
        <f t="shared" si="162"/>
        <v>0.996974449975-0.0864016519553533i</v>
      </c>
      <c r="L264" s="732"/>
      <c r="M264" s="732" t="str">
        <f t="shared" si="163"/>
        <v>7.3562537799958-111.947559716959i</v>
      </c>
      <c r="N264" s="337">
        <f t="shared" si="164"/>
        <v>0</v>
      </c>
      <c r="O264" s="730" t="str">
        <f t="shared" si="165"/>
        <v>-3.23959689851166-44.303968079421i</v>
      </c>
      <c r="P264" s="731" t="str">
        <f t="shared" si="166"/>
        <v>-10.6423345631893-2.01355697282081i</v>
      </c>
      <c r="Q264" s="729" t="str">
        <f t="shared" si="167"/>
        <v>-10.6099385942042-1.57051729202662i</v>
      </c>
      <c r="R264" s="730"/>
      <c r="S264" s="405" t="str">
        <f t="shared" si="180"/>
        <v>39.8001254308365-1.02638306727456i</v>
      </c>
      <c r="T264" s="405" t="str">
        <f t="shared" si="181"/>
        <v>15.551924942474-2.57989645268199i</v>
      </c>
      <c r="U264" s="405" t="str">
        <f t="shared" si="182"/>
        <v>0.211352015588356-3.80038295928419i</v>
      </c>
      <c r="V264" s="731" t="str">
        <f t="shared" si="168"/>
        <v>6000</v>
      </c>
      <c r="W264" s="733" t="str">
        <f>IMSUM(COMPLEX(1,0),IMDIV(COMPLEX(0,2*PI()*D264),COMPLEX(2*PI()*'Stability Calculations'!EA_Pole1,0)))</f>
        <v>1+104718.802169888i</v>
      </c>
      <c r="X264" s="734">
        <f t="shared" si="183"/>
        <v>104718.80217466272</v>
      </c>
      <c r="Y264" s="735">
        <f t="shared" si="184"/>
        <v>1.5707867774114119</v>
      </c>
      <c r="Z264" s="340" t="str">
        <f>IMSUM(COMPLEX(1,0),IMDIV(COMPLEX(0,2*PI()*D264),COMPLEX(2*PI()*'Stability Calculations'!EA_Zero1,0)))</f>
        <v>1+1036.81982346424i</v>
      </c>
      <c r="AA264" s="734">
        <f t="shared" si="185"/>
        <v>1036.8203057079938</v>
      </c>
      <c r="AB264" s="735">
        <f t="shared" si="186"/>
        <v>1.5698318393619886</v>
      </c>
      <c r="AC264" s="733" t="str">
        <f>IMSUM(COMPLEX(1,0),IMDIV(COMPLEX(0,2*PI()*D264),COMPLEX(2*PI()*'Stability Calculations'!EA_Pole2,0)))</f>
        <v>1+10.4443590038732i</v>
      </c>
      <c r="AD264" s="734">
        <f t="shared" si="187"/>
        <v>10.492122521291256</v>
      </c>
      <c r="AE264" s="735">
        <f t="shared" si="188"/>
        <v>1.4753418363331736</v>
      </c>
      <c r="AF264" s="732" t="str">
        <f t="shared" si="189"/>
        <v>0.534256601569702-5.63669675777945i</v>
      </c>
      <c r="AG264" s="337">
        <f t="shared" si="190"/>
        <v>5.66195906515423</v>
      </c>
      <c r="AH264" s="730">
        <f t="shared" si="191"/>
        <v>-1.4762967743825972</v>
      </c>
      <c r="AI264" s="731" t="str">
        <f t="shared" si="169"/>
        <v>10000</v>
      </c>
      <c r="AJ264" s="733" t="str">
        <f t="shared" si="192"/>
        <v>1+97626.7472134285i</v>
      </c>
      <c r="AK264" s="734">
        <f t="shared" si="193"/>
        <v>97626.747218550052</v>
      </c>
      <c r="AL264" s="735">
        <f t="shared" si="194"/>
        <v>1.5707860837003707</v>
      </c>
      <c r="AM264" s="340" t="str">
        <f t="shared" si="195"/>
        <v>1+165.683807789586i</v>
      </c>
      <c r="AN264" s="734">
        <f t="shared" si="196"/>
        <v>165.68682555851106</v>
      </c>
      <c r="AO264" s="735">
        <f t="shared" si="197"/>
        <v>1.5647608072663872</v>
      </c>
      <c r="AP264" s="733" t="str">
        <f t="shared" si="198"/>
        <v>1+8.0359377795125i</v>
      </c>
      <c r="AQ264" s="734">
        <f t="shared" si="199"/>
        <v>8.0979192386807792</v>
      </c>
      <c r="AR264" s="735">
        <f t="shared" si="200"/>
        <v>1.4469917863879309</v>
      </c>
      <c r="AS264" s="732" t="str">
        <f t="shared" si="201"/>
        <v>0.0100587815449657-14.1836359837747i</v>
      </c>
      <c r="AT264" s="337">
        <f t="shared" si="202"/>
        <v>14.183639550528444</v>
      </c>
      <c r="AU264" s="730">
        <f t="shared" si="203"/>
        <v>-1.5700871447579243</v>
      </c>
      <c r="AV264" s="732" t="str">
        <f t="shared" si="204"/>
        <v>-1.26297097612547+0.0875162956469722i</v>
      </c>
      <c r="AW264" s="337">
        <f t="shared" si="205"/>
        <v>2.0486708309624473</v>
      </c>
      <c r="AX264" s="730">
        <f t="shared" si="206"/>
        <v>176.03608329523269</v>
      </c>
      <c r="AY264" s="360">
        <f t="shared" si="207"/>
        <v>-3.9639167047673141</v>
      </c>
      <c r="BB264" s="337">
        <f t="shared" si="208"/>
        <v>-16.964246280243167</v>
      </c>
      <c r="BC264" s="730">
        <f t="shared" si="209"/>
        <v>-89.959366862375006</v>
      </c>
      <c r="BD264" s="351"/>
      <c r="BE264" s="337">
        <f t="shared" si="170"/>
        <v>40.999005150755593</v>
      </c>
      <c r="BF264" s="730">
        <f t="shared" si="171"/>
        <v>-86.240407500066169</v>
      </c>
      <c r="BI264" s="351"/>
      <c r="BJ264" s="351"/>
      <c r="BL264" s="405">
        <f t="shared" si="172"/>
        <v>0</v>
      </c>
      <c r="BM264" s="405">
        <f t="shared" si="210"/>
        <v>0</v>
      </c>
      <c r="BN264" s="405">
        <f t="shared" si="173"/>
        <v>0</v>
      </c>
      <c r="BO264" s="405">
        <f t="shared" si="174"/>
        <v>0</v>
      </c>
    </row>
    <row r="265" spans="4:67" ht="13.5" thickBot="1" x14ac:dyDescent="0.25">
      <c r="D265" s="345">
        <v>16596</v>
      </c>
      <c r="E265" s="340" t="str">
        <f t="shared" si="161"/>
        <v>0.275287962464994i</v>
      </c>
      <c r="F265" s="728" t="str">
        <f t="shared" si="175"/>
        <v>0.005-0.157212426351891i</v>
      </c>
      <c r="G265" s="337" t="str">
        <f t="shared" si="176"/>
        <v>0.005-0.245896359165779i</v>
      </c>
      <c r="H265" s="338" t="str">
        <f t="shared" si="177"/>
        <v>0.0521577575255459-0.234391678832672i</v>
      </c>
      <c r="I265" s="338" t="str">
        <f t="shared" si="178"/>
        <v>0.0621577575255459-0.234391678832672i</v>
      </c>
      <c r="J265" s="337" t="str">
        <f t="shared" si="179"/>
        <v>0.0116039456974493-0.0952946872511736i</v>
      </c>
      <c r="K265" s="338" t="str">
        <f t="shared" si="162"/>
        <v>0.9969396976-0.0868964527982937i</v>
      </c>
      <c r="L265" s="732"/>
      <c r="M265" s="732" t="str">
        <f t="shared" si="163"/>
        <v>7.13381496173596-110.655354067579i</v>
      </c>
      <c r="N265" s="337">
        <f t="shared" si="164"/>
        <v>0</v>
      </c>
      <c r="O265" s="730" t="str">
        <f t="shared" si="165"/>
        <v>-3.23093760378733-43.7782568564438i</v>
      </c>
      <c r="P265" s="731" t="str">
        <f t="shared" si="166"/>
        <v>-10.4620869571061-1.96385338541858i</v>
      </c>
      <c r="Q265" s="729" t="str">
        <f t="shared" si="167"/>
        <v>-10.4297775810682-1.52607081685414i</v>
      </c>
      <c r="R265" s="730"/>
      <c r="S265" s="405" t="str">
        <f t="shared" si="180"/>
        <v>39.8018987559975-1.05961056208565i</v>
      </c>
      <c r="T265" s="405" t="str">
        <f t="shared" si="181"/>
        <v>15.5491971441556-2.58379228358914i</v>
      </c>
      <c r="U265" s="405" t="str">
        <f t="shared" si="182"/>
        <v>0.205391843256423-3.77936723454262i</v>
      </c>
      <c r="V265" s="731" t="str">
        <f t="shared" si="168"/>
        <v>6000</v>
      </c>
      <c r="W265" s="733" t="str">
        <f>IMSUM(COMPLEX(1,0),IMDIV(COMPLEX(0,2*PI()*D265),COMPLEX(2*PI()*'Stability Calculations'!EA_Pole1,0)))</f>
        <v>1+105318.500791532i</v>
      </c>
      <c r="X265" s="734">
        <f t="shared" si="183"/>
        <v>105318.50079627952</v>
      </c>
      <c r="Y265" s="735">
        <f t="shared" si="184"/>
        <v>1.5707868317869687</v>
      </c>
      <c r="Z265" s="340" t="str">
        <f>IMSUM(COMPLEX(1,0),IMDIV(COMPLEX(0,2*PI()*D265),COMPLEX(2*PI()*'Stability Calculations'!EA_Zero1,0)))</f>
        <v>1+1042.75743357952i</v>
      </c>
      <c r="AA265" s="734">
        <f t="shared" si="185"/>
        <v>1042.7579130773101</v>
      </c>
      <c r="AB265" s="735">
        <f t="shared" si="186"/>
        <v>1.5698373312881375</v>
      </c>
      <c r="AC265" s="733" t="str">
        <f>IMSUM(COMPLEX(1,0),IMDIV(COMPLEX(0,2*PI()*D265),COMPLEX(2*PI()*'Stability Calculations'!EA_Pole2,0)))</f>
        <v>1+10.5041712588721i</v>
      </c>
      <c r="AD265" s="734">
        <f t="shared" si="187"/>
        <v>10.551664031597799</v>
      </c>
      <c r="AE265" s="735">
        <f t="shared" si="188"/>
        <v>1.4758821001584397</v>
      </c>
      <c r="AF265" s="732" t="str">
        <f t="shared" si="189"/>
        <v>0.528244148125234-5.60517298609155i</v>
      </c>
      <c r="AG265" s="337">
        <f t="shared" si="190"/>
        <v>5.6300094213099694</v>
      </c>
      <c r="AH265" s="730">
        <f t="shared" si="191"/>
        <v>-1.4768316006572708</v>
      </c>
      <c r="AI265" s="731" t="str">
        <f t="shared" si="169"/>
        <v>10000</v>
      </c>
      <c r="AJ265" s="733" t="str">
        <f t="shared" si="192"/>
        <v>1+98185.8313943613i</v>
      </c>
      <c r="AK265" s="734">
        <f t="shared" si="193"/>
        <v>98185.831399453687</v>
      </c>
      <c r="AL265" s="735">
        <f t="shared" si="194"/>
        <v>1.5707861420260174</v>
      </c>
      <c r="AM265" s="340" t="str">
        <f t="shared" si="195"/>
        <v>1+166.632637886007i</v>
      </c>
      <c r="AN265" s="734">
        <f t="shared" si="196"/>
        <v>166.63563847163405</v>
      </c>
      <c r="AO265" s="735">
        <f t="shared" si="197"/>
        <v>1.5647951735511854</v>
      </c>
      <c r="AP265" s="733" t="str">
        <f t="shared" si="198"/>
        <v>1+8.08195760317479i</v>
      </c>
      <c r="AQ265" s="734">
        <f t="shared" si="199"/>
        <v>8.1435888095798887</v>
      </c>
      <c r="AR265" s="735">
        <f t="shared" si="200"/>
        <v>1.4476896261435075</v>
      </c>
      <c r="AS265" s="732" t="str">
        <f t="shared" si="201"/>
        <v>0.00994455545591006-14.1028724103999i</v>
      </c>
      <c r="AT265" s="337">
        <f t="shared" si="202"/>
        <v>14.102875916571127</v>
      </c>
      <c r="AU265" s="730">
        <f t="shared" si="203"/>
        <v>-1.5700911829406319</v>
      </c>
      <c r="AV265" s="732" t="str">
        <f t="shared" si="204"/>
        <v>-1.24846007131106+0.087528213893896i</v>
      </c>
      <c r="AW265" s="337">
        <f t="shared" si="205"/>
        <v>1.9487875707402169</v>
      </c>
      <c r="AX265" s="730">
        <f t="shared" si="206"/>
        <v>175.98961566402684</v>
      </c>
      <c r="AY265" s="360">
        <f t="shared" si="207"/>
        <v>-4.010384335973157</v>
      </c>
      <c r="BB265" s="337">
        <f t="shared" si="208"/>
        <v>-17.013846303859051</v>
      </c>
      <c r="BC265" s="730">
        <f t="shared" si="209"/>
        <v>-89.959598233201049</v>
      </c>
      <c r="BD265" s="351"/>
      <c r="BE265" s="337">
        <f t="shared" si="170"/>
        <v>40.897461482149041</v>
      </c>
      <c r="BF265" s="730">
        <f t="shared" si="171"/>
        <v>-86.311316045224103</v>
      </c>
      <c r="BI265" s="351"/>
      <c r="BJ265" s="351"/>
      <c r="BL265" s="405">
        <f t="shared" si="172"/>
        <v>0</v>
      </c>
      <c r="BM265" s="405">
        <f t="shared" si="210"/>
        <v>0</v>
      </c>
      <c r="BN265" s="405">
        <f t="shared" si="173"/>
        <v>0</v>
      </c>
      <c r="BO265" s="405">
        <f t="shared" si="174"/>
        <v>0</v>
      </c>
    </row>
    <row r="266" spans="4:67" ht="13.5" thickBot="1" x14ac:dyDescent="0.25">
      <c r="D266" s="345">
        <v>16692.5</v>
      </c>
      <c r="E266" s="340" t="str">
        <f t="shared" si="161"/>
        <v>0.276888666753851i</v>
      </c>
      <c r="F266" s="728" t="str">
        <f t="shared" si="175"/>
        <v>0.005-0.156303575122719i</v>
      </c>
      <c r="G266" s="337" t="str">
        <f t="shared" si="176"/>
        <v>0.005-0.244474822627843i</v>
      </c>
      <c r="H266" s="338" t="str">
        <f t="shared" si="177"/>
        <v>0.0516347985232787-0.233141303672693i</v>
      </c>
      <c r="I266" s="338" t="str">
        <f t="shared" si="178"/>
        <v>0.0616347985232787-0.233141303672693i</v>
      </c>
      <c r="J266" s="337" t="str">
        <f t="shared" si="179"/>
        <v>0.0115183270383026-0.0947506789557873i</v>
      </c>
      <c r="K266" s="338" t="str">
        <f t="shared" si="162"/>
        <v>0.996904004930556-0.087401725616746i</v>
      </c>
      <c r="L266" s="732"/>
      <c r="M266" s="732" t="str">
        <f t="shared" si="163"/>
        <v>6.91647715966964-109.369462103686i</v>
      </c>
      <c r="N266" s="337">
        <f t="shared" si="164"/>
        <v>0</v>
      </c>
      <c r="O266" s="730" t="str">
        <f t="shared" si="165"/>
        <v>-3.22100192290631-43.2554788964888i</v>
      </c>
      <c r="P266" s="731" t="str">
        <f t="shared" si="166"/>
        <v>-10.2831645454755-1.91509413937439i</v>
      </c>
      <c r="Q266" s="729" t="str">
        <f t="shared" si="167"/>
        <v>-10.2509545262465-1.4825393504095i</v>
      </c>
      <c r="R266" s="730"/>
      <c r="S266" s="405" t="str">
        <f t="shared" si="180"/>
        <v>39.8036323665186-1.09339277862833i</v>
      </c>
      <c r="T266" s="405" t="str">
        <f t="shared" si="181"/>
        <v>15.5464301921833-2.5878277953224i</v>
      </c>
      <c r="U266" s="405" t="str">
        <f t="shared" si="182"/>
        <v>0.199407244847703-3.75813696928656i</v>
      </c>
      <c r="V266" s="731" t="str">
        <f t="shared" si="168"/>
        <v>6000</v>
      </c>
      <c r="W266" s="733" t="str">
        <f>IMSUM(COMPLEX(1,0),IMDIV(COMPLEX(0,2*PI()*D266),COMPLEX(2*PI()*'Stability Calculations'!EA_Pole1,0)))</f>
        <v>1+105930.891447496i</v>
      </c>
      <c r="X266" s="734">
        <f t="shared" si="183"/>
        <v>105930.89145221606</v>
      </c>
      <c r="Y266" s="735">
        <f t="shared" si="184"/>
        <v>1.5707868866779835</v>
      </c>
      <c r="Z266" s="340" t="str">
        <f>IMSUM(COMPLEX(1,0),IMDIV(COMPLEX(0,2*PI()*D266),COMPLEX(2*PI()*'Stability Calculations'!EA_Zero1,0)))</f>
        <v>1+1048.82070740095i</v>
      </c>
      <c r="AA266" s="734">
        <f t="shared" si="185"/>
        <v>1048.8211841267457</v>
      </c>
      <c r="AB266" s="735">
        <f t="shared" si="186"/>
        <v>1.5698428752755662</v>
      </c>
      <c r="AC266" s="733" t="str">
        <f>IMSUM(COMPLEX(1,0),IMDIV(COMPLEX(0,2*PI()*D266),COMPLEX(2*PI()*'Stability Calculations'!EA_Pole2,0)))</f>
        <v>1+10.5652493817018i</v>
      </c>
      <c r="AD266" s="734">
        <f t="shared" si="187"/>
        <v>10.612468821982484</v>
      </c>
      <c r="AE266" s="735">
        <f t="shared" si="188"/>
        <v>1.4764275418371451</v>
      </c>
      <c r="AF266" s="732" t="str">
        <f t="shared" si="189"/>
        <v>0.522208274773191-5.57334055461757i</v>
      </c>
      <c r="AG266" s="337">
        <f t="shared" si="190"/>
        <v>5.5977519076845903</v>
      </c>
      <c r="AH266" s="730">
        <f t="shared" si="191"/>
        <v>-1.4773715532395624</v>
      </c>
      <c r="AI266" s="731" t="str">
        <f t="shared" si="169"/>
        <v>10000</v>
      </c>
      <c r="AJ266" s="733" t="str">
        <f t="shared" si="192"/>
        <v>1+98756.7480447324i</v>
      </c>
      <c r="AK266" s="734">
        <f t="shared" si="193"/>
        <v>98756.748049795366</v>
      </c>
      <c r="AL266" s="735">
        <f t="shared" si="194"/>
        <v>1.5707862009045674</v>
      </c>
      <c r="AM266" s="340" t="str">
        <f t="shared" si="195"/>
        <v>1+167.601549042672i</v>
      </c>
      <c r="AN266" s="734">
        <f t="shared" si="196"/>
        <v>167.60453228210503</v>
      </c>
      <c r="AO266" s="735">
        <f t="shared" si="197"/>
        <v>1.5648298656287314</v>
      </c>
      <c r="AP266" s="733" t="str">
        <f t="shared" si="198"/>
        <v>1+8.12895139135909i</v>
      </c>
      <c r="AQ266" s="734">
        <f t="shared" si="199"/>
        <v>8.1902289786720175</v>
      </c>
      <c r="AR266" s="735">
        <f t="shared" si="200"/>
        <v>1.4483942033839905</v>
      </c>
      <c r="AS266" s="732" t="str">
        <f t="shared" si="201"/>
        <v>0.00982990812985075-14.0213432298736i</v>
      </c>
      <c r="AT266" s="337">
        <f t="shared" si="202"/>
        <v>14.021346675587765</v>
      </c>
      <c r="AU266" s="730">
        <f t="shared" si="203"/>
        <v>-1.5700952594036888</v>
      </c>
      <c r="AV266" s="732" t="str">
        <f t="shared" si="204"/>
        <v>-1.23389719961226+0.0875307494024041i</v>
      </c>
      <c r="AW266" s="337">
        <f t="shared" si="205"/>
        <v>1.8473796065162285</v>
      </c>
      <c r="AX266" s="730">
        <f t="shared" si="206"/>
        <v>175.94232378201681</v>
      </c>
      <c r="AY266" s="360">
        <f t="shared" si="207"/>
        <v>-4.057676217983186</v>
      </c>
      <c r="BB266" s="337">
        <f t="shared" si="208"/>
        <v>-17.064205453935344</v>
      </c>
      <c r="BC266" s="730">
        <f t="shared" si="209"/>
        <v>-89.959831797329542</v>
      </c>
      <c r="BD266" s="351"/>
      <c r="BE266" s="337">
        <f t="shared" si="170"/>
        <v>40.795255375343032</v>
      </c>
      <c r="BF266" s="730">
        <f t="shared" si="171"/>
        <v>-86.381458527070706</v>
      </c>
      <c r="BI266" s="351"/>
      <c r="BJ266" s="351"/>
      <c r="BL266" s="405">
        <f t="shared" si="172"/>
        <v>0</v>
      </c>
      <c r="BM266" s="405">
        <f t="shared" si="210"/>
        <v>0</v>
      </c>
      <c r="BN266" s="405">
        <f t="shared" si="173"/>
        <v>0</v>
      </c>
      <c r="BO266" s="405">
        <f t="shared" si="174"/>
        <v>0</v>
      </c>
    </row>
    <row r="267" spans="4:67" ht="13.5" thickBot="1" x14ac:dyDescent="0.25">
      <c r="D267" s="345">
        <v>16789</v>
      </c>
      <c r="E267" s="340" t="str">
        <f t="shared" si="161"/>
        <v>0.278489371042708i</v>
      </c>
      <c r="F267" s="728" t="str">
        <f t="shared" si="175"/>
        <v>0.005-0.155405171703853i</v>
      </c>
      <c r="G267" s="337" t="str">
        <f t="shared" si="176"/>
        <v>0.005-0.243069627536796i</v>
      </c>
      <c r="H267" s="338" t="str">
        <f t="shared" si="177"/>
        <v>0.0511203733292299-0.231903604418901i</v>
      </c>
      <c r="I267" s="338" t="str">
        <f t="shared" si="178"/>
        <v>0.0611203733292299-0.231903604418901i</v>
      </c>
      <c r="J267" s="337" t="str">
        <f t="shared" si="179"/>
        <v>0.0114341684857948-0.0942128124518428i</v>
      </c>
      <c r="K267" s="338" t="str">
        <f t="shared" si="162"/>
        <v>0.996868105322222-0.0879069984351984i</v>
      </c>
      <c r="L267" s="732"/>
      <c r="M267" s="732" t="str">
        <f t="shared" si="163"/>
        <v>6.70850181849309-108.116268353775i</v>
      </c>
      <c r="N267" s="337">
        <f t="shared" si="164"/>
        <v>0</v>
      </c>
      <c r="O267" s="730" t="str">
        <f t="shared" si="165"/>
        <v>-3.2100665938959-42.7463433763206i</v>
      </c>
      <c r="P267" s="731" t="str">
        <f t="shared" si="166"/>
        <v>-10.1092315733274-1.868246452071i</v>
      </c>
      <c r="Q267" s="729" t="str">
        <f t="shared" si="167"/>
        <v>-10.0771309073884-1.44078301830779i</v>
      </c>
      <c r="R267" s="730"/>
      <c r="S267" s="405" t="str">
        <f t="shared" si="180"/>
        <v>39.8052893737068-1.12702728046299i</v>
      </c>
      <c r="T267" s="405" t="str">
        <f t="shared" si="181"/>
        <v>15.5436814398523-2.59192020106i</v>
      </c>
      <c r="U267" s="405" t="str">
        <f t="shared" si="182"/>
        <v>0.193523161123888-3.73713568015867i</v>
      </c>
      <c r="V267" s="731" t="str">
        <f t="shared" si="168"/>
        <v>6000</v>
      </c>
      <c r="W267" s="733" t="str">
        <f>IMSUM(COMPLEX(1,0),IMDIV(COMPLEX(0,2*PI()*D267),COMPLEX(2*PI()*'Stability Calculations'!EA_Pole1,0)))</f>
        <v>1+106543.28210346i</v>
      </c>
      <c r="X267" s="734">
        <f t="shared" si="183"/>
        <v>106543.28210815294</v>
      </c>
      <c r="Y267" s="735">
        <f t="shared" si="184"/>
        <v>1.570786940937992</v>
      </c>
      <c r="Z267" s="340" t="str">
        <f>IMSUM(COMPLEX(1,0),IMDIV(COMPLEX(0,2*PI()*D267),COMPLEX(2*PI()*'Stability Calculations'!EA_Zero1,0)))</f>
        <v>1+1054.88398122238i</v>
      </c>
      <c r="AA267" s="734">
        <f t="shared" si="185"/>
        <v>1054.8844552080473</v>
      </c>
      <c r="AB267" s="735">
        <f t="shared" si="186"/>
        <v>1.569848355531468</v>
      </c>
      <c r="AC267" s="733" t="str">
        <f>IMSUM(COMPLEX(1,0),IMDIV(COMPLEX(0,2*PI()*D267),COMPLEX(2*PI()*'Stability Calculations'!EA_Pole2,0)))</f>
        <v>1+10.6263275045315i</v>
      </c>
      <c r="AD267" s="734">
        <f t="shared" si="187"/>
        <v>10.673276733672873</v>
      </c>
      <c r="AE267" s="735">
        <f t="shared" si="188"/>
        <v>1.4769667686818784</v>
      </c>
      <c r="AF267" s="732" t="str">
        <f t="shared" si="189"/>
        <v>0.516274963010657-5.54186440510781i</v>
      </c>
      <c r="AG267" s="337">
        <f t="shared" si="190"/>
        <v>5.5658603038553354</v>
      </c>
      <c r="AH267" s="730">
        <f t="shared" si="191"/>
        <v>-1.4779053540884024</v>
      </c>
      <c r="AI267" s="731" t="str">
        <f t="shared" si="169"/>
        <v>10000</v>
      </c>
      <c r="AJ267" s="733" t="str">
        <f t="shared" si="192"/>
        <v>1+99327.6646951034i</v>
      </c>
      <c r="AK267" s="734">
        <f t="shared" si="193"/>
        <v>99327.664700137233</v>
      </c>
      <c r="AL267" s="735">
        <f t="shared" si="194"/>
        <v>1.570786259106272</v>
      </c>
      <c r="AM267" s="340" t="str">
        <f t="shared" si="195"/>
        <v>1+168.570460199336i</v>
      </c>
      <c r="AN267" s="734">
        <f t="shared" si="196"/>
        <v>168.57342629197495</v>
      </c>
      <c r="AO267" s="735">
        <f t="shared" si="197"/>
        <v>1.5648641589133785</v>
      </c>
      <c r="AP267" s="733" t="str">
        <f t="shared" si="198"/>
        <v>1+8.17594517954339i</v>
      </c>
      <c r="AQ267" s="734">
        <f t="shared" si="199"/>
        <v>8.2368731675860349</v>
      </c>
      <c r="AR267" s="735">
        <f t="shared" si="200"/>
        <v>1.4490908011345749</v>
      </c>
      <c r="AS267" s="732" t="str">
        <f t="shared" si="201"/>
        <v>0.0097172320290666-13.9407512766254i</v>
      </c>
      <c r="AT267" s="337">
        <f t="shared" si="202"/>
        <v>13.940754663264505</v>
      </c>
      <c r="AU267" s="730">
        <f t="shared" si="203"/>
        <v>-1.5700992890052894</v>
      </c>
      <c r="AV267" s="732" t="str">
        <f t="shared" si="204"/>
        <v>-1.21958623156636+0.087523946637793i</v>
      </c>
      <c r="AW267" s="337">
        <f t="shared" si="205"/>
        <v>1.7465601287708798</v>
      </c>
      <c r="AX267" s="730">
        <f t="shared" si="206"/>
        <v>175.89518966405603</v>
      </c>
      <c r="AY267" s="360">
        <f t="shared" si="207"/>
        <v>-4.1048103359439665</v>
      </c>
      <c r="BB267" s="337">
        <f t="shared" si="208"/>
        <v>-17.114274313540289</v>
      </c>
      <c r="BC267" s="730">
        <f t="shared" si="209"/>
        <v>-89.960062676494374</v>
      </c>
      <c r="BD267" s="351"/>
      <c r="BE267" s="337">
        <f t="shared" si="170"/>
        <v>40.694509501199143</v>
      </c>
      <c r="BF267" s="730">
        <f t="shared" si="171"/>
        <v>-86.449408580649148</v>
      </c>
      <c r="BI267" s="351"/>
      <c r="BJ267" s="351"/>
      <c r="BL267" s="405">
        <f t="shared" si="172"/>
        <v>0</v>
      </c>
      <c r="BM267" s="405">
        <f t="shared" si="210"/>
        <v>0</v>
      </c>
      <c r="BN267" s="405">
        <f t="shared" si="173"/>
        <v>0</v>
      </c>
      <c r="BO267" s="405">
        <f t="shared" si="174"/>
        <v>0</v>
      </c>
    </row>
    <row r="268" spans="4:67" ht="13.5" thickBot="1" x14ac:dyDescent="0.25">
      <c r="D268" s="345">
        <v>16885.5</v>
      </c>
      <c r="E268" s="340" t="str">
        <f t="shared" si="161"/>
        <v>0.280090075331566i</v>
      </c>
      <c r="F268" s="728" t="str">
        <f t="shared" si="175"/>
        <v>0.005-0.154517036968759i</v>
      </c>
      <c r="G268" s="337" t="str">
        <f t="shared" si="176"/>
        <v>0.005-0.241680493720368i</v>
      </c>
      <c r="H268" s="338" t="str">
        <f t="shared" si="177"/>
        <v>0.0506142997683671-0.230678399783726i</v>
      </c>
      <c r="I268" s="338" t="str">
        <f t="shared" si="178"/>
        <v>0.0606142997683671-0.230678399783726i</v>
      </c>
      <c r="J268" s="337" t="str">
        <f t="shared" si="179"/>
        <v>0.0113514370859432-0.0936809849784922i</v>
      </c>
      <c r="K268" s="338" t="str">
        <f t="shared" si="162"/>
        <v>0.996831998775-0.0884122712536508i</v>
      </c>
      <c r="L268" s="732"/>
      <c r="M268" s="732" t="str">
        <f t="shared" si="163"/>
        <v>6.50937331822444-106.894514750153i</v>
      </c>
      <c r="N268" s="337">
        <f t="shared" si="164"/>
        <v>0</v>
      </c>
      <c r="O268" s="730" t="str">
        <f t="shared" si="165"/>
        <v>-3.19822836589878-42.2503117983344i</v>
      </c>
      <c r="P268" s="731" t="str">
        <f t="shared" si="166"/>
        <v>-9.94009268890153-1.82321086306277i</v>
      </c>
      <c r="Q268" s="729" t="str">
        <f t="shared" si="167"/>
        <v>-9.90811040524255-1.40070774507942i</v>
      </c>
      <c r="R268" s="730"/>
      <c r="S268" s="405" t="str">
        <f t="shared" si="180"/>
        <v>39.8068711986296-1.16051638150864i</v>
      </c>
      <c r="T268" s="405" t="str">
        <f t="shared" si="181"/>
        <v>15.5409503265131-2.59606857877437i</v>
      </c>
      <c r="U268" s="405" t="str">
        <f t="shared" si="182"/>
        <v>0.18773737303095-3.71635974570375i</v>
      </c>
      <c r="V268" s="731" t="str">
        <f t="shared" si="168"/>
        <v>6000</v>
      </c>
      <c r="W268" s="733" t="str">
        <f>IMSUM(COMPLEX(1,0),IMDIV(COMPLEX(0,2*PI()*D268),COMPLEX(2*PI()*'Stability Calculations'!EA_Pole1,0)))</f>
        <v>1+107155.672759425i</v>
      </c>
      <c r="X268" s="734">
        <f t="shared" si="183"/>
        <v>107155.67276409111</v>
      </c>
      <c r="Y268" s="735">
        <f t="shared" si="184"/>
        <v>1.5707869945778126</v>
      </c>
      <c r="Z268" s="340" t="str">
        <f>IMSUM(COMPLEX(1,0),IMDIV(COMPLEX(0,2*PI()*D268),COMPLEX(2*PI()*'Stability Calculations'!EA_Zero1,0)))</f>
        <v>1+1060.94725504381i</v>
      </c>
      <c r="AA268" s="734">
        <f t="shared" si="185"/>
        <v>1060.9477263206679</v>
      </c>
      <c r="AB268" s="735">
        <f t="shared" si="186"/>
        <v>1.5698537731485112</v>
      </c>
      <c r="AC268" s="733" t="str">
        <f>IMSUM(COMPLEX(1,0),IMDIV(COMPLEX(0,2*PI()*D268),COMPLEX(2*PI()*'Stability Calculations'!EA_Pole2,0)))</f>
        <v>1+10.6874056273612i</v>
      </c>
      <c r="AD268" s="734">
        <f t="shared" si="187"/>
        <v>10.73408771362298</v>
      </c>
      <c r="AE268" s="735">
        <f t="shared" si="188"/>
        <v>1.4774998860015924</v>
      </c>
      <c r="AF268" s="732" t="str">
        <f t="shared" si="189"/>
        <v>0.510441909061117-5.51073864470774i</v>
      </c>
      <c r="AG268" s="337">
        <f t="shared" si="190"/>
        <v>5.5343284464152696</v>
      </c>
      <c r="AH268" s="730">
        <f t="shared" si="191"/>
        <v>-1.4784331074308938</v>
      </c>
      <c r="AI268" s="731" t="str">
        <f t="shared" si="169"/>
        <v>10000</v>
      </c>
      <c r="AJ268" s="733" t="str">
        <f t="shared" si="192"/>
        <v>1+99898.5813454745i</v>
      </c>
      <c r="AK268" s="734">
        <f t="shared" si="193"/>
        <v>99898.581350479581</v>
      </c>
      <c r="AL268" s="735">
        <f t="shared" si="194"/>
        <v>1.5707863166427354</v>
      </c>
      <c r="AM268" s="340" t="str">
        <f t="shared" si="195"/>
        <v>1+169.539371356001i</v>
      </c>
      <c r="AN268" s="734">
        <f t="shared" si="196"/>
        <v>169.54232049782738</v>
      </c>
      <c r="AO268" s="735">
        <f t="shared" si="197"/>
        <v>1.5648980602420661</v>
      </c>
      <c r="AP268" s="733" t="str">
        <f t="shared" si="198"/>
        <v>1+8.22293896772768i</v>
      </c>
      <c r="AQ268" s="734">
        <f t="shared" si="199"/>
        <v>8.2835213084155459</v>
      </c>
      <c r="AR268" s="735">
        <f t="shared" si="200"/>
        <v>1.449779553521459</v>
      </c>
      <c r="AS268" s="732" t="str">
        <f t="shared" si="201"/>
        <v>0.00960648222069103-13.8610804820302i</v>
      </c>
      <c r="AT268" s="337">
        <f t="shared" si="202"/>
        <v>13.861083810936982</v>
      </c>
      <c r="AU268" s="730">
        <f t="shared" si="203"/>
        <v>-1.5701032725488679</v>
      </c>
      <c r="AV268" s="732" t="str">
        <f t="shared" si="204"/>
        <v>-1.20552138579637+0.0875081898409898i</v>
      </c>
      <c r="AW268" s="337">
        <f t="shared" si="205"/>
        <v>1.646322299148113</v>
      </c>
      <c r="AX268" s="730">
        <f t="shared" si="206"/>
        <v>175.84821027429621</v>
      </c>
      <c r="AY268" s="360">
        <f t="shared" si="207"/>
        <v>-4.151789725703793</v>
      </c>
      <c r="BB268" s="337">
        <f t="shared" si="208"/>
        <v>-17.164056210202968</v>
      </c>
      <c r="BC268" s="730">
        <f t="shared" si="209"/>
        <v>-89.960290916728937</v>
      </c>
      <c r="BD268" s="351"/>
      <c r="BE268" s="337">
        <f t="shared" si="170"/>
        <v>40.595183286246758</v>
      </c>
      <c r="BF268" s="730">
        <f t="shared" si="171"/>
        <v>-86.515259602457519</v>
      </c>
      <c r="BI268" s="351"/>
      <c r="BJ268" s="351"/>
      <c r="BL268" s="405">
        <f t="shared" si="172"/>
        <v>0</v>
      </c>
      <c r="BM268" s="405">
        <f t="shared" si="210"/>
        <v>0</v>
      </c>
      <c r="BN268" s="405">
        <f t="shared" si="173"/>
        <v>0</v>
      </c>
      <c r="BO268" s="405">
        <f t="shared" si="174"/>
        <v>0</v>
      </c>
    </row>
    <row r="269" spans="4:67" ht="13.5" thickBot="1" x14ac:dyDescent="0.25">
      <c r="D269" s="345">
        <v>16982</v>
      </c>
      <c r="E269" s="340" t="str">
        <f t="shared" ref="E269:E332" si="211">COMPLEX(0,2*PI()*D269*L)</f>
        <v>0.281690779620423i</v>
      </c>
      <c r="F269" s="728" t="str">
        <f t="shared" si="175"/>
        <v>0.005-0.153638995862442i</v>
      </c>
      <c r="G269" s="337" t="str">
        <f t="shared" si="176"/>
        <v>0.005-0.240307147374589i</v>
      </c>
      <c r="H269" s="338" t="str">
        <f t="shared" si="177"/>
        <v>0.0501164004325923-0.229465511662574i</v>
      </c>
      <c r="I269" s="338" t="str">
        <f t="shared" si="178"/>
        <v>0.0601164004325923-0.229465511662574i</v>
      </c>
      <c r="J269" s="337" t="str">
        <f t="shared" si="179"/>
        <v>0.0112701008073779-0.0931550960399363i</v>
      </c>
      <c r="K269" s="338" t="str">
        <f t="shared" ref="K269:K332" si="212">IMSUM(COMPLEX(1,0),COMPLEX(0,2*PI()*D269/(Fsw*PI()*(-2)/PI())),IMPRODUCT(COMPLEX(0,2*PI()*D269/(Fsw*PI())),COMPLEX(0,2*PI()*D269/(Fsw*PI()))))</f>
        <v>0.996795685288889-0.0889175440721031i</v>
      </c>
      <c r="L269" s="732"/>
      <c r="M269" s="732" t="str">
        <f t="shared" ref="M269:M332" si="213">IF(Vin&gt;=Vout,IMDIV(COMPLEX(Vin,0),IMSUM(E269,J269)),IMDIV(IMSUM(COMPLEX(Vout,0),IMPRODUCT(J269,COMPLEX($B$4,0))),IMSUM(E269,IMPRODUCT(J269,COMPLEX((1-$B$11)^2,0)))))</f>
        <v>6.31861045315429-105.70300669222i</v>
      </c>
      <c r="N269" s="337">
        <f t="shared" ref="N269:N332" si="214">IF(Vin&gt;=Vout,0,IMSUB(IMPRODUCT(M269,COMPLEX(1-$B$11,0)),COMPLEX($B$4/(1-$B$11),0)))</f>
        <v>0</v>
      </c>
      <c r="O269" s="730" t="str">
        <f t="shared" ref="O269:O332" si="215">IMDIV(IF(Vin&gt;=Vout,M269,N269),IMPRODUCT(I269,IMSUM(IMDIV(COMPLEX(1,0),F269),IMDIV(COMPLEX(1,0),I269))))</f>
        <v>-3.18557584261002-41.7668735530273i</v>
      </c>
      <c r="P269" s="731" t="str">
        <f t="shared" ref="P269:P332" si="216">IF(Vin&gt;=Vout,IMDIV(IMPRODUCT(COMPLEX(Vin,0),J269),IMSUM(J269,E269)),IMPRODUCT(N269,J269))</f>
        <v>-9.77556236335416-1.77989430466679i</v>
      </c>
      <c r="Q269" s="729" t="str">
        <f t="shared" ref="Q269:Q332" si="217">IF(Vin&gt;=Vout,IMDIV(IMPRODUCT(P269,H269),IMSUM(COMPLEX($B$15,0),H269)),IMPRODUCT(O269,H269))</f>
        <v>-9.74370660492805-1.36222556913652i</v>
      </c>
      <c r="R269" s="730"/>
      <c r="S269" s="405" t="str">
        <f t="shared" si="180"/>
        <v>39.8083792235703-1.19386234823337i</v>
      </c>
      <c r="T269" s="405" t="str">
        <f t="shared" si="181"/>
        <v>15.5382363068342-2.60027202517241i</v>
      </c>
      <c r="U269" s="405" t="str">
        <f t="shared" si="182"/>
        <v>0.182047722051481-3.69580561852888i</v>
      </c>
      <c r="V269" s="731" t="str">
        <f t="shared" ref="V269:V332" si="218">COMPLEX(AEA,0)</f>
        <v>6000</v>
      </c>
      <c r="W269" s="733" t="str">
        <f>IMSUM(COMPLEX(1,0),IMDIV(COMPLEX(0,2*PI()*D269),COMPLEX(2*PI()*'Stability Calculations'!EA_Pole1,0)))</f>
        <v>1+107768.063415389i</v>
      </c>
      <c r="X269" s="734">
        <f t="shared" si="183"/>
        <v>107768.0634200286</v>
      </c>
      <c r="Y269" s="735">
        <f t="shared" si="184"/>
        <v>1.5707870476080181</v>
      </c>
      <c r="Z269" s="340" t="str">
        <f>IMSUM(COMPLEX(1,0),IMDIV(COMPLEX(0,2*PI()*D269),COMPLEX(2*PI()*'Stability Calculations'!EA_Zero1,0)))</f>
        <v>1+1067.01052886524i</v>
      </c>
      <c r="AA269" s="734">
        <f t="shared" si="185"/>
        <v>1067.0109974640745</v>
      </c>
      <c r="AB269" s="735">
        <f t="shared" si="186"/>
        <v>1.5698591291945283</v>
      </c>
      <c r="AC269" s="733" t="str">
        <f>IMSUM(COMPLEX(1,0),IMDIV(COMPLEX(0,2*PI()*D269),COMPLEX(2*PI()*'Stability Calculations'!EA_Pole2,0)))</f>
        <v>1+10.7484837501909i</v>
      </c>
      <c r="AD269" s="734">
        <f t="shared" si="187"/>
        <v>10.794901709979477</v>
      </c>
      <c r="AE269" s="735">
        <f t="shared" si="188"/>
        <v>1.4780269967462434</v>
      </c>
      <c r="AF269" s="732" t="str">
        <f t="shared" si="189"/>
        <v>0.50470687328342-5.4799575085402i</v>
      </c>
      <c r="AG269" s="337">
        <f t="shared" si="190"/>
        <v>5.5031503089908105</v>
      </c>
      <c r="AH269" s="730">
        <f t="shared" si="191"/>
        <v>-1.4789549151597332</v>
      </c>
      <c r="AI269" s="731" t="str">
        <f t="shared" ref="AI269:AI332" si="219">COMPLEX(AIL,0)</f>
        <v>10000</v>
      </c>
      <c r="AJ269" s="733" t="str">
        <f t="shared" si="192"/>
        <v>1+100469.497995846i</v>
      </c>
      <c r="AK269" s="734">
        <f t="shared" si="193"/>
        <v>100469.49800082263</v>
      </c>
      <c r="AL269" s="735">
        <f t="shared" si="194"/>
        <v>1.5707863735252983</v>
      </c>
      <c r="AM269" s="340" t="str">
        <f t="shared" si="195"/>
        <v>1+170.508282512665i</v>
      </c>
      <c r="AN269" s="734">
        <f t="shared" si="196"/>
        <v>170.51121489631933</v>
      </c>
      <c r="AO269" s="735">
        <f t="shared" si="197"/>
        <v>1.5649315762963396</v>
      </c>
      <c r="AP269" s="733" t="str">
        <f t="shared" si="198"/>
        <v>1+8.26993275591198i</v>
      </c>
      <c r="AQ269" s="734">
        <f t="shared" si="199"/>
        <v>8.330173334769567</v>
      </c>
      <c r="AR269" s="735">
        <f t="shared" si="200"/>
        <v>1.4504605916963755</v>
      </c>
      <c r="AS269" s="732" t="str">
        <f t="shared" si="201"/>
        <v>0.00949761504487075-13.7823151427009i</v>
      </c>
      <c r="AT269" s="337">
        <f t="shared" si="202"/>
        <v>13.782318415180157</v>
      </c>
      <c r="AU269" s="730">
        <f t="shared" si="203"/>
        <v>-1.5701072108195964</v>
      </c>
      <c r="AV269" s="732" t="str">
        <f t="shared" si="204"/>
        <v>-1.19169704592605+0.0874838477637865i</v>
      </c>
      <c r="AW269" s="337">
        <f t="shared" si="205"/>
        <v>1.5466593977282912</v>
      </c>
      <c r="AX269" s="730">
        <f t="shared" si="206"/>
        <v>175.80138265443836</v>
      </c>
      <c r="AY269" s="360">
        <f t="shared" si="207"/>
        <v>-4.1986173455616438</v>
      </c>
      <c r="BB269" s="337">
        <f t="shared" si="208"/>
        <v>-17.213554414564641</v>
      </c>
      <c r="BC269" s="730">
        <f t="shared" si="209"/>
        <v>-89.960516563020263</v>
      </c>
      <c r="BD269" s="351"/>
      <c r="BE269" s="337">
        <f t="shared" ref="BE269:BE332" si="220">20*LOG10(IMABS(M269))</f>
        <v>40.497237766023446</v>
      </c>
      <c r="BF269" s="730">
        <f t="shared" ref="BF269:BF332" si="221">180/PI()*IMARGUMENT(IMPRODUCT(COMPLEX(1,0),M269))</f>
        <v>-86.579099949697962</v>
      </c>
      <c r="BI269" s="351"/>
      <c r="BJ269" s="351"/>
      <c r="BL269" s="405">
        <f t="shared" ref="BL269:BL332" si="222">SUM((AW270&lt;0)*(AW269&gt;0))*D269</f>
        <v>0</v>
      </c>
      <c r="BM269" s="405">
        <f t="shared" si="210"/>
        <v>0</v>
      </c>
      <c r="BN269" s="405">
        <f t="shared" ref="BN269:BN332" si="223">SUM((BB270&lt;0)*(BB269&gt;0))*D269</f>
        <v>0</v>
      </c>
      <c r="BO269" s="405">
        <f t="shared" ref="BO269:BO332" si="224">IF(BN269&gt;0,BC269,0)</f>
        <v>0</v>
      </c>
    </row>
    <row r="270" spans="4:67" ht="13.5" thickBot="1" x14ac:dyDescent="0.25">
      <c r="D270" s="345">
        <v>17081</v>
      </c>
      <c r="E270" s="340" t="str">
        <f t="shared" si="211"/>
        <v>0.283332952932307i</v>
      </c>
      <c r="F270" s="728" t="str">
        <f t="shared" ref="F270:F333" si="225">IMSUM(COMPLEX($B$8,0),IMDIV(COMPLEX(1,0),COMPLEX(0,2*PI()*D270*$B$6)))</f>
        <v>0.005-0.152748517518646i</v>
      </c>
      <c r="G270" s="337" t="str">
        <f t="shared" ref="G270:G333" si="226">IMSUM(COMPLEX($B$9,0),IMDIV(COMPLEX(1,0),COMPLEX(0,2*PI()*D270*$B$7)))</f>
        <v>0.005-0.238914347913779i</v>
      </c>
      <c r="H270" s="338" t="str">
        <f t="shared" ref="H270:H333" si="227">IMDIV(COMPLEX(1,0),IMSUM(IMDIV(COMPLEX(1,0),COMPLEX($B$5,0)), IMDIV(COMPLEX(1,0),G270)))</f>
        <v>0.0496139156893472-0.228233817446708i</v>
      </c>
      <c r="I270" s="338" t="str">
        <f t="shared" ref="I270:I333" si="228">IMSUM(H270,COMPLEX($B$15,0))</f>
        <v>0.0596139156893472-0.228233817446708i</v>
      </c>
      <c r="J270" s="337" t="str">
        <f t="shared" ref="J270:J333" si="229">IMDIV(COMPLEX(1,0),IMSUM(IMDIV(COMPLEX(1,0),F270),IMDIV(COMPLEX(1,0),IMSUM(COMPLEX($B$15,0),H270))))</f>
        <v>0.0111880745417446-0.0926216513228485i</v>
      </c>
      <c r="K270" s="338" t="str">
        <f t="shared" si="212"/>
        <v>0.996758215988889-0.0894359068599454i</v>
      </c>
      <c r="L270" s="732"/>
      <c r="M270" s="732" t="str">
        <f t="shared" si="213"/>
        <v>6.13112814716667-104.510872261154i</v>
      </c>
      <c r="N270" s="337">
        <f t="shared" si="214"/>
        <v>0</v>
      </c>
      <c r="O270" s="730" t="str">
        <f t="shared" si="215"/>
        <v>-3.17183436882027-41.2834902822433i</v>
      </c>
      <c r="P270" s="731" t="str">
        <f t="shared" si="216"/>
        <v>-9.61137405128389-1.73715064274311i</v>
      </c>
      <c r="Q270" s="729" t="str">
        <f t="shared" si="217"/>
        <v>-9.57965570759568-1.32431573992068i</v>
      </c>
      <c r="R270" s="730"/>
      <c r="S270" s="405" t="str">
        <f t="shared" ref="S270:S333" si="230">IMDIV(IMPRODUCT(COMPLEX($B$34,0),M270),IMSUM(COMPLEX(1,0),IMPRODUCT(M270,COMPLEX($B$29,0),K270,COMPLEX($B$34,0))))</f>
        <v>39.8098510331727-1.2279257823639i</v>
      </c>
      <c r="T270" s="405" t="str">
        <f t="shared" ref="T270:T333" si="231">IMDIV(IMPRODUCT(COMPLEX($B$34,0),O270),IMSUM(COMPLEX(1,0),IMPRODUCT(M270,COMPLEX($B$29,0),K270,COMPLEX($B$34,0))))</f>
        <v>15.5354691834557-2.60464066875341i</v>
      </c>
      <c r="U270" s="405" t="str">
        <f t="shared" ref="U270:U333" si="232">IMDIV(IMPRODUCT(COMPLEX($B$34,0),Q270),IMSUM(COMPLEX(1,0),IMPRODUCT(M270,COMPLEX($B$29,0),K270,COMPLEX($B$34,0))))</f>
        <v>0.176308375355883-3.67494586010635i</v>
      </c>
      <c r="V270" s="731" t="str">
        <f t="shared" si="218"/>
        <v>6000</v>
      </c>
      <c r="W270" s="733" t="str">
        <f>IMSUM(COMPLEX(1,0),IMDIV(COMPLEX(0,2*PI()*D270),COMPLEX(2*PI()*'Stability Calculations'!EA_Pole1,0)))</f>
        <v>1+108396.319114254i</v>
      </c>
      <c r="X270" s="734">
        <f t="shared" ref="X270:X333" si="233">IMABS(W270)</f>
        <v>108396.3191188667</v>
      </c>
      <c r="Y270" s="735">
        <f t="shared" ref="Y270:Y333" si="234">IMARGUMENT(W270)</f>
        <v>1.5707871013893835</v>
      </c>
      <c r="Z270" s="340" t="str">
        <f>IMSUM(COMPLEX(1,0),IMDIV(COMPLEX(0,2*PI()*D270),COMPLEX(2*PI()*'Stability Calculations'!EA_Zero1,0)))</f>
        <v>1+1073.23088231935i</v>
      </c>
      <c r="AA270" s="734">
        <f t="shared" ref="AA270:AA333" si="235">IMABS(Z270)</f>
        <v>1073.2313482022273</v>
      </c>
      <c r="AB270" s="735">
        <f t="shared" ref="AB270:AB333" si="236">IMARGUMENT(Z270)</f>
        <v>1.569864561107682</v>
      </c>
      <c r="AC270" s="733" t="str">
        <f>IMSUM(COMPLEX(1,0),IMDIV(COMPLEX(0,2*PI()*D270),COMPLEX(2*PI()*'Stability Calculations'!EA_Pole2,0)))</f>
        <v>1+10.8111442078089i</v>
      </c>
      <c r="AD270" s="734">
        <f t="shared" ref="AD270:AD333" si="237">IMABS(AC270)</f>
        <v>10.857294279977859</v>
      </c>
      <c r="AE270" s="735">
        <f t="shared" ref="AE270:AE333" si="238">IMARGUMENT(AC270)</f>
        <v>1.47856162669262</v>
      </c>
      <c r="AF270" s="732" t="str">
        <f t="shared" ref="AF270:AF333" si="239">IMPRODUCT(V270,IMDIV(Z270,IMPRODUCT(W270,AC270)))</f>
        <v>0.498922839394-5.44873115444245i</v>
      </c>
      <c r="AG270" s="337">
        <f t="shared" ref="AG270:AG333" si="240">IMABS(AF270)</f>
        <v>5.4715258560168323</v>
      </c>
      <c r="AH270" s="730">
        <f t="shared" ref="AH270:AH333" si="241">IMARGUMENT(AF270)</f>
        <v>-1.4794841669743211</v>
      </c>
      <c r="AI270" s="731" t="str">
        <f t="shared" si="219"/>
        <v>10000</v>
      </c>
      <c r="AJ270" s="733" t="str">
        <f t="shared" ref="AJ270:AJ333" si="242">IMSUM(COMPLEX(1,0),IMDIV(COMPLEX(0,2*PI()*D270),COMPLEX(2*PI()*IL_Pole1,0)))</f>
        <v>1+101055.205233014i</v>
      </c>
      <c r="AK270" s="734">
        <f t="shared" ref="AK270:AK333" si="243">IMABS(AJ270)</f>
        <v>101055.2052379618</v>
      </c>
      <c r="AL270" s="735">
        <f t="shared" ref="AL270:AL333" si="244">IMARGUMENT(AJ270)</f>
        <v>1.5707864312135889</v>
      </c>
      <c r="AM270" s="340" t="str">
        <f t="shared" ref="AM270:AM333" si="245">IMSUM(COMPLEX(1,0),IMDIV(COMPLEX(0,2*PI()*D270),COMPLEX(2*PI()*IL_Zero1,0)))</f>
        <v>1+171.502294994632i</v>
      </c>
      <c r="AN270" s="734">
        <f t="shared" ref="AN270:AN333" si="246">IMABS(AM270)</f>
        <v>171.50521038273376</v>
      </c>
      <c r="AO270" s="735">
        <f t="shared" ref="AO270:AO333" si="247">IMARGUMENT(AM270)</f>
        <v>1.5649655671107801</v>
      </c>
      <c r="AP270" s="733" t="str">
        <f t="shared" ref="AP270:AP333" si="248">IMSUM(COMPLEX(1,0),IMDIV(COMPLEX(0,2*PI()*D270),COMPLEX(2*PI()*IL_Pole2,0)))</f>
        <v>1+8.31814399974872i</v>
      </c>
      <c r="AQ270" s="734">
        <f t="shared" ref="AQ270:AQ333" si="249">IMABS(AP270)</f>
        <v>8.3780379326281178</v>
      </c>
      <c r="AR270" s="735">
        <f t="shared" ref="AR270:AR333" si="250">IMARGUMENT(AP270)</f>
        <v>1.4511513911893956</v>
      </c>
      <c r="AS270" s="732" t="str">
        <f t="shared" ref="AS270:AS333" si="251">_xlfn.SWITCH(IMONLIM_select,0,COMPLEX(1,0),1,IMPRODUCT(gm_IL,IMDIV(COMPLEX(1,0),IMSUM(COMPLEX(1/20000000,0),COMPLEX(0,2*PI()*D270*CISET),COMPLEX(1/RISET,0)))),2,IMPRODUCT(gm_IL,IMDIV(COMPLEX(1,0),IMSUM(COMPLEX(1/20000000,0),COMPLEX(0,2*PI()*D270*CcIL)))),3,IMPRODUCT(AI270,IMDIV(AM270,IMPRODUCT(AJ270,AP270))))</f>
        <v>0.00938783943392968-13.7024341102982i</v>
      </c>
      <c r="AT270" s="337">
        <f t="shared" ref="AT270:AT333" si="252">IMABS(AS270)</f>
        <v>13.702437326205612</v>
      </c>
      <c r="AU270" s="730">
        <f t="shared" ref="AU270:AU333" si="253">IMARGUMENT(AS270)</f>
        <v>-1.5701112048749879</v>
      </c>
      <c r="AV270" s="732" t="str">
        <f t="shared" ref="AV270:AV333" si="254">IMPRODUCT(T270,AS270,COMPLEX($B$15,0),IMPRODUCT(COMPLEX(0.1,0),AF270))</f>
        <v>-1.17775877642317+0.0874503241725497i</v>
      </c>
      <c r="AW270" s="337">
        <f t="shared" ref="AW270:AW333" si="255">20*LOG10(IMABS(AV270))</f>
        <v>1.4450050972115014</v>
      </c>
      <c r="AX270" s="730">
        <f t="shared" ref="AX270:AX333" si="256">(180/PI())*IMARGUMENT(AV270)</f>
        <v>175.7534965808413</v>
      </c>
      <c r="AY270" s="360">
        <f t="shared" ref="AY270:AY333" si="257">IF(AX270&gt;0,AX270-180,AX270+180)</f>
        <v>-4.2465034191586994</v>
      </c>
      <c r="BB270" s="337">
        <f t="shared" ref="BB270:BB333" si="258">20*LOG10(IMPRODUCT(COMPLEX($B$15,0),IMABS(AS270)))</f>
        <v>-17.264043513552121</v>
      </c>
      <c r="BC270" s="730">
        <f t="shared" ref="BC270:BC333" si="259">(180/PI())*IMARGUMENT(AS270)</f>
        <v>-89.960745405537338</v>
      </c>
      <c r="BD270" s="351"/>
      <c r="BE270" s="337">
        <f t="shared" si="220"/>
        <v>40.398150378648168</v>
      </c>
      <c r="BF270" s="730">
        <f t="shared" si="221"/>
        <v>-86.64259235369758</v>
      </c>
      <c r="BI270" s="351"/>
      <c r="BJ270" s="351"/>
      <c r="BL270" s="405">
        <f t="shared" si="222"/>
        <v>0</v>
      </c>
      <c r="BM270" s="405">
        <f t="shared" si="210"/>
        <v>0</v>
      </c>
      <c r="BN270" s="405">
        <f t="shared" si="223"/>
        <v>0</v>
      </c>
      <c r="BO270" s="405">
        <f t="shared" si="224"/>
        <v>0</v>
      </c>
    </row>
    <row r="271" spans="4:67" ht="13.5" thickBot="1" x14ac:dyDescent="0.25">
      <c r="D271" s="345">
        <v>17180</v>
      </c>
      <c r="E271" s="340" t="str">
        <f t="shared" si="211"/>
        <v>0.284975126244192i</v>
      </c>
      <c r="F271" s="728" t="str">
        <f t="shared" si="225"/>
        <v>0.005-0.151868301963678i</v>
      </c>
      <c r="G271" s="337" t="str">
        <f t="shared" si="226"/>
        <v>0.005-0.237537600507291i</v>
      </c>
      <c r="H271" s="338" t="str">
        <f t="shared" si="227"/>
        <v>0.0491196706853035-0.227014716429666i</v>
      </c>
      <c r="I271" s="338" t="str">
        <f t="shared" si="228"/>
        <v>0.0591196706853035-0.227014716429666i</v>
      </c>
      <c r="J271" s="337" t="str">
        <f t="shared" si="229"/>
        <v>0.011107451169693-0.0920942495935302i</v>
      </c>
      <c r="K271" s="338" t="str">
        <f t="shared" si="212"/>
        <v>0.996720528888889-0.0899542696477877i</v>
      </c>
      <c r="L271" s="732"/>
      <c r="M271" s="732" t="str">
        <f t="shared" si="213"/>
        <v>5.9515242694166-103.348212020498i</v>
      </c>
      <c r="N271" s="337">
        <f t="shared" si="214"/>
        <v>0</v>
      </c>
      <c r="O271" s="730" t="str">
        <f t="shared" si="215"/>
        <v>-3.15740154142716-40.812355137219i</v>
      </c>
      <c r="P271" s="731" t="str">
        <f t="shared" si="216"/>
        <v>-9.45166976765305-1.69603638002237i</v>
      </c>
      <c r="Q271" s="729" t="str">
        <f t="shared" si="217"/>
        <v>-9.42009575223877-1.28791282865018i</v>
      </c>
      <c r="R271" s="730"/>
      <c r="S271" s="405" t="str">
        <f t="shared" si="230"/>
        <v>39.8112479968801-1.26184325421883i</v>
      </c>
      <c r="T271" s="405" t="str">
        <f t="shared" si="231"/>
        <v>15.5327189354685-2.60906540377454i</v>
      </c>
      <c r="U271" s="405" t="str">
        <f t="shared" si="232"/>
        <v>0.17066579617326-3.6543122179469i</v>
      </c>
      <c r="V271" s="731" t="str">
        <f t="shared" si="218"/>
        <v>6000</v>
      </c>
      <c r="W271" s="733" t="str">
        <f>IMSUM(COMPLEX(1,0),IMDIV(COMPLEX(0,2*PI()*D271),COMPLEX(2*PI()*'Stability Calculations'!EA_Pole1,0)))</f>
        <v>1+109024.574813118i</v>
      </c>
      <c r="X271" s="734">
        <f t="shared" si="233"/>
        <v>109024.57481770412</v>
      </c>
      <c r="Y271" s="735">
        <f t="shared" si="234"/>
        <v>1.5707871545509169</v>
      </c>
      <c r="Z271" s="340" t="str">
        <f>IMSUM(COMPLEX(1,0),IMDIV(COMPLEX(0,2*PI()*D271),COMPLEX(2*PI()*'Stability Calculations'!EA_Zero1,0)))</f>
        <v>1+1079.45123577345i</v>
      </c>
      <c r="AA271" s="734">
        <f t="shared" si="235"/>
        <v>1079.4516989716717</v>
      </c>
      <c r="AB271" s="735">
        <f t="shared" si="236"/>
        <v>1.5698699304179327</v>
      </c>
      <c r="AC271" s="733" t="str">
        <f>IMSUM(COMPLEX(1,0),IMDIV(COMPLEX(0,2*PI()*D271),COMPLEX(2*PI()*'Stability Calculations'!EA_Pole2,0)))</f>
        <v>1+10.8738046654268i</v>
      </c>
      <c r="AD271" s="734">
        <f t="shared" si="237"/>
        <v>10.919689917843712</v>
      </c>
      <c r="AE271" s="735">
        <f t="shared" si="238"/>
        <v>1.479090146985734</v>
      </c>
      <c r="AF271" s="732" t="str">
        <f t="shared" si="239"/>
        <v>0.493237390740219-5.41785561868831i</v>
      </c>
      <c r="AG271" s="337">
        <f t="shared" si="240"/>
        <v>5.4402612647350592</v>
      </c>
      <c r="AH271" s="730">
        <f t="shared" si="241"/>
        <v>-1.4800073711187192</v>
      </c>
      <c r="AI271" s="731" t="str">
        <f t="shared" si="219"/>
        <v>10000</v>
      </c>
      <c r="AJ271" s="733" t="str">
        <f t="shared" si="242"/>
        <v>1+101640.912470181i</v>
      </c>
      <c r="AK271" s="734">
        <f t="shared" si="243"/>
        <v>101640.91247510028</v>
      </c>
      <c r="AL271" s="735">
        <f t="shared" si="244"/>
        <v>1.5707864882370199</v>
      </c>
      <c r="AM271" s="340" t="str">
        <f t="shared" si="245"/>
        <v>1+172.496307476597i</v>
      </c>
      <c r="AN271" s="734">
        <f t="shared" si="246"/>
        <v>172.49920606501553</v>
      </c>
      <c r="AO271" s="735">
        <f t="shared" si="247"/>
        <v>1.5649991661933367</v>
      </c>
      <c r="AP271" s="733" t="str">
        <f t="shared" si="248"/>
        <v>1+8.36635524358539i</v>
      </c>
      <c r="AQ271" s="734">
        <f t="shared" si="249"/>
        <v>8.42590648309538</v>
      </c>
      <c r="AR271" s="735">
        <f t="shared" si="250"/>
        <v>1.4518343419814113</v>
      </c>
      <c r="AS271" s="732" t="str">
        <f t="shared" si="251"/>
        <v>0.00927995609927578-13.6234737078298i</v>
      </c>
      <c r="AT271" s="337">
        <f t="shared" si="252"/>
        <v>13.623476868461848</v>
      </c>
      <c r="AU271" s="730">
        <f t="shared" si="253"/>
        <v>-1.5701151528987962</v>
      </c>
      <c r="AV271" s="732" t="str">
        <f t="shared" si="254"/>
        <v>-1.16406216913421+0.0874085038529071i</v>
      </c>
      <c r="AW271" s="337">
        <f t="shared" si="255"/>
        <v>1.3439419422435626</v>
      </c>
      <c r="AX271" s="730">
        <f t="shared" si="256"/>
        <v>175.70576417490747</v>
      </c>
      <c r="AY271" s="360">
        <f t="shared" si="257"/>
        <v>-4.2942358250925281</v>
      </c>
      <c r="BB271" s="337">
        <f t="shared" si="258"/>
        <v>-17.314240826308872</v>
      </c>
      <c r="BC271" s="730">
        <f t="shared" si="259"/>
        <v>-89.960971610638964</v>
      </c>
      <c r="BD271" s="351"/>
      <c r="BE271" s="337">
        <f t="shared" si="220"/>
        <v>40.300437919065565</v>
      </c>
      <c r="BF271" s="730">
        <f t="shared" si="221"/>
        <v>-86.704142073637641</v>
      </c>
      <c r="BI271" s="351"/>
      <c r="BJ271" s="351"/>
      <c r="BL271" s="405">
        <f t="shared" si="222"/>
        <v>0</v>
      </c>
      <c r="BM271" s="405">
        <f t="shared" si="210"/>
        <v>0</v>
      </c>
      <c r="BN271" s="405">
        <f t="shared" si="223"/>
        <v>0</v>
      </c>
      <c r="BO271" s="405">
        <f t="shared" si="224"/>
        <v>0</v>
      </c>
    </row>
    <row r="272" spans="4:67" ht="13.5" thickBot="1" x14ac:dyDescent="0.25">
      <c r="D272" s="345">
        <v>17279</v>
      </c>
      <c r="E272" s="340" t="str">
        <f t="shared" si="211"/>
        <v>0.286617299556076i</v>
      </c>
      <c r="F272" s="728" t="str">
        <f t="shared" si="225"/>
        <v>0.005-0.150998172795647i</v>
      </c>
      <c r="G272" s="337" t="str">
        <f t="shared" si="226"/>
        <v>0.005-0.236176629244474i</v>
      </c>
      <c r="H272" s="338" t="str">
        <f t="shared" si="227"/>
        <v>0.0486334885554813-0.225808026345438i</v>
      </c>
      <c r="I272" s="338" t="str">
        <f t="shared" si="228"/>
        <v>0.0586334885554813-0.225808026345438i</v>
      </c>
      <c r="J272" s="337" t="str">
        <f t="shared" si="229"/>
        <v>0.0110281989338603-0.0915727893736187i</v>
      </c>
      <c r="K272" s="338" t="str">
        <f t="shared" si="212"/>
        <v>0.996682623988889-0.0904726324356301i</v>
      </c>
      <c r="L272" s="732"/>
      <c r="M272" s="732" t="str">
        <f t="shared" si="213"/>
        <v>5.77937537965341-102.213919684025i</v>
      </c>
      <c r="N272" s="337">
        <f t="shared" si="214"/>
        <v>0</v>
      </c>
      <c r="O272" s="730" t="str">
        <f t="shared" si="215"/>
        <v>-3.14235080352551-40.3529971652187i</v>
      </c>
      <c r="P272" s="731" t="str">
        <f t="shared" si="216"/>
        <v>-9.29627763687694-1.65646896443713i</v>
      </c>
      <c r="Q272" s="729" t="str">
        <f t="shared" si="217"/>
        <v>-9.26485412884168-1.25293899278494i</v>
      </c>
      <c r="R272" s="730"/>
      <c r="S272" s="405" t="str">
        <f t="shared" si="230"/>
        <v>39.8125714880644-1.29561706293847i</v>
      </c>
      <c r="T272" s="405" t="str">
        <f t="shared" si="231"/>
        <v>15.5299850211061-2.61354531336909i</v>
      </c>
      <c r="U272" s="405" t="str">
        <f t="shared" si="232"/>
        <v>0.165117839814517-3.63390109287715i</v>
      </c>
      <c r="V272" s="731" t="str">
        <f t="shared" si="218"/>
        <v>6000</v>
      </c>
      <c r="W272" s="733" t="str">
        <f>IMSUM(COMPLEX(1,0),IMDIV(COMPLEX(0,2*PI()*D272),COMPLEX(2*PI()*'Stability Calculations'!EA_Pole1,0)))</f>
        <v>1+109652.830511984i</v>
      </c>
      <c r="X272" s="734">
        <f t="shared" si="233"/>
        <v>109652.83051654385</v>
      </c>
      <c r="Y272" s="735">
        <f t="shared" si="234"/>
        <v>1.5707872071032727</v>
      </c>
      <c r="Z272" s="340" t="str">
        <f>IMSUM(COMPLEX(1,0),IMDIV(COMPLEX(0,2*PI()*D272),COMPLEX(2*PI()*'Stability Calculations'!EA_Zero1,0)))</f>
        <v>1+1085.67158922756i</v>
      </c>
      <c r="AA272" s="734">
        <f t="shared" si="235"/>
        <v>1085.6720497718891</v>
      </c>
      <c r="AB272" s="735">
        <f t="shared" si="236"/>
        <v>1.5698752382013283</v>
      </c>
      <c r="AC272" s="733" t="str">
        <f>IMSUM(COMPLEX(1,0),IMDIV(COMPLEX(0,2*PI()*D272),COMPLEX(2*PI()*'Stability Calculations'!EA_Pole2,0)))</f>
        <v>1+10.9364651230448i</v>
      </c>
      <c r="AD272" s="734">
        <f t="shared" si="237"/>
        <v>10.982088571286216</v>
      </c>
      <c r="AE272" s="735">
        <f t="shared" si="238"/>
        <v>1.4796126614702971</v>
      </c>
      <c r="AF272" s="732" t="str">
        <f t="shared" si="239"/>
        <v>0.487648305781145-5.38732507436977i</v>
      </c>
      <c r="AG272" s="337">
        <f t="shared" si="240"/>
        <v>5.4093504533413688</v>
      </c>
      <c r="AH272" s="730">
        <f t="shared" si="241"/>
        <v>-1.4805246303722417</v>
      </c>
      <c r="AI272" s="731" t="str">
        <f t="shared" si="219"/>
        <v>10000</v>
      </c>
      <c r="AJ272" s="733" t="str">
        <f t="shared" si="242"/>
        <v>1+102226.61970735i</v>
      </c>
      <c r="AK272" s="734">
        <f t="shared" si="243"/>
        <v>102226.6197122411</v>
      </c>
      <c r="AL272" s="735">
        <f t="shared" si="244"/>
        <v>1.5707865446070199</v>
      </c>
      <c r="AM272" s="340" t="str">
        <f t="shared" si="245"/>
        <v>1+173.490319958564i</v>
      </c>
      <c r="AN272" s="734">
        <f t="shared" si="246"/>
        <v>173.49320193980196</v>
      </c>
      <c r="AO272" s="735">
        <f t="shared" si="247"/>
        <v>1.5650323802769901</v>
      </c>
      <c r="AP272" s="733" t="str">
        <f t="shared" si="248"/>
        <v>1+8.41456648742213i</v>
      </c>
      <c r="AQ272" s="734">
        <f t="shared" si="249"/>
        <v>8.473778919186385</v>
      </c>
      <c r="AR272" s="735">
        <f t="shared" si="250"/>
        <v>1.4525095764530924</v>
      </c>
      <c r="AS272" s="732" t="str">
        <f t="shared" si="251"/>
        <v>0.00917392179824381-13.5454181110822i</v>
      </c>
      <c r="AT272" s="337">
        <f t="shared" si="252"/>
        <v>13.545421217698429</v>
      </c>
      <c r="AU272" s="730">
        <f t="shared" si="253"/>
        <v>-1.5701190556822346</v>
      </c>
      <c r="AV272" s="732" t="str">
        <f t="shared" si="254"/>
        <v>-1.15060166488745+0.0873587385112059i</v>
      </c>
      <c r="AW272" s="337">
        <f t="shared" si="255"/>
        <v>1.2434630479231621</v>
      </c>
      <c r="AX272" s="730">
        <f t="shared" si="256"/>
        <v>175.65818248098697</v>
      </c>
      <c r="AY272" s="360">
        <f t="shared" si="257"/>
        <v>-4.3418175190130341</v>
      </c>
      <c r="BB272" s="337">
        <f t="shared" si="258"/>
        <v>-17.364149706041481</v>
      </c>
      <c r="BC272" s="730">
        <f t="shared" si="259"/>
        <v>-89.961195223658336</v>
      </c>
      <c r="BD272" s="351"/>
      <c r="BE272" s="337">
        <f t="shared" si="220"/>
        <v>40.204063075740009</v>
      </c>
      <c r="BF272" s="730">
        <f t="shared" si="221"/>
        <v>-86.763830050575848</v>
      </c>
      <c r="BI272" s="351"/>
      <c r="BJ272" s="351"/>
      <c r="BL272" s="405">
        <f t="shared" si="222"/>
        <v>0</v>
      </c>
      <c r="BM272" s="405">
        <f t="shared" si="210"/>
        <v>0</v>
      </c>
      <c r="BN272" s="405">
        <f t="shared" si="223"/>
        <v>0</v>
      </c>
      <c r="BO272" s="405">
        <f t="shared" si="224"/>
        <v>0</v>
      </c>
    </row>
    <row r="273" spans="4:67" ht="13.5" thickBot="1" x14ac:dyDescent="0.25">
      <c r="D273" s="345">
        <v>17378</v>
      </c>
      <c r="E273" s="340" t="str">
        <f t="shared" si="211"/>
        <v>0.28825947286796i</v>
      </c>
      <c r="F273" s="728" t="str">
        <f t="shared" si="225"/>
        <v>0.005-0.150137957632408i</v>
      </c>
      <c r="G273" s="337" t="str">
        <f t="shared" si="226"/>
        <v>0.005-0.234831164501972i</v>
      </c>
      <c r="H273" s="338" t="str">
        <f t="shared" si="227"/>
        <v>0.04815519709151-0.224613568186285i</v>
      </c>
      <c r="I273" s="338" t="str">
        <f t="shared" si="228"/>
        <v>0.05815519709151-0.224613568186285i</v>
      </c>
      <c r="J273" s="337" t="str">
        <f t="shared" si="229"/>
        <v>0.0109502869687151-0.0910571714303998i</v>
      </c>
      <c r="K273" s="338" t="str">
        <f t="shared" si="212"/>
        <v>0.996644501288889-0.0909909952234724i</v>
      </c>
      <c r="L273" s="732"/>
      <c r="M273" s="732" t="str">
        <f t="shared" si="213"/>
        <v>5.61428562666887-101.106943559565i</v>
      </c>
      <c r="N273" s="337">
        <f t="shared" si="214"/>
        <v>0</v>
      </c>
      <c r="O273" s="730" t="str">
        <f t="shared" si="215"/>
        <v>-3.12674938089731-39.9049692306886i</v>
      </c>
      <c r="P273" s="731" t="str">
        <f t="shared" si="216"/>
        <v>-9.1450342537707-1.61837101527373i</v>
      </c>
      <c r="Q273" s="729" t="str">
        <f t="shared" si="217"/>
        <v>-9.11376675996171-1.21932132296685i</v>
      </c>
      <c r="R273" s="730"/>
      <c r="S273" s="405" t="str">
        <f t="shared" si="230"/>
        <v>39.8138228424537-1.32924946013157i</v>
      </c>
      <c r="T273" s="405" t="str">
        <f t="shared" si="231"/>
        <v>15.5272669134699-2.61807949943671i</v>
      </c>
      <c r="U273" s="405" t="str">
        <f t="shared" si="232"/>
        <v>0.159662420346787-3.61370895991195i</v>
      </c>
      <c r="V273" s="731" t="str">
        <f t="shared" si="218"/>
        <v>6000</v>
      </c>
      <c r="W273" s="733" t="str">
        <f>IMSUM(COMPLEX(1,0),IMDIV(COMPLEX(0,2*PI()*D273),COMPLEX(2*PI()*'Stability Calculations'!EA_Pole1,0)))</f>
        <v>1+110281.086210849i</v>
      </c>
      <c r="X273" s="734">
        <f t="shared" si="233"/>
        <v>110281.08621538288</v>
      </c>
      <c r="Y273" s="735">
        <f t="shared" si="234"/>
        <v>1.5707872590568617</v>
      </c>
      <c r="Z273" s="340" t="str">
        <f>IMSUM(COMPLEX(1,0),IMDIV(COMPLEX(0,2*PI()*D273),COMPLEX(2*PI()*'Stability Calculations'!EA_Zero1,0)))</f>
        <v>1+1091.89194268167i</v>
      </c>
      <c r="AA273" s="734">
        <f t="shared" si="235"/>
        <v>1091.8924006023447</v>
      </c>
      <c r="AB273" s="735">
        <f t="shared" si="236"/>
        <v>1.5698804855093977</v>
      </c>
      <c r="AC273" s="733" t="str">
        <f>IMSUM(COMPLEX(1,0),IMDIV(COMPLEX(0,2*PI()*D273),COMPLEX(2*PI()*'Stability Calculations'!EA_Pole2,0)))</f>
        <v>1+10.9991255806629i</v>
      </c>
      <c r="AD273" s="734">
        <f t="shared" si="237"/>
        <v>11.044490189193569</v>
      </c>
      <c r="AE273" s="735">
        <f t="shared" si="238"/>
        <v>1.4801292716574082</v>
      </c>
      <c r="AF273" s="732" t="str">
        <f t="shared" si="239"/>
        <v>0.482153425026932-5.35713382171783i</v>
      </c>
      <c r="AG273" s="337">
        <f t="shared" si="240"/>
        <v>5.3787874757289194</v>
      </c>
      <c r="AH273" s="730">
        <f t="shared" si="241"/>
        <v>-1.4810360452048721</v>
      </c>
      <c r="AI273" s="731" t="str">
        <f t="shared" si="219"/>
        <v>10000</v>
      </c>
      <c r="AJ273" s="733" t="str">
        <f t="shared" si="242"/>
        <v>1+102812.326944518i</v>
      </c>
      <c r="AK273" s="734">
        <f t="shared" si="243"/>
        <v>102812.32694938125</v>
      </c>
      <c r="AL273" s="735">
        <f t="shared" si="244"/>
        <v>1.5707866003347561</v>
      </c>
      <c r="AM273" s="340" t="str">
        <f t="shared" si="245"/>
        <v>1+174.484332440531i</v>
      </c>
      <c r="AN273" s="734">
        <f t="shared" si="246"/>
        <v>174.48719800380121</v>
      </c>
      <c r="AO273" s="735">
        <f t="shared" si="247"/>
        <v>1.5650652159413019</v>
      </c>
      <c r="AP273" s="733" t="str">
        <f t="shared" si="248"/>
        <v>1+8.46277773125887i</v>
      </c>
      <c r="AQ273" s="734">
        <f t="shared" si="249"/>
        <v>8.5216551754158072</v>
      </c>
      <c r="AR273" s="735">
        <f t="shared" si="250"/>
        <v>1.4531772240386576</v>
      </c>
      <c r="AS273" s="732" t="str">
        <f t="shared" si="251"/>
        <v>0.00906969451638536-13.4682518564344i</v>
      </c>
      <c r="AT273" s="337">
        <f t="shared" si="252"/>
        <v>13.468254910258686</v>
      </c>
      <c r="AU273" s="730">
        <f t="shared" si="253"/>
        <v>-1.5701229139984867</v>
      </c>
      <c r="AV273" s="732" t="str">
        <f t="shared" si="254"/>
        <v>-1.137371863539+0.0873013655336001i</v>
      </c>
      <c r="AW273" s="337">
        <f t="shared" si="255"/>
        <v>1.1435616488685107</v>
      </c>
      <c r="AX273" s="730">
        <f t="shared" si="256"/>
        <v>175.61074861892399</v>
      </c>
      <c r="AY273" s="360">
        <f t="shared" si="257"/>
        <v>-4.3892513810760079</v>
      </c>
      <c r="BB273" s="337">
        <f t="shared" si="258"/>
        <v>-17.413773448484037</v>
      </c>
      <c r="BC273" s="730">
        <f t="shared" si="259"/>
        <v>-89.961416288895606</v>
      </c>
      <c r="BD273" s="351"/>
      <c r="BE273" s="337">
        <f t="shared" si="220"/>
        <v>40.108989985831386</v>
      </c>
      <c r="BF273" s="730">
        <f t="shared" si="221"/>
        <v>-86.821732958221006</v>
      </c>
      <c r="BI273" s="351"/>
      <c r="BJ273" s="351"/>
      <c r="BL273" s="405">
        <f t="shared" si="222"/>
        <v>0</v>
      </c>
      <c r="BM273" s="405">
        <f t="shared" si="210"/>
        <v>0</v>
      </c>
      <c r="BN273" s="405">
        <f t="shared" si="223"/>
        <v>0</v>
      </c>
      <c r="BO273" s="405">
        <f t="shared" si="224"/>
        <v>0</v>
      </c>
    </row>
    <row r="274" spans="4:67" ht="13.5" thickBot="1" x14ac:dyDescent="0.25">
      <c r="D274" s="345">
        <v>17479.25</v>
      </c>
      <c r="E274" s="340" t="str">
        <f t="shared" si="211"/>
        <v>0.28993896830057i</v>
      </c>
      <c r="F274" s="728" t="str">
        <f t="shared" si="225"/>
        <v>0.005-0.149268271106368i</v>
      </c>
      <c r="G274" s="337" t="str">
        <f t="shared" si="226"/>
        <v>0.005-0.233470885576628i</v>
      </c>
      <c r="H274" s="338" t="str">
        <f t="shared" si="227"/>
        <v>0.0476740223264509-0.223404432120061i</v>
      </c>
      <c r="I274" s="338" t="str">
        <f t="shared" si="228"/>
        <v>0.0576740223264509-0.223404432120061i</v>
      </c>
      <c r="J274" s="337" t="str">
        <f t="shared" si="229"/>
        <v>0.010871959320701-0.0905357767218251i</v>
      </c>
      <c r="K274" s="338" t="str">
        <f t="shared" si="212"/>
        <v>0.996605286882639-0.0915211389837657i</v>
      </c>
      <c r="L274" s="732"/>
      <c r="M274" s="732" t="str">
        <f t="shared" si="213"/>
        <v>5.45235959662305-100.002021082943i</v>
      </c>
      <c r="N274" s="337">
        <f t="shared" si="214"/>
        <v>0</v>
      </c>
      <c r="O274" s="730" t="str">
        <f t="shared" si="215"/>
        <v>-3.11028790182486-39.4580354705378i</v>
      </c>
      <c r="P274" s="731" t="str">
        <f t="shared" si="216"/>
        <v>-8.9944828207602-1.5808515162486i</v>
      </c>
      <c r="Q274" s="729" t="str">
        <f t="shared" si="217"/>
        <v>-8.96337994174196-1.18627116154322i</v>
      </c>
      <c r="R274" s="730"/>
      <c r="S274" s="405" t="str">
        <f t="shared" si="230"/>
        <v>39.8150293759889-1.36350225911398i</v>
      </c>
      <c r="T274" s="405" t="str">
        <f t="shared" si="231"/>
        <v>15.5245028462823-2.62277195920277i</v>
      </c>
      <c r="U274" s="405" t="str">
        <f t="shared" si="232"/>
        <v>0.154176615174596-3.59328083126016i</v>
      </c>
      <c r="V274" s="731" t="str">
        <f t="shared" si="218"/>
        <v>6000</v>
      </c>
      <c r="W274" s="733" t="str">
        <f>IMSUM(COMPLEX(1,0),IMDIV(COMPLEX(0,2*PI()*D274),COMPLEX(2*PI()*'Stability Calculations'!EA_Pole1,0)))</f>
        <v>1+110923.620448324i</v>
      </c>
      <c r="X274" s="734">
        <f t="shared" si="233"/>
        <v>110923.62045283162</v>
      </c>
      <c r="Y274" s="735">
        <f t="shared" si="234"/>
        <v>1.5707873115824835</v>
      </c>
      <c r="Z274" s="340" t="str">
        <f>IMSUM(COMPLEX(1,0),IMDIV(COMPLEX(0,2*PI()*D274),COMPLEX(2*PI()*'Stability Calculations'!EA_Zero1,0)))</f>
        <v>1+1098.25366780519i</v>
      </c>
      <c r="AA274" s="734">
        <f t="shared" si="235"/>
        <v>1098.2541230733225</v>
      </c>
      <c r="AB274" s="735">
        <f t="shared" si="236"/>
        <v>1.5698857905927825</v>
      </c>
      <c r="AC274" s="733" t="str">
        <f>IMSUM(COMPLEX(1,0),IMDIV(COMPLEX(0,2*PI()*D274),COMPLEX(2*PI()*'Stability Calculations'!EA_Pole2,0)))</f>
        <v>1+11.0632101395904i</v>
      </c>
      <c r="AD274" s="734">
        <f t="shared" si="237"/>
        <v>11.10831303991456</v>
      </c>
      <c r="AE274" s="735">
        <f t="shared" si="238"/>
        <v>1.4806516192958625</v>
      </c>
      <c r="AF274" s="732" t="str">
        <f t="shared" si="239"/>
        <v>0.476628912937387-5.32660153973355i</v>
      </c>
      <c r="AG274" s="337">
        <f t="shared" si="240"/>
        <v>5.3478836079088063</v>
      </c>
      <c r="AH274" s="730">
        <f t="shared" si="241"/>
        <v>-1.4815531402855635</v>
      </c>
      <c r="AI274" s="731" t="str">
        <f t="shared" si="219"/>
        <v>10000</v>
      </c>
      <c r="AJ274" s="733" t="str">
        <f t="shared" si="242"/>
        <v>1+103411.345709804i</v>
      </c>
      <c r="AK274" s="734">
        <f t="shared" si="243"/>
        <v>103411.34571463904</v>
      </c>
      <c r="AL274" s="735">
        <f t="shared" si="244"/>
        <v>1.5707866566760802</v>
      </c>
      <c r="AM274" s="340" t="str">
        <f t="shared" si="245"/>
        <v>1+175.500936115269i</v>
      </c>
      <c r="AN274" s="734">
        <f t="shared" si="246"/>
        <v>175.50378507979744</v>
      </c>
      <c r="AO274" s="735">
        <f t="shared" si="247"/>
        <v>1.5650984131538748</v>
      </c>
      <c r="AP274" s="733" t="str">
        <f t="shared" si="248"/>
        <v>1+8.5120846851828i</v>
      </c>
      <c r="AQ274" s="734">
        <f t="shared" si="249"/>
        <v>8.5706234130151557</v>
      </c>
      <c r="AR274" s="735">
        <f t="shared" si="250"/>
        <v>1.4538523298352437</v>
      </c>
      <c r="AS274" s="732" t="str">
        <f t="shared" si="251"/>
        <v>0.00896492497810375-13.3902359647691i</v>
      </c>
      <c r="AT274" s="337">
        <f t="shared" si="252"/>
        <v>13.390238965831632</v>
      </c>
      <c r="AU274" s="730">
        <f t="shared" si="253"/>
        <v>-1.5701268147965872</v>
      </c>
      <c r="AV274" s="732" t="str">
        <f t="shared" si="254"/>
        <v>-1.1240745452521+0.0872351569488062i</v>
      </c>
      <c r="AW274" s="337">
        <f t="shared" si="255"/>
        <v>1.041980166816433</v>
      </c>
      <c r="AX274" s="730">
        <f t="shared" si="256"/>
        <v>175.56238669925267</v>
      </c>
      <c r="AY274" s="360">
        <f t="shared" si="257"/>
        <v>-4.43761330074733</v>
      </c>
      <c r="BB274" s="337">
        <f t="shared" si="258"/>
        <v>-17.464233447637394</v>
      </c>
      <c r="BC274" s="730">
        <f t="shared" si="259"/>
        <v>-89.961639788163509</v>
      </c>
      <c r="BD274" s="351"/>
      <c r="BE274" s="337">
        <f t="shared" si="220"/>
        <v>40.0130666782795</v>
      </c>
      <c r="BF274" s="730">
        <f t="shared" si="221"/>
        <v>-86.879181178249183</v>
      </c>
      <c r="BI274" s="351"/>
      <c r="BJ274" s="351"/>
      <c r="BL274" s="405">
        <f t="shared" si="222"/>
        <v>0</v>
      </c>
      <c r="BM274" s="405">
        <f t="shared" si="210"/>
        <v>0</v>
      </c>
      <c r="BN274" s="405">
        <f t="shared" si="223"/>
        <v>0</v>
      </c>
      <c r="BO274" s="405">
        <f t="shared" si="224"/>
        <v>0</v>
      </c>
    </row>
    <row r="275" spans="4:67" ht="13.5" thickBot="1" x14ac:dyDescent="0.25">
      <c r="D275" s="345">
        <v>17580.5</v>
      </c>
      <c r="E275" s="340" t="str">
        <f t="shared" si="211"/>
        <v>0.291618463733179i</v>
      </c>
      <c r="F275" s="728" t="str">
        <f t="shared" si="225"/>
        <v>0.005-0.148408602015642i</v>
      </c>
      <c r="G275" s="337" t="str">
        <f t="shared" si="226"/>
        <v>0.005-0.232126274947542i</v>
      </c>
      <c r="H275" s="338" t="str">
        <f t="shared" si="227"/>
        <v>0.0472007509200081-0.222207721719281i</v>
      </c>
      <c r="I275" s="338" t="str">
        <f t="shared" si="228"/>
        <v>0.0572007509200081-0.222207721719281i</v>
      </c>
      <c r="J275" s="337" t="str">
        <f t="shared" si="229"/>
        <v>0.0107949709827371-0.0900202898455912i</v>
      </c>
      <c r="K275" s="338" t="str">
        <f t="shared" si="212"/>
        <v>0.996565844663889-0.0920512827440589i</v>
      </c>
      <c r="L275" s="732"/>
      <c r="M275" s="732" t="str">
        <f t="shared" si="213"/>
        <v>5.29705919324848-98.9236063756968i</v>
      </c>
      <c r="N275" s="337">
        <f t="shared" si="214"/>
        <v>0</v>
      </c>
      <c r="O275" s="730" t="str">
        <f t="shared" si="215"/>
        <v>-3.09337504409309-39.0220766215376i</v>
      </c>
      <c r="P275" s="731" t="str">
        <f t="shared" si="216"/>
        <v>-8.84795011822643-1.54472026423883i</v>
      </c>
      <c r="Q275" s="729" t="str">
        <f t="shared" si="217"/>
        <v>-8.81701636778549-1.15449949802346i</v>
      </c>
      <c r="R275" s="730"/>
      <c r="S275" s="405" t="str">
        <f t="shared" si="230"/>
        <v>39.8161631672266-1.39761176236576i</v>
      </c>
      <c r="T275" s="405" t="str">
        <f t="shared" si="231"/>
        <v>15.5217542432487-2.62751934855295i</v>
      </c>
      <c r="U275" s="405" t="str">
        <f t="shared" si="232"/>
        <v>0.148783367661878-3.57307453378741i</v>
      </c>
      <c r="V275" s="731" t="str">
        <f t="shared" si="218"/>
        <v>6000</v>
      </c>
      <c r="W275" s="733" t="str">
        <f>IMSUM(COMPLEX(1,0),IMDIV(COMPLEX(0,2*PI()*D275),COMPLEX(2*PI()*'Stability Calculations'!EA_Pole1,0)))</f>
        <v>1+111566.1546858i</v>
      </c>
      <c r="X275" s="734">
        <f t="shared" si="233"/>
        <v>111566.15469028163</v>
      </c>
      <c r="Y275" s="735">
        <f t="shared" si="234"/>
        <v>1.570787363503092</v>
      </c>
      <c r="Z275" s="340" t="str">
        <f>IMSUM(COMPLEX(1,0),IMDIV(COMPLEX(0,2*PI()*D275),COMPLEX(2*PI()*'Stability Calculations'!EA_Zero1,0)))</f>
        <v>1+1104.61539292871i</v>
      </c>
      <c r="AA275" s="734">
        <f t="shared" si="235"/>
        <v>1104.6158455748534</v>
      </c>
      <c r="AB275" s="735">
        <f t="shared" si="236"/>
        <v>1.5698910345699133</v>
      </c>
      <c r="AC275" s="733" t="str">
        <f>IMSUM(COMPLEX(1,0),IMDIV(COMPLEX(0,2*PI()*D275),COMPLEX(2*PI()*'Stability Calculations'!EA_Pole2,0)))</f>
        <v>1+11.1272946985179i</v>
      </c>
      <c r="AD275" s="734">
        <f t="shared" si="237"/>
        <v>11.172138886876789</v>
      </c>
      <c r="AE275" s="735">
        <f t="shared" si="238"/>
        <v>1.481167998784223</v>
      </c>
      <c r="AF275" s="732" t="str">
        <f t="shared" si="239"/>
        <v>0.471198556741555-5.29641248042423i</v>
      </c>
      <c r="AG275" s="337">
        <f t="shared" si="240"/>
        <v>5.317331402373644</v>
      </c>
      <c r="AH275" s="730">
        <f t="shared" si="241"/>
        <v>-1.4820643277174013</v>
      </c>
      <c r="AI275" s="731" t="str">
        <f t="shared" si="219"/>
        <v>10000</v>
      </c>
      <c r="AJ275" s="733" t="str">
        <f t="shared" si="242"/>
        <v>1+104010.364475089i</v>
      </c>
      <c r="AK275" s="734">
        <f t="shared" si="243"/>
        <v>104010.36447989621</v>
      </c>
      <c r="AL275" s="735">
        <f t="shared" si="244"/>
        <v>1.57078671236844</v>
      </c>
      <c r="AM275" s="340" t="str">
        <f t="shared" si="245"/>
        <v>1+176.517539790008i</v>
      </c>
      <c r="AN275" s="734">
        <f t="shared" si="246"/>
        <v>176.5203723469817</v>
      </c>
      <c r="AO275" s="735">
        <f t="shared" si="247"/>
        <v>1.5651312279985659</v>
      </c>
      <c r="AP275" s="733" t="str">
        <f t="shared" si="248"/>
        <v>1+8.56139163910673i</v>
      </c>
      <c r="AQ275" s="734">
        <f t="shared" si="249"/>
        <v>8.6195955124452706</v>
      </c>
      <c r="AR275" s="735">
        <f t="shared" si="250"/>
        <v>1.4545197647267363</v>
      </c>
      <c r="AS275" s="732" t="str">
        <f t="shared" si="251"/>
        <v>0.00886196039415857-13.3131186935605i</v>
      </c>
      <c r="AT275" s="337">
        <f t="shared" si="252"/>
        <v>13.313121643069746</v>
      </c>
      <c r="AU275" s="730">
        <f t="shared" si="253"/>
        <v>-1.5701306706635847</v>
      </c>
      <c r="AV275" s="732" t="str">
        <f t="shared" si="254"/>
        <v>-1.11100759640197+0.0871616616490854i</v>
      </c>
      <c r="AW275" s="337">
        <f t="shared" si="255"/>
        <v>0.94098878541421527</v>
      </c>
      <c r="AX275" s="730">
        <f t="shared" si="256"/>
        <v>175.51417354535761</v>
      </c>
      <c r="AY275" s="360">
        <f t="shared" si="257"/>
        <v>-4.4858264546423925</v>
      </c>
      <c r="BB275" s="337">
        <f t="shared" si="258"/>
        <v>-17.51440199583422</v>
      </c>
      <c r="BC275" s="730">
        <f t="shared" si="259"/>
        <v>-89.96186071306883</v>
      </c>
      <c r="BD275" s="351"/>
      <c r="BE275" s="337">
        <f t="shared" si="220"/>
        <v>39.918433424808036</v>
      </c>
      <c r="BF275" s="730">
        <f t="shared" si="221"/>
        <v>-86.934911972852731</v>
      </c>
      <c r="BI275" s="351"/>
      <c r="BJ275" s="351"/>
      <c r="BL275" s="405">
        <f t="shared" si="222"/>
        <v>0</v>
      </c>
      <c r="BM275" s="405">
        <f t="shared" si="210"/>
        <v>0</v>
      </c>
      <c r="BN275" s="405">
        <f t="shared" si="223"/>
        <v>0</v>
      </c>
      <c r="BO275" s="405">
        <f t="shared" si="224"/>
        <v>0</v>
      </c>
    </row>
    <row r="276" spans="4:67" ht="13.5" thickBot="1" x14ac:dyDescent="0.25">
      <c r="D276" s="345">
        <v>17681.75</v>
      </c>
      <c r="E276" s="340" t="str">
        <f t="shared" si="211"/>
        <v>0.293297959165788i</v>
      </c>
      <c r="F276" s="728" t="str">
        <f t="shared" si="225"/>
        <v>0.005-0.147558778273417i</v>
      </c>
      <c r="G276" s="337" t="str">
        <f t="shared" si="226"/>
        <v>0.005-0.230797063453293i</v>
      </c>
      <c r="H276" s="338" t="str">
        <f t="shared" si="227"/>
        <v>0.0467352128446371-0.221023255648376i</v>
      </c>
      <c r="I276" s="338" t="str">
        <f t="shared" si="228"/>
        <v>0.0567352128446371-0.221023255648376i</v>
      </c>
      <c r="J276" s="337" t="str">
        <f t="shared" si="229"/>
        <v>0.0107192916408683-0.0895106115434191i</v>
      </c>
      <c r="K276" s="338" t="str">
        <f t="shared" si="212"/>
        <v>0.996526174632639-0.0925814265043522i</v>
      </c>
      <c r="L276" s="732"/>
      <c r="M276" s="732" t="str">
        <f t="shared" si="213"/>
        <v>5.14803750653301-97.8707310207912i</v>
      </c>
      <c r="N276" s="337">
        <f t="shared" si="214"/>
        <v>0</v>
      </c>
      <c r="O276" s="730" t="str">
        <f t="shared" si="215"/>
        <v>-3.0760659037784-38.5966824697323i</v>
      </c>
      <c r="P276" s="731" t="str">
        <f t="shared" si="216"/>
        <v>-8.70528567046183-1.50990889437506i</v>
      </c>
      <c r="Q276" s="729" t="str">
        <f t="shared" si="217"/>
        <v>-8.67452501142404-1.12394206967774i</v>
      </c>
      <c r="R276" s="730"/>
      <c r="S276" s="405" t="str">
        <f t="shared" si="230"/>
        <v>39.8172255306823-1.43158023186517i</v>
      </c>
      <c r="T276" s="405" t="str">
        <f t="shared" si="231"/>
        <v>15.5190205858927-2.63232076465574i</v>
      </c>
      <c r="U276" s="405" t="str">
        <f t="shared" si="232"/>
        <v>0.143480624906962-3.55308652557971i</v>
      </c>
      <c r="V276" s="731" t="str">
        <f t="shared" si="218"/>
        <v>6000</v>
      </c>
      <c r="W276" s="733" t="str">
        <f>IMSUM(COMPLEX(1,0),IMDIV(COMPLEX(0,2*PI()*D276),COMPLEX(2*PI()*'Stability Calculations'!EA_Pole1,0)))</f>
        <v>1+112208.688923275i</v>
      </c>
      <c r="X276" s="734">
        <f t="shared" si="233"/>
        <v>112208.68892773098</v>
      </c>
      <c r="Y276" s="735">
        <f t="shared" si="234"/>
        <v>1.5707874148290804</v>
      </c>
      <c r="Z276" s="340" t="str">
        <f>IMSUM(COMPLEX(1,0),IMDIV(COMPLEX(0,2*PI()*D276),COMPLEX(2*PI()*'Stability Calculations'!EA_Zero1,0)))</f>
        <v>1+1110.97711805223i</v>
      </c>
      <c r="AA276" s="734">
        <f t="shared" si="235"/>
        <v>1110.9775681064125</v>
      </c>
      <c r="AB276" s="735">
        <f t="shared" si="236"/>
        <v>1.5698962184905165</v>
      </c>
      <c r="AC276" s="733" t="str">
        <f>IMSUM(COMPLEX(1,0),IMDIV(COMPLEX(0,2*PI()*D276),COMPLEX(2*PI()*'Stability Calculations'!EA_Pole2,0)))</f>
        <v>1+11.1913792574454i</v>
      </c>
      <c r="AD276" s="734">
        <f t="shared" si="237"/>
        <v>11.235967679019868</v>
      </c>
      <c r="AE276" s="735">
        <f t="shared" si="238"/>
        <v>1.4816785115555484</v>
      </c>
      <c r="AF276" s="732" t="str">
        <f t="shared" si="239"/>
        <v>0.465860234573585-5.26656093725848i</v>
      </c>
      <c r="AG276" s="337">
        <f t="shared" si="240"/>
        <v>5.2871249147352168</v>
      </c>
      <c r="AH276" s="730">
        <f t="shared" si="241"/>
        <v>-1.4825697078941122</v>
      </c>
      <c r="AI276" s="731" t="str">
        <f t="shared" si="219"/>
        <v>10000</v>
      </c>
      <c r="AJ276" s="733" t="str">
        <f t="shared" si="242"/>
        <v>1+104609.383240375i</v>
      </c>
      <c r="AK276" s="734">
        <f t="shared" si="243"/>
        <v>104609.38324515468</v>
      </c>
      <c r="AL276" s="735">
        <f t="shared" si="244"/>
        <v>1.5707867674229838</v>
      </c>
      <c r="AM276" s="340" t="str">
        <f t="shared" si="245"/>
        <v>1+177.534143464746i</v>
      </c>
      <c r="AN276" s="734">
        <f t="shared" si="246"/>
        <v>177.53695980206774</v>
      </c>
      <c r="AO276" s="735">
        <f t="shared" si="247"/>
        <v>1.565163667043689</v>
      </c>
      <c r="AP276" s="733" t="str">
        <f t="shared" si="248"/>
        <v>1+8.61069859303066i</v>
      </c>
      <c r="AQ276" s="734">
        <f t="shared" si="249"/>
        <v>8.6685714082552376</v>
      </c>
      <c r="AR276" s="735">
        <f t="shared" si="250"/>
        <v>1.4551796581311669</v>
      </c>
      <c r="AS276" s="732" t="str">
        <f t="shared" si="251"/>
        <v>0.00876075954074738-13.2368846056782i</v>
      </c>
      <c r="AT276" s="337">
        <f t="shared" si="252"/>
        <v>13.23688750480823</v>
      </c>
      <c r="AU276" s="730">
        <f t="shared" si="253"/>
        <v>-1.5701344823713375</v>
      </c>
      <c r="AV276" s="732" t="str">
        <f t="shared" si="254"/>
        <v>-1.09816572174749+0.087081198083757i</v>
      </c>
      <c r="AW276" s="337">
        <f t="shared" si="255"/>
        <v>0.84058063769748848</v>
      </c>
      <c r="AX276" s="730">
        <f t="shared" si="256"/>
        <v>175.46610630596206</v>
      </c>
      <c r="AY276" s="360">
        <f t="shared" si="257"/>
        <v>-4.5338936940379426</v>
      </c>
      <c r="BB276" s="337">
        <f t="shared" si="258"/>
        <v>-17.564282440519957</v>
      </c>
      <c r="BC276" s="730">
        <f t="shared" si="259"/>
        <v>-89.962079107835791</v>
      </c>
      <c r="BD276" s="351"/>
      <c r="BE276" s="337">
        <f t="shared" si="220"/>
        <v>39.825056110255666</v>
      </c>
      <c r="BF276" s="730">
        <f t="shared" si="221"/>
        <v>-86.988995208131726</v>
      </c>
      <c r="BI276" s="351"/>
      <c r="BJ276" s="351"/>
      <c r="BL276" s="405">
        <f t="shared" si="222"/>
        <v>0</v>
      </c>
      <c r="BM276" s="405">
        <f t="shared" si="210"/>
        <v>0</v>
      </c>
      <c r="BN276" s="405">
        <f t="shared" si="223"/>
        <v>0</v>
      </c>
      <c r="BO276" s="405">
        <f t="shared" si="224"/>
        <v>0</v>
      </c>
    </row>
    <row r="277" spans="4:67" ht="13.5" thickBot="1" x14ac:dyDescent="0.25">
      <c r="D277" s="345">
        <v>17783</v>
      </c>
      <c r="E277" s="340" t="str">
        <f t="shared" si="211"/>
        <v>0.294977454598397i</v>
      </c>
      <c r="F277" s="728" t="str">
        <f t="shared" si="225"/>
        <v>0.005-0.146718631712084i</v>
      </c>
      <c r="G277" s="337" t="str">
        <f t="shared" si="226"/>
        <v>0.005-0.22948298806249i</v>
      </c>
      <c r="H277" s="338" t="str">
        <f t="shared" si="227"/>
        <v>0.0462772425624415-0.21985085585826i</v>
      </c>
      <c r="I277" s="338" t="str">
        <f t="shared" si="228"/>
        <v>0.0562772425624415-0.21985085585826i</v>
      </c>
      <c r="J277" s="337" t="str">
        <f t="shared" si="229"/>
        <v>0.010644891832393-0.0890066447553022i</v>
      </c>
      <c r="K277" s="338" t="str">
        <f t="shared" si="212"/>
        <v>0.996486276788889-0.0931115702646455i</v>
      </c>
      <c r="L277" s="732"/>
      <c r="M277" s="732" t="str">
        <f t="shared" si="213"/>
        <v>5.00496965154432-96.8424732350665i</v>
      </c>
      <c r="N277" s="337">
        <f t="shared" si="214"/>
        <v>0</v>
      </c>
      <c r="O277" s="730" t="str">
        <f t="shared" si="215"/>
        <v>-3.05841086968677-38.1814630138906i</v>
      </c>
      <c r="P277" s="731" t="str">
        <f t="shared" si="216"/>
        <v>-8.56634625189331-1.47635320815477i</v>
      </c>
      <c r="Q277" s="729" t="str">
        <f t="shared" si="217"/>
        <v>-8.53576214319642-1.09453857801587i</v>
      </c>
      <c r="R277" s="730"/>
      <c r="S277" s="405" t="str">
        <f t="shared" si="230"/>
        <v>39.8182177447994-1.46540988260451i</v>
      </c>
      <c r="T277" s="405" t="str">
        <f t="shared" si="231"/>
        <v>15.5163013699852-2.63717532323016i</v>
      </c>
      <c r="U277" s="405" t="str">
        <f t="shared" si="232"/>
        <v>0.138266390310322-3.53331333805876i</v>
      </c>
      <c r="V277" s="731" t="str">
        <f t="shared" si="218"/>
        <v>6000</v>
      </c>
      <c r="W277" s="733" t="str">
        <f>IMSUM(COMPLEX(1,0),IMDIV(COMPLEX(0,2*PI()*D277),COMPLEX(2*PI()*'Stability Calculations'!EA_Pole1,0)))</f>
        <v>1+112851.223160751i</v>
      </c>
      <c r="X277" s="734">
        <f t="shared" si="233"/>
        <v>112851.22316518161</v>
      </c>
      <c r="Y277" s="735">
        <f t="shared" si="234"/>
        <v>1.5707874655706053</v>
      </c>
      <c r="Z277" s="340" t="str">
        <f>IMSUM(COMPLEX(1,0),IMDIV(COMPLEX(0,2*PI()*D277),COMPLEX(2*PI()*'Stability Calculations'!EA_Zero1,0)))</f>
        <v>1+1117.33884317575i</v>
      </c>
      <c r="AA277" s="734">
        <f t="shared" si="235"/>
        <v>1117.3392906674871</v>
      </c>
      <c r="AB277" s="735">
        <f t="shared" si="236"/>
        <v>1.5699013433804121</v>
      </c>
      <c r="AC277" s="733" t="str">
        <f>IMSUM(COMPLEX(1,0),IMDIV(COMPLEX(0,2*PI()*D277),COMPLEX(2*PI()*'Stability Calculations'!EA_Pole2,0)))</f>
        <v>1+11.2554638163729i</v>
      </c>
      <c r="AD277" s="734">
        <f t="shared" si="237"/>
        <v>11.299799366434769</v>
      </c>
      <c r="AE277" s="735">
        <f t="shared" si="238"/>
        <v>1.4821832567633393</v>
      </c>
      <c r="AF277" s="732" t="str">
        <f t="shared" si="239"/>
        <v>0.460611883846057-5.23704132840182i</v>
      </c>
      <c r="AG277" s="337">
        <f t="shared" si="240"/>
        <v>5.2572583332882656</v>
      </c>
      <c r="AH277" s="730">
        <f t="shared" si="241"/>
        <v>-1.4830693789535327</v>
      </c>
      <c r="AI277" s="731" t="str">
        <f t="shared" si="219"/>
        <v>10000</v>
      </c>
      <c r="AJ277" s="733" t="str">
        <f t="shared" si="242"/>
        <v>1+105208.40200566i</v>
      </c>
      <c r="AK277" s="734">
        <f t="shared" si="243"/>
        <v>105208.40201041246</v>
      </c>
      <c r="AL277" s="735">
        <f t="shared" si="244"/>
        <v>1.570786821850606</v>
      </c>
      <c r="AM277" s="340" t="str">
        <f t="shared" si="245"/>
        <v>1+178.550747139485i</v>
      </c>
      <c r="AN277" s="734">
        <f t="shared" si="246"/>
        <v>178.55354744184814</v>
      </c>
      <c r="AO277" s="735">
        <f t="shared" si="247"/>
        <v>1.5651957367079758</v>
      </c>
      <c r="AP277" s="733" t="str">
        <f t="shared" si="248"/>
        <v>1+8.66000554695459i</v>
      </c>
      <c r="AQ277" s="734">
        <f t="shared" si="249"/>
        <v>8.7175510364599695</v>
      </c>
      <c r="AR277" s="735">
        <f t="shared" si="250"/>
        <v>1.455832136584635</v>
      </c>
      <c r="AS277" s="732" t="str">
        <f t="shared" si="251"/>
        <v>0.00866128236428353-13.1615186155648i</v>
      </c>
      <c r="AT277" s="337">
        <f t="shared" si="252"/>
        <v>13.161521465456451</v>
      </c>
      <c r="AU277" s="730">
        <f t="shared" si="253"/>
        <v>-1.5701382506741255</v>
      </c>
      <c r="AV277" s="732" t="str">
        <f t="shared" si="254"/>
        <v>-1.08554377740972+0.0869940716354862i</v>
      </c>
      <c r="AW277" s="337">
        <f t="shared" si="255"/>
        <v>0.74074897581311028</v>
      </c>
      <c r="AX277" s="730">
        <f t="shared" si="256"/>
        <v>175.41818220238486</v>
      </c>
      <c r="AY277" s="360">
        <f t="shared" si="257"/>
        <v>-4.5818177976151446</v>
      </c>
      <c r="BB277" s="337">
        <f t="shared" si="258"/>
        <v>-17.613878071798879</v>
      </c>
      <c r="BC277" s="730">
        <f t="shared" si="259"/>
        <v>-89.962295015681477</v>
      </c>
      <c r="BD277" s="351"/>
      <c r="BE277" s="337">
        <f t="shared" si="220"/>
        <v>39.732901913391601</v>
      </c>
      <c r="BF277" s="730">
        <f t="shared" si="221"/>
        <v>-87.041497156975353</v>
      </c>
      <c r="BI277" s="351"/>
      <c r="BJ277" s="351"/>
      <c r="BL277" s="405">
        <f t="shared" si="222"/>
        <v>0</v>
      </c>
      <c r="BM277" s="405">
        <f t="shared" si="210"/>
        <v>0</v>
      </c>
      <c r="BN277" s="405">
        <f t="shared" si="223"/>
        <v>0</v>
      </c>
      <c r="BO277" s="405">
        <f t="shared" si="224"/>
        <v>0</v>
      </c>
    </row>
    <row r="278" spans="4:67" ht="13.5" thickBot="1" x14ac:dyDescent="0.25">
      <c r="D278" s="345">
        <v>17886.5</v>
      </c>
      <c r="E278" s="340" t="str">
        <f t="shared" si="211"/>
        <v>0.296694272151731i</v>
      </c>
      <c r="F278" s="728" t="str">
        <f t="shared" si="225"/>
        <v>0.005-0.145869646254773i</v>
      </c>
      <c r="G278" s="337" t="str">
        <f t="shared" si="226"/>
        <v>0.005-0.228155087731824i</v>
      </c>
      <c r="H278" s="338" t="str">
        <f t="shared" si="227"/>
        <v>0.0458167492742887-0.218664692188369i</v>
      </c>
      <c r="I278" s="338" t="str">
        <f t="shared" si="228"/>
        <v>0.0558167492742887-0.218664692188369i</v>
      </c>
      <c r="J278" s="337" t="str">
        <f t="shared" si="229"/>
        <v>0.0105701313789821-0.0884972831892993i</v>
      </c>
      <c r="K278" s="338" t="str">
        <f t="shared" si="212"/>
        <v>0.996445256863889-0.0936534949973897i</v>
      </c>
      <c r="L278" s="732"/>
      <c r="M278" s="732" t="str">
        <f t="shared" si="213"/>
        <v>4.86455933031445-95.8158956486029i</v>
      </c>
      <c r="N278" s="337">
        <f t="shared" si="214"/>
        <v>0</v>
      </c>
      <c r="O278" s="730" t="str">
        <f t="shared" si="215"/>
        <v>-3.04005396177765-37.7671466189405i</v>
      </c>
      <c r="P278" s="731" t="str">
        <f t="shared" si="216"/>
        <v>-8.42802742002851-1.44328688984656i</v>
      </c>
      <c r="Q278" s="729" t="str">
        <f t="shared" si="217"/>
        <v>-8.39762688041073-1.06561542365715i</v>
      </c>
      <c r="R278" s="730"/>
      <c r="S278" s="405" t="str">
        <f t="shared" si="230"/>
        <v>39.8191607977757-1.49985008140592i</v>
      </c>
      <c r="T278" s="405" t="str">
        <f t="shared" si="231"/>
        <v>15.5135361428616-2.64219178608123i</v>
      </c>
      <c r="U278" s="405" t="str">
        <f t="shared" si="232"/>
        <v>0.133025742209011-3.51331924402943i</v>
      </c>
      <c r="V278" s="731" t="str">
        <f t="shared" si="218"/>
        <v>6000</v>
      </c>
      <c r="W278" s="733" t="str">
        <f>IMSUM(COMPLEX(1,0),IMDIV(COMPLEX(0,2*PI()*D278),COMPLEX(2*PI()*'Stability Calculations'!EA_Pole1,0)))</f>
        <v>1+113508.035936837i</v>
      </c>
      <c r="X278" s="734">
        <f t="shared" si="233"/>
        <v>113508.03594124198</v>
      </c>
      <c r="Y278" s="735">
        <f t="shared" si="234"/>
        <v>1.5707875168459646</v>
      </c>
      <c r="Z278" s="340" t="str">
        <f>IMSUM(COMPLEX(1,0),IMDIV(COMPLEX(0,2*PI()*D278),COMPLEX(2*PI()*'Stability Calculations'!EA_Zero1,0)))</f>
        <v>1+1123.84193996868i</v>
      </c>
      <c r="AA278" s="734">
        <f t="shared" si="235"/>
        <v>1123.8423848710131</v>
      </c>
      <c r="AB278" s="735">
        <f t="shared" si="236"/>
        <v>1.5699065221875774</v>
      </c>
      <c r="AC278" s="733" t="str">
        <f>IMSUM(COMPLEX(1,0),IMDIV(COMPLEX(0,2*PI()*D278),COMPLEX(2*PI()*'Stability Calculations'!EA_Pole2,0)))</f>
        <v>1+11.3209724766099i</v>
      </c>
      <c r="AD278" s="734">
        <f t="shared" si="237"/>
        <v>11.365052477492521</v>
      </c>
      <c r="AE278" s="735">
        <f t="shared" si="238"/>
        <v>1.4826933582138329</v>
      </c>
      <c r="AF278" s="732" t="str">
        <f t="shared" si="239"/>
        <v>0.455337808158212-5.20720312400533i</v>
      </c>
      <c r="AG278" s="337">
        <f t="shared" si="240"/>
        <v>5.2270734540648274</v>
      </c>
      <c r="AH278" s="730">
        <f t="shared" si="241"/>
        <v>-1.4835743528722196</v>
      </c>
      <c r="AI278" s="731" t="str">
        <f t="shared" si="219"/>
        <v>10000</v>
      </c>
      <c r="AJ278" s="733" t="str">
        <f t="shared" si="242"/>
        <v>1+105820.732299063i</v>
      </c>
      <c r="AK278" s="734">
        <f t="shared" si="243"/>
        <v>105820.73230378798</v>
      </c>
      <c r="AL278" s="735">
        <f t="shared" si="244"/>
        <v>1.5707868768508426</v>
      </c>
      <c r="AM278" s="340" t="str">
        <f t="shared" si="245"/>
        <v>1+179.589942006995i</v>
      </c>
      <c r="AN278" s="734">
        <f t="shared" si="246"/>
        <v>179.59272610569678</v>
      </c>
      <c r="AO278" s="735">
        <f t="shared" si="247"/>
        <v>1.5652281437779862</v>
      </c>
      <c r="AP278" s="733" t="str">
        <f t="shared" si="248"/>
        <v>1+8.71040821096571i</v>
      </c>
      <c r="AQ278" s="734">
        <f t="shared" si="249"/>
        <v>8.7676228934448854</v>
      </c>
      <c r="AR278" s="735">
        <f t="shared" si="250"/>
        <v>1.4564915794324982</v>
      </c>
      <c r="AS278" s="732" t="str">
        <f t="shared" si="251"/>
        <v>0.00856133562065197-13.0853597243856i</v>
      </c>
      <c r="AT278" s="337">
        <f t="shared" si="252"/>
        <v>13.085362525090407</v>
      </c>
      <c r="AU278" s="730">
        <f t="shared" si="253"/>
        <v>-1.5701420586219637</v>
      </c>
      <c r="AV278" s="732" t="str">
        <f t="shared" si="254"/>
        <v>-1.07286345810675+0.0868984273230861i</v>
      </c>
      <c r="AW278" s="337">
        <f t="shared" si="255"/>
        <v>0.6392877726467312</v>
      </c>
      <c r="AX278" s="730">
        <f t="shared" si="256"/>
        <v>175.36933824141431</v>
      </c>
      <c r="AY278" s="360">
        <f t="shared" si="257"/>
        <v>-4.6306617585856884</v>
      </c>
      <c r="BB278" s="337">
        <f t="shared" si="258"/>
        <v>-17.664284817814298</v>
      </c>
      <c r="BC278" s="730">
        <f t="shared" si="259"/>
        <v>-89.962513195021202</v>
      </c>
      <c r="BD278" s="351"/>
      <c r="BE278" s="337">
        <f t="shared" si="220"/>
        <v>39.639931149693616</v>
      </c>
      <c r="BF278" s="730">
        <f t="shared" si="221"/>
        <v>-87.093596907973392</v>
      </c>
      <c r="BI278" s="351"/>
      <c r="BJ278" s="351"/>
      <c r="BL278" s="405">
        <f t="shared" si="222"/>
        <v>0</v>
      </c>
      <c r="BM278" s="405">
        <f t="shared" si="210"/>
        <v>0</v>
      </c>
      <c r="BN278" s="405">
        <f t="shared" si="223"/>
        <v>0</v>
      </c>
      <c r="BO278" s="405">
        <f t="shared" si="224"/>
        <v>0</v>
      </c>
    </row>
    <row r="279" spans="4:67" ht="13.5" thickBot="1" x14ac:dyDescent="0.25">
      <c r="D279" s="345">
        <v>17990</v>
      </c>
      <c r="E279" s="340" t="str">
        <f t="shared" si="211"/>
        <v>0.298411089705064i</v>
      </c>
      <c r="F279" s="728" t="str">
        <f t="shared" si="225"/>
        <v>0.005-0.145030429557309i</v>
      </c>
      <c r="G279" s="337" t="str">
        <f t="shared" si="226"/>
        <v>0.005-0.226842466743483i</v>
      </c>
      <c r="H279" s="338" t="str">
        <f t="shared" si="227"/>
        <v>0.0453638278249483-0.217490771023056i</v>
      </c>
      <c r="I279" s="338" t="str">
        <f t="shared" si="228"/>
        <v>0.0553638278249483-0.217490771023056i</v>
      </c>
      <c r="J279" s="337" t="str">
        <f t="shared" si="229"/>
        <v>0.0104966483018951-0.0879936914775342i</v>
      </c>
      <c r="K279" s="338" t="str">
        <f t="shared" si="212"/>
        <v>0.996403998888889-0.094195419730134i</v>
      </c>
      <c r="L279" s="732"/>
      <c r="M279" s="732" t="str">
        <f t="shared" si="213"/>
        <v>4.72974741895806-94.8132315713435i</v>
      </c>
      <c r="N279" s="337">
        <f t="shared" si="214"/>
        <v>0</v>
      </c>
      <c r="O279" s="730" t="str">
        <f t="shared" si="215"/>
        <v>-3.02142876157172-37.362697514465i</v>
      </c>
      <c r="P279" s="731" t="str">
        <f t="shared" si="216"/>
        <v>-8.29331975166319-1.41140908132099i</v>
      </c>
      <c r="Q279" s="729" t="str">
        <f t="shared" si="217"/>
        <v>-8.26310546404746-1.03778210617634i</v>
      </c>
      <c r="R279" s="730"/>
      <c r="S279" s="405" t="str">
        <f t="shared" si="230"/>
        <v>39.8200331401634-1.53414975846974i</v>
      </c>
      <c r="T279" s="405" t="str">
        <f t="shared" si="231"/>
        <v>15.5107849842528-2.64726196828806i</v>
      </c>
      <c r="U279" s="405" t="str">
        <f t="shared" si="232"/>
        <v>0.127873532872456-3.49354252153494i</v>
      </c>
      <c r="V279" s="731" t="str">
        <f t="shared" si="218"/>
        <v>6000</v>
      </c>
      <c r="W279" s="733" t="str">
        <f>IMSUM(COMPLEX(1,0),IMDIV(COMPLEX(0,2*PI()*D279),COMPLEX(2*PI()*'Stability Calculations'!EA_Pole1,0)))</f>
        <v>1+114164.848712923i</v>
      </c>
      <c r="X279" s="734">
        <f t="shared" si="233"/>
        <v>114164.84871730262</v>
      </c>
      <c r="Y279" s="735">
        <f t="shared" si="234"/>
        <v>1.5707875675313294</v>
      </c>
      <c r="Z279" s="340" t="str">
        <f>IMSUM(COMPLEX(1,0),IMDIV(COMPLEX(0,2*PI()*D279),COMPLEX(2*PI()*'Stability Calculations'!EA_Zero1,0)))</f>
        <v>1+1130.34503676161i</v>
      </c>
      <c r="AA279" s="734">
        <f t="shared" si="235"/>
        <v>1130.3454791043334</v>
      </c>
      <c r="AB279" s="735">
        <f t="shared" si="236"/>
        <v>1.5699116414054022</v>
      </c>
      <c r="AC279" s="733" t="str">
        <f>IMSUM(COMPLEX(1,0),IMDIV(COMPLEX(0,2*PI()*D279),COMPLEX(2*PI()*'Stability Calculations'!EA_Pole2,0)))</f>
        <v>1+11.3864811368469i</v>
      </c>
      <c r="AD279" s="734">
        <f t="shared" si="237"/>
        <v>11.430308512011838</v>
      </c>
      <c r="AE279" s="735">
        <f t="shared" si="238"/>
        <v>1.4831976354199443</v>
      </c>
      <c r="AF279" s="732" t="str">
        <f t="shared" si="239"/>
        <v>0.450153569761815-5.17770035988602i</v>
      </c>
      <c r="AG279" s="337">
        <f t="shared" si="240"/>
        <v>5.1972318837178237</v>
      </c>
      <c r="AH279" s="730">
        <f t="shared" si="241"/>
        <v>-1.4840735615458718</v>
      </c>
      <c r="AI279" s="731" t="str">
        <f t="shared" si="219"/>
        <v>10000</v>
      </c>
      <c r="AJ279" s="733" t="str">
        <f t="shared" si="242"/>
        <v>1+106433.062592466i</v>
      </c>
      <c r="AK279" s="734">
        <f t="shared" si="243"/>
        <v>106433.06259716379</v>
      </c>
      <c r="AL279" s="735">
        <f t="shared" si="244"/>
        <v>1.5707869312182252</v>
      </c>
      <c r="AM279" s="340" t="str">
        <f t="shared" si="245"/>
        <v>1+180.629136874505i</v>
      </c>
      <c r="AN279" s="734">
        <f t="shared" si="246"/>
        <v>180.63190495598684</v>
      </c>
      <c r="AO279" s="735">
        <f t="shared" si="247"/>
        <v>1.5652601779710262</v>
      </c>
      <c r="AP279" s="733" t="str">
        <f t="shared" si="248"/>
        <v>1+8.76081087497682i</v>
      </c>
      <c r="AQ279" s="734">
        <f t="shared" si="249"/>
        <v>8.8176985198583466</v>
      </c>
      <c r="AR279" s="735">
        <f t="shared" si="250"/>
        <v>1.4571435326218161</v>
      </c>
      <c r="AS279" s="732" t="str">
        <f t="shared" si="251"/>
        <v>0.00846310894868469-13.0100771461771i</v>
      </c>
      <c r="AT279" s="337">
        <f t="shared" si="252"/>
        <v>13.01007989882048</v>
      </c>
      <c r="AU279" s="730">
        <f t="shared" si="253"/>
        <v>-1.5701458227540781</v>
      </c>
      <c r="AV279" s="732" t="str">
        <f t="shared" si="254"/>
        <v>-1.06040254486009+0.0867964266926378i</v>
      </c>
      <c r="AW279" s="337">
        <f t="shared" si="255"/>
        <v>0.5384150718574463</v>
      </c>
      <c r="AX279" s="730">
        <f t="shared" si="256"/>
        <v>175.32063819924682</v>
      </c>
      <c r="AY279" s="360">
        <f t="shared" si="257"/>
        <v>-4.6793618007531848</v>
      </c>
      <c r="BB279" s="337">
        <f t="shared" si="258"/>
        <v>-17.714400725939214</v>
      </c>
      <c r="BC279" s="730">
        <f t="shared" si="259"/>
        <v>-89.9627288639049</v>
      </c>
      <c r="BD279" s="351"/>
      <c r="BE279" s="337">
        <f t="shared" si="220"/>
        <v>39.548172984624806</v>
      </c>
      <c r="BF279" s="730">
        <f t="shared" si="221"/>
        <v>-87.144173807332479</v>
      </c>
      <c r="BI279" s="351"/>
      <c r="BJ279" s="351"/>
      <c r="BL279" s="405">
        <f t="shared" si="222"/>
        <v>0</v>
      </c>
      <c r="BM279" s="405">
        <f t="shared" si="210"/>
        <v>0</v>
      </c>
      <c r="BN279" s="405">
        <f t="shared" si="223"/>
        <v>0</v>
      </c>
      <c r="BO279" s="405">
        <f t="shared" si="224"/>
        <v>0</v>
      </c>
    </row>
    <row r="280" spans="4:67" ht="13.5" thickBot="1" x14ac:dyDescent="0.25">
      <c r="D280" s="345">
        <v>18093.5</v>
      </c>
      <c r="E280" s="340" t="str">
        <f t="shared" si="211"/>
        <v>0.300127907258398i</v>
      </c>
      <c r="F280" s="728" t="str">
        <f t="shared" si="225"/>
        <v>0.005-0.144200813979384i</v>
      </c>
      <c r="G280" s="337" t="str">
        <f t="shared" si="226"/>
        <v>0.005-0.225544862890832i</v>
      </c>
      <c r="H280" s="338" t="str">
        <f t="shared" si="227"/>
        <v>0.0449183150493132-0.216328912394075i</v>
      </c>
      <c r="I280" s="338" t="str">
        <f t="shared" si="228"/>
        <v>0.0549183150493132-0.216328912394075i</v>
      </c>
      <c r="J280" s="337" t="str">
        <f t="shared" si="229"/>
        <v>0.010424413707035-0.0874957726822237i</v>
      </c>
      <c r="K280" s="338" t="str">
        <f t="shared" si="212"/>
        <v>0.996362502863889-0.0947373444628782i</v>
      </c>
      <c r="L280" s="732"/>
      <c r="M280" s="732" t="str">
        <f t="shared" si="213"/>
        <v>4.60024814240757-93.8336303211067i</v>
      </c>
      <c r="N280" s="337">
        <f t="shared" si="214"/>
        <v>0</v>
      </c>
      <c r="O280" s="730" t="str">
        <f t="shared" si="215"/>
        <v>-3.0025763560589-36.9677569953393i</v>
      </c>
      <c r="P280" s="731" t="str">
        <f t="shared" si="216"/>
        <v>-8.16209109873187-1.38066284785011i</v>
      </c>
      <c r="Q280" s="729" t="str">
        <f t="shared" si="217"/>
        <v>-8.13206533517127-1.01098527789672i</v>
      </c>
      <c r="R280" s="730"/>
      <c r="S280" s="405" t="str">
        <f t="shared" si="230"/>
        <v>39.8208360281476-1.56831113507524i</v>
      </c>
      <c r="T280" s="405" t="str">
        <f t="shared" si="231"/>
        <v>15.5080473987698-2.65238498242071i</v>
      </c>
      <c r="U280" s="405" t="str">
        <f t="shared" si="232"/>
        <v>0.122807800360175-3.47397969140406i</v>
      </c>
      <c r="V280" s="731" t="str">
        <f t="shared" si="218"/>
        <v>6000</v>
      </c>
      <c r="W280" s="733" t="str">
        <f>IMSUM(COMPLEX(1,0),IMDIV(COMPLEX(0,2*PI()*D280),COMPLEX(2*PI()*'Stability Calculations'!EA_Pole1,0)))</f>
        <v>1+114821.661489009i</v>
      </c>
      <c r="X280" s="734">
        <f t="shared" si="233"/>
        <v>114821.66149336359</v>
      </c>
      <c r="Y280" s="735">
        <f t="shared" si="234"/>
        <v>1.5707876176368247</v>
      </c>
      <c r="Z280" s="340" t="str">
        <f>IMSUM(COMPLEX(1,0),IMDIV(COMPLEX(0,2*PI()*D280),COMPLEX(2*PI()*'Stability Calculations'!EA_Zero1,0)))</f>
        <v>1+1136.84813355454i</v>
      </c>
      <c r="AA280" s="734">
        <f t="shared" si="235"/>
        <v>1136.8485733669377</v>
      </c>
      <c r="AB280" s="735">
        <f t="shared" si="236"/>
        <v>1.5699167020564893</v>
      </c>
      <c r="AC280" s="733" t="str">
        <f>IMSUM(COMPLEX(1,0),IMDIV(COMPLEX(0,2*PI()*D280),COMPLEX(2*PI()*'Stability Calculations'!EA_Pole2,0)))</f>
        <v>1+11.4519897970839i</v>
      </c>
      <c r="AD280" s="734">
        <f t="shared" si="237"/>
        <v>11.495567420206527</v>
      </c>
      <c r="AE280" s="735">
        <f t="shared" si="238"/>
        <v>1.4836961873135293</v>
      </c>
      <c r="AF280" s="732" t="str">
        <f t="shared" si="239"/>
        <v>0.445057144995489-5.14852745630878i</v>
      </c>
      <c r="AG280" s="337">
        <f t="shared" si="240"/>
        <v>5.1677278208780395</v>
      </c>
      <c r="AH280" s="730">
        <f t="shared" si="241"/>
        <v>-1.4845671028938645</v>
      </c>
      <c r="AI280" s="731" t="str">
        <f t="shared" si="219"/>
        <v>10000</v>
      </c>
      <c r="AJ280" s="733" t="str">
        <f t="shared" si="242"/>
        <v>1+107045.392885869i</v>
      </c>
      <c r="AK280" s="734">
        <f t="shared" si="243"/>
        <v>107045.39289053992</v>
      </c>
      <c r="AL280" s="735">
        <f t="shared" si="244"/>
        <v>1.5707869849636136</v>
      </c>
      <c r="AM280" s="340" t="str">
        <f t="shared" si="245"/>
        <v>1+181.668331742015i</v>
      </c>
      <c r="AN280" s="734">
        <f t="shared" si="246"/>
        <v>181.67108398951885</v>
      </c>
      <c r="AO280" s="735">
        <f t="shared" si="247"/>
        <v>1.5652918456857239</v>
      </c>
      <c r="AP280" s="733" t="str">
        <f t="shared" si="248"/>
        <v>1+8.81121353898794i</v>
      </c>
      <c r="AQ280" s="734">
        <f t="shared" si="249"/>
        <v>8.8677778518434014</v>
      </c>
      <c r="AR280" s="735">
        <f t="shared" si="250"/>
        <v>1.4577881224835068</v>
      </c>
      <c r="AS280" s="732" t="str">
        <f t="shared" si="251"/>
        <v>0.00836656310398416-12.9356558426817i</v>
      </c>
      <c r="AT280" s="337">
        <f t="shared" si="252"/>
        <v>12.93565854835707</v>
      </c>
      <c r="AU280" s="730">
        <f t="shared" si="253"/>
        <v>-1.5701495438223843</v>
      </c>
      <c r="AV280" s="732" t="str">
        <f t="shared" si="254"/>
        <v>-1.04815600074046+0.0866883572674245i</v>
      </c>
      <c r="AW280" s="337">
        <f t="shared" si="255"/>
        <v>0.4381240340362757</v>
      </c>
      <c r="AX280" s="730">
        <f t="shared" si="256"/>
        <v>175.27207932839326</v>
      </c>
      <c r="AY280" s="360">
        <f t="shared" si="257"/>
        <v>-4.7279206716067392</v>
      </c>
      <c r="BB280" s="337">
        <f t="shared" si="258"/>
        <v>-17.764229133092908</v>
      </c>
      <c r="BC280" s="730">
        <f t="shared" si="259"/>
        <v>-89.962942065414126</v>
      </c>
      <c r="BD280" s="351"/>
      <c r="BE280" s="337">
        <f t="shared" si="220"/>
        <v>39.457596156822412</v>
      </c>
      <c r="BF280" s="730">
        <f t="shared" si="221"/>
        <v>-87.193288393811542</v>
      </c>
      <c r="BI280" s="351"/>
      <c r="BJ280" s="351"/>
      <c r="BL280" s="405">
        <f t="shared" si="222"/>
        <v>0</v>
      </c>
      <c r="BM280" s="405">
        <f t="shared" si="210"/>
        <v>0</v>
      </c>
      <c r="BN280" s="405">
        <f t="shared" si="223"/>
        <v>0</v>
      </c>
      <c r="BO280" s="405">
        <f t="shared" si="224"/>
        <v>0</v>
      </c>
    </row>
    <row r="281" spans="4:67" ht="13.5" thickBot="1" x14ac:dyDescent="0.25">
      <c r="D281" s="345">
        <v>18197</v>
      </c>
      <c r="E281" s="340" t="str">
        <f t="shared" si="211"/>
        <v>0.301844724811732i</v>
      </c>
      <c r="F281" s="728" t="str">
        <f t="shared" si="225"/>
        <v>0.005-0.143380635694674i</v>
      </c>
      <c r="G281" s="337" t="str">
        <f t="shared" si="226"/>
        <v>0.005-0.224262019932696i</v>
      </c>
      <c r="H281" s="338" t="str">
        <f t="shared" si="227"/>
        <v>0.0444800521005488-0.215178939634925i</v>
      </c>
      <c r="I281" s="338" t="str">
        <f t="shared" si="228"/>
        <v>0.0544800521005488-0.215178939634925i</v>
      </c>
      <c r="J281" s="337" t="str">
        <f t="shared" si="229"/>
        <v>0.0103533995112441-0.0870034320130175i</v>
      </c>
      <c r="K281" s="338" t="str">
        <f t="shared" si="212"/>
        <v>0.996320768788889-0.0952792691956224i</v>
      </c>
      <c r="L281" s="732"/>
      <c r="M281" s="732" t="str">
        <f t="shared" si="213"/>
        <v>4.4757934185754-92.8762811965682i</v>
      </c>
      <c r="N281" s="337">
        <f t="shared" si="214"/>
        <v>0</v>
      </c>
      <c r="O281" s="730" t="str">
        <f t="shared" si="215"/>
        <v>-2.98353426188823-36.5819835837044i</v>
      </c>
      <c r="P281" s="731" t="str">
        <f t="shared" si="216"/>
        <v>-8.03421553931521-1.35099463274405i</v>
      </c>
      <c r="Q281" s="729" t="str">
        <f t="shared" si="217"/>
        <v>-8.00438019669634-0.985174796907002i</v>
      </c>
      <c r="R281" s="730"/>
      <c r="S281" s="405" t="str">
        <f t="shared" si="230"/>
        <v>39.8215706834204-1.60233638617528i</v>
      </c>
      <c r="T281" s="405" t="str">
        <f t="shared" si="231"/>
        <v>15.5053229046462-2.65755995933919i</v>
      </c>
      <c r="U281" s="405" t="str">
        <f t="shared" si="232"/>
        <v>0.117826636567646-3.45462734677063i</v>
      </c>
      <c r="V281" s="731" t="str">
        <f t="shared" si="218"/>
        <v>6000</v>
      </c>
      <c r="W281" s="733" t="str">
        <f>IMSUM(COMPLEX(1,0),IMDIV(COMPLEX(0,2*PI()*D281),COMPLEX(2*PI()*'Stability Calculations'!EA_Pole1,0)))</f>
        <v>1+115478.474265094i</v>
      </c>
      <c r="X281" s="734">
        <f t="shared" si="233"/>
        <v>115478.47426942381</v>
      </c>
      <c r="Y281" s="735">
        <f t="shared" si="234"/>
        <v>1.5707876671723451</v>
      </c>
      <c r="Z281" s="340" t="str">
        <f>IMSUM(COMPLEX(1,0),IMDIV(COMPLEX(0,2*PI()*D281),COMPLEX(2*PI()*'Stability Calculations'!EA_Zero1,0)))</f>
        <v>1+1143.35123034747i</v>
      </c>
      <c r="AA281" s="734">
        <f t="shared" si="235"/>
        <v>1143.3516676583254</v>
      </c>
      <c r="AB281" s="735">
        <f t="shared" si="236"/>
        <v>1.5699217051401768</v>
      </c>
      <c r="AC281" s="733" t="str">
        <f>IMSUM(COMPLEX(1,0),IMDIV(COMPLEX(0,2*PI()*D281),COMPLEX(2*PI()*'Stability Calculations'!EA_Pole2,0)))</f>
        <v>1+11.5174984573209i</v>
      </c>
      <c r="AD281" s="734">
        <f t="shared" si="237"/>
        <v>11.560829153412365</v>
      </c>
      <c r="AE281" s="735">
        <f t="shared" si="238"/>
        <v>1.484189110604065</v>
      </c>
      <c r="AF281" s="732" t="str">
        <f t="shared" si="239"/>
        <v>0.440046566715187-5.11967895557593i</v>
      </c>
      <c r="AG281" s="337">
        <f t="shared" si="240"/>
        <v>5.1385555936512812</v>
      </c>
      <c r="AH281" s="730">
        <f t="shared" si="241"/>
        <v>-1.485055072636233</v>
      </c>
      <c r="AI281" s="731" t="str">
        <f t="shared" si="219"/>
        <v>10000</v>
      </c>
      <c r="AJ281" s="733" t="str">
        <f t="shared" si="242"/>
        <v>1+107657.723179272i</v>
      </c>
      <c r="AK281" s="734">
        <f t="shared" si="243"/>
        <v>107657.72318391634</v>
      </c>
      <c r="AL281" s="735">
        <f t="shared" si="244"/>
        <v>1.5707870380976212</v>
      </c>
      <c r="AM281" s="340" t="str">
        <f t="shared" si="245"/>
        <v>1+182.707526609526i</v>
      </c>
      <c r="AN281" s="734">
        <f t="shared" si="246"/>
        <v>182.71026320316724</v>
      </c>
      <c r="AO281" s="735">
        <f t="shared" si="247"/>
        <v>1.5653231531751399</v>
      </c>
      <c r="AP281" s="733" t="str">
        <f t="shared" si="248"/>
        <v>1+8.86161620299906i</v>
      </c>
      <c r="AQ281" s="734">
        <f t="shared" si="249"/>
        <v>8.9178608269727722</v>
      </c>
      <c r="AR281" s="735">
        <f t="shared" si="250"/>
        <v>1.4584254725353671</v>
      </c>
      <c r="AS281" s="732" t="str">
        <f t="shared" si="251"/>
        <v>0.00827165995503056-12.8620811177761i</v>
      </c>
      <c r="AT281" s="337">
        <f t="shared" si="252"/>
        <v>12.862083777545957</v>
      </c>
      <c r="AU281" s="730">
        <f t="shared" si="253"/>
        <v>-1.5701532225616899</v>
      </c>
      <c r="AV281" s="732" t="str">
        <f t="shared" si="254"/>
        <v>-1.03611893261981+0.086574494676928i</v>
      </c>
      <c r="AW281" s="337">
        <f t="shared" si="255"/>
        <v>0.33840793825411936</v>
      </c>
      <c r="AX281" s="730">
        <f t="shared" si="256"/>
        <v>175.2236589510583</v>
      </c>
      <c r="AY281" s="360">
        <f t="shared" si="257"/>
        <v>-4.7763410489417026</v>
      </c>
      <c r="BB281" s="337">
        <f t="shared" si="258"/>
        <v>-17.813773319093258</v>
      </c>
      <c r="BC281" s="730">
        <f t="shared" si="259"/>
        <v>-89.963152841650256</v>
      </c>
      <c r="BD281" s="351"/>
      <c r="BE281" s="337">
        <f t="shared" si="220"/>
        <v>39.368170563572839</v>
      </c>
      <c r="BF281" s="730">
        <f t="shared" si="221"/>
        <v>-87.240998166317937</v>
      </c>
      <c r="BI281" s="351"/>
      <c r="BJ281" s="351"/>
      <c r="BL281" s="405">
        <f t="shared" si="222"/>
        <v>0</v>
      </c>
      <c r="BM281" s="405">
        <f t="shared" si="210"/>
        <v>0</v>
      </c>
      <c r="BN281" s="405">
        <f t="shared" si="223"/>
        <v>0</v>
      </c>
      <c r="BO281" s="405">
        <f t="shared" si="224"/>
        <v>0</v>
      </c>
    </row>
    <row r="282" spans="4:67" ht="13.5" thickBot="1" x14ac:dyDescent="0.25">
      <c r="D282" s="345">
        <v>18303</v>
      </c>
      <c r="E282" s="340" t="str">
        <f t="shared" si="211"/>
        <v>0.303603011388093i</v>
      </c>
      <c r="F282" s="728" t="str">
        <f t="shared" si="225"/>
        <v>0.005-0.142550261035677i</v>
      </c>
      <c r="G282" s="337" t="str">
        <f t="shared" si="226"/>
        <v>0.005-0.222963228799392i</v>
      </c>
      <c r="H282" s="338" t="str">
        <f t="shared" si="227"/>
        <v>0.0440385561298023-0.214013328545345i</v>
      </c>
      <c r="I282" s="338" t="str">
        <f t="shared" si="228"/>
        <v>0.0540385561298023-0.214013328545345i</v>
      </c>
      <c r="J282" s="337" t="str">
        <f t="shared" si="229"/>
        <v>0.0102819064497435-0.086504884068231i</v>
      </c>
      <c r="K282" s="338" t="str">
        <f t="shared" si="212"/>
        <v>0.9962777799-0.0958342838977566i</v>
      </c>
      <c r="L282" s="732"/>
      <c r="M282" s="732" t="str">
        <f t="shared" si="213"/>
        <v>4.35329847245392-91.918065064455i</v>
      </c>
      <c r="N282" s="337">
        <f t="shared" si="214"/>
        <v>0</v>
      </c>
      <c r="O282" s="730" t="str">
        <f t="shared" si="215"/>
        <v>-2.9638713697582-36.196054132758i</v>
      </c>
      <c r="P282" s="731" t="str">
        <f t="shared" si="216"/>
        <v>-7.90660135453521-1.3216745257082i</v>
      </c>
      <c r="Q282" s="729" t="str">
        <f t="shared" si="217"/>
        <v>-7.87696264083761-0.959713984380625i</v>
      </c>
      <c r="R282" s="730"/>
      <c r="S282" s="405" t="str">
        <f t="shared" si="230"/>
        <v>39.8222536006104-1.63704463102117i</v>
      </c>
      <c r="T282" s="405" t="str">
        <f t="shared" si="231"/>
        <v>15.5025456814595-2.66291290695566i</v>
      </c>
      <c r="U282" s="405" t="str">
        <f t="shared" si="232"/>
        <v>0.11281087330384-3.43502224173716i</v>
      </c>
      <c r="V282" s="731" t="str">
        <f t="shared" si="218"/>
        <v>6000</v>
      </c>
      <c r="W282" s="733" t="str">
        <f>IMSUM(COMPLEX(1,0),IMDIV(COMPLEX(0,2*PI()*D282),COMPLEX(2*PI()*'Stability Calculations'!EA_Pole1,0)))</f>
        <v>1+116151.152084081i</v>
      </c>
      <c r="X282" s="734">
        <f t="shared" si="233"/>
        <v>116151.15208838573</v>
      </c>
      <c r="Y282" s="735">
        <f t="shared" si="234"/>
        <v>1.5707877173236857</v>
      </c>
      <c r="Z282" s="340" t="str">
        <f>IMSUM(COMPLEX(1,0),IMDIV(COMPLEX(0,2*PI()*D282),COMPLEX(2*PI()*'Stability Calculations'!EA_Zero1,0)))</f>
        <v>1+1150.01140677308i</v>
      </c>
      <c r="AA282" s="734">
        <f t="shared" si="235"/>
        <v>1150.0118415512939</v>
      </c>
      <c r="AB282" s="735">
        <f t="shared" si="236"/>
        <v>1.5699267704217446</v>
      </c>
      <c r="AC282" s="733" t="str">
        <f>IMSUM(COMPLEX(1,0),IMDIV(COMPLEX(0,2*PI()*D282),COMPLEX(2*PI()*'Stability Calculations'!EA_Pole2,0)))</f>
        <v>1+11.5845894523462i</v>
      </c>
      <c r="AD282" s="734">
        <f t="shared" si="237"/>
        <v>11.627670135474725</v>
      </c>
      <c r="AE282" s="735">
        <f t="shared" si="238"/>
        <v>1.4846882048523553</v>
      </c>
      <c r="AF282" s="732" t="str">
        <f t="shared" si="239"/>
        <v>0.435001943900714-5.0904643045896i</v>
      </c>
      <c r="AG282" s="337">
        <f t="shared" si="240"/>
        <v>5.1090168846362483</v>
      </c>
      <c r="AH282" s="730">
        <f t="shared" si="241"/>
        <v>-1.4855491517542967</v>
      </c>
      <c r="AI282" s="731" t="str">
        <f t="shared" si="219"/>
        <v>10000</v>
      </c>
      <c r="AJ282" s="733" t="str">
        <f t="shared" si="242"/>
        <v>1+108284.844059472i</v>
      </c>
      <c r="AK282" s="734">
        <f t="shared" si="243"/>
        <v>108284.84406408944</v>
      </c>
      <c r="AL282" s="735">
        <f t="shared" si="244"/>
        <v>1.5707870918921856</v>
      </c>
      <c r="AM282" s="340" t="str">
        <f t="shared" si="245"/>
        <v>1+183.771822802338i</v>
      </c>
      <c r="AN282" s="734">
        <f t="shared" si="246"/>
        <v>183.77454354750529</v>
      </c>
      <c r="AO282" s="735">
        <f t="shared" si="247"/>
        <v>1.5653548498870586</v>
      </c>
      <c r="AP282" s="733" t="str">
        <f t="shared" si="248"/>
        <v>1+8.91323632266262i</v>
      </c>
      <c r="AQ282" s="734">
        <f t="shared" si="249"/>
        <v>8.9691572482386697</v>
      </c>
      <c r="AR282" s="735">
        <f t="shared" si="250"/>
        <v>1.4590708394669547</v>
      </c>
      <c r="AS282" s="732" t="str">
        <f t="shared" si="251"/>
        <v>0.00817612844001719-12.7875917181957i</v>
      </c>
      <c r="AT282" s="337">
        <f t="shared" si="252"/>
        <v>12.787594332021309</v>
      </c>
      <c r="AU282" s="730">
        <f t="shared" si="253"/>
        <v>-1.5701569470347319</v>
      </c>
      <c r="AV282" s="732" t="str">
        <f t="shared" si="254"/>
        <v>-1.02400327418663+0.0864521530819513i</v>
      </c>
      <c r="AW282" s="337">
        <f t="shared" si="255"/>
        <v>0.23687228130082341</v>
      </c>
      <c r="AX282" s="730">
        <f t="shared" si="256"/>
        <v>175.17420982418957</v>
      </c>
      <c r="AY282" s="360">
        <f t="shared" si="257"/>
        <v>-4.8257901758104254</v>
      </c>
      <c r="BB282" s="337">
        <f t="shared" si="258"/>
        <v>-17.864222990952136</v>
      </c>
      <c r="BC282" s="730">
        <f t="shared" si="259"/>
        <v>-89.963366238236475</v>
      </c>
      <c r="BD282" s="351"/>
      <c r="BE282" s="337">
        <f t="shared" si="220"/>
        <v>39.277747919938029</v>
      </c>
      <c r="BF282" s="730">
        <f t="shared" si="221"/>
        <v>-87.288461304219894</v>
      </c>
      <c r="BI282" s="351"/>
      <c r="BJ282" s="351"/>
      <c r="BL282" s="405">
        <f t="shared" si="222"/>
        <v>0</v>
      </c>
      <c r="BM282" s="405">
        <f t="shared" ref="BM282:BM345" si="260">IF(BL282&gt;0,AY282,0)</f>
        <v>0</v>
      </c>
      <c r="BN282" s="405">
        <f t="shared" si="223"/>
        <v>0</v>
      </c>
      <c r="BO282" s="405">
        <f t="shared" si="224"/>
        <v>0</v>
      </c>
    </row>
    <row r="283" spans="4:67" ht="13.5" thickBot="1" x14ac:dyDescent="0.25">
      <c r="D283" s="345">
        <v>18409</v>
      </c>
      <c r="E283" s="340" t="str">
        <f t="shared" si="211"/>
        <v>0.305361297964454i</v>
      </c>
      <c r="F283" s="728" t="str">
        <f t="shared" si="225"/>
        <v>0.005-0.141729449059481i</v>
      </c>
      <c r="G283" s="337" t="str">
        <f t="shared" si="226"/>
        <v>0.005-0.221679394682778i</v>
      </c>
      <c r="H283" s="338" t="str">
        <f t="shared" si="227"/>
        <v>0.0436043405031695-0.212859819690937i</v>
      </c>
      <c r="I283" s="338" t="str">
        <f t="shared" si="228"/>
        <v>0.0536043405031695-0.212859819690937i</v>
      </c>
      <c r="J283" s="337" t="str">
        <f t="shared" si="229"/>
        <v>0.0102116363228008-0.0860119923787208i</v>
      </c>
      <c r="K283" s="338" t="str">
        <f t="shared" si="212"/>
        <v>0.996234541322222-0.0963892985998908i</v>
      </c>
      <c r="L283" s="732"/>
      <c r="M283" s="732" t="str">
        <f t="shared" si="213"/>
        <v>4.23557700039156-90.9815865373445i</v>
      </c>
      <c r="N283" s="337">
        <f t="shared" si="214"/>
        <v>0</v>
      </c>
      <c r="O283" s="730" t="str">
        <f t="shared" si="215"/>
        <v>-2.94407899092225-35.8190660608541i</v>
      </c>
      <c r="P283" s="731" t="str">
        <f t="shared" si="216"/>
        <v>-7.7822553559088-1.29338129046796i</v>
      </c>
      <c r="Q283" s="729" t="str">
        <f t="shared" si="217"/>
        <v>-7.75281456599957-0.93519062985942i</v>
      </c>
      <c r="R283" s="730"/>
      <c r="S283" s="405" t="str">
        <f t="shared" si="230"/>
        <v>39.8228674367368-1.6716145686011i</v>
      </c>
      <c r="T283" s="405" t="str">
        <f t="shared" si="231"/>
        <v>15.499781208754-2.66831856948373i</v>
      </c>
      <c r="U283" s="405" t="str">
        <f t="shared" si="232"/>
        <v>0.107879927972849-3.41563090481903i</v>
      </c>
      <c r="V283" s="731" t="str">
        <f t="shared" si="218"/>
        <v>6000</v>
      </c>
      <c r="W283" s="733" t="str">
        <f>IMSUM(COMPLEX(1,0),IMDIV(COMPLEX(0,2*PI()*D283),COMPLEX(2*PI()*'Stability Calculations'!EA_Pole1,0)))</f>
        <v>1+116823.829903068i</v>
      </c>
      <c r="X283" s="734">
        <f t="shared" si="233"/>
        <v>116823.82990734797</v>
      </c>
      <c r="Y283" s="735">
        <f t="shared" si="234"/>
        <v>1.5707877668974783</v>
      </c>
      <c r="Z283" s="340" t="str">
        <f>IMSUM(COMPLEX(1,0),IMDIV(COMPLEX(0,2*PI()*D283),COMPLEX(2*PI()*'Stability Calculations'!EA_Zero1,0)))</f>
        <v>1+1156.67158319869i</v>
      </c>
      <c r="AA283" s="734">
        <f t="shared" si="235"/>
        <v>1156.6720154734289</v>
      </c>
      <c r="AB283" s="735">
        <f t="shared" si="236"/>
        <v>1.5699317773710351</v>
      </c>
      <c r="AC283" s="733" t="str">
        <f>IMSUM(COMPLEX(1,0),IMDIV(COMPLEX(0,2*PI()*D283),COMPLEX(2*PI()*'Stability Calculations'!EA_Pole2,0)))</f>
        <v>1+11.6516804473715i</v>
      </c>
      <c r="AD283" s="734">
        <f t="shared" si="237"/>
        <v>11.694513980822775</v>
      </c>
      <c r="AE283" s="735">
        <f t="shared" si="238"/>
        <v>1.4851815937473494</v>
      </c>
      <c r="AF283" s="732" t="str">
        <f t="shared" si="239"/>
        <v>0.430043361993868-5.06157870821527i</v>
      </c>
      <c r="AG283" s="337">
        <f t="shared" si="240"/>
        <v>5.0798145943186892</v>
      </c>
      <c r="AH283" s="730">
        <f t="shared" si="241"/>
        <v>-1.4860375832737927</v>
      </c>
      <c r="AI283" s="731" t="str">
        <f t="shared" si="219"/>
        <v>10000</v>
      </c>
      <c r="AJ283" s="733" t="str">
        <f t="shared" si="242"/>
        <v>1+108911.964939672i</v>
      </c>
      <c r="AK283" s="734">
        <f t="shared" si="243"/>
        <v>108911.96494426287</v>
      </c>
      <c r="AL283" s="735">
        <f t="shared" si="244"/>
        <v>1.5707871450672459</v>
      </c>
      <c r="AM283" s="340" t="str">
        <f t="shared" si="245"/>
        <v>1+184.836118995151i</v>
      </c>
      <c r="AN283" s="734">
        <f t="shared" si="246"/>
        <v>184.838824074353</v>
      </c>
      <c r="AO283" s="735">
        <f t="shared" si="247"/>
        <v>1.5653861815870211</v>
      </c>
      <c r="AP283" s="733" t="str">
        <f t="shared" si="248"/>
        <v>1+8.96485644232618i</v>
      </c>
      <c r="AQ283" s="734">
        <f t="shared" si="249"/>
        <v>9.0204573626572397</v>
      </c>
      <c r="AR283" s="735">
        <f t="shared" si="250"/>
        <v>1.4597088661476216</v>
      </c>
      <c r="AS283" s="732" t="str">
        <f t="shared" si="251"/>
        <v>0.0080822423950852-12.7139601454095i</v>
      </c>
      <c r="AT283" s="337">
        <f t="shared" si="252"/>
        <v>12.713962714342971</v>
      </c>
      <c r="AU283" s="730">
        <f t="shared" si="253"/>
        <v>-1.5701606286163639</v>
      </c>
      <c r="AV283" s="732" t="str">
        <f t="shared" si="254"/>
        <v>-1.01209738619644+0.0863242842928522i</v>
      </c>
      <c r="AW283" s="337">
        <f t="shared" si="255"/>
        <v>0.1359257766731056</v>
      </c>
      <c r="AX283" s="730">
        <f t="shared" si="256"/>
        <v>175.12490049151327</v>
      </c>
      <c r="AY283" s="360">
        <f t="shared" si="257"/>
        <v>-4.875099508486727</v>
      </c>
      <c r="BB283" s="337">
        <f t="shared" si="258"/>
        <v>-17.91438133078519</v>
      </c>
      <c r="BC283" s="730">
        <f t="shared" si="259"/>
        <v>-89.963577177325917</v>
      </c>
      <c r="BD283" s="351"/>
      <c r="BE283" s="337">
        <f t="shared" si="220"/>
        <v>39.188472375960551</v>
      </c>
      <c r="BF283" s="730">
        <f t="shared" si="221"/>
        <v>-87.334564030777329</v>
      </c>
      <c r="BI283" s="351"/>
      <c r="BJ283" s="351"/>
      <c r="BL283" s="405">
        <f t="shared" si="222"/>
        <v>0</v>
      </c>
      <c r="BM283" s="405">
        <f t="shared" si="260"/>
        <v>0</v>
      </c>
      <c r="BN283" s="405">
        <f t="shared" si="223"/>
        <v>0</v>
      </c>
      <c r="BO283" s="405">
        <f t="shared" si="224"/>
        <v>0</v>
      </c>
    </row>
    <row r="284" spans="4:67" ht="13.5" thickBot="1" x14ac:dyDescent="0.25">
      <c r="D284" s="345">
        <v>18515</v>
      </c>
      <c r="E284" s="340" t="str">
        <f t="shared" si="211"/>
        <v>0.307119584540815i</v>
      </c>
      <c r="F284" s="728" t="str">
        <f t="shared" si="225"/>
        <v>0.005-0.140918035524493i</v>
      </c>
      <c r="G284" s="337" t="str">
        <f t="shared" si="226"/>
        <v>0.005-0.220410260692156i</v>
      </c>
      <c r="H284" s="338" t="str">
        <f t="shared" si="227"/>
        <v>0.0431772478014526-0.211718233613835i</v>
      </c>
      <c r="I284" s="338" t="str">
        <f t="shared" si="228"/>
        <v>0.0531772478014526-0.211718233613835i</v>
      </c>
      <c r="J284" s="337" t="str">
        <f t="shared" si="229"/>
        <v>0.0101425614336811-0.085524661743198i</v>
      </c>
      <c r="K284" s="338" t="str">
        <f t="shared" si="212"/>
        <v>0.996191053055556-0.096944313302025i</v>
      </c>
      <c r="L284" s="732"/>
      <c r="M284" s="732" t="str">
        <f t="shared" si="213"/>
        <v>4.12239073766146-90.0660906248176i</v>
      </c>
      <c r="N284" s="337">
        <f t="shared" si="214"/>
        <v>0</v>
      </c>
      <c r="O284" s="730" t="str">
        <f t="shared" si="215"/>
        <v>-2.92418769044134-35.4507023432221i</v>
      </c>
      <c r="P284" s="731" t="str">
        <f t="shared" si="216"/>
        <v>-7.66106033390937-1.26606693066549i</v>
      </c>
      <c r="Q284" s="729" t="str">
        <f t="shared" si="217"/>
        <v>-7.63181845700495-0.911559907233269i</v>
      </c>
      <c r="R284" s="730"/>
      <c r="S284" s="405" t="str">
        <f t="shared" si="230"/>
        <v>39.8234133988867-1.7060483917546i</v>
      </c>
      <c r="T284" s="405" t="str">
        <f t="shared" si="231"/>
        <v>15.4970290105901-2.67377606994499i</v>
      </c>
      <c r="U284" s="405" t="str">
        <f t="shared" si="232"/>
        <v>0.103031915168849-3.39644990032207i</v>
      </c>
      <c r="V284" s="731" t="str">
        <f t="shared" si="218"/>
        <v>6000</v>
      </c>
      <c r="W284" s="733" t="str">
        <f>IMSUM(COMPLEX(1,0),IMDIV(COMPLEX(0,2*PI()*D284),COMPLEX(2*PI()*'Stability Calculations'!EA_Pole1,0)))</f>
        <v>1+117496.507722054i</v>
      </c>
      <c r="X284" s="734">
        <f t="shared" si="233"/>
        <v>117496.50772630944</v>
      </c>
      <c r="Y284" s="735">
        <f t="shared" si="234"/>
        <v>1.5707878159036424</v>
      </c>
      <c r="Z284" s="340" t="str">
        <f>IMSUM(COMPLEX(1,0),IMDIV(COMPLEX(0,2*PI()*D284),COMPLEX(2*PI()*'Stability Calculations'!EA_Zero1,0)))</f>
        <v>1+1163.3317596243i</v>
      </c>
      <c r="AA284" s="734">
        <f t="shared" si="235"/>
        <v>1163.3321894242292</v>
      </c>
      <c r="AB284" s="735">
        <f t="shared" si="236"/>
        <v>1.56993672698992</v>
      </c>
      <c r="AC284" s="733" t="str">
        <f>IMSUM(COMPLEX(1,0),IMDIV(COMPLEX(0,2*PI()*D284),COMPLEX(2*PI()*'Stability Calculations'!EA_Pole2,0)))</f>
        <v>1+11.7187714423969i</v>
      </c>
      <c r="AD284" s="734">
        <f t="shared" si="237"/>
        <v>11.761360640637507</v>
      </c>
      <c r="AE284" s="735">
        <f t="shared" si="238"/>
        <v>1.4856693743272953</v>
      </c>
      <c r="AF284" s="732" t="str">
        <f t="shared" si="239"/>
        <v>0.425168880111977-5.03301668047488i</v>
      </c>
      <c r="AG284" s="337">
        <f t="shared" si="240"/>
        <v>5.0509430290346824</v>
      </c>
      <c r="AH284" s="730">
        <f t="shared" si="241"/>
        <v>-1.4865204632410176</v>
      </c>
      <c r="AI284" s="731" t="str">
        <f t="shared" si="219"/>
        <v>10000</v>
      </c>
      <c r="AJ284" s="733" t="str">
        <f t="shared" si="242"/>
        <v>1+109539.085819873i</v>
      </c>
      <c r="AK284" s="734">
        <f t="shared" si="243"/>
        <v>109539.08582443757</v>
      </c>
      <c r="AL284" s="735">
        <f t="shared" si="244"/>
        <v>1.5707871976334427</v>
      </c>
      <c r="AM284" s="340" t="str">
        <f t="shared" si="245"/>
        <v>1+185.900415187963i</v>
      </c>
      <c r="AN284" s="734">
        <f t="shared" si="246"/>
        <v>185.90310478057387</v>
      </c>
      <c r="AO284" s="735">
        <f t="shared" si="247"/>
        <v>1.5654171545439599</v>
      </c>
      <c r="AP284" s="733" t="str">
        <f t="shared" si="248"/>
        <v>1+9.01647656198975i</v>
      </c>
      <c r="AQ284" s="734">
        <f t="shared" si="249"/>
        <v>9.0717611075750071</v>
      </c>
      <c r="AR284" s="735">
        <f t="shared" si="250"/>
        <v>1.4603396765879408</v>
      </c>
      <c r="AS284" s="732" t="str">
        <f t="shared" si="251"/>
        <v>0.00798996424649139-12.6411716660403i</v>
      </c>
      <c r="AT284" s="337">
        <f t="shared" si="252"/>
        <v>12.641174191103799</v>
      </c>
      <c r="AU284" s="730">
        <f t="shared" si="253"/>
        <v>-1.570164268043257</v>
      </c>
      <c r="AV284" s="732" t="str">
        <f t="shared" si="254"/>
        <v>-1.00039644990966+0.0861911489727271i</v>
      </c>
      <c r="AW284" s="337">
        <f t="shared" si="255"/>
        <v>3.5561573419435152E-2</v>
      </c>
      <c r="AX284" s="730">
        <f t="shared" si="256"/>
        <v>175.07572828967446</v>
      </c>
      <c r="AY284" s="360">
        <f t="shared" si="257"/>
        <v>-4.9242717103255416</v>
      </c>
      <c r="BB284" s="337">
        <f t="shared" si="258"/>
        <v>-17.964251683995265</v>
      </c>
      <c r="BC284" s="730">
        <f t="shared" si="259"/>
        <v>-89.963785701126753</v>
      </c>
      <c r="BD284" s="351"/>
      <c r="BE284" s="337">
        <f t="shared" si="220"/>
        <v>39.100315024153495</v>
      </c>
      <c r="BF284" s="730">
        <f t="shared" si="221"/>
        <v>-87.379359356386303</v>
      </c>
      <c r="BI284" s="351"/>
      <c r="BJ284" s="351"/>
      <c r="BL284" s="405">
        <f t="shared" si="222"/>
        <v>18515</v>
      </c>
      <c r="BM284" s="405">
        <f t="shared" si="260"/>
        <v>-4.9242717103255416</v>
      </c>
      <c r="BN284" s="405">
        <f t="shared" si="223"/>
        <v>0</v>
      </c>
      <c r="BO284" s="405">
        <f t="shared" si="224"/>
        <v>0</v>
      </c>
    </row>
    <row r="285" spans="4:67" ht="13.5" thickBot="1" x14ac:dyDescent="0.25">
      <c r="D285" s="345">
        <v>18621</v>
      </c>
      <c r="E285" s="340" t="str">
        <f t="shared" si="211"/>
        <v>0.308877871117176i</v>
      </c>
      <c r="F285" s="728" t="str">
        <f t="shared" si="225"/>
        <v>0.005-0.140115859928897i</v>
      </c>
      <c r="G285" s="337" t="str">
        <f t="shared" si="226"/>
        <v>0.005-0.219155575786223i</v>
      </c>
      <c r="H285" s="338" t="str">
        <f t="shared" si="227"/>
        <v>0.0427571247883127-0.210588394192053i</v>
      </c>
      <c r="I285" s="338" t="str">
        <f t="shared" si="228"/>
        <v>0.0527571247883127-0.210588394192053i</v>
      </c>
      <c r="J285" s="337" t="str">
        <f t="shared" si="229"/>
        <v>0.0100746548639948-0.0850427990737076i</v>
      </c>
      <c r="K285" s="338" t="str">
        <f t="shared" si="212"/>
        <v>0.9961473151-0.0974993280041592i</v>
      </c>
      <c r="L285" s="732"/>
      <c r="M285" s="732" t="str">
        <f t="shared" si="213"/>
        <v>4.01351584697054-89.1708570548521i</v>
      </c>
      <c r="N285" s="337">
        <f t="shared" si="214"/>
        <v>0</v>
      </c>
      <c r="O285" s="730" t="str">
        <f t="shared" si="215"/>
        <v>-2.90422529880602-35.0906608345896i</v>
      </c>
      <c r="P285" s="731" t="str">
        <f t="shared" si="216"/>
        <v>-7.54290449279667-1.23968623050731i</v>
      </c>
      <c r="Q285" s="729" t="str">
        <f t="shared" si="217"/>
        <v>-7.51386223980862-0.888779622161411i</v>
      </c>
      <c r="R285" s="730"/>
      <c r="S285" s="405" t="str">
        <f t="shared" si="230"/>
        <v>39.8238926609225-1.74034824732836i</v>
      </c>
      <c r="T285" s="405" t="str">
        <f t="shared" si="231"/>
        <v>15.494288624152-2.67928454951895i</v>
      </c>
      <c r="U285" s="405" t="str">
        <f t="shared" si="232"/>
        <v>0.0982650013422249-3.37747586433553i</v>
      </c>
      <c r="V285" s="731" t="str">
        <f t="shared" si="218"/>
        <v>6000</v>
      </c>
      <c r="W285" s="733" t="str">
        <f>IMSUM(COMPLEX(1,0),IMDIV(COMPLEX(0,2*PI()*D285),COMPLEX(2*PI()*'Stability Calculations'!EA_Pole1,0)))</f>
        <v>1+118169.185541041i</v>
      </c>
      <c r="X285" s="734">
        <f t="shared" si="233"/>
        <v>118169.18554527222</v>
      </c>
      <c r="Y285" s="735">
        <f t="shared" si="234"/>
        <v>1.5707878643518713</v>
      </c>
      <c r="Z285" s="340" t="str">
        <f>IMSUM(COMPLEX(1,0),IMDIV(COMPLEX(0,2*PI()*D285),COMPLEX(2*PI()*'Stability Calculations'!EA_Zero1,0)))</f>
        <v>1+1169.99193604991i</v>
      </c>
      <c r="AA285" s="734">
        <f t="shared" si="235"/>
        <v>1169.9923634032048</v>
      </c>
      <c r="AB285" s="735">
        <f t="shared" si="236"/>
        <v>1.5699416202574581</v>
      </c>
      <c r="AC285" s="733" t="str">
        <f>IMSUM(COMPLEX(1,0),IMDIV(COMPLEX(0,2*PI()*D285),COMPLEX(2*PI()*'Stability Calculations'!EA_Pole2,0)))</f>
        <v>1+11.7858624374222i</v>
      </c>
      <c r="AD285" s="734">
        <f t="shared" si="237"/>
        <v>11.828210067201189</v>
      </c>
      <c r="AE285" s="735">
        <f t="shared" si="238"/>
        <v>1.4861516414475315</v>
      </c>
      <c r="AF285" s="732" t="str">
        <f t="shared" si="239"/>
        <v>0.420376611660353-5.00477285569979i</v>
      </c>
      <c r="AG285" s="337">
        <f t="shared" si="240"/>
        <v>5.0223966224085164</v>
      </c>
      <c r="AH285" s="730">
        <f t="shared" si="241"/>
        <v>-1.486997885541945</v>
      </c>
      <c r="AI285" s="731" t="str">
        <f t="shared" si="219"/>
        <v>10000</v>
      </c>
      <c r="AJ285" s="733" t="str">
        <f t="shared" si="242"/>
        <v>1+110166.206700073i</v>
      </c>
      <c r="AK285" s="734">
        <f t="shared" si="243"/>
        <v>110166.2067046116</v>
      </c>
      <c r="AL285" s="735">
        <f t="shared" si="244"/>
        <v>1.5707872496011734</v>
      </c>
      <c r="AM285" s="340" t="str">
        <f t="shared" si="245"/>
        <v>1+186.964711380776i</v>
      </c>
      <c r="AN285" s="734">
        <f t="shared" si="246"/>
        <v>186.96738566310668</v>
      </c>
      <c r="AO285" s="735">
        <f t="shared" si="247"/>
        <v>1.5654477748840709</v>
      </c>
      <c r="AP285" s="733" t="str">
        <f t="shared" si="248"/>
        <v>1+9.06809668165331i</v>
      </c>
      <c r="AQ285" s="734">
        <f t="shared" si="249"/>
        <v>9.1230684217434082</v>
      </c>
      <c r="AR285" s="735">
        <f t="shared" si="250"/>
        <v>1.4609633920320579</v>
      </c>
      <c r="AS285" s="732" t="str">
        <f t="shared" si="251"/>
        <v>0.00789925748688125-12.5692118821888i</v>
      </c>
      <c r="AT285" s="337">
        <f t="shared" si="252"/>
        <v>12.56921436437556</v>
      </c>
      <c r="AU285" s="730">
        <f t="shared" si="253"/>
        <v>-1.570167866035308</v>
      </c>
      <c r="AV285" s="732" t="str">
        <f t="shared" si="254"/>
        <v>-0.988895784245899+0.0860529968834628i</v>
      </c>
      <c r="AW285" s="337">
        <f t="shared" si="255"/>
        <v>-6.4227060663015589E-2</v>
      </c>
      <c r="AX285" s="730">
        <f t="shared" si="256"/>
        <v>175.02669062275407</v>
      </c>
      <c r="AY285" s="360">
        <f t="shared" si="257"/>
        <v>-4.9733093772459256</v>
      </c>
      <c r="BB285" s="337">
        <f t="shared" si="258"/>
        <v>-18.013837338690493</v>
      </c>
      <c r="BC285" s="730">
        <f t="shared" si="259"/>
        <v>-89.963991850885989</v>
      </c>
      <c r="BD285" s="351"/>
      <c r="BE285" s="337">
        <f t="shared" si="220"/>
        <v>39.013248006757884</v>
      </c>
      <c r="BF285" s="730">
        <f t="shared" si="221"/>
        <v>-87.422897684597999</v>
      </c>
      <c r="BI285" s="351"/>
      <c r="BJ285" s="351"/>
      <c r="BL285" s="405">
        <f t="shared" si="222"/>
        <v>0</v>
      </c>
      <c r="BM285" s="405">
        <f t="shared" si="260"/>
        <v>0</v>
      </c>
      <c r="BN285" s="405">
        <f t="shared" si="223"/>
        <v>0</v>
      </c>
      <c r="BO285" s="405">
        <f t="shared" si="224"/>
        <v>0</v>
      </c>
    </row>
    <row r="286" spans="4:67" ht="13.5" thickBot="1" x14ac:dyDescent="0.25">
      <c r="D286" s="345">
        <v>18729.5</v>
      </c>
      <c r="E286" s="340" t="str">
        <f t="shared" si="211"/>
        <v>0.310677626716565i</v>
      </c>
      <c r="F286" s="728" t="str">
        <f t="shared" si="225"/>
        <v>0.005-0.139304168703702i</v>
      </c>
      <c r="G286" s="337" t="str">
        <f t="shared" si="226"/>
        <v>0.005-0.217886007459637i</v>
      </c>
      <c r="H286" s="338" t="str">
        <f t="shared" si="227"/>
        <v>0.0423341557156082-0.209443892694005i</v>
      </c>
      <c r="I286" s="338" t="str">
        <f t="shared" si="228"/>
        <v>0.0523341557156082-0.209443892694005i</v>
      </c>
      <c r="J286" s="337" t="str">
        <f t="shared" si="229"/>
        <v>0.0100063293930891-0.0845551396403735i</v>
      </c>
      <c r="K286" s="338" t="str">
        <f t="shared" si="212"/>
        <v>0.996102286997222-0.0980674326756834i</v>
      </c>
      <c r="L286" s="732"/>
      <c r="M286" s="732" t="str">
        <f t="shared" si="213"/>
        <v>3.90631867593887-88.2747768552906i</v>
      </c>
      <c r="N286" s="337">
        <f t="shared" si="214"/>
        <v>0</v>
      </c>
      <c r="O286" s="730" t="str">
        <f t="shared" si="215"/>
        <v>-2.88374489693184-34.7304460602406i</v>
      </c>
      <c r="P286" s="731" t="str">
        <f t="shared" si="216"/>
        <v>-7.42499817233609-1.21360581543929i</v>
      </c>
      <c r="Q286" s="729" t="str">
        <f t="shared" si="217"/>
        <v>-7.39616072336678-0.86630135483688i</v>
      </c>
      <c r="R286" s="730"/>
      <c r="S286" s="405" t="str">
        <f t="shared" si="230"/>
        <v>39.8243153395039-1.77532051131584i</v>
      </c>
      <c r="T286" s="405" t="str">
        <f t="shared" si="231"/>
        <v>15.491495369078-2.68497486500569i</v>
      </c>
      <c r="U286" s="405" t="str">
        <f t="shared" si="232"/>
        <v>0.0934677897098175-3.35826523777851i</v>
      </c>
      <c r="V286" s="731" t="str">
        <f t="shared" si="218"/>
        <v>6000</v>
      </c>
      <c r="W286" s="733" t="str">
        <f>IMSUM(COMPLEX(1,0),IMDIV(COMPLEX(0,2*PI()*D286),COMPLEX(2*PI()*'Stability Calculations'!EA_Pole1,0)))</f>
        <v>1+118857.728402928i</v>
      </c>
      <c r="X286" s="734">
        <f t="shared" si="233"/>
        <v>118857.72840713471</v>
      </c>
      <c r="Y286" s="735">
        <f t="shared" si="234"/>
        <v>1.5707879133748068</v>
      </c>
      <c r="Z286" s="340" t="str">
        <f>IMSUM(COMPLEX(1,0),IMDIV(COMPLEX(0,2*PI()*D286),COMPLEX(2*PI()*'Stability Calculations'!EA_Zero1,0)))</f>
        <v>1+1176.8091921082i</v>
      </c>
      <c r="AA286" s="734">
        <f t="shared" si="235"/>
        <v>1176.8096169858377</v>
      </c>
      <c r="AB286" s="735">
        <f t="shared" si="236"/>
        <v>1.5699465715703356</v>
      </c>
      <c r="AC286" s="733" t="str">
        <f>IMSUM(COMPLEX(1,0),IMDIV(COMPLEX(0,2*PI()*D286),COMPLEX(2*PI()*'Stability Calculations'!EA_Pole2,0)))</f>
        <v>1+11.8545357672358i</v>
      </c>
      <c r="AD286" s="734">
        <f t="shared" si="237"/>
        <v>11.89663894789923</v>
      </c>
      <c r="AE286" s="735">
        <f t="shared" si="238"/>
        <v>1.4866396695295641</v>
      </c>
      <c r="AF286" s="732" t="str">
        <f t="shared" si="239"/>
        <v>0.415554548669695-4.976186973845i</v>
      </c>
      <c r="AG286" s="337">
        <f t="shared" si="240"/>
        <v>4.9935080235826934</v>
      </c>
      <c r="AH286" s="730">
        <f t="shared" si="241"/>
        <v>-1.4874810113340355</v>
      </c>
      <c r="AI286" s="731" t="str">
        <f t="shared" si="219"/>
        <v>10000</v>
      </c>
      <c r="AJ286" s="733" t="str">
        <f t="shared" si="242"/>
        <v>1+110808.11816707i</v>
      </c>
      <c r="AK286" s="734">
        <f t="shared" si="243"/>
        <v>110808.11817158229</v>
      </c>
      <c r="AL286" s="735">
        <f t="shared" si="244"/>
        <v>1.5707873021853598</v>
      </c>
      <c r="AM286" s="340" t="str">
        <f t="shared" si="245"/>
        <v>1+188.05410889889i</v>
      </c>
      <c r="AN286" s="734">
        <f t="shared" si="246"/>
        <v>188.0567676893219</v>
      </c>
      <c r="AO286" s="735">
        <f t="shared" si="247"/>
        <v>1.565478758461365</v>
      </c>
      <c r="AP286" s="733" t="str">
        <f t="shared" si="248"/>
        <v>1+9.12093425696932i</v>
      </c>
      <c r="AQ286" s="734">
        <f t="shared" si="249"/>
        <v>9.1755894480930493</v>
      </c>
      <c r="AR286" s="735">
        <f t="shared" si="250"/>
        <v>1.4615945935046613</v>
      </c>
      <c r="AS286" s="732" t="str">
        <f t="shared" si="251"/>
        <v>0.00780800180980263-12.4963984904116i</v>
      </c>
      <c r="AT286" s="337">
        <f t="shared" si="252"/>
        <v>12.496400929709864</v>
      </c>
      <c r="AU286" s="730">
        <f t="shared" si="253"/>
        <v>-1.5701715067077562</v>
      </c>
      <c r="AV286" s="732" t="str">
        <f t="shared" si="254"/>
        <v>-0.977326541321236+0.0859066406139706i</v>
      </c>
      <c r="AW286" s="337">
        <f t="shared" si="255"/>
        <v>-0.16578001415141877</v>
      </c>
      <c r="AX286" s="730">
        <f t="shared" si="256"/>
        <v>174.97663309786248</v>
      </c>
      <c r="AY286" s="360">
        <f t="shared" si="257"/>
        <v>-5.0233669021375249</v>
      </c>
      <c r="BB286" s="337">
        <f t="shared" si="258"/>
        <v>-18.064300990130334</v>
      </c>
      <c r="BC286" s="730">
        <f t="shared" si="259"/>
        <v>-89.964200446051862</v>
      </c>
      <c r="BD286" s="351"/>
      <c r="BE286" s="337">
        <f t="shared" si="220"/>
        <v>38.925228705397231</v>
      </c>
      <c r="BF286" s="730">
        <f t="shared" si="221"/>
        <v>-87.466211081316303</v>
      </c>
      <c r="BI286" s="351"/>
      <c r="BJ286" s="351"/>
      <c r="BL286" s="405">
        <f t="shared" si="222"/>
        <v>0</v>
      </c>
      <c r="BM286" s="405">
        <f t="shared" si="260"/>
        <v>0</v>
      </c>
      <c r="BN286" s="405">
        <f t="shared" si="223"/>
        <v>0</v>
      </c>
      <c r="BO286" s="405">
        <f t="shared" si="224"/>
        <v>0</v>
      </c>
    </row>
    <row r="287" spans="4:67" ht="13.5" thickBot="1" x14ac:dyDescent="0.25">
      <c r="D287" s="345">
        <v>18838</v>
      </c>
      <c r="E287" s="340" t="str">
        <f t="shared" si="211"/>
        <v>0.312477382315954i</v>
      </c>
      <c r="F287" s="728" t="str">
        <f t="shared" si="225"/>
        <v>0.005-0.138501827568531i</v>
      </c>
      <c r="G287" s="337" t="str">
        <f t="shared" si="226"/>
        <v>0.005-0.216631063632831i</v>
      </c>
      <c r="H287" s="338" t="str">
        <f t="shared" si="227"/>
        <v>0.0419181769460256-0.208311335467322i</v>
      </c>
      <c r="I287" s="338" t="str">
        <f t="shared" si="228"/>
        <v>0.0519181769460256-0.208311335467322i</v>
      </c>
      <c r="J287" s="337" t="str">
        <f t="shared" si="229"/>
        <v>0.00993917331633999-0.0840730183105473i</v>
      </c>
      <c r="K287" s="338" t="str">
        <f t="shared" si="212"/>
        <v>0.996056997288889-0.0986355373472075i</v>
      </c>
      <c r="L287" s="732"/>
      <c r="M287" s="732" t="str">
        <f t="shared" si="213"/>
        <v>3.80320605191603-87.3985020505987i</v>
      </c>
      <c r="N287" s="337">
        <f t="shared" si="214"/>
        <v>0</v>
      </c>
      <c r="O287" s="730" t="str">
        <f t="shared" si="215"/>
        <v>-2.86324123226473-34.3783541980804i</v>
      </c>
      <c r="P287" s="731" t="str">
        <f t="shared" si="216"/>
        <v>-7.31005513910666-1.18841587151092i</v>
      </c>
      <c r="Q287" s="729" t="str">
        <f t="shared" si="217"/>
        <v>-7.28142272678402-0.844632329530113i</v>
      </c>
      <c r="R287" s="730"/>
      <c r="S287" s="405" t="str">
        <f t="shared" si="230"/>
        <v>39.8246705214161-1.81015682302803i</v>
      </c>
      <c r="T287" s="405" t="str">
        <f t="shared" si="231"/>
        <v>15.4887135485022-2.69071682810211i</v>
      </c>
      <c r="U287" s="405" t="str">
        <f t="shared" si="232"/>
        <v>0.0887518193660704-3.33926454807135i</v>
      </c>
      <c r="V287" s="731" t="str">
        <f t="shared" si="218"/>
        <v>6000</v>
      </c>
      <c r="W287" s="733" t="str">
        <f>IMSUM(COMPLEX(1,0),IMDIV(COMPLEX(0,2*PI()*D287),COMPLEX(2*PI()*'Stability Calculations'!EA_Pole1,0)))</f>
        <v>1+119546.271264815i</v>
      </c>
      <c r="X287" s="734">
        <f t="shared" si="233"/>
        <v>119546.27126899747</v>
      </c>
      <c r="Y287" s="735">
        <f t="shared" si="234"/>
        <v>1.5707879618330338</v>
      </c>
      <c r="Z287" s="340" t="str">
        <f>IMSUM(COMPLEX(1,0),IMDIV(COMPLEX(0,2*PI()*D287),COMPLEX(2*PI()*'Stability Calculations'!EA_Zero1,0)))</f>
        <v>1+1183.62644816649i</v>
      </c>
      <c r="AA287" s="734">
        <f t="shared" si="235"/>
        <v>1183.6268705969887</v>
      </c>
      <c r="AB287" s="735">
        <f t="shared" si="236"/>
        <v>1.5699514658477465</v>
      </c>
      <c r="AC287" s="733" t="str">
        <f>IMSUM(COMPLEX(1,0),IMDIV(COMPLEX(0,2*PI()*D287),COMPLEX(2*PI()*'Stability Calculations'!EA_Pole2,0)))</f>
        <v>1+11.9232090970495i</v>
      </c>
      <c r="AD287" s="734">
        <f t="shared" si="237"/>
        <v>11.965070629627055</v>
      </c>
      <c r="AE287" s="735">
        <f t="shared" si="238"/>
        <v>1.4871221153793595</v>
      </c>
      <c r="AF287" s="732" t="str">
        <f t="shared" si="239"/>
        <v>0.410814789461293-4.94792347765468i</v>
      </c>
      <c r="AG287" s="337">
        <f t="shared" si="240"/>
        <v>4.9649486937899479</v>
      </c>
      <c r="AH287" s="730">
        <f t="shared" si="241"/>
        <v>-1.4879586113646468</v>
      </c>
      <c r="AI287" s="731" t="str">
        <f t="shared" si="219"/>
        <v>10000</v>
      </c>
      <c r="AJ287" s="733" t="str">
        <f t="shared" si="242"/>
        <v>1+111450.029634067i</v>
      </c>
      <c r="AK287" s="734">
        <f t="shared" si="243"/>
        <v>111450.02963855331</v>
      </c>
      <c r="AL287" s="735">
        <f t="shared" si="244"/>
        <v>1.5707873541638147</v>
      </c>
      <c r="AM287" s="340" t="str">
        <f t="shared" si="245"/>
        <v>1+189.143506417005i</v>
      </c>
      <c r="AN287" s="734">
        <f t="shared" si="246"/>
        <v>189.14614989398967</v>
      </c>
      <c r="AO287" s="735">
        <f t="shared" si="247"/>
        <v>1.5655093851405144</v>
      </c>
      <c r="AP287" s="733" t="str">
        <f t="shared" si="248"/>
        <v>1+9.17377183228533i</v>
      </c>
      <c r="AQ287" s="734">
        <f t="shared" si="249"/>
        <v>9.2281140885249009</v>
      </c>
      <c r="AR287" s="735">
        <f t="shared" si="250"/>
        <v>1.4622186098701471</v>
      </c>
      <c r="AS287" s="732" t="str">
        <f t="shared" si="251"/>
        <v>0.00771831838474-12.4244238547452i</v>
      </c>
      <c r="AT287" s="337">
        <f t="shared" si="252"/>
        <v>12.424426252137371</v>
      </c>
      <c r="AU287" s="730">
        <f t="shared" si="253"/>
        <v>-1.5701751054423332</v>
      </c>
      <c r="AV287" s="732" t="str">
        <f t="shared" si="254"/>
        <v>-0.965957624269781+0.0857555247652266i</v>
      </c>
      <c r="AW287" s="337">
        <f t="shared" si="255"/>
        <v>-0.26674383274748725</v>
      </c>
      <c r="AX287" s="730">
        <f t="shared" si="256"/>
        <v>174.92671123230411</v>
      </c>
      <c r="AY287" s="360">
        <f t="shared" si="257"/>
        <v>-5.0732887676958853</v>
      </c>
      <c r="BB287" s="337">
        <f t="shared" si="258"/>
        <v>-18.114473148526784</v>
      </c>
      <c r="BC287" s="730">
        <f t="shared" si="259"/>
        <v>-89.964406638354703</v>
      </c>
      <c r="BD287" s="351"/>
      <c r="BE287" s="337">
        <f t="shared" si="220"/>
        <v>38.838295873617831</v>
      </c>
      <c r="BF287" s="730">
        <f t="shared" si="221"/>
        <v>-87.508306642219722</v>
      </c>
      <c r="BI287" s="351"/>
      <c r="BJ287" s="351"/>
      <c r="BL287" s="405">
        <f t="shared" si="222"/>
        <v>0</v>
      </c>
      <c r="BM287" s="405">
        <f t="shared" si="260"/>
        <v>0</v>
      </c>
      <c r="BN287" s="405">
        <f t="shared" si="223"/>
        <v>0</v>
      </c>
      <c r="BO287" s="405">
        <f t="shared" si="224"/>
        <v>0</v>
      </c>
    </row>
    <row r="288" spans="4:67" ht="13.5" thickBot="1" x14ac:dyDescent="0.25">
      <c r="D288" s="345">
        <v>18946.5</v>
      </c>
      <c r="E288" s="340" t="str">
        <f t="shared" si="211"/>
        <v>0.314277137915342i</v>
      </c>
      <c r="F288" s="728" t="str">
        <f t="shared" si="225"/>
        <v>0.005-0.137708675889267i</v>
      </c>
      <c r="G288" s="337" t="str">
        <f t="shared" si="226"/>
        <v>0.005-0.215390493057571i</v>
      </c>
      <c r="H288" s="338" t="str">
        <f t="shared" si="227"/>
        <v>0.0415090369188004-0.207190544031454i</v>
      </c>
      <c r="I288" s="338" t="str">
        <f t="shared" si="228"/>
        <v>0.0515090369188004-0.207190544031454i</v>
      </c>
      <c r="J288" s="337" t="str">
        <f t="shared" si="229"/>
        <v>0.00987316013233861-0.0835963417597912i</v>
      </c>
      <c r="K288" s="338" t="str">
        <f t="shared" si="212"/>
        <v>0.996011445975-0.0992036420187317i</v>
      </c>
      <c r="L288" s="732"/>
      <c r="M288" s="732" t="str">
        <f t="shared" si="213"/>
        <v>3.70397852021246-86.5413608746244i</v>
      </c>
      <c r="N288" s="337">
        <f t="shared" si="214"/>
        <v>0</v>
      </c>
      <c r="O288" s="730" t="str">
        <f t="shared" si="215"/>
        <v>-2.8427367054826-34.0341042590829i</v>
      </c>
      <c r="P288" s="731" t="str">
        <f t="shared" si="216"/>
        <v>-7.1979712069757-1.16407576823227i</v>
      </c>
      <c r="Q288" s="729" t="str">
        <f t="shared" si="217"/>
        <v>-7.16954383992086-0.823734725641445i</v>
      </c>
      <c r="R288" s="730"/>
      <c r="S288" s="405" t="str">
        <f t="shared" si="230"/>
        <v>39.8249593643471-1.84485934262613i</v>
      </c>
      <c r="T288" s="405" t="str">
        <f t="shared" si="231"/>
        <v>15.4859427060597-2.69650957391607i</v>
      </c>
      <c r="U288" s="405" t="str">
        <f t="shared" si="232"/>
        <v>0.0841152819025633-3.32047040956397i</v>
      </c>
      <c r="V288" s="731" t="str">
        <f t="shared" si="218"/>
        <v>6000</v>
      </c>
      <c r="W288" s="733" t="str">
        <f>IMSUM(COMPLEX(1,0),IMDIV(COMPLEX(0,2*PI()*D288),COMPLEX(2*PI()*'Stability Calculations'!EA_Pole1,0)))</f>
        <v>1+120234.814126703i</v>
      </c>
      <c r="X288" s="734">
        <f t="shared" si="233"/>
        <v>120234.81413086153</v>
      </c>
      <c r="Y288" s="735">
        <f t="shared" si="234"/>
        <v>1.5707880097362541</v>
      </c>
      <c r="Z288" s="340" t="str">
        <f>IMSUM(COMPLEX(1,0),IMDIV(COMPLEX(0,2*PI()*D288),COMPLEX(2*PI()*'Stability Calculations'!EA_Zero1,0)))</f>
        <v>1+1190.44370422478i</v>
      </c>
      <c r="AA288" s="734">
        <f t="shared" si="235"/>
        <v>1190.4441242361672</v>
      </c>
      <c r="AB288" s="735">
        <f t="shared" si="236"/>
        <v>1.5699563040695561</v>
      </c>
      <c r="AC288" s="733" t="str">
        <f>IMSUM(COMPLEX(1,0),IMDIV(COMPLEX(0,2*PI()*D288),COMPLEX(2*PI()*'Stability Calculations'!EA_Pole2,0)))</f>
        <v>1+11.9918824268632i</v>
      </c>
      <c r="AD288" s="734">
        <f t="shared" si="237"/>
        <v>12.033505064598195</v>
      </c>
      <c r="AE288" s="735">
        <f t="shared" si="238"/>
        <v>1.4875990740087097</v>
      </c>
      <c r="AF288" s="732" t="str">
        <f t="shared" si="239"/>
        <v>0.406155475926986-4.9199769835049i</v>
      </c>
      <c r="AG288" s="337">
        <f t="shared" si="240"/>
        <v>4.936713055145443</v>
      </c>
      <c r="AH288" s="730">
        <f t="shared" si="241"/>
        <v>-1.4884307796754073</v>
      </c>
      <c r="AI288" s="731" t="str">
        <f t="shared" si="219"/>
        <v>10000</v>
      </c>
      <c r="AJ288" s="733" t="str">
        <f t="shared" si="242"/>
        <v>1+112091.941101065i</v>
      </c>
      <c r="AK288" s="734">
        <f t="shared" si="243"/>
        <v>112091.94110552562</v>
      </c>
      <c r="AL288" s="735">
        <f t="shared" si="244"/>
        <v>1.5707874055469446</v>
      </c>
      <c r="AM288" s="340" t="str">
        <f t="shared" si="245"/>
        <v>1+190.23290393512i</v>
      </c>
      <c r="AN288" s="734">
        <f t="shared" si="246"/>
        <v>190.23553227404335</v>
      </c>
      <c r="AO288" s="735">
        <f t="shared" si="247"/>
        <v>1.5655396610527852</v>
      </c>
      <c r="AP288" s="733" t="str">
        <f t="shared" si="248"/>
        <v>1+9.22660940760134i</v>
      </c>
      <c r="AQ288" s="734">
        <f t="shared" si="249"/>
        <v>9.2806422816762808</v>
      </c>
      <c r="AR288" s="735">
        <f t="shared" si="250"/>
        <v>1.4628355626409191</v>
      </c>
      <c r="AS288" s="732" t="str">
        <f t="shared" si="251"/>
        <v>0.0076301713000814-12.3532735654204i</v>
      </c>
      <c r="AT288" s="337">
        <f t="shared" si="252"/>
        <v>12.353275921860911</v>
      </c>
      <c r="AU288" s="730">
        <f t="shared" si="253"/>
        <v>-1.5701786629595296</v>
      </c>
      <c r="AV288" s="732" t="str">
        <f t="shared" si="254"/>
        <v>-0.954784431006315+0.0855998847983675i</v>
      </c>
      <c r="AW288" s="337">
        <f t="shared" si="255"/>
        <v>-0.36712536734741852</v>
      </c>
      <c r="AX288" s="730">
        <f t="shared" si="256"/>
        <v>174.87692244803398</v>
      </c>
      <c r="AY288" s="360">
        <f t="shared" si="257"/>
        <v>-5.1230775519660199</v>
      </c>
      <c r="BB288" s="337">
        <f t="shared" si="258"/>
        <v>-18.164357162048596</v>
      </c>
      <c r="BC288" s="730">
        <f t="shared" si="259"/>
        <v>-89.964610469075609</v>
      </c>
      <c r="BD288" s="351"/>
      <c r="BE288" s="337">
        <f t="shared" si="220"/>
        <v>38.752422742849319</v>
      </c>
      <c r="BF288" s="730">
        <f t="shared" si="221"/>
        <v>-87.549230907073223</v>
      </c>
      <c r="BI288" s="351"/>
      <c r="BJ288" s="351"/>
      <c r="BL288" s="405">
        <f t="shared" si="222"/>
        <v>0</v>
      </c>
      <c r="BM288" s="405">
        <f t="shared" si="260"/>
        <v>0</v>
      </c>
      <c r="BN288" s="405">
        <f t="shared" si="223"/>
        <v>0</v>
      </c>
      <c r="BO288" s="405">
        <f t="shared" si="224"/>
        <v>0</v>
      </c>
    </row>
    <row r="289" spans="4:67" ht="13.5" thickBot="1" x14ac:dyDescent="0.25">
      <c r="D289" s="345">
        <v>19055</v>
      </c>
      <c r="E289" s="340" t="str">
        <f t="shared" si="211"/>
        <v>0.316076893514731i</v>
      </c>
      <c r="F289" s="728" t="str">
        <f t="shared" si="225"/>
        <v>0.005-0.136924556690422i</v>
      </c>
      <c r="G289" s="337" t="str">
        <f t="shared" si="226"/>
        <v>0.005-0.214164050208096i</v>
      </c>
      <c r="H289" s="338" t="str">
        <f t="shared" si="227"/>
        <v>0.0411065881136049-0.20608134326265i</v>
      </c>
      <c r="I289" s="338" t="str">
        <f t="shared" si="228"/>
        <v>0.0511065881136049-0.20608134326265i</v>
      </c>
      <c r="J289" s="337" t="str">
        <f t="shared" si="229"/>
        <v>0.00980826408496457-0.0831250187383439i</v>
      </c>
      <c r="K289" s="338" t="str">
        <f t="shared" si="212"/>
        <v>0.995965633055556-0.0997717466902558i</v>
      </c>
      <c r="L289" s="732"/>
      <c r="M289" s="732" t="str">
        <f t="shared" si="213"/>
        <v>3.6084484438404-85.7027117892486i</v>
      </c>
      <c r="N289" s="337">
        <f t="shared" si="214"/>
        <v>0</v>
      </c>
      <c r="O289" s="730" t="str">
        <f t="shared" si="215"/>
        <v>-2.82225162633772-33.6974281454638i</v>
      </c>
      <c r="P289" s="731" t="str">
        <f t="shared" si="216"/>
        <v>-7.08864690813402-1.14054717453714i</v>
      </c>
      <c r="Q289" s="729" t="str">
        <f t="shared" si="217"/>
        <v>-7.06042439187066-0.803572893082496i</v>
      </c>
      <c r="R289" s="730"/>
      <c r="S289" s="405" t="str">
        <f t="shared" si="230"/>
        <v>39.8251829940631-1.87943018474209i</v>
      </c>
      <c r="T289" s="405" t="str">
        <f t="shared" si="231"/>
        <v>15.483182397995-2.70235225552979i</v>
      </c>
      <c r="U289" s="405" t="str">
        <f t="shared" si="232"/>
        <v>0.0795564187337616-3.30187950766539i</v>
      </c>
      <c r="V289" s="731" t="str">
        <f t="shared" si="218"/>
        <v>6000</v>
      </c>
      <c r="W289" s="733" t="str">
        <f>IMSUM(COMPLEX(1,0),IMDIV(COMPLEX(0,2*PI()*D289),COMPLEX(2*PI()*'Stability Calculations'!EA_Pole1,0)))</f>
        <v>1+120923.35698859i</v>
      </c>
      <c r="X289" s="734">
        <f t="shared" si="233"/>
        <v>120923.35699272486</v>
      </c>
      <c r="Y289" s="735">
        <f t="shared" si="234"/>
        <v>1.5707880570939481</v>
      </c>
      <c r="Z289" s="340" t="str">
        <f>IMSUM(COMPLEX(1,0),IMDIV(COMPLEX(0,2*PI()*D289),COMPLEX(2*PI()*'Stability Calculations'!EA_Zero1,0)))</f>
        <v>1+1197.26096028307i</v>
      </c>
      <c r="AA289" s="734">
        <f t="shared" si="235"/>
        <v>1197.261377902895</v>
      </c>
      <c r="AB289" s="735">
        <f t="shared" si="236"/>
        <v>1.5699610871933132</v>
      </c>
      <c r="AC289" s="733" t="str">
        <f>IMSUM(COMPLEX(1,0),IMDIV(COMPLEX(0,2*PI()*D289),COMPLEX(2*PI()*'Stability Calculations'!EA_Pole2,0)))</f>
        <v>1+12.0605557566769i</v>
      </c>
      <c r="AD289" s="734">
        <f t="shared" si="237"/>
        <v>12.10194220610528</v>
      </c>
      <c r="AE289" s="735">
        <f t="shared" si="238"/>
        <v>1.4880706382903373</v>
      </c>
      <c r="AF289" s="732" t="str">
        <f t="shared" si="239"/>
        <v>0.401574801979622-4.89234222607685i</v>
      </c>
      <c r="AG289" s="337">
        <f t="shared" si="240"/>
        <v>4.9087956546020086</v>
      </c>
      <c r="AH289" s="730">
        <f t="shared" si="241"/>
        <v>-1.4888976081909724</v>
      </c>
      <c r="AI289" s="731" t="str">
        <f t="shared" si="219"/>
        <v>10000</v>
      </c>
      <c r="AJ289" s="733" t="str">
        <f t="shared" si="242"/>
        <v>1+112733.852568062i</v>
      </c>
      <c r="AK289" s="734">
        <f t="shared" si="243"/>
        <v>112733.8525724972</v>
      </c>
      <c r="AL289" s="735">
        <f t="shared" si="244"/>
        <v>1.5707874563449191</v>
      </c>
      <c r="AM289" s="340" t="str">
        <f t="shared" si="245"/>
        <v>1+191.322301453235i</v>
      </c>
      <c r="AN289" s="734">
        <f t="shared" si="246"/>
        <v>191.32491482648709</v>
      </c>
      <c r="AO289" s="735">
        <f t="shared" si="247"/>
        <v>1.5655695921898025</v>
      </c>
      <c r="AP289" s="733" t="str">
        <f t="shared" si="248"/>
        <v>1+9.27944698291734i</v>
      </c>
      <c r="AQ289" s="734">
        <f t="shared" si="249"/>
        <v>9.3331739675618248</v>
      </c>
      <c r="AR289" s="735">
        <f t="shared" si="250"/>
        <v>1.4634455706154426</v>
      </c>
      <c r="AS289" s="732" t="str">
        <f t="shared" si="251"/>
        <v>0.00754352566370631-12.2829335408666i</v>
      </c>
      <c r="AT289" s="337">
        <f t="shared" si="252"/>
        <v>12.282935857282864</v>
      </c>
      <c r="AU289" s="730">
        <f t="shared" si="253"/>
        <v>-1.5701821799634255</v>
      </c>
      <c r="AV289" s="732" t="str">
        <f t="shared" si="254"/>
        <v>-0.943802490925003+0.0854399462137398i</v>
      </c>
      <c r="AW289" s="337">
        <f t="shared" si="255"/>
        <v>-0.46693135009992554</v>
      </c>
      <c r="AX289" s="730">
        <f t="shared" si="256"/>
        <v>174.82726423212492</v>
      </c>
      <c r="AY289" s="360">
        <f t="shared" si="257"/>
        <v>-5.172735767875082</v>
      </c>
      <c r="BB289" s="337">
        <f t="shared" si="258"/>
        <v>-18.213956321506849</v>
      </c>
      <c r="BC289" s="730">
        <f t="shared" si="259"/>
        <v>-89.964811978555375</v>
      </c>
      <c r="BD289" s="351"/>
      <c r="BE289" s="337">
        <f t="shared" si="220"/>
        <v>38.667583497072762</v>
      </c>
      <c r="BF289" s="730">
        <f t="shared" si="221"/>
        <v>-87.58902817297755</v>
      </c>
      <c r="BI289" s="351"/>
      <c r="BJ289" s="351"/>
      <c r="BL289" s="405">
        <f t="shared" si="222"/>
        <v>0</v>
      </c>
      <c r="BM289" s="405">
        <f t="shared" si="260"/>
        <v>0</v>
      </c>
      <c r="BN289" s="405">
        <f t="shared" si="223"/>
        <v>0</v>
      </c>
      <c r="BO289" s="405">
        <f t="shared" si="224"/>
        <v>0</v>
      </c>
    </row>
    <row r="290" spans="4:67" ht="13.5" thickBot="1" x14ac:dyDescent="0.25">
      <c r="D290" s="345">
        <v>19165.75</v>
      </c>
      <c r="E290" s="340" t="str">
        <f t="shared" si="211"/>
        <v>0.317913971234844i</v>
      </c>
      <c r="F290" s="728" t="str">
        <f t="shared" si="225"/>
        <v>0.005-0.136133333041284i</v>
      </c>
      <c r="G290" s="337" t="str">
        <f t="shared" si="226"/>
        <v>0.005-0.212926495269701i</v>
      </c>
      <c r="H290" s="338" t="str">
        <f t="shared" si="227"/>
        <v>0.0407025452855935-0.204960915903344i</v>
      </c>
      <c r="I290" s="338" t="str">
        <f t="shared" si="228"/>
        <v>0.0507025452855935-0.204960915903344i</v>
      </c>
      <c r="J290" s="337" t="str">
        <f t="shared" si="229"/>
        <v>0.00974314839883935-0.0826493502919647i</v>
      </c>
      <c r="K290" s="338" t="str">
        <f t="shared" si="212"/>
        <v>0.995918600299306-0.100351632334231i</v>
      </c>
      <c r="L290" s="732"/>
      <c r="M290" s="732" t="str">
        <f t="shared" si="213"/>
        <v>3.51456721641171-84.8651062366933i</v>
      </c>
      <c r="N290" s="337">
        <f t="shared" si="214"/>
        <v>0</v>
      </c>
      <c r="O290" s="730" t="str">
        <f t="shared" si="215"/>
        <v>-2.80138089528792-33.3613156007416i</v>
      </c>
      <c r="P290" s="731" t="str">
        <f t="shared" si="216"/>
        <v>-6.97980294297405-1.11733002094124i</v>
      </c>
      <c r="Q290" s="729" t="str">
        <f t="shared" si="217"/>
        <v>-6.95178913402116-0.783716864933827i</v>
      </c>
      <c r="R290" s="730"/>
      <c r="S290" s="405" t="str">
        <f t="shared" si="230"/>
        <v>39.8253451423266-1.91458428160112i</v>
      </c>
      <c r="T290" s="405" t="str">
        <f t="shared" si="231"/>
        <v>15.4803752647571-2.70836673738308i</v>
      </c>
      <c r="U290" s="405" t="str">
        <f t="shared" si="232"/>
        <v>0.0749813481555754-3.28310931257043i</v>
      </c>
      <c r="V290" s="731" t="str">
        <f t="shared" si="218"/>
        <v>6000</v>
      </c>
      <c r="W290" s="733" t="str">
        <f>IMSUM(COMPLEX(1,0),IMDIV(COMPLEX(0,2*PI()*D290),COMPLEX(2*PI()*'Stability Calculations'!EA_Pole1,0)))</f>
        <v>1+121626.178389088i</v>
      </c>
      <c r="X290" s="734">
        <f t="shared" si="233"/>
        <v>121626.17839319898</v>
      </c>
      <c r="Y290" s="735">
        <f t="shared" si="234"/>
        <v>1.5707881048807231</v>
      </c>
      <c r="Z290" s="340" t="str">
        <f>IMSUM(COMPLEX(1,0),IMDIV(COMPLEX(0,2*PI()*D290),COMPLEX(2*PI()*'Stability Calculations'!EA_Zero1,0)))</f>
        <v>1+1204.21958801077i</v>
      </c>
      <c r="AA290" s="734">
        <f t="shared" si="235"/>
        <v>1204.2200032173641</v>
      </c>
      <c r="AB290" s="735">
        <f t="shared" si="236"/>
        <v>1.5699659136542252</v>
      </c>
      <c r="AC290" s="733" t="str">
        <f>IMSUM(COMPLEX(1,0),IMDIV(COMPLEX(0,2*PI()*D290),COMPLEX(2*PI()*'Stability Calculations'!EA_Pole2,0)))</f>
        <v>1+12.1306531878i</v>
      </c>
      <c r="AD290" s="734">
        <f t="shared" si="237"/>
        <v>12.171801294906286</v>
      </c>
      <c r="AE290" s="735">
        <f t="shared" si="238"/>
        <v>1.4885465125240582</v>
      </c>
      <c r="AF290" s="732" t="str">
        <f t="shared" si="239"/>
        <v>0.396978416708996-4.86445055063317i</v>
      </c>
      <c r="AG290" s="337">
        <f t="shared" si="240"/>
        <v>4.8806219913949631</v>
      </c>
      <c r="AH290" s="730">
        <f t="shared" si="241"/>
        <v>-1.4893687037505559</v>
      </c>
      <c r="AI290" s="731" t="str">
        <f t="shared" si="219"/>
        <v>10000</v>
      </c>
      <c r="AJ290" s="733" t="str">
        <f t="shared" si="242"/>
        <v>1+113389.075563177i</v>
      </c>
      <c r="AK290" s="734">
        <f t="shared" si="243"/>
        <v>113389.07556758659</v>
      </c>
      <c r="AL290" s="735">
        <f t="shared" si="244"/>
        <v>1.5707875076031446</v>
      </c>
      <c r="AM290" s="340" t="str">
        <f t="shared" si="245"/>
        <v>1+192.434290164121i</v>
      </c>
      <c r="AN290" s="734">
        <f t="shared" si="246"/>
        <v>192.43688843610292</v>
      </c>
      <c r="AO290" s="735">
        <f t="shared" si="247"/>
        <v>1.5655997945250237</v>
      </c>
      <c r="AP290" s="733" t="str">
        <f t="shared" si="248"/>
        <v>1+9.33338026832054i</v>
      </c>
      <c r="AQ290" s="734">
        <f t="shared" si="249"/>
        <v>9.3867985614412319</v>
      </c>
      <c r="AR290" s="735">
        <f t="shared" si="250"/>
        <v>1.4640611868226647</v>
      </c>
      <c r="AS290" s="732" t="str">
        <f t="shared" si="251"/>
        <v>0.00745659649784465-12.211956205132i</v>
      </c>
      <c r="AT290" s="337">
        <f t="shared" si="252"/>
        <v>12.211958481623382</v>
      </c>
      <c r="AU290" s="730">
        <f t="shared" si="253"/>
        <v>-1.570185728832874</v>
      </c>
      <c r="AV290" s="732" t="str">
        <f t="shared" si="254"/>
        <v>-0.932785548227239+0.0852724819169663i</v>
      </c>
      <c r="AW290" s="337">
        <f t="shared" si="255"/>
        <v>-0.56822033336629163</v>
      </c>
      <c r="AX290" s="730">
        <f t="shared" si="256"/>
        <v>174.77670835171637</v>
      </c>
      <c r="AY290" s="360">
        <f t="shared" si="257"/>
        <v>-5.2232916482836345</v>
      </c>
      <c r="BB290" s="337">
        <f t="shared" si="258"/>
        <v>-18.264293617818822</v>
      </c>
      <c r="BC290" s="730">
        <f t="shared" si="259"/>
        <v>-89.965015313796812</v>
      </c>
      <c r="BD290" s="351"/>
      <c r="BE290" s="337">
        <f t="shared" si="220"/>
        <v>38.582025319351636</v>
      </c>
      <c r="BF290" s="730">
        <f t="shared" si="221"/>
        <v>-87.628532226217914</v>
      </c>
      <c r="BI290" s="351"/>
      <c r="BJ290" s="351"/>
      <c r="BL290" s="405">
        <f t="shared" si="222"/>
        <v>0</v>
      </c>
      <c r="BM290" s="405">
        <f t="shared" si="260"/>
        <v>0</v>
      </c>
      <c r="BN290" s="405">
        <f t="shared" si="223"/>
        <v>0</v>
      </c>
      <c r="BO290" s="405">
        <f t="shared" si="224"/>
        <v>0</v>
      </c>
    </row>
    <row r="291" spans="4:67" ht="13.5" thickBot="1" x14ac:dyDescent="0.25">
      <c r="D291" s="345">
        <v>19276.5</v>
      </c>
      <c r="E291" s="340" t="str">
        <f t="shared" si="211"/>
        <v>0.319751048954957i</v>
      </c>
      <c r="F291" s="728" t="str">
        <f t="shared" si="225"/>
        <v>0.005-0.135351201086089i</v>
      </c>
      <c r="G291" s="337" t="str">
        <f t="shared" si="226"/>
        <v>0.005-0.211703160673113i</v>
      </c>
      <c r="H291" s="338" t="str">
        <f t="shared" si="227"/>
        <v>0.0403051758067064-0.203852206583238i</v>
      </c>
      <c r="I291" s="338" t="str">
        <f t="shared" si="228"/>
        <v>0.0503051758067064-0.203852206583238i</v>
      </c>
      <c r="J291" s="337" t="str">
        <f t="shared" si="229"/>
        <v>0.00967914470232022-0.0821790739574528i</v>
      </c>
      <c r="K291" s="338" t="str">
        <f t="shared" si="212"/>
        <v>0.995871294975-0.100931517978206i</v>
      </c>
      <c r="L291" s="732"/>
      <c r="M291" s="732" t="str">
        <f t="shared" si="213"/>
        <v>3.42417751841835-84.0455061693307i</v>
      </c>
      <c r="N291" s="337">
        <f t="shared" si="214"/>
        <v>0</v>
      </c>
      <c r="O291" s="730" t="str">
        <f t="shared" si="215"/>
        <v>-2.7805672836122-33.0325677823837i</v>
      </c>
      <c r="P291" s="731" t="str">
        <f t="shared" si="216"/>
        <v>-6.8736387575938-1.09488435332225i</v>
      </c>
      <c r="Q291" s="729" t="str">
        <f t="shared" si="217"/>
        <v>-6.84583308475769-0.764558675498408i</v>
      </c>
      <c r="R291" s="730"/>
      <c r="S291" s="405" t="str">
        <f t="shared" si="230"/>
        <v>39.825441617631-1.94960549523577i</v>
      </c>
      <c r="T291" s="405" t="str">
        <f t="shared" si="231"/>
        <v>15.4775782114482-2.7144315197441i</v>
      </c>
      <c r="U291" s="405" t="str">
        <f t="shared" si="232"/>
        <v>0.0704836559555359-3.26454411058692i</v>
      </c>
      <c r="V291" s="731" t="str">
        <f t="shared" si="218"/>
        <v>6000</v>
      </c>
      <c r="W291" s="733" t="str">
        <f>IMSUM(COMPLEX(1,0),IMDIV(COMPLEX(0,2*PI()*D291),COMPLEX(2*PI()*'Stability Calculations'!EA_Pole1,0)))</f>
        <v>1+122328.999789585i</v>
      </c>
      <c r="X291" s="734">
        <f t="shared" si="233"/>
        <v>122328.99979367235</v>
      </c>
      <c r="Y291" s="735">
        <f t="shared" si="234"/>
        <v>1.5707881521183955</v>
      </c>
      <c r="Z291" s="340" t="str">
        <f>IMSUM(COMPLEX(1,0),IMDIV(COMPLEX(0,2*PI()*D291),COMPLEX(2*PI()*'Stability Calculations'!EA_Zero1,0)))</f>
        <v>1+1211.17821573847i</v>
      </c>
      <c r="AA291" s="734">
        <f t="shared" si="235"/>
        <v>1211.1786285595631</v>
      </c>
      <c r="AB291" s="735">
        <f t="shared" si="236"/>
        <v>1.5699706846558807</v>
      </c>
      <c r="AC291" s="733" t="str">
        <f>IMSUM(COMPLEX(1,0),IMDIV(COMPLEX(0,2*PI()*D291),COMPLEX(2*PI()*'Stability Calculations'!EA_Pole2,0)))</f>
        <v>1+12.2007506189232i</v>
      </c>
      <c r="AD291" s="734">
        <f t="shared" si="237"/>
        <v>12.241663108628455</v>
      </c>
      <c r="AE291" s="735">
        <f t="shared" si="238"/>
        <v>1.4890169553403518</v>
      </c>
      <c r="AF291" s="732" t="str">
        <f t="shared" si="239"/>
        <v>0.392460322106849-4.83687295250554i</v>
      </c>
      <c r="AG291" s="337">
        <f t="shared" si="240"/>
        <v>4.8527688037972583</v>
      </c>
      <c r="AH291" s="730">
        <f t="shared" si="241"/>
        <v>-1.489834422802867</v>
      </c>
      <c r="AI291" s="731" t="str">
        <f t="shared" si="219"/>
        <v>10000</v>
      </c>
      <c r="AJ291" s="733" t="str">
        <f t="shared" si="242"/>
        <v>1+114044.298558292i</v>
      </c>
      <c r="AK291" s="734">
        <f t="shared" si="243"/>
        <v>114044.29856267625</v>
      </c>
      <c r="AL291" s="735">
        <f t="shared" si="244"/>
        <v>1.5707875582723785</v>
      </c>
      <c r="AM291" s="340" t="str">
        <f t="shared" si="245"/>
        <v>1+193.546278875007i</v>
      </c>
      <c r="AN291" s="734">
        <f t="shared" si="246"/>
        <v>193.54886221923906</v>
      </c>
      <c r="AO291" s="735">
        <f t="shared" si="247"/>
        <v>1.5656296498243394</v>
      </c>
      <c r="AP291" s="733" t="str">
        <f t="shared" si="248"/>
        <v>1+9.38731355372374i</v>
      </c>
      <c r="AQ291" s="734">
        <f t="shared" si="249"/>
        <v>9.4404266723451329</v>
      </c>
      <c r="AR291" s="735">
        <f t="shared" si="250"/>
        <v>1.4646698090121562</v>
      </c>
      <c r="AS291" s="732" t="str">
        <f t="shared" si="251"/>
        <v>0.00737116133514681-12.141794446i</v>
      </c>
      <c r="AT291" s="337">
        <f t="shared" si="252"/>
        <v>12.141796683478765</v>
      </c>
      <c r="AU291" s="730">
        <f t="shared" si="253"/>
        <v>-1.5701892369234314</v>
      </c>
      <c r="AV291" s="732" t="str">
        <f t="shared" si="254"/>
        <v>-0.92195886024711+0.0851009838151447i</v>
      </c>
      <c r="AW291" s="337">
        <f t="shared" si="255"/>
        <v>-0.66892345396445518</v>
      </c>
      <c r="AX291" s="730">
        <f t="shared" si="256"/>
        <v>174.72628341898607</v>
      </c>
      <c r="AY291" s="360">
        <f t="shared" si="257"/>
        <v>-5.2737165810139288</v>
      </c>
      <c r="BB291" s="337">
        <f t="shared" si="258"/>
        <v>-18.314340874793476</v>
      </c>
      <c r="BC291" s="730">
        <f t="shared" si="259"/>
        <v>-89.965216312579912</v>
      </c>
      <c r="BD291" s="351"/>
      <c r="BE291" s="337">
        <f t="shared" si="220"/>
        <v>38.497492846578808</v>
      </c>
      <c r="BF291" s="730">
        <f t="shared" si="221"/>
        <v>-87.666948725891672</v>
      </c>
      <c r="BI291" s="351"/>
      <c r="BJ291" s="351"/>
      <c r="BL291" s="405">
        <f t="shared" si="222"/>
        <v>0</v>
      </c>
      <c r="BM291" s="405">
        <f t="shared" si="260"/>
        <v>0</v>
      </c>
      <c r="BN291" s="405">
        <f t="shared" si="223"/>
        <v>0</v>
      </c>
      <c r="BO291" s="405">
        <f t="shared" si="224"/>
        <v>0</v>
      </c>
    </row>
    <row r="292" spans="4:67" ht="13.5" thickBot="1" x14ac:dyDescent="0.25">
      <c r="D292" s="345">
        <v>19387.25</v>
      </c>
      <c r="E292" s="340" t="str">
        <f t="shared" si="211"/>
        <v>0.32158812667507i</v>
      </c>
      <c r="F292" s="728" t="str">
        <f t="shared" si="225"/>
        <v>0.005-0.134578005015461i</v>
      </c>
      <c r="G292" s="337" t="str">
        <f t="shared" si="226"/>
        <v>0.005-0.21049380271649i</v>
      </c>
      <c r="H292" s="338" t="str">
        <f t="shared" si="227"/>
        <v>0.0399143350058638-0.202755039410733i</v>
      </c>
      <c r="I292" s="338" t="str">
        <f t="shared" si="228"/>
        <v>0.0499143350058638-0.202755039410733i</v>
      </c>
      <c r="J292" s="337" t="str">
        <f t="shared" si="229"/>
        <v>0.00961622784785123-0.0817140990148653i</v>
      </c>
      <c r="K292" s="338" t="str">
        <f t="shared" si="212"/>
        <v>0.995823717082639-0.101511403622181i</v>
      </c>
      <c r="L292" s="732"/>
      <c r="M292" s="732" t="str">
        <f t="shared" si="213"/>
        <v>3.337112835425-83.2433163247929i</v>
      </c>
      <c r="N292" s="337">
        <f t="shared" si="214"/>
        <v>0</v>
      </c>
      <c r="O292" s="730" t="str">
        <f t="shared" si="215"/>
        <v>-2.75982675356602-32.7109365925023i</v>
      </c>
      <c r="P292" s="731" t="str">
        <f t="shared" si="216"/>
        <v>-6.77006215511046-1.07317586524766i</v>
      </c>
      <c r="Q292" s="729" t="str">
        <f t="shared" si="217"/>
        <v>-6.7424638875748-0.746066499322637i</v>
      </c>
      <c r="R292" s="730"/>
      <c r="S292" s="405" t="str">
        <f t="shared" si="230"/>
        <v>39.8254735209524-1.98449593522015i</v>
      </c>
      <c r="T292" s="405" t="str">
        <f t="shared" si="231"/>
        <v>15.4747908041649-2.72054575692426i</v>
      </c>
      <c r="U292" s="405" t="str">
        <f t="shared" si="232"/>
        <v>0.0660616221392173-3.24618059411198i</v>
      </c>
      <c r="V292" s="731" t="str">
        <f t="shared" si="218"/>
        <v>6000</v>
      </c>
      <c r="W292" s="733" t="str">
        <f>IMSUM(COMPLEX(1,0),IMDIV(COMPLEX(0,2*PI()*D292),COMPLEX(2*PI()*'Stability Calculations'!EA_Pole1,0)))</f>
        <v>1+123031.821190083i</v>
      </c>
      <c r="X292" s="734">
        <f t="shared" si="233"/>
        <v>123031.82119414699</v>
      </c>
      <c r="Y292" s="735">
        <f t="shared" si="234"/>
        <v>1.5707881988163761</v>
      </c>
      <c r="Z292" s="340" t="str">
        <f>IMSUM(COMPLEX(1,0),IMDIV(COMPLEX(0,2*PI()*D292),COMPLEX(2*PI()*'Stability Calculations'!EA_Zero1,0)))</f>
        <v>1+1218.13684346617i</v>
      </c>
      <c r="AA292" s="734">
        <f t="shared" si="235"/>
        <v>1218.1372539290162</v>
      </c>
      <c r="AB292" s="735">
        <f t="shared" si="236"/>
        <v>1.5699754011487148</v>
      </c>
      <c r="AC292" s="733" t="str">
        <f>IMSUM(COMPLEX(1,0),IMDIV(COMPLEX(0,2*PI()*D292),COMPLEX(2*PI()*'Stability Calculations'!EA_Pole2,0)))</f>
        <v>1+12.2708480500463i</v>
      </c>
      <c r="AD292" s="734">
        <f t="shared" si="237"/>
        <v>12.311527600883858</v>
      </c>
      <c r="AE292" s="735">
        <f t="shared" si="238"/>
        <v>1.4894820589945366</v>
      </c>
      <c r="AF292" s="732" t="str">
        <f t="shared" si="239"/>
        <v>0.388018754091697-4.80960419293958i</v>
      </c>
      <c r="AG292" s="337">
        <f t="shared" si="240"/>
        <v>4.8252306728558443</v>
      </c>
      <c r="AH292" s="730">
        <f t="shared" si="241"/>
        <v>-1.4902948566621979</v>
      </c>
      <c r="AI292" s="731" t="str">
        <f t="shared" si="219"/>
        <v>10000</v>
      </c>
      <c r="AJ292" s="733" t="str">
        <f t="shared" si="242"/>
        <v>1+114699.521553406i</v>
      </c>
      <c r="AK292" s="734">
        <f t="shared" si="243"/>
        <v>114699.52155776523</v>
      </c>
      <c r="AL292" s="735">
        <f t="shared" si="244"/>
        <v>1.5707876083627146</v>
      </c>
      <c r="AM292" s="340" t="str">
        <f t="shared" si="245"/>
        <v>1+194.658267585894i</v>
      </c>
      <c r="AN292" s="734">
        <f t="shared" si="246"/>
        <v>194.66083617292287</v>
      </c>
      <c r="AO292" s="735">
        <f t="shared" si="247"/>
        <v>1.5656591640348843</v>
      </c>
      <c r="AP292" s="733" t="str">
        <f t="shared" si="248"/>
        <v>1+9.44124683912693i</v>
      </c>
      <c r="AQ292" s="734">
        <f t="shared" si="249"/>
        <v>9.4940582406747556</v>
      </c>
      <c r="AR292" s="735">
        <f t="shared" si="250"/>
        <v>1.4652715552559676</v>
      </c>
      <c r="AS292" s="732" t="str">
        <f t="shared" si="251"/>
        <v>0.00728718613525321-12.072434286505i</v>
      </c>
      <c r="AT292" s="337">
        <f t="shared" si="252"/>
        <v>12.072436485857494</v>
      </c>
      <c r="AU292" s="730">
        <f t="shared" si="253"/>
        <v>-1.5701927049339479</v>
      </c>
      <c r="AV292" s="732" t="str">
        <f t="shared" si="254"/>
        <v>-0.911318067902651+0.084925662429164i</v>
      </c>
      <c r="AW292" s="337">
        <f t="shared" si="255"/>
        <v>-0.76904750621722018</v>
      </c>
      <c r="AX292" s="730">
        <f t="shared" si="256"/>
        <v>174.67598695834803</v>
      </c>
      <c r="AY292" s="360">
        <f t="shared" si="257"/>
        <v>-5.3240130416519662</v>
      </c>
      <c r="BB292" s="337">
        <f t="shared" si="258"/>
        <v>-18.364101415655934</v>
      </c>
      <c r="BC292" s="730">
        <f t="shared" si="259"/>
        <v>-89.965415014945805</v>
      </c>
      <c r="BD292" s="351"/>
      <c r="BE292" s="337">
        <f t="shared" si="220"/>
        <v>38.413961420608807</v>
      </c>
      <c r="BF292" s="730">
        <f t="shared" si="221"/>
        <v>-87.704318363103738</v>
      </c>
      <c r="BI292" s="351"/>
      <c r="BJ292" s="351"/>
      <c r="BL292" s="405">
        <f t="shared" si="222"/>
        <v>0</v>
      </c>
      <c r="BM292" s="405">
        <f t="shared" si="260"/>
        <v>0</v>
      </c>
      <c r="BN292" s="405">
        <f t="shared" si="223"/>
        <v>0</v>
      </c>
      <c r="BO292" s="405">
        <f t="shared" si="224"/>
        <v>0</v>
      </c>
    </row>
    <row r="293" spans="4:67" ht="13.5" thickBot="1" x14ac:dyDescent="0.25">
      <c r="D293" s="345">
        <v>19498</v>
      </c>
      <c r="E293" s="340" t="str">
        <f t="shared" si="211"/>
        <v>0.323425204395183i</v>
      </c>
      <c r="F293" s="728" t="str">
        <f t="shared" si="225"/>
        <v>0.005-0.133813592560057i</v>
      </c>
      <c r="G293" s="337" t="str">
        <f t="shared" si="226"/>
        <v>0.005-0.209298183234961i</v>
      </c>
      <c r="H293" s="338" t="str">
        <f t="shared" si="227"/>
        <v>0.0395298820703588-0.20166924182951i</v>
      </c>
      <c r="I293" s="338" t="str">
        <f t="shared" si="228"/>
        <v>0.0495298820703588-0.20166924182951i</v>
      </c>
      <c r="J293" s="337" t="str">
        <f t="shared" si="229"/>
        <v>0.00955437339365911-0.0812543367583338i</v>
      </c>
      <c r="K293" s="338" t="str">
        <f t="shared" si="212"/>
        <v>0.995775866622222-0.102091289266156i</v>
      </c>
      <c r="L293" s="732"/>
      <c r="M293" s="732" t="str">
        <f t="shared" si="213"/>
        <v>3.25321629064367-82.4579675982065i</v>
      </c>
      <c r="N293" s="337">
        <f t="shared" si="214"/>
        <v>0</v>
      </c>
      <c r="O293" s="730" t="str">
        <f t="shared" si="215"/>
        <v>-2.73917368709302-32.3961850379373i</v>
      </c>
      <c r="P293" s="731" t="str">
        <f t="shared" si="216"/>
        <v>-6.66898502446132-1.05217214374317i</v>
      </c>
      <c r="Q293" s="729" t="str">
        <f t="shared" si="217"/>
        <v>-6.64159328759041-0.72821029336379i</v>
      </c>
      <c r="R293" s="730"/>
      <c r="S293" s="405" t="str">
        <f t="shared" si="230"/>
        <v>39.8254419229387-2.01925766657835i</v>
      </c>
      <c r="T293" s="405" t="str">
        <f t="shared" si="231"/>
        <v>15.4720126209859-2.72670862082267i</v>
      </c>
      <c r="U293" s="405" t="str">
        <f t="shared" si="232"/>
        <v>0.0617135740473761-3.22801552507222i</v>
      </c>
      <c r="V293" s="731" t="str">
        <f t="shared" si="218"/>
        <v>6000</v>
      </c>
      <c r="W293" s="733" t="str">
        <f>IMSUM(COMPLEX(1,0),IMDIV(COMPLEX(0,2*PI()*D293),COMPLEX(2*PI()*'Stability Calculations'!EA_Pole1,0)))</f>
        <v>1+123734.642590582i</v>
      </c>
      <c r="X293" s="734">
        <f t="shared" si="233"/>
        <v>123734.64259462291</v>
      </c>
      <c r="Y293" s="735">
        <f t="shared" si="234"/>
        <v>1.570788244983861</v>
      </c>
      <c r="Z293" s="340" t="str">
        <f>IMSUM(COMPLEX(1,0),IMDIV(COMPLEX(0,2*PI()*D293),COMPLEX(2*PI()*'Stability Calculations'!EA_Zero1,0)))</f>
        <v>1+1225.09547119388i</v>
      </c>
      <c r="AA293" s="734">
        <f t="shared" si="235"/>
        <v>1225.0958793252694</v>
      </c>
      <c r="AB293" s="735">
        <f t="shared" si="236"/>
        <v>1.5699800640615682</v>
      </c>
      <c r="AC293" s="733" t="str">
        <f>IMSUM(COMPLEX(1,0),IMDIV(COMPLEX(0,2*PI()*D293),COMPLEX(2*PI()*'Stability Calculations'!EA_Pole2,0)))</f>
        <v>1+12.3409454811696i</v>
      </c>
      <c r="AD293" s="734">
        <f t="shared" si="237"/>
        <v>12.381394726330326</v>
      </c>
      <c r="AE293" s="735">
        <f t="shared" si="238"/>
        <v>1.4899419136689394</v>
      </c>
      <c r="AF293" s="732" t="str">
        <f t="shared" si="239"/>
        <v>0.38365199788063-4.78263914821207i</v>
      </c>
      <c r="AG293" s="337">
        <f t="shared" si="240"/>
        <v>4.7980023006964547</v>
      </c>
      <c r="AH293" s="730">
        <f t="shared" si="241"/>
        <v>-1.4907500945912324</v>
      </c>
      <c r="AI293" s="731" t="str">
        <f t="shared" si="219"/>
        <v>10000</v>
      </c>
      <c r="AJ293" s="733" t="str">
        <f t="shared" si="242"/>
        <v>1+115354.744548522i</v>
      </c>
      <c r="AK293" s="734">
        <f t="shared" si="243"/>
        <v>115354.74455285646</v>
      </c>
      <c r="AL293" s="735">
        <f t="shared" si="244"/>
        <v>1.5707876578840174</v>
      </c>
      <c r="AM293" s="340" t="str">
        <f t="shared" si="245"/>
        <v>1+195.770256296782i</v>
      </c>
      <c r="AN293" s="734">
        <f t="shared" si="246"/>
        <v>195.77281029424825</v>
      </c>
      <c r="AO293" s="735">
        <f t="shared" si="247"/>
        <v>1.5656883429686781</v>
      </c>
      <c r="AP293" s="733" t="str">
        <f t="shared" si="248"/>
        <v>1+9.4951801245302i</v>
      </c>
      <c r="AQ293" s="734">
        <f t="shared" si="249"/>
        <v>9.5476932081667432</v>
      </c>
      <c r="AR293" s="735">
        <f t="shared" si="250"/>
        <v>1.4658665409932086</v>
      </c>
      <c r="AS293" s="732" t="str">
        <f t="shared" si="251"/>
        <v>0.00720463782180812-12.0038620672414i</v>
      </c>
      <c r="AT293" s="337">
        <f t="shared" si="252"/>
        <v>12.003864229328949</v>
      </c>
      <c r="AU293" s="730">
        <f t="shared" si="253"/>
        <v>-1.5701961335473953</v>
      </c>
      <c r="AV293" s="732" t="str">
        <f t="shared" si="254"/>
        <v>-0.900858936319623+0.0847467192848805i</v>
      </c>
      <c r="AW293" s="337">
        <f t="shared" si="255"/>
        <v>-0.86859916700296924</v>
      </c>
      <c r="AX293" s="730">
        <f t="shared" si="256"/>
        <v>174.62581655642396</v>
      </c>
      <c r="AY293" s="360">
        <f t="shared" si="257"/>
        <v>-5.3741834435760438</v>
      </c>
      <c r="BB293" s="337">
        <f t="shared" si="258"/>
        <v>-18.413578506840938</v>
      </c>
      <c r="BC293" s="730">
        <f t="shared" si="259"/>
        <v>-89.965611460025926</v>
      </c>
      <c r="BD293" s="351"/>
      <c r="BE293" s="337">
        <f t="shared" si="220"/>
        <v>38.331407241439884</v>
      </c>
      <c r="BF293" s="730">
        <f t="shared" si="221"/>
        <v>-87.740679910605394</v>
      </c>
      <c r="BI293" s="351"/>
      <c r="BJ293" s="351"/>
      <c r="BL293" s="405">
        <f t="shared" si="222"/>
        <v>0</v>
      </c>
      <c r="BM293" s="405">
        <f t="shared" si="260"/>
        <v>0</v>
      </c>
      <c r="BN293" s="405">
        <f t="shared" si="223"/>
        <v>0</v>
      </c>
      <c r="BO293" s="405">
        <f t="shared" si="224"/>
        <v>0</v>
      </c>
    </row>
    <row r="294" spans="4:67" ht="13.5" thickBot="1" x14ac:dyDescent="0.25">
      <c r="D294" s="345">
        <v>19611.75</v>
      </c>
      <c r="E294" s="340" t="str">
        <f t="shared" si="211"/>
        <v>0.325312044942929i</v>
      </c>
      <c r="F294" s="728" t="str">
        <f t="shared" si="225"/>
        <v>0.005-0.133037461100411i</v>
      </c>
      <c r="G294" s="337" t="str">
        <f t="shared" si="226"/>
        <v>0.005-0.208084234028848i</v>
      </c>
      <c r="H294" s="338" t="str">
        <f t="shared" si="227"/>
        <v>0.0391415208625478-0.20056569005268i</v>
      </c>
      <c r="I294" s="338" t="str">
        <f t="shared" si="228"/>
        <v>0.0491415208625478-0.20056569005268i</v>
      </c>
      <c r="J294" s="337" t="str">
        <f t="shared" si="229"/>
        <v>0.00949192442901742-0.0807874557404266i</v>
      </c>
      <c r="K294" s="338" t="str">
        <f t="shared" si="212"/>
        <v>0.99572643624375-0.102686882873399i</v>
      </c>
      <c r="L294" s="732"/>
      <c r="M294" s="732" t="str">
        <f t="shared" si="213"/>
        <v>3.17018989542085-81.6683052703098i</v>
      </c>
      <c r="N294" s="337">
        <f t="shared" si="214"/>
        <v>0</v>
      </c>
      <c r="O294" s="730" t="str">
        <f t="shared" si="215"/>
        <v>-2.71806580001342-32.079831329081i</v>
      </c>
      <c r="P294" s="731" t="str">
        <f t="shared" si="216"/>
        <v>-6.56768339450782-1.03130095773676i</v>
      </c>
      <c r="Q294" s="729" t="str">
        <f t="shared" si="217"/>
        <v>-6.54050273650769-0.710502644445953i</v>
      </c>
      <c r="R294" s="730"/>
      <c r="S294" s="405" t="str">
        <f t="shared" si="230"/>
        <v>39.8253444577621-2.05482916262702i</v>
      </c>
      <c r="T294" s="405" t="str">
        <f t="shared" si="231"/>
        <v>15.469168353632-2.73308819324727i</v>
      </c>
      <c r="U294" s="405" t="str">
        <f t="shared" si="232"/>
        <v>0.0573230563864761-3.20956165392243i</v>
      </c>
      <c r="V294" s="731" t="str">
        <f t="shared" si="218"/>
        <v>6000</v>
      </c>
      <c r="W294" s="733" t="str">
        <f>IMSUM(COMPLEX(1,0),IMDIV(COMPLEX(0,2*PI()*D294),COMPLEX(2*PI()*'Stability Calculations'!EA_Pole1,0)))</f>
        <v>1+124456.50204256i</v>
      </c>
      <c r="X294" s="734">
        <f t="shared" si="233"/>
        <v>124456.50204657744</v>
      </c>
      <c r="Y294" s="735">
        <f t="shared" si="234"/>
        <v>1.5707882918591274</v>
      </c>
      <c r="Z294" s="340" t="str">
        <f>IMSUM(COMPLEX(1,0),IMDIV(COMPLEX(0,2*PI()*D294),COMPLEX(2*PI()*'Stability Calculations'!EA_Zero1,0)))</f>
        <v>1+1232.24259448079i</v>
      </c>
      <c r="AA294" s="734">
        <f t="shared" si="235"/>
        <v>1232.2430002449796</v>
      </c>
      <c r="AB294" s="735">
        <f t="shared" si="236"/>
        <v>1.5699847984603359</v>
      </c>
      <c r="AC294" s="733" t="str">
        <f>IMSUM(COMPLEX(1,0),IMDIV(COMPLEX(0,2*PI()*D294),COMPLEX(2*PI()*'Stability Calculations'!EA_Pole2,0)))</f>
        <v>1+12.4129417140387i</v>
      </c>
      <c r="AD294" s="734">
        <f t="shared" si="237"/>
        <v>12.453157109589602</v>
      </c>
      <c r="AE294" s="735">
        <f t="shared" si="238"/>
        <v>1.4904088533175834</v>
      </c>
      <c r="AF294" s="732" t="str">
        <f t="shared" si="239"/>
        <v>0.379243083012704-4.75525457658556i</v>
      </c>
      <c r="AG294" s="337">
        <f t="shared" si="240"/>
        <v>4.7703533835713783</v>
      </c>
      <c r="AH294" s="730">
        <f t="shared" si="241"/>
        <v>-1.4912123467163754</v>
      </c>
      <c r="AI294" s="731" t="str">
        <f t="shared" si="219"/>
        <v>10000</v>
      </c>
      <c r="AJ294" s="733" t="str">
        <f t="shared" si="242"/>
        <v>1+116027.716247793i</v>
      </c>
      <c r="AK294" s="734">
        <f t="shared" si="243"/>
        <v>116027.71625210233</v>
      </c>
      <c r="AL294" s="735">
        <f t="shared" si="244"/>
        <v>1.5707877081645183</v>
      </c>
      <c r="AM294" s="340" t="str">
        <f t="shared" si="245"/>
        <v>1+196.91236659803i</v>
      </c>
      <c r="AN294" s="734">
        <f t="shared" si="246"/>
        <v>196.9149057822616</v>
      </c>
      <c r="AO294" s="735">
        <f t="shared" si="247"/>
        <v>1.5657179692458516</v>
      </c>
      <c r="AP294" s="733" t="str">
        <f t="shared" si="248"/>
        <v>1+9.55057435671629i</v>
      </c>
      <c r="AQ294" s="734">
        <f t="shared" si="249"/>
        <v>9.602784520292369</v>
      </c>
      <c r="AR294" s="735">
        <f t="shared" si="250"/>
        <v>1.4664707245954387</v>
      </c>
      <c r="AS294" s="732" t="str">
        <f t="shared" si="251"/>
        <v>0.00712130506540274-11.9342385846383i</v>
      </c>
      <c r="AT294" s="337">
        <f t="shared" si="252"/>
        <v>11.934240709322708</v>
      </c>
      <c r="AU294" s="730">
        <f t="shared" si="253"/>
        <v>-1.5701996147240191</v>
      </c>
      <c r="AV294" s="732" t="str">
        <f t="shared" si="254"/>
        <v>-0.890301274616431+0.0845593612754349i</v>
      </c>
      <c r="AW294" s="337">
        <f t="shared" si="255"/>
        <v>-0.97025851991019663</v>
      </c>
      <c r="AX294" s="730">
        <f t="shared" si="256"/>
        <v>174.57441589253526</v>
      </c>
      <c r="AY294" s="360">
        <f t="shared" si="257"/>
        <v>-5.4255841074647435</v>
      </c>
      <c r="BB294" s="337">
        <f t="shared" si="258"/>
        <v>-18.464104136816243</v>
      </c>
      <c r="BC294" s="730">
        <f t="shared" si="259"/>
        <v>-89.965810916754208</v>
      </c>
      <c r="BD294" s="351"/>
      <c r="BE294" s="337">
        <f t="shared" si="220"/>
        <v>38.247610011670822</v>
      </c>
      <c r="BF294" s="730">
        <f t="shared" si="221"/>
        <v>-87.777015814871959</v>
      </c>
      <c r="BI294" s="351"/>
      <c r="BJ294" s="351"/>
      <c r="BL294" s="405">
        <f t="shared" si="222"/>
        <v>0</v>
      </c>
      <c r="BM294" s="405">
        <f t="shared" si="260"/>
        <v>0</v>
      </c>
      <c r="BN294" s="405">
        <f t="shared" si="223"/>
        <v>0</v>
      </c>
      <c r="BO294" s="405">
        <f t="shared" si="224"/>
        <v>0</v>
      </c>
    </row>
    <row r="295" spans="4:67" ht="13.5" thickBot="1" x14ac:dyDescent="0.25">
      <c r="D295" s="345">
        <v>19725.5</v>
      </c>
      <c r="E295" s="340" t="str">
        <f t="shared" si="211"/>
        <v>0.327198885490675i</v>
      </c>
      <c r="F295" s="728" t="str">
        <f t="shared" si="225"/>
        <v>0.005-0.132270280993434i</v>
      </c>
      <c r="G295" s="337" t="str">
        <f t="shared" si="226"/>
        <v>0.005-0.206884285656397i</v>
      </c>
      <c r="H295" s="338" t="str">
        <f t="shared" si="227"/>
        <v>0.0387596091453569-0.199473773668424i</v>
      </c>
      <c r="I295" s="338" t="str">
        <f t="shared" si="228"/>
        <v>0.0487596091453569-0.199473773668424i</v>
      </c>
      <c r="J295" s="337" t="str">
        <f t="shared" si="229"/>
        <v>0.00943054612056519-0.0803258902374204i</v>
      </c>
      <c r="K295" s="338" t="str">
        <f t="shared" si="212"/>
        <v>0.995676718330556-0.103282476480642i</v>
      </c>
      <c r="L295" s="732"/>
      <c r="M295" s="732" t="str">
        <f t="shared" si="213"/>
        <v>3.09019858154139-80.8952705388774i</v>
      </c>
      <c r="N295" s="337">
        <f t="shared" si="214"/>
        <v>0</v>
      </c>
      <c r="O295" s="730" t="str">
        <f t="shared" si="215"/>
        <v>-2.69707639332226-31.7702615961337i</v>
      </c>
      <c r="P295" s="731" t="str">
        <f t="shared" si="216"/>
        <v>-6.46884236178737-1.01110953182521i</v>
      </c>
      <c r="Q295" s="729" t="str">
        <f t="shared" si="217"/>
        <v>-6.44187159785416-0.693406915863869i</v>
      </c>
      <c r="R295" s="730"/>
      <c r="S295" s="405" t="str">
        <f t="shared" si="230"/>
        <v>39.8251821998414-2.09026915904855i</v>
      </c>
      <c r="T295" s="405" t="str">
        <f t="shared" si="231"/>
        <v>15.4663329517865-2.73951734672802i</v>
      </c>
      <c r="U295" s="405" t="str">
        <f t="shared" si="232"/>
        <v>0.0530071569412512-3.19131042031126i</v>
      </c>
      <c r="V295" s="731" t="str">
        <f t="shared" si="218"/>
        <v>6000</v>
      </c>
      <c r="W295" s="733" t="str">
        <f>IMSUM(COMPLEX(1,0),IMDIV(COMPLEX(0,2*PI()*D295),COMPLEX(2*PI()*'Stability Calculations'!EA_Pole1,0)))</f>
        <v>1+125178.361494539i</v>
      </c>
      <c r="X295" s="734">
        <f t="shared" si="233"/>
        <v>125178.36149853331</v>
      </c>
      <c r="Y295" s="735">
        <f t="shared" si="234"/>
        <v>1.5707883381937675</v>
      </c>
      <c r="Z295" s="340" t="str">
        <f>IMSUM(COMPLEX(1,0),IMDIV(COMPLEX(0,2*PI()*D295),COMPLEX(2*PI()*'Stability Calculations'!EA_Zero1,0)))</f>
        <v>1+1239.38971776771i</v>
      </c>
      <c r="AA295" s="734">
        <f t="shared" si="235"/>
        <v>1239.3901211920013</v>
      </c>
      <c r="AB295" s="735">
        <f t="shared" si="236"/>
        <v>1.5699894782559241</v>
      </c>
      <c r="AC295" s="733" t="str">
        <f>IMSUM(COMPLEX(1,0),IMDIV(COMPLEX(0,2*PI()*D295),COMPLEX(2*PI()*'Stability Calculations'!EA_Pole2,0)))</f>
        <v>1+12.4849379469079i</v>
      </c>
      <c r="AD295" s="734">
        <f t="shared" si="237"/>
        <v>12.524922176929516</v>
      </c>
      <c r="AE295" s="735">
        <f t="shared" si="238"/>
        <v>1.4908704421415928</v>
      </c>
      <c r="AF295" s="732" t="str">
        <f t="shared" si="239"/>
        <v>0.374909573685414-4.72817979957276i</v>
      </c>
      <c r="AG295" s="337">
        <f t="shared" si="240"/>
        <v>4.743020283061087</v>
      </c>
      <c r="AH295" s="730">
        <f t="shared" si="241"/>
        <v>-1.4916693020794358</v>
      </c>
      <c r="AI295" s="731" t="str">
        <f t="shared" si="219"/>
        <v>10000</v>
      </c>
      <c r="AJ295" s="733" t="str">
        <f t="shared" si="242"/>
        <v>1+116700.687947064i</v>
      </c>
      <c r="AK295" s="734">
        <f t="shared" si="243"/>
        <v>116700.68795134846</v>
      </c>
      <c r="AL295" s="735">
        <f t="shared" si="244"/>
        <v>1.5707877578651193</v>
      </c>
      <c r="AM295" s="340" t="str">
        <f t="shared" si="245"/>
        <v>1+198.05447689928i</v>
      </c>
      <c r="AN295" s="734">
        <f t="shared" si="246"/>
        <v>198.05700144111904</v>
      </c>
      <c r="AO295" s="735">
        <f t="shared" si="247"/>
        <v>1.565747253843208</v>
      </c>
      <c r="AP295" s="733" t="str">
        <f t="shared" si="248"/>
        <v>1+9.60596858890245i</v>
      </c>
      <c r="AQ295" s="734">
        <f t="shared" si="249"/>
        <v>9.6578792978055255</v>
      </c>
      <c r="AR295" s="735">
        <f t="shared" si="250"/>
        <v>1.46706801510712</v>
      </c>
      <c r="AS295" s="732" t="str">
        <f t="shared" si="251"/>
        <v>0.00703940979936959-11.865418089309i</v>
      </c>
      <c r="AT295" s="337">
        <f t="shared" si="252"/>
        <v>11.86542017744806</v>
      </c>
      <c r="AU295" s="730">
        <f t="shared" si="253"/>
        <v>-1.5702030557512219</v>
      </c>
      <c r="AV295" s="732" t="str">
        <f t="shared" si="254"/>
        <v>-0.879926577179432+0.0843685861625636i</v>
      </c>
      <c r="AW295" s="337">
        <f t="shared" si="255"/>
        <v>-1.0713279602022461</v>
      </c>
      <c r="AX295" s="730">
        <f t="shared" si="256"/>
        <v>174.52314324170422</v>
      </c>
      <c r="AY295" s="360">
        <f t="shared" si="257"/>
        <v>-5.4768567582957814</v>
      </c>
      <c r="BB295" s="337">
        <f t="shared" si="258"/>
        <v>-18.514337559356623</v>
      </c>
      <c r="BC295" s="730">
        <f t="shared" si="259"/>
        <v>-89.966008073090123</v>
      </c>
      <c r="BD295" s="351"/>
      <c r="BE295" s="337">
        <f t="shared" si="220"/>
        <v>38.164795411548603</v>
      </c>
      <c r="BF295" s="730">
        <f t="shared" si="221"/>
        <v>-87.812365436305726</v>
      </c>
      <c r="BI295" s="351"/>
      <c r="BJ295" s="351"/>
      <c r="BL295" s="405">
        <f t="shared" si="222"/>
        <v>0</v>
      </c>
      <c r="BM295" s="405">
        <f t="shared" si="260"/>
        <v>0</v>
      </c>
      <c r="BN295" s="405">
        <f t="shared" si="223"/>
        <v>0</v>
      </c>
      <c r="BO295" s="405">
        <f t="shared" si="224"/>
        <v>0</v>
      </c>
    </row>
    <row r="296" spans="4:67" ht="13.5" thickBot="1" x14ac:dyDescent="0.25">
      <c r="D296" s="345">
        <v>19839.25</v>
      </c>
      <c r="E296" s="340" t="str">
        <f t="shared" si="211"/>
        <v>0.329085726038421i</v>
      </c>
      <c r="F296" s="728" t="str">
        <f t="shared" si="225"/>
        <v>0.005-0.131511898269138i</v>
      </c>
      <c r="G296" s="337" t="str">
        <f t="shared" si="226"/>
        <v>0.005-0.205698097292754i</v>
      </c>
      <c r="H296" s="338" t="str">
        <f t="shared" si="227"/>
        <v>0.0383840062719156-0.198393316220664i</v>
      </c>
      <c r="I296" s="338" t="str">
        <f t="shared" si="228"/>
        <v>0.0483840062719156-0.198393316220664i</v>
      </c>
      <c r="J296" s="337" t="str">
        <f t="shared" si="229"/>
        <v>0.00937021415803325-0.0798695504127154i</v>
      </c>
      <c r="K296" s="338" t="str">
        <f t="shared" si="212"/>
        <v>0.995626712882639-0.103878070087886i</v>
      </c>
      <c r="L296" s="732"/>
      <c r="M296" s="732" t="str">
        <f t="shared" si="213"/>
        <v>3.0130999943623-80.1383239174994i</v>
      </c>
      <c r="N296" s="337">
        <f t="shared" si="214"/>
        <v>0</v>
      </c>
      <c r="O296" s="730" t="str">
        <f t="shared" si="215"/>
        <v>-2.67621670026133-31.4672517361339i</v>
      </c>
      <c r="P296" s="731" t="str">
        <f t="shared" si="216"/>
        <v>-6.3723785098925-0.99156819927108i</v>
      </c>
      <c r="Q296" s="729" t="str">
        <f t="shared" si="217"/>
        <v>-6.34561634288987-0.676895681909746i</v>
      </c>
      <c r="R296" s="730"/>
      <c r="S296" s="405" t="str">
        <f t="shared" si="230"/>
        <v>39.8249562157256-2.12557975394479i</v>
      </c>
      <c r="T296" s="405" t="str">
        <f t="shared" si="231"/>
        <v>15.4635059952341-2.74599523903094i</v>
      </c>
      <c r="U296" s="405" t="str">
        <f t="shared" si="232"/>
        <v>0.0487642093093693-3.17325853327021i</v>
      </c>
      <c r="V296" s="731" t="str">
        <f t="shared" si="218"/>
        <v>6000</v>
      </c>
      <c r="W296" s="733" t="str">
        <f>IMSUM(COMPLEX(1,0),IMDIV(COMPLEX(0,2*PI()*D296),COMPLEX(2*PI()*'Stability Calculations'!EA_Pole1,0)))</f>
        <v>1+125900.220946518i</v>
      </c>
      <c r="X296" s="734">
        <f t="shared" si="233"/>
        <v>125900.22095048941</v>
      </c>
      <c r="Y296" s="735">
        <f t="shared" si="234"/>
        <v>1.5707883839970804</v>
      </c>
      <c r="Z296" s="340" t="str">
        <f>IMSUM(COMPLEX(1,0),IMDIV(COMPLEX(0,2*PI()*D296),COMPLEX(2*PI()*'Stability Calculations'!EA_Zero1,0)))</f>
        <v>1+1246.53684105463i</v>
      </c>
      <c r="AA296" s="734">
        <f t="shared" si="235"/>
        <v>1246.5372421658551</v>
      </c>
      <c r="AB296" s="735">
        <f t="shared" si="236"/>
        <v>1.5699941043875478</v>
      </c>
      <c r="AC296" s="733" t="str">
        <f>IMSUM(COMPLEX(1,0),IMDIV(COMPLEX(0,2*PI()*D296),COMPLEX(2*PI()*'Stability Calculations'!EA_Pole2,0)))</f>
        <v>1+12.5569341797771i</v>
      </c>
      <c r="AD296" s="734">
        <f t="shared" si="237"/>
        <v>12.596689882475252</v>
      </c>
      <c r="AE296" s="735">
        <f t="shared" si="238"/>
        <v>1.4913267713990743</v>
      </c>
      <c r="AF296" s="732" t="str">
        <f t="shared" si="239"/>
        <v>0.370649763723767-4.7014096243486i</v>
      </c>
      <c r="AG296" s="337">
        <f t="shared" si="240"/>
        <v>4.7159976360539169</v>
      </c>
      <c r="AH296" s="730">
        <f t="shared" si="241"/>
        <v>-1.4921210510086069</v>
      </c>
      <c r="AI296" s="731" t="str">
        <f t="shared" si="219"/>
        <v>10000</v>
      </c>
      <c r="AJ296" s="733" t="str">
        <f t="shared" si="242"/>
        <v>1+117373.659646336i</v>
      </c>
      <c r="AK296" s="734">
        <f t="shared" si="243"/>
        <v>117373.65965059592</v>
      </c>
      <c r="AL296" s="735">
        <f t="shared" si="244"/>
        <v>1.5707878069957952</v>
      </c>
      <c r="AM296" s="340" t="str">
        <f t="shared" si="245"/>
        <v>1+199.19658720053i</v>
      </c>
      <c r="AN296" s="734">
        <f t="shared" si="246"/>
        <v>199.19909726788009</v>
      </c>
      <c r="AO296" s="735">
        <f t="shared" si="247"/>
        <v>1.5657762026376973</v>
      </c>
      <c r="AP296" s="733" t="str">
        <f t="shared" si="248"/>
        <v>1+9.66136282108861i</v>
      </c>
      <c r="AQ296" s="734">
        <f t="shared" si="249"/>
        <v>9.7129774817361376</v>
      </c>
      <c r="AR296" s="735">
        <f t="shared" si="250"/>
        <v>1.4676585294043869</v>
      </c>
      <c r="AS296" s="732" t="str">
        <f t="shared" si="251"/>
        <v>0.00695891915053727-11.7973867692888i</v>
      </c>
      <c r="AT296" s="337">
        <f t="shared" si="252"/>
        <v>11.797388821715852</v>
      </c>
      <c r="AU296" s="730">
        <f t="shared" si="253"/>
        <v>-1.5702064573196037</v>
      </c>
      <c r="AV296" s="732" t="str">
        <f t="shared" si="254"/>
        <v>-0.869730637384395+0.0841745852667249i</v>
      </c>
      <c r="AW296" s="337">
        <f t="shared" si="255"/>
        <v>-1.1718143528534906</v>
      </c>
      <c r="AX296" s="730">
        <f t="shared" si="256"/>
        <v>174.47199618137205</v>
      </c>
      <c r="AY296" s="360">
        <f t="shared" si="257"/>
        <v>-5.5280038186279512</v>
      </c>
      <c r="BB296" s="337">
        <f t="shared" si="258"/>
        <v>-18.564282134911629</v>
      </c>
      <c r="BC296" s="730">
        <f t="shared" si="259"/>
        <v>-89.966202968602119</v>
      </c>
      <c r="BD296" s="351"/>
      <c r="BE296" s="337">
        <f t="shared" si="220"/>
        <v>38.082940234230264</v>
      </c>
      <c r="BF296" s="730">
        <f t="shared" si="221"/>
        <v>-87.84676515946758</v>
      </c>
      <c r="BI296" s="351"/>
      <c r="BJ296" s="351"/>
      <c r="BL296" s="405">
        <f t="shared" si="222"/>
        <v>0</v>
      </c>
      <c r="BM296" s="405">
        <f t="shared" si="260"/>
        <v>0</v>
      </c>
      <c r="BN296" s="405">
        <f t="shared" si="223"/>
        <v>0</v>
      </c>
      <c r="BO296" s="405">
        <f t="shared" si="224"/>
        <v>0</v>
      </c>
    </row>
    <row r="297" spans="4:67" ht="13.5" thickBot="1" x14ac:dyDescent="0.25">
      <c r="D297" s="345">
        <v>19953</v>
      </c>
      <c r="E297" s="340" t="str">
        <f t="shared" si="211"/>
        <v>0.330972566586167i</v>
      </c>
      <c r="F297" s="728" t="str">
        <f t="shared" si="225"/>
        <v>0.005-0.130762162468601i</v>
      </c>
      <c r="G297" s="337" t="str">
        <f t="shared" si="226"/>
        <v>0.005-0.204525433604734i</v>
      </c>
      <c r="H297" s="338" t="str">
        <f t="shared" si="227"/>
        <v>0.0380145753704486-0.197324144645145i</v>
      </c>
      <c r="I297" s="338" t="str">
        <f t="shared" si="228"/>
        <v>0.0480145753704486-0.197324144645145i</v>
      </c>
      <c r="J297" s="337" t="str">
        <f t="shared" si="229"/>
        <v>0.0093109049162088-0.0794183484336268i</v>
      </c>
      <c r="K297" s="338" t="str">
        <f t="shared" si="212"/>
        <v>0.9955764199-0.104473663695129i</v>
      </c>
      <c r="L297" s="732"/>
      <c r="M297" s="732" t="str">
        <f t="shared" si="213"/>
        <v>2.93875988367909-79.3969492256349i</v>
      </c>
      <c r="N297" s="337">
        <f t="shared" si="214"/>
        <v>0</v>
      </c>
      <c r="O297" s="730" t="str">
        <f t="shared" si="215"/>
        <v>-2.65549673335095-31.1705874987145i</v>
      </c>
      <c r="P297" s="731" t="str">
        <f t="shared" si="216"/>
        <v>-6.27821206431996-0.972648901281736i</v>
      </c>
      <c r="Q297" s="729" t="str">
        <f t="shared" si="217"/>
        <v>-6.25165709698646-0.660943026294586i</v>
      </c>
      <c r="R297" s="730"/>
      <c r="S297" s="405" t="str">
        <f t="shared" si="230"/>
        <v>39.8246675424338-2.1607630007584i</v>
      </c>
      <c r="T297" s="405" t="str">
        <f t="shared" si="231"/>
        <v>15.4606870754249-2.75252104555246i</v>
      </c>
      <c r="U297" s="405" t="str">
        <f t="shared" si="232"/>
        <v>0.0445925931762562-3.15540277152937i</v>
      </c>
      <c r="V297" s="731" t="str">
        <f t="shared" si="218"/>
        <v>6000</v>
      </c>
      <c r="W297" s="733" t="str">
        <f>IMSUM(COMPLEX(1,0),IMDIV(COMPLEX(0,2*PI()*D297),COMPLEX(2*PI()*'Stability Calculations'!EA_Pole1,0)))</f>
        <v>1+126622.080398496i</v>
      </c>
      <c r="X297" s="734">
        <f t="shared" si="233"/>
        <v>126622.08040244474</v>
      </c>
      <c r="Y297" s="735">
        <f t="shared" si="234"/>
        <v>1.5707884292781535</v>
      </c>
      <c r="Z297" s="340" t="str">
        <f>IMSUM(COMPLEX(1,0),IMDIV(COMPLEX(0,2*PI()*D297),COMPLEX(2*PI()*'Stability Calculations'!EA_Zero1,0)))</f>
        <v>1+1253.68396434154i</v>
      </c>
      <c r="AA297" s="734">
        <f t="shared" si="235"/>
        <v>1253.6843631660722</v>
      </c>
      <c r="AB297" s="735">
        <f t="shared" si="236"/>
        <v>1.5699986777730046</v>
      </c>
      <c r="AC297" s="733" t="str">
        <f>IMSUM(COMPLEX(1,0),IMDIV(COMPLEX(0,2*PI()*D297),COMPLEX(2*PI()*'Stability Calculations'!EA_Pole2,0)))</f>
        <v>1+12.6289304126462i</v>
      </c>
      <c r="AD297" s="734">
        <f t="shared" si="237"/>
        <v>12.668460181389849</v>
      </c>
      <c r="AE297" s="735">
        <f t="shared" si="238"/>
        <v>1.4917779302890024</v>
      </c>
      <c r="AF297" s="732" t="str">
        <f t="shared" si="239"/>
        <v>0.366461994836216-4.67493897271159i</v>
      </c>
      <c r="AG297" s="337">
        <f t="shared" si="240"/>
        <v>4.6892801998000753</v>
      </c>
      <c r="AH297" s="730">
        <f t="shared" si="241"/>
        <v>-1.4925676817941513</v>
      </c>
      <c r="AI297" s="731" t="str">
        <f t="shared" si="219"/>
        <v>10000</v>
      </c>
      <c r="AJ297" s="733" t="str">
        <f t="shared" si="242"/>
        <v>1+118046.631345607i</v>
      </c>
      <c r="AK297" s="734">
        <f t="shared" si="243"/>
        <v>118046.63134984262</v>
      </c>
      <c r="AL297" s="735">
        <f t="shared" si="244"/>
        <v>1.5707878555662933</v>
      </c>
      <c r="AM297" s="340" t="str">
        <f t="shared" si="245"/>
        <v>1+200.338697501778i</v>
      </c>
      <c r="AN297" s="734">
        <f t="shared" si="246"/>
        <v>200.34119325967117</v>
      </c>
      <c r="AO297" s="735">
        <f t="shared" si="247"/>
        <v>1.56580482137226</v>
      </c>
      <c r="AP297" s="733" t="str">
        <f t="shared" si="248"/>
        <v>1+9.7167570532747i</v>
      </c>
      <c r="AQ297" s="734">
        <f t="shared" si="249"/>
        <v>9.7680790144410494</v>
      </c>
      <c r="AR297" s="735">
        <f t="shared" si="250"/>
        <v>1.4682423817453392</v>
      </c>
      <c r="AS297" s="732" t="str">
        <f t="shared" si="251"/>
        <v>0.00687980118008793-11.7301311275746i</v>
      </c>
      <c r="AT297" s="337">
        <f t="shared" si="252"/>
        <v>11.730133145099368</v>
      </c>
      <c r="AU297" s="730">
        <f t="shared" si="253"/>
        <v>-1.5702098201040162</v>
      </c>
      <c r="AV297" s="732" t="str">
        <f t="shared" si="254"/>
        <v>-0.859709368885263+0.0839775415899641i</v>
      </c>
      <c r="AW297" s="337">
        <f t="shared" si="255"/>
        <v>-1.2717244437717423</v>
      </c>
      <c r="AX297" s="730">
        <f t="shared" si="256"/>
        <v>174.42097234991215</v>
      </c>
      <c r="AY297" s="360">
        <f t="shared" si="257"/>
        <v>-5.579027650087852</v>
      </c>
      <c r="BB297" s="337">
        <f t="shared" si="258"/>
        <v>-18.613941166293358</v>
      </c>
      <c r="BC297" s="730">
        <f t="shared" si="259"/>
        <v>-89.966395641956368</v>
      </c>
      <c r="BD297" s="351"/>
      <c r="BE297" s="337">
        <f t="shared" si="220"/>
        <v>38.002022068078354</v>
      </c>
      <c r="BF297" s="730">
        <f t="shared" si="221"/>
        <v>-87.880249678916428</v>
      </c>
      <c r="BI297" s="351"/>
      <c r="BJ297" s="351"/>
      <c r="BL297" s="405">
        <f t="shared" si="222"/>
        <v>0</v>
      </c>
      <c r="BM297" s="405">
        <f t="shared" si="260"/>
        <v>0</v>
      </c>
      <c r="BN297" s="405">
        <f t="shared" si="223"/>
        <v>0</v>
      </c>
      <c r="BO297" s="405">
        <f t="shared" si="224"/>
        <v>0</v>
      </c>
    </row>
    <row r="298" spans="4:67" ht="13.5" thickBot="1" x14ac:dyDescent="0.25">
      <c r="D298" s="345">
        <v>20069</v>
      </c>
      <c r="E298" s="340" t="str">
        <f t="shared" si="211"/>
        <v>0.332896729254638i</v>
      </c>
      <c r="F298" s="728" t="str">
        <f t="shared" si="225"/>
        <v>0.005-0.13000634948109i</v>
      </c>
      <c r="G298" s="337" t="str">
        <f t="shared" si="226"/>
        <v>0.005-0.203343264572986i</v>
      </c>
      <c r="H298" s="338" t="str">
        <f t="shared" si="227"/>
        <v>0.0376440552670706-0.196245271602205i</v>
      </c>
      <c r="I298" s="338" t="str">
        <f t="shared" si="228"/>
        <v>0.0476440552670706-0.196245271602205i</v>
      </c>
      <c r="J298" s="337" t="str">
        <f t="shared" si="229"/>
        <v>0.00925145198818668-0.0789634238500286i</v>
      </c>
      <c r="K298" s="338" t="str">
        <f t="shared" si="212"/>
        <v>0.995524835988889-0.105081038274823i</v>
      </c>
      <c r="L298" s="732"/>
      <c r="M298" s="732" t="str">
        <f t="shared" si="213"/>
        <v>2.86565887636809-78.6564348566473i</v>
      </c>
      <c r="N298" s="337">
        <f t="shared" si="214"/>
        <v>0</v>
      </c>
      <c r="O298" s="730" t="str">
        <f t="shared" si="215"/>
        <v>-2.63452004002473-30.8743779187755i</v>
      </c>
      <c r="P298" s="731" t="str">
        <f t="shared" si="216"/>
        <v>-6.18446989860836-0.953968467102457i</v>
      </c>
      <c r="Q298" s="729" t="str">
        <f t="shared" si="217"/>
        <v>-6.1581246982081-0.645224687914702i</v>
      </c>
      <c r="R298" s="730"/>
      <c r="S298" s="405" t="str">
        <f t="shared" si="230"/>
        <v>39.8243096429553-2.19651311186662i</v>
      </c>
      <c r="T298" s="405" t="str">
        <f t="shared" si="231"/>
        <v>15.4578202617581-2.75922444224409i</v>
      </c>
      <c r="U298" s="405" t="str">
        <f t="shared" si="232"/>
        <v>0.0404102901624321-3.13739253304487i</v>
      </c>
      <c r="V298" s="731" t="str">
        <f t="shared" si="218"/>
        <v>6000</v>
      </c>
      <c r="W298" s="733" t="str">
        <f>IMSUM(COMPLEX(1,0),IMDIV(COMPLEX(0,2*PI()*D298),COMPLEX(2*PI()*'Stability Calculations'!EA_Pole1,0)))</f>
        <v>1+127358.218389085i</v>
      </c>
      <c r="X298" s="734">
        <f t="shared" si="233"/>
        <v>127358.21839301095</v>
      </c>
      <c r="Y298" s="735">
        <f t="shared" si="234"/>
        <v>1.5707884749262648</v>
      </c>
      <c r="Z298" s="340" t="str">
        <f>IMSUM(COMPLEX(1,0),IMDIV(COMPLEX(0,2*PI()*D298),COMPLEX(2*PI()*'Stability Calculations'!EA_Zero1,0)))</f>
        <v>1+1260.97245929787i</v>
      </c>
      <c r="AA298" s="734">
        <f t="shared" si="235"/>
        <v>1260.9728558171737</v>
      </c>
      <c r="AB298" s="735">
        <f t="shared" si="236"/>
        <v>1.570003288229312</v>
      </c>
      <c r="AC298" s="733" t="str">
        <f>IMSUM(COMPLEX(1,0),IMDIV(COMPLEX(0,2*PI()*D298),COMPLEX(2*PI()*'Stability Calculations'!EA_Pole2,0)))</f>
        <v>1+12.7023507468249i</v>
      </c>
      <c r="AD298" s="734">
        <f t="shared" si="237"/>
        <v>12.741652737983525</v>
      </c>
      <c r="AE298" s="735">
        <f t="shared" si="238"/>
        <v>1.4922327787991745</v>
      </c>
      <c r="AF298" s="732" t="str">
        <f t="shared" si="239"/>
        <v>0.362263912741774-4.64824804671095i</v>
      </c>
      <c r="AG298" s="337">
        <f t="shared" si="240"/>
        <v>4.6623432999112309</v>
      </c>
      <c r="AH298" s="730">
        <f t="shared" si="241"/>
        <v>-1.4930179654961271</v>
      </c>
      <c r="AI298" s="731" t="str">
        <f t="shared" si="219"/>
        <v>10000</v>
      </c>
      <c r="AJ298" s="733" t="str">
        <f t="shared" si="242"/>
        <v>1+118732.914572996i</v>
      </c>
      <c r="AK298" s="734">
        <f t="shared" si="243"/>
        <v>118732.91457720712</v>
      </c>
      <c r="AL298" s="735">
        <f t="shared" si="244"/>
        <v>1.5707879045304927</v>
      </c>
      <c r="AM298" s="340" t="str">
        <f t="shared" si="245"/>
        <v>1+201.5033989958i</v>
      </c>
      <c r="AN298" s="734">
        <f t="shared" si="246"/>
        <v>201.50588032824396</v>
      </c>
      <c r="AO298" s="735">
        <f t="shared" si="247"/>
        <v>1.5658336720920176</v>
      </c>
      <c r="AP298" s="733" t="str">
        <f t="shared" si="248"/>
        <v>1+9.77324699554805i</v>
      </c>
      <c r="AQ298" s="734">
        <f t="shared" si="249"/>
        <v>9.82427385794945</v>
      </c>
      <c r="AR298" s="735">
        <f t="shared" si="250"/>
        <v>1.4688310376868092</v>
      </c>
      <c r="AS298" s="732" t="str">
        <f t="shared" si="251"/>
        <v>0.00680049974421111-11.6623303262009i</v>
      </c>
      <c r="AT298" s="337">
        <f t="shared" si="252"/>
        <v>11.662332308943265</v>
      </c>
      <c r="AU298" s="730">
        <f t="shared" si="253"/>
        <v>-1.5702132101464037</v>
      </c>
      <c r="AV298" s="732" t="str">
        <f t="shared" si="254"/>
        <v>-0.84966565038877+0.0837736481280177i</v>
      </c>
      <c r="AW298" s="337">
        <f t="shared" si="255"/>
        <v>-1.3730241367201625</v>
      </c>
      <c r="AX298" s="730">
        <f t="shared" si="256"/>
        <v>174.36906377835953</v>
      </c>
      <c r="AY298" s="360">
        <f t="shared" si="257"/>
        <v>-5.6309362216404679</v>
      </c>
      <c r="BB298" s="337">
        <f t="shared" si="258"/>
        <v>-18.664291757211849</v>
      </c>
      <c r="BC298" s="730">
        <f t="shared" si="259"/>
        <v>-89.966589877077539</v>
      </c>
      <c r="BD298" s="351"/>
      <c r="BE298" s="337">
        <f t="shared" si="220"/>
        <v>37.920445877234975</v>
      </c>
      <c r="BF298" s="730">
        <f t="shared" si="221"/>
        <v>-87.913488297081713</v>
      </c>
      <c r="BI298" s="351"/>
      <c r="BJ298" s="351"/>
      <c r="BL298" s="405">
        <f t="shared" si="222"/>
        <v>0</v>
      </c>
      <c r="BM298" s="405">
        <f t="shared" si="260"/>
        <v>0</v>
      </c>
      <c r="BN298" s="405">
        <f t="shared" si="223"/>
        <v>0</v>
      </c>
      <c r="BO298" s="405">
        <f t="shared" si="224"/>
        <v>0</v>
      </c>
    </row>
    <row r="299" spans="4:67" ht="13.5" thickBot="1" x14ac:dyDescent="0.25">
      <c r="D299" s="345">
        <v>20185</v>
      </c>
      <c r="E299" s="340" t="str">
        <f t="shared" si="211"/>
        <v>0.334820891923109i</v>
      </c>
      <c r="F299" s="728" t="str">
        <f t="shared" si="225"/>
        <v>0.005-0.129259223568788i</v>
      </c>
      <c r="G299" s="337" t="str">
        <f t="shared" si="226"/>
        <v>0.005-0.202174683017848i</v>
      </c>
      <c r="H299" s="338" t="str">
        <f t="shared" si="227"/>
        <v>0.0372796777014706-0.195177782250543i</v>
      </c>
      <c r="I299" s="338" t="str">
        <f t="shared" si="228"/>
        <v>0.0472796777014706-0.195177782250543i</v>
      </c>
      <c r="J299" s="337" t="str">
        <f t="shared" si="229"/>
        <v>0.00919301509416148-0.0785136640161457i</v>
      </c>
      <c r="K299" s="338" t="str">
        <f t="shared" si="212"/>
        <v>0.995472953055556-0.105688412854517i</v>
      </c>
      <c r="L299" s="732"/>
      <c r="M299" s="732" t="str">
        <f t="shared" si="213"/>
        <v>2.79516803400981-77.9310991000344i</v>
      </c>
      <c r="N299" s="337">
        <f t="shared" si="214"/>
        <v>0</v>
      </c>
      <c r="O299" s="730" t="str">
        <f t="shared" si="215"/>
        <v>-2.61370625655646-30.5843464915627i</v>
      </c>
      <c r="P299" s="731" t="str">
        <f t="shared" si="216"/>
        <v>-6.09296010922167-0.935880654222128i</v>
      </c>
      <c r="Q299" s="729" t="str">
        <f t="shared" si="217"/>
        <v>-6.06682304665611-0.6300371893065i</v>
      </c>
      <c r="R299" s="730"/>
      <c r="S299" s="405" t="str">
        <f t="shared" si="230"/>
        <v>39.8238886383286-2.23213496340766i</v>
      </c>
      <c r="T299" s="405" t="str">
        <f t="shared" si="231"/>
        <v>15.454960983192-2.76597598940049i</v>
      </c>
      <c r="U299" s="405" t="str">
        <f t="shared" si="232"/>
        <v>0.0362989049727594-3.11957970288294i</v>
      </c>
      <c r="V299" s="731" t="str">
        <f t="shared" si="218"/>
        <v>6000</v>
      </c>
      <c r="W299" s="733" t="str">
        <f>IMSUM(COMPLEX(1,0),IMDIV(COMPLEX(0,2*PI()*D299),COMPLEX(2*PI()*'Stability Calculations'!EA_Pole1,0)))</f>
        <v>1+128094.356379674i</v>
      </c>
      <c r="X299" s="734">
        <f t="shared" si="233"/>
        <v>128094.35638357737</v>
      </c>
      <c r="Y299" s="735">
        <f t="shared" si="234"/>
        <v>1.5707885200497109</v>
      </c>
      <c r="Z299" s="340" t="str">
        <f>IMSUM(COMPLEX(1,0),IMDIV(COMPLEX(0,2*PI()*D299),COMPLEX(2*PI()*'Stability Calculations'!EA_Zero1,0)))</f>
        <v>1+1268.2609542542i</v>
      </c>
      <c r="AA299" s="734">
        <f t="shared" si="235"/>
        <v>1268.2613484947706</v>
      </c>
      <c r="AB299" s="735">
        <f t="shared" si="236"/>
        <v>1.5700078456945272</v>
      </c>
      <c r="AC299" s="733" t="str">
        <f>IMSUM(COMPLEX(1,0),IMDIV(COMPLEX(0,2*PI()*D299),COMPLEX(2*PI()*'Stability Calculations'!EA_Pole2,0)))</f>
        <v>1+12.7757710810035i</v>
      </c>
      <c r="AD299" s="734">
        <f t="shared" si="237"/>
        <v>12.814847900549006</v>
      </c>
      <c r="AE299" s="735">
        <f t="shared" si="238"/>
        <v>1.4926824314427236</v>
      </c>
      <c r="AF299" s="732" t="str">
        <f t="shared" si="239"/>
        <v>0.358137411964571-4.62185829487388i</v>
      </c>
      <c r="AG299" s="337">
        <f t="shared" si="240"/>
        <v>4.6357131602098898</v>
      </c>
      <c r="AH299" s="730">
        <f t="shared" si="241"/>
        <v>-1.4934631057979075</v>
      </c>
      <c r="AI299" s="731" t="str">
        <f t="shared" si="219"/>
        <v>10000</v>
      </c>
      <c r="AJ299" s="733" t="str">
        <f t="shared" si="242"/>
        <v>1+119419.197800385i</v>
      </c>
      <c r="AK299" s="734">
        <f t="shared" si="243"/>
        <v>119419.19780457193</v>
      </c>
      <c r="AL299" s="735">
        <f t="shared" si="244"/>
        <v>1.5707879529319131</v>
      </c>
      <c r="AM299" s="340" t="str">
        <f t="shared" si="245"/>
        <v>1+202.668100489821i</v>
      </c>
      <c r="AN299" s="734">
        <f t="shared" si="246"/>
        <v>202.67056756261425</v>
      </c>
      <c r="AO299" s="735">
        <f t="shared" si="247"/>
        <v>1.5658621912188553</v>
      </c>
      <c r="AP299" s="733" t="str">
        <f t="shared" si="248"/>
        <v>1+9.8297369378214i</v>
      </c>
      <c r="AQ299" s="734">
        <f t="shared" si="249"/>
        <v>9.8804720670001611</v>
      </c>
      <c r="AR299" s="735">
        <f t="shared" si="250"/>
        <v>1.4694129975063499</v>
      </c>
      <c r="AS299" s="732" t="str">
        <f t="shared" si="251"/>
        <v>0.00672256157378873-11.595308804984i</v>
      </c>
      <c r="AT299" s="337">
        <f t="shared" si="252"/>
        <v>11.595310753738927</v>
      </c>
      <c r="AU299" s="730">
        <f t="shared" si="253"/>
        <v>-1.5702165612247305</v>
      </c>
      <c r="AV299" s="732" t="str">
        <f t="shared" si="254"/>
        <v>-0.839795362906788+0.0835669498872678i</v>
      </c>
      <c r="AW299" s="337">
        <f t="shared" si="255"/>
        <v>-1.47373830685671</v>
      </c>
      <c r="AX299" s="730">
        <f t="shared" si="256"/>
        <v>174.31727858375035</v>
      </c>
      <c r="AY299" s="360">
        <f t="shared" si="257"/>
        <v>-5.6827214162496489</v>
      </c>
      <c r="BB299" s="337">
        <f t="shared" si="258"/>
        <v>-18.714352155999695</v>
      </c>
      <c r="BC299" s="730">
        <f t="shared" si="259"/>
        <v>-89.96678187972249</v>
      </c>
      <c r="BD299" s="351"/>
      <c r="BE299" s="337">
        <f t="shared" si="220"/>
        <v>37.839799434773596</v>
      </c>
      <c r="BF299" s="730">
        <f t="shared" si="221"/>
        <v>-87.945843053447277</v>
      </c>
      <c r="BI299" s="351"/>
      <c r="BJ299" s="351"/>
      <c r="BL299" s="405">
        <f t="shared" si="222"/>
        <v>0</v>
      </c>
      <c r="BM299" s="405">
        <f t="shared" si="260"/>
        <v>0</v>
      </c>
      <c r="BN299" s="405">
        <f t="shared" si="223"/>
        <v>0</v>
      </c>
      <c r="BO299" s="405">
        <f t="shared" si="224"/>
        <v>0</v>
      </c>
    </row>
    <row r="300" spans="4:67" ht="13.5" thickBot="1" x14ac:dyDescent="0.25">
      <c r="D300" s="345">
        <v>20301</v>
      </c>
      <c r="E300" s="340" t="str">
        <f t="shared" si="211"/>
        <v>0.336745054591579i</v>
      </c>
      <c r="F300" s="728" t="str">
        <f t="shared" si="225"/>
        <v>0.005-0.128520635817742i</v>
      </c>
      <c r="G300" s="337" t="str">
        <f t="shared" si="226"/>
        <v>0.005-0.201019456022623i</v>
      </c>
      <c r="H300" s="338" t="str">
        <f t="shared" si="227"/>
        <v>0.0369213088911092-0.194121503464058i</v>
      </c>
      <c r="I300" s="338" t="str">
        <f t="shared" si="228"/>
        <v>0.0469213088911092-0.194121503464058i</v>
      </c>
      <c r="J300" s="337" t="str">
        <f t="shared" si="229"/>
        <v>0.00913557123503275-0.0780689818716838i</v>
      </c>
      <c r="K300" s="338" t="str">
        <f t="shared" si="212"/>
        <v>0.9954207711-0.106295787434211i</v>
      </c>
      <c r="L300" s="732"/>
      <c r="M300" s="732" t="str">
        <f t="shared" si="213"/>
        <v>2.72716769360535-77.2204616964903i</v>
      </c>
      <c r="N300" s="337">
        <f t="shared" si="214"/>
        <v>0</v>
      </c>
      <c r="O300" s="730" t="str">
        <f t="shared" si="215"/>
        <v>-2.59306273255185-30.3002943371109i</v>
      </c>
      <c r="P300" s="731" t="str">
        <f t="shared" si="216"/>
        <v>-6.00360858957156-0.918360233863523i</v>
      </c>
      <c r="Q300" s="729" t="str">
        <f t="shared" si="217"/>
        <v>-5.97767796224605-0.61535729049241i</v>
      </c>
      <c r="R300" s="730"/>
      <c r="S300" s="405" t="str">
        <f t="shared" si="230"/>
        <v>39.8234055395787-2.26763059693323i</v>
      </c>
      <c r="T300" s="405" t="str">
        <f t="shared" si="231"/>
        <v>15.4521088415168-2.7727748662669i</v>
      </c>
      <c r="U300" s="405" t="str">
        <f t="shared" si="232"/>
        <v>0.0322568577495916-3.10196107732846i</v>
      </c>
      <c r="V300" s="731" t="str">
        <f t="shared" si="218"/>
        <v>6000</v>
      </c>
      <c r="W300" s="733" t="str">
        <f>IMSUM(COMPLEX(1,0),IMDIV(COMPLEX(0,2*PI()*D300),COMPLEX(2*PI()*'Stability Calculations'!EA_Pole1,0)))</f>
        <v>1+128830.494370264i</v>
      </c>
      <c r="X300" s="734">
        <f t="shared" si="233"/>
        <v>128830.49437414506</v>
      </c>
      <c r="Y300" s="735">
        <f t="shared" si="234"/>
        <v>1.570788564657486</v>
      </c>
      <c r="Z300" s="340" t="str">
        <f>IMSUM(COMPLEX(1,0),IMDIV(COMPLEX(0,2*PI()*D300),COMPLEX(2*PI()*'Stability Calculations'!EA_Zero1,0)))</f>
        <v>1+1275.54944921053i</v>
      </c>
      <c r="AA300" s="734">
        <f t="shared" si="235"/>
        <v>1275.5498411984088</v>
      </c>
      <c r="AB300" s="735">
        <f t="shared" si="236"/>
        <v>1.5700123510770236</v>
      </c>
      <c r="AC300" s="733" t="str">
        <f>IMSUM(COMPLEX(1,0),IMDIV(COMPLEX(0,2*PI()*D300),COMPLEX(2*PI()*'Stability Calculations'!EA_Pole2,0)))</f>
        <v>1+12.8491914151822i</v>
      </c>
      <c r="AD300" s="734">
        <f t="shared" si="237"/>
        <v>12.888045624686155</v>
      </c>
      <c r="AE300" s="735">
        <f t="shared" si="238"/>
        <v>1.4931269765661122</v>
      </c>
      <c r="AF300" s="732" t="str">
        <f t="shared" si="239"/>
        <v>0.354080877601871-4.59576468015013i</v>
      </c>
      <c r="AG300" s="337">
        <f t="shared" si="240"/>
        <v>4.609384586167522</v>
      </c>
      <c r="AH300" s="730">
        <f t="shared" si="241"/>
        <v>-1.4939031901465749</v>
      </c>
      <c r="AI300" s="731" t="str">
        <f t="shared" si="219"/>
        <v>10000</v>
      </c>
      <c r="AJ300" s="733" t="str">
        <f t="shared" si="242"/>
        <v>1+120105.481027774i</v>
      </c>
      <c r="AK300" s="734">
        <f t="shared" si="243"/>
        <v>120105.481031937</v>
      </c>
      <c r="AL300" s="735">
        <f t="shared" si="244"/>
        <v>1.5707880007802018</v>
      </c>
      <c r="AM300" s="340" t="str">
        <f t="shared" si="245"/>
        <v>1+203.832801983843i</v>
      </c>
      <c r="AN300" s="734">
        <f t="shared" si="246"/>
        <v>203.83525495994201</v>
      </c>
      <c r="AO300" s="735">
        <f t="shared" si="247"/>
        <v>1.5658903844367595</v>
      </c>
      <c r="AP300" s="733" t="str">
        <f t="shared" si="248"/>
        <v>1+9.88622688009474i</v>
      </c>
      <c r="AQ300" s="734">
        <f t="shared" si="249"/>
        <v>9.9366735844903236</v>
      </c>
      <c r="AR300" s="735">
        <f t="shared" si="250"/>
        <v>1.4699883744255591</v>
      </c>
      <c r="AS300" s="732" t="str">
        <f t="shared" si="251"/>
        <v>0.00664595559921209-11.5290532055115i</v>
      </c>
      <c r="AT300" s="337">
        <f t="shared" si="252"/>
        <v>11.529055121051369</v>
      </c>
      <c r="AU300" s="730">
        <f t="shared" si="253"/>
        <v>-1.5702198740069184</v>
      </c>
      <c r="AV300" s="732" t="str">
        <f t="shared" si="254"/>
        <v>-0.830094533346006+0.0833576165803452i</v>
      </c>
      <c r="AW300" s="337">
        <f t="shared" si="255"/>
        <v>-1.5738737432033154</v>
      </c>
      <c r="AX300" s="730">
        <f t="shared" si="256"/>
        <v>174.26561444524754</v>
      </c>
      <c r="AY300" s="360">
        <f t="shared" si="257"/>
        <v>-5.734385554752464</v>
      </c>
      <c r="BB300" s="337">
        <f t="shared" si="258"/>
        <v>-18.764125688500826</v>
      </c>
      <c r="BC300" s="730">
        <f t="shared" si="259"/>
        <v>-89.966971688160299</v>
      </c>
      <c r="BD300" s="351"/>
      <c r="BE300" s="337">
        <f t="shared" si="220"/>
        <v>37.760061308147044</v>
      </c>
      <c r="BF300" s="730">
        <f t="shared" si="221"/>
        <v>-87.977345898936804</v>
      </c>
      <c r="BI300" s="351"/>
      <c r="BJ300" s="351"/>
      <c r="BL300" s="405">
        <f t="shared" si="222"/>
        <v>0</v>
      </c>
      <c r="BM300" s="405">
        <f t="shared" si="260"/>
        <v>0</v>
      </c>
      <c r="BN300" s="405">
        <f t="shared" si="223"/>
        <v>0</v>
      </c>
      <c r="BO300" s="405">
        <f t="shared" si="224"/>
        <v>0</v>
      </c>
    </row>
    <row r="301" spans="4:67" ht="13.5" thickBot="1" x14ac:dyDescent="0.25">
      <c r="D301" s="345">
        <v>20417</v>
      </c>
      <c r="E301" s="340" t="str">
        <f t="shared" si="211"/>
        <v>0.33866921726005i</v>
      </c>
      <c r="F301" s="728" t="str">
        <f t="shared" si="225"/>
        <v>0.005-0.127790440698241i</v>
      </c>
      <c r="G301" s="337" t="str">
        <f t="shared" si="226"/>
        <v>0.005-0.199877355963916i</v>
      </c>
      <c r="H301" s="338" t="str">
        <f t="shared" si="227"/>
        <v>0.0365688186414886-0.193076265464103i</v>
      </c>
      <c r="I301" s="338" t="str">
        <f t="shared" si="228"/>
        <v>0.0465688186414886-0.193076265464103i</v>
      </c>
      <c r="J301" s="337" t="str">
        <f t="shared" si="229"/>
        <v>0.00907909805786353-0.0776292922937056i</v>
      </c>
      <c r="K301" s="338" t="str">
        <f t="shared" si="212"/>
        <v>0.995368290122222-0.106903162013905i</v>
      </c>
      <c r="L301" s="732"/>
      <c r="M301" s="732" t="str">
        <f t="shared" si="213"/>
        <v>2.66154485261426-76.5240626539147i</v>
      </c>
      <c r="N301" s="337">
        <f t="shared" si="214"/>
        <v>0</v>
      </c>
      <c r="O301" s="730" t="str">
        <f t="shared" si="215"/>
        <v>-2.57259590598546-30.0220311100554i</v>
      </c>
      <c r="P301" s="731" t="str">
        <f t="shared" si="216"/>
        <v>-5.91634440056029-0.901383311937385i</v>
      </c>
      <c r="Q301" s="729" t="str">
        <f t="shared" si="217"/>
        <v>-5.89061844150046-0.601163000836827i</v>
      </c>
      <c r="R301" s="730"/>
      <c r="S301" s="405" t="str">
        <f t="shared" si="230"/>
        <v>39.8228613297944-2.30300201050991i</v>
      </c>
      <c r="T301" s="405" t="str">
        <f t="shared" si="231"/>
        <v>15.4492634495597-2.77962026925501i</v>
      </c>
      <c r="U301" s="405" t="str">
        <f t="shared" si="232"/>
        <v>0.0282826122354403-3.08453352053065i</v>
      </c>
      <c r="V301" s="731" t="str">
        <f t="shared" si="218"/>
        <v>6000</v>
      </c>
      <c r="W301" s="733" t="str">
        <f>IMSUM(COMPLEX(1,0),IMDIV(COMPLEX(0,2*PI()*D301),COMPLEX(2*PI()*'Stability Calculations'!EA_Pole1,0)))</f>
        <v>1+129566.632360853i</v>
      </c>
      <c r="X301" s="734">
        <f t="shared" si="233"/>
        <v>129566.63236471203</v>
      </c>
      <c r="Y301" s="735">
        <f t="shared" si="234"/>
        <v>1.5707886087583793</v>
      </c>
      <c r="Z301" s="340" t="str">
        <f>IMSUM(COMPLEX(1,0),IMDIV(COMPLEX(0,2*PI()*D301),COMPLEX(2*PI()*'Stability Calculations'!EA_Zero1,0)))</f>
        <v>1+1282.83794416686i</v>
      </c>
      <c r="AA301" s="734">
        <f t="shared" si="235"/>
        <v>1282.8383339276452</v>
      </c>
      <c r="AB301" s="735">
        <f t="shared" si="236"/>
        <v>1.5700168052645305</v>
      </c>
      <c r="AC301" s="733" t="str">
        <f>IMSUM(COMPLEX(1,0),IMDIV(COMPLEX(0,2*PI()*D301),COMPLEX(2*PI()*'Stability Calculations'!EA_Pole2,0)))</f>
        <v>1+12.9226117493609i</v>
      </c>
      <c r="AD301" s="734">
        <f t="shared" si="237"/>
        <v>12.961245866995979</v>
      </c>
      <c r="AE301" s="735">
        <f t="shared" si="238"/>
        <v>1.4935665005281911</v>
      </c>
      <c r="AF301" s="732" t="str">
        <f t="shared" si="239"/>
        <v>0.35009273994523-4.56996227646511i</v>
      </c>
      <c r="AG301" s="337">
        <f t="shared" si="240"/>
        <v>4.5833524995222144</v>
      </c>
      <c r="AH301" s="730">
        <f t="shared" si="241"/>
        <v>-1.4943383040220399</v>
      </c>
      <c r="AI301" s="731" t="str">
        <f t="shared" si="219"/>
        <v>10000</v>
      </c>
      <c r="AJ301" s="733" t="str">
        <f t="shared" si="242"/>
        <v>1+120791.764255163i</v>
      </c>
      <c r="AK301" s="734">
        <f t="shared" si="243"/>
        <v>120791.76425930236</v>
      </c>
      <c r="AL301" s="735">
        <f t="shared" si="244"/>
        <v>1.5707880480847864</v>
      </c>
      <c r="AM301" s="340" t="str">
        <f t="shared" si="245"/>
        <v>1+204.997503477864i</v>
      </c>
      <c r="AN301" s="734">
        <f t="shared" si="246"/>
        <v>204.99994251744772</v>
      </c>
      <c r="AO301" s="735">
        <f t="shared" si="247"/>
        <v>1.5659182573005459</v>
      </c>
      <c r="AP301" s="733" t="str">
        <f t="shared" si="248"/>
        <v>1+9.94271682236809i</v>
      </c>
      <c r="AQ301" s="734">
        <f t="shared" si="249"/>
        <v>9.9928783545984103</v>
      </c>
      <c r="AR301" s="735">
        <f t="shared" si="250"/>
        <v>1.4705572791364434</v>
      </c>
      <c r="AS301" s="732" t="str">
        <f t="shared" si="251"/>
        <v>0.00657065163097347-11.4635504729559i</v>
      </c>
      <c r="AT301" s="337">
        <f t="shared" si="252"/>
        <v>11.463552356031279</v>
      </c>
      <c r="AU301" s="730">
        <f t="shared" si="253"/>
        <v>-1.5702231491457104</v>
      </c>
      <c r="AV301" s="732" t="str">
        <f t="shared" si="254"/>
        <v>-0.820559301807585+0.0831458104515448i</v>
      </c>
      <c r="AW301" s="337">
        <f t="shared" si="255"/>
        <v>-1.6734371174679354</v>
      </c>
      <c r="AX301" s="730">
        <f t="shared" si="256"/>
        <v>174.21406910003222</v>
      </c>
      <c r="AY301" s="360">
        <f t="shared" si="257"/>
        <v>-5.7859308999677808</v>
      </c>
      <c r="BB301" s="337">
        <f t="shared" si="258"/>
        <v>-18.813615623709687</v>
      </c>
      <c r="BC301" s="730">
        <f t="shared" si="259"/>
        <v>-89.967159339790399</v>
      </c>
      <c r="BD301" s="351"/>
      <c r="BE301" s="337">
        <f t="shared" si="220"/>
        <v>37.681210783310313</v>
      </c>
      <c r="BF301" s="730">
        <f t="shared" si="221"/>
        <v>-88.008027331128218</v>
      </c>
      <c r="BI301" s="351"/>
      <c r="BJ301" s="351"/>
      <c r="BL301" s="405">
        <f t="shared" si="222"/>
        <v>0</v>
      </c>
      <c r="BM301" s="405">
        <f t="shared" si="260"/>
        <v>0</v>
      </c>
      <c r="BN301" s="405">
        <f t="shared" si="223"/>
        <v>0</v>
      </c>
      <c r="BO301" s="405">
        <f t="shared" si="224"/>
        <v>0</v>
      </c>
    </row>
    <row r="302" spans="4:67" ht="13.5" thickBot="1" x14ac:dyDescent="0.25">
      <c r="D302" s="345">
        <v>20536</v>
      </c>
      <c r="E302" s="340" t="str">
        <f t="shared" si="211"/>
        <v>0.340643142756154i</v>
      </c>
      <c r="F302" s="728" t="str">
        <f t="shared" si="225"/>
        <v>0.005-0.127049933177639i</v>
      </c>
      <c r="G302" s="337" t="str">
        <f t="shared" si="226"/>
        <v>0.005-0.198719126252204i</v>
      </c>
      <c r="H302" s="338" t="str">
        <f t="shared" si="227"/>
        <v>0.0362131880483594-0.192015293740031i</v>
      </c>
      <c r="I302" s="338" t="str">
        <f t="shared" si="228"/>
        <v>0.0462131880483594-0.192015293740031i</v>
      </c>
      <c r="J302" s="337" t="str">
        <f t="shared" si="229"/>
        <v>0.0090221502607256-0.077183332117766i</v>
      </c>
      <c r="K302" s="338" t="str">
        <f t="shared" si="212"/>
        <v>0.995314141155556-0.107526244556867i</v>
      </c>
      <c r="L302" s="732"/>
      <c r="M302" s="732" t="str">
        <f t="shared" si="213"/>
        <v>2.59658352299085-75.8239869105118i</v>
      </c>
      <c r="N302" s="337">
        <f t="shared" si="214"/>
        <v>0</v>
      </c>
      <c r="O302" s="730" t="str">
        <f t="shared" si="215"/>
        <v>-2.55178924809249-29.7423958783639i</v>
      </c>
      <c r="P302" s="731" t="str">
        <f t="shared" si="216"/>
        <v>-5.82892119749823-0.88450837170045i</v>
      </c>
      <c r="Q302" s="729" t="str">
        <f t="shared" si="217"/>
        <v>-5.80340330501731-0.587084412916809i</v>
      </c>
      <c r="R302" s="730"/>
      <c r="S302" s="405" t="str">
        <f t="shared" si="230"/>
        <v>39.822240545323-2.33916117112163i</v>
      </c>
      <c r="T302" s="405" t="str">
        <f t="shared" si="231"/>
        <v>15.4463510891673-2.78669023050904i</v>
      </c>
      <c r="U302" s="405" t="str">
        <f t="shared" si="232"/>
        <v>0.0242744734793262-3.06685057894806i</v>
      </c>
      <c r="V302" s="731" t="str">
        <f t="shared" si="218"/>
        <v>6000</v>
      </c>
      <c r="W302" s="733" t="str">
        <f>IMSUM(COMPLEX(1,0),IMDIV(COMPLEX(0,2*PI()*D302),COMPLEX(2*PI()*'Stability Calculations'!EA_Pole1,0)))</f>
        <v>1+130321.808402922i</v>
      </c>
      <c r="X302" s="734">
        <f t="shared" si="233"/>
        <v>130321.80840675868</v>
      </c>
      <c r="Y302" s="735">
        <f t="shared" si="234"/>
        <v>1.5707886534821009</v>
      </c>
      <c r="Z302" s="340" t="str">
        <f>IMSUM(COMPLEX(1,0),IMDIV(COMPLEX(0,2*PI()*D302),COMPLEX(2*PI()*'Stability Calculations'!EA_Zero1,0)))</f>
        <v>1+1290.3149346824i</v>
      </c>
      <c r="AA302" s="734">
        <f t="shared" si="235"/>
        <v>1290.315322184638</v>
      </c>
      <c r="AB302" s="735">
        <f t="shared" si="236"/>
        <v>1.5700213223576771</v>
      </c>
      <c r="AC302" s="733" t="str">
        <f>IMSUM(COMPLEX(1,0),IMDIV(COMPLEX(0,2*PI()*D302),COMPLEX(2*PI()*'Stability Calculations'!EA_Pole2,0)))</f>
        <v>1+12.9979308852855i</v>
      </c>
      <c r="AD302" s="734">
        <f t="shared" si="237"/>
        <v>13.036341791264093</v>
      </c>
      <c r="AE302" s="735">
        <f t="shared" si="238"/>
        <v>1.4940122623359726</v>
      </c>
      <c r="AF302" s="732" t="str">
        <f t="shared" si="239"/>
        <v>0.346070934585632-4.54379012555869i</v>
      </c>
      <c r="AG302" s="337">
        <f t="shared" si="240"/>
        <v>4.5569500542456716</v>
      </c>
      <c r="AH302" s="730">
        <f t="shared" si="241"/>
        <v>-1.4947795934603967</v>
      </c>
      <c r="AI302" s="731" t="str">
        <f t="shared" si="219"/>
        <v>10000</v>
      </c>
      <c r="AJ302" s="733" t="str">
        <f t="shared" si="242"/>
        <v>1+121495.796186708i</v>
      </c>
      <c r="AK302" s="734">
        <f t="shared" si="243"/>
        <v>121495.79619082336</v>
      </c>
      <c r="AL302" s="735">
        <f t="shared" si="244"/>
        <v>1.5707880960574443</v>
      </c>
      <c r="AM302" s="340" t="str">
        <f t="shared" si="245"/>
        <v>1+206.192326562247i</v>
      </c>
      <c r="AN302" s="734">
        <f t="shared" si="246"/>
        <v>206.19475146848987</v>
      </c>
      <c r="AO302" s="735">
        <f t="shared" si="247"/>
        <v>1.5659465238150096</v>
      </c>
      <c r="AP302" s="733" t="str">
        <f t="shared" si="248"/>
        <v>1+10.0006677114243i</v>
      </c>
      <c r="AQ302" s="734">
        <f t="shared" si="249"/>
        <v>10.05054001904</v>
      </c>
      <c r="AR302" s="735">
        <f t="shared" si="250"/>
        <v>1.4711342848709106</v>
      </c>
      <c r="AS302" s="732" t="str">
        <f t="shared" si="251"/>
        <v>0.00649472235260296-11.3971226575237i</v>
      </c>
      <c r="AT302" s="337">
        <f t="shared" si="252"/>
        <v>11.397124508052833</v>
      </c>
      <c r="AU302" s="730">
        <f t="shared" si="253"/>
        <v>-1.5702264705386517</v>
      </c>
      <c r="AV302" s="732" t="str">
        <f t="shared" si="254"/>
        <v>-0.810945616736243+0.0829261195282625i</v>
      </c>
      <c r="AW302" s="337">
        <f t="shared" si="255"/>
        <v>-1.7749878327492135</v>
      </c>
      <c r="AX302" s="730">
        <f t="shared" si="256"/>
        <v>174.16131181457709</v>
      </c>
      <c r="AY302" s="360">
        <f t="shared" si="257"/>
        <v>-5.8386881854229102</v>
      </c>
      <c r="BB302" s="337">
        <f t="shared" si="258"/>
        <v>-18.864094144866087</v>
      </c>
      <c r="BC302" s="730">
        <f t="shared" si="259"/>
        <v>-89.967349641588044</v>
      </c>
      <c r="BD302" s="351"/>
      <c r="BE302" s="337">
        <f t="shared" si="220"/>
        <v>37.601222367079018</v>
      </c>
      <c r="BF302" s="730">
        <f t="shared" si="221"/>
        <v>-88.038679210919639</v>
      </c>
      <c r="BI302" s="351"/>
      <c r="BJ302" s="351"/>
      <c r="BL302" s="405">
        <f t="shared" si="222"/>
        <v>0</v>
      </c>
      <c r="BM302" s="405">
        <f t="shared" si="260"/>
        <v>0</v>
      </c>
      <c r="BN302" s="405">
        <f t="shared" si="223"/>
        <v>0</v>
      </c>
      <c r="BO302" s="405">
        <f t="shared" si="224"/>
        <v>0</v>
      </c>
    </row>
    <row r="303" spans="4:67" ht="13.5" thickBot="1" x14ac:dyDescent="0.25">
      <c r="D303" s="345">
        <v>20655</v>
      </c>
      <c r="E303" s="340" t="str">
        <f t="shared" si="211"/>
        <v>0.342617068252257i</v>
      </c>
      <c r="F303" s="728" t="str">
        <f t="shared" si="225"/>
        <v>0.005-0.126317958253981i</v>
      </c>
      <c r="G303" s="337" t="str">
        <f t="shared" si="226"/>
        <v>0.005-0.197574242397253i</v>
      </c>
      <c r="H303" s="338" t="str">
        <f t="shared" si="227"/>
        <v>0.0358634775370273-0.190965589778348i</v>
      </c>
      <c r="I303" s="338" t="str">
        <f t="shared" si="228"/>
        <v>0.0458634775370273-0.190965589778348i</v>
      </c>
      <c r="J303" s="337" t="str">
        <f t="shared" si="229"/>
        <v>0.0089661783401618-0.0767424506296804i</v>
      </c>
      <c r="K303" s="338" t="str">
        <f t="shared" si="212"/>
        <v>0.9952596775-0.108149327099829i</v>
      </c>
      <c r="L303" s="732"/>
      <c r="M303" s="732" t="str">
        <f t="shared" si="213"/>
        <v>2.53390299832612-75.1379757588561i</v>
      </c>
      <c r="N303" s="337">
        <f t="shared" si="214"/>
        <v>0</v>
      </c>
      <c r="O303" s="730" t="str">
        <f t="shared" si="215"/>
        <v>-2.53117967096871-29.4684726890251i</v>
      </c>
      <c r="P303" s="731" t="str">
        <f t="shared" si="216"/>
        <v>-5.74355296890848-0.8681584165221i</v>
      </c>
      <c r="Q303" s="729" t="str">
        <f t="shared" si="217"/>
        <v>-5.7182411721988-0.573473689631845i</v>
      </c>
      <c r="R303" s="730"/>
      <c r="S303" s="405" t="str">
        <f t="shared" si="230"/>
        <v>39.8215574576732-2.37519372779565i</v>
      </c>
      <c r="T303" s="405" t="str">
        <f t="shared" si="231"/>
        <v>15.4434450407766-2.79380749581121i</v>
      </c>
      <c r="U303" s="405" t="str">
        <f t="shared" si="232"/>
        <v>0.0203345481494461-3.04936224279021i</v>
      </c>
      <c r="V303" s="731" t="str">
        <f t="shared" si="218"/>
        <v>6000</v>
      </c>
      <c r="W303" s="733" t="str">
        <f>IMSUM(COMPLEX(1,0),IMDIV(COMPLEX(0,2*PI()*D303),COMPLEX(2*PI()*'Stability Calculations'!EA_Pole1,0)))</f>
        <v>1+131076.984444992i</v>
      </c>
      <c r="X303" s="734">
        <f t="shared" si="233"/>
        <v>131076.98444880656</v>
      </c>
      <c r="Y303" s="735">
        <f t="shared" si="234"/>
        <v>1.5707886976904875</v>
      </c>
      <c r="Z303" s="340" t="str">
        <f>IMSUM(COMPLEX(1,0),IMDIV(COMPLEX(0,2*PI()*D303),COMPLEX(2*PI()*'Stability Calculations'!EA_Zero1,0)))</f>
        <v>1+1297.79192519794i</v>
      </c>
      <c r="AA303" s="734">
        <f t="shared" si="235"/>
        <v>1297.7923104676554</v>
      </c>
      <c r="AB303" s="735">
        <f t="shared" si="236"/>
        <v>1.5700257874020451</v>
      </c>
      <c r="AC303" s="733" t="str">
        <f>IMSUM(COMPLEX(1,0),IMDIV(COMPLEX(0,2*PI()*D303),COMPLEX(2*PI()*'Stability Calculations'!EA_Pole2,0)))</f>
        <v>1+13.0732500212102i</v>
      </c>
      <c r="AD303" s="734">
        <f t="shared" si="237"/>
        <v>13.11144027622719</v>
      </c>
      <c r="AE303" s="735">
        <f t="shared" si="238"/>
        <v>1.4944529178446506</v>
      </c>
      <c r="AF303" s="732" t="str">
        <f t="shared" si="239"/>
        <v>0.34211790232597-4.5179142861698i</v>
      </c>
      <c r="AG303" s="337">
        <f t="shared" si="240"/>
        <v>4.5308491650317713</v>
      </c>
      <c r="AH303" s="730">
        <f t="shared" si="241"/>
        <v>-1.495215828133093</v>
      </c>
      <c r="AI303" s="731" t="str">
        <f t="shared" si="219"/>
        <v>10000</v>
      </c>
      <c r="AJ303" s="733" t="str">
        <f t="shared" si="242"/>
        <v>1+122199.828118253i</v>
      </c>
      <c r="AK303" s="734">
        <f t="shared" si="243"/>
        <v>122199.82812234467</v>
      </c>
      <c r="AL303" s="735">
        <f t="shared" si="244"/>
        <v>1.5707881434773308</v>
      </c>
      <c r="AM303" s="340" t="str">
        <f t="shared" si="245"/>
        <v>1+207.387149646631i</v>
      </c>
      <c r="AN303" s="734">
        <f t="shared" si="246"/>
        <v>207.3895605823835</v>
      </c>
      <c r="AO303" s="735">
        <f t="shared" si="247"/>
        <v>1.565974464632397</v>
      </c>
      <c r="AP303" s="733" t="str">
        <f t="shared" si="248"/>
        <v>1+10.0586186004806i</v>
      </c>
      <c r="AQ303" s="734">
        <f t="shared" si="249"/>
        <v>10.108204991487572</v>
      </c>
      <c r="AR303" s="735">
        <f t="shared" si="250"/>
        <v>1.4717047074248697</v>
      </c>
      <c r="AS303" s="732" t="str">
        <f t="shared" si="251"/>
        <v>0.00642010164745195-11.3314602647379i</v>
      </c>
      <c r="AT303" s="337">
        <f t="shared" si="252"/>
        <v>11.331462083466505</v>
      </c>
      <c r="AU303" s="730">
        <f t="shared" si="253"/>
        <v>-1.5702297536604111</v>
      </c>
      <c r="AV303" s="732" t="str">
        <f t="shared" si="254"/>
        <v>-0.80149832563691+0.0827041494605152i</v>
      </c>
      <c r="AW303" s="337">
        <f t="shared" si="255"/>
        <v>-1.8759503706564842</v>
      </c>
      <c r="AX303" s="730">
        <f t="shared" si="256"/>
        <v>174.10867490164432</v>
      </c>
      <c r="AY303" s="360">
        <f t="shared" si="257"/>
        <v>-5.8913250983556793</v>
      </c>
      <c r="BB303" s="337">
        <f t="shared" si="258"/>
        <v>-18.914281001646714</v>
      </c>
      <c r="BC303" s="730">
        <f t="shared" si="259"/>
        <v>-89.967537750608486</v>
      </c>
      <c r="BD303" s="351"/>
      <c r="BE303" s="337">
        <f t="shared" si="220"/>
        <v>37.522126082018893</v>
      </c>
      <c r="BF303" s="730">
        <f t="shared" si="221"/>
        <v>-88.068527307763986</v>
      </c>
      <c r="BI303" s="351"/>
      <c r="BJ303" s="351"/>
      <c r="BL303" s="405">
        <f t="shared" si="222"/>
        <v>0</v>
      </c>
      <c r="BM303" s="405">
        <f t="shared" si="260"/>
        <v>0</v>
      </c>
      <c r="BN303" s="405">
        <f t="shared" si="223"/>
        <v>0</v>
      </c>
      <c r="BO303" s="405">
        <f t="shared" si="224"/>
        <v>0</v>
      </c>
    </row>
    <row r="304" spans="4:67" ht="13.5" thickBot="1" x14ac:dyDescent="0.25">
      <c r="D304" s="345">
        <v>20774</v>
      </c>
      <c r="E304" s="340" t="str">
        <f t="shared" si="211"/>
        <v>0.344590993748361i</v>
      </c>
      <c r="F304" s="728" t="str">
        <f t="shared" si="225"/>
        <v>0.005-0.12559436929508i</v>
      </c>
      <c r="G304" s="337" t="str">
        <f t="shared" si="226"/>
        <v>0.005-0.196442475051279i</v>
      </c>
      <c r="H304" s="338" t="str">
        <f t="shared" si="227"/>
        <v>0.0355195575838173-0.189926980770449i</v>
      </c>
      <c r="I304" s="338" t="str">
        <f t="shared" si="228"/>
        <v>0.0455195575838173-0.189926980770449i</v>
      </c>
      <c r="J304" s="337" t="str">
        <f t="shared" si="229"/>
        <v>0.00891116014387059-0.0763065619397575i</v>
      </c>
      <c r="K304" s="338" t="str">
        <f t="shared" si="212"/>
        <v>0.995204899155556-0.108772409642791i</v>
      </c>
      <c r="L304" s="732"/>
      <c r="M304" s="732" t="str">
        <f t="shared" si="213"/>
        <v>2.47340039140177-74.4655923503781i</v>
      </c>
      <c r="N304" s="337">
        <f t="shared" si="214"/>
        <v>0</v>
      </c>
      <c r="O304" s="730" t="str">
        <f t="shared" si="215"/>
        <v>-2.5107716410992-29.2000811642619i</v>
      </c>
      <c r="P304" s="731" t="str">
        <f t="shared" si="216"/>
        <v>-5.66017246807716-0.852311498810724i</v>
      </c>
      <c r="Q304" s="729" t="str">
        <f t="shared" si="217"/>
        <v>-5.63506475166618-0.560310687168103i</v>
      </c>
      <c r="R304" s="730"/>
      <c r="S304" s="405" t="str">
        <f t="shared" si="230"/>
        <v>39.8208130424637-2.41110170230906i</v>
      </c>
      <c r="T304" s="405" t="str">
        <f t="shared" si="231"/>
        <v>15.4405449202665-2.80097125103216i</v>
      </c>
      <c r="U304" s="405" t="str">
        <f t="shared" si="232"/>
        <v>0.016461311487557-3.03206533779838i</v>
      </c>
      <c r="V304" s="731" t="str">
        <f t="shared" si="218"/>
        <v>6000</v>
      </c>
      <c r="W304" s="733" t="str">
        <f>IMSUM(COMPLEX(1,0),IMDIV(COMPLEX(0,2*PI()*D304),COMPLEX(2*PI()*'Stability Calculations'!EA_Pole1,0)))</f>
        <v>1+131832.160487063i</v>
      </c>
      <c r="X304" s="734">
        <f t="shared" si="233"/>
        <v>131832.16049085569</v>
      </c>
      <c r="Y304" s="735">
        <f t="shared" si="234"/>
        <v>1.5707887413923949</v>
      </c>
      <c r="Z304" s="340" t="str">
        <f>IMSUM(COMPLEX(1,0),IMDIV(COMPLEX(0,2*PI()*D304),COMPLEX(2*PI()*'Stability Calculations'!EA_Zero1,0)))</f>
        <v>1+1305.26891571349i</v>
      </c>
      <c r="AA304" s="734">
        <f t="shared" si="235"/>
        <v>1305.2692987762605</v>
      </c>
      <c r="AB304" s="735">
        <f t="shared" si="236"/>
        <v>1.5700302012920886</v>
      </c>
      <c r="AC304" s="733" t="str">
        <f>IMSUM(COMPLEX(1,0),IMDIV(COMPLEX(0,2*PI()*D304),COMPLEX(2*PI()*'Stability Calculations'!EA_Pole2,0)))</f>
        <v>1+13.1485691571349i</v>
      </c>
      <c r="AD304" s="734">
        <f t="shared" si="237"/>
        <v>13.186541278135037</v>
      </c>
      <c r="AE304" s="735">
        <f t="shared" si="238"/>
        <v>1.4948885541269747</v>
      </c>
      <c r="AF304" s="732" t="str">
        <f t="shared" si="239"/>
        <v>0.338232087032819-4.49232978455196i</v>
      </c>
      <c r="AG304" s="337">
        <f t="shared" si="240"/>
        <v>4.5050447098637356</v>
      </c>
      <c r="AH304" s="730">
        <f t="shared" si="241"/>
        <v>-1.4956470942272808</v>
      </c>
      <c r="AI304" s="731" t="str">
        <f t="shared" si="219"/>
        <v>10000</v>
      </c>
      <c r="AJ304" s="733" t="str">
        <f t="shared" si="242"/>
        <v>1+122903.8600498i</v>
      </c>
      <c r="AK304" s="734">
        <f t="shared" si="243"/>
        <v>122903.86005386822</v>
      </c>
      <c r="AL304" s="735">
        <f t="shared" si="244"/>
        <v>1.5707881903539453</v>
      </c>
      <c r="AM304" s="340" t="str">
        <f t="shared" si="245"/>
        <v>1+208.581972731016i</v>
      </c>
      <c r="AN304" s="734">
        <f t="shared" si="246"/>
        <v>208.58436985633011</v>
      </c>
      <c r="AO304" s="735">
        <f t="shared" si="247"/>
        <v>1.5660020853496202</v>
      </c>
      <c r="AP304" s="733" t="str">
        <f t="shared" si="248"/>
        <v>1+10.1165694895369i</v>
      </c>
      <c r="AQ304" s="734">
        <f t="shared" si="249"/>
        <v>10.165873215647975</v>
      </c>
      <c r="AR304" s="735">
        <f t="shared" si="250"/>
        <v>1.4722686584576734</v>
      </c>
      <c r="AS304" s="732" t="str">
        <f t="shared" si="251"/>
        <v>0.00634675961790576-11.2665501408709i</v>
      </c>
      <c r="AT304" s="337">
        <f t="shared" si="252"/>
        <v>11.266551928523461</v>
      </c>
      <c r="AU304" s="730">
        <f t="shared" si="253"/>
        <v>-1.5702329991686763</v>
      </c>
      <c r="AV304" s="732" t="str">
        <f t="shared" si="254"/>
        <v>-0.792213607830514+0.0824800530830552i</v>
      </c>
      <c r="AW304" s="337">
        <f t="shared" si="255"/>
        <v>-1.9763315666484558</v>
      </c>
      <c r="AX304" s="730">
        <f t="shared" si="256"/>
        <v>174.05615609692671</v>
      </c>
      <c r="AY304" s="360">
        <f t="shared" si="257"/>
        <v>-5.9438439030732866</v>
      </c>
      <c r="BB304" s="337">
        <f t="shared" si="258"/>
        <v>-18.964179545164725</v>
      </c>
      <c r="BC304" s="730">
        <f t="shared" si="259"/>
        <v>-89.96772370453445</v>
      </c>
      <c r="BD304" s="351"/>
      <c r="BE304" s="337">
        <f t="shared" si="220"/>
        <v>37.443901723280121</v>
      </c>
      <c r="BF304" s="730">
        <f t="shared" si="221"/>
        <v>-88.097600284913256</v>
      </c>
      <c r="BI304" s="351"/>
      <c r="BJ304" s="351"/>
      <c r="BL304" s="405">
        <f t="shared" si="222"/>
        <v>0</v>
      </c>
      <c r="BM304" s="405">
        <f t="shared" si="260"/>
        <v>0</v>
      </c>
      <c r="BN304" s="405">
        <f t="shared" si="223"/>
        <v>0</v>
      </c>
      <c r="BO304" s="405">
        <f t="shared" si="224"/>
        <v>0</v>
      </c>
    </row>
    <row r="305" spans="4:67" ht="13.5" thickBot="1" x14ac:dyDescent="0.25">
      <c r="D305" s="345">
        <v>20893</v>
      </c>
      <c r="E305" s="340" t="str">
        <f t="shared" si="211"/>
        <v>0.346564919244464i</v>
      </c>
      <c r="F305" s="728" t="str">
        <f t="shared" si="225"/>
        <v>0.005-0.124879023009428i</v>
      </c>
      <c r="G305" s="337" t="str">
        <f t="shared" si="226"/>
        <v>0.005-0.19532360009167i</v>
      </c>
      <c r="H305" s="338" t="str">
        <f t="shared" si="227"/>
        <v>0.0351813021561857-0.188899297286608i</v>
      </c>
      <c r="I305" s="338" t="str">
        <f t="shared" si="228"/>
        <v>0.0451813021561857-0.188899297286608i</v>
      </c>
      <c r="J305" s="337" t="str">
        <f t="shared" si="229"/>
        <v>0.00885707414369996-0.0758755820762284i</v>
      </c>
      <c r="K305" s="338" t="str">
        <f t="shared" si="212"/>
        <v>0.995149806122222-0.109395492185753i</v>
      </c>
      <c r="L305" s="732"/>
      <c r="M305" s="732" t="str">
        <f t="shared" si="213"/>
        <v>2.41497845096525-73.8064179616631i</v>
      </c>
      <c r="N305" s="337">
        <f t="shared" si="214"/>
        <v>0</v>
      </c>
      <c r="O305" s="730" t="str">
        <f t="shared" si="215"/>
        <v>-2.49056893337957-28.9370485311734i</v>
      </c>
      <c r="P305" s="731" t="str">
        <f t="shared" si="216"/>
        <v>-5.57871528060695-0.836946811835895i</v>
      </c>
      <c r="Q305" s="729" t="str">
        <f t="shared" si="217"/>
        <v>-5.55380959127315-0.547576326524162i</v>
      </c>
      <c r="R305" s="730"/>
      <c r="S305" s="405" t="str">
        <f t="shared" si="230"/>
        <v>39.8200082482518-2.44688707309714i</v>
      </c>
      <c r="T305" s="405" t="str">
        <f t="shared" si="231"/>
        <v>15.4376503542091-2.80818069915187i</v>
      </c>
      <c r="U305" s="405" t="str">
        <f t="shared" si="232"/>
        <v>0.0126532809693768-3.01495675735248i</v>
      </c>
      <c r="V305" s="731" t="str">
        <f t="shared" si="218"/>
        <v>6000</v>
      </c>
      <c r="W305" s="733" t="str">
        <f>IMSUM(COMPLEX(1,0),IMDIV(COMPLEX(0,2*PI()*D305),COMPLEX(2*PI()*'Stability Calculations'!EA_Pole1,0)))</f>
        <v>1+132587.336529132i</v>
      </c>
      <c r="X305" s="734">
        <f t="shared" si="233"/>
        <v>132587.33653290311</v>
      </c>
      <c r="Y305" s="735">
        <f t="shared" si="234"/>
        <v>1.5707887845964774</v>
      </c>
      <c r="Z305" s="340" t="str">
        <f>IMSUM(COMPLEX(1,0),IMDIV(COMPLEX(0,2*PI()*D305),COMPLEX(2*PI()*'Stability Calculations'!EA_Zero1,0)))</f>
        <v>1+1312.74590622903i</v>
      </c>
      <c r="AA305" s="734">
        <f t="shared" si="235"/>
        <v>1312.7462871099947</v>
      </c>
      <c r="AB305" s="735">
        <f t="shared" si="236"/>
        <v>1.5700345649018845</v>
      </c>
      <c r="AC305" s="733" t="str">
        <f>IMSUM(COMPLEX(1,0),IMDIV(COMPLEX(0,2*PI()*D305),COMPLEX(2*PI()*'Stability Calculations'!EA_Pole2,0)))</f>
        <v>1+13.2238882930595i</v>
      </c>
      <c r="AD305" s="734">
        <f t="shared" si="237"/>
        <v>13.261644754226987</v>
      </c>
      <c r="AE305" s="735">
        <f t="shared" si="238"/>
        <v>1.4953192562909692</v>
      </c>
      <c r="AF305" s="732" t="str">
        <f t="shared" si="239"/>
        <v>0.334411976254331-4.46703175697104i</v>
      </c>
      <c r="AG305" s="337">
        <f t="shared" si="240"/>
        <v>4.4795316817330466</v>
      </c>
      <c r="AH305" s="730">
        <f t="shared" si="241"/>
        <v>-1.4960734759855623</v>
      </c>
      <c r="AI305" s="731" t="str">
        <f t="shared" si="219"/>
        <v>10000</v>
      </c>
      <c r="AJ305" s="733" t="str">
        <f t="shared" si="242"/>
        <v>1+123607.891981345i</v>
      </c>
      <c r="AK305" s="734">
        <f t="shared" si="243"/>
        <v>123607.89198539006</v>
      </c>
      <c r="AL305" s="735">
        <f t="shared" si="244"/>
        <v>1.5707882366965709</v>
      </c>
      <c r="AM305" s="340" t="str">
        <f t="shared" si="245"/>
        <v>1+209.776795815399i</v>
      </c>
      <c r="AN305" s="734">
        <f t="shared" si="246"/>
        <v>209.77917928759183</v>
      </c>
      <c r="AO305" s="735">
        <f t="shared" si="247"/>
        <v>1.5660293914360834</v>
      </c>
      <c r="AP305" s="733" t="str">
        <f t="shared" si="248"/>
        <v>1+10.1745203785931i</v>
      </c>
      <c r="AQ305" s="734">
        <f t="shared" si="249"/>
        <v>10.223544636495028</v>
      </c>
      <c r="AR305" s="735">
        <f t="shared" si="250"/>
        <v>1.4728262471258542</v>
      </c>
      <c r="AS305" s="732" t="str">
        <f t="shared" si="251"/>
        <v>0.00627466721535474-11.2023794318728i</v>
      </c>
      <c r="AT305" s="337">
        <f t="shared" si="252"/>
        <v>11.202381189153288</v>
      </c>
      <c r="AU305" s="730">
        <f t="shared" si="253"/>
        <v>-1.5702362077061509</v>
      </c>
      <c r="AV305" s="732" t="str">
        <f t="shared" si="254"/>
        <v>-0.783087751739592+0.0822539763712357i</v>
      </c>
      <c r="AW305" s="337">
        <f t="shared" si="255"/>
        <v>-2.0761381378078276</v>
      </c>
      <c r="AX305" s="730">
        <f t="shared" si="256"/>
        <v>174.00375319271021</v>
      </c>
      <c r="AY305" s="360">
        <f t="shared" si="257"/>
        <v>-5.9962468072897934</v>
      </c>
      <c r="BB305" s="337">
        <f t="shared" si="258"/>
        <v>-19.013793069108445</v>
      </c>
      <c r="BC305" s="730">
        <f t="shared" si="259"/>
        <v>-89.967907540190154</v>
      </c>
      <c r="BD305" s="351"/>
      <c r="BE305" s="337">
        <f t="shared" si="220"/>
        <v>37.36652975298761</v>
      </c>
      <c r="BF305" s="730">
        <f t="shared" si="221"/>
        <v>-88.125925520227128</v>
      </c>
      <c r="BI305" s="351"/>
      <c r="BJ305" s="351"/>
      <c r="BL305" s="405">
        <f t="shared" si="222"/>
        <v>0</v>
      </c>
      <c r="BM305" s="405">
        <f t="shared" si="260"/>
        <v>0</v>
      </c>
      <c r="BN305" s="405">
        <f t="shared" si="223"/>
        <v>0</v>
      </c>
      <c r="BO305" s="405">
        <f t="shared" si="224"/>
        <v>0</v>
      </c>
    </row>
    <row r="306" spans="4:67" ht="13.5" thickBot="1" x14ac:dyDescent="0.25">
      <c r="D306" s="345">
        <v>21014.75</v>
      </c>
      <c r="E306" s="340" t="str">
        <f t="shared" si="211"/>
        <v>0.348584460665898i</v>
      </c>
      <c r="F306" s="728" t="str">
        <f t="shared" si="225"/>
        <v>0.005-0.124155530174567i</v>
      </c>
      <c r="G306" s="337" t="str">
        <f t="shared" si="226"/>
        <v>0.005-0.194191983093554i</v>
      </c>
      <c r="H306" s="338" t="str">
        <f t="shared" si="227"/>
        <v>0.0348409643989088-0.187858998740225i</v>
      </c>
      <c r="I306" s="338" t="str">
        <f t="shared" si="228"/>
        <v>0.0448409643989088-0.187858998740225i</v>
      </c>
      <c r="J306" s="337" t="str">
        <f t="shared" si="229"/>
        <v>0.00880268119635832-0.0754396372715456i</v>
      </c>
      <c r="K306" s="338" t="str">
        <f t="shared" si="212"/>
        <v>0.995093114249306-0.110032973695044i</v>
      </c>
      <c r="L306" s="732"/>
      <c r="M306" s="732" t="str">
        <f t="shared" si="213"/>
        <v>2.3572638763409-73.1452623165986i</v>
      </c>
      <c r="N306" s="337">
        <f t="shared" si="214"/>
        <v>0</v>
      </c>
      <c r="O306" s="730" t="str">
        <f t="shared" si="215"/>
        <v>-2.47011512883782-28.673310868607i</v>
      </c>
      <c r="P306" s="731" t="str">
        <f t="shared" si="216"/>
        <v>-5.49730181489713-0.821705556981493i</v>
      </c>
      <c r="Q306" s="729" t="str">
        <f t="shared" si="217"/>
        <v>-5.47260066360876-0.534972448295423i</v>
      </c>
      <c r="R306" s="730"/>
      <c r="S306" s="405" t="str">
        <f t="shared" si="230"/>
        <v>39.8191233295656-2.48337454940084i</v>
      </c>
      <c r="T306" s="405" t="str">
        <f t="shared" si="231"/>
        <v>15.4346942667905-2.81560322741932i</v>
      </c>
      <c r="U306" s="405" t="str">
        <f t="shared" si="232"/>
        <v>0.00882323030454678-2.99764454262872i</v>
      </c>
      <c r="V306" s="731" t="str">
        <f t="shared" si="218"/>
        <v>6000</v>
      </c>
      <c r="W306" s="733" t="str">
        <f>IMSUM(COMPLEX(1,0),IMDIV(COMPLEX(0,2*PI()*D306),COMPLEX(2*PI()*'Stability Calculations'!EA_Pole1,0)))</f>
        <v>1+133359.964118393i</v>
      </c>
      <c r="X306" s="734">
        <f t="shared" si="233"/>
        <v>133359.96412214224</v>
      </c>
      <c r="Y306" s="735">
        <f t="shared" si="234"/>
        <v>1.5707888282925793</v>
      </c>
      <c r="Z306" s="340" t="str">
        <f>IMSUM(COMPLEX(1,0),IMDIV(COMPLEX(0,2*PI()*D306),COMPLEX(2*PI()*'Stability Calculations'!EA_Zero1,0)))</f>
        <v>1+1320.39568434052i</v>
      </c>
      <c r="AA306" s="734">
        <f t="shared" si="235"/>
        <v>1320.3960630148326</v>
      </c>
      <c r="AB306" s="735">
        <f t="shared" si="236"/>
        <v>1.570038978205631</v>
      </c>
      <c r="AC306" s="733" t="str">
        <f>IMSUM(COMPLEX(1,0),IMDIV(COMPLEX(0,2*PI()*D306),COMPLEX(2*PI()*'Stability Calculations'!EA_Pole2,0)))</f>
        <v>1+13.3009479972514i</v>
      </c>
      <c r="AD306" s="734">
        <f t="shared" si="237"/>
        <v>13.338486331873868</v>
      </c>
      <c r="AE306" s="735">
        <f t="shared" si="238"/>
        <v>1.4957548919413008</v>
      </c>
      <c r="AF306" s="732" t="str">
        <f t="shared" si="239"/>
        <v>0.330570052175878-4.44144063175918i</v>
      </c>
      <c r="AG306" s="337">
        <f t="shared" si="240"/>
        <v>4.4537255690979594</v>
      </c>
      <c r="AH306" s="730">
        <f t="shared" si="241"/>
        <v>-1.4965047420282496</v>
      </c>
      <c r="AI306" s="731" t="str">
        <f t="shared" si="219"/>
        <v>10000</v>
      </c>
      <c r="AJ306" s="733" t="str">
        <f t="shared" si="242"/>
        <v>1+124328.193558367i</v>
      </c>
      <c r="AK306" s="734">
        <f t="shared" si="243"/>
        <v>124328.19356238861</v>
      </c>
      <c r="AL306" s="735">
        <f t="shared" si="244"/>
        <v>1.570788283566958</v>
      </c>
      <c r="AM306" s="340" t="str">
        <f t="shared" si="245"/>
        <v>1+210.999230357615i</v>
      </c>
      <c r="AN306" s="734">
        <f t="shared" si="246"/>
        <v>211.00160002119858</v>
      </c>
      <c r="AO306" s="735">
        <f t="shared" si="247"/>
        <v>1.5660570084985788</v>
      </c>
      <c r="AP306" s="733" t="str">
        <f t="shared" si="248"/>
        <v>1+10.2338104688671i</v>
      </c>
      <c r="AQ306" s="734">
        <f t="shared" si="249"/>
        <v>10.282552052515653</v>
      </c>
      <c r="AR306" s="735">
        <f t="shared" si="250"/>
        <v>1.4733902479264473</v>
      </c>
      <c r="AS306" s="732" t="str">
        <f t="shared" si="251"/>
        <v>0.00620217265482737-11.1374779294777i</v>
      </c>
      <c r="AT306" s="337">
        <f t="shared" si="252"/>
        <v>11.137479656392129</v>
      </c>
      <c r="AU306" s="730">
        <f t="shared" si="253"/>
        <v>-1.570239452783295</v>
      </c>
      <c r="AV306" s="732" t="str">
        <f t="shared" si="254"/>
        <v>-0.773911654617976+0.0820207710627211i</v>
      </c>
      <c r="AW306" s="337">
        <f t="shared" si="255"/>
        <v>-2.1776633503203353</v>
      </c>
      <c r="AX306" s="730">
        <f t="shared" si="256"/>
        <v>173.95025700108968</v>
      </c>
      <c r="AY306" s="360">
        <f t="shared" si="257"/>
        <v>-6.0497429989103182</v>
      </c>
      <c r="BB306" s="337">
        <f t="shared" si="258"/>
        <v>-19.064261524645211</v>
      </c>
      <c r="BC306" s="730">
        <f t="shared" si="259"/>
        <v>-89.968093469414711</v>
      </c>
      <c r="BD306" s="351"/>
      <c r="BE306" s="337">
        <f t="shared" si="220"/>
        <v>37.288232231628612</v>
      </c>
      <c r="BF306" s="730">
        <f t="shared" si="221"/>
        <v>-88.154158746506042</v>
      </c>
      <c r="BI306" s="351"/>
      <c r="BJ306" s="351"/>
      <c r="BL306" s="405">
        <f t="shared" si="222"/>
        <v>0</v>
      </c>
      <c r="BM306" s="405">
        <f t="shared" si="260"/>
        <v>0</v>
      </c>
      <c r="BN306" s="405">
        <f t="shared" si="223"/>
        <v>0</v>
      </c>
      <c r="BO306" s="405">
        <f t="shared" si="224"/>
        <v>0</v>
      </c>
    </row>
    <row r="307" spans="4:67" ht="13.5" thickBot="1" x14ac:dyDescent="0.25">
      <c r="D307" s="345">
        <v>21136.5</v>
      </c>
      <c r="E307" s="340" t="str">
        <f t="shared" si="211"/>
        <v>0.350604002087332i</v>
      </c>
      <c r="F307" s="728" t="str">
        <f t="shared" si="225"/>
        <v>0.005-0.12344037223457i</v>
      </c>
      <c r="G307" s="337" t="str">
        <f t="shared" si="226"/>
        <v>0.005-0.193073402725866i</v>
      </c>
      <c r="H307" s="338" t="str">
        <f t="shared" si="227"/>
        <v>0.0345062998145738-0.186829788209379i</v>
      </c>
      <c r="I307" s="338" t="str">
        <f t="shared" si="228"/>
        <v>0.0445062998145738-0.186829788209379i</v>
      </c>
      <c r="J307" s="337" t="str">
        <f t="shared" si="229"/>
        <v>0.00874922034874566-0.0750086588875561i</v>
      </c>
      <c r="K307" s="338" t="str">
        <f t="shared" si="212"/>
        <v>0.995036092975-0.110670455204334i</v>
      </c>
      <c r="L307" s="732"/>
      <c r="M307" s="732" t="str">
        <f t="shared" si="213"/>
        <v>2.30153783074403-72.4971006636156i</v>
      </c>
      <c r="N307" s="337">
        <f t="shared" si="214"/>
        <v>0</v>
      </c>
      <c r="O307" s="730" t="str">
        <f t="shared" si="215"/>
        <v>-2.44988229004028-28.4148394512516i</v>
      </c>
      <c r="P307" s="731" t="str">
        <f t="shared" si="216"/>
        <v>-5.4177736323918-0.806928374414251i</v>
      </c>
      <c r="Q307" s="729" t="str">
        <f t="shared" si="217"/>
        <v>-5.3932748094914-0.522779979901735i</v>
      </c>
      <c r="R307" s="730"/>
      <c r="S307" s="405" t="str">
        <f t="shared" si="230"/>
        <v>39.8181771348218-2.51973774557459i</v>
      </c>
      <c r="T307" s="405" t="str">
        <f t="shared" si="231"/>
        <v>15.4317432354757-2.82307194993164i</v>
      </c>
      <c r="U307" s="405" t="str">
        <f t="shared" si="232"/>
        <v>0.00505842423927991-2.98052308748791i</v>
      </c>
      <c r="V307" s="731" t="str">
        <f t="shared" si="218"/>
        <v>6000</v>
      </c>
      <c r="W307" s="733" t="str">
        <f>IMSUM(COMPLEX(1,0),IMDIV(COMPLEX(0,2*PI()*D307),COMPLEX(2*PI()*'Stability Calculations'!EA_Pole1,0)))</f>
        <v>1+134132.591707653i</v>
      </c>
      <c r="X307" s="734">
        <f t="shared" si="233"/>
        <v>134132.59171138061</v>
      </c>
      <c r="Y307" s="735">
        <f t="shared" si="234"/>
        <v>1.5707888714852865</v>
      </c>
      <c r="Z307" s="340" t="str">
        <f>IMSUM(COMPLEX(1,0),IMDIV(COMPLEX(0,2*PI()*D307),COMPLEX(2*PI()*'Stability Calculations'!EA_Zero1,0)))</f>
        <v>1+1328.04546245201i</v>
      </c>
      <c r="AA307" s="734">
        <f t="shared" si="235"/>
        <v>1328.0458389450921</v>
      </c>
      <c r="AB307" s="735">
        <f t="shared" si="236"/>
        <v>1.5700433406665772</v>
      </c>
      <c r="AC307" s="733" t="str">
        <f>IMSUM(COMPLEX(1,0),IMDIV(COMPLEX(0,2*PI()*D307),COMPLEX(2*PI()*'Stability Calculations'!EA_Pole2,0)))</f>
        <v>1+13.3780077014432i</v>
      </c>
      <c r="AD307" s="734">
        <f t="shared" si="237"/>
        <v>13.415330411878552</v>
      </c>
      <c r="AE307" s="735">
        <f t="shared" si="238"/>
        <v>1.4961855369612469</v>
      </c>
      <c r="AF307" s="732" t="str">
        <f t="shared" si="239"/>
        <v>0.326793835331937-4.4161394138338i</v>
      </c>
      <c r="AG307" s="337">
        <f t="shared" si="240"/>
        <v>4.4282142600858085</v>
      </c>
      <c r="AH307" s="730">
        <f t="shared" si="241"/>
        <v>-1.4969310677799565</v>
      </c>
      <c r="AI307" s="731" t="str">
        <f t="shared" si="219"/>
        <v>10000</v>
      </c>
      <c r="AJ307" s="733" t="str">
        <f t="shared" si="242"/>
        <v>1+125048.495135389i</v>
      </c>
      <c r="AK307" s="734">
        <f t="shared" si="243"/>
        <v>125048.49513938747</v>
      </c>
      <c r="AL307" s="735">
        <f t="shared" si="244"/>
        <v>1.5707883298973817</v>
      </c>
      <c r="AM307" s="340" t="str">
        <f t="shared" si="245"/>
        <v>1+212.221664899831i</v>
      </c>
      <c r="AN307" s="734">
        <f t="shared" si="246"/>
        <v>212.22402091388278</v>
      </c>
      <c r="AO307" s="735">
        <f t="shared" si="247"/>
        <v>1.5660843074097937</v>
      </c>
      <c r="AP307" s="733" t="str">
        <f t="shared" si="248"/>
        <v>1+10.293100559141i</v>
      </c>
      <c r="AQ307" s="734">
        <f t="shared" si="249"/>
        <v>10.341562702057594</v>
      </c>
      <c r="AR307" s="735">
        <f t="shared" si="250"/>
        <v>1.4739478123409422</v>
      </c>
      <c r="AS307" s="732" t="str">
        <f t="shared" si="251"/>
        <v>0.0061309272269722-11.0733241147893i</v>
      </c>
      <c r="AT307" s="337">
        <f t="shared" si="252"/>
        <v>11.073325812033296</v>
      </c>
      <c r="AU307" s="730">
        <f t="shared" si="253"/>
        <v>-1.5702426604760076</v>
      </c>
      <c r="AV307" s="732" t="str">
        <f t="shared" si="254"/>
        <v>-0.764894320243828+0.0817857813164863i</v>
      </c>
      <c r="AW307" s="337">
        <f t="shared" si="255"/>
        <v>-2.2786009297846408</v>
      </c>
      <c r="AX307" s="730">
        <f t="shared" si="256"/>
        <v>173.89687762721255</v>
      </c>
      <c r="AY307" s="360">
        <f t="shared" si="257"/>
        <v>-6.1031223727874533</v>
      </c>
      <c r="BB307" s="337">
        <f t="shared" si="258"/>
        <v>-19.114438431773053</v>
      </c>
      <c r="BC307" s="730">
        <f t="shared" si="259"/>
        <v>-89.968277256669111</v>
      </c>
      <c r="BD307" s="351"/>
      <c r="BE307" s="337">
        <f t="shared" si="220"/>
        <v>37.210787591634713</v>
      </c>
      <c r="BF307" s="730">
        <f t="shared" si="221"/>
        <v>-88.181663424325947</v>
      </c>
      <c r="BI307" s="351"/>
      <c r="BJ307" s="351"/>
      <c r="BL307" s="405">
        <f t="shared" si="222"/>
        <v>0</v>
      </c>
      <c r="BM307" s="405">
        <f t="shared" si="260"/>
        <v>0</v>
      </c>
      <c r="BN307" s="405">
        <f t="shared" si="223"/>
        <v>0</v>
      </c>
      <c r="BO307" s="405">
        <f t="shared" si="224"/>
        <v>0</v>
      </c>
    </row>
    <row r="308" spans="4:67" ht="13.5" thickBot="1" x14ac:dyDescent="0.25">
      <c r="D308" s="345">
        <v>21258.25</v>
      </c>
      <c r="E308" s="340" t="str">
        <f t="shared" si="211"/>
        <v>0.352623543508765i</v>
      </c>
      <c r="F308" s="728" t="str">
        <f t="shared" si="225"/>
        <v>0.005-0.1227334059829i</v>
      </c>
      <c r="G308" s="337" t="str">
        <f t="shared" si="226"/>
        <v>0.005-0.191967634998895i</v>
      </c>
      <c r="H308" s="338" t="str">
        <f t="shared" si="227"/>
        <v>0.0341771840634812-0.185811494722838i</v>
      </c>
      <c r="I308" s="338" t="str">
        <f t="shared" si="228"/>
        <v>0.0441771840634812-0.185811494722838i</v>
      </c>
      <c r="J308" s="337" t="str">
        <f t="shared" si="229"/>
        <v>0.00869667043997824-0.0745825628883208i</v>
      </c>
      <c r="K308" s="338" t="str">
        <f t="shared" si="212"/>
        <v>0.994978742299306-0.111307936713625i</v>
      </c>
      <c r="L308" s="732"/>
      <c r="M308" s="732" t="str">
        <f t="shared" si="213"/>
        <v>2.24771222054976-71.8615376157425i</v>
      </c>
      <c r="N308" s="337">
        <f t="shared" si="214"/>
        <v>0</v>
      </c>
      <c r="O308" s="730" t="str">
        <f t="shared" si="215"/>
        <v>-2.42987260368353-28.1614714665153i</v>
      </c>
      <c r="P308" s="731" t="str">
        <f t="shared" si="216"/>
        <v>-5.34007003605153-0.792596247998213i</v>
      </c>
      <c r="Q308" s="729" t="str">
        <f t="shared" si="217"/>
        <v>-5.3157713100147-0.510981533333058i</v>
      </c>
      <c r="R308" s="730"/>
      <c r="S308" s="405" t="str">
        <f t="shared" si="230"/>
        <v>39.8171705976157-2.55597864680499i</v>
      </c>
      <c r="T308" s="405" t="str">
        <f t="shared" si="231"/>
        <v>15.4287968928486-2.8305860658656i</v>
      </c>
      <c r="U308" s="405" t="str">
        <f t="shared" si="232"/>
        <v>0.00135740344482939-2.96358927341592i</v>
      </c>
      <c r="V308" s="731" t="str">
        <f t="shared" si="218"/>
        <v>6000</v>
      </c>
      <c r="W308" s="733" t="str">
        <f>IMSUM(COMPLEX(1,0),IMDIV(COMPLEX(0,2*PI()*D308),COMPLEX(2*PI()*'Stability Calculations'!EA_Pole1,0)))</f>
        <v>1+134905.219296914i</v>
      </c>
      <c r="X308" s="734">
        <f t="shared" si="233"/>
        <v>134905.21930062029</v>
      </c>
      <c r="Y308" s="735">
        <f t="shared" si="234"/>
        <v>1.5707889141832483</v>
      </c>
      <c r="Z308" s="340" t="str">
        <f>IMSUM(COMPLEX(1,0),IMDIV(COMPLEX(0,2*PI()*D308),COMPLEX(2*PI()*'Stability Calculations'!EA_Zero1,0)))</f>
        <v>1+1335.6952405635i</v>
      </c>
      <c r="AA308" s="734">
        <f t="shared" si="235"/>
        <v>1335.6956149003356</v>
      </c>
      <c r="AB308" s="735">
        <f t="shared" si="236"/>
        <v>1.5700476531582812</v>
      </c>
      <c r="AC308" s="733" t="str">
        <f>IMSUM(COMPLEX(1,0),IMDIV(COMPLEX(0,2*PI()*D308),COMPLEX(2*PI()*'Stability Calculations'!EA_Pole2,0)))</f>
        <v>1+13.455067405635i</v>
      </c>
      <c r="AD308" s="734">
        <f t="shared" si="237"/>
        <v>13.492176951484938</v>
      </c>
      <c r="AE308" s="735">
        <f t="shared" si="238"/>
        <v>1.4966112764641508</v>
      </c>
      <c r="AF308" s="732" t="str">
        <f t="shared" si="239"/>
        <v>0.32308183860283-4.39112323265873i</v>
      </c>
      <c r="AG308" s="337">
        <f t="shared" si="240"/>
        <v>4.4029927457162854</v>
      </c>
      <c r="AH308" s="730">
        <f t="shared" si="241"/>
        <v>-1.4973525374891177</v>
      </c>
      <c r="AI308" s="731" t="str">
        <f t="shared" si="219"/>
        <v>10000</v>
      </c>
      <c r="AJ308" s="733" t="str">
        <f t="shared" si="242"/>
        <v>1+125768.796712412i</v>
      </c>
      <c r="AK308" s="734">
        <f t="shared" si="243"/>
        <v>125768.79671638753</v>
      </c>
      <c r="AL308" s="735">
        <f t="shared" si="244"/>
        <v>1.5707883756971195</v>
      </c>
      <c r="AM308" s="340" t="str">
        <f t="shared" si="245"/>
        <v>1+213.444099442047i</v>
      </c>
      <c r="AN308" s="734">
        <f t="shared" si="246"/>
        <v>213.44644196291128</v>
      </c>
      <c r="AO308" s="735">
        <f t="shared" si="247"/>
        <v>1.5661112936359036</v>
      </c>
      <c r="AP308" s="733" t="str">
        <f t="shared" si="248"/>
        <v>1+10.352390649415i</v>
      </c>
      <c r="AQ308" s="734">
        <f t="shared" si="249"/>
        <v>10.400576530082125</v>
      </c>
      <c r="AR308" s="735">
        <f t="shared" si="250"/>
        <v>1.4744990495816275</v>
      </c>
      <c r="AS308" s="732" t="str">
        <f t="shared" si="251"/>
        <v>0.00606090239783484-11.0099051413788i</v>
      </c>
      <c r="AT308" s="337">
        <f t="shared" si="252"/>
        <v>11.009906809628191</v>
      </c>
      <c r="AU308" s="730">
        <f t="shared" si="253"/>
        <v>-1.570245831426611</v>
      </c>
      <c r="AV308" s="732" t="str">
        <f t="shared" si="254"/>
        <v>-0.756032104550862+0.0815491431653557i</v>
      </c>
      <c r="AW308" s="337">
        <f t="shared" si="255"/>
        <v>-2.3789577025941293</v>
      </c>
      <c r="AX308" s="730">
        <f t="shared" si="256"/>
        <v>173.8436128793852</v>
      </c>
      <c r="AY308" s="360">
        <f t="shared" si="257"/>
        <v>-6.1563871206147951</v>
      </c>
      <c r="BB308" s="337">
        <f t="shared" si="258"/>
        <v>-19.164327139612233</v>
      </c>
      <c r="BC308" s="730">
        <f t="shared" si="259"/>
        <v>-89.968458938755731</v>
      </c>
      <c r="BD308" s="351"/>
      <c r="BE308" s="337">
        <f t="shared" si="220"/>
        <v>37.134176896474173</v>
      </c>
      <c r="BF308" s="730">
        <f t="shared" si="221"/>
        <v>-88.208465132765383</v>
      </c>
      <c r="BI308" s="351"/>
      <c r="BJ308" s="351"/>
      <c r="BL308" s="405">
        <f t="shared" si="222"/>
        <v>0</v>
      </c>
      <c r="BM308" s="405">
        <f t="shared" si="260"/>
        <v>0</v>
      </c>
      <c r="BN308" s="405">
        <f t="shared" si="223"/>
        <v>0</v>
      </c>
      <c r="BO308" s="405">
        <f t="shared" si="224"/>
        <v>0</v>
      </c>
    </row>
    <row r="309" spans="4:67" ht="13.5" thickBot="1" x14ac:dyDescent="0.25">
      <c r="D309" s="345">
        <v>21380</v>
      </c>
      <c r="E309" s="340" t="str">
        <f t="shared" si="211"/>
        <v>0.354643084930199i</v>
      </c>
      <c r="F309" s="728" t="str">
        <f t="shared" si="225"/>
        <v>0.005-0.122034491475023i</v>
      </c>
      <c r="G309" s="337" t="str">
        <f t="shared" si="226"/>
        <v>0.005-0.190874461025036i</v>
      </c>
      <c r="H309" s="338" t="str">
        <f t="shared" si="227"/>
        <v>0.0338534961646584-0.184803950679033i</v>
      </c>
      <c r="I309" s="338" t="str">
        <f t="shared" si="228"/>
        <v>0.0438534961646584-0.184803950679033i</v>
      </c>
      <c r="J309" s="337" t="str">
        <f t="shared" si="229"/>
        <v>0.00864501090548323-0.0741612671157977i</v>
      </c>
      <c r="K309" s="338" t="str">
        <f t="shared" si="212"/>
        <v>0.994921062222222-0.111945418222916i</v>
      </c>
      <c r="L309" s="732"/>
      <c r="M309" s="732" t="str">
        <f t="shared" si="213"/>
        <v>2.19570369227314-71.2381938812762i</v>
      </c>
      <c r="N309" s="337">
        <f t="shared" si="214"/>
        <v>0</v>
      </c>
      <c r="O309" s="730" t="str">
        <f t="shared" si="215"/>
        <v>-2.41008774407135-27.913050832065i</v>
      </c>
      <c r="P309" s="731" t="str">
        <f t="shared" si="216"/>
        <v>-5.26413284291138-0.778691131020374i</v>
      </c>
      <c r="Q309" s="729" t="str">
        <f t="shared" si="217"/>
        <v>-5.24003196547067-0.499560622699723i</v>
      </c>
      <c r="R309" s="730"/>
      <c r="S309" s="405" t="str">
        <f t="shared" si="230"/>
        <v>39.8161046256176-2.59209919556698i</v>
      </c>
      <c r="T309" s="405" t="str">
        <f t="shared" si="231"/>
        <v>15.4258548817377-2.83814479125813i</v>
      </c>
      <c r="U309" s="405" t="str">
        <f t="shared" si="232"/>
        <v>-0.00228125094813809-2.94684004855216i</v>
      </c>
      <c r="V309" s="731" t="str">
        <f t="shared" si="218"/>
        <v>6000</v>
      </c>
      <c r="W309" s="733" t="str">
        <f>IMSUM(COMPLEX(1,0),IMDIV(COMPLEX(0,2*PI()*D309),COMPLEX(2*PI()*'Stability Calculations'!EA_Pole1,0)))</f>
        <v>1+135677.846886175i</v>
      </c>
      <c r="X309" s="734">
        <f t="shared" si="233"/>
        <v>135677.84688986017</v>
      </c>
      <c r="Y309" s="735">
        <f t="shared" si="234"/>
        <v>1.5707889563949167</v>
      </c>
      <c r="Z309" s="340" t="str">
        <f>IMSUM(COMPLEX(1,0),IMDIV(COMPLEX(0,2*PI()*D309),COMPLEX(2*PI()*'Stability Calculations'!EA_Zero1,0)))</f>
        <v>1+1343.345018675i</v>
      </c>
      <c r="AA309" s="734">
        <f t="shared" si="235"/>
        <v>1343.3453908801475</v>
      </c>
      <c r="AB309" s="735">
        <f t="shared" si="236"/>
        <v>1.5700519165344031</v>
      </c>
      <c r="AC309" s="733" t="str">
        <f>IMSUM(COMPLEX(1,0),IMDIV(COMPLEX(0,2*PI()*D309),COMPLEX(2*PI()*'Stability Calculations'!EA_Pole2,0)))</f>
        <v>1+13.5321271098269i</v>
      </c>
      <c r="AD309" s="734">
        <f t="shared" si="237"/>
        <v>13.569025908904152</v>
      </c>
      <c r="AE309" s="735">
        <f t="shared" si="238"/>
        <v>1.4970321936423852</v>
      </c>
      <c r="AF309" s="732" t="str">
        <f t="shared" si="239"/>
        <v>0.319432616626865-4.36638732555462i</v>
      </c>
      <c r="AG309" s="337">
        <f t="shared" si="240"/>
        <v>4.378056129531589</v>
      </c>
      <c r="AH309" s="730">
        <f t="shared" si="241"/>
        <v>-1.4977692335028983</v>
      </c>
      <c r="AI309" s="731" t="str">
        <f t="shared" si="219"/>
        <v>10000</v>
      </c>
      <c r="AJ309" s="733" t="str">
        <f t="shared" si="242"/>
        <v>1+126489.098289435i</v>
      </c>
      <c r="AK309" s="734">
        <f t="shared" si="243"/>
        <v>126489.09829338791</v>
      </c>
      <c r="AL309" s="735">
        <f t="shared" si="244"/>
        <v>1.570788420975237</v>
      </c>
      <c r="AM309" s="340" t="str">
        <f t="shared" si="245"/>
        <v>1+214.666533984265i</v>
      </c>
      <c r="AN309" s="734">
        <f t="shared" si="246"/>
        <v>214.66886316561516</v>
      </c>
      <c r="AO309" s="735">
        <f t="shared" si="247"/>
        <v>1.5661379725185784</v>
      </c>
      <c r="AP309" s="733" t="str">
        <f t="shared" si="248"/>
        <v>1+10.411680739689i</v>
      </c>
      <c r="AQ309" s="734">
        <f t="shared" si="249"/>
        <v>10.459593482789419</v>
      </c>
      <c r="AR309" s="735">
        <f t="shared" si="250"/>
        <v>1.4750440664115032</v>
      </c>
      <c r="AS309" s="732" t="str">
        <f t="shared" si="251"/>
        <v>0.00599207044358411-10.9472084554362i</v>
      </c>
      <c r="AT309" s="337">
        <f t="shared" si="252"/>
        <v>10.947210095347675</v>
      </c>
      <c r="AU309" s="730">
        <f t="shared" si="253"/>
        <v>-1.5702489662627974</v>
      </c>
      <c r="AV309" s="732" t="str">
        <f t="shared" si="254"/>
        <v>-0.747321467491262+0.0813109864185301i</v>
      </c>
      <c r="AW309" s="337">
        <f t="shared" si="255"/>
        <v>-2.4787403769825329</v>
      </c>
      <c r="AX309" s="730">
        <f t="shared" si="256"/>
        <v>173.79046062053308</v>
      </c>
      <c r="AY309" s="360">
        <f t="shared" si="257"/>
        <v>-6.2095393794669178</v>
      </c>
      <c r="BB309" s="337">
        <f t="shared" si="258"/>
        <v>-19.21393093990396</v>
      </c>
      <c r="BC309" s="730">
        <f t="shared" si="259"/>
        <v>-89.968638551638691</v>
      </c>
      <c r="BD309" s="351"/>
      <c r="BE309" s="337">
        <f t="shared" si="220"/>
        <v>37.058381823848244</v>
      </c>
      <c r="BF309" s="730">
        <f t="shared" si="221"/>
        <v>-88.234588322110383</v>
      </c>
      <c r="BI309" s="351"/>
      <c r="BJ309" s="351"/>
      <c r="BL309" s="405">
        <f t="shared" si="222"/>
        <v>0</v>
      </c>
      <c r="BM309" s="405">
        <f t="shared" si="260"/>
        <v>0</v>
      </c>
      <c r="BN309" s="405">
        <f t="shared" si="223"/>
        <v>0</v>
      </c>
      <c r="BO309" s="405">
        <f t="shared" si="224"/>
        <v>0</v>
      </c>
    </row>
    <row r="310" spans="4:67" ht="13.5" thickBot="1" x14ac:dyDescent="0.25">
      <c r="D310" s="345">
        <v>21504.5</v>
      </c>
      <c r="E310" s="340" t="str">
        <f t="shared" si="211"/>
        <v>0.356708242276963i</v>
      </c>
      <c r="F310" s="728" t="str">
        <f t="shared" si="225"/>
        <v>0.005-0.121327974504685i</v>
      </c>
      <c r="G310" s="337" t="str">
        <f t="shared" si="226"/>
        <v>0.005-0.189769396020148i</v>
      </c>
      <c r="H310" s="338" t="str">
        <f t="shared" si="227"/>
        <v>0.0335279875312051-0.18378459417267i</v>
      </c>
      <c r="I310" s="338" t="str">
        <f t="shared" si="228"/>
        <v>0.0435279875312051-0.18378459417267i</v>
      </c>
      <c r="J310" s="337" t="str">
        <f t="shared" si="229"/>
        <v>0.00859308446833065-0.073735335820281i</v>
      </c>
      <c r="K310" s="338" t="str">
        <f t="shared" si="212"/>
        <v>0.994861738663889-0.112597298698536i</v>
      </c>
      <c r="L310" s="732"/>
      <c r="M310" s="732" t="str">
        <f t="shared" si="213"/>
        <v>2.14431734731507-70.6130277633715i</v>
      </c>
      <c r="N310" s="337">
        <f t="shared" si="214"/>
        <v>0</v>
      </c>
      <c r="O310" s="730" t="str">
        <f t="shared" si="215"/>
        <v>-2.39008975892331-27.6639793503313i</v>
      </c>
      <c r="P310" s="731" t="str">
        <f t="shared" si="216"/>
        <v>-5.18824901532664-0.76489567184476i</v>
      </c>
      <c r="Q310" s="729" t="str">
        <f t="shared" si="217"/>
        <v>-5.16434811773741-0.488255878341449i</v>
      </c>
      <c r="R310" s="730"/>
      <c r="S310" s="405" t="str">
        <f t="shared" si="230"/>
        <v>39.8149540320211-2.62891312838934i</v>
      </c>
      <c r="T310" s="405" t="str">
        <f t="shared" si="231"/>
        <v>15.4228505362422-2.84591958023455i</v>
      </c>
      <c r="U310" s="405" t="str">
        <f t="shared" si="232"/>
        <v>-0.00593903462669494-2.92990028298993i</v>
      </c>
      <c r="V310" s="731" t="str">
        <f t="shared" si="218"/>
        <v>6000</v>
      </c>
      <c r="W310" s="733" t="str">
        <f>IMSUM(COMPLEX(1,0),IMDIV(COMPLEX(0,2*PI()*D310),COMPLEX(2*PI()*'Stability Calculations'!EA_Pole1,0)))</f>
        <v>1+136467.926022625i</v>
      </c>
      <c r="X310" s="734">
        <f t="shared" si="233"/>
        <v>136467.92602628889</v>
      </c>
      <c r="Y310" s="735">
        <f t="shared" si="234"/>
        <v>1.5707889990657435</v>
      </c>
      <c r="Z310" s="340" t="str">
        <f>IMSUM(COMPLEX(1,0),IMDIV(COMPLEX(0,2*PI()*D310),COMPLEX(2*PI()*'Stability Calculations'!EA_Zero1,0)))</f>
        <v>1+1351.16758438243i</v>
      </c>
      <c r="AA310" s="734">
        <f t="shared" si="235"/>
        <v>1351.1679544327017</v>
      </c>
      <c r="AB310" s="735">
        <f t="shared" si="236"/>
        <v>1.5700562262855478</v>
      </c>
      <c r="AC310" s="733" t="str">
        <f>IMSUM(COMPLEX(1,0),IMDIV(COMPLEX(0,2*PI()*D310),COMPLEX(2*PI()*'Stability Calculations'!EA_Pole2,0)))</f>
        <v>1+13.6109273822858i</v>
      </c>
      <c r="AD310" s="734">
        <f t="shared" si="237"/>
        <v>13.647613132187525</v>
      </c>
      <c r="AE310" s="735">
        <f t="shared" si="238"/>
        <v>1.4974577159744002</v>
      </c>
      <c r="AF310" s="732" t="str">
        <f t="shared" si="239"/>
        <v>0.315764422654541-4.34137769093478i</v>
      </c>
      <c r="AG310" s="337">
        <f t="shared" si="240"/>
        <v>4.3528458996340031</v>
      </c>
      <c r="AH310" s="730">
        <f t="shared" si="241"/>
        <v>-1.498190488754596</v>
      </c>
      <c r="AI310" s="731" t="str">
        <f t="shared" si="219"/>
        <v>10000</v>
      </c>
      <c r="AJ310" s="733" t="str">
        <f t="shared" si="242"/>
        <v>1+127225.669511933i</v>
      </c>
      <c r="AK310" s="734">
        <f t="shared" si="243"/>
        <v>127225.66951586302</v>
      </c>
      <c r="AL310" s="735">
        <f t="shared" si="244"/>
        <v>1.5707884667458687</v>
      </c>
      <c r="AM310" s="340" t="str">
        <f t="shared" si="245"/>
        <v>1+215.916579984312i</v>
      </c>
      <c r="AN310" s="734">
        <f t="shared" si="246"/>
        <v>215.91889568104455</v>
      </c>
      <c r="AO310" s="735">
        <f t="shared" si="247"/>
        <v>1.5661649416082988</v>
      </c>
      <c r="AP310" s="733" t="str">
        <f t="shared" si="248"/>
        <v>1+10.4723100311806i</v>
      </c>
      <c r="AQ310" s="734">
        <f t="shared" si="249"/>
        <v>10.519946643836452</v>
      </c>
      <c r="AR310" s="735">
        <f t="shared" si="250"/>
        <v>1.4755950696763813</v>
      </c>
      <c r="AS310" s="732" t="str">
        <f t="shared" si="251"/>
        <v>0.00592288929222297-10.883829783851i</v>
      </c>
      <c r="AT310" s="337">
        <f t="shared" si="252"/>
        <v>10.88383139544433</v>
      </c>
      <c r="AU310" s="730">
        <f t="shared" si="253"/>
        <v>-1.5702521351982646</v>
      </c>
      <c r="AV310" s="732" t="str">
        <f t="shared" si="254"/>
        <v>-0.738567250657438+0.0810660089588197i</v>
      </c>
      <c r="AW310" s="337">
        <f t="shared" si="255"/>
        <v>-2.5801900421392547</v>
      </c>
      <c r="AX310" s="730">
        <f t="shared" si="256"/>
        <v>173.73622195499041</v>
      </c>
      <c r="AY310" s="360">
        <f t="shared" si="257"/>
        <v>-6.2637780450095875</v>
      </c>
      <c r="BB310" s="337">
        <f t="shared" si="258"/>
        <v>-19.264363892412536</v>
      </c>
      <c r="BC310" s="730">
        <f t="shared" si="259"/>
        <v>-89.968820118266507</v>
      </c>
      <c r="BD310" s="351"/>
      <c r="BE310" s="337">
        <f t="shared" si="220"/>
        <v>36.9816997382175</v>
      </c>
      <c r="BF310" s="730">
        <f t="shared" si="221"/>
        <v>-88.260624237581254</v>
      </c>
      <c r="BI310" s="351"/>
      <c r="BJ310" s="351"/>
      <c r="BL310" s="405">
        <f t="shared" si="222"/>
        <v>0</v>
      </c>
      <c r="BM310" s="405">
        <f t="shared" si="260"/>
        <v>0</v>
      </c>
      <c r="BN310" s="405">
        <f t="shared" si="223"/>
        <v>0</v>
      </c>
      <c r="BO310" s="405">
        <f t="shared" si="224"/>
        <v>0</v>
      </c>
    </row>
    <row r="311" spans="4:67" ht="13.5" thickBot="1" x14ac:dyDescent="0.25">
      <c r="D311" s="345">
        <v>21629</v>
      </c>
      <c r="E311" s="340" t="str">
        <f t="shared" si="211"/>
        <v>0.358773399623726i</v>
      </c>
      <c r="F311" s="728" t="str">
        <f t="shared" si="225"/>
        <v>0.005-0.120629591184798i</v>
      </c>
      <c r="G311" s="337" t="str">
        <f t="shared" si="226"/>
        <v>0.005-0.188677052878786i</v>
      </c>
      <c r="H311" s="338" t="str">
        <f t="shared" si="227"/>
        <v>0.0332079091387697-0.182776134166947i</v>
      </c>
      <c r="I311" s="338" t="str">
        <f t="shared" si="228"/>
        <v>0.0432079091387697-0.182776134166947i</v>
      </c>
      <c r="J311" s="337" t="str">
        <f t="shared" si="229"/>
        <v>0.00854204741130755-0.0733142560737056i</v>
      </c>
      <c r="K311" s="338" t="str">
        <f t="shared" si="212"/>
        <v>0.994802070655556-0.113249179174156i</v>
      </c>
      <c r="L311" s="732"/>
      <c r="M311" s="732" t="str">
        <f t="shared" si="213"/>
        <v>2.09466871375545-69.9998850694889i</v>
      </c>
      <c r="N311" s="337">
        <f t="shared" si="214"/>
        <v>0</v>
      </c>
      <c r="O311" s="730" t="str">
        <f t="shared" si="215"/>
        <v>-2.37032897798441-27.4197712047197i</v>
      </c>
      <c r="P311" s="731" t="str">
        <f t="shared" si="216"/>
        <v>-5.11409673965058-0.7515114155195i</v>
      </c>
      <c r="Q311" s="729" t="str">
        <f t="shared" si="217"/>
        <v>-5.09039344987074-0.477313703472302i</v>
      </c>
      <c r="R311" s="730"/>
      <c r="S311" s="405" t="str">
        <f t="shared" si="230"/>
        <v>39.8137431287474-2.6656051868555i</v>
      </c>
      <c r="T311" s="405" t="str">
        <f t="shared" si="231"/>
        <v>15.419849996086-2.8537394106446i</v>
      </c>
      <c r="U311" s="405" t="str">
        <f t="shared" si="232"/>
        <v>-0.00953447979400226-2.91314729077322i</v>
      </c>
      <c r="V311" s="731" t="str">
        <f t="shared" si="218"/>
        <v>6000</v>
      </c>
      <c r="W311" s="733" t="str">
        <f>IMSUM(COMPLEX(1,0),IMDIV(COMPLEX(0,2*PI()*D311),COMPLEX(2*PI()*'Stability Calculations'!EA_Pole1,0)))</f>
        <v>1+137258.005159077i</v>
      </c>
      <c r="X311" s="734">
        <f t="shared" si="233"/>
        <v>137258.00516271978</v>
      </c>
      <c r="Y311" s="735">
        <f t="shared" si="234"/>
        <v>1.57078904124533</v>
      </c>
      <c r="Z311" s="340" t="str">
        <f>IMSUM(COMPLEX(1,0),IMDIV(COMPLEX(0,2*PI()*D311),COMPLEX(2*PI()*'Stability Calculations'!EA_Zero1,0)))</f>
        <v>1+1358.99015008987i</v>
      </c>
      <c r="AA311" s="734">
        <f t="shared" si="235"/>
        <v>1358.9905180100732</v>
      </c>
      <c r="AB311" s="735">
        <f t="shared" si="236"/>
        <v>1.5700604864214791</v>
      </c>
      <c r="AC311" s="733" t="str">
        <f>IMSUM(COMPLEX(1,0),IMDIV(COMPLEX(0,2*PI()*D311),COMPLEX(2*PI()*'Stability Calculations'!EA_Pole2,0)))</f>
        <v>1+13.6897276547449i</v>
      </c>
      <c r="AD311" s="734">
        <f t="shared" si="237"/>
        <v>13.726202798337466</v>
      </c>
      <c r="AE311" s="735">
        <f t="shared" si="238"/>
        <v>1.4978783657075276</v>
      </c>
      <c r="AF311" s="732" t="str">
        <f t="shared" si="239"/>
        <v>0.312158942056433-4.31665139421844i</v>
      </c>
      <c r="AG311" s="337">
        <f t="shared" si="240"/>
        <v>4.3279235742228392</v>
      </c>
      <c r="AH311" s="730">
        <f t="shared" si="241"/>
        <v>-1.4986069205313786</v>
      </c>
      <c r="AI311" s="731" t="str">
        <f t="shared" si="219"/>
        <v>10000</v>
      </c>
      <c r="AJ311" s="733" t="str">
        <f t="shared" si="242"/>
        <v>1+127962.240734433i</v>
      </c>
      <c r="AK311" s="734">
        <f t="shared" si="243"/>
        <v>127962.24073834041</v>
      </c>
      <c r="AL311" s="735">
        <f t="shared" si="244"/>
        <v>1.5707885119895741</v>
      </c>
      <c r="AM311" s="340" t="str">
        <f t="shared" si="245"/>
        <v>1+217.166625984361i</v>
      </c>
      <c r="AN311" s="734">
        <f t="shared" si="246"/>
        <v>217.16892835171274</v>
      </c>
      <c r="AO311" s="735">
        <f t="shared" si="247"/>
        <v>1.5661916002278116</v>
      </c>
      <c r="AP311" s="733" t="str">
        <f t="shared" si="248"/>
        <v>1+10.5329393226722i</v>
      </c>
      <c r="AQ311" s="734">
        <f t="shared" si="249"/>
        <v>10.580302962349156</v>
      </c>
      <c r="AR311" s="735">
        <f t="shared" si="250"/>
        <v>1.4761397866067194</v>
      </c>
      <c r="AS311" s="732" t="str">
        <f t="shared" si="251"/>
        <v>0.00585489935223553-10.8211807472597i</v>
      </c>
      <c r="AT311" s="337">
        <f t="shared" si="252"/>
        <v>10.821182331183151</v>
      </c>
      <c r="AU311" s="730">
        <f t="shared" si="253"/>
        <v>-1.5702552676519388</v>
      </c>
      <c r="AV311" s="732" t="str">
        <f t="shared" si="254"/>
        <v>-0.729964367941571+0.0808196993722856i</v>
      </c>
      <c r="AW311" s="337">
        <f t="shared" si="255"/>
        <v>-2.6810532026076936</v>
      </c>
      <c r="AX311" s="730">
        <f t="shared" si="256"/>
        <v>173.68209656513795</v>
      </c>
      <c r="AY311" s="360">
        <f t="shared" si="257"/>
        <v>-6.3179034348620462</v>
      </c>
      <c r="BB311" s="337">
        <f t="shared" si="258"/>
        <v>-19.314505705372707</v>
      </c>
      <c r="BC311" s="730">
        <f t="shared" si="259"/>
        <v>-89.968999594641559</v>
      </c>
      <c r="BD311" s="351"/>
      <c r="BE311" s="337">
        <f t="shared" si="220"/>
        <v>36.905833641604737</v>
      </c>
      <c r="BF311" s="730">
        <f t="shared" si="221"/>
        <v>-88.285998989155757</v>
      </c>
      <c r="BI311" s="351"/>
      <c r="BJ311" s="351"/>
      <c r="BL311" s="405">
        <f t="shared" si="222"/>
        <v>0</v>
      </c>
      <c r="BM311" s="405">
        <f t="shared" si="260"/>
        <v>0</v>
      </c>
      <c r="BN311" s="405">
        <f t="shared" si="223"/>
        <v>0</v>
      </c>
      <c r="BO311" s="405">
        <f t="shared" si="224"/>
        <v>0</v>
      </c>
    </row>
    <row r="312" spans="4:67" ht="13.5" thickBot="1" x14ac:dyDescent="0.25">
      <c r="D312" s="345">
        <v>21753.5</v>
      </c>
      <c r="E312" s="340" t="str">
        <f t="shared" si="211"/>
        <v>0.36083855697049i</v>
      </c>
      <c r="F312" s="728" t="str">
        <f t="shared" si="225"/>
        <v>0.005-0.119939201863424i</v>
      </c>
      <c r="G312" s="337" t="str">
        <f t="shared" si="226"/>
        <v>0.005-0.187597213170996i</v>
      </c>
      <c r="H312" s="338" t="str">
        <f t="shared" si="227"/>
        <v>0.0328931418325922-0.181778401869969i</v>
      </c>
      <c r="I312" s="338" t="str">
        <f t="shared" si="228"/>
        <v>0.0428931418325922-0.181778401869969i</v>
      </c>
      <c r="J312" s="337" t="str">
        <f t="shared" si="229"/>
        <v>0.00849187955142165-0.0728979457835894i</v>
      </c>
      <c r="K312" s="338" t="str">
        <f t="shared" si="212"/>
        <v>0.994742058197222-0.113901059649776i</v>
      </c>
      <c r="L312" s="732"/>
      <c r="M312" s="732" t="str">
        <f t="shared" si="213"/>
        <v>2.04668217401816-69.3984073282652i</v>
      </c>
      <c r="N312" s="337">
        <f t="shared" si="214"/>
        <v>0</v>
      </c>
      <c r="O312" s="730" t="str">
        <f t="shared" si="215"/>
        <v>-2.35080583011535-27.1802791622284i</v>
      </c>
      <c r="P312" s="731" t="str">
        <f t="shared" si="216"/>
        <v>-5.04162115638153-0.738521842249941i</v>
      </c>
      <c r="Q312" s="729" t="str">
        <f t="shared" si="217"/>
        <v>-5.01811309808038-0.466719050627658i</v>
      </c>
      <c r="R312" s="730"/>
      <c r="S312" s="405" t="str">
        <f t="shared" si="230"/>
        <v>39.8124728077174-2.70217731666179i</v>
      </c>
      <c r="T312" s="405" t="str">
        <f t="shared" si="231"/>
        <v>15.4168529104286-2.86160349606107i</v>
      </c>
      <c r="U312" s="405" t="str">
        <f t="shared" si="232"/>
        <v>-0.0130689809045549-2.89657801358668i</v>
      </c>
      <c r="V312" s="731" t="str">
        <f t="shared" si="218"/>
        <v>6000</v>
      </c>
      <c r="W312" s="733" t="str">
        <f>IMSUM(COMPLEX(1,0),IMDIV(COMPLEX(0,2*PI()*D312),COMPLEX(2*PI()*'Stability Calculations'!EA_Pole1,0)))</f>
        <v>1+138048.084295528i</v>
      </c>
      <c r="X312" s="734">
        <f t="shared" si="233"/>
        <v>138048.08429914995</v>
      </c>
      <c r="Y312" s="735">
        <f t="shared" si="234"/>
        <v>1.5707890829421109</v>
      </c>
      <c r="Z312" s="340" t="str">
        <f>IMSUM(COMPLEX(1,0),IMDIV(COMPLEX(0,2*PI()*D312),COMPLEX(2*PI()*'Stability Calculations'!EA_Zero1,0)))</f>
        <v>1+1366.81271579731i</v>
      </c>
      <c r="AA312" s="734">
        <f t="shared" si="235"/>
        <v>1366.8130816118266</v>
      </c>
      <c r="AB312" s="735">
        <f t="shared" si="236"/>
        <v>1.5700646977940722</v>
      </c>
      <c r="AC312" s="733" t="str">
        <f>IMSUM(COMPLEX(1,0),IMDIV(COMPLEX(0,2*PI()*D312),COMPLEX(2*PI()*'Stability Calculations'!EA_Pole2,0)))</f>
        <v>1+13.7685279272039i</v>
      </c>
      <c r="AD312" s="734">
        <f t="shared" si="237"/>
        <v>13.804794865632511</v>
      </c>
      <c r="AE312" s="735">
        <f t="shared" si="238"/>
        <v>1.4982942259121828</v>
      </c>
      <c r="AF312" s="732" t="str">
        <f t="shared" si="239"/>
        <v>0.30861475586158-4.29220367365173i</v>
      </c>
      <c r="AG312" s="337">
        <f t="shared" si="240"/>
        <v>4.3032842624726646</v>
      </c>
      <c r="AH312" s="730">
        <f t="shared" si="241"/>
        <v>-1.4990186110602217</v>
      </c>
      <c r="AI312" s="731" t="str">
        <f t="shared" si="219"/>
        <v>10000</v>
      </c>
      <c r="AJ312" s="733" t="str">
        <f t="shared" si="242"/>
        <v>1+128698.811956932i</v>
      </c>
      <c r="AK312" s="734">
        <f t="shared" si="243"/>
        <v>128698.81196081702</v>
      </c>
      <c r="AL312" s="735">
        <f t="shared" si="244"/>
        <v>1.5707885567154003</v>
      </c>
      <c r="AM312" s="340" t="str">
        <f t="shared" si="245"/>
        <v>1+218.41667198441i</v>
      </c>
      <c r="AN312" s="734">
        <f t="shared" si="246"/>
        <v>218.41896117495239</v>
      </c>
      <c r="AO312" s="735">
        <f t="shared" si="247"/>
        <v>1.5662179537076311</v>
      </c>
      <c r="AP312" s="733" t="str">
        <f t="shared" si="248"/>
        <v>1+10.5935686141639i</v>
      </c>
      <c r="AQ312" s="734">
        <f t="shared" si="249"/>
        <v>10.640662384597984</v>
      </c>
      <c r="AR312" s="735">
        <f t="shared" si="250"/>
        <v>1.4766783238546508</v>
      </c>
      <c r="AS312" s="732" t="str">
        <f t="shared" si="251"/>
        <v>0.00578807343157787-10.7592488180989i</v>
      </c>
      <c r="AT312" s="337">
        <f t="shared" si="252"/>
        <v>10.759250374982294</v>
      </c>
      <c r="AU312" s="730">
        <f t="shared" si="253"/>
        <v>-1.5702583642501995</v>
      </c>
      <c r="AV312" s="732" t="str">
        <f t="shared" si="254"/>
        <v>-0.721509348811441+0.0805721780919852i</v>
      </c>
      <c r="AW312" s="337">
        <f t="shared" si="255"/>
        <v>-2.7813366656284275</v>
      </c>
      <c r="AX312" s="730">
        <f t="shared" si="256"/>
        <v>173.62808233214503</v>
      </c>
      <c r="AY312" s="360">
        <f t="shared" si="257"/>
        <v>-6.3719176678549729</v>
      </c>
      <c r="BB312" s="337">
        <f t="shared" si="258"/>
        <v>-19.364359720882661</v>
      </c>
      <c r="BC312" s="730">
        <f t="shared" si="259"/>
        <v>-89.969177016652736</v>
      </c>
      <c r="BD312" s="351"/>
      <c r="BE312" s="337">
        <f t="shared" si="220"/>
        <v>36.830765771539411</v>
      </c>
      <c r="BF312" s="730">
        <f t="shared" si="221"/>
        <v>-88.310735436115166</v>
      </c>
      <c r="BI312" s="351"/>
      <c r="BJ312" s="351"/>
      <c r="BL312" s="405">
        <f t="shared" si="222"/>
        <v>0</v>
      </c>
      <c r="BM312" s="405">
        <f t="shared" si="260"/>
        <v>0</v>
      </c>
      <c r="BN312" s="405">
        <f t="shared" si="223"/>
        <v>0</v>
      </c>
      <c r="BO312" s="405">
        <f t="shared" si="224"/>
        <v>0</v>
      </c>
    </row>
    <row r="313" spans="4:67" ht="13.5" thickBot="1" x14ac:dyDescent="0.25">
      <c r="D313" s="345">
        <v>21878</v>
      </c>
      <c r="E313" s="340" t="str">
        <f t="shared" si="211"/>
        <v>0.362903714317254i</v>
      </c>
      <c r="F313" s="728" t="str">
        <f t="shared" si="225"/>
        <v>0.005-0.119256670067464i</v>
      </c>
      <c r="G313" s="337" t="str">
        <f t="shared" si="226"/>
        <v>0.005-0.186529663438855i</v>
      </c>
      <c r="H313" s="338" t="str">
        <f t="shared" si="227"/>
        <v>0.0325835696816653-0.180791231839768i</v>
      </c>
      <c r="I313" s="338" t="str">
        <f t="shared" si="228"/>
        <v>0.0425835696816653-0.180791231839768i</v>
      </c>
      <c r="J313" s="337" t="str">
        <f t="shared" si="229"/>
        <v>0.00844256127423571-0.0724863246922687i</v>
      </c>
      <c r="K313" s="338" t="str">
        <f t="shared" si="212"/>
        <v>0.994681701288889-0.114552940125396i</v>
      </c>
      <c r="L313" s="732"/>
      <c r="M313" s="732" t="str">
        <f t="shared" si="213"/>
        <v>2.00028610825518-68.8082503866906i</v>
      </c>
      <c r="N313" s="337">
        <f t="shared" si="214"/>
        <v>0</v>
      </c>
      <c r="O313" s="730" t="str">
        <f t="shared" si="215"/>
        <v>-2.33152037223455-26.9453619580615i</v>
      </c>
      <c r="P313" s="731" t="str">
        <f t="shared" si="216"/>
        <v>-4.97076964100162-0.725911258383007i</v>
      </c>
      <c r="Q313" s="729" t="str">
        <f t="shared" si="217"/>
        <v>-4.94745443727927-0.456457638802395i</v>
      </c>
      <c r="R313" s="730"/>
      <c r="S313" s="405" t="str">
        <f t="shared" si="230"/>
        <v>39.8111439360688-2.73863142151535i</v>
      </c>
      <c r="T313" s="405" t="str">
        <f t="shared" si="231"/>
        <v>15.4138589382246-2.86951106663053i</v>
      </c>
      <c r="U313" s="405" t="str">
        <f t="shared" si="232"/>
        <v>-0.0165438937369757-2.8801894586379i</v>
      </c>
      <c r="V313" s="731" t="str">
        <f t="shared" si="218"/>
        <v>6000</v>
      </c>
      <c r="W313" s="733" t="str">
        <f>IMSUM(COMPLEX(1,0),IMDIV(COMPLEX(0,2*PI()*D313),COMPLEX(2*PI()*'Stability Calculations'!EA_Pole1,0)))</f>
        <v>1+138838.16343198i</v>
      </c>
      <c r="X313" s="734">
        <f t="shared" si="233"/>
        <v>138838.16343558131</v>
      </c>
      <c r="Y313" s="735">
        <f t="shared" si="234"/>
        <v>1.5707891241643284</v>
      </c>
      <c r="Z313" s="340" t="str">
        <f>IMSUM(COMPLEX(1,0),IMDIV(COMPLEX(0,2*PI()*D313),COMPLEX(2*PI()*'Stability Calculations'!EA_Zero1,0)))</f>
        <v>1+1374.63528150475i</v>
      </c>
      <c r="AA313" s="734">
        <f t="shared" si="235"/>
        <v>1374.6356452375455</v>
      </c>
      <c r="AB313" s="735">
        <f t="shared" si="236"/>
        <v>1.5700688612358116</v>
      </c>
      <c r="AC313" s="733" t="str">
        <f>IMSUM(COMPLEX(1,0),IMDIV(COMPLEX(0,2*PI()*D313),COMPLEX(2*PI()*'Stability Calculations'!EA_Pole2,0)))</f>
        <v>1+13.8473281996629i</v>
      </c>
      <c r="AD313" s="734">
        <f t="shared" si="237"/>
        <v>13.883389293295041</v>
      </c>
      <c r="AE313" s="735">
        <f t="shared" si="238"/>
        <v>1.498705377784435</v>
      </c>
      <c r="AF313" s="732" t="str">
        <f t="shared" si="239"/>
        <v>0.305130484935849-4.26802987299368i</v>
      </c>
      <c r="AG313" s="337">
        <f t="shared" si="240"/>
        <v>4.2789231834193568</v>
      </c>
      <c r="AH313" s="730">
        <f t="shared" si="241"/>
        <v>-1.4994256407129516</v>
      </c>
      <c r="AI313" s="731" t="str">
        <f t="shared" si="219"/>
        <v>10000</v>
      </c>
      <c r="AJ313" s="733" t="str">
        <f t="shared" si="242"/>
        <v>1+129435.383179431i</v>
      </c>
      <c r="AK313" s="734">
        <f t="shared" si="243"/>
        <v>129435.38318329393</v>
      </c>
      <c r="AL313" s="735">
        <f t="shared" si="244"/>
        <v>1.5707886009321887</v>
      </c>
      <c r="AM313" s="340" t="str">
        <f t="shared" si="245"/>
        <v>1+219.666717984459i</v>
      </c>
      <c r="AN313" s="734">
        <f t="shared" si="246"/>
        <v>219.66899414815887</v>
      </c>
      <c r="AO313" s="735">
        <f t="shared" si="247"/>
        <v>1.5662440072569404</v>
      </c>
      <c r="AP313" s="733" t="str">
        <f t="shared" si="248"/>
        <v>1+10.6541979056555i</v>
      </c>
      <c r="AQ313" s="734">
        <f t="shared" si="249"/>
        <v>10.701024858062617</v>
      </c>
      <c r="AR313" s="735">
        <f t="shared" si="250"/>
        <v>1.4772107856804115</v>
      </c>
      <c r="AS313" s="732" t="str">
        <f t="shared" si="251"/>
        <v>0.00572238510969956-10.6980217539646i</v>
      </c>
      <c r="AT313" s="337">
        <f t="shared" si="252"/>
        <v>10.698023284419937</v>
      </c>
      <c r="AU313" s="730">
        <f t="shared" si="253"/>
        <v>-1.5702614256051681</v>
      </c>
      <c r="AV313" s="732" t="str">
        <f t="shared" si="254"/>
        <v>-0.713198821713496+0.0803235599230364i</v>
      </c>
      <c r="AW313" s="337">
        <f t="shared" si="255"/>
        <v>-2.8810471207308508</v>
      </c>
      <c r="AX313" s="730">
        <f t="shared" si="256"/>
        <v>173.57417718980815</v>
      </c>
      <c r="AY313" s="360">
        <f t="shared" si="257"/>
        <v>-6.4258228101918462</v>
      </c>
      <c r="BB313" s="337">
        <f t="shared" si="258"/>
        <v>-19.413929223820837</v>
      </c>
      <c r="BC313" s="730">
        <f t="shared" si="259"/>
        <v>-89.969352419372029</v>
      </c>
      <c r="BD313" s="351"/>
      <c r="BE313" s="337">
        <f t="shared" si="220"/>
        <v>36.756478931709694</v>
      </c>
      <c r="BF313" s="730">
        <f t="shared" si="221"/>
        <v>-88.334855444779038</v>
      </c>
      <c r="BI313" s="351"/>
      <c r="BJ313" s="351"/>
      <c r="BL313" s="405">
        <f t="shared" si="222"/>
        <v>0</v>
      </c>
      <c r="BM313" s="405">
        <f t="shared" si="260"/>
        <v>0</v>
      </c>
      <c r="BN313" s="405">
        <f t="shared" si="223"/>
        <v>0</v>
      </c>
      <c r="BO313" s="405">
        <f t="shared" si="224"/>
        <v>0</v>
      </c>
    </row>
    <row r="314" spans="4:67" ht="13.5" thickBot="1" x14ac:dyDescent="0.25">
      <c r="D314" s="345">
        <v>22005.25</v>
      </c>
      <c r="E314" s="340" t="str">
        <f t="shared" si="211"/>
        <v>0.365014487589348i</v>
      </c>
      <c r="F314" s="728" t="str">
        <f t="shared" si="225"/>
        <v>0.005-0.118567043216323i</v>
      </c>
      <c r="G314" s="337" t="str">
        <f t="shared" si="226"/>
        <v>0.005-0.18545101631271i</v>
      </c>
      <c r="H314" s="338" t="str">
        <f t="shared" si="227"/>
        <v>0.032272410726362-0.179793002847803i</v>
      </c>
      <c r="I314" s="338" t="str">
        <f t="shared" si="228"/>
        <v>0.042272410726362-0.179793002847803i</v>
      </c>
      <c r="J314" s="337" t="str">
        <f t="shared" si="229"/>
        <v>0.00839301173301577-0.0720703755967006i</v>
      </c>
      <c r="K314" s="338" t="str">
        <f t="shared" si="212"/>
        <v>0.994619655249306-0.115219219567345i</v>
      </c>
      <c r="L314" s="732"/>
      <c r="M314" s="732" t="str">
        <f t="shared" si="213"/>
        <v>1.95443815697165-68.2164124811584i</v>
      </c>
      <c r="N314" s="337">
        <f t="shared" si="214"/>
        <v>0</v>
      </c>
      <c r="O314" s="730" t="str">
        <f t="shared" si="215"/>
        <v>-2.31205426283229-26.7098422269453i</v>
      </c>
      <c r="P314" s="731" t="str">
        <f t="shared" si="216"/>
        <v>-4.89997884699362-0.713398242392075i</v>
      </c>
      <c r="Q314" s="729" t="str">
        <f t="shared" si="217"/>
        <v>-4.8768583043653-0.446299820122623i</v>
      </c>
      <c r="R314" s="730"/>
      <c r="S314" s="405" t="str">
        <f t="shared" si="230"/>
        <v>39.8097260845963-2.77577071224813i</v>
      </c>
      <c r="T314" s="405" t="str">
        <f t="shared" si="231"/>
        <v>15.4108017063645-2.87763745443315i</v>
      </c>
      <c r="U314" s="405" t="str">
        <f t="shared" si="232"/>
        <v>-0.0200353567495289-2.86362261293036i</v>
      </c>
      <c r="V314" s="731" t="str">
        <f t="shared" si="218"/>
        <v>6000</v>
      </c>
      <c r="W314" s="733" t="str">
        <f>IMSUM(COMPLEX(1,0),IMDIV(COMPLEX(0,2*PI()*D314),COMPLEX(2*PI()*'Stability Calculations'!EA_Pole1,0)))</f>
        <v>1+139645.694115622i</v>
      </c>
      <c r="X314" s="734">
        <f t="shared" si="233"/>
        <v>139645.6941192025</v>
      </c>
      <c r="Y314" s="735">
        <f t="shared" si="234"/>
        <v>1.570789165815059</v>
      </c>
      <c r="Z314" s="340" t="str">
        <f>IMSUM(COMPLEX(1,0),IMDIV(COMPLEX(0,2*PI()*D314),COMPLEX(2*PI()*'Stability Calculations'!EA_Zero1,0)))</f>
        <v>1+1382.63063480814i</v>
      </c>
      <c r="AA314" s="734">
        <f t="shared" si="235"/>
        <v>1382.6309964375746</v>
      </c>
      <c r="AB314" s="735">
        <f t="shared" si="236"/>
        <v>1.5700730679573902</v>
      </c>
      <c r="AC314" s="733" t="str">
        <f>IMSUM(COMPLEX(1,0),IMDIV(COMPLEX(0,2*PI()*D314),COMPLEX(2*PI()*'Stability Calculations'!EA_Pole2,0)))</f>
        <v>1+13.9278690403891i</v>
      </c>
      <c r="AD314" s="734">
        <f t="shared" si="237"/>
        <v>13.963722140111107</v>
      </c>
      <c r="AE314" s="735">
        <f t="shared" si="238"/>
        <v>1.4991208284617081</v>
      </c>
      <c r="AF314" s="732" t="str">
        <f t="shared" si="239"/>
        <v>0.3016297718724-4.24360043560313i</v>
      </c>
      <c r="AG314" s="337">
        <f t="shared" si="240"/>
        <v>4.254306662234268</v>
      </c>
      <c r="AH314" s="730">
        <f t="shared" si="241"/>
        <v>-1.4998369263193774</v>
      </c>
      <c r="AI314" s="731" t="str">
        <f t="shared" si="219"/>
        <v>10000</v>
      </c>
      <c r="AJ314" s="733" t="str">
        <f t="shared" si="242"/>
        <v>1+130188.224047408i</v>
      </c>
      <c r="AK314" s="734">
        <f t="shared" si="243"/>
        <v>130188.2240512486</v>
      </c>
      <c r="AL314" s="735">
        <f t="shared" si="244"/>
        <v>1.5707886456086195</v>
      </c>
      <c r="AM314" s="340" t="str">
        <f t="shared" si="245"/>
        <v>1+220.944375442341i</v>
      </c>
      <c r="AN314" s="734">
        <f t="shared" si="246"/>
        <v>220.94663844377931</v>
      </c>
      <c r="AO314" s="735">
        <f t="shared" si="247"/>
        <v>1.5662703316444071</v>
      </c>
      <c r="AP314" s="733" t="str">
        <f t="shared" si="248"/>
        <v>1+10.7161663983649i</v>
      </c>
      <c r="AQ314" s="734">
        <f t="shared" si="249"/>
        <v>10.762723738786802</v>
      </c>
      <c r="AR314" s="735">
        <f t="shared" si="250"/>
        <v>1.4777488366123537</v>
      </c>
      <c r="AS314" s="732" t="str">
        <f t="shared" si="251"/>
        <v>0.00565639468546769-10.6361582215833i</v>
      </c>
      <c r="AT314" s="337">
        <f t="shared" si="252"/>
        <v>10.63615972564134</v>
      </c>
      <c r="AU314" s="730">
        <f t="shared" si="253"/>
        <v>-1.5702645187835469</v>
      </c>
      <c r="AV314" s="732" t="str">
        <f t="shared" si="254"/>
        <v>-0.704850633748609+0.0800684305835009i</v>
      </c>
      <c r="AW314" s="337">
        <f t="shared" si="255"/>
        <v>-2.9823747260266331</v>
      </c>
      <c r="AX314" s="730">
        <f t="shared" si="256"/>
        <v>173.51919200583757</v>
      </c>
      <c r="AY314" s="360">
        <f t="shared" si="257"/>
        <v>-6.4808079941624328</v>
      </c>
      <c r="BB314" s="337">
        <f t="shared" si="258"/>
        <v>-19.464302987840295</v>
      </c>
      <c r="BC314" s="730">
        <f t="shared" si="259"/>
        <v>-89.969529645438413</v>
      </c>
      <c r="BD314" s="351"/>
      <c r="BE314" s="337">
        <f t="shared" si="220"/>
        <v>36.681340983132024</v>
      </c>
      <c r="BF314" s="730">
        <f t="shared" si="221"/>
        <v>-88.358892989576518</v>
      </c>
      <c r="BI314" s="351"/>
      <c r="BJ314" s="351"/>
      <c r="BL314" s="405">
        <f t="shared" si="222"/>
        <v>0</v>
      </c>
      <c r="BM314" s="405">
        <f t="shared" si="260"/>
        <v>0</v>
      </c>
      <c r="BN314" s="405">
        <f t="shared" si="223"/>
        <v>0</v>
      </c>
      <c r="BO314" s="405">
        <f t="shared" si="224"/>
        <v>0</v>
      </c>
    </row>
    <row r="315" spans="4:67" ht="13.5" thickBot="1" x14ac:dyDescent="0.25">
      <c r="D315" s="345">
        <v>22132.5</v>
      </c>
      <c r="E315" s="340" t="str">
        <f t="shared" si="211"/>
        <v>0.367125260861442i</v>
      </c>
      <c r="F315" s="728" t="str">
        <f t="shared" si="225"/>
        <v>0.005-0.117885346333943i</v>
      </c>
      <c r="G315" s="337" t="str">
        <f t="shared" si="226"/>
        <v>0.005-0.184384772471039i</v>
      </c>
      <c r="H315" s="338" t="str">
        <f t="shared" si="227"/>
        <v>0.0319664439365383-0.178805468770382i</v>
      </c>
      <c r="I315" s="338" t="str">
        <f t="shared" si="228"/>
        <v>0.0419664439365383-0.178805468770382i</v>
      </c>
      <c r="J315" s="337" t="str">
        <f t="shared" si="229"/>
        <v>0.00834431002305876-0.0716591612521878i</v>
      </c>
      <c r="K315" s="338" t="str">
        <f t="shared" si="212"/>
        <v>0.994557249375-0.115885499009293i</v>
      </c>
      <c r="L315" s="732"/>
      <c r="M315" s="732" t="str">
        <f t="shared" si="213"/>
        <v>1.91011215909486-67.635716782379i</v>
      </c>
      <c r="N315" s="337">
        <f t="shared" si="214"/>
        <v>0</v>
      </c>
      <c r="O315" s="730" t="str">
        <f t="shared" si="215"/>
        <v>-2.29283554812689-26.4788210637749i</v>
      </c>
      <c r="P315" s="731" t="str">
        <f t="shared" si="216"/>
        <v>-4.83078016728152-0.701250424682312i</v>
      </c>
      <c r="Q315" s="729" t="str">
        <f t="shared" si="217"/>
        <v>-4.80785181180025-0.436462214044562i</v>
      </c>
      <c r="R315" s="730"/>
      <c r="S315" s="405" t="str">
        <f t="shared" si="230"/>
        <v>39.8082488233795-2.81279059839064i</v>
      </c>
      <c r="T315" s="405" t="str">
        <f t="shared" si="231"/>
        <v>15.4077470365254-2.88580769451023i</v>
      </c>
      <c r="U315" s="405" t="str">
        <f t="shared" si="232"/>
        <v>-0.023467315766626-2.84723844143959i</v>
      </c>
      <c r="V315" s="731" t="str">
        <f t="shared" si="218"/>
        <v>6000</v>
      </c>
      <c r="W315" s="733" t="str">
        <f>IMSUM(COMPLEX(1,0),IMDIV(COMPLEX(0,2*PI()*D315),COMPLEX(2*PI()*'Stability Calculations'!EA_Pole1,0)))</f>
        <v>1+140453.224799264i</v>
      </c>
      <c r="X315" s="734">
        <f t="shared" si="233"/>
        <v>140453.22480282391</v>
      </c>
      <c r="Y315" s="735">
        <f t="shared" si="234"/>
        <v>1.5707892069868508</v>
      </c>
      <c r="Z315" s="340" t="str">
        <f>IMSUM(COMPLEX(1,0),IMDIV(COMPLEX(0,2*PI()*D315),COMPLEX(2*PI()*'Stability Calculations'!EA_Zero1,0)))</f>
        <v>1+1390.62598811152i</v>
      </c>
      <c r="AA315" s="734">
        <f t="shared" si="235"/>
        <v>1390.6263476617796</v>
      </c>
      <c r="AB315" s="735">
        <f t="shared" si="236"/>
        <v>1.5700772263062099</v>
      </c>
      <c r="AC315" s="733" t="str">
        <f>IMSUM(COMPLEX(1,0),IMDIV(COMPLEX(0,2*PI()*D315),COMPLEX(2*PI()*'Stability Calculations'!EA_Pole2,0)))</f>
        <v>1+14.0084098811152i</v>
      </c>
      <c r="AD315" s="734">
        <f t="shared" si="237"/>
        <v>14.044057369482864</v>
      </c>
      <c r="AE315" s="735">
        <f t="shared" si="238"/>
        <v>1.4995315262628648</v>
      </c>
      <c r="AF315" s="732" t="str">
        <f t="shared" si="239"/>
        <v>0.298188858532714-4.21944764168763i</v>
      </c>
      <c r="AG315" s="337">
        <f t="shared" si="240"/>
        <v>4.2299710396522041</v>
      </c>
      <c r="AH315" s="730">
        <f t="shared" si="241"/>
        <v>-1.5002435069435056</v>
      </c>
      <c r="AI315" s="731" t="str">
        <f t="shared" si="219"/>
        <v>10000</v>
      </c>
      <c r="AJ315" s="733" t="str">
        <f t="shared" si="242"/>
        <v>1+130941.064915384i</v>
      </c>
      <c r="AK315" s="734">
        <f t="shared" si="243"/>
        <v>130941.06491920252</v>
      </c>
      <c r="AL315" s="735">
        <f t="shared" si="244"/>
        <v>1.5707886897713195</v>
      </c>
      <c r="AM315" s="340" t="str">
        <f t="shared" si="245"/>
        <v>1+222.222032900221i</v>
      </c>
      <c r="AN315" s="734">
        <f t="shared" si="246"/>
        <v>222.22428289074733</v>
      </c>
      <c r="AO315" s="735">
        <f t="shared" si="247"/>
        <v>1.5662963533358314</v>
      </c>
      <c r="AP315" s="733" t="str">
        <f t="shared" si="248"/>
        <v>1+10.7781348910741i</v>
      </c>
      <c r="AQ315" s="734">
        <f t="shared" si="249"/>
        <v>10.824425699786058</v>
      </c>
      <c r="AR315" s="735">
        <f t="shared" si="250"/>
        <v>1.4782807536443507</v>
      </c>
      <c r="AS315" s="732" t="str">
        <f t="shared" si="251"/>
        <v>0.00559153921414516-10.5750060528395i</v>
      </c>
      <c r="AT315" s="337">
        <f t="shared" si="252"/>
        <v>10.575007531103836</v>
      </c>
      <c r="AU315" s="730">
        <f t="shared" si="253"/>
        <v>-1.5702675763937037</v>
      </c>
      <c r="AV315" s="732" t="str">
        <f t="shared" si="254"/>
        <v>-0.696646571417012+0.0798123809997807i</v>
      </c>
      <c r="AW315" s="337">
        <f t="shared" si="255"/>
        <v>-3.0831174965417221</v>
      </c>
      <c r="AX315" s="730">
        <f t="shared" si="256"/>
        <v>173.46431658160679</v>
      </c>
      <c r="AY315" s="360">
        <f t="shared" si="257"/>
        <v>-6.5356834183932051</v>
      </c>
      <c r="BB315" s="337">
        <f t="shared" si="258"/>
        <v>-19.514386293307744</v>
      </c>
      <c r="BC315" s="730">
        <f t="shared" si="259"/>
        <v>-89.969704833595799</v>
      </c>
      <c r="BD315" s="351"/>
      <c r="BE315" s="337">
        <f t="shared" si="220"/>
        <v>36.606984333998575</v>
      </c>
      <c r="BF315" s="730">
        <f t="shared" si="221"/>
        <v>-88.382329799469318</v>
      </c>
      <c r="BI315" s="351"/>
      <c r="BJ315" s="351"/>
      <c r="BL315" s="405">
        <f t="shared" si="222"/>
        <v>0</v>
      </c>
      <c r="BM315" s="405">
        <f t="shared" si="260"/>
        <v>0</v>
      </c>
      <c r="BN315" s="405">
        <f t="shared" si="223"/>
        <v>0</v>
      </c>
      <c r="BO315" s="405">
        <f t="shared" si="224"/>
        <v>0</v>
      </c>
    </row>
    <row r="316" spans="4:67" ht="13.5" thickBot="1" x14ac:dyDescent="0.25">
      <c r="D316" s="345">
        <v>22259.75</v>
      </c>
      <c r="E316" s="340" t="str">
        <f t="shared" si="211"/>
        <v>0.369236034133536i</v>
      </c>
      <c r="F316" s="728" t="str">
        <f t="shared" si="225"/>
        <v>0.005-0.117211443423039i</v>
      </c>
      <c r="G316" s="337" t="str">
        <f t="shared" si="226"/>
        <v>0.005-0.183330719200138i</v>
      </c>
      <c r="H316" s="338" t="str">
        <f t="shared" si="227"/>
        <v>0.0316655553105067-0.177828463299772i</v>
      </c>
      <c r="I316" s="338" t="str">
        <f t="shared" si="228"/>
        <v>0.0416655553105067-0.177828463299772i</v>
      </c>
      <c r="J316" s="337" t="str">
        <f t="shared" si="229"/>
        <v>0.00829643692105515-0.0712526015820793i</v>
      </c>
      <c r="K316" s="338" t="str">
        <f t="shared" si="212"/>
        <v>0.994494483665972-0.116551778451242i</v>
      </c>
      <c r="L316" s="732"/>
      <c r="M316" s="732" t="str">
        <f t="shared" si="213"/>
        <v>1.86724304629844-67.0658377371336i</v>
      </c>
      <c r="N316" s="337">
        <f t="shared" si="214"/>
        <v>0</v>
      </c>
      <c r="O316" s="730" t="str">
        <f t="shared" si="215"/>
        <v>-2.27386331423-26.2521650785747i</v>
      </c>
      <c r="P316" s="731" t="str">
        <f t="shared" si="216"/>
        <v>-4.76312395190248-0.68945341717866i</v>
      </c>
      <c r="Q316" s="729" t="str">
        <f t="shared" si="217"/>
        <v>-4.74038531876018-0.426931766392913i</v>
      </c>
      <c r="R316" s="730"/>
      <c r="S316" s="405" t="str">
        <f t="shared" si="230"/>
        <v>39.8067130032368-2.84969298367281i</v>
      </c>
      <c r="T316" s="405" t="str">
        <f t="shared" si="231"/>
        <v>15.404694594227-2.89402101575082i</v>
      </c>
      <c r="U316" s="405" t="str">
        <f t="shared" si="232"/>
        <v>-0.0268411012732568-2.83103394983773i</v>
      </c>
      <c r="V316" s="731" t="str">
        <f t="shared" si="218"/>
        <v>6000</v>
      </c>
      <c r="W316" s="733" t="str">
        <f>IMSUM(COMPLEX(1,0),IMDIV(COMPLEX(0,2*PI()*D316),COMPLEX(2*PI()*'Stability Calculations'!EA_Pole1,0)))</f>
        <v>1+141260.755482906i</v>
      </c>
      <c r="X316" s="734">
        <f t="shared" si="233"/>
        <v>141260.75548644556</v>
      </c>
      <c r="Y316" s="735">
        <f t="shared" si="234"/>
        <v>1.5707892476879177</v>
      </c>
      <c r="Z316" s="340" t="str">
        <f>IMSUM(COMPLEX(1,0),IMDIV(COMPLEX(0,2*PI()*D316),COMPLEX(2*PI()*'Stability Calculations'!EA_Zero1,0)))</f>
        <v>1+1398.62134141491i</v>
      </c>
      <c r="AA316" s="734">
        <f t="shared" si="235"/>
        <v>1398.6216989097668</v>
      </c>
      <c r="AB316" s="735">
        <f t="shared" si="236"/>
        <v>1.5700813371118527</v>
      </c>
      <c r="AC316" s="733" t="str">
        <f>IMSUM(COMPLEX(1,0),IMDIV(COMPLEX(0,2*PI()*D316),COMPLEX(2*PI()*'Stability Calculations'!EA_Pole2,0)))</f>
        <v>1+14.0889507218414i</v>
      </c>
      <c r="AD316" s="734">
        <f t="shared" si="237"/>
        <v>14.124394940756764</v>
      </c>
      <c r="AE316" s="735">
        <f t="shared" si="238"/>
        <v>1.4999375521492351</v>
      </c>
      <c r="AF316" s="732" t="str">
        <f t="shared" si="239"/>
        <v>0.294806392894187-4.19556684283334i</v>
      </c>
      <c r="AG316" s="337">
        <f t="shared" si="240"/>
        <v>4.2059115470934243</v>
      </c>
      <c r="AH316" s="730">
        <f t="shared" si="241"/>
        <v>-1.5006454627253001</v>
      </c>
      <c r="AI316" s="731" t="str">
        <f t="shared" si="219"/>
        <v>10000</v>
      </c>
      <c r="AJ316" s="733" t="str">
        <f t="shared" si="242"/>
        <v>1+131693.90578336i</v>
      </c>
      <c r="AK316" s="734">
        <f t="shared" si="243"/>
        <v>131693.90578715669</v>
      </c>
      <c r="AL316" s="735">
        <f t="shared" si="244"/>
        <v>1.5707887334290986</v>
      </c>
      <c r="AM316" s="340" t="str">
        <f t="shared" si="245"/>
        <v>1+223.499690358103i</v>
      </c>
      <c r="AN316" s="734">
        <f t="shared" si="246"/>
        <v>223.5019274864714</v>
      </c>
      <c r="AO316" s="735">
        <f t="shared" si="247"/>
        <v>1.5663220775222466</v>
      </c>
      <c r="AP316" s="733" t="str">
        <f t="shared" si="248"/>
        <v>1+10.8401033837835i</v>
      </c>
      <c r="AQ316" s="734">
        <f t="shared" si="249"/>
        <v>10.886130688684318</v>
      </c>
      <c r="AR316" s="735">
        <f t="shared" si="250"/>
        <v>1.4788066407777121</v>
      </c>
      <c r="AS316" s="732" t="str">
        <f t="shared" si="251"/>
        <v>0.00552779281779675-10.5145530480112i</v>
      </c>
      <c r="AT316" s="337">
        <f t="shared" si="252"/>
        <v>10.514554501068272</v>
      </c>
      <c r="AU316" s="730">
        <f t="shared" si="253"/>
        <v>-1.5702705990456256</v>
      </c>
      <c r="AV316" s="732" t="str">
        <f t="shared" si="254"/>
        <v>-0.688583333887318+0.0795555171793177i</v>
      </c>
      <c r="AW316" s="337">
        <f t="shared" si="255"/>
        <v>-3.1832822110453254</v>
      </c>
      <c r="AX316" s="730">
        <f t="shared" si="256"/>
        <v>173.40954887098576</v>
      </c>
      <c r="AY316" s="360">
        <f t="shared" si="257"/>
        <v>-6.5904511290142409</v>
      </c>
      <c r="BB316" s="337">
        <f t="shared" si="258"/>
        <v>-19.564182470635416</v>
      </c>
      <c r="BC316" s="730">
        <f t="shared" si="259"/>
        <v>-89.969878018793864</v>
      </c>
      <c r="BD316" s="351"/>
      <c r="BE316" s="337">
        <f t="shared" si="220"/>
        <v>36.533392309074905</v>
      </c>
      <c r="BF316" s="730">
        <f t="shared" si="221"/>
        <v>-88.405186331586705</v>
      </c>
      <c r="BI316" s="351"/>
      <c r="BJ316" s="351"/>
      <c r="BL316" s="405">
        <f t="shared" si="222"/>
        <v>0</v>
      </c>
      <c r="BM316" s="405">
        <f t="shared" si="260"/>
        <v>0</v>
      </c>
      <c r="BN316" s="405">
        <f t="shared" si="223"/>
        <v>0</v>
      </c>
      <c r="BO316" s="405">
        <f t="shared" si="224"/>
        <v>0</v>
      </c>
    </row>
    <row r="317" spans="4:67" ht="13.5" thickBot="1" x14ac:dyDescent="0.25">
      <c r="D317" s="345">
        <v>22387</v>
      </c>
      <c r="E317" s="340" t="str">
        <f t="shared" si="211"/>
        <v>0.37134680740563i</v>
      </c>
      <c r="F317" s="728" t="str">
        <f t="shared" si="225"/>
        <v>0.005-0.116545201578415i</v>
      </c>
      <c r="G317" s="337" t="str">
        <f t="shared" si="226"/>
        <v>0.005-0.18228864862265i</v>
      </c>
      <c r="H317" s="338" t="str">
        <f t="shared" si="227"/>
        <v>0.0313696339340384-0.176861823448787i</v>
      </c>
      <c r="I317" s="338" t="str">
        <f t="shared" si="228"/>
        <v>0.0413696339340384-0.176861823448787i</v>
      </c>
      <c r="J317" s="337" t="str">
        <f t="shared" si="229"/>
        <v>0.00824937374476951-0.0708506182989226i</v>
      </c>
      <c r="K317" s="338" t="str">
        <f t="shared" si="212"/>
        <v>0.994431358122222-0.117218057893191i</v>
      </c>
      <c r="L317" s="732"/>
      <c r="M317" s="732" t="str">
        <f t="shared" si="213"/>
        <v>1.82576913095317-66.5064625527427i</v>
      </c>
      <c r="N317" s="337">
        <f t="shared" si="214"/>
        <v>0</v>
      </c>
      <c r="O317" s="730" t="str">
        <f t="shared" si="215"/>
        <v>-2.25513638515578-26.029746184376i</v>
      </c>
      <c r="P317" s="731" t="str">
        <f t="shared" si="216"/>
        <v>-4.69696254080306-0.67799353783921i</v>
      </c>
      <c r="Q317" s="729" t="str">
        <f t="shared" si="217"/>
        <v>-4.6744111769515-0.417696075995452i</v>
      </c>
      <c r="R317" s="730"/>
      <c r="S317" s="405" t="str">
        <f t="shared" si="230"/>
        <v>39.805119451343-2.88647973064043i</v>
      </c>
      <c r="T317" s="405" t="str">
        <f t="shared" si="231"/>
        <v>15.4016440543351-2.90227666329977i</v>
      </c>
      <c r="U317" s="405" t="str">
        <f t="shared" si="232"/>
        <v>-0.0301580068572089-2.81500620806188i</v>
      </c>
      <c r="V317" s="731" t="str">
        <f t="shared" si="218"/>
        <v>6000</v>
      </c>
      <c r="W317" s="733" t="str">
        <f>IMSUM(COMPLEX(1,0),IMDIV(COMPLEX(0,2*PI()*D317),COMPLEX(2*PI()*'Stability Calculations'!EA_Pole1,0)))</f>
        <v>1+142068.286166547i</v>
      </c>
      <c r="X317" s="734">
        <f t="shared" si="233"/>
        <v>142068.28617006645</v>
      </c>
      <c r="Y317" s="735">
        <f t="shared" si="234"/>
        <v>1.5707892879262866</v>
      </c>
      <c r="Z317" s="340" t="str">
        <f>IMSUM(COMPLEX(1,0),IMDIV(COMPLEX(0,2*PI()*D317),COMPLEX(2*PI()*'Stability Calculations'!EA_Zero1,0)))</f>
        <v>1+1406.61669471829i</v>
      </c>
      <c r="AA317" s="734">
        <f t="shared" si="235"/>
        <v>1406.61705018111</v>
      </c>
      <c r="AB317" s="735">
        <f t="shared" si="236"/>
        <v>1.5700854011850391</v>
      </c>
      <c r="AC317" s="733" t="str">
        <f>IMSUM(COMPLEX(1,0),IMDIV(COMPLEX(0,2*PI()*D317),COMPLEX(2*PI()*'Stability Calculations'!EA_Pole2,0)))</f>
        <v>1+14.1694915625675i</v>
      </c>
      <c r="AD317" s="734">
        <f t="shared" si="237"/>
        <v>14.204734814197398</v>
      </c>
      <c r="AE317" s="735">
        <f t="shared" si="238"/>
        <v>1.5003389852567683</v>
      </c>
      <c r="AF317" s="732" t="str">
        <f t="shared" si="239"/>
        <v>0.291481060866019-4.17195349363777i</v>
      </c>
      <c r="AG317" s="337">
        <f t="shared" si="240"/>
        <v>4.1821235230346767</v>
      </c>
      <c r="AH317" s="730">
        <f t="shared" si="241"/>
        <v>-1.5010428719980153</v>
      </c>
      <c r="AI317" s="731" t="str">
        <f t="shared" si="219"/>
        <v>10000</v>
      </c>
      <c r="AJ317" s="733" t="str">
        <f t="shared" si="242"/>
        <v>1+132446.746651336i</v>
      </c>
      <c r="AK317" s="734">
        <f t="shared" si="243"/>
        <v>132446.74665511108</v>
      </c>
      <c r="AL317" s="735">
        <f t="shared" si="244"/>
        <v>1.5707887765905673</v>
      </c>
      <c r="AM317" s="340" t="str">
        <f t="shared" si="245"/>
        <v>1+224.777347815983i</v>
      </c>
      <c r="AN317" s="734">
        <f t="shared" si="246"/>
        <v>224.77957222841093</v>
      </c>
      <c r="AO317" s="735">
        <f t="shared" si="247"/>
        <v>1.5663475092766643</v>
      </c>
      <c r="AP317" s="733" t="str">
        <f t="shared" si="248"/>
        <v>1+10.9020718764928i</v>
      </c>
      <c r="AQ317" s="734">
        <f t="shared" si="249"/>
        <v>10.947838654283101</v>
      </c>
      <c r="AR317" s="735">
        <f t="shared" si="250"/>
        <v>1.479326599682425</v>
      </c>
      <c r="AS317" s="732" t="str">
        <f t="shared" si="251"/>
        <v>0.00546513035185478-10.4547872847536i</v>
      </c>
      <c r="AT317" s="337">
        <f t="shared" si="252"/>
        <v>10.454788713173274</v>
      </c>
      <c r="AU317" s="730">
        <f t="shared" si="253"/>
        <v>-1.570273587335431</v>
      </c>
      <c r="AV317" s="732" t="str">
        <f t="shared" si="254"/>
        <v>-0.680657714342038+0.0792979400571772i</v>
      </c>
      <c r="AW317" s="337">
        <f t="shared" si="255"/>
        <v>-3.2828755312583575</v>
      </c>
      <c r="AX317" s="730">
        <f t="shared" si="256"/>
        <v>173.35488687847152</v>
      </c>
      <c r="AY317" s="360">
        <f t="shared" si="257"/>
        <v>-6.6451131215284818</v>
      </c>
      <c r="BB317" s="337">
        <f t="shared" si="258"/>
        <v>-19.613694793282285</v>
      </c>
      <c r="BC317" s="730">
        <f t="shared" si="259"/>
        <v>-89.970049235187673</v>
      </c>
      <c r="BD317" s="351"/>
      <c r="BE317" s="337">
        <f t="shared" si="220"/>
        <v>36.46054875544398</v>
      </c>
      <c r="BF317" s="730">
        <f t="shared" si="221"/>
        <v>-88.427482168130894</v>
      </c>
      <c r="BI317" s="351"/>
      <c r="BJ317" s="351"/>
      <c r="BL317" s="405">
        <f t="shared" si="222"/>
        <v>0</v>
      </c>
      <c r="BM317" s="405">
        <f t="shared" si="260"/>
        <v>0</v>
      </c>
      <c r="BN317" s="405">
        <f t="shared" si="223"/>
        <v>0</v>
      </c>
      <c r="BO317" s="405">
        <f t="shared" si="224"/>
        <v>0</v>
      </c>
    </row>
    <row r="318" spans="4:67" ht="13.5" thickBot="1" x14ac:dyDescent="0.25">
      <c r="D318" s="345">
        <v>22517.5</v>
      </c>
      <c r="E318" s="340" t="str">
        <f t="shared" si="211"/>
        <v>0.373511490407659i</v>
      </c>
      <c r="F318" s="728" t="str">
        <f t="shared" si="225"/>
        <v>0.005-0.115869764749017i</v>
      </c>
      <c r="G318" s="337" t="str">
        <f t="shared" si="226"/>
        <v>0.005-0.181232196145898i</v>
      </c>
      <c r="H318" s="338" t="str">
        <f t="shared" si="227"/>
        <v>0.031071200780756-0.175881094152624i</v>
      </c>
      <c r="I318" s="338" t="str">
        <f t="shared" si="228"/>
        <v>0.041071200780756-0.175881094152624i</v>
      </c>
      <c r="J318" s="337" t="str">
        <f t="shared" si="229"/>
        <v>0.0082019307623872-0.0704430412841833i</v>
      </c>
      <c r="K318" s="338" t="str">
        <f t="shared" si="212"/>
        <v>0.994366246597222-0.117901354295347i</v>
      </c>
      <c r="L318" s="732"/>
      <c r="M318" s="732" t="str">
        <f t="shared" si="213"/>
        <v>1.78462379255172-65.9433956158008i</v>
      </c>
      <c r="N318" s="337">
        <f t="shared" si="214"/>
        <v>0</v>
      </c>
      <c r="O318" s="730" t="str">
        <f t="shared" si="215"/>
        <v>-2.23618446977204-25.8059185924796i</v>
      </c>
      <c r="P318" s="731" t="str">
        <f t="shared" si="216"/>
        <v>-4.63061597899968-0.666577492572963i</v>
      </c>
      <c r="Q318" s="729" t="str">
        <f t="shared" si="217"/>
        <v>-4.60825413430196-0.408518306648164i</v>
      </c>
      <c r="R318" s="730"/>
      <c r="S318" s="405" t="str">
        <f t="shared" si="230"/>
        <v>39.8034260797369-2.92408782377155i</v>
      </c>
      <c r="T318" s="405" t="str">
        <f t="shared" si="231"/>
        <v>15.3985172476795-2.91078634999758i</v>
      </c>
      <c r="U318" s="405" t="str">
        <f t="shared" si="232"/>
        <v>-0.0335018669535154-2.79874968896059i</v>
      </c>
      <c r="V318" s="731" t="str">
        <f t="shared" si="218"/>
        <v>6000</v>
      </c>
      <c r="W318" s="733" t="str">
        <f>IMSUM(COMPLEX(1,0),IMDIV(COMPLEX(0,2*PI()*D318),COMPLEX(2*PI()*'Stability Calculations'!EA_Pole1,0)))</f>
        <v>1+142896.44140596i</v>
      </c>
      <c r="X318" s="734">
        <f t="shared" si="233"/>
        <v>142896.44140945908</v>
      </c>
      <c r="Y318" s="735">
        <f t="shared" si="234"/>
        <v>1.5707893287199961</v>
      </c>
      <c r="Z318" s="340" t="str">
        <f>IMSUM(COMPLEX(1,0),IMDIV(COMPLEX(0,2*PI()*D318),COMPLEX(2*PI()*'Stability Calculations'!EA_Zero1,0)))</f>
        <v>1+1414.81625154416i</v>
      </c>
      <c r="AA318" s="734">
        <f t="shared" si="235"/>
        <v>1414.8166049468985</v>
      </c>
      <c r="AB318" s="735">
        <f t="shared" si="236"/>
        <v>1.5700895213476282</v>
      </c>
      <c r="AC318" s="733" t="str">
        <f>IMSUM(COMPLEX(1,0),IMDIV(COMPLEX(0,2*PI()*D318),COMPLEX(2*PI()*'Stability Calculations'!EA_Pole2,0)))</f>
        <v>1+14.2520894385185i</v>
      </c>
      <c r="AD318" s="734">
        <f t="shared" si="237"/>
        <v>14.287128940537023</v>
      </c>
      <c r="AE318" s="735">
        <f t="shared" si="238"/>
        <v>1.5007459818713353</v>
      </c>
      <c r="AF318" s="732" t="str">
        <f t="shared" si="239"/>
        <v>0.288128802160978-4.14801018039168i</v>
      </c>
      <c r="AG318" s="337">
        <f t="shared" si="240"/>
        <v>4.1580051302599106</v>
      </c>
      <c r="AH318" s="730">
        <f t="shared" si="241"/>
        <v>-1.501445789243703</v>
      </c>
      <c r="AI318" s="731" t="str">
        <f t="shared" si="219"/>
        <v>10000</v>
      </c>
      <c r="AJ318" s="733" t="str">
        <f t="shared" si="242"/>
        <v>1+133218.815282148i</v>
      </c>
      <c r="AK318" s="734">
        <f t="shared" si="243"/>
        <v>133218.81528590122</v>
      </c>
      <c r="AL318" s="735">
        <f t="shared" si="244"/>
        <v>1.5707888203477189</v>
      </c>
      <c r="AM318" s="340" t="str">
        <f t="shared" si="245"/>
        <v>1+226.087636996757i</v>
      </c>
      <c r="AN318" s="734">
        <f t="shared" si="246"/>
        <v>226.08984851774605</v>
      </c>
      <c r="AO318" s="735">
        <f t="shared" si="247"/>
        <v>1.5663732920275113</v>
      </c>
      <c r="AP318" s="733" t="str">
        <f t="shared" si="248"/>
        <v>1+10.9656230615503i</v>
      </c>
      <c r="AQ318" s="734">
        <f t="shared" si="249"/>
        <v>11.01112569758441</v>
      </c>
      <c r="AR318" s="735">
        <f t="shared" si="250"/>
        <v>1.4798537853137335</v>
      </c>
      <c r="AS318" s="732" t="str">
        <f t="shared" si="251"/>
        <v>0.00540196768746749-10.3941966773818i</v>
      </c>
      <c r="AT318" s="337">
        <f t="shared" si="252"/>
        <v>10.394198081109948</v>
      </c>
      <c r="AU318" s="730">
        <f t="shared" si="253"/>
        <v>-1.5702766168674456</v>
      </c>
      <c r="AV318" s="732" t="str">
        <f t="shared" si="254"/>
        <v>-0.6726693440107+0.0790331441149709i</v>
      </c>
      <c r="AW318" s="337">
        <f t="shared" si="255"/>
        <v>-3.3844258787242021</v>
      </c>
      <c r="AX318" s="730">
        <f t="shared" si="256"/>
        <v>173.29893656779038</v>
      </c>
      <c r="AY318" s="360">
        <f t="shared" si="257"/>
        <v>-6.7010634322096223</v>
      </c>
      <c r="BB318" s="337">
        <f t="shared" si="258"/>
        <v>-19.664180222625504</v>
      </c>
      <c r="BC318" s="730">
        <f t="shared" si="259"/>
        <v>-89.970222814586009</v>
      </c>
      <c r="BD318" s="351"/>
      <c r="BE318" s="337">
        <f t="shared" si="220"/>
        <v>36.386605755374021</v>
      </c>
      <c r="BF318" s="730">
        <f t="shared" si="221"/>
        <v>-88.44978472483875</v>
      </c>
      <c r="BI318" s="351"/>
      <c r="BJ318" s="351"/>
      <c r="BL318" s="405">
        <f t="shared" si="222"/>
        <v>0</v>
      </c>
      <c r="BM318" s="405">
        <f t="shared" si="260"/>
        <v>0</v>
      </c>
      <c r="BN318" s="405">
        <f t="shared" si="223"/>
        <v>0</v>
      </c>
      <c r="BO318" s="405">
        <f t="shared" si="224"/>
        <v>0</v>
      </c>
    </row>
    <row r="319" spans="4:67" ht="13.5" thickBot="1" x14ac:dyDescent="0.25">
      <c r="D319" s="345">
        <v>22648</v>
      </c>
      <c r="E319" s="340" t="str">
        <f t="shared" si="211"/>
        <v>0.375676173409689i</v>
      </c>
      <c r="F319" s="728" t="str">
        <f t="shared" si="225"/>
        <v>0.005-0.115202111786294i</v>
      </c>
      <c r="G319" s="337" t="str">
        <f t="shared" si="226"/>
        <v>0.005-0.180187918434973i</v>
      </c>
      <c r="H319" s="338" t="str">
        <f t="shared" si="227"/>
        <v>0.0307777651020257-0.174910929878365i</v>
      </c>
      <c r="I319" s="338" t="str">
        <f t="shared" si="228"/>
        <v>0.0407777651020257-0.174910929878365i</v>
      </c>
      <c r="J319" s="337" t="str">
        <f t="shared" si="229"/>
        <v>0.00815530147443194-0.0700401161892679i</v>
      </c>
      <c r="K319" s="338" t="str">
        <f t="shared" si="212"/>
        <v>0.994300756622222-0.118584650697503i</v>
      </c>
      <c r="L319" s="732"/>
      <c r="M319" s="732" t="str">
        <f t="shared" si="213"/>
        <v>1.74482444680912-65.3907481086331i</v>
      </c>
      <c r="N319" s="337">
        <f t="shared" si="214"/>
        <v>0</v>
      </c>
      <c r="O319" s="730" t="str">
        <f t="shared" si="215"/>
        <v>-2.21748731908529-25.5862904161903i</v>
      </c>
      <c r="P319" s="731" t="str">
        <f t="shared" si="216"/>
        <v>-4.56574602584813-0.65548897144893i</v>
      </c>
      <c r="Q319" s="729" t="str">
        <f t="shared" si="217"/>
        <v>-4.54357115265727-0.399626067287024i</v>
      </c>
      <c r="R319" s="730"/>
      <c r="S319" s="405" t="str">
        <f t="shared" si="230"/>
        <v>39.8016736789477-2.96157813586976i</v>
      </c>
      <c r="T319" s="405" t="str">
        <f t="shared" si="231"/>
        <v>15.3953917780453-2.91933899519609i</v>
      </c>
      <c r="U319" s="405" t="str">
        <f t="shared" si="232"/>
        <v>-0.0367885464815861-2.78267302158695i</v>
      </c>
      <c r="V319" s="731" t="str">
        <f t="shared" si="218"/>
        <v>6000</v>
      </c>
      <c r="W319" s="733" t="str">
        <f>IMSUM(COMPLEX(1,0),IMDIV(COMPLEX(0,2*PI()*D319),COMPLEX(2*PI()*'Stability Calculations'!EA_Pole1,0)))</f>
        <v>1+143724.596645373i</v>
      </c>
      <c r="X319" s="734">
        <f t="shared" si="233"/>
        <v>143724.59664885188</v>
      </c>
      <c r="Y319" s="735">
        <f t="shared" si="234"/>
        <v>1.5707893690435908</v>
      </c>
      <c r="Z319" s="340" t="str">
        <f>IMSUM(COMPLEX(1,0),IMDIV(COMPLEX(0,2*PI()*D319),COMPLEX(2*PI()*'Stability Calculations'!EA_Zero1,0)))</f>
        <v>1+1423.01580837003i</v>
      </c>
      <c r="AA319" s="734">
        <f t="shared" si="235"/>
        <v>1423.0161597364274</v>
      </c>
      <c r="AB319" s="735">
        <f t="shared" si="236"/>
        <v>1.5700935940286778</v>
      </c>
      <c r="AC319" s="733" t="str">
        <f>IMSUM(COMPLEX(1,0),IMDIV(COMPLEX(0,2*PI()*D319),COMPLEX(2*PI()*'Stability Calculations'!EA_Pole2,0)))</f>
        <v>1+14.3346873144695i</v>
      </c>
      <c r="AD319" s="734">
        <f t="shared" si="237"/>
        <v>14.369525406345639</v>
      </c>
      <c r="AE319" s="735">
        <f t="shared" si="238"/>
        <v>1.5011483110236961</v>
      </c>
      <c r="AF319" s="732" t="str">
        <f t="shared" si="239"/>
        <v>0.284833950277456-4.12433878984517i</v>
      </c>
      <c r="AG319" s="337">
        <f t="shared" si="240"/>
        <v>4.1341626519347523</v>
      </c>
      <c r="AH319" s="730">
        <f t="shared" si="241"/>
        <v>-1.5018440860386091</v>
      </c>
      <c r="AI319" s="731" t="str">
        <f t="shared" si="219"/>
        <v>10000</v>
      </c>
      <c r="AJ319" s="733" t="str">
        <f t="shared" si="242"/>
        <v>1+133990.883912961i</v>
      </c>
      <c r="AK319" s="734">
        <f t="shared" si="243"/>
        <v>133990.8839166926</v>
      </c>
      <c r="AL319" s="735">
        <f t="shared" si="244"/>
        <v>1.5707888636006047</v>
      </c>
      <c r="AM319" s="340" t="str">
        <f t="shared" si="245"/>
        <v>1+227.397926177531i</v>
      </c>
      <c r="AN319" s="734">
        <f t="shared" si="246"/>
        <v>227.40012495564253</v>
      </c>
      <c r="AO319" s="735">
        <f t="shared" si="247"/>
        <v>1.5663987776586532</v>
      </c>
      <c r="AP319" s="733" t="str">
        <f t="shared" si="248"/>
        <v>1+11.0291742466078i</v>
      </c>
      <c r="AQ319" s="734">
        <f t="shared" si="249"/>
        <v>11.074415766171898</v>
      </c>
      <c r="AR319" s="735">
        <f t="shared" si="250"/>
        <v>1.4803749453774522</v>
      </c>
      <c r="AS319" s="732" t="str">
        <f t="shared" si="251"/>
        <v>0.00533989372239932-10.3343043275066i</v>
      </c>
      <c r="AT319" s="337">
        <f t="shared" si="252"/>
        <v>10.334305707109047</v>
      </c>
      <c r="AU319" s="730">
        <f t="shared" si="253"/>
        <v>-1.5702796114865478</v>
      </c>
      <c r="AV319" s="732" t="str">
        <f t="shared" si="254"/>
        <v>-0.664819169143826+0.0787677976414216i</v>
      </c>
      <c r="AW319" s="337">
        <f t="shared" si="255"/>
        <v>-3.4853890974926665</v>
      </c>
      <c r="AX319" s="730">
        <f t="shared" si="256"/>
        <v>173.24309334990721</v>
      </c>
      <c r="AY319" s="360">
        <f t="shared" si="257"/>
        <v>-6.7569066500927875</v>
      </c>
      <c r="BB319" s="337">
        <f t="shared" si="258"/>
        <v>-19.714373907971343</v>
      </c>
      <c r="BC319" s="730">
        <f t="shared" si="259"/>
        <v>-89.970394393621817</v>
      </c>
      <c r="BD319" s="351"/>
      <c r="BE319" s="337">
        <f t="shared" si="220"/>
        <v>36.313417130967885</v>
      </c>
      <c r="BF319" s="730">
        <f t="shared" si="221"/>
        <v>-88.471536664672158</v>
      </c>
      <c r="BI319" s="351"/>
      <c r="BJ319" s="351"/>
      <c r="BL319" s="405">
        <f t="shared" si="222"/>
        <v>0</v>
      </c>
      <c r="BM319" s="405">
        <f t="shared" si="260"/>
        <v>0</v>
      </c>
      <c r="BN319" s="405">
        <f t="shared" si="223"/>
        <v>0</v>
      </c>
      <c r="BO319" s="405">
        <f t="shared" si="224"/>
        <v>0</v>
      </c>
    </row>
    <row r="320" spans="4:67" ht="13.5" thickBot="1" x14ac:dyDescent="0.25">
      <c r="D320" s="345">
        <v>22778.5</v>
      </c>
      <c r="E320" s="340" t="str">
        <f t="shared" si="211"/>
        <v>0.377840856411718i</v>
      </c>
      <c r="F320" s="728" t="str">
        <f t="shared" si="225"/>
        <v>0.005-0.114542108906907i</v>
      </c>
      <c r="G320" s="337" t="str">
        <f t="shared" si="226"/>
        <v>0.005-0.179155606239009i</v>
      </c>
      <c r="H320" s="338" t="str">
        <f t="shared" si="227"/>
        <v>0.0304892167448876-0.173951165195999i</v>
      </c>
      <c r="I320" s="338" t="str">
        <f t="shared" si="228"/>
        <v>0.0404892167448876-0.173951165195999i</v>
      </c>
      <c r="J320" s="337" t="str">
        <f t="shared" si="229"/>
        <v>0.00810946738641441-0.0696417641164788i</v>
      </c>
      <c r="K320" s="338" t="str">
        <f t="shared" si="212"/>
        <v>0.994234888197222-0.119267947099659i</v>
      </c>
      <c r="L320" s="732"/>
      <c r="M320" s="732" t="str">
        <f t="shared" si="213"/>
        <v>1.70631433536474-64.8482205145519i</v>
      </c>
      <c r="N320" s="337">
        <f t="shared" si="214"/>
        <v>0</v>
      </c>
      <c r="O320" s="730" t="str">
        <f t="shared" si="215"/>
        <v>-2.19904298295374-25.3707392132351i</v>
      </c>
      <c r="P320" s="731" t="str">
        <f t="shared" si="216"/>
        <v>-4.50230717599423-0.644715269781806i</v>
      </c>
      <c r="Q320" s="729" t="str">
        <f t="shared" si="217"/>
        <v>-4.48031674616469-0.391007877649454i</v>
      </c>
      <c r="R320" s="730"/>
      <c r="S320" s="405" t="str">
        <f t="shared" si="230"/>
        <v>39.7998630687079-2.99895254792628i</v>
      </c>
      <c r="T320" s="405" t="str">
        <f t="shared" si="231"/>
        <v>15.3922673233867-2.92793383521018i</v>
      </c>
      <c r="U320" s="405" t="str">
        <f t="shared" si="232"/>
        <v>-0.0400193276336165-2.76677324522783i</v>
      </c>
      <c r="V320" s="731" t="str">
        <f t="shared" si="218"/>
        <v>6000</v>
      </c>
      <c r="W320" s="733" t="str">
        <f>IMSUM(COMPLEX(1,0),IMDIV(COMPLEX(0,2*PI()*D320),COMPLEX(2*PI()*'Stability Calculations'!EA_Pole1,0)))</f>
        <v>1+144552.751884786i</v>
      </c>
      <c r="X320" s="734">
        <f t="shared" si="233"/>
        <v>144552.75188824497</v>
      </c>
      <c r="Y320" s="735">
        <f t="shared" si="234"/>
        <v>1.5707894089051508</v>
      </c>
      <c r="Z320" s="340" t="str">
        <f>IMSUM(COMPLEX(1,0),IMDIV(COMPLEX(0,2*PI()*D320),COMPLEX(2*PI()*'Stability Calculations'!EA_Zero1,0)))</f>
        <v>1+1431.2153651959i</v>
      </c>
      <c r="AA320" s="734">
        <f t="shared" si="235"/>
        <v>1431.2157145492895</v>
      </c>
      <c r="AB320" s="735">
        <f t="shared" si="236"/>
        <v>1.5700976200442653</v>
      </c>
      <c r="AC320" s="733" t="str">
        <f>IMSUM(COMPLEX(1,0),IMDIV(COMPLEX(0,2*PI()*D320),COMPLEX(2*PI()*'Stability Calculations'!EA_Pole2,0)))</f>
        <v>1+14.4172851904205i</v>
      </c>
      <c r="AD320" s="734">
        <f t="shared" si="237"/>
        <v>14.451924171608372</v>
      </c>
      <c r="AE320" s="735">
        <f t="shared" si="238"/>
        <v>1.5015460524181665</v>
      </c>
      <c r="AF320" s="732" t="str">
        <f t="shared" si="239"/>
        <v>0.2815952039722-4.10093473864777i</v>
      </c>
      <c r="AG320" s="337">
        <f t="shared" si="240"/>
        <v>4.1105913917036556</v>
      </c>
      <c r="AH320" s="730">
        <f t="shared" si="241"/>
        <v>-1.5022378412790522</v>
      </c>
      <c r="AI320" s="731" t="str">
        <f t="shared" si="219"/>
        <v>10000</v>
      </c>
      <c r="AJ320" s="733" t="str">
        <f t="shared" si="242"/>
        <v>1+134762.952543773i</v>
      </c>
      <c r="AK320" s="734">
        <f t="shared" si="243"/>
        <v>134762.9525474832</v>
      </c>
      <c r="AL320" s="735">
        <f t="shared" si="244"/>
        <v>1.5707889063578915</v>
      </c>
      <c r="AM320" s="340" t="str">
        <f t="shared" si="245"/>
        <v>1+228.708215358305i</v>
      </c>
      <c r="AN320" s="734">
        <f t="shared" si="246"/>
        <v>228.71040153954701</v>
      </c>
      <c r="AO320" s="735">
        <f t="shared" si="247"/>
        <v>1.5664239712766321</v>
      </c>
      <c r="AP320" s="733" t="str">
        <f t="shared" si="248"/>
        <v>1+11.0927254316653i</v>
      </c>
      <c r="AQ320" s="734">
        <f t="shared" si="249"/>
        <v>11.13770880847197</v>
      </c>
      <c r="AR320" s="735">
        <f t="shared" si="250"/>
        <v>1.4808901823137897</v>
      </c>
      <c r="AS320" s="732" t="str">
        <f t="shared" si="251"/>
        <v>0.00527888357925602-10.2750982340077i</v>
      </c>
      <c r="AT320" s="337">
        <f t="shared" si="252"/>
        <v>10.275099590034152</v>
      </c>
      <c r="AU320" s="730">
        <f t="shared" si="253"/>
        <v>-1.5702825717927944</v>
      </c>
      <c r="AV320" s="732" t="str">
        <f t="shared" si="254"/>
        <v>-0.657104018369185+0.0785019944013857i</v>
      </c>
      <c r="AW320" s="337">
        <f t="shared" si="255"/>
        <v>-3.5857720067005312</v>
      </c>
      <c r="AX320" s="730">
        <f t="shared" si="256"/>
        <v>173.18735522829263</v>
      </c>
      <c r="AY320" s="360">
        <f t="shared" si="257"/>
        <v>-6.8126447717073688</v>
      </c>
      <c r="BB320" s="337">
        <f t="shared" si="258"/>
        <v>-19.764279201801465</v>
      </c>
      <c r="BC320" s="730">
        <f t="shared" si="259"/>
        <v>-89.970564006675815</v>
      </c>
      <c r="BD320" s="351"/>
      <c r="BE320" s="337">
        <f t="shared" si="220"/>
        <v>36.240967035656006</v>
      </c>
      <c r="BF320" s="730">
        <f t="shared" si="221"/>
        <v>-88.492756527729981</v>
      </c>
      <c r="BI320" s="351"/>
      <c r="BJ320" s="351"/>
      <c r="BL320" s="405">
        <f t="shared" si="222"/>
        <v>0</v>
      </c>
      <c r="BM320" s="405">
        <f t="shared" si="260"/>
        <v>0</v>
      </c>
      <c r="BN320" s="405">
        <f t="shared" si="223"/>
        <v>0</v>
      </c>
      <c r="BO320" s="405">
        <f t="shared" si="224"/>
        <v>0</v>
      </c>
    </row>
    <row r="321" spans="4:67" ht="13.5" thickBot="1" x14ac:dyDescent="0.25">
      <c r="D321" s="345">
        <v>22909</v>
      </c>
      <c r="E321" s="340" t="str">
        <f t="shared" si="211"/>
        <v>0.380005539413748i</v>
      </c>
      <c r="F321" s="728" t="str">
        <f t="shared" si="225"/>
        <v>0.005-0.113889625375878i</v>
      </c>
      <c r="G321" s="337" t="str">
        <f t="shared" si="226"/>
        <v>0.005-0.178135055075091i</v>
      </c>
      <c r="H321" s="338" t="str">
        <f t="shared" si="227"/>
        <v>0.0302054485522456-0.173001638008135i</v>
      </c>
      <c r="I321" s="338" t="str">
        <f t="shared" si="228"/>
        <v>0.0402054485522456-0.173001638008135i</v>
      </c>
      <c r="J321" s="337" t="str">
        <f t="shared" si="229"/>
        <v>0.00806441052569389-0.0692479079362202i</v>
      </c>
      <c r="K321" s="338" t="str">
        <f t="shared" si="212"/>
        <v>0.994168641322222-0.119951243501814i</v>
      </c>
      <c r="L321" s="732"/>
      <c r="M321" s="732" t="str">
        <f t="shared" si="213"/>
        <v>1.66903960927298-64.3155248814943i</v>
      </c>
      <c r="N321" s="337">
        <f t="shared" si="214"/>
        <v>0</v>
      </c>
      <c r="O321" s="730" t="str">
        <f t="shared" si="215"/>
        <v>-2.18084933222942-25.1591473338464i</v>
      </c>
      <c r="P321" s="731" t="str">
        <f t="shared" si="216"/>
        <v>-4.44025572527056-0.63424429702469i</v>
      </c>
      <c r="Q321" s="729" t="str">
        <f t="shared" si="217"/>
        <v>-4.41844723194827-0.382652823686225i</v>
      </c>
      <c r="R321" s="730"/>
      <c r="S321" s="405" t="str">
        <f t="shared" si="230"/>
        <v>39.7979950458926-3.03621290000699i</v>
      </c>
      <c r="T321" s="405" t="str">
        <f t="shared" si="231"/>
        <v>15.3891435706953-2.93657012250751i</v>
      </c>
      <c r="U321" s="405" t="str">
        <f t="shared" si="232"/>
        <v>-0.0431954569317916-2.7510474630281i</v>
      </c>
      <c r="V321" s="731" t="str">
        <f t="shared" si="218"/>
        <v>6000</v>
      </c>
      <c r="W321" s="733" t="str">
        <f>IMSUM(COMPLEX(1,0),IMDIV(COMPLEX(0,2*PI()*D321),COMPLEX(2*PI()*'Stability Calculations'!EA_Pole1,0)))</f>
        <v>1+145380.907124199i</v>
      </c>
      <c r="X321" s="734">
        <f t="shared" si="233"/>
        <v>145380.90712763823</v>
      </c>
      <c r="Y321" s="735">
        <f t="shared" si="234"/>
        <v>1.5707894483125719</v>
      </c>
      <c r="Z321" s="340" t="str">
        <f>IMSUM(COMPLEX(1,0),IMDIV(COMPLEX(0,2*PI()*D321),COMPLEX(2*PI()*'Stability Calculations'!EA_Zero1,0)))</f>
        <v>1+1439.41492202177i</v>
      </c>
      <c r="AA321" s="734">
        <f t="shared" si="235"/>
        <v>1439.4152693850856</v>
      </c>
      <c r="AB321" s="735">
        <f t="shared" si="236"/>
        <v>1.5701016001918726</v>
      </c>
      <c r="AC321" s="733" t="str">
        <f>IMSUM(COMPLEX(1,0),IMDIV(COMPLEX(0,2*PI()*D321),COMPLEX(2*PI()*'Stability Calculations'!EA_Pole2,0)))</f>
        <v>1+14.4998830663716i</v>
      </c>
      <c r="AD321" s="734">
        <f t="shared" si="237"/>
        <v>14.534325197216756</v>
      </c>
      <c r="AE321" s="735">
        <f t="shared" si="238"/>
        <v>1.5019392839574404</v>
      </c>
      <c r="AF321" s="732" t="str">
        <f t="shared" si="239"/>
        <v>0.278411298604794-4.07779354535999i</v>
      </c>
      <c r="AG321" s="337">
        <f t="shared" si="240"/>
        <v>4.0872867589356146</v>
      </c>
      <c r="AH321" s="730">
        <f t="shared" si="241"/>
        <v>-1.5026271320781401</v>
      </c>
      <c r="AI321" s="731" t="str">
        <f t="shared" si="219"/>
        <v>10000</v>
      </c>
      <c r="AJ321" s="733" t="str">
        <f t="shared" si="242"/>
        <v>1+135535.021174586i</v>
      </c>
      <c r="AK321" s="734">
        <f t="shared" si="243"/>
        <v>135535.02117827508</v>
      </c>
      <c r="AL321" s="735">
        <f t="shared" si="244"/>
        <v>1.5707889486280486</v>
      </c>
      <c r="AM321" s="340" t="str">
        <f t="shared" si="245"/>
        <v>1+230.018504539079i</v>
      </c>
      <c r="AN321" s="734">
        <f t="shared" si="246"/>
        <v>230.0206782669643</v>
      </c>
      <c r="AO321" s="735">
        <f t="shared" si="247"/>
        <v>1.5664488778716379</v>
      </c>
      <c r="AP321" s="733" t="str">
        <f t="shared" si="248"/>
        <v>1+11.1562766167228i</v>
      </c>
      <c r="AQ321" s="734">
        <f t="shared" si="249"/>
        <v>11.201004774074329</v>
      </c>
      <c r="AR321" s="735">
        <f t="shared" si="250"/>
        <v>1.4813995962601727</v>
      </c>
      <c r="AS321" s="732" t="str">
        <f t="shared" si="251"/>
        <v>0.00521891308718322-10.2165666692197i</v>
      </c>
      <c r="AT321" s="337">
        <f t="shared" si="252"/>
        <v>10.2165680022043</v>
      </c>
      <c r="AU321" s="730">
        <f t="shared" si="253"/>
        <v>-1.57028549837257</v>
      </c>
      <c r="AV321" s="732" t="str">
        <f t="shared" si="254"/>
        <v>-0.649520810820863+0.0782358235344299i</v>
      </c>
      <c r="AW321" s="337">
        <f t="shared" si="255"/>
        <v>-3.6855813075181736</v>
      </c>
      <c r="AX321" s="730">
        <f t="shared" si="256"/>
        <v>173.1317202557934</v>
      </c>
      <c r="AY321" s="360">
        <f t="shared" si="257"/>
        <v>-6.8682797442066033</v>
      </c>
      <c r="BB321" s="337">
        <f t="shared" si="258"/>
        <v>-19.813899399141707</v>
      </c>
      <c r="BC321" s="730">
        <f t="shared" si="259"/>
        <v>-89.970731687345364</v>
      </c>
      <c r="BD321" s="351"/>
      <c r="BE321" s="337">
        <f t="shared" si="220"/>
        <v>36.169240112495004</v>
      </c>
      <c r="BF321" s="730">
        <f t="shared" si="221"/>
        <v>-88.513462070303376</v>
      </c>
      <c r="BI321" s="351"/>
      <c r="BJ321" s="351"/>
      <c r="BL321" s="405">
        <f t="shared" si="222"/>
        <v>0</v>
      </c>
      <c r="BM321" s="405">
        <f t="shared" si="260"/>
        <v>0</v>
      </c>
      <c r="BN321" s="405">
        <f t="shared" si="223"/>
        <v>0</v>
      </c>
      <c r="BO321" s="405">
        <f t="shared" si="224"/>
        <v>0</v>
      </c>
    </row>
    <row r="322" spans="4:67" ht="13.5" thickBot="1" x14ac:dyDescent="0.25">
      <c r="D322" s="345">
        <v>23042.25</v>
      </c>
      <c r="E322" s="340" t="str">
        <f t="shared" si="211"/>
        <v>0.382215838341107i</v>
      </c>
      <c r="F322" s="728" t="str">
        <f t="shared" si="225"/>
        <v>0.005-0.113231018139982i</v>
      </c>
      <c r="G322" s="337" t="str">
        <f t="shared" si="226"/>
        <v>0.005-0.177104925808689i</v>
      </c>
      <c r="H322" s="338" t="str">
        <f t="shared" si="227"/>
        <v>0.029920524576529-0.172042499957944i</v>
      </c>
      <c r="I322" s="338" t="str">
        <f t="shared" si="228"/>
        <v>0.039920524576529-0.172042499957944i</v>
      </c>
      <c r="J322" s="337" t="str">
        <f t="shared" si="229"/>
        <v>0.00801918800998693-0.0688503127586045i</v>
      </c>
      <c r="K322" s="338" t="str">
        <f t="shared" si="212"/>
        <v>0.99410060794375-0.120648938870299i</v>
      </c>
      <c r="L322" s="732"/>
      <c r="M322" s="732" t="str">
        <f t="shared" si="213"/>
        <v>1.63220101186193-63.781461078282i</v>
      </c>
      <c r="N322" s="337">
        <f t="shared" si="214"/>
        <v>0</v>
      </c>
      <c r="O322" s="730" t="str">
        <f t="shared" si="215"/>
        <v>-2.16252857905646-24.947064489401i</v>
      </c>
      <c r="P322" s="731" t="str">
        <f t="shared" si="216"/>
        <v>-4.37828461665626-0.623853078090013i</v>
      </c>
      <c r="Q322" s="729" t="str">
        <f t="shared" si="217"/>
        <v>-4.3566593308657-0.374382433196005i</v>
      </c>
      <c r="R322" s="730"/>
      <c r="S322" s="405" t="str">
        <f t="shared" si="230"/>
        <v>39.7960292234555-3.07414261163635i</v>
      </c>
      <c r="T322" s="405" t="str">
        <f t="shared" si="231"/>
        <v>15.3859543999951-2.94543040681298i</v>
      </c>
      <c r="U322" s="405" t="str">
        <f t="shared" si="232"/>
        <v>-0.0463833838818402-2.73516688208957i</v>
      </c>
      <c r="V322" s="731" t="str">
        <f t="shared" si="218"/>
        <v>6000</v>
      </c>
      <c r="W322" s="733" t="str">
        <f>IMSUM(COMPLEX(1,0),IMDIV(COMPLEX(0,2*PI()*D322),COMPLEX(2*PI()*'Stability Calculations'!EA_Pole1,0)))</f>
        <v>1+146226.513910803i</v>
      </c>
      <c r="X322" s="734">
        <f t="shared" si="233"/>
        <v>146226.51391422236</v>
      </c>
      <c r="Y322" s="735">
        <f t="shared" si="234"/>
        <v>1.5707894880898408</v>
      </c>
      <c r="Z322" s="340" t="str">
        <f>IMSUM(COMPLEX(1,0),IMDIV(COMPLEX(0,2*PI()*D322),COMPLEX(2*PI()*'Stability Calculations'!EA_Zero1,0)))</f>
        <v>1+1447.78726644359i</v>
      </c>
      <c r="AA322" s="734">
        <f t="shared" si="235"/>
        <v>1447.7876117981539</v>
      </c>
      <c r="AB322" s="735">
        <f t="shared" si="236"/>
        <v>1.5701056176940837</v>
      </c>
      <c r="AC322" s="733" t="str">
        <f>IMSUM(COMPLEX(1,0),IMDIV(COMPLEX(0,2*PI()*D322),COMPLEX(2*PI()*'Stability Calculations'!EA_Pole2,0)))</f>
        <v>1+14.5842215105898i</v>
      </c>
      <c r="AD322" s="734">
        <f t="shared" si="237"/>
        <v>14.618464935483145</v>
      </c>
      <c r="AE322" s="735">
        <f t="shared" si="238"/>
        <v>1.5023362276938426</v>
      </c>
      <c r="AF322" s="732" t="str">
        <f t="shared" si="239"/>
        <v>0.275215608924003-4.05443137434718i</v>
      </c>
      <c r="AG322" s="337">
        <f t="shared" si="240"/>
        <v>4.0637614842269185</v>
      </c>
      <c r="AH322" s="730">
        <f t="shared" si="241"/>
        <v>-1.5030200980895994</v>
      </c>
      <c r="AI322" s="731" t="str">
        <f t="shared" si="219"/>
        <v>10000</v>
      </c>
      <c r="AJ322" s="733" t="str">
        <f t="shared" si="242"/>
        <v>1+136323.359450876i</v>
      </c>
      <c r="AK322" s="734">
        <f t="shared" si="243"/>
        <v>136323.35945454377</v>
      </c>
      <c r="AL322" s="735">
        <f t="shared" si="244"/>
        <v>1.5707889912949207</v>
      </c>
      <c r="AM322" s="340" t="str">
        <f t="shared" si="245"/>
        <v>1+231.356405177686i</v>
      </c>
      <c r="AN322" s="734">
        <f t="shared" si="246"/>
        <v>231.35856633533501</v>
      </c>
      <c r="AO322" s="735">
        <f t="shared" si="247"/>
        <v>1.5664740182261161</v>
      </c>
      <c r="AP322" s="733" t="str">
        <f t="shared" si="248"/>
        <v>1+11.221167002998i</v>
      </c>
      <c r="AQ322" s="734">
        <f t="shared" si="249"/>
        <v>11.265637527861932</v>
      </c>
      <c r="AR322" s="735">
        <f t="shared" si="250"/>
        <v>1.4819138383529671</v>
      </c>
      <c r="AS322" s="732" t="str">
        <f t="shared" si="251"/>
        <v>0.00515872719102552-10.1574857719834i</v>
      </c>
      <c r="AT322" s="337">
        <f t="shared" si="252"/>
        <v>10.157487081976104</v>
      </c>
      <c r="AU322" s="730">
        <f t="shared" si="253"/>
        <v>-1.5702884524189646</v>
      </c>
      <c r="AV322" s="732" t="str">
        <f t="shared" si="254"/>
        <v>-0.641910837062355+0.0779637523952276i</v>
      </c>
      <c r="AW322" s="337">
        <f t="shared" si="255"/>
        <v>-3.7869088450796493</v>
      </c>
      <c r="AX322" s="730">
        <f t="shared" si="256"/>
        <v>173.07501735802555</v>
      </c>
      <c r="AY322" s="360">
        <f t="shared" si="257"/>
        <v>-6.9249826419744522</v>
      </c>
      <c r="BB322" s="337">
        <f t="shared" si="258"/>
        <v>-19.864274426509112</v>
      </c>
      <c r="BC322" s="730">
        <f t="shared" si="259"/>
        <v>-89.970900941736261</v>
      </c>
      <c r="BD322" s="351"/>
      <c r="BE322" s="337">
        <f t="shared" si="220"/>
        <v>36.09673242782825</v>
      </c>
      <c r="BF322" s="730">
        <f t="shared" si="221"/>
        <v>-88.534090917864049</v>
      </c>
      <c r="BI322" s="351"/>
      <c r="BJ322" s="351"/>
      <c r="BL322" s="405">
        <f t="shared" si="222"/>
        <v>0</v>
      </c>
      <c r="BM322" s="405">
        <f t="shared" si="260"/>
        <v>0</v>
      </c>
      <c r="BN322" s="405">
        <f t="shared" si="223"/>
        <v>0</v>
      </c>
      <c r="BO322" s="405">
        <f t="shared" si="224"/>
        <v>0</v>
      </c>
    </row>
    <row r="323" spans="4:67" ht="13.5" thickBot="1" x14ac:dyDescent="0.25">
      <c r="D323" s="345">
        <v>23175.5</v>
      </c>
      <c r="E323" s="340" t="str">
        <f t="shared" si="211"/>
        <v>0.384426137268467i</v>
      </c>
      <c r="F323" s="728" t="str">
        <f t="shared" si="225"/>
        <v>0.005-0.112579984368665i</v>
      </c>
      <c r="G323" s="337" t="str">
        <f t="shared" si="226"/>
        <v>0.005-0.176086642217655i</v>
      </c>
      <c r="H323" s="338" t="str">
        <f t="shared" si="227"/>
        <v>0.029640367692696-0.171093704128548i</v>
      </c>
      <c r="I323" s="338" t="str">
        <f t="shared" si="228"/>
        <v>0.039640367692696-0.171093704128548i</v>
      </c>
      <c r="J323" s="337" t="str">
        <f t="shared" si="229"/>
        <v>0.0079747395409905-0.0684572478545521i</v>
      </c>
      <c r="K323" s="338" t="str">
        <f t="shared" si="212"/>
        <v>0.994032179997222-0.121346634238784i</v>
      </c>
      <c r="L323" s="732"/>
      <c r="M323" s="732" t="str">
        <f t="shared" si="213"/>
        <v>1.59654548268293-63.2570757288298i</v>
      </c>
      <c r="N323" s="337">
        <f t="shared" si="214"/>
        <v>0</v>
      </c>
      <c r="O323" s="730" t="str">
        <f t="shared" si="215"/>
        <v>-2.14446422245121-24.7388759779904i</v>
      </c>
      <c r="P323" s="731" t="str">
        <f t="shared" si="216"/>
        <v>-4.31767327733292-0.61375381288122i</v>
      </c>
      <c r="Q323" s="729" t="str">
        <f t="shared" si="217"/>
        <v>-4.29622863510841-0.366365053101316i</v>
      </c>
      <c r="R323" s="730"/>
      <c r="S323" s="405" t="str">
        <f t="shared" si="230"/>
        <v>39.7940051527568-3.11195715698781i</v>
      </c>
      <c r="T323" s="405" t="str">
        <f t="shared" si="231"/>
        <v>15.3827653291358-2.95433237812315i</v>
      </c>
      <c r="U323" s="405" t="str">
        <f t="shared" si="232"/>
        <v>-0.0495168493139489-2.71946179787605i</v>
      </c>
      <c r="V323" s="731" t="str">
        <f t="shared" si="218"/>
        <v>6000</v>
      </c>
      <c r="W323" s="733" t="str">
        <f>IMSUM(COMPLEX(1,0),IMDIV(COMPLEX(0,2*PI()*D323),COMPLEX(2*PI()*'Stability Calculations'!EA_Pole1,0)))</f>
        <v>1+147072.120697406i</v>
      </c>
      <c r="X323" s="734">
        <f t="shared" si="233"/>
        <v>147072.12070080568</v>
      </c>
      <c r="Y323" s="735">
        <f t="shared" si="234"/>
        <v>1.5707895274097021</v>
      </c>
      <c r="Z323" s="340" t="str">
        <f>IMSUM(COMPLEX(1,0),IMDIV(COMPLEX(0,2*PI()*D323),COMPLEX(2*PI()*'Stability Calculations'!EA_Zero1,0)))</f>
        <v>1+1456.15961086541i</v>
      </c>
      <c r="AA323" s="734">
        <f t="shared" si="235"/>
        <v>1456.159954234322</v>
      </c>
      <c r="AB323" s="735">
        <f t="shared" si="236"/>
        <v>1.5701095889982051</v>
      </c>
      <c r="AC323" s="733" t="str">
        <f>IMSUM(COMPLEX(1,0),IMDIV(COMPLEX(0,2*PI()*D323),COMPLEX(2*PI()*'Stability Calculations'!EA_Pole2,0)))</f>
        <v>1+14.668559954808i</v>
      </c>
      <c r="AD323" s="734">
        <f t="shared" si="237"/>
        <v>14.702606950734854</v>
      </c>
      <c r="AE323" s="735">
        <f t="shared" si="238"/>
        <v>1.5027286281277079</v>
      </c>
      <c r="AF323" s="732" t="str">
        <f t="shared" si="239"/>
        <v>0.272074542496262-4.03133412607582i</v>
      </c>
      <c r="AG323" s="337">
        <f t="shared" si="240"/>
        <v>4.0405048437958895</v>
      </c>
      <c r="AH323" s="730">
        <f t="shared" si="241"/>
        <v>-1.503408566539205</v>
      </c>
      <c r="AI323" s="731" t="str">
        <f t="shared" si="219"/>
        <v>10000</v>
      </c>
      <c r="AJ323" s="733" t="str">
        <f t="shared" si="242"/>
        <v>1+137111.697727165i</v>
      </c>
      <c r="AK323" s="734">
        <f t="shared" si="243"/>
        <v>137111.69773081166</v>
      </c>
      <c r="AL323" s="735">
        <f t="shared" si="244"/>
        <v>1.5707890334711572</v>
      </c>
      <c r="AM323" s="340" t="str">
        <f t="shared" si="245"/>
        <v>1+232.694305816292i</v>
      </c>
      <c r="AN323" s="734">
        <f t="shared" si="246"/>
        <v>232.69645454825053</v>
      </c>
      <c r="AO323" s="735">
        <f t="shared" si="247"/>
        <v>1.566498869491685</v>
      </c>
      <c r="AP323" s="733" t="str">
        <f t="shared" si="248"/>
        <v>1+11.2860573892732i</v>
      </c>
      <c r="AQ323" s="734">
        <f t="shared" si="249"/>
        <v>11.330273226801204</v>
      </c>
      <c r="AR323" s="735">
        <f t="shared" si="250"/>
        <v>1.4824222133952418</v>
      </c>
      <c r="AS323" s="732" t="str">
        <f t="shared" si="251"/>
        <v>0.00509957644281147-10.0990842580181i</v>
      </c>
      <c r="AT323" s="337">
        <f t="shared" si="252"/>
        <v>10.099085545544652</v>
      </c>
      <c r="AU323" s="730">
        <f t="shared" si="253"/>
        <v>-1.5702913724961607</v>
      </c>
      <c r="AV323" s="732" t="str">
        <f t="shared" si="254"/>
        <v>-0.634432209456696+0.0776914719877627i</v>
      </c>
      <c r="AW323" s="337">
        <f t="shared" si="255"/>
        <v>-3.8876521004195514</v>
      </c>
      <c r="AX323" s="730">
        <f t="shared" si="256"/>
        <v>173.01841805039842</v>
      </c>
      <c r="AY323" s="360">
        <f t="shared" si="257"/>
        <v>-6.9815819496015763</v>
      </c>
      <c r="BB323" s="337">
        <f t="shared" si="258"/>
        <v>-19.91435898078997</v>
      </c>
      <c r="BC323" s="730">
        <f t="shared" si="259"/>
        <v>-89.97106824983544</v>
      </c>
      <c r="BD323" s="351"/>
      <c r="BE323" s="337">
        <f t="shared" si="220"/>
        <v>36.024947832928319</v>
      </c>
      <c r="BF323" s="730">
        <f t="shared" si="221"/>
        <v>-88.554218625424582</v>
      </c>
      <c r="BI323" s="351"/>
      <c r="BJ323" s="351"/>
      <c r="BL323" s="405">
        <f t="shared" si="222"/>
        <v>0</v>
      </c>
      <c r="BM323" s="405">
        <f t="shared" si="260"/>
        <v>0</v>
      </c>
      <c r="BN323" s="405">
        <f t="shared" si="223"/>
        <v>0</v>
      </c>
      <c r="BO323" s="405">
        <f t="shared" si="224"/>
        <v>0</v>
      </c>
    </row>
    <row r="324" spans="4:67" ht="13.5" thickBot="1" x14ac:dyDescent="0.25">
      <c r="D324" s="345">
        <v>23308.75</v>
      </c>
      <c r="E324" s="340" t="str">
        <f t="shared" si="211"/>
        <v>0.386636436195827i</v>
      </c>
      <c r="F324" s="728" t="str">
        <f t="shared" si="225"/>
        <v>0.005-0.111936394175406i</v>
      </c>
      <c r="G324" s="337" t="str">
        <f t="shared" si="226"/>
        <v>0.005-0.175080001146147i</v>
      </c>
      <c r="H324" s="338" t="str">
        <f t="shared" si="227"/>
        <v>0.0293648728815362-0.170155088199228i</v>
      </c>
      <c r="I324" s="338" t="str">
        <f t="shared" si="228"/>
        <v>0.0393648728815362-0.170155088199228i</v>
      </c>
      <c r="J324" s="337" t="str">
        <f t="shared" si="229"/>
        <v>0.00793104755863516-0.0680686365087319i</v>
      </c>
      <c r="K324" s="338" t="str">
        <f t="shared" si="212"/>
        <v>0.993963357482639-0.122044329607268i</v>
      </c>
      <c r="L324" s="732"/>
      <c r="M324" s="732" t="str">
        <f t="shared" si="213"/>
        <v>1.56202399885135-62.742096134668i</v>
      </c>
      <c r="N324" s="337">
        <f t="shared" si="214"/>
        <v>0</v>
      </c>
      <c r="O324" s="730" t="str">
        <f t="shared" si="215"/>
        <v>-2.12665355183892-24.5344705610263i</v>
      </c>
      <c r="P324" s="731" t="str">
        <f t="shared" si="216"/>
        <v>-4.25838044896402-0.603935392168239i</v>
      </c>
      <c r="Q324" s="729" t="str">
        <f t="shared" si="217"/>
        <v>-4.23711391344563-0.358590686557977i</v>
      </c>
      <c r="R324" s="730"/>
      <c r="S324" s="405" t="str">
        <f t="shared" si="230"/>
        <v>39.7919236131424-3.14965836974289i</v>
      </c>
      <c r="T324" s="405" t="str">
        <f t="shared" si="231"/>
        <v>15.3795760521733-2.96327529004985i</v>
      </c>
      <c r="U324" s="405" t="str">
        <f t="shared" si="232"/>
        <v>-0.0525970725930393-2.70392932182962i</v>
      </c>
      <c r="V324" s="731" t="str">
        <f t="shared" si="218"/>
        <v>6000</v>
      </c>
      <c r="W324" s="733" t="str">
        <f>IMSUM(COMPLEX(1,0),IMDIV(COMPLEX(0,2*PI()*D324),COMPLEX(2*PI()*'Stability Calculations'!EA_Pole1,0)))</f>
        <v>1+147917.727484009i</v>
      </c>
      <c r="X324" s="734">
        <f t="shared" si="233"/>
        <v>147917.72748738926</v>
      </c>
      <c r="Y324" s="735">
        <f t="shared" si="234"/>
        <v>1.5707895662800009</v>
      </c>
      <c r="Z324" s="340" t="str">
        <f>IMSUM(COMPLEX(1,0),IMDIV(COMPLEX(0,2*PI()*D324),COMPLEX(2*PI()*'Stability Calculations'!EA_Zero1,0)))</f>
        <v>1+1464.53195528722i</v>
      </c>
      <c r="AA324" s="734">
        <f t="shared" si="235"/>
        <v>1464.5322966931824</v>
      </c>
      <c r="AB324" s="735">
        <f t="shared" si="236"/>
        <v>1.5701135148965428</v>
      </c>
      <c r="AC324" s="733" t="str">
        <f>IMSUM(COMPLEX(1,0),IMDIV(COMPLEX(0,2*PI()*D324),COMPLEX(2*PI()*'Stability Calculations'!EA_Pole2,0)))</f>
        <v>1+14.752898399026i</v>
      </c>
      <c r="AD324" s="734">
        <f t="shared" si="237"/>
        <v>14.786751204101053</v>
      </c>
      <c r="AE324" s="735">
        <f t="shared" si="238"/>
        <v>1.5031165626983654</v>
      </c>
      <c r="AF324" s="732" t="str">
        <f t="shared" si="239"/>
        <v>0.268986863386528-4.00849734084046i</v>
      </c>
      <c r="AG324" s="337">
        <f t="shared" si="240"/>
        <v>4.017512273061473</v>
      </c>
      <c r="AH324" s="730">
        <f t="shared" si="241"/>
        <v>-1.5037926140818232</v>
      </c>
      <c r="AI324" s="731" t="str">
        <f t="shared" si="219"/>
        <v>10000</v>
      </c>
      <c r="AJ324" s="733" t="str">
        <f t="shared" si="242"/>
        <v>1+137900.036003454i</v>
      </c>
      <c r="AK324" s="734">
        <f t="shared" si="243"/>
        <v>137900.03600707985</v>
      </c>
      <c r="AL324" s="735">
        <f t="shared" si="244"/>
        <v>1.570789075165173</v>
      </c>
      <c r="AM324" s="340" t="str">
        <f t="shared" si="245"/>
        <v>1+234.032206454898i</v>
      </c>
      <c r="AN324" s="734">
        <f t="shared" si="246"/>
        <v>234.0343429032329</v>
      </c>
      <c r="AO324" s="735">
        <f t="shared" si="247"/>
        <v>1.5665234366261589</v>
      </c>
      <c r="AP324" s="733" t="str">
        <f t="shared" si="248"/>
        <v>1+11.3509477755484i</v>
      </c>
      <c r="AQ324" s="734">
        <f t="shared" si="249"/>
        <v>11.394911820774531</v>
      </c>
      <c r="AR324" s="735">
        <f t="shared" si="250"/>
        <v>1.4829248209659711</v>
      </c>
      <c r="AS324" s="732" t="str">
        <f t="shared" si="251"/>
        <v>0.00504143723966564-10.0413504757688i</v>
      </c>
      <c r="AT324" s="337">
        <f t="shared" si="252"/>
        <v>10.041351741339994</v>
      </c>
      <c r="AU324" s="730">
        <f t="shared" si="253"/>
        <v>-1.5702942591867368</v>
      </c>
      <c r="AV324" s="732" t="str">
        <f t="shared" si="254"/>
        <v>-0.627081920787637+0.0774190636567663i</v>
      </c>
      <c r="AW324" s="337">
        <f t="shared" si="255"/>
        <v>-3.9878178439129224</v>
      </c>
      <c r="AX324" s="730">
        <f t="shared" si="256"/>
        <v>172.9619204097207</v>
      </c>
      <c r="AY324" s="360">
        <f t="shared" si="257"/>
        <v>-7.0380795902792954</v>
      </c>
      <c r="BB324" s="337">
        <f t="shared" si="258"/>
        <v>-19.964156392646082</v>
      </c>
      <c r="BC324" s="730">
        <f t="shared" si="259"/>
        <v>-89.971233645022224</v>
      </c>
      <c r="BD324" s="351"/>
      <c r="BE324" s="337">
        <f t="shared" si="220"/>
        <v>35.953871435949416</v>
      </c>
      <c r="BF324" s="730">
        <f t="shared" si="221"/>
        <v>-88.573861815072235</v>
      </c>
      <c r="BI324" s="351"/>
      <c r="BJ324" s="351"/>
      <c r="BL324" s="405">
        <f t="shared" si="222"/>
        <v>0</v>
      </c>
      <c r="BM324" s="405">
        <f t="shared" si="260"/>
        <v>0</v>
      </c>
      <c r="BN324" s="405">
        <f t="shared" si="223"/>
        <v>0</v>
      </c>
      <c r="BO324" s="405">
        <f t="shared" si="224"/>
        <v>0</v>
      </c>
    </row>
    <row r="325" spans="4:67" ht="13.5" thickBot="1" x14ac:dyDescent="0.25">
      <c r="D325" s="345">
        <v>23442</v>
      </c>
      <c r="E325" s="340" t="str">
        <f t="shared" si="211"/>
        <v>0.388846735123186i</v>
      </c>
      <c r="F325" s="728" t="str">
        <f t="shared" si="225"/>
        <v>0.005-0.111300120626908i</v>
      </c>
      <c r="G325" s="337" t="str">
        <f t="shared" si="226"/>
        <v>0.005-0.174084804057472i</v>
      </c>
      <c r="H325" s="338" t="str">
        <f t="shared" si="227"/>
        <v>0.0290939379795844-0.169226493133005i</v>
      </c>
      <c r="I325" s="338" t="str">
        <f t="shared" si="228"/>
        <v>0.0390939379795844-0.169226493133005i</v>
      </c>
      <c r="J325" s="337" t="str">
        <f t="shared" si="229"/>
        <v>0.00788809499742076-0.0676844037226275i</v>
      </c>
      <c r="K325" s="338" t="str">
        <f t="shared" si="212"/>
        <v>0.9938941404-0.122742024975753i</v>
      </c>
      <c r="L325" s="732"/>
      <c r="M325" s="732" t="str">
        <f t="shared" si="213"/>
        <v>1.52859000765144-62.2362599301171i</v>
      </c>
      <c r="N325" s="337">
        <f t="shared" si="214"/>
        <v>0</v>
      </c>
      <c r="O325" s="730" t="str">
        <f t="shared" si="215"/>
        <v>-2.1090937454213-24.3337412705872i</v>
      </c>
      <c r="P325" s="731" t="str">
        <f t="shared" si="216"/>
        <v>-4.20036648010397-0.594387233817189i</v>
      </c>
      <c r="Q325" s="729" t="str">
        <f t="shared" si="217"/>
        <v>-4.17927554264976-0.351049821111314i</v>
      </c>
      <c r="R325" s="730"/>
      <c r="S325" s="405" t="str">
        <f t="shared" si="230"/>
        <v>39.7897853622464-3.18724804363388i</v>
      </c>
      <c r="T325" s="405" t="str">
        <f t="shared" si="231"/>
        <v>15.3763862717493-2.97225841197136i</v>
      </c>
      <c r="U325" s="405" t="str">
        <f t="shared" si="232"/>
        <v>-0.0556252392025826-2.68856662772379i</v>
      </c>
      <c r="V325" s="731" t="str">
        <f t="shared" si="218"/>
        <v>6000</v>
      </c>
      <c r="W325" s="733" t="str">
        <f>IMSUM(COMPLEX(1,0),IMDIV(COMPLEX(0,2*PI()*D325),COMPLEX(2*PI()*'Stability Calculations'!EA_Pole1,0)))</f>
        <v>1+148763.334270613i</v>
      </c>
      <c r="X325" s="734">
        <f t="shared" si="233"/>
        <v>148763.33427397406</v>
      </c>
      <c r="Y325" s="735">
        <f t="shared" si="234"/>
        <v>1.5707896047084033</v>
      </c>
      <c r="Z325" s="340" t="str">
        <f>IMSUM(COMPLEX(1,0),IMDIV(COMPLEX(0,2*PI()*D325),COMPLEX(2*PI()*'Stability Calculations'!EA_Zero1,0)))</f>
        <v>1+1472.90429970904i</v>
      </c>
      <c r="AA325" s="734">
        <f t="shared" si="235"/>
        <v>1472.9046391743689</v>
      </c>
      <c r="AB325" s="735">
        <f t="shared" si="236"/>
        <v>1.5701173961633894</v>
      </c>
      <c r="AC325" s="733" t="str">
        <f>IMSUM(COMPLEX(1,0),IMDIV(COMPLEX(0,2*PI()*D325),COMPLEX(2*PI()*'Stability Calculations'!EA_Pole2,0)))</f>
        <v>1+14.8372368432443i</v>
      </c>
      <c r="AD325" s="734">
        <f t="shared" si="237"/>
        <v>14.87089765759035</v>
      </c>
      <c r="AE325" s="735">
        <f t="shared" si="238"/>
        <v>1.5035001070978435</v>
      </c>
      <c r="AF325" s="732" t="str">
        <f t="shared" si="239"/>
        <v>0.265951370366246-3.98591665799654i</v>
      </c>
      <c r="AG325" s="337">
        <f t="shared" si="240"/>
        <v>3.9947793100362867</v>
      </c>
      <c r="AH325" s="730">
        <f t="shared" si="241"/>
        <v>-1.5041723156428575</v>
      </c>
      <c r="AI325" s="731" t="str">
        <f t="shared" si="219"/>
        <v>10000</v>
      </c>
      <c r="AJ325" s="733" t="str">
        <f t="shared" si="242"/>
        <v>1+138688.374279744i</v>
      </c>
      <c r="AK325" s="734">
        <f t="shared" si="243"/>
        <v>138688.3742833492</v>
      </c>
      <c r="AL325" s="735">
        <f t="shared" si="244"/>
        <v>1.5707891163851908</v>
      </c>
      <c r="AM325" s="340" t="str">
        <f t="shared" si="245"/>
        <v>1+235.370107093505i</v>
      </c>
      <c r="AN325" s="734">
        <f t="shared" si="246"/>
        <v>235.37223139786056</v>
      </c>
      <c r="AO325" s="735">
        <f t="shared" si="247"/>
        <v>1.56654772447463</v>
      </c>
      <c r="AP325" s="733" t="str">
        <f t="shared" si="248"/>
        <v>1+11.4158381618236i</v>
      </c>
      <c r="AQ325" s="734">
        <f t="shared" si="249"/>
        <v>11.459553260792852</v>
      </c>
      <c r="AR325" s="735">
        <f t="shared" si="250"/>
        <v>1.4834217584091021</v>
      </c>
      <c r="AS325" s="732" t="str">
        <f t="shared" si="251"/>
        <v>0.00498428664762243-9.98427303860102i</v>
      </c>
      <c r="AT325" s="337">
        <f t="shared" si="252"/>
        <v>9.9842742827132209</v>
      </c>
      <c r="AU325" s="730">
        <f t="shared" si="253"/>
        <v>-1.5702971130600258</v>
      </c>
      <c r="AV325" s="732" t="str">
        <f t="shared" si="254"/>
        <v>-0.619857049462189+0.0771466046103583i</v>
      </c>
      <c r="AW325" s="337">
        <f t="shared" si="255"/>
        <v>-4.0874127290998201</v>
      </c>
      <c r="AX325" s="730">
        <f t="shared" si="256"/>
        <v>172.90552256013731</v>
      </c>
      <c r="AY325" s="360">
        <f t="shared" si="257"/>
        <v>-7.0944774398626862</v>
      </c>
      <c r="BB325" s="337">
        <f t="shared" si="258"/>
        <v>-20.013669935779852</v>
      </c>
      <c r="BC325" s="730">
        <f t="shared" si="259"/>
        <v>-89.971397159916947</v>
      </c>
      <c r="BD325" s="351"/>
      <c r="BE325" s="337">
        <f t="shared" si="220"/>
        <v>35.883488797185244</v>
      </c>
      <c r="BF325" s="730">
        <f t="shared" si="221"/>
        <v>-88.593036416796295</v>
      </c>
      <c r="BI325" s="351"/>
      <c r="BJ325" s="351"/>
      <c r="BL325" s="405">
        <f t="shared" si="222"/>
        <v>0</v>
      </c>
      <c r="BM325" s="405">
        <f t="shared" si="260"/>
        <v>0</v>
      </c>
      <c r="BN325" s="405">
        <f t="shared" si="223"/>
        <v>0</v>
      </c>
      <c r="BO325" s="405">
        <f t="shared" si="224"/>
        <v>0</v>
      </c>
    </row>
    <row r="326" spans="4:67" ht="13.5" thickBot="1" x14ac:dyDescent="0.25">
      <c r="D326" s="345">
        <v>23578.5</v>
      </c>
      <c r="E326" s="340" t="str">
        <f t="shared" si="211"/>
        <v>0.391110943780482i</v>
      </c>
      <c r="F326" s="728" t="str">
        <f t="shared" si="225"/>
        <v>0.005-0.110655785047225i</v>
      </c>
      <c r="G326" s="337" t="str">
        <f t="shared" si="226"/>
        <v>0.005-0.173076997125146i</v>
      </c>
      <c r="H326" s="338" t="str">
        <f t="shared" si="227"/>
        <v>0.0288210191141107-0.1682854769931i</v>
      </c>
      <c r="I326" s="338" t="str">
        <f t="shared" si="228"/>
        <v>0.0388210191141107-0.1682854769931i</v>
      </c>
      <c r="J326" s="337" t="str">
        <f t="shared" si="229"/>
        <v>0.00784484416963199-0.0672952628167955i</v>
      </c>
      <c r="K326" s="338" t="str">
        <f t="shared" si="212"/>
        <v>0.993822825975-0.123456737304445i</v>
      </c>
      <c r="L326" s="732"/>
      <c r="M326" s="732" t="str">
        <f t="shared" si="213"/>
        <v>1.4954219370553-61.7273029781947i</v>
      </c>
      <c r="N326" s="337">
        <f t="shared" si="214"/>
        <v>0</v>
      </c>
      <c r="O326" s="730" t="str">
        <f t="shared" si="215"/>
        <v>-2.09136271840961-24.1318203170088i</v>
      </c>
      <c r="P326" s="731" t="str">
        <f t="shared" si="216"/>
        <v>-4.14222372482553-0.584875885151737i</v>
      </c>
      <c r="Q326" s="729" t="str">
        <f t="shared" si="217"/>
        <v>-4.12131009764143-0.343557681981649i</v>
      </c>
      <c r="R326" s="730"/>
      <c r="S326" s="405" t="str">
        <f t="shared" si="230"/>
        <v>39.7875369258238-3.22564072022389i</v>
      </c>
      <c r="T326" s="405" t="str">
        <f t="shared" si="231"/>
        <v>15.3731178676696-2.98150157989157i</v>
      </c>
      <c r="U326" s="405" t="str">
        <f t="shared" si="232"/>
        <v>-0.0586744916201539-2.67300238725474i</v>
      </c>
      <c r="V326" s="731" t="str">
        <f t="shared" si="218"/>
        <v>6000</v>
      </c>
      <c r="W326" s="733" t="str">
        <f>IMSUM(COMPLEX(1,0),IMDIV(COMPLEX(0,2*PI()*D326),COMPLEX(2*PI()*'Stability Calculations'!EA_Pole1,0)))</f>
        <v>1+149629.565612987i</v>
      </c>
      <c r="X326" s="734">
        <f t="shared" si="233"/>
        <v>149629.56561632859</v>
      </c>
      <c r="Y326" s="735">
        <f t="shared" si="234"/>
        <v>1.5707896436237205</v>
      </c>
      <c r="Z326" s="340" t="str">
        <f>IMSUM(COMPLEX(1,0),IMDIV(COMPLEX(0,2*PI()*D326),COMPLEX(2*PI()*'Stability Calculations'!EA_Zero1,0)))</f>
        <v>1+1481.48084765334i</v>
      </c>
      <c r="AA326" s="734">
        <f t="shared" si="235"/>
        <v>1481.4811851534459</v>
      </c>
      <c r="AB326" s="735">
        <f t="shared" si="236"/>
        <v>1.5701213266086242</v>
      </c>
      <c r="AC326" s="733" t="str">
        <f>IMSUM(COMPLEX(1,0),IMDIV(COMPLEX(0,2*PI()*D326),COMPLEX(2*PI()*'Stability Calculations'!EA_Pole2,0)))</f>
        <v>1+14.9236323226873i</v>
      </c>
      <c r="AD326" s="734">
        <f t="shared" si="237"/>
        <v>14.95709870605784</v>
      </c>
      <c r="AE326" s="735">
        <f t="shared" si="238"/>
        <v>1.5038885314816783</v>
      </c>
      <c r="AF326" s="732" t="str">
        <f t="shared" si="239"/>
        <v>0.262894731403694-3.96304631802543i</v>
      </c>
      <c r="AG326" s="337">
        <f t="shared" si="240"/>
        <v>3.9717565079715977</v>
      </c>
      <c r="AH326" s="730">
        <f t="shared" si="241"/>
        <v>-1.5045568484967744</v>
      </c>
      <c r="AI326" s="731" t="str">
        <f t="shared" si="219"/>
        <v>10000</v>
      </c>
      <c r="AJ326" s="733" t="str">
        <f t="shared" si="242"/>
        <v>1+139495.94031887i</v>
      </c>
      <c r="AK326" s="734">
        <f t="shared" si="243"/>
        <v>139495.94032245435</v>
      </c>
      <c r="AL326" s="735">
        <f t="shared" si="244"/>
        <v>1.5707891581274953</v>
      </c>
      <c r="AM326" s="340" t="str">
        <f t="shared" si="245"/>
        <v>1+236.740639455004i</v>
      </c>
      <c r="AN326" s="734">
        <f t="shared" si="246"/>
        <v>236.74275146150552</v>
      </c>
      <c r="AO326" s="735">
        <f t="shared" si="247"/>
        <v>1.5665723200722483</v>
      </c>
      <c r="AP326" s="733" t="str">
        <f t="shared" si="248"/>
        <v>1+11.482311240447i</v>
      </c>
      <c r="AQ326" s="734">
        <f t="shared" si="249"/>
        <v>11.525774222259237</v>
      </c>
      <c r="AR326" s="735">
        <f t="shared" si="250"/>
        <v>1.4839250364898919</v>
      </c>
      <c r="AS326" s="732" t="str">
        <f t="shared" si="251"/>
        <v>0.00492674391897166-9.92647238985872i</v>
      </c>
      <c r="AT326" s="337">
        <f t="shared" si="252"/>
        <v>9.9264736124886319</v>
      </c>
      <c r="AU326" s="730">
        <f t="shared" si="253"/>
        <v>-1.5703000030938949</v>
      </c>
      <c r="AV326" s="732" t="str">
        <f t="shared" si="254"/>
        <v>-0.612583037845763+0.0768675242002508i</v>
      </c>
      <c r="AW326" s="337">
        <f t="shared" si="255"/>
        <v>-4.1888516796469011</v>
      </c>
      <c r="AX326" s="730">
        <f t="shared" si="256"/>
        <v>172.84785071230706</v>
      </c>
      <c r="AY326" s="360">
        <f t="shared" si="257"/>
        <v>-7.1521492876929358</v>
      </c>
      <c r="BB326" s="337">
        <f t="shared" si="258"/>
        <v>-20.064100151213538</v>
      </c>
      <c r="BC326" s="730">
        <f t="shared" si="259"/>
        <v>-89.971562746660297</v>
      </c>
      <c r="BD326" s="351"/>
      <c r="BE326" s="337">
        <f t="shared" si="220"/>
        <v>35.812094217317629</v>
      </c>
      <c r="BF326" s="730">
        <f t="shared" si="221"/>
        <v>-88.612208781499518</v>
      </c>
      <c r="BI326" s="351"/>
      <c r="BJ326" s="351"/>
      <c r="BL326" s="405">
        <f t="shared" si="222"/>
        <v>0</v>
      </c>
      <c r="BM326" s="405">
        <f t="shared" si="260"/>
        <v>0</v>
      </c>
      <c r="BN326" s="405">
        <f t="shared" si="223"/>
        <v>0</v>
      </c>
      <c r="BO326" s="405">
        <f t="shared" si="224"/>
        <v>0</v>
      </c>
    </row>
    <row r="327" spans="4:67" ht="13.5" thickBot="1" x14ac:dyDescent="0.25">
      <c r="D327" s="345">
        <v>23715</v>
      </c>
      <c r="E327" s="340" t="str">
        <f t="shared" si="211"/>
        <v>0.393375152437777i</v>
      </c>
      <c r="F327" s="728" t="str">
        <f t="shared" si="225"/>
        <v>0.005-0.110018866866371i</v>
      </c>
      <c r="G327" s="337" t="str">
        <f t="shared" si="226"/>
        <v>0.005-0.17208079176535i</v>
      </c>
      <c r="H327" s="338" t="str">
        <f t="shared" si="227"/>
        <v>0.0285526770668964-0.167354648871337i</v>
      </c>
      <c r="I327" s="338" t="str">
        <f t="shared" si="228"/>
        <v>0.0385526770668964-0.167354648871337i</v>
      </c>
      <c r="J327" s="337" t="str">
        <f t="shared" si="229"/>
        <v>0.00780233453901382-0.0669105626595045i</v>
      </c>
      <c r="K327" s="338" t="str">
        <f t="shared" si="212"/>
        <v>0.9937510975-0.124171449633137i</v>
      </c>
      <c r="L327" s="732"/>
      <c r="M327" s="732" t="str">
        <f t="shared" si="213"/>
        <v>1.46330348604193-61.2274146799371i</v>
      </c>
      <c r="N327" s="337">
        <f t="shared" si="214"/>
        <v>0</v>
      </c>
      <c r="O327" s="730" t="str">
        <f t="shared" si="215"/>
        <v>-2.07388865860724-23.9335426316276i</v>
      </c>
      <c r="P327" s="731" t="str">
        <f t="shared" si="216"/>
        <v>-4.08534358309119-0.575627231884474i</v>
      </c>
      <c r="Q327" s="729" t="str">
        <f t="shared" si="217"/>
        <v>-4.06460469650512-0.336291805568198i</v>
      </c>
      <c r="R327" s="730"/>
      <c r="S327" s="405" t="str">
        <f t="shared" si="230"/>
        <v>39.7852305206808-3.26392003721332i</v>
      </c>
      <c r="T327" s="405" t="str">
        <f t="shared" si="231"/>
        <v>15.3698483299841-2.99078544002264i</v>
      </c>
      <c r="U327" s="405" t="str">
        <f t="shared" si="232"/>
        <v>-0.0616715312312811-2.65761050131554i</v>
      </c>
      <c r="V327" s="731" t="str">
        <f t="shared" si="218"/>
        <v>6000</v>
      </c>
      <c r="W327" s="733" t="str">
        <f>IMSUM(COMPLEX(1,0),IMDIV(COMPLEX(0,2*PI()*D327),COMPLEX(2*PI()*'Stability Calculations'!EA_Pole1,0)))</f>
        <v>1+150495.796955362i</v>
      </c>
      <c r="X327" s="734">
        <f t="shared" si="233"/>
        <v>150495.79695868437</v>
      </c>
      <c r="Y327" s="735">
        <f t="shared" si="234"/>
        <v>1.5707896820910563</v>
      </c>
      <c r="Z327" s="340" t="str">
        <f>IMSUM(COMPLEX(1,0),IMDIV(COMPLEX(0,2*PI()*D327),COMPLEX(2*PI()*'Stability Calculations'!EA_Zero1,0)))</f>
        <v>1+1490.05739559764i</v>
      </c>
      <c r="AA327" s="734">
        <f t="shared" si="235"/>
        <v>1490.057731155146</v>
      </c>
      <c r="AB327" s="735">
        <f t="shared" si="236"/>
        <v>1.5701252118077675</v>
      </c>
      <c r="AC327" s="733" t="str">
        <f>IMSUM(COMPLEX(1,0),IMDIV(COMPLEX(0,2*PI()*D327),COMPLEX(2*PI()*'Stability Calculations'!EA_Pole2,0)))</f>
        <v>1+15.0100278021303i</v>
      </c>
      <c r="AD327" s="734">
        <f t="shared" si="237"/>
        <v>15.043301985293143</v>
      </c>
      <c r="AE327" s="735">
        <f t="shared" si="238"/>
        <v>1.5042725043130458</v>
      </c>
      <c r="AF327" s="732" t="str">
        <f t="shared" si="239"/>
        <v>0.259890410086907-3.94043576907084i</v>
      </c>
      <c r="AG327" s="337">
        <f t="shared" si="240"/>
        <v>3.9489969708051236</v>
      </c>
      <c r="AH327" s="730">
        <f t="shared" si="241"/>
        <v>-1.5049369745963348</v>
      </c>
      <c r="AI327" s="731" t="str">
        <f t="shared" si="219"/>
        <v>10000</v>
      </c>
      <c r="AJ327" s="733" t="str">
        <f t="shared" si="242"/>
        <v>1+140303.506357995i</v>
      </c>
      <c r="AK327" s="734">
        <f t="shared" si="243"/>
        <v>140303.50636155871</v>
      </c>
      <c r="AL327" s="735">
        <f t="shared" si="244"/>
        <v>1.5707891993892749</v>
      </c>
      <c r="AM327" s="340" t="str">
        <f t="shared" si="245"/>
        <v>1+238.111171816503i</v>
      </c>
      <c r="AN327" s="734">
        <f t="shared" si="246"/>
        <v>238.11327166671796</v>
      </c>
      <c r="AO327" s="735">
        <f t="shared" si="247"/>
        <v>1.5665966325377125</v>
      </c>
      <c r="AP327" s="733" t="str">
        <f t="shared" si="248"/>
        <v>1+11.5487843190703i</v>
      </c>
      <c r="AQ327" s="734">
        <f t="shared" si="249"/>
        <v>11.591998069720511</v>
      </c>
      <c r="AR327" s="735">
        <f t="shared" si="250"/>
        <v>1.4844225643476068</v>
      </c>
      <c r="AS327" s="732" t="str">
        <f t="shared" si="251"/>
        <v>0.00487019194973069-9.86933712443973i</v>
      </c>
      <c r="AT327" s="337">
        <f t="shared" si="252"/>
        <v>9.8693383260791059</v>
      </c>
      <c r="AU327" s="730">
        <f t="shared" si="253"/>
        <v>-1.5703028598585653</v>
      </c>
      <c r="AV327" s="732" t="str">
        <f t="shared" si="254"/>
        <v>-0.605434692605705+0.0765885421232538i</v>
      </c>
      <c r="AW327" s="337">
        <f t="shared" si="255"/>
        <v>-4.2897053556120994</v>
      </c>
      <c r="AX327" s="730">
        <f t="shared" si="256"/>
        <v>172.79027974386716</v>
      </c>
      <c r="AY327" s="360">
        <f t="shared" si="257"/>
        <v>-7.2097202561328402</v>
      </c>
      <c r="BB327" s="337">
        <f t="shared" si="258"/>
        <v>-20.114239258593656</v>
      </c>
      <c r="BC327" s="730">
        <f t="shared" si="259"/>
        <v>-89.971726427218968</v>
      </c>
      <c r="BD327" s="351"/>
      <c r="BE327" s="337">
        <f t="shared" si="220"/>
        <v>35.741398353603621</v>
      </c>
      <c r="BF327" s="730">
        <f t="shared" si="221"/>
        <v>-88.63092118345628</v>
      </c>
      <c r="BI327" s="351"/>
      <c r="BJ327" s="351"/>
      <c r="BL327" s="405">
        <f t="shared" si="222"/>
        <v>0</v>
      </c>
      <c r="BM327" s="405">
        <f t="shared" si="260"/>
        <v>0</v>
      </c>
      <c r="BN327" s="405">
        <f t="shared" si="223"/>
        <v>0</v>
      </c>
      <c r="BO327" s="405">
        <f t="shared" si="224"/>
        <v>0</v>
      </c>
    </row>
    <row r="328" spans="4:67" ht="13.5" thickBot="1" x14ac:dyDescent="0.25">
      <c r="D328" s="345">
        <v>23851.5</v>
      </c>
      <c r="E328" s="340" t="str">
        <f t="shared" si="211"/>
        <v>0.395639361095072i</v>
      </c>
      <c r="F328" s="728" t="str">
        <f t="shared" si="225"/>
        <v>0.005-0.109389238737018i</v>
      </c>
      <c r="G328" s="337" t="str">
        <f t="shared" si="226"/>
        <v>0.005-0.171095988793798i</v>
      </c>
      <c r="H328" s="338" t="str">
        <f t="shared" si="227"/>
        <v>0.0282888107455209-0.16643384801049i</v>
      </c>
      <c r="I328" s="338" t="str">
        <f t="shared" si="228"/>
        <v>0.0382888107455209-0.16643384801049i</v>
      </c>
      <c r="J328" s="337" t="str">
        <f t="shared" si="229"/>
        <v>0.00776054926842391-0.0665302279267612i</v>
      </c>
      <c r="K328" s="338" t="str">
        <f t="shared" si="212"/>
        <v>0.993678954975-0.124886161961828i</v>
      </c>
      <c r="L328" s="732"/>
      <c r="M328" s="732" t="str">
        <f t="shared" si="213"/>
        <v>1.43219175542418-60.7363436343701i</v>
      </c>
      <c r="N328" s="337">
        <f t="shared" si="214"/>
        <v>0</v>
      </c>
      <c r="O328" s="730" t="str">
        <f t="shared" si="215"/>
        <v>-2.05666827029865-23.7388058728062i</v>
      </c>
      <c r="P328" s="731" t="str">
        <f t="shared" si="216"/>
        <v>-4.02968819075292-0.566631431081652i</v>
      </c>
      <c r="Q328" s="729" t="str">
        <f t="shared" si="217"/>
        <v>-4.00912150804994-0.32924337235359i</v>
      </c>
      <c r="R328" s="730"/>
      <c r="S328" s="405" t="str">
        <f t="shared" si="230"/>
        <v>39.7828668949846-3.30208779923695i</v>
      </c>
      <c r="T328" s="405" t="str">
        <f t="shared" si="231"/>
        <v>15.3665773652484-3.00010925573663i</v>
      </c>
      <c r="U328" s="405" t="str">
        <f t="shared" si="232"/>
        <v>-0.0646175289922176-2.6423881246006i</v>
      </c>
      <c r="V328" s="731" t="str">
        <f t="shared" si="218"/>
        <v>6000</v>
      </c>
      <c r="W328" s="733" t="str">
        <f>IMSUM(COMPLEX(1,0),IMDIV(COMPLEX(0,2*PI()*D328),COMPLEX(2*PI()*'Stability Calculations'!EA_Pole1,0)))</f>
        <v>1+151362.028297736i</v>
      </c>
      <c r="X328" s="734">
        <f t="shared" si="233"/>
        <v>151362.02830103933</v>
      </c>
      <c r="Y328" s="735">
        <f t="shared" si="234"/>
        <v>1.5707897201181018</v>
      </c>
      <c r="Z328" s="340" t="str">
        <f>IMSUM(COMPLEX(1,0),IMDIV(COMPLEX(0,2*PI()*D328),COMPLEX(2*PI()*'Stability Calculations'!EA_Zero1,0)))</f>
        <v>1+1498.63394354194i</v>
      </c>
      <c r="AA328" s="734">
        <f t="shared" si="235"/>
        <v>1498.6342771790808</v>
      </c>
      <c r="AB328" s="735">
        <f t="shared" si="236"/>
        <v>1.5701290525376366</v>
      </c>
      <c r="AC328" s="733" t="str">
        <f>IMSUM(COMPLEX(1,0),IMDIV(COMPLEX(0,2*PI()*D328),COMPLEX(2*PI()*'Stability Calculations'!EA_Pole2,0)))</f>
        <v>1+15.0964232815732i</v>
      </c>
      <c r="AD328" s="734">
        <f t="shared" si="237"/>
        <v>15.129507457165461</v>
      </c>
      <c r="AE328" s="735">
        <f t="shared" si="238"/>
        <v>1.5046521015704095</v>
      </c>
      <c r="AF328" s="732" t="str">
        <f t="shared" si="239"/>
        <v>0.256937220963549-3.91808062937595i</v>
      </c>
      <c r="AG328" s="337">
        <f t="shared" si="240"/>
        <v>3.9264962184888845</v>
      </c>
      <c r="AH328" s="730">
        <f t="shared" si="241"/>
        <v>-1.5053127691508745</v>
      </c>
      <c r="AI328" s="731" t="str">
        <f t="shared" si="219"/>
        <v>10000</v>
      </c>
      <c r="AJ328" s="733" t="str">
        <f t="shared" si="242"/>
        <v>1+141111.072397121i</v>
      </c>
      <c r="AK328" s="734">
        <f t="shared" si="243"/>
        <v>141111.0724006643</v>
      </c>
      <c r="AL328" s="735">
        <f t="shared" si="244"/>
        <v>1.5707892401787793</v>
      </c>
      <c r="AM328" s="340" t="str">
        <f t="shared" si="245"/>
        <v>1+239.481704178002i</v>
      </c>
      <c r="AN328" s="734">
        <f t="shared" si="246"/>
        <v>239.48379201106712</v>
      </c>
      <c r="AO328" s="735">
        <f t="shared" si="247"/>
        <v>1.5666206667319287</v>
      </c>
      <c r="AP328" s="733" t="str">
        <f t="shared" si="248"/>
        <v>1+11.6152573976937i</v>
      </c>
      <c r="AQ328" s="734">
        <f t="shared" si="249"/>
        <v>11.658224753995707</v>
      </c>
      <c r="AR328" s="735">
        <f t="shared" si="250"/>
        <v>1.4849144397294056</v>
      </c>
      <c r="AS328" s="732" t="str">
        <f t="shared" si="251"/>
        <v>0.00481460812482217-9.8128558185674i</v>
      </c>
      <c r="AT328" s="337">
        <f t="shared" si="252"/>
        <v>9.8128569996939969</v>
      </c>
      <c r="AU328" s="730">
        <f t="shared" si="253"/>
        <v>-1.5703056839252265</v>
      </c>
      <c r="AV328" s="732" t="str">
        <f t="shared" si="254"/>
        <v>-0.598409133929538+0.0763097291309046i</v>
      </c>
      <c r="AW328" s="337">
        <f t="shared" si="255"/>
        <v>-4.3899805452766332</v>
      </c>
      <c r="AX328" s="730">
        <f t="shared" si="256"/>
        <v>172.73280778348567</v>
      </c>
      <c r="AY328" s="360">
        <f t="shared" si="257"/>
        <v>-7.2671922165143314</v>
      </c>
      <c r="BB328" s="337">
        <f t="shared" si="258"/>
        <v>-20.164090599477888</v>
      </c>
      <c r="BC328" s="730">
        <f t="shared" si="259"/>
        <v>-89.971888234319721</v>
      </c>
      <c r="BD328" s="351"/>
      <c r="BE328" s="337">
        <f t="shared" si="220"/>
        <v>35.671387045875207</v>
      </c>
      <c r="BF328" s="730">
        <f t="shared" si="221"/>
        <v>-88.649188707139118</v>
      </c>
      <c r="BI328" s="351"/>
      <c r="BJ328" s="351"/>
      <c r="BL328" s="405">
        <f t="shared" si="222"/>
        <v>0</v>
      </c>
      <c r="BM328" s="405">
        <f t="shared" si="260"/>
        <v>0</v>
      </c>
      <c r="BN328" s="405">
        <f t="shared" si="223"/>
        <v>0</v>
      </c>
      <c r="BO328" s="405">
        <f t="shared" si="224"/>
        <v>0</v>
      </c>
    </row>
    <row r="329" spans="4:67" ht="13.5" thickBot="1" x14ac:dyDescent="0.25">
      <c r="D329" s="345">
        <v>23988</v>
      </c>
      <c r="E329" s="340" t="str">
        <f t="shared" si="211"/>
        <v>0.397903569752367i</v>
      </c>
      <c r="F329" s="728" t="str">
        <f t="shared" si="225"/>
        <v>0.005-0.108766776210438i</v>
      </c>
      <c r="G329" s="337" t="str">
        <f t="shared" si="226"/>
        <v>0.005-0.170122393559916i</v>
      </c>
      <c r="H329" s="338" t="str">
        <f t="shared" si="227"/>
        <v>0.0280293218146422-0.165522916928455i</v>
      </c>
      <c r="I329" s="338" t="str">
        <f t="shared" si="228"/>
        <v>0.0380293218146422-0.165522916928455i</v>
      </c>
      <c r="J329" s="337" t="str">
        <f t="shared" si="229"/>
        <v>0.00771947199556915-0.0661541849832872i</v>
      </c>
      <c r="K329" s="338" t="str">
        <f t="shared" si="212"/>
        <v>0.9936063984-0.12560087429052i</v>
      </c>
      <c r="L329" s="732"/>
      <c r="M329" s="732" t="str">
        <f t="shared" si="213"/>
        <v>1.40204597883596-60.2538478232407i</v>
      </c>
      <c r="N329" s="337">
        <f t="shared" si="214"/>
        <v>0</v>
      </c>
      <c r="O329" s="730" t="str">
        <f t="shared" si="215"/>
        <v>-2.03969819800005-23.5475115671843i</v>
      </c>
      <c r="P329" s="731" t="str">
        <f t="shared" si="216"/>
        <v>-3.97522114018337-0.557879099935779i</v>
      </c>
      <c r="Q329" s="729" t="str">
        <f t="shared" si="217"/>
        <v>-3.95482415820337-0.322403984263938i</v>
      </c>
      <c r="R329" s="730"/>
      <c r="S329" s="405" t="str">
        <f t="shared" si="230"/>
        <v>39.7804467760109-3.34014577143539i</v>
      </c>
      <c r="T329" s="405" t="str">
        <f t="shared" si="231"/>
        <v>15.3633046882814-3.00947230599133i</v>
      </c>
      <c r="U329" s="405" t="str">
        <f t="shared" si="232"/>
        <v>-0.0675136232588478-2.62733247342183i</v>
      </c>
      <c r="V329" s="731" t="str">
        <f t="shared" si="218"/>
        <v>6000</v>
      </c>
      <c r="W329" s="733" t="str">
        <f>IMSUM(COMPLEX(1,0),IMDIV(COMPLEX(0,2*PI()*D329),COMPLEX(2*PI()*'Stability Calculations'!EA_Pole1,0)))</f>
        <v>1+152228.25964011i</v>
      </c>
      <c r="X329" s="734">
        <f t="shared" si="233"/>
        <v>152228.25964339453</v>
      </c>
      <c r="Y329" s="735">
        <f t="shared" si="234"/>
        <v>1.5707897577123731</v>
      </c>
      <c r="Z329" s="340" t="str">
        <f>IMSUM(COMPLEX(1,0),IMDIV(COMPLEX(0,2*PI()*D329),COMPLEX(2*PI()*'Stability Calculations'!EA_Zero1,0)))</f>
        <v>1+1507.21049148624i</v>
      </c>
      <c r="AA329" s="734">
        <f t="shared" si="235"/>
        <v>1507.2108232248709</v>
      </c>
      <c r="AB329" s="735">
        <f t="shared" si="236"/>
        <v>1.5701328495573676</v>
      </c>
      <c r="AC329" s="733" t="str">
        <f>IMSUM(COMPLEX(1,0),IMDIV(COMPLEX(0,2*PI()*D329),COMPLEX(2*PI()*'Stability Calculations'!EA_Pole2,0)))</f>
        <v>1+15.1828187610163i</v>
      </c>
      <c r="AD329" s="734">
        <f t="shared" si="237"/>
        <v>15.215715084407586</v>
      </c>
      <c r="AE329" s="735">
        <f t="shared" si="238"/>
        <v>1.5050273975154609</v>
      </c>
      <c r="AF329" s="732" t="str">
        <f t="shared" si="239"/>
        <v>0.25403401191959-3.89597661472276i</v>
      </c>
      <c r="AG329" s="337">
        <f t="shared" si="240"/>
        <v>3.9042498718292324</v>
      </c>
      <c r="AH329" s="730">
        <f t="shared" si="241"/>
        <v>-1.5056843056704663</v>
      </c>
      <c r="AI329" s="731" t="str">
        <f t="shared" si="219"/>
        <v>10000</v>
      </c>
      <c r="AJ329" s="733" t="str">
        <f t="shared" si="242"/>
        <v>1+141918.638436247i</v>
      </c>
      <c r="AK329" s="734">
        <f t="shared" si="243"/>
        <v>141918.63843977015</v>
      </c>
      <c r="AL329" s="735">
        <f t="shared" si="244"/>
        <v>1.5707892805040711</v>
      </c>
      <c r="AM329" s="340" t="str">
        <f t="shared" si="245"/>
        <v>1+240.852236539501i</v>
      </c>
      <c r="AN329" s="734">
        <f t="shared" si="246"/>
        <v>240.85431249217805</v>
      </c>
      <c r="AO329" s="735">
        <f t="shared" si="247"/>
        <v>1.566644427405165</v>
      </c>
      <c r="AP329" s="733" t="str">
        <f t="shared" si="248"/>
        <v>1+11.6817304763171i</v>
      </c>
      <c r="AQ329" s="734">
        <f t="shared" si="249"/>
        <v>11.724454227012691</v>
      </c>
      <c r="AR329" s="735">
        <f t="shared" si="250"/>
        <v>1.4854007581848994</v>
      </c>
      <c r="AS329" s="732" t="str">
        <f t="shared" si="251"/>
        <v>0.00475997047077071-9.757017308486i</v>
      </c>
      <c r="AT329" s="337">
        <f t="shared" si="252"/>
        <v>9.7570184695640663</v>
      </c>
      <c r="AU329" s="730">
        <f t="shared" si="253"/>
        <v>-1.5703084758520671</v>
      </c>
      <c r="AV329" s="732" t="str">
        <f t="shared" si="254"/>
        <v>-0.591503564074466+0.0760311522345836i</v>
      </c>
      <c r="AW329" s="337">
        <f t="shared" si="255"/>
        <v>-4.4896839196864589</v>
      </c>
      <c r="AX329" s="730">
        <f t="shared" si="256"/>
        <v>172.67543300582045</v>
      </c>
      <c r="AY329" s="360">
        <f t="shared" si="257"/>
        <v>-7.3245669941795484</v>
      </c>
      <c r="BB329" s="337">
        <f t="shared" si="258"/>
        <v>-20.21365745821641</v>
      </c>
      <c r="BC329" s="730">
        <f t="shared" si="259"/>
        <v>-89.972048199944396</v>
      </c>
      <c r="BD329" s="351"/>
      <c r="BE329" s="337">
        <f t="shared" si="220"/>
        <v>35.602046557964286</v>
      </c>
      <c r="BF329" s="730">
        <f t="shared" si="221"/>
        <v>-88.667025816100107</v>
      </c>
      <c r="BI329" s="351"/>
      <c r="BJ329" s="351"/>
      <c r="BL329" s="405">
        <f t="shared" si="222"/>
        <v>0</v>
      </c>
      <c r="BM329" s="405">
        <f t="shared" si="260"/>
        <v>0</v>
      </c>
      <c r="BN329" s="405">
        <f t="shared" si="223"/>
        <v>0</v>
      </c>
      <c r="BO329" s="405">
        <f t="shared" si="224"/>
        <v>0</v>
      </c>
    </row>
    <row r="330" spans="4:67" ht="13.5" thickBot="1" x14ac:dyDescent="0.25">
      <c r="D330" s="345">
        <v>24127.75</v>
      </c>
      <c r="E330" s="340" t="str">
        <f t="shared" si="211"/>
        <v>0.400221688139598i</v>
      </c>
      <c r="F330" s="728" t="str">
        <f t="shared" si="225"/>
        <v>0.005-0.108136789702147i</v>
      </c>
      <c r="G330" s="337" t="str">
        <f t="shared" si="226"/>
        <v>0.005-0.169137030046949i</v>
      </c>
      <c r="H330" s="338" t="str">
        <f t="shared" si="227"/>
        <v>0.0277680896608747-0.164600360989198i</v>
      </c>
      <c r="I330" s="338" t="str">
        <f t="shared" si="228"/>
        <v>0.0377680896608747-0.164600360989198i</v>
      </c>
      <c r="J330" s="337" t="str">
        <f t="shared" si="229"/>
        <v>0.00767813357257546-0.0657735597533006i</v>
      </c>
      <c r="K330" s="338" t="str">
        <f t="shared" si="212"/>
        <v>0.993531685332639-0.126332603579419i</v>
      </c>
      <c r="L330" s="732"/>
      <c r="M330" s="732" t="str">
        <f t="shared" si="213"/>
        <v>1.37214271188265-59.7685046151286i</v>
      </c>
      <c r="N330" s="337">
        <f t="shared" si="214"/>
        <v>0</v>
      </c>
      <c r="O330" s="730" t="str">
        <f t="shared" si="215"/>
        <v>-2.02257984937344-23.355130052242i</v>
      </c>
      <c r="P330" s="731" t="str">
        <f t="shared" si="216"/>
        <v>-3.92065181464611-0.549161272518119i</v>
      </c>
      <c r="Q330" s="729" t="str">
        <f t="shared" si="217"/>
        <v>-3.90042601615238-0.315609971995699i</v>
      </c>
      <c r="R330" s="730"/>
      <c r="S330" s="405" t="str">
        <f t="shared" si="230"/>
        <v>39.7779112464679-3.37899794663667i</v>
      </c>
      <c r="T330" s="405" t="str">
        <f t="shared" si="231"/>
        <v>15.3599520271668-3.0190981959167i</v>
      </c>
      <c r="U330" s="405" t="str">
        <f t="shared" si="232"/>
        <v>-0.0704281278326227-2.61208823784761i</v>
      </c>
      <c r="V330" s="731" t="str">
        <f t="shared" si="218"/>
        <v>6000</v>
      </c>
      <c r="W330" s="733" t="str">
        <f>IMSUM(COMPLEX(1,0),IMDIV(COMPLEX(0,2*PI()*D330),COMPLEX(2*PI()*'Stability Calculations'!EA_Pole1,0)))</f>
        <v>1+153115.115538255i</v>
      </c>
      <c r="X330" s="734">
        <f t="shared" si="233"/>
        <v>153115.1155415205</v>
      </c>
      <c r="Y330" s="735">
        <f t="shared" si="234"/>
        <v>1.5707897957610633</v>
      </c>
      <c r="Z330" s="340" t="str">
        <f>IMSUM(COMPLEX(1,0),IMDIV(COMPLEX(0,2*PI()*D330),COMPLEX(2*PI()*'Stability Calculations'!EA_Zero1,0)))</f>
        <v>1+1515.99124295302i</v>
      </c>
      <c r="AA330" s="734">
        <f t="shared" si="235"/>
        <v>1515.9915727701928</v>
      </c>
      <c r="AB330" s="735">
        <f t="shared" si="236"/>
        <v>1.5701366924733864</v>
      </c>
      <c r="AC330" s="733" t="str">
        <f>IMSUM(COMPLEX(1,0),IMDIV(COMPLEX(0,2*PI()*D330),COMPLEX(2*PI()*'Stability Calculations'!EA_Pole2,0)))</f>
        <v>1+15.2712712756841i</v>
      </c>
      <c r="AD330" s="734">
        <f t="shared" si="237"/>
        <v>15.303977469126588</v>
      </c>
      <c r="AE330" s="735">
        <f t="shared" si="238"/>
        <v>1.5054072487214347</v>
      </c>
      <c r="AF330" s="732" t="str">
        <f t="shared" si="239"/>
        <v>0.251112288880153-3.87360210493816i</v>
      </c>
      <c r="AG330" s="337">
        <f t="shared" si="240"/>
        <v>3.8817329440609352</v>
      </c>
      <c r="AH330" s="730">
        <f t="shared" si="241"/>
        <v>-1.5060603520091116</v>
      </c>
      <c r="AI330" s="731" t="str">
        <f t="shared" si="219"/>
        <v>10000</v>
      </c>
      <c r="AJ330" s="733" t="str">
        <f t="shared" si="242"/>
        <v>1+142745.432238208i</v>
      </c>
      <c r="AK330" s="734">
        <f t="shared" si="243"/>
        <v>142745.43224171075</v>
      </c>
      <c r="AL330" s="735">
        <f t="shared" si="244"/>
        <v>1.5707893213167927</v>
      </c>
      <c r="AM330" s="340" t="str">
        <f t="shared" si="245"/>
        <v>1+242.255400623893i</v>
      </c>
      <c r="AN330" s="734">
        <f t="shared" si="246"/>
        <v>242.25746455257655</v>
      </c>
      <c r="AO330" s="735">
        <f t="shared" si="247"/>
        <v>1.5666684752890112</v>
      </c>
      <c r="AP330" s="733" t="str">
        <f t="shared" si="248"/>
        <v>1+11.7497862472886i</v>
      </c>
      <c r="AQ330" s="734">
        <f t="shared" si="249"/>
        <v>11.792263432309012</v>
      </c>
      <c r="AR330" s="735">
        <f t="shared" si="250"/>
        <v>1.4858929962192633</v>
      </c>
      <c r="AS330" s="732" t="str">
        <f t="shared" si="251"/>
        <v>0.00470498985695607-9.70050385300639i</v>
      </c>
      <c r="AT330" s="337">
        <f t="shared" si="252"/>
        <v>9.7005049940258985</v>
      </c>
      <c r="AU330" s="730">
        <f t="shared" si="253"/>
        <v>-1.5703113015261783</v>
      </c>
      <c r="AV330" s="732" t="str">
        <f t="shared" si="254"/>
        <v>-0.584555045839961+0.0757462533865498i</v>
      </c>
      <c r="AW330" s="337">
        <f t="shared" si="255"/>
        <v>-4.5911756303820841</v>
      </c>
      <c r="AX330" s="730">
        <f t="shared" si="256"/>
        <v>172.61679098385454</v>
      </c>
      <c r="AY330" s="360">
        <f t="shared" si="257"/>
        <v>-7.3832090161454573</v>
      </c>
      <c r="BB330" s="337">
        <f t="shared" si="258"/>
        <v>-20.264113128262512</v>
      </c>
      <c r="BC330" s="730">
        <f t="shared" si="259"/>
        <v>-89.972210099145244</v>
      </c>
      <c r="BD330" s="351"/>
      <c r="BE330" s="337">
        <f t="shared" si="220"/>
        <v>35.531736158245828</v>
      </c>
      <c r="BF330" s="730">
        <f t="shared" si="221"/>
        <v>-88.684856192733946</v>
      </c>
      <c r="BI330" s="351"/>
      <c r="BJ330" s="351"/>
      <c r="BL330" s="405">
        <f t="shared" si="222"/>
        <v>0</v>
      </c>
      <c r="BM330" s="405">
        <f t="shared" si="260"/>
        <v>0</v>
      </c>
      <c r="BN330" s="405">
        <f t="shared" si="223"/>
        <v>0</v>
      </c>
      <c r="BO330" s="405">
        <f t="shared" si="224"/>
        <v>0</v>
      </c>
    </row>
    <row r="331" spans="4:67" ht="13.5" thickBot="1" x14ac:dyDescent="0.25">
      <c r="D331" s="345">
        <v>24267.5</v>
      </c>
      <c r="E331" s="340" t="str">
        <f t="shared" si="211"/>
        <v>0.402539806526829i</v>
      </c>
      <c r="F331" s="728" t="str">
        <f t="shared" si="225"/>
        <v>0.005-0.107514059039291i</v>
      </c>
      <c r="G331" s="337" t="str">
        <f t="shared" si="226"/>
        <v>0.005-0.168163015420429i</v>
      </c>
      <c r="H331" s="338" t="str">
        <f t="shared" si="227"/>
        <v>0.0275112456981177-0.163687826515924i</v>
      </c>
      <c r="I331" s="338" t="str">
        <f t="shared" si="228"/>
        <v>0.0375112456981177-0.163687826515924i</v>
      </c>
      <c r="J331" s="337" t="str">
        <f t="shared" si="229"/>
        <v>0.00763750400982287-0.0653972821344072i</v>
      </c>
      <c r="K331" s="338" t="str">
        <f t="shared" si="212"/>
        <v>0.993456538263889-0.127064332868317i</v>
      </c>
      <c r="L331" s="732"/>
      <c r="M331" s="732" t="str">
        <f t="shared" si="213"/>
        <v>1.34317178732012-59.2916647228432i</v>
      </c>
      <c r="N331" s="337">
        <f t="shared" si="214"/>
        <v>0</v>
      </c>
      <c r="O331" s="730" t="str">
        <f t="shared" si="215"/>
        <v>-2.00571661959076-23.1661596221375i</v>
      </c>
      <c r="P331" s="731" t="str">
        <f t="shared" si="216"/>
        <v>-3.8672552461869-0.540680111400137i</v>
      </c>
      <c r="Q331" s="729" t="str">
        <f t="shared" si="217"/>
        <v>-3.84719807999099-0.309018515178766i</v>
      </c>
      <c r="R331" s="730"/>
      <c r="S331" s="405" t="str">
        <f t="shared" si="230"/>
        <v>39.7753179801154-3.41773866379226i</v>
      </c>
      <c r="T331" s="405" t="str">
        <f t="shared" si="231"/>
        <v>15.356596991724-3.02876372964663i</v>
      </c>
      <c r="U331" s="405" t="str">
        <f t="shared" si="232"/>
        <v>-0.0732926390098214-2.59701304738414i</v>
      </c>
      <c r="V331" s="731" t="str">
        <f t="shared" si="218"/>
        <v>6000</v>
      </c>
      <c r="W331" s="733" t="str">
        <f>IMSUM(COMPLEX(1,0),IMDIV(COMPLEX(0,2*PI()*D331),COMPLEX(2*PI()*'Stability Calculations'!EA_Pole1,0)))</f>
        <v>1+154001.971436401i</v>
      </c>
      <c r="X331" s="734">
        <f t="shared" si="233"/>
        <v>154001.97143964772</v>
      </c>
      <c r="Y331" s="735">
        <f t="shared" si="234"/>
        <v>1.5707898333715289</v>
      </c>
      <c r="Z331" s="340" t="str">
        <f>IMSUM(COMPLEX(1,0),IMDIV(COMPLEX(0,2*PI()*D331),COMPLEX(2*PI()*'Stability Calculations'!EA_Zero1,0)))</f>
        <v>1+1524.77199441981i</v>
      </c>
      <c r="AA331" s="734">
        <f t="shared" si="235"/>
        <v>1524.7723223376547</v>
      </c>
      <c r="AB331" s="735">
        <f t="shared" si="236"/>
        <v>1.5701404911287864</v>
      </c>
      <c r="AC331" s="733" t="str">
        <f>IMSUM(COMPLEX(1,0),IMDIV(COMPLEX(0,2*PI()*D331),COMPLEX(2*PI()*'Stability Calculations'!EA_Pole2,0)))</f>
        <v>1+15.359723790352i</v>
      </c>
      <c r="AD331" s="734">
        <f t="shared" si="237"/>
        <v>15.392242036685401</v>
      </c>
      <c r="AE331" s="735">
        <f t="shared" si="238"/>
        <v>1.5057827435783651</v>
      </c>
      <c r="AF331" s="732" t="str">
        <f t="shared" si="239"/>
        <v>0.248240612537628-3.85148203440763i</v>
      </c>
      <c r="AG331" s="337">
        <f t="shared" si="240"/>
        <v>3.8594737028612842</v>
      </c>
      <c r="AH331" s="730">
        <f t="shared" si="241"/>
        <v>-1.5064320858211078</v>
      </c>
      <c r="AI331" s="731" t="str">
        <f t="shared" si="219"/>
        <v>10000</v>
      </c>
      <c r="AJ331" s="733" t="str">
        <f t="shared" si="242"/>
        <v>1+143572.226040171i</v>
      </c>
      <c r="AK331" s="734">
        <f t="shared" si="243"/>
        <v>143572.22604365356</v>
      </c>
      <c r="AL331" s="735">
        <f t="shared" si="244"/>
        <v>1.5707893616594553</v>
      </c>
      <c r="AM331" s="340" t="str">
        <f t="shared" si="245"/>
        <v>1+243.658564708286i</v>
      </c>
      <c r="AN331" s="734">
        <f t="shared" si="246"/>
        <v>243.66061675146028</v>
      </c>
      <c r="AO331" s="735">
        <f t="shared" si="247"/>
        <v>1.5666922462069706</v>
      </c>
      <c r="AP331" s="733" t="str">
        <f t="shared" si="248"/>
        <v>1+11.8178420182602i</v>
      </c>
      <c r="AQ331" s="734">
        <f t="shared" si="249"/>
        <v>11.860075462177983</v>
      </c>
      <c r="AR331" s="735">
        <f t="shared" si="250"/>
        <v>1.4863796054584548</v>
      </c>
      <c r="AS331" s="732" t="str">
        <f t="shared" si="251"/>
        <v>0.00465095636088222-9.64464128862497i</v>
      </c>
      <c r="AT331" s="337">
        <f t="shared" si="252"/>
        <v>9.644642410045309</v>
      </c>
      <c r="AU331" s="730">
        <f t="shared" si="253"/>
        <v>-1.5703140946557039</v>
      </c>
      <c r="AV331" s="732" t="str">
        <f t="shared" si="254"/>
        <v>-0.577726614908836+0.0754617329226264i</v>
      </c>
      <c r="AW331" s="337">
        <f t="shared" si="255"/>
        <v>-4.6920817588579746</v>
      </c>
      <c r="AX331" s="730">
        <f t="shared" si="256"/>
        <v>172.55824709695332</v>
      </c>
      <c r="AY331" s="360">
        <f t="shared" si="257"/>
        <v>-7.4417529030466767</v>
      </c>
      <c r="BB331" s="337">
        <f t="shared" si="258"/>
        <v>-20.31427739715269</v>
      </c>
      <c r="BC331" s="730">
        <f t="shared" si="259"/>
        <v>-89.972370133678695</v>
      </c>
      <c r="BD331" s="351"/>
      <c r="BE331" s="337">
        <f t="shared" si="220"/>
        <v>35.462101054794033</v>
      </c>
      <c r="BF331" s="730">
        <f t="shared" si="221"/>
        <v>-88.70226423304625</v>
      </c>
      <c r="BI331" s="351"/>
      <c r="BJ331" s="351"/>
      <c r="BL331" s="405">
        <f t="shared" si="222"/>
        <v>0</v>
      </c>
      <c r="BM331" s="405">
        <f t="shared" si="260"/>
        <v>0</v>
      </c>
      <c r="BN331" s="405">
        <f t="shared" si="223"/>
        <v>0</v>
      </c>
      <c r="BO331" s="405">
        <f t="shared" si="224"/>
        <v>0</v>
      </c>
    </row>
    <row r="332" spans="4:67" ht="13.5" thickBot="1" x14ac:dyDescent="0.25">
      <c r="D332" s="345">
        <v>24407.25</v>
      </c>
      <c r="E332" s="340" t="str">
        <f t="shared" si="211"/>
        <v>0.40485792491406i</v>
      </c>
      <c r="F332" s="728" t="str">
        <f t="shared" si="225"/>
        <v>0.005-0.106898459586229i</v>
      </c>
      <c r="G332" s="337" t="str">
        <f t="shared" si="226"/>
        <v>0.005-0.167200154737435i</v>
      </c>
      <c r="H332" s="338" t="str">
        <f t="shared" si="227"/>
        <v>0.0272586928086746-0.162785154658932i</v>
      </c>
      <c r="I332" s="338" t="str">
        <f t="shared" si="228"/>
        <v>0.0372586928086746-0.162785154658932i</v>
      </c>
      <c r="J332" s="337" t="str">
        <f t="shared" si="229"/>
        <v>0.00759756719288374-0.065025278305037i</v>
      </c>
      <c r="K332" s="338" t="str">
        <f t="shared" si="212"/>
        <v>0.99338095719375-0.127796062157216i</v>
      </c>
      <c r="L332" s="732"/>
      <c r="M332" s="732" t="str">
        <f t="shared" si="213"/>
        <v>1.31509562291726-58.8230962272389i</v>
      </c>
      <c r="N332" s="337">
        <f t="shared" si="214"/>
        <v>0</v>
      </c>
      <c r="O332" s="730" t="str">
        <f t="shared" si="215"/>
        <v>-1.98910478777032-22.9805060490075i</v>
      </c>
      <c r="P332" s="731" t="str">
        <f t="shared" si="216"/>
        <v>-3.81499667558-0.532426884957845i</v>
      </c>
      <c r="Q332" s="729" t="str">
        <f t="shared" si="217"/>
        <v>-3.79510562770229-0.302621824467769i</v>
      </c>
      <c r="R332" s="730"/>
      <c r="S332" s="405" t="str">
        <f t="shared" si="230"/>
        <v>39.7726676937953-3.45636969525326i</v>
      </c>
      <c r="T332" s="405" t="str">
        <f t="shared" si="231"/>
        <v>15.3532393010829-3.03846818150301i</v>
      </c>
      <c r="U332" s="405" t="str">
        <f t="shared" si="232"/>
        <v>-0.0761082791259232-2.5821041049109i</v>
      </c>
      <c r="V332" s="731" t="str">
        <f t="shared" si="218"/>
        <v>6000</v>
      </c>
      <c r="W332" s="733" t="str">
        <f>IMSUM(COMPLEX(1,0),IMDIV(COMPLEX(0,2*PI()*D332),COMPLEX(2*PI()*'Stability Calculations'!EA_Pole1,0)))</f>
        <v>1+154888.827334546i</v>
      </c>
      <c r="X332" s="734">
        <f t="shared" si="233"/>
        <v>154888.8273377741</v>
      </c>
      <c r="Y332" s="735">
        <f t="shared" si="234"/>
        <v>1.5707898705512979</v>
      </c>
      <c r="Z332" s="340" t="str">
        <f>IMSUM(COMPLEX(1,0),IMDIV(COMPLEX(0,2*PI()*D332),COMPLEX(2*PI()*'Stability Calculations'!EA_Zero1,0)))</f>
        <v>1+1533.55274588659i</v>
      </c>
      <c r="AA332" s="734">
        <f t="shared" si="235"/>
        <v>1533.5530719268572</v>
      </c>
      <c r="AB332" s="735">
        <f t="shared" si="236"/>
        <v>1.5701442462838442</v>
      </c>
      <c r="AC332" s="733" t="str">
        <f>IMSUM(COMPLEX(1,0),IMDIV(COMPLEX(0,2*PI()*D332),COMPLEX(2*PI()*'Stability Calculations'!EA_Pole2,0)))</f>
        <v>1+15.4481763050198i</v>
      </c>
      <c r="AD332" s="734">
        <f t="shared" si="237"/>
        <v>15.480508749746409</v>
      </c>
      <c r="AE332" s="735">
        <f t="shared" si="238"/>
        <v>1.5061539564964974</v>
      </c>
      <c r="AF332" s="732" t="str">
        <f t="shared" si="239"/>
        <v>0.245417847958299-3.8296121060257i</v>
      </c>
      <c r="AG332" s="337">
        <f t="shared" si="240"/>
        <v>3.8374677591759752</v>
      </c>
      <c r="AH332" s="730">
        <f t="shared" si="241"/>
        <v>-1.5067995807639512</v>
      </c>
      <c r="AI332" s="731" t="str">
        <f t="shared" si="219"/>
        <v>10000</v>
      </c>
      <c r="AJ332" s="733" t="str">
        <f t="shared" si="242"/>
        <v>1+144399.019842133i</v>
      </c>
      <c r="AK332" s="734">
        <f t="shared" si="243"/>
        <v>144399.01984559564</v>
      </c>
      <c r="AL332" s="735">
        <f t="shared" si="244"/>
        <v>1.5707894015401334</v>
      </c>
      <c r="AM332" s="340" t="str">
        <f t="shared" si="245"/>
        <v>1+245.061728792677i</v>
      </c>
      <c r="AN332" s="734">
        <f t="shared" si="246"/>
        <v>245.06376908644731</v>
      </c>
      <c r="AO332" s="735">
        <f t="shared" si="247"/>
        <v>1.5667157449164548</v>
      </c>
      <c r="AP332" s="733" t="str">
        <f t="shared" si="248"/>
        <v>1+11.8858977892317i</v>
      </c>
      <c r="AQ332" s="734">
        <f t="shared" si="249"/>
        <v>11.927890268444919</v>
      </c>
      <c r="AR332" s="735">
        <f t="shared" si="250"/>
        <v>1.4868606816758638</v>
      </c>
      <c r="AS332" s="732" t="str">
        <f t="shared" si="251"/>
        <v>0.00459784835291166-9.58941843481782i</v>
      </c>
      <c r="AT332" s="337">
        <f t="shared" si="252"/>
        <v>9.5894195370853019</v>
      </c>
      <c r="AU332" s="730">
        <f t="shared" si="253"/>
        <v>-1.5703168557996712</v>
      </c>
      <c r="AV332" s="732" t="str">
        <f t="shared" si="254"/>
        <v>-0.571015518383286+0.0751776517201087i</v>
      </c>
      <c r="AW332" s="337">
        <f t="shared" si="255"/>
        <v>-4.792409099514046</v>
      </c>
      <c r="AX332" s="730">
        <f t="shared" si="256"/>
        <v>172.49979952702401</v>
      </c>
      <c r="AY332" s="360">
        <f t="shared" si="257"/>
        <v>-7.5002004729759904</v>
      </c>
      <c r="BB332" s="337">
        <f t="shared" si="258"/>
        <v>-20.364153611478098</v>
      </c>
      <c r="BC332" s="730">
        <f t="shared" si="259"/>
        <v>-89.972528335574651</v>
      </c>
      <c r="BD332" s="351"/>
      <c r="BE332" s="337">
        <f t="shared" si="220"/>
        <v>35.393127782846577</v>
      </c>
      <c r="BF332" s="730">
        <f t="shared" si="221"/>
        <v>-88.719263629847958</v>
      </c>
      <c r="BI332" s="351"/>
      <c r="BJ332" s="351"/>
      <c r="BL332" s="405">
        <f t="shared" si="222"/>
        <v>0</v>
      </c>
      <c r="BM332" s="405">
        <f t="shared" si="260"/>
        <v>0</v>
      </c>
      <c r="BN332" s="405">
        <f t="shared" si="223"/>
        <v>0</v>
      </c>
      <c r="BO332" s="405">
        <f t="shared" si="224"/>
        <v>0</v>
      </c>
    </row>
    <row r="333" spans="4:67" ht="13.5" thickBot="1" x14ac:dyDescent="0.25">
      <c r="D333" s="345">
        <v>24547</v>
      </c>
      <c r="E333" s="340" t="str">
        <f t="shared" ref="E333:E396" si="261">COMPLEX(0,2*PI()*D333*L)</f>
        <v>0.407176043301291i</v>
      </c>
      <c r="F333" s="728" t="str">
        <f t="shared" si="225"/>
        <v>0.005-0.106289869545606i</v>
      </c>
      <c r="G333" s="337" t="str">
        <f t="shared" si="226"/>
        <v>0.005-0.166248257494409i</v>
      </c>
      <c r="H333" s="338" t="str">
        <f t="shared" si="227"/>
        <v>0.0270103365295827-0.16189218982468i</v>
      </c>
      <c r="I333" s="338" t="str">
        <f t="shared" si="228"/>
        <v>0.0370103365295827-0.16189218982468i</v>
      </c>
      <c r="J333" s="337" t="str">
        <f t="shared" si="229"/>
        <v>0.00755830746214321-0.0646574761006171i</v>
      </c>
      <c r="K333" s="338" t="str">
        <f t="shared" ref="K333:K396" si="262">IMSUM(COMPLEX(1,0),COMPLEX(0,2*PI()*D333/(Fsw*PI()*(-2)/PI())),IMPRODUCT(COMPLEX(0,2*PI()*D333/(Fsw*PI())),COMPLEX(0,2*PI()*D333/(Fsw*PI()))))</f>
        <v>0.993304942122222-0.128527791446114i</v>
      </c>
      <c r="L333" s="732"/>
      <c r="M333" s="732" t="str">
        <f t="shared" ref="M333:M396" si="263">IF(Vin&gt;=Vout,IMDIV(COMPLEX(Vin,0),IMSUM(E333,J333)),IMDIV(IMSUM(COMPLEX(Vout,0),IMPRODUCT(J333,COMPLEX($B$4,0))),IMSUM(E333,IMPRODUCT(J333,COMPLEX((1-$B$11)^2,0)))))</f>
        <v>1.28787847994259-58.3625757337787i</v>
      </c>
      <c r="N333" s="337">
        <f t="shared" ref="N333:N396" si="264">IF(Vin&gt;=Vout,0,IMSUB(IMPRODUCT(M333,COMPLEX(1-$B$11,0)),COMPLEX($B$4/(1-$B$11),0)))</f>
        <v>0</v>
      </c>
      <c r="O333" s="730" t="str">
        <f t="shared" ref="O333:O396" si="265">IMDIV(IF(Vin&gt;=Vout,M333,N333),IMPRODUCT(I333,IMSUM(IMDIV(COMPLEX(1,0),F333),IMDIV(COMPLEX(1,0),I333))))</f>
        <v>-1.9727406137144-22.7980786111411i</v>
      </c>
      <c r="P333" s="731" t="str">
        <f t="shared" ref="P333:P396" si="266">IF(Vin&gt;=Vout,IMDIV(IMPRODUCT(COMPLEX(Vin,0),J333),IMSUM(J333,E333)),IMPRODUCT(N333,J333))</f>
        <v>-3.76384266415196-0.524393263715904i</v>
      </c>
      <c r="Q333" s="729" t="str">
        <f t="shared" ref="Q333:Q396" si="267">IF(Vin&gt;=Vout,IMDIV(IMPRODUCT(P333,H333),IMSUM(COMPLEX($B$15,0),H333)),IMPRODUCT(O333,H333))</f>
        <v>-3.74411525801482-0.296412477604493i</v>
      </c>
      <c r="R333" s="730"/>
      <c r="S333" s="405" t="str">
        <f t="shared" si="230"/>
        <v>39.7699610842972-3.49489277443205i</v>
      </c>
      <c r="T333" s="405" t="str">
        <f t="shared" si="231"/>
        <v>15.349878682307-3.04821084117357i</v>
      </c>
      <c r="U333" s="405" t="str">
        <f t="shared" si="232"/>
        <v>-0.0788761392275423-2.56735867405507i</v>
      </c>
      <c r="V333" s="731" t="str">
        <f t="shared" ref="V333:V396" si="268">COMPLEX(AEA,0)</f>
        <v>6000</v>
      </c>
      <c r="W333" s="733" t="str">
        <f>IMSUM(COMPLEX(1,0),IMDIV(COMPLEX(0,2*PI()*D333),COMPLEX(2*PI()*'Stability Calculations'!EA_Pole1,0)))</f>
        <v>1+155775.68323269i</v>
      </c>
      <c r="X333" s="734">
        <f t="shared" si="233"/>
        <v>155775.68323589975</v>
      </c>
      <c r="Y333" s="735">
        <f t="shared" si="234"/>
        <v>1.5707899073077261</v>
      </c>
      <c r="Z333" s="340" t="str">
        <f>IMSUM(COMPLEX(1,0),IMDIV(COMPLEX(0,2*PI()*D333),COMPLEX(2*PI()*'Stability Calculations'!EA_Zero1,0)))</f>
        <v>1+1542.33349735337i</v>
      </c>
      <c r="AA333" s="734">
        <f t="shared" si="235"/>
        <v>1542.3338215374379</v>
      </c>
      <c r="AB333" s="735">
        <f t="shared" si="236"/>
        <v>1.5701479586815223</v>
      </c>
      <c r="AC333" s="733" t="str">
        <f>IMSUM(COMPLEX(1,0),IMDIV(COMPLEX(0,2*PI()*D333),COMPLEX(2*PI()*'Stability Calculations'!EA_Pole2,0)))</f>
        <v>1+15.5366288196876i</v>
      </c>
      <c r="AD333" s="734">
        <f t="shared" si="237"/>
        <v>15.568777571818131</v>
      </c>
      <c r="AE333" s="735">
        <f t="shared" si="238"/>
        <v>1.5065209602033536</v>
      </c>
      <c r="AF333" s="732" t="str">
        <f t="shared" si="239"/>
        <v>0.242642892154426-3.80798811848718i</v>
      </c>
      <c r="AG333" s="337">
        <f t="shared" si="240"/>
        <v>3.8157108228549759</v>
      </c>
      <c r="AH333" s="730">
        <f t="shared" si="241"/>
        <v>-1.5071629088295571</v>
      </c>
      <c r="AI333" s="731" t="str">
        <f t="shared" ref="AI333:AI396" si="269">COMPLEX(AIL,0)</f>
        <v>10000</v>
      </c>
      <c r="AJ333" s="733" t="str">
        <f t="shared" si="242"/>
        <v>1+145225.813644094i</v>
      </c>
      <c r="AK333" s="734">
        <f t="shared" si="243"/>
        <v>145225.81364753691</v>
      </c>
      <c r="AL333" s="735">
        <f t="shared" si="244"/>
        <v>1.5707894409667171</v>
      </c>
      <c r="AM333" s="340" t="str">
        <f t="shared" si="245"/>
        <v>1+246.464892877068i</v>
      </c>
      <c r="AN333" s="734">
        <f t="shared" si="246"/>
        <v>246.46692155521521</v>
      </c>
      <c r="AO333" s="735">
        <f t="shared" si="247"/>
        <v>1.5667389760665404</v>
      </c>
      <c r="AP333" s="733" t="str">
        <f t="shared" si="248"/>
        <v>1+11.9539535602032i</v>
      </c>
      <c r="AQ333" s="734">
        <f t="shared" si="249"/>
        <v>11.995707804022851</v>
      </c>
      <c r="AR333" s="735">
        <f t="shared" si="250"/>
        <v>1.487336318489447</v>
      </c>
      <c r="AS333" s="732" t="str">
        <f t="shared" si="251"/>
        <v>0.0045456448173539-9.53482436567089i</v>
      </c>
      <c r="AT333" s="337">
        <f t="shared" si="252"/>
        <v>9.5348254492191984</v>
      </c>
      <c r="AU333" s="730">
        <f t="shared" si="253"/>
        <v>-1.5703195855043766</v>
      </c>
      <c r="AV333" s="732" t="str">
        <f t="shared" si="254"/>
        <v>-0.56441908184414+0.0748940672910159i</v>
      </c>
      <c r="AW333" s="337">
        <f t="shared" si="255"/>
        <v>-4.8921643293853103</v>
      </c>
      <c r="AX333" s="730">
        <f t="shared" si="256"/>
        <v>172.44144650056225</v>
      </c>
      <c r="AY333" s="360">
        <f t="shared" si="257"/>
        <v>-7.5585534994377497</v>
      </c>
      <c r="BB333" s="337">
        <f t="shared" si="258"/>
        <v>-20.413745060507999</v>
      </c>
      <c r="BC333" s="730">
        <f t="shared" si="259"/>
        <v>-89.972684736133587</v>
      </c>
      <c r="BD333" s="351"/>
      <c r="BE333" s="337">
        <f t="shared" ref="BE333:BE396" si="270">20*LOG10(IMABS(M333))</f>
        <v>35.324803275185999</v>
      </c>
      <c r="BF333" s="730">
        <f t="shared" ref="BF333:BF396" si="271">180/PI()*IMARGUMENT(IMPRODUCT(COMPLEX(1,0),M333))</f>
        <v>-88.735867518758241</v>
      </c>
      <c r="BI333" s="351"/>
      <c r="BJ333" s="351"/>
      <c r="BL333" s="405">
        <f t="shared" ref="BL333:BL396" si="272">SUM((AW334&lt;0)*(AW333&gt;0))*D333</f>
        <v>0</v>
      </c>
      <c r="BM333" s="405">
        <f t="shared" si="260"/>
        <v>0</v>
      </c>
      <c r="BN333" s="405">
        <f t="shared" ref="BN333:BN396" si="273">SUM((BB334&lt;0)*(BB333&gt;0))*D333</f>
        <v>0</v>
      </c>
      <c r="BO333" s="405">
        <f t="shared" ref="BO333:BO396" si="274">IF(BN333&gt;0,BC333,0)</f>
        <v>0</v>
      </c>
    </row>
    <row r="334" spans="4:67" ht="13.5" thickBot="1" x14ac:dyDescent="0.25">
      <c r="D334" s="345">
        <v>24690</v>
      </c>
      <c r="E334" s="340" t="str">
        <f t="shared" si="261"/>
        <v>0.409548071418457i</v>
      </c>
      <c r="F334" s="728" t="str">
        <f t="shared" ref="F334:F397" si="275">IMSUM(COMPLEX($B$8,0),IMDIV(COMPLEX(1,0),COMPLEX(0,2*PI()*D334*$B$6)))</f>
        <v>0.005-0.105674257907493i</v>
      </c>
      <c r="G334" s="337" t="str">
        <f t="shared" ref="G334:G397" si="276">IMSUM(COMPLEX($B$9,0),IMDIV(COMPLEX(1,0),COMPLEX(0,2*PI()*D334*$B$7)))</f>
        <v>0.005-0.165285377752745i</v>
      </c>
      <c r="H334" s="338" t="str">
        <f t="shared" ref="H334:H397" si="277">IMDIV(COMPLEX(1,0),IMSUM(IMDIV(COMPLEX(1,0),COMPLEX($B$5,0)), IMDIV(COMPLEX(1,0),G334)))</f>
        <v>0.0267604528146831-0.160988347650911i</v>
      </c>
      <c r="I334" s="338" t="str">
        <f t="shared" ref="I334:I397" si="278">IMSUM(H334,COMPLEX($B$15,0))</f>
        <v>0.0367604528146831-0.160988347650911i</v>
      </c>
      <c r="J334" s="337" t="str">
        <f t="shared" ref="J334:J397" si="279">IMDIV(COMPLEX(1,0),IMSUM(IMDIV(COMPLEX(1,0),F334),IMDIV(COMPLEX(1,0),IMSUM(COMPLEX($B$15,0),H334))))</f>
        <v>0.00751881972829452-0.0642853960954832i</v>
      </c>
      <c r="K334" s="338" t="str">
        <f t="shared" si="262"/>
        <v>0.99322671-0.12927653769522i</v>
      </c>
      <c r="L334" s="732"/>
      <c r="M334" s="732" t="str">
        <f t="shared" si="263"/>
        <v>1.26088214029072-57.8994518761361i</v>
      </c>
      <c r="N334" s="337">
        <f t="shared" si="264"/>
        <v>0</v>
      </c>
      <c r="O334" s="730" t="str">
        <f t="shared" si="265"/>
        <v>-1.95624832880495-22.6146570903814i</v>
      </c>
      <c r="P334" s="731" t="str">
        <f t="shared" si="266"/>
        <v>-3.71260885205729-0.516391848842039i</v>
      </c>
      <c r="Q334" s="729" t="str">
        <f t="shared" si="267"/>
        <v>-3.69304636876924-0.290245277938227i</v>
      </c>
      <c r="R334" s="730"/>
      <c r="S334" s="405" t="str">
        <f t="shared" ref="S334:S397" si="280">IMDIV(IMPRODUCT(COMPLEX($B$34,0),M334),IMSUM(COMPLEX(1,0),IMPRODUCT(M334,COMPLEX($B$29,0),K334,COMPLEX($B$34,0))))</f>
        <v>39.7671339337583-3.53420176041866i</v>
      </c>
      <c r="T334" s="405" t="str">
        <f t="shared" ref="T334:T397" si="281">IMDIV(IMPRODUCT(COMPLEX($B$34,0),O334),IMSUM(COMPLEX(1,0),IMPRODUCT(M334,COMPLEX($B$29,0),K334,COMPLEX($B$34,0))))</f>
        <v>15.3464366018609-3.05821890000895i</v>
      </c>
      <c r="U334" s="405" t="str">
        <f t="shared" ref="U334:U397" si="282">IMDIV(IMPRODUCT(COMPLEX($B$34,0),Q334),IMSUM(COMPLEX(1,0),IMPRODUCT(M334,COMPLEX($B$29,0),K334,COMPLEX($B$34,0))))</f>
        <v>-0.0816600149096033-2.55243679343371i</v>
      </c>
      <c r="V334" s="731" t="str">
        <f t="shared" si="268"/>
        <v>6000</v>
      </c>
      <c r="W334" s="733" t="str">
        <f>IMSUM(COMPLEX(1,0),IMDIV(COMPLEX(0,2*PI()*D334),COMPLEX(2*PI()*'Stability Calculations'!EA_Pole1,0)))</f>
        <v>1+156683.163686607i</v>
      </c>
      <c r="X334" s="734">
        <f t="shared" ref="X334:X397" si="283">IMABS(W334)</f>
        <v>156683.16368979815</v>
      </c>
      <c r="Y334" s="735">
        <f t="shared" ref="Y334:Y397" si="284">IMARGUMENT(W334)</f>
        <v>1.5707899444882309</v>
      </c>
      <c r="Z334" s="340" t="str">
        <f>IMSUM(COMPLEX(1,0),IMDIV(COMPLEX(0,2*PI()*D334),COMPLEX(2*PI()*'Stability Calculations'!EA_Zero1,0)))</f>
        <v>1+1551.31845234264i</v>
      </c>
      <c r="AA334" s="734">
        <f t="shared" ref="AA334:AA397" si="285">IMABS(Z334)</f>
        <v>1551.3187746490933</v>
      </c>
      <c r="AB334" s="735">
        <f t="shared" ref="AB334:AB397" si="286">IMARGUMENT(Z334)</f>
        <v>1.5701517139109453</v>
      </c>
      <c r="AC334" s="733" t="str">
        <f>IMSUM(COMPLEX(1,0),IMDIV(COMPLEX(0,2*PI()*D334),COMPLEX(2*PI()*'Stability Calculations'!EA_Pole2,0)))</f>
        <v>1+15.6271383695803i</v>
      </c>
      <c r="AD334" s="734">
        <f t="shared" ref="AD334:AD397" si="287">IMABS(AC334)</f>
        <v>15.659101303140254</v>
      </c>
      <c r="AE334" s="735">
        <f t="shared" ref="AE334:AE397" si="288">IMARGUMENT(AC334)</f>
        <v>1.5068922158496587</v>
      </c>
      <c r="AF334" s="732" t="str">
        <f t="shared" ref="AF334:AF397" si="289">IMPRODUCT(V334,IMDIV(Z334,IMPRODUCT(W334,AC334)))</f>
        <v>0.239851773722931-3.78611154921952i</v>
      </c>
      <c r="AG334" s="337">
        <f t="shared" ref="AG334:AG397" si="290">IMABS(AF334)</f>
        <v>3.7937012977422815</v>
      </c>
      <c r="AH334" s="730">
        <f t="shared" ref="AH334:AH397" si="291">IMARGUMENT(AF334)</f>
        <v>-1.5075304464269443</v>
      </c>
      <c r="AI334" s="731" t="str">
        <f t="shared" si="269"/>
        <v>10000</v>
      </c>
      <c r="AJ334" s="733" t="str">
        <f t="shared" ref="AJ334:AJ397" si="292">IMSUM(COMPLEX(1,0),IMDIV(COMPLEX(0,2*PI()*D334),COMPLEX(2*PI()*IL_Pole1,0)))</f>
        <v>1+146071.835208893i</v>
      </c>
      <c r="AK334" s="734">
        <f t="shared" ref="AK334:AK397" si="293">IMABS(AJ334)</f>
        <v>146071.83521231596</v>
      </c>
      <c r="AL334" s="735">
        <f t="shared" ref="AL334:AL397" si="294">IMARGUMENT(AJ334)</f>
        <v>1.5707894808481844</v>
      </c>
      <c r="AM334" s="340" t="str">
        <f t="shared" ref="AM334:AM397" si="295">IMSUM(COMPLEX(1,0),IMDIV(COMPLEX(0,2*PI()*D334),COMPLEX(2*PI()*IL_Zero1,0)))</f>
        <v>1+247.900688684354i</v>
      </c>
      <c r="AN334" s="734">
        <f t="shared" ref="AN334:AN397" si="296">IMABS(AM334)</f>
        <v>247.90270561286135</v>
      </c>
      <c r="AO334" s="735">
        <f t="shared" ref="AO334:AO397" si="297">IMARGUMENT(AM334)</f>
        <v>1.5667624752500899</v>
      </c>
      <c r="AP334" s="733" t="str">
        <f t="shared" ref="AP334:AP397" si="298">IMSUM(COMPLEX(1,0),IMDIV(COMPLEX(0,2*PI()*D334),COMPLEX(2*PI()*IL_Pole2,0)))</f>
        <v>1+12.0235920235229i</v>
      </c>
      <c r="AQ334" s="734">
        <f t="shared" ref="AQ334:AQ397" si="299">IMABS(AP334)</f>
        <v>12.065105268837215</v>
      </c>
      <c r="AR334" s="735">
        <f t="shared" ref="AR334:AR397" si="300">IMARGUMENT(AP334)</f>
        <v>1.4878174814649756</v>
      </c>
      <c r="AS334" s="732" t="str">
        <f t="shared" ref="AS334:AS397" si="301">_xlfn.SWITCH(IMONLIM_select,0,COMPLEX(1,0),1,IMPRODUCT(gm_IL,IMDIV(COMPLEX(1,0),IMSUM(COMPLEX(1/20000000,0),COMPLEX(0,2*PI()*D334*CISET),COMPLEX(1/RISET,0)))),2,IMPRODUCT(gm_IL,IMDIV(COMPLEX(1,0),IMSUM(COMPLEX(1/20000000,0),COMPLEX(0,2*PI()*D334*CcIL)))),3,IMPRODUCT(AI334,IMDIV(AM334,IMPRODUCT(AJ334,AP334))))</f>
        <v>0.00449314221359133-9.47960041792372i</v>
      </c>
      <c r="AT334" s="337">
        <f t="shared" ref="AT334:AT397" si="302">IMABS(AS334)</f>
        <v>9.4796014827537185</v>
      </c>
      <c r="AU334" s="730">
        <f t="shared" ref="AU334:AU397" si="303">IMARGUMENT(AS334)</f>
        <v>-1.5703223467030119</v>
      </c>
      <c r="AV334" s="732" t="str">
        <f t="shared" ref="AV334:AV397" si="304">IMPRODUCT(T334,AS334,COMPLEX($B$15,0),IMPRODUCT(COMPLEX(0.1,0),AF334))</f>
        <v>-0.557785220194978+0.0746044587502917i</v>
      </c>
      <c r="AW334" s="337">
        <f t="shared" ref="AW334:AW397" si="305">20*LOG10(IMABS(AV334))</f>
        <v>-4.9936540705097157</v>
      </c>
      <c r="AX334" s="730">
        <f t="shared" ref="AX334:AX397" si="306">(180/PI())*IMARGUMENT(AV334)</f>
        <v>172.38183248929721</v>
      </c>
      <c r="AY334" s="360">
        <f t="shared" ref="AY334:AY397" si="307">IF(AX334&gt;0,AX334-180,AX334+180)</f>
        <v>-7.61816751070279</v>
      </c>
      <c r="BB334" s="337">
        <f t="shared" ref="BB334:BB397" si="308">20*LOG10(IMPRODUCT(COMPLEX($B$15,0),IMABS(AS334)))</f>
        <v>-20.464198395599258</v>
      </c>
      <c r="BC334" s="730">
        <f t="shared" ref="BC334:BC397" si="309">(180/PI())*IMARGUMENT(AS334)</f>
        <v>-89.972842941161787</v>
      </c>
      <c r="BD334" s="351"/>
      <c r="BE334" s="337">
        <f t="shared" si="270"/>
        <v>35.255548166096581</v>
      </c>
      <c r="BF334" s="730">
        <f t="shared" si="271"/>
        <v>-88.752461279838982</v>
      </c>
      <c r="BI334" s="351"/>
      <c r="BJ334" s="351"/>
      <c r="BL334" s="405">
        <f t="shared" si="272"/>
        <v>0</v>
      </c>
      <c r="BM334" s="405">
        <f t="shared" si="260"/>
        <v>0</v>
      </c>
      <c r="BN334" s="405">
        <f t="shared" si="273"/>
        <v>0</v>
      </c>
      <c r="BO334" s="405">
        <f t="shared" si="274"/>
        <v>0</v>
      </c>
    </row>
    <row r="335" spans="4:67" ht="13.5" thickBot="1" x14ac:dyDescent="0.25">
      <c r="D335" s="345">
        <v>24833</v>
      </c>
      <c r="E335" s="340" t="str">
        <f t="shared" si="261"/>
        <v>0.411920099535623i</v>
      </c>
      <c r="F335" s="728" t="str">
        <f t="shared" si="275"/>
        <v>0.005-0.105065736227439i</v>
      </c>
      <c r="G335" s="337" t="str">
        <f t="shared" si="276"/>
        <v>0.005-0.164333587432661i</v>
      </c>
      <c r="H335" s="338" t="str">
        <f t="shared" si="277"/>
        <v>0.0265147712006532-0.160094349717635i</v>
      </c>
      <c r="I335" s="338" t="str">
        <f t="shared" si="278"/>
        <v>0.0365147712006532-0.160094349717635i</v>
      </c>
      <c r="J335" s="337" t="str">
        <f t="shared" si="279"/>
        <v>0.0074800091581019-0.0639175676508918i</v>
      </c>
      <c r="K335" s="338" t="str">
        <f t="shared" si="262"/>
        <v>0.993148023455556-0.130025283944326i</v>
      </c>
      <c r="L335" s="732"/>
      <c r="M335" s="732" t="str">
        <f t="shared" si="263"/>
        <v>1.23471499192987-57.4443071212317i</v>
      </c>
      <c r="N335" s="337">
        <f t="shared" si="264"/>
        <v>0</v>
      </c>
      <c r="O335" s="730" t="str">
        <f t="shared" si="265"/>
        <v>-1.94000740630326-22.4344318640765i</v>
      </c>
      <c r="P335" s="731" t="str">
        <f t="shared" si="266"/>
        <v>-3.66246470713266-0.50860392237388i</v>
      </c>
      <c r="Q335" s="729" t="str">
        <f t="shared" si="267"/>
        <v>-3.64306463306963-0.284259603733116i</v>
      </c>
      <c r="R335" s="730"/>
      <c r="S335" s="405" t="str">
        <f t="shared" si="280"/>
        <v>39.7642492245535-3.57340126644234i</v>
      </c>
      <c r="T335" s="405" t="str">
        <f t="shared" si="281"/>
        <v>15.3429909016191-3.06826550718123i</v>
      </c>
      <c r="U335" s="405" t="str">
        <f t="shared" si="282"/>
        <v>-0.0843960778430953-2.53768050902408i</v>
      </c>
      <c r="V335" s="731" t="str">
        <f t="shared" si="268"/>
        <v>6000</v>
      </c>
      <c r="W335" s="733" t="str">
        <f>IMSUM(COMPLEX(1,0),IMDIV(COMPLEX(0,2*PI()*D335),COMPLEX(2*PI()*'Stability Calculations'!EA_Pole1,0)))</f>
        <v>1+157590.644140523i</v>
      </c>
      <c r="X335" s="734">
        <f t="shared" si="283"/>
        <v>157590.6441436958</v>
      </c>
      <c r="Y335" s="735">
        <f t="shared" si="284"/>
        <v>1.5707899812405306</v>
      </c>
      <c r="Z335" s="340" t="str">
        <f>IMSUM(COMPLEX(1,0),IMDIV(COMPLEX(0,2*PI()*D335),COMPLEX(2*PI()*'Stability Calculations'!EA_Zero1,0)))</f>
        <v>1+1560.30340733191i</v>
      </c>
      <c r="AA335" s="734">
        <f t="shared" si="285"/>
        <v>1560.3037277823728</v>
      </c>
      <c r="AB335" s="735">
        <f t="shared" si="286"/>
        <v>1.5701554258916601</v>
      </c>
      <c r="AC335" s="733" t="str">
        <f>IMSUM(COMPLEX(1,0),IMDIV(COMPLEX(0,2*PI()*D335),COMPLEX(2*PI()*'Stability Calculations'!EA_Pole2,0)))</f>
        <v>1+15.717647919473i</v>
      </c>
      <c r="AD335" s="734">
        <f t="shared" si="287"/>
        <v>15.749427168011984</v>
      </c>
      <c r="AE335" s="735">
        <f t="shared" si="288"/>
        <v>1.5072592131070777</v>
      </c>
      <c r="AF335" s="732" t="str">
        <f t="shared" si="289"/>
        <v>0.237108474821014-3.76448388852997i</v>
      </c>
      <c r="AG335" s="337">
        <f t="shared" si="290"/>
        <v>3.7719437132377345</v>
      </c>
      <c r="AH335" s="730">
        <f t="shared" si="291"/>
        <v>-1.5078937684559481</v>
      </c>
      <c r="AI335" s="731" t="str">
        <f t="shared" si="269"/>
        <v>10000</v>
      </c>
      <c r="AJ335" s="733" t="str">
        <f t="shared" si="292"/>
        <v>1+146917.856773692i</v>
      </c>
      <c r="AK335" s="734">
        <f t="shared" si="293"/>
        <v>146917.85677709526</v>
      </c>
      <c r="AL335" s="735">
        <f t="shared" si="294"/>
        <v>1.5707895202703397</v>
      </c>
      <c r="AM335" s="340" t="str">
        <f t="shared" si="295"/>
        <v>1+249.336484491639i</v>
      </c>
      <c r="AN335" s="734">
        <f t="shared" si="296"/>
        <v>249.33848980582468</v>
      </c>
      <c r="AO335" s="735">
        <f t="shared" si="297"/>
        <v>1.5667857037994928</v>
      </c>
      <c r="AP335" s="733" t="str">
        <f t="shared" si="298"/>
        <v>1+12.0932304868427i</v>
      </c>
      <c r="AQ335" s="734">
        <f t="shared" si="299"/>
        <v>12.134505494988321</v>
      </c>
      <c r="AR335" s="735">
        <f t="shared" si="300"/>
        <v>1.4882931407704068</v>
      </c>
      <c r="AS335" s="732" t="str">
        <f t="shared" si="301"/>
        <v>0.00444154399902123-9.4250124802629i</v>
      </c>
      <c r="AT335" s="337">
        <f t="shared" si="302"/>
        <v>9.4250135268032658</v>
      </c>
      <c r="AU335" s="730">
        <f t="shared" si="303"/>
        <v>-1.570325076101114</v>
      </c>
      <c r="AV335" s="732" t="str">
        <f t="shared" si="304"/>
        <v>-0.551265988180296+0.0743154821041243i</v>
      </c>
      <c r="AW335" s="337">
        <f t="shared" si="305"/>
        <v>-5.094558561809639</v>
      </c>
      <c r="AX335" s="730">
        <f t="shared" si="306"/>
        <v>172.32231385005292</v>
      </c>
      <c r="AY335" s="360">
        <f t="shared" si="307"/>
        <v>-7.6776861499470783</v>
      </c>
      <c r="BB335" s="337">
        <f t="shared" si="308"/>
        <v>-20.514360356423648</v>
      </c>
      <c r="BC335" s="730">
        <f t="shared" si="309"/>
        <v>-89.972999324153648</v>
      </c>
      <c r="BD335" s="351"/>
      <c r="BE335" s="337">
        <f t="shared" si="270"/>
        <v>35.186945874612682</v>
      </c>
      <c r="BF335" s="730">
        <f t="shared" si="271"/>
        <v>-88.768667079532122</v>
      </c>
      <c r="BI335" s="351"/>
      <c r="BJ335" s="351"/>
      <c r="BL335" s="405">
        <f t="shared" si="272"/>
        <v>0</v>
      </c>
      <c r="BM335" s="405">
        <f t="shared" si="260"/>
        <v>0</v>
      </c>
      <c r="BN335" s="405">
        <f t="shared" si="273"/>
        <v>0</v>
      </c>
      <c r="BO335" s="405">
        <f t="shared" si="274"/>
        <v>0</v>
      </c>
    </row>
    <row r="336" spans="4:67" ht="13.5" thickBot="1" x14ac:dyDescent="0.25">
      <c r="D336" s="345">
        <v>24976</v>
      </c>
      <c r="E336" s="340" t="str">
        <f t="shared" si="261"/>
        <v>0.41429212765279i</v>
      </c>
      <c r="F336" s="728" t="str">
        <f t="shared" si="275"/>
        <v>0.005-0.104464182724855i</v>
      </c>
      <c r="G336" s="337" t="str">
        <f t="shared" si="276"/>
        <v>0.005-0.163392696056825i</v>
      </c>
      <c r="H336" s="338" t="str">
        <f t="shared" si="277"/>
        <v>0.0262731985609945-0.15921003939063i</v>
      </c>
      <c r="I336" s="338" t="str">
        <f t="shared" si="278"/>
        <v>0.0362731985609945-0.15921003939063i</v>
      </c>
      <c r="J336" s="337" t="str">
        <f t="shared" si="279"/>
        <v>0.00744186035482977-0.0635539185414861i</v>
      </c>
      <c r="K336" s="338" t="str">
        <f t="shared" si="262"/>
        <v>0.993068882488889-0.130774030193431i</v>
      </c>
      <c r="L336" s="732"/>
      <c r="M336" s="732" t="str">
        <f t="shared" si="263"/>
        <v>1.2093440723499-56.9969273691212i</v>
      </c>
      <c r="N336" s="337">
        <f t="shared" si="264"/>
        <v>0</v>
      </c>
      <c r="O336" s="730" t="str">
        <f t="shared" si="265"/>
        <v>-1.92401383020663-22.2573161045026i</v>
      </c>
      <c r="P336" s="731" t="str">
        <f t="shared" si="266"/>
        <v>-3.61337830942475-0.501021728798128i</v>
      </c>
      <c r="Q336" s="729" t="str">
        <f t="shared" si="267"/>
        <v>-3.59413817112268-0.278448567753105i</v>
      </c>
      <c r="R336" s="730"/>
      <c r="S336" s="405" t="str">
        <f t="shared" si="280"/>
        <v>39.7613076422752-3.61249302974989i</v>
      </c>
      <c r="T336" s="405" t="str">
        <f t="shared" si="281"/>
        <v>15.3395413132739-3.07834994898556i</v>
      </c>
      <c r="U336" s="405" t="str">
        <f t="shared" si="282"/>
        <v>-0.0870854018779105-2.52308707617047i</v>
      </c>
      <c r="V336" s="731" t="str">
        <f t="shared" si="268"/>
        <v>6000</v>
      </c>
      <c r="W336" s="733" t="str">
        <f>IMSUM(COMPLEX(1,0),IMDIV(COMPLEX(0,2*PI()*D336),COMPLEX(2*PI()*'Stability Calculations'!EA_Pole1,0)))</f>
        <v>1+158498.124594438i</v>
      </c>
      <c r="X336" s="734">
        <f t="shared" si="283"/>
        <v>158498.12459759263</v>
      </c>
      <c r="Y336" s="735">
        <f t="shared" si="284"/>
        <v>1.5707900175719796</v>
      </c>
      <c r="Z336" s="340" t="str">
        <f>IMSUM(COMPLEX(1,0),IMDIV(COMPLEX(0,2*PI()*D336),COMPLEX(2*PI()*'Stability Calculations'!EA_Zero1,0)))</f>
        <v>1+1569.28836232117i</v>
      </c>
      <c r="AA336" s="734">
        <f t="shared" si="285"/>
        <v>1569.2886809368952</v>
      </c>
      <c r="AB336" s="735">
        <f t="shared" si="286"/>
        <v>1.5701590953665272</v>
      </c>
      <c r="AC336" s="733" t="str">
        <f>IMSUM(COMPLEX(1,0),IMDIV(COMPLEX(0,2*PI()*D336),COMPLEX(2*PI()*'Stability Calculations'!EA_Pole2,0)))</f>
        <v>1+15.8081574693656i</v>
      </c>
      <c r="AD336" s="734">
        <f t="shared" si="287"/>
        <v>15.839755129933652</v>
      </c>
      <c r="AE336" s="735">
        <f t="shared" si="288"/>
        <v>1.5076220247277006</v>
      </c>
      <c r="AF336" s="732" t="str">
        <f t="shared" si="289"/>
        <v>0.234411910727911-3.74310092966068i</v>
      </c>
      <c r="AG336" s="337">
        <f t="shared" si="290"/>
        <v>3.7504337767140692</v>
      </c>
      <c r="AH336" s="730">
        <f t="shared" si="291"/>
        <v>-1.5082529469331534</v>
      </c>
      <c r="AI336" s="731" t="str">
        <f t="shared" si="269"/>
        <v>10000</v>
      </c>
      <c r="AJ336" s="733" t="str">
        <f t="shared" si="292"/>
        <v>1+147763.878338489i</v>
      </c>
      <c r="AK336" s="734">
        <f t="shared" si="293"/>
        <v>147763.8783418728</v>
      </c>
      <c r="AL336" s="735">
        <f t="shared" si="294"/>
        <v>1.5707895592410721</v>
      </c>
      <c r="AM336" s="340" t="str">
        <f t="shared" si="295"/>
        <v>1+250.772280298923i</v>
      </c>
      <c r="AN336" s="734">
        <f t="shared" si="296"/>
        <v>250.77427413178091</v>
      </c>
      <c r="AO336" s="735">
        <f t="shared" si="297"/>
        <v>1.5668086663631942</v>
      </c>
      <c r="AP336" s="733" t="str">
        <f t="shared" si="298"/>
        <v>1+12.1628689501623i</v>
      </c>
      <c r="AQ336" s="734">
        <f t="shared" si="299"/>
        <v>12.203908435367014</v>
      </c>
      <c r="AR336" s="735">
        <f t="shared" si="300"/>
        <v>1.4887633900858299</v>
      </c>
      <c r="AS336" s="732" t="str">
        <f t="shared" si="301"/>
        <v>0.00439082952075118-9.37104962827749i</v>
      </c>
      <c r="AT336" s="337">
        <f t="shared" si="302"/>
        <v>9.3710506569446927</v>
      </c>
      <c r="AU336" s="730">
        <f t="shared" si="303"/>
        <v>-1.5703277742449049</v>
      </c>
      <c r="AV336" s="732" t="str">
        <f t="shared" si="304"/>
        <v>-0.544858758530148+0.0740271890738492i</v>
      </c>
      <c r="AW336" s="337">
        <f t="shared" si="305"/>
        <v>-5.1948845927834517</v>
      </c>
      <c r="AX336" s="730">
        <f t="shared" si="306"/>
        <v>172.26288881892245</v>
      </c>
      <c r="AY336" s="360">
        <f t="shared" si="307"/>
        <v>-7.7371111810775517</v>
      </c>
      <c r="BB336" s="337">
        <f t="shared" si="308"/>
        <v>-20.564234289110516</v>
      </c>
      <c r="BC336" s="730">
        <f t="shared" si="309"/>
        <v>-89.97315391640538</v>
      </c>
      <c r="BD336" s="351"/>
      <c r="BE336" s="337">
        <f t="shared" si="270"/>
        <v>35.118983595951121</v>
      </c>
      <c r="BF336" s="730">
        <f t="shared" si="271"/>
        <v>-88.784497351512073</v>
      </c>
      <c r="BI336" s="351"/>
      <c r="BJ336" s="351"/>
      <c r="BL336" s="405">
        <f t="shared" si="272"/>
        <v>0</v>
      </c>
      <c r="BM336" s="405">
        <f t="shared" si="260"/>
        <v>0</v>
      </c>
      <c r="BN336" s="405">
        <f t="shared" si="273"/>
        <v>0</v>
      </c>
      <c r="BO336" s="405">
        <f t="shared" si="274"/>
        <v>0</v>
      </c>
    </row>
    <row r="337" spans="4:67" ht="13.5" thickBot="1" x14ac:dyDescent="0.25">
      <c r="D337" s="345">
        <v>25119</v>
      </c>
      <c r="E337" s="340" t="str">
        <f t="shared" si="261"/>
        <v>0.416664155769956i</v>
      </c>
      <c r="F337" s="728" t="str">
        <f t="shared" si="275"/>
        <v>0.005-0.103869478392292i</v>
      </c>
      <c r="G337" s="337" t="str">
        <f t="shared" si="276"/>
        <v>0.005-0.16246251748538i</v>
      </c>
      <c r="H337" s="338" t="str">
        <f t="shared" si="277"/>
        <v>0.0260356443190844-0.158335263263394i</v>
      </c>
      <c r="I337" s="338" t="str">
        <f t="shared" si="278"/>
        <v>0.0360356443190844-0.158335263263394i</v>
      </c>
      <c r="J337" s="337" t="str">
        <f t="shared" si="279"/>
        <v>0.00740435835639114-0.0631943781640766i</v>
      </c>
      <c r="K337" s="338" t="str">
        <f t="shared" si="262"/>
        <v>0.9929892871-0.131522776442537i</v>
      </c>
      <c r="L337" s="732"/>
      <c r="M337" s="732" t="str">
        <f t="shared" si="263"/>
        <v>1.18473801425905-56.557106269703i</v>
      </c>
      <c r="N337" s="337">
        <f t="shared" si="264"/>
        <v>0</v>
      </c>
      <c r="O337" s="730" t="str">
        <f t="shared" si="265"/>
        <v>-1.9082635966587-22.0832261642477i</v>
      </c>
      <c r="P337" s="731" t="str">
        <f t="shared" si="266"/>
        <v>-3.56531893665746-0.493637864519821i</v>
      </c>
      <c r="Q337" s="729" t="str">
        <f t="shared" si="267"/>
        <v>-3.54623630069087-0.272805602877344i</v>
      </c>
      <c r="R337" s="730"/>
      <c r="S337" s="405" t="str">
        <f t="shared" si="280"/>
        <v>39.7583098533148-3.65147874929195i</v>
      </c>
      <c r="T337" s="405" t="str">
        <f t="shared" si="281"/>
        <v>15.3360875761175-3.08847152682774i</v>
      </c>
      <c r="U337" s="405" t="str">
        <f t="shared" si="282"/>
        <v>-0.0897290309036404-2.50865380995713i</v>
      </c>
      <c r="V337" s="731" t="str">
        <f t="shared" si="268"/>
        <v>6000</v>
      </c>
      <c r="W337" s="733" t="str">
        <f>IMSUM(COMPLEX(1,0),IMDIV(COMPLEX(0,2*PI()*D337),COMPLEX(2*PI()*'Stability Calculations'!EA_Pole1,0)))</f>
        <v>1+159405.605048354i</v>
      </c>
      <c r="X337" s="734">
        <f t="shared" si="283"/>
        <v>159405.60505149062</v>
      </c>
      <c r="Y337" s="735">
        <f t="shared" si="284"/>
        <v>1.5707900534897661</v>
      </c>
      <c r="Z337" s="340" t="str">
        <f>IMSUM(COMPLEX(1,0),IMDIV(COMPLEX(0,2*PI()*D337),COMPLEX(2*PI()*'Stability Calculations'!EA_Zero1,0)))</f>
        <v>1+1578.27331731044i</v>
      </c>
      <c r="AA337" s="734">
        <f t="shared" si="285"/>
        <v>1578.2736341123175</v>
      </c>
      <c r="AB337" s="735">
        <f t="shared" si="286"/>
        <v>1.5701627230614912</v>
      </c>
      <c r="AC337" s="733" t="str">
        <f>IMSUM(COMPLEX(1,0),IMDIV(COMPLEX(0,2*PI()*D337),COMPLEX(2*PI()*'Stability Calculations'!EA_Pole2,0)))</f>
        <v>1+15.8986670192582i</v>
      </c>
      <c r="AD337" s="734">
        <f t="shared" si="287"/>
        <v>15.93008515323281</v>
      </c>
      <c r="AE337" s="735">
        <f t="shared" si="288"/>
        <v>1.5079807218179497</v>
      </c>
      <c r="AF337" s="732" t="str">
        <f t="shared" si="289"/>
        <v>0.231761027265597-3.72195855972731i</v>
      </c>
      <c r="AG337" s="337">
        <f t="shared" si="290"/>
        <v>3.7291672923169585</v>
      </c>
      <c r="AH337" s="730">
        <f t="shared" si="291"/>
        <v>-1.5086080522462249</v>
      </c>
      <c r="AI337" s="731" t="str">
        <f t="shared" si="269"/>
        <v>10000</v>
      </c>
      <c r="AJ337" s="733" t="str">
        <f t="shared" si="292"/>
        <v>1+148609.899903288i</v>
      </c>
      <c r="AK337" s="734">
        <f t="shared" si="293"/>
        <v>148609.89990665251</v>
      </c>
      <c r="AL337" s="735">
        <f t="shared" si="294"/>
        <v>1.5707895977680912</v>
      </c>
      <c r="AM337" s="340" t="str">
        <f t="shared" si="295"/>
        <v>1+252.208076106208i</v>
      </c>
      <c r="AN337" s="734">
        <f t="shared" si="296"/>
        <v>252.21005858846075</v>
      </c>
      <c r="AO337" s="735">
        <f t="shared" si="297"/>
        <v>1.5668313674837895</v>
      </c>
      <c r="AP337" s="733" t="str">
        <f t="shared" si="298"/>
        <v>1+12.2325074134821i</v>
      </c>
      <c r="AQ337" s="734">
        <f t="shared" si="299"/>
        <v>12.273314043928579</v>
      </c>
      <c r="AR337" s="735">
        <f t="shared" si="300"/>
        <v>1.4892283209819905</v>
      </c>
      <c r="AS337" s="732" t="str">
        <f t="shared" si="301"/>
        <v>0.00434097871208484-9.31770118632277i</v>
      </c>
      <c r="AT337" s="337">
        <f t="shared" si="302"/>
        <v>9.3177021975214966</v>
      </c>
      <c r="AU337" s="730">
        <f t="shared" si="303"/>
        <v>-1.5703304416681672</v>
      </c>
      <c r="AV337" s="732" t="str">
        <f t="shared" si="304"/>
        <v>-0.538560978856462+0.0737396283678383i</v>
      </c>
      <c r="AW337" s="337">
        <f t="shared" si="305"/>
        <v>-5.2946388356890681</v>
      </c>
      <c r="AX337" s="730">
        <f t="shared" si="306"/>
        <v>172.20355567514756</v>
      </c>
      <c r="AY337" s="360">
        <f t="shared" si="307"/>
        <v>-7.7964443248524447</v>
      </c>
      <c r="BB337" s="337">
        <f t="shared" si="308"/>
        <v>-20.613823482477795</v>
      </c>
      <c r="BC337" s="730">
        <f t="shared" si="309"/>
        <v>-89.973306748500491</v>
      </c>
      <c r="BD337" s="351"/>
      <c r="BE337" s="337">
        <f t="shared" si="270"/>
        <v>35.051648898044746</v>
      </c>
      <c r="BF337" s="730">
        <f t="shared" si="271"/>
        <v>-88.799964029298295</v>
      </c>
      <c r="BI337" s="351"/>
      <c r="BJ337" s="351"/>
      <c r="BL337" s="405">
        <f t="shared" si="272"/>
        <v>0</v>
      </c>
      <c r="BM337" s="405">
        <f t="shared" si="260"/>
        <v>0</v>
      </c>
      <c r="BN337" s="405">
        <f t="shared" si="273"/>
        <v>0</v>
      </c>
      <c r="BO337" s="405">
        <f t="shared" si="274"/>
        <v>0</v>
      </c>
    </row>
    <row r="338" spans="4:67" ht="13.5" thickBot="1" x14ac:dyDescent="0.25">
      <c r="D338" s="345">
        <v>25265.25</v>
      </c>
      <c r="E338" s="340" t="str">
        <f t="shared" si="261"/>
        <v>0.419090093617058i</v>
      </c>
      <c r="F338" s="728" t="str">
        <f t="shared" si="275"/>
        <v>0.005-0.103268221281641i</v>
      </c>
      <c r="G338" s="337" t="str">
        <f t="shared" si="276"/>
        <v>0.005-0.161522089696926i</v>
      </c>
      <c r="H338" s="338" t="str">
        <f t="shared" si="277"/>
        <v>0.0257967557312838-0.157450310972558i</v>
      </c>
      <c r="I338" s="338" t="str">
        <f t="shared" si="278"/>
        <v>0.0357967557312838-0.157450310972558i</v>
      </c>
      <c r="J338" s="337" t="str">
        <f t="shared" si="279"/>
        <v>0.00736665790874504-0.0628308443490635i</v>
      </c>
      <c r="K338" s="338" t="str">
        <f t="shared" si="262"/>
        <v>0.99290741269375-0.132288539651849i</v>
      </c>
      <c r="L338" s="732"/>
      <c r="M338" s="732" t="str">
        <f t="shared" si="263"/>
        <v>1.16033274746706-56.1149002213009i</v>
      </c>
      <c r="N338" s="337">
        <f t="shared" si="264"/>
        <v>0</v>
      </c>
      <c r="O338" s="730" t="str">
        <f t="shared" si="265"/>
        <v>-1.89240295094494-21.9082253923141i</v>
      </c>
      <c r="P338" s="731" t="str">
        <f t="shared" si="266"/>
        <v>-3.51719878705688-0.486283959762909i</v>
      </c>
      <c r="Q338" s="729" t="str">
        <f t="shared" si="267"/>
        <v>-3.49827475754743-0.267201705839769i</v>
      </c>
      <c r="R338" s="730"/>
      <c r="S338" s="405" t="str">
        <f t="shared" si="280"/>
        <v>39.7551864704996-3.69124255319521i</v>
      </c>
      <c r="T338" s="405" t="str">
        <f t="shared" si="281"/>
        <v>15.332550789609-3.09886083950691i</v>
      </c>
      <c r="U338" s="405" t="str">
        <f t="shared" si="282"/>
        <v>-0.0923865353839988-2.49405544594849i</v>
      </c>
      <c r="V338" s="731" t="str">
        <f t="shared" si="268"/>
        <v>6000</v>
      </c>
      <c r="W338" s="733" t="str">
        <f>IMSUM(COMPLEX(1,0),IMDIV(COMPLEX(0,2*PI()*D338),COMPLEX(2*PI()*'Stability Calculations'!EA_Pole1,0)))</f>
        <v>1+160333.710058041i</v>
      </c>
      <c r="X338" s="734">
        <f t="shared" si="283"/>
        <v>160333.71006115951</v>
      </c>
      <c r="Y338" s="735">
        <f t="shared" si="284"/>
        <v>1.5707900898033142</v>
      </c>
      <c r="Z338" s="340" t="str">
        <f>IMSUM(COMPLEX(1,0),IMDIV(COMPLEX(0,2*PI()*D338),COMPLEX(2*PI()*'Stability Calculations'!EA_Zero1,0)))</f>
        <v>1+1587.46247582219i</v>
      </c>
      <c r="AA338" s="734">
        <f t="shared" si="285"/>
        <v>1587.4627907902336</v>
      </c>
      <c r="AB338" s="735">
        <f t="shared" si="286"/>
        <v>1.5701663907284023</v>
      </c>
      <c r="AC338" s="733" t="str">
        <f>IMSUM(COMPLEX(1,0),IMDIV(COMPLEX(0,2*PI()*D338),COMPLEX(2*PI()*'Stability Calculations'!EA_Pole2,0)))</f>
        <v>1+15.9912336043758i</v>
      </c>
      <c r="AD338" s="734">
        <f t="shared" si="287"/>
        <v>16.022470227456122</v>
      </c>
      <c r="AE338" s="735">
        <f t="shared" si="288"/>
        <v>1.5083433876835695</v>
      </c>
      <c r="AF338" s="732" t="str">
        <f t="shared" si="289"/>
        <v>0.229096078459049-3.70058034362633i</v>
      </c>
      <c r="AG338" s="337">
        <f t="shared" si="290"/>
        <v>3.7076650189571985</v>
      </c>
      <c r="AH338" s="730">
        <f t="shared" si="291"/>
        <v>-1.5089670867584815</v>
      </c>
      <c r="AI338" s="731" t="str">
        <f t="shared" si="269"/>
        <v>10000</v>
      </c>
      <c r="AJ338" s="733" t="str">
        <f t="shared" si="292"/>
        <v>1+149475.149230923i</v>
      </c>
      <c r="AK338" s="734">
        <f t="shared" si="293"/>
        <v>149475.14923426806</v>
      </c>
      <c r="AL338" s="735">
        <f t="shared" si="294"/>
        <v>1.5707896367196224</v>
      </c>
      <c r="AM338" s="340" t="str">
        <f t="shared" si="295"/>
        <v>1+253.676503636386i</v>
      </c>
      <c r="AN338" s="734">
        <f t="shared" si="296"/>
        <v>253.67847464296489</v>
      </c>
      <c r="AO338" s="735">
        <f t="shared" si="297"/>
        <v>1.5668543187419204</v>
      </c>
      <c r="AP338" s="733" t="str">
        <f t="shared" si="298"/>
        <v>1+12.30372856915i</v>
      </c>
      <c r="AQ338" s="734">
        <f t="shared" si="299"/>
        <v>12.344299765613192</v>
      </c>
      <c r="AR338" s="735">
        <f t="shared" si="300"/>
        <v>1.4896984106717135</v>
      </c>
      <c r="AS338" s="732" t="str">
        <f t="shared" si="301"/>
        <v>0.00429086794671849-9.26376492160839i</v>
      </c>
      <c r="AT338" s="337">
        <f t="shared" si="302"/>
        <v>9.2637659153483494</v>
      </c>
      <c r="AU338" s="730">
        <f t="shared" si="303"/>
        <v>-1.5703331384825669</v>
      </c>
      <c r="AV338" s="732" t="str">
        <f t="shared" si="304"/>
        <v>-0.532230693060449+0.073446337433061i</v>
      </c>
      <c r="AW338" s="337">
        <f t="shared" si="305"/>
        <v>-5.3960756256399476</v>
      </c>
      <c r="AX338" s="730">
        <f t="shared" si="306"/>
        <v>172.14296734492882</v>
      </c>
      <c r="AY338" s="360">
        <f t="shared" si="307"/>
        <v>-7.8570326550711798</v>
      </c>
      <c r="BB338" s="337">
        <f t="shared" si="308"/>
        <v>-20.664248551946201</v>
      </c>
      <c r="BC338" s="730">
        <f t="shared" si="309"/>
        <v>-89.973461264583719</v>
      </c>
      <c r="BD338" s="351"/>
      <c r="BE338" s="337">
        <f t="shared" si="270"/>
        <v>34.983420422974262</v>
      </c>
      <c r="BF338" s="730">
        <f t="shared" si="271"/>
        <v>-88.815418077268433</v>
      </c>
      <c r="BI338" s="351"/>
      <c r="BJ338" s="351"/>
      <c r="BL338" s="405">
        <f t="shared" si="272"/>
        <v>0</v>
      </c>
      <c r="BM338" s="405">
        <f t="shared" si="260"/>
        <v>0</v>
      </c>
      <c r="BN338" s="405">
        <f t="shared" si="273"/>
        <v>0</v>
      </c>
      <c r="BO338" s="405">
        <f t="shared" si="274"/>
        <v>0</v>
      </c>
    </row>
    <row r="339" spans="4:67" ht="13.5" thickBot="1" x14ac:dyDescent="0.25">
      <c r="D339" s="345">
        <v>25411.5</v>
      </c>
      <c r="E339" s="340" t="str">
        <f t="shared" si="261"/>
        <v>0.42151603146416i</v>
      </c>
      <c r="F339" s="728" t="str">
        <f t="shared" si="275"/>
        <v>0.005-0.102673884962949i</v>
      </c>
      <c r="G339" s="337" t="str">
        <f t="shared" si="276"/>
        <v>0.005-0.160592486736921i</v>
      </c>
      <c r="H339" s="338" t="str">
        <f t="shared" si="277"/>
        <v>0.0255618864481793-0.156575016605338i</v>
      </c>
      <c r="I339" s="338" t="str">
        <f t="shared" si="278"/>
        <v>0.0355618864481793-0.156575016605338i</v>
      </c>
      <c r="J339" s="337" t="str">
        <f t="shared" si="279"/>
        <v>0.00732960367405866-0.0624714637737385i</v>
      </c>
      <c r="K339" s="338" t="str">
        <f t="shared" si="262"/>
        <v>0.992825062975-0.133054302861162i</v>
      </c>
      <c r="L339" s="732"/>
      <c r="M339" s="732" t="str">
        <f t="shared" si="263"/>
        <v>1.1366658635951-55.6801870539577i</v>
      </c>
      <c r="N339" s="337">
        <f t="shared" si="264"/>
        <v>0</v>
      </c>
      <c r="O339" s="730" t="str">
        <f t="shared" si="265"/>
        <v>-1.87678842834269-21.7362221315857i</v>
      </c>
      <c r="P339" s="731" t="str">
        <f t="shared" si="266"/>
        <v>-3.47009147816632-0.479122883923388i</v>
      </c>
      <c r="Q339" s="729" t="str">
        <f t="shared" si="267"/>
        <v>-3.4513235938829-0.261760662607531i</v>
      </c>
      <c r="R339" s="730"/>
      <c r="S339" s="405" t="str">
        <f t="shared" si="280"/>
        <v>39.7520056482496-3.73089891464246i</v>
      </c>
      <c r="T339" s="405" t="str">
        <f t="shared" si="281"/>
        <v>15.3290091352392-3.10928756403427i</v>
      </c>
      <c r="U339" s="405" t="str">
        <f t="shared" si="282"/>
        <v>-0.0949983610913487-2.47961911554004i</v>
      </c>
      <c r="V339" s="731" t="str">
        <f t="shared" si="268"/>
        <v>6000</v>
      </c>
      <c r="W339" s="733" t="str">
        <f>IMSUM(COMPLEX(1,0),IMDIV(COMPLEX(0,2*PI()*D339),COMPLEX(2*PI()*'Stability Calculations'!EA_Pole1,0)))</f>
        <v>1+161261.815067728i</v>
      </c>
      <c r="X339" s="734">
        <f t="shared" si="283"/>
        <v>161261.81507082854</v>
      </c>
      <c r="Y339" s="735">
        <f t="shared" si="284"/>
        <v>1.5707901256988741</v>
      </c>
      <c r="Z339" s="340" t="str">
        <f>IMSUM(COMPLEX(1,0),IMDIV(COMPLEX(0,2*PI()*D339),COMPLEX(2*PI()*'Stability Calculations'!EA_Zero1,0)))</f>
        <v>1+1596.65163433394i</v>
      </c>
      <c r="AA339" s="734">
        <f t="shared" si="285"/>
        <v>1596.6519474892584</v>
      </c>
      <c r="AB339" s="735">
        <f t="shared" si="286"/>
        <v>1.5701700161785159</v>
      </c>
      <c r="AC339" s="733" t="str">
        <f>IMSUM(COMPLEX(1,0),IMDIV(COMPLEX(0,2*PI()*D339),COMPLEX(2*PI()*'Stability Calculations'!EA_Pole2,0)))</f>
        <v>1+16.0838001894932i</v>
      </c>
      <c r="AD339" s="734">
        <f t="shared" si="287"/>
        <v>16.114857384896137</v>
      </c>
      <c r="AE339" s="735">
        <f t="shared" si="288"/>
        <v>1.5087018952384676</v>
      </c>
      <c r="AF339" s="732" t="str">
        <f t="shared" si="289"/>
        <v>0.226476773355232-3.67944536439843i</v>
      </c>
      <c r="AG339" s="337">
        <f t="shared" si="290"/>
        <v>3.6864088105448225</v>
      </c>
      <c r="AH339" s="730">
        <f t="shared" si="291"/>
        <v>-1.5093220047588261</v>
      </c>
      <c r="AI339" s="731" t="str">
        <f t="shared" si="269"/>
        <v>10000</v>
      </c>
      <c r="AJ339" s="733" t="str">
        <f t="shared" si="292"/>
        <v>1+150340.398558557i</v>
      </c>
      <c r="AK339" s="734">
        <f t="shared" si="293"/>
        <v>150340.39856188282</v>
      </c>
      <c r="AL339" s="735">
        <f t="shared" si="294"/>
        <v>1.5707896752228003</v>
      </c>
      <c r="AM339" s="340" t="str">
        <f t="shared" si="295"/>
        <v>1+255.144931166564i</v>
      </c>
      <c r="AN339" s="734">
        <f t="shared" si="296"/>
        <v>255.14689082955854</v>
      </c>
      <c r="AO339" s="735">
        <f t="shared" si="297"/>
        <v>1.5668770058228372</v>
      </c>
      <c r="AP339" s="733" t="str">
        <f t="shared" si="298"/>
        <v>1+12.3749497248178i</v>
      </c>
      <c r="AQ339" s="734">
        <f t="shared" si="299"/>
        <v>12.415288183999925</v>
      </c>
      <c r="AR339" s="735">
        <f t="shared" si="300"/>
        <v>1.490163124684021</v>
      </c>
      <c r="AS339" s="732" t="str">
        <f t="shared" si="301"/>
        <v>0.00424161989165748-9.21044949184405i</v>
      </c>
      <c r="AT339" s="337">
        <f t="shared" si="302"/>
        <v>9.2104504685248507</v>
      </c>
      <c r="AU339" s="730">
        <f t="shared" si="303"/>
        <v>-1.5703358042551923</v>
      </c>
      <c r="AV339" s="732" t="str">
        <f t="shared" si="304"/>
        <v>-0.526009717550195+0.0731539065301263i</v>
      </c>
      <c r="AW339" s="337">
        <f t="shared" si="305"/>
        <v>-5.4969280945112509</v>
      </c>
      <c r="AX339" s="730">
        <f t="shared" si="306"/>
        <v>172.08247161811721</v>
      </c>
      <c r="AY339" s="360">
        <f t="shared" si="307"/>
        <v>-7.9175283818827893</v>
      </c>
      <c r="BB339" s="337">
        <f t="shared" si="308"/>
        <v>-20.714382572587642</v>
      </c>
      <c r="BC339" s="730">
        <f t="shared" si="309"/>
        <v>-89.973614002104298</v>
      </c>
      <c r="BD339" s="351"/>
      <c r="BE339" s="337">
        <f t="shared" si="270"/>
        <v>34.915823209735365</v>
      </c>
      <c r="BF339" s="730">
        <f t="shared" si="271"/>
        <v>-88.83051556513891</v>
      </c>
      <c r="BI339" s="351"/>
      <c r="BJ339" s="351"/>
      <c r="BL339" s="405">
        <f t="shared" si="272"/>
        <v>0</v>
      </c>
      <c r="BM339" s="405">
        <f t="shared" si="260"/>
        <v>0</v>
      </c>
      <c r="BN339" s="405">
        <f t="shared" si="273"/>
        <v>0</v>
      </c>
      <c r="BO339" s="405">
        <f t="shared" si="274"/>
        <v>0</v>
      </c>
    </row>
    <row r="340" spans="4:67" ht="13.5" thickBot="1" x14ac:dyDescent="0.25">
      <c r="D340" s="345">
        <v>25557.75</v>
      </c>
      <c r="E340" s="340" t="str">
        <f t="shared" si="261"/>
        <v>0.423941969311262i</v>
      </c>
      <c r="F340" s="728" t="str">
        <f t="shared" si="275"/>
        <v>0.005-0.102086350626952i</v>
      </c>
      <c r="G340" s="337" t="str">
        <f t="shared" si="276"/>
        <v>0.005-0.15967352277549i</v>
      </c>
      <c r="H340" s="338" t="str">
        <f t="shared" si="277"/>
        <v>0.0253309473232497-0.155709226015691i</v>
      </c>
      <c r="I340" s="338" t="str">
        <f t="shared" si="278"/>
        <v>0.0353309473232497-0.155709226015691i</v>
      </c>
      <c r="J340" s="337" t="str">
        <f t="shared" si="279"/>
        <v>0.00729318096413721-0.0621161658865625i</v>
      </c>
      <c r="K340" s="338" t="str">
        <f t="shared" si="262"/>
        <v>0.99274223794375-0.133820066070474i</v>
      </c>
      <c r="L340" s="732"/>
      <c r="M340" s="732" t="str">
        <f t="shared" si="263"/>
        <v>1.11370841723515-55.252768967132i</v>
      </c>
      <c r="N340" s="337">
        <f t="shared" si="264"/>
        <v>0</v>
      </c>
      <c r="O340" s="730" t="str">
        <f t="shared" si="265"/>
        <v>-1.86141582284004-21.5671363051042i</v>
      </c>
      <c r="P340" s="731" t="str">
        <f t="shared" si="266"/>
        <v>-3.42396768582611-0.472147739641197i</v>
      </c>
      <c r="Q340" s="729" t="str">
        <f t="shared" si="267"/>
        <v>-3.40535352759771-0.256476376590154i</v>
      </c>
      <c r="R340" s="730"/>
      <c r="S340" s="405" t="str">
        <f t="shared" si="280"/>
        <v>39.7487680411766-3.77044953334943i</v>
      </c>
      <c r="T340" s="405" t="str">
        <f t="shared" si="281"/>
        <v>15.3254623571767-3.11975099954278i</v>
      </c>
      <c r="U340" s="405" t="str">
        <f t="shared" si="282"/>
        <v>-0.0975655338263979-2.46534213019965i</v>
      </c>
      <c r="V340" s="731" t="str">
        <f t="shared" si="268"/>
        <v>6000</v>
      </c>
      <c r="W340" s="733" t="str">
        <f>IMSUM(COMPLEX(1,0),IMDIV(COMPLEX(0,2*PI()*D340),COMPLEX(2*PI()*'Stability Calculations'!EA_Pole1,0)))</f>
        <v>1+162189.920077415i</v>
      </c>
      <c r="X340" s="734">
        <f t="shared" si="283"/>
        <v>162189.92008049783</v>
      </c>
      <c r="Y340" s="735">
        <f t="shared" si="284"/>
        <v>1.5707901611836212</v>
      </c>
      <c r="Z340" s="340" t="str">
        <f>IMSUM(COMPLEX(1,0),IMDIV(COMPLEX(0,2*PI()*D340),COMPLEX(2*PI()*'Stability Calculations'!EA_Zero1,0)))</f>
        <v>1+1605.84079284569i</v>
      </c>
      <c r="AA340" s="734">
        <f t="shared" si="285"/>
        <v>1605.8411042090293</v>
      </c>
      <c r="AB340" s="735">
        <f t="shared" si="286"/>
        <v>1.5701736001365676</v>
      </c>
      <c r="AC340" s="733" t="str">
        <f>IMSUM(COMPLEX(1,0),IMDIV(COMPLEX(0,2*PI()*D340),COMPLEX(2*PI()*'Stability Calculations'!EA_Pole2,0)))</f>
        <v>1+16.1763667746107i</v>
      </c>
      <c r="AD340" s="734">
        <f t="shared" si="287"/>
        <v>16.207246589927884</v>
      </c>
      <c r="AE340" s="735">
        <f t="shared" si="288"/>
        <v>1.5090563155028858</v>
      </c>
      <c r="AF340" s="732" t="str">
        <f t="shared" si="289"/>
        <v>0.223902076846717-3.65854951038393i</v>
      </c>
      <c r="AG340" s="337">
        <f t="shared" si="290"/>
        <v>3.6653944753527918</v>
      </c>
      <c r="AH340" s="730">
        <f t="shared" si="291"/>
        <v>-1.509672876549939</v>
      </c>
      <c r="AI340" s="731" t="str">
        <f t="shared" si="269"/>
        <v>10000</v>
      </c>
      <c r="AJ340" s="733" t="str">
        <f t="shared" si="292"/>
        <v>1+151205.647886192i</v>
      </c>
      <c r="AK340" s="734">
        <f t="shared" si="293"/>
        <v>151205.64788949874</v>
      </c>
      <c r="AL340" s="735">
        <f t="shared" si="294"/>
        <v>1.5707897132853224</v>
      </c>
      <c r="AM340" s="340" t="str">
        <f t="shared" si="295"/>
        <v>1+256.613358696741i</v>
      </c>
      <c r="AN340" s="734">
        <f t="shared" si="296"/>
        <v>256.61530714597336</v>
      </c>
      <c r="AO340" s="735">
        <f t="shared" si="297"/>
        <v>1.5668994332615782</v>
      </c>
      <c r="AP340" s="733" t="str">
        <f t="shared" si="298"/>
        <v>1+12.4461708804857i</v>
      </c>
      <c r="AQ340" s="734">
        <f t="shared" si="299"/>
        <v>12.486279253094184</v>
      </c>
      <c r="AR340" s="735">
        <f t="shared" si="300"/>
        <v>1.4906225545071305</v>
      </c>
      <c r="AS340" s="732" t="str">
        <f t="shared" si="301"/>
        <v>0.00419321485664835-9.15774423916262i</v>
      </c>
      <c r="AT340" s="337">
        <f t="shared" si="302"/>
        <v>9.157745199172501</v>
      </c>
      <c r="AU340" s="730">
        <f t="shared" si="303"/>
        <v>-1.5703384395189379</v>
      </c>
      <c r="AV340" s="732" t="str">
        <f t="shared" si="304"/>
        <v>-0.519895548718251+0.0728623789325825i</v>
      </c>
      <c r="AW340" s="337">
        <f t="shared" si="305"/>
        <v>-5.5972030166473257</v>
      </c>
      <c r="AX340" s="730">
        <f t="shared" si="306"/>
        <v>172.02206678555433</v>
      </c>
      <c r="AY340" s="360">
        <f t="shared" si="307"/>
        <v>-7.9779332144456703</v>
      </c>
      <c r="BB340" s="337">
        <f t="shared" si="308"/>
        <v>-20.764228884943037</v>
      </c>
      <c r="BC340" s="730">
        <f t="shared" si="309"/>
        <v>-89.973764991594834</v>
      </c>
      <c r="BD340" s="351"/>
      <c r="BE340" s="337">
        <f t="shared" si="270"/>
        <v>34.84884507914775</v>
      </c>
      <c r="BF340" s="730">
        <f t="shared" si="271"/>
        <v>-88.845267787600392</v>
      </c>
      <c r="BI340" s="351"/>
      <c r="BJ340" s="351"/>
      <c r="BL340" s="405">
        <f t="shared" si="272"/>
        <v>0</v>
      </c>
      <c r="BM340" s="405">
        <f t="shared" si="260"/>
        <v>0</v>
      </c>
      <c r="BN340" s="405">
        <f t="shared" si="273"/>
        <v>0</v>
      </c>
      <c r="BO340" s="405">
        <f t="shared" si="274"/>
        <v>0</v>
      </c>
    </row>
    <row r="341" spans="4:67" ht="13.5" thickBot="1" x14ac:dyDescent="0.25">
      <c r="D341" s="345">
        <v>25704</v>
      </c>
      <c r="E341" s="340" t="str">
        <f t="shared" si="261"/>
        <v>0.426367907158364i</v>
      </c>
      <c r="F341" s="728" t="str">
        <f t="shared" si="275"/>
        <v>0.005-0.101505502168378i</v>
      </c>
      <c r="G341" s="337" t="str">
        <f t="shared" si="276"/>
        <v>0.005-0.158765016212078i</v>
      </c>
      <c r="H341" s="338" t="str">
        <f t="shared" si="277"/>
        <v>0.0251038516535207-0.154852788248244i</v>
      </c>
      <c r="I341" s="338" t="str">
        <f t="shared" si="278"/>
        <v>0.0351038516535207-0.154852788248244i</v>
      </c>
      <c r="J341" s="337" t="str">
        <f t="shared" si="279"/>
        <v>0.00725737550530721-0.0617648817206967i</v>
      </c>
      <c r="K341" s="338" t="str">
        <f t="shared" si="262"/>
        <v>0.9926589376-0.134585829279787i</v>
      </c>
      <c r="L341" s="732"/>
      <c r="M341" s="732" t="str">
        <f t="shared" si="263"/>
        <v>1.09143284498113-54.8324552107235i</v>
      </c>
      <c r="N341" s="337">
        <f t="shared" si="264"/>
        <v>0</v>
      </c>
      <c r="O341" s="730" t="str">
        <f t="shared" si="265"/>
        <v>-1.84628096471278-21.4008907230152i</v>
      </c>
      <c r="P341" s="731" t="str">
        <f t="shared" si="266"/>
        <v>-3.37879917255087-0.465351937918501i</v>
      </c>
      <c r="Q341" s="729" t="str">
        <f t="shared" si="267"/>
        <v>-3.36033636290374-0.251343030688349i</v>
      </c>
      <c r="R341" s="730"/>
      <c r="S341" s="405" t="str">
        <f t="shared" si="280"/>
        <v>39.7454742855449-3.80989607145571i</v>
      </c>
      <c r="T341" s="405" t="str">
        <f t="shared" si="281"/>
        <v>15.3219102068539-3.13025045999028i</v>
      </c>
      <c r="U341" s="405" t="str">
        <f t="shared" si="282"/>
        <v>-0.100089050763416-2.4512218600065i</v>
      </c>
      <c r="V341" s="731" t="str">
        <f t="shared" si="268"/>
        <v>6000</v>
      </c>
      <c r="W341" s="733" t="str">
        <f>IMSUM(COMPLEX(1,0),IMDIV(COMPLEX(0,2*PI()*D341),COMPLEX(2*PI()*'Stability Calculations'!EA_Pole1,0)))</f>
        <v>1+163118.025087101i</v>
      </c>
      <c r="X341" s="734">
        <f t="shared" si="283"/>
        <v>163118.02509016625</v>
      </c>
      <c r="Y341" s="735">
        <f t="shared" si="284"/>
        <v>1.5707901962645676</v>
      </c>
      <c r="Z341" s="340" t="str">
        <f>IMSUM(COMPLEX(1,0),IMDIV(COMPLEX(0,2*PI()*D341),COMPLEX(2*PI()*'Stability Calculations'!EA_Zero1,0)))</f>
        <v>1+1615.02995135744i</v>
      </c>
      <c r="AA341" s="734">
        <f t="shared" si="285"/>
        <v>1615.0302609491921</v>
      </c>
      <c r="AB341" s="735">
        <f t="shared" si="286"/>
        <v>1.5701771433107987</v>
      </c>
      <c r="AC341" s="733" t="str">
        <f>IMSUM(COMPLEX(1,0),IMDIV(COMPLEX(0,2*PI()*D341),COMPLEX(2*PI()*'Stability Calculations'!EA_Pole2,0)))</f>
        <v>1+16.2689333597283i</v>
      </c>
      <c r="AD341" s="734">
        <f t="shared" si="287"/>
        <v>16.299637807733038</v>
      </c>
      <c r="AE341" s="735">
        <f t="shared" si="288"/>
        <v>1.5094067178909694</v>
      </c>
      <c r="AF341" s="732" t="str">
        <f t="shared" si="289"/>
        <v>0.221370982966393-3.63788876170977i</v>
      </c>
      <c r="AG341" s="337">
        <f t="shared" si="290"/>
        <v>3.64461791614344</v>
      </c>
      <c r="AH341" s="730">
        <f t="shared" si="291"/>
        <v>-1.510019770844738</v>
      </c>
      <c r="AI341" s="731" t="str">
        <f t="shared" si="269"/>
        <v>10000</v>
      </c>
      <c r="AJ341" s="733" t="str">
        <f t="shared" si="292"/>
        <v>1+152070.897213827i</v>
      </c>
      <c r="AK341" s="734">
        <f t="shared" si="293"/>
        <v>152070.89721711495</v>
      </c>
      <c r="AL341" s="735">
        <f t="shared" si="294"/>
        <v>1.5707897509147097</v>
      </c>
      <c r="AM341" s="340" t="str">
        <f t="shared" si="295"/>
        <v>1+258.081786226919i</v>
      </c>
      <c r="AN341" s="734">
        <f t="shared" si="296"/>
        <v>258.08372358999532</v>
      </c>
      <c r="AO341" s="735">
        <f t="shared" si="297"/>
        <v>1.5669216054899715</v>
      </c>
      <c r="AP341" s="733" t="str">
        <f t="shared" si="298"/>
        <v>1+12.5173920361536i</v>
      </c>
      <c r="AQ341" s="734">
        <f t="shared" si="299"/>
        <v>12.557272927939474</v>
      </c>
      <c r="AR341" s="735">
        <f t="shared" si="300"/>
        <v>1.4910767895693491</v>
      </c>
      <c r="AS341" s="732" t="str">
        <f t="shared" si="301"/>
        <v>0.00414563371000482-9.10563874826019i</v>
      </c>
      <c r="AT341" s="337">
        <f t="shared" si="302"/>
        <v>9.1056396919764104</v>
      </c>
      <c r="AU341" s="730">
        <f t="shared" si="303"/>
        <v>-1.5703410447945692</v>
      </c>
      <c r="AV341" s="732" t="str">
        <f t="shared" si="304"/>
        <v>-0.513885754264239+0.0725717952302971i</v>
      </c>
      <c r="AW341" s="337">
        <f t="shared" si="305"/>
        <v>-5.696907049512153</v>
      </c>
      <c r="AX341" s="730">
        <f t="shared" si="306"/>
        <v>171.96175117976387</v>
      </c>
      <c r="AY341" s="360">
        <f t="shared" si="307"/>
        <v>-8.0382488202361344</v>
      </c>
      <c r="BB341" s="337">
        <f t="shared" si="308"/>
        <v>-20.813790772369284</v>
      </c>
      <c r="BC341" s="730">
        <f t="shared" si="309"/>
        <v>-89.973914262892961</v>
      </c>
      <c r="BD341" s="351"/>
      <c r="BE341" s="337">
        <f t="shared" si="270"/>
        <v>34.782474201476596</v>
      </c>
      <c r="BF341" s="730">
        <f t="shared" si="271"/>
        <v>-88.85968559022362</v>
      </c>
      <c r="BI341" s="351"/>
      <c r="BJ341" s="351"/>
      <c r="BL341" s="405">
        <f t="shared" si="272"/>
        <v>0</v>
      </c>
      <c r="BM341" s="405">
        <f t="shared" si="260"/>
        <v>0</v>
      </c>
      <c r="BN341" s="405">
        <f t="shared" si="273"/>
        <v>0</v>
      </c>
      <c r="BO341" s="405">
        <f t="shared" si="274"/>
        <v>0</v>
      </c>
    </row>
    <row r="342" spans="4:67" ht="13.5" thickBot="1" x14ac:dyDescent="0.25">
      <c r="D342" s="345">
        <v>25853.75</v>
      </c>
      <c r="E342" s="340" t="str">
        <f t="shared" si="261"/>
        <v>0.428851901637705i</v>
      </c>
      <c r="F342" s="728" t="str">
        <f t="shared" si="275"/>
        <v>0.005-0.100917562355016i</v>
      </c>
      <c r="G342" s="337" t="str">
        <f t="shared" si="276"/>
        <v>0.005-0.157845418042461i</v>
      </c>
      <c r="H342" s="338" t="str">
        <f t="shared" si="277"/>
        <v>0.0248752156682969-0.153985391379756i</v>
      </c>
      <c r="I342" s="338" t="str">
        <f t="shared" si="278"/>
        <v>0.0348752156682969-0.153985391379756i</v>
      </c>
      <c r="J342" s="337" t="str">
        <f t="shared" si="279"/>
        <v>0.00722133826196236-0.0614092792933405i</v>
      </c>
      <c r="K342" s="338" t="str">
        <f t="shared" si="262"/>
        <v>0.992573151232639-0.135369918446245i</v>
      </c>
      <c r="L342" s="732"/>
      <c r="M342" s="732" t="str">
        <f t="shared" si="263"/>
        <v>1.06930331072136-54.4092519031504i</v>
      </c>
      <c r="N342" s="337">
        <f t="shared" si="264"/>
        <v>0</v>
      </c>
      <c r="O342" s="730" t="str">
        <f t="shared" si="265"/>
        <v>-1.83102594226288-21.2335319047032i</v>
      </c>
      <c r="P342" s="731" t="str">
        <f t="shared" si="266"/>
        <v>-3.33351114535092-0.458572758230349i</v>
      </c>
      <c r="Q342" s="729" t="str">
        <f t="shared" si="267"/>
        <v>-3.31520088592829-0.246237439183317i</v>
      </c>
      <c r="R342" s="730"/>
      <c r="S342" s="405" t="str">
        <f t="shared" si="280"/>
        <v>39.7420441706763-3.85018048024935i</v>
      </c>
      <c r="T342" s="405" t="str">
        <f t="shared" si="281"/>
        <v>15.3182672289185-3.14103781665499i</v>
      </c>
      <c r="U342" s="405" t="str">
        <f t="shared" si="282"/>
        <v>-0.102628736552282-2.43692336761627i</v>
      </c>
      <c r="V342" s="731" t="str">
        <f t="shared" si="268"/>
        <v>6000</v>
      </c>
      <c r="W342" s="733" t="str">
        <f>IMSUM(COMPLEX(1,0),IMDIV(COMPLEX(0,2*PI()*D342),COMPLEX(2*PI()*'Stability Calculations'!EA_Pole1,0)))</f>
        <v>1+164068.341156849i</v>
      </c>
      <c r="X342" s="734">
        <f t="shared" si="283"/>
        <v>164068.34115989649</v>
      </c>
      <c r="Y342" s="735">
        <f t="shared" si="284"/>
        <v>1.5707902317738041</v>
      </c>
      <c r="Z342" s="340" t="str">
        <f>IMSUM(COMPLEX(1,0),IMDIV(COMPLEX(0,2*PI()*D342),COMPLEX(2*PI()*'Stability Calculations'!EA_Zero1,0)))</f>
        <v>1+1624.43902135494i</v>
      </c>
      <c r="AA342" s="734">
        <f t="shared" si="285"/>
        <v>1624.4393291534761</v>
      </c>
      <c r="AB342" s="735">
        <f t="shared" si="286"/>
        <v>1.5701807297422932</v>
      </c>
      <c r="AC342" s="733" t="str">
        <f>IMSUM(COMPLEX(1,0),IMDIV(COMPLEX(0,2*PI()*D342),COMPLEX(2*PI()*'Stability Calculations'!EA_Pole2,0)))</f>
        <v>1+16.3637152135494i</v>
      </c>
      <c r="AD342" s="734">
        <f t="shared" si="287"/>
        <v>16.394242147478124</v>
      </c>
      <c r="AE342" s="735">
        <f t="shared" si="288"/>
        <v>1.5097614135785256</v>
      </c>
      <c r="AF342" s="732" t="str">
        <f t="shared" si="289"/>
        <v>0.218823475139727-3.61697307531976i</v>
      </c>
      <c r="AG342" s="337">
        <f t="shared" si="290"/>
        <v>3.6235863368850905</v>
      </c>
      <c r="AH342" s="730">
        <f t="shared" si="291"/>
        <v>-1.5103709156100362</v>
      </c>
      <c r="AI342" s="731" t="str">
        <f t="shared" si="269"/>
        <v>10000</v>
      </c>
      <c r="AJ342" s="733" t="str">
        <f t="shared" si="292"/>
        <v>1+152956.853362977i</v>
      </c>
      <c r="AK342" s="734">
        <f t="shared" si="293"/>
        <v>152956.85336624589</v>
      </c>
      <c r="AL342" s="735">
        <f t="shared" si="294"/>
        <v>1.5707897890034999</v>
      </c>
      <c r="AM342" s="340" t="str">
        <f t="shared" si="295"/>
        <v>1+259.585355612519i</v>
      </c>
      <c r="AN342" s="734">
        <f t="shared" si="296"/>
        <v>259.58728175409124</v>
      </c>
      <c r="AO342" s="735">
        <f t="shared" si="297"/>
        <v>1.5669440484144286</v>
      </c>
      <c r="AP342" s="733" t="str">
        <f t="shared" si="298"/>
        <v>1+12.5903176297349i</v>
      </c>
      <c r="AQ342" s="734">
        <f t="shared" si="299"/>
        <v>12.629968250855322</v>
      </c>
      <c r="AR342" s="735">
        <f t="shared" si="300"/>
        <v>1.4915366037869344</v>
      </c>
      <c r="AS342" s="732" t="str">
        <f t="shared" si="301"/>
        <v>0.00409774815387393-9.05289712113965i</v>
      </c>
      <c r="AT342" s="337">
        <f t="shared" si="302"/>
        <v>9.0528980485521018</v>
      </c>
      <c r="AU342" s="730">
        <f t="shared" si="303"/>
        <v>-1.5703436818770122</v>
      </c>
      <c r="AV342" s="732" t="str">
        <f t="shared" si="304"/>
        <v>-0.507837818656572+0.0722752751544032i</v>
      </c>
      <c r="AW342" s="337">
        <f t="shared" si="305"/>
        <v>-5.7984124489883886</v>
      </c>
      <c r="AX342" s="730">
        <f t="shared" si="306"/>
        <v>171.90008287977224</v>
      </c>
      <c r="AY342" s="360">
        <f t="shared" si="307"/>
        <v>-8.099917120227758</v>
      </c>
      <c r="BB342" s="337">
        <f t="shared" si="308"/>
        <v>-20.864247410331323</v>
      </c>
      <c r="BC342" s="730">
        <f t="shared" si="309"/>
        <v>-89.974065356587175</v>
      </c>
      <c r="BD342" s="351"/>
      <c r="BE342" s="337">
        <f t="shared" si="270"/>
        <v>34.715132184341989</v>
      </c>
      <c r="BF342" s="730">
        <f t="shared" si="271"/>
        <v>-88.874112792233774</v>
      </c>
      <c r="BI342" s="351"/>
      <c r="BJ342" s="351"/>
      <c r="BL342" s="405">
        <f t="shared" si="272"/>
        <v>0</v>
      </c>
      <c r="BM342" s="405">
        <f t="shared" si="260"/>
        <v>0</v>
      </c>
      <c r="BN342" s="405">
        <f t="shared" si="273"/>
        <v>0</v>
      </c>
      <c r="BO342" s="405">
        <f t="shared" si="274"/>
        <v>0</v>
      </c>
    </row>
    <row r="343" spans="4:67" ht="13.5" thickBot="1" x14ac:dyDescent="0.25">
      <c r="D343" s="345">
        <v>26003.5</v>
      </c>
      <c r="E343" s="340" t="str">
        <f t="shared" si="261"/>
        <v>0.431335896117045i</v>
      </c>
      <c r="F343" s="728" t="str">
        <f t="shared" si="275"/>
        <v>0.005-0.100336394244467i</v>
      </c>
      <c r="G343" s="337" t="str">
        <f t="shared" si="276"/>
        <v>0.005-0.156936411510576i</v>
      </c>
      <c r="H343" s="338" t="str">
        <f t="shared" si="277"/>
        <v>0.0246504328296943-0.153127489932382i</v>
      </c>
      <c r="I343" s="338" t="str">
        <f t="shared" si="278"/>
        <v>0.0346504328296943-0.153127489932382i</v>
      </c>
      <c r="J343" s="337" t="str">
        <f t="shared" si="279"/>
        <v>0.00718591915074498-0.0610577435528484i</v>
      </c>
      <c r="K343" s="338" t="str">
        <f t="shared" si="262"/>
        <v>0.992486866530556-0.136154007612704i</v>
      </c>
      <c r="L343" s="732"/>
      <c r="M343" s="732" t="str">
        <f t="shared" si="263"/>
        <v>1.04783430022265-53.9931135795786i</v>
      </c>
      <c r="N343" s="337">
        <f t="shared" si="264"/>
        <v>0</v>
      </c>
      <c r="O343" s="730" t="str">
        <f t="shared" si="265"/>
        <v>-1.8160114685653-21.0689958283265i</v>
      </c>
      <c r="P343" s="731" t="str">
        <f t="shared" si="266"/>
        <v>-3.28916802999695-0.451968546868717i</v>
      </c>
      <c r="Q343" s="729" t="str">
        <f t="shared" si="267"/>
        <v>-3.2710079153113-0.241278588585454i</v>
      </c>
      <c r="R343" s="730"/>
      <c r="S343" s="405" t="str">
        <f t="shared" si="280"/>
        <v>39.7385564814287-3.89035917779417i</v>
      </c>
      <c r="T343" s="405" t="str">
        <f t="shared" si="281"/>
        <v>15.3146181133699-3.15186153332908i</v>
      </c>
      <c r="U343" s="405" t="str">
        <f t="shared" si="282"/>
        <v>-0.105124680097064-2.42278378198915i</v>
      </c>
      <c r="V343" s="731" t="str">
        <f t="shared" si="268"/>
        <v>6000</v>
      </c>
      <c r="W343" s="733" t="str">
        <f>IMSUM(COMPLEX(1,0),IMDIV(COMPLEX(0,2*PI()*D343),COMPLEX(2*PI()*'Stability Calculations'!EA_Pole1,0)))</f>
        <v>1+165018.657226596i</v>
      </c>
      <c r="X343" s="734">
        <f t="shared" si="283"/>
        <v>165018.65722962597</v>
      </c>
      <c r="Y343" s="735">
        <f t="shared" si="284"/>
        <v>1.5707902668740561</v>
      </c>
      <c r="Z343" s="340" t="str">
        <f>IMSUM(COMPLEX(1,0),IMDIV(COMPLEX(0,2*PI()*D343),COMPLEX(2*PI()*'Stability Calculations'!EA_Zero1,0)))</f>
        <v>1+1633.84809135244i</v>
      </c>
      <c r="AA343" s="734">
        <f t="shared" si="285"/>
        <v>1633.8483973784139</v>
      </c>
      <c r="AB343" s="735">
        <f t="shared" si="286"/>
        <v>1.5701842748664319</v>
      </c>
      <c r="AC343" s="733" t="str">
        <f>IMSUM(COMPLEX(1,0),IMDIV(COMPLEX(0,2*PI()*D343),COMPLEX(2*PI()*'Stability Calculations'!EA_Pole2,0)))</f>
        <v>1+16.4584970673706i</v>
      </c>
      <c r="AD343" s="734">
        <f t="shared" si="287"/>
        <v>16.488848526099289</v>
      </c>
      <c r="AE343" s="735">
        <f t="shared" si="288"/>
        <v>1.5101120391074838</v>
      </c>
      <c r="AF343" s="732" t="str">
        <f t="shared" si="289"/>
        <v>0.216319636689857-3.59629563581896i</v>
      </c>
      <c r="AG343" s="337">
        <f t="shared" si="290"/>
        <v>3.6027956485801593</v>
      </c>
      <c r="AH343" s="730">
        <f t="shared" si="291"/>
        <v>-1.5107180311151083</v>
      </c>
      <c r="AI343" s="731" t="str">
        <f t="shared" si="269"/>
        <v>10000</v>
      </c>
      <c r="AJ343" s="733" t="str">
        <f t="shared" si="292"/>
        <v>1+153842.809512128i</v>
      </c>
      <c r="AK343" s="734">
        <f t="shared" si="293"/>
        <v>153842.80951537806</v>
      </c>
      <c r="AL343" s="735">
        <f t="shared" si="294"/>
        <v>1.5707898266535956</v>
      </c>
      <c r="AM343" s="340" t="str">
        <f t="shared" si="295"/>
        <v>1+261.08892499812i</v>
      </c>
      <c r="AN343" s="734">
        <f t="shared" si="296"/>
        <v>261.09084004743232</v>
      </c>
      <c r="AO343" s="735">
        <f t="shared" si="297"/>
        <v>1.5669662328522707</v>
      </c>
      <c r="AP343" s="733" t="str">
        <f t="shared" si="298"/>
        <v>1+12.6632432233162i</v>
      </c>
      <c r="AQ343" s="734">
        <f t="shared" si="299"/>
        <v>12.702666213549959</v>
      </c>
      <c r="AR343" s="735">
        <f t="shared" si="300"/>
        <v>1.4919911550224521</v>
      </c>
      <c r="AS343" s="732" t="str">
        <f t="shared" si="301"/>
        <v>0.00405068750887184-9.00076295484819i</v>
      </c>
      <c r="AT343" s="337">
        <f t="shared" si="302"/>
        <v>9.0007638663302796</v>
      </c>
      <c r="AU343" s="730">
        <f t="shared" si="303"/>
        <v>-1.5703462885863888</v>
      </c>
      <c r="AV343" s="732" t="str">
        <f t="shared" si="304"/>
        <v>-0.501894370371633+0.0719798227777592i</v>
      </c>
      <c r="AW343" s="337">
        <f t="shared" si="305"/>
        <v>-5.8993330704892841</v>
      </c>
      <c r="AX343" s="730">
        <f t="shared" si="306"/>
        <v>171.83850471848532</v>
      </c>
      <c r="AY343" s="360">
        <f t="shared" si="307"/>
        <v>-8.1614952815146751</v>
      </c>
      <c r="BB343" s="337">
        <f t="shared" si="308"/>
        <v>-20.914412635980682</v>
      </c>
      <c r="BC343" s="730">
        <f t="shared" si="309"/>
        <v>-89.974214710032882</v>
      </c>
      <c r="BD343" s="351"/>
      <c r="BE343" s="337">
        <f t="shared" si="270"/>
        <v>34.6484027975606</v>
      </c>
      <c r="BF343" s="730">
        <f t="shared" si="271"/>
        <v>-88.888211038663187</v>
      </c>
      <c r="BI343" s="351"/>
      <c r="BJ343" s="351"/>
      <c r="BL343" s="405">
        <f t="shared" si="272"/>
        <v>0</v>
      </c>
      <c r="BM343" s="405">
        <f t="shared" si="260"/>
        <v>0</v>
      </c>
      <c r="BN343" s="405">
        <f t="shared" si="273"/>
        <v>0</v>
      </c>
      <c r="BO343" s="405">
        <f t="shared" si="274"/>
        <v>0</v>
      </c>
    </row>
    <row r="344" spans="4:67" ht="13.5" thickBot="1" x14ac:dyDescent="0.25">
      <c r="D344" s="345">
        <v>26153.25</v>
      </c>
      <c r="E344" s="340" t="str">
        <f t="shared" si="261"/>
        <v>0.433819890596386i</v>
      </c>
      <c r="F344" s="728" t="str">
        <f t="shared" si="275"/>
        <v>0.005-0.0997618815151455i</v>
      </c>
      <c r="G344" s="337" t="str">
        <f t="shared" si="276"/>
        <v>0.005-0.156037814677536i</v>
      </c>
      <c r="H344" s="338" t="str">
        <f t="shared" si="277"/>
        <v>0.0244294175136675-0.152278931733963i</v>
      </c>
      <c r="I344" s="338" t="str">
        <f t="shared" si="278"/>
        <v>0.0344294175136675-0.152278931733963i</v>
      </c>
      <c r="J344" s="337" t="str">
        <f t="shared" si="279"/>
        <v>0.00715110411004954-0.0607102053421946i</v>
      </c>
      <c r="K344" s="338" t="str">
        <f t="shared" si="262"/>
        <v>0.99240008349375-0.136938096779162i</v>
      </c>
      <c r="L344" s="732"/>
      <c r="M344" s="732" t="str">
        <f t="shared" si="263"/>
        <v>1.02700023941542-53.5838564489323i</v>
      </c>
      <c r="N344" s="337">
        <f t="shared" si="264"/>
        <v>0</v>
      </c>
      <c r="O344" s="730" t="str">
        <f t="shared" si="265"/>
        <v>-1.80123321046723-20.9072082126744i</v>
      </c>
      <c r="P344" s="731" t="str">
        <f t="shared" si="266"/>
        <v>-3.24574274240825-0.445533131505658i</v>
      </c>
      <c r="Q344" s="729" t="str">
        <f t="shared" si="267"/>
        <v>-3.22773041030358-0.236461049378914i</v>
      </c>
      <c r="R344" s="730"/>
      <c r="S344" s="405" t="str">
        <f t="shared" si="280"/>
        <v>39.7350118449578-3.93043383246849i</v>
      </c>
      <c r="T344" s="405" t="str">
        <f t="shared" si="281"/>
        <v>15.3109626154963-3.16272091928122i</v>
      </c>
      <c r="U344" s="405" t="str">
        <f t="shared" si="282"/>
        <v>-0.107577864690687-2.40880046072274i</v>
      </c>
      <c r="V344" s="731" t="str">
        <f t="shared" si="268"/>
        <v>6000</v>
      </c>
      <c r="W344" s="733" t="str">
        <f>IMSUM(COMPLEX(1,0),IMDIV(COMPLEX(0,2*PI()*D344),COMPLEX(2*PI()*'Stability Calculations'!EA_Pole1,0)))</f>
        <v>1+165968.973296345i</v>
      </c>
      <c r="X344" s="734">
        <f t="shared" si="283"/>
        <v>165968.97329935763</v>
      </c>
      <c r="Y344" s="735">
        <f t="shared" si="284"/>
        <v>1.5707903015723497</v>
      </c>
      <c r="Z344" s="340" t="str">
        <f>IMSUM(COMPLEX(1,0),IMDIV(COMPLEX(0,2*PI()*D344),COMPLEX(2*PI()*'Stability Calculations'!EA_Zero1,0)))</f>
        <v>1+1643.25716134995i</v>
      </c>
      <c r="AA344" s="734">
        <f t="shared" si="285"/>
        <v>1643.2574656236604</v>
      </c>
      <c r="AB344" s="735">
        <f t="shared" si="286"/>
        <v>1.5701877793927754</v>
      </c>
      <c r="AC344" s="733" t="str">
        <f>IMSUM(COMPLEX(1,0),IMDIV(COMPLEX(0,2*PI()*D344),COMPLEX(2*PI()*'Stability Calculations'!EA_Pole2,0)))</f>
        <v>1+16.5532789211918i</v>
      </c>
      <c r="AD344" s="734">
        <f t="shared" si="287"/>
        <v>16.583456908701901</v>
      </c>
      <c r="AE344" s="735">
        <f t="shared" si="288"/>
        <v>1.5104586640514746</v>
      </c>
      <c r="AF344" s="732" t="str">
        <f t="shared" si="289"/>
        <v>0.213858476387991-3.57585241057927i</v>
      </c>
      <c r="AG344" s="337">
        <f t="shared" si="290"/>
        <v>3.5822417436807035</v>
      </c>
      <c r="AH344" s="730">
        <f t="shared" si="291"/>
        <v>-1.511061186231049</v>
      </c>
      <c r="AI344" s="731" t="str">
        <f t="shared" si="269"/>
        <v>10000</v>
      </c>
      <c r="AJ344" s="733" t="str">
        <f t="shared" si="292"/>
        <v>1+154728.76566128i</v>
      </c>
      <c r="AK344" s="734">
        <f t="shared" si="293"/>
        <v>154728.76566451145</v>
      </c>
      <c r="AL344" s="735">
        <f t="shared" si="294"/>
        <v>1.5707898638725324</v>
      </c>
      <c r="AM344" s="340" t="str">
        <f t="shared" si="295"/>
        <v>1+262.592494383722i</v>
      </c>
      <c r="AN344" s="734">
        <f t="shared" si="296"/>
        <v>262.59439846779873</v>
      </c>
      <c r="AO344" s="735">
        <f t="shared" si="297"/>
        <v>1.56698816324359</v>
      </c>
      <c r="AP344" s="733" t="str">
        <f t="shared" si="298"/>
        <v>1+12.7361688168976i</v>
      </c>
      <c r="AQ344" s="734">
        <f t="shared" si="299"/>
        <v>12.775366770958666</v>
      </c>
      <c r="AR344" s="735">
        <f t="shared" si="300"/>
        <v>1.4924405329363262</v>
      </c>
      <c r="AS344" s="732" t="str">
        <f t="shared" si="301"/>
        <v>0.00400443293587792-8.94922581467667i</v>
      </c>
      <c r="AT344" s="337">
        <f t="shared" si="302"/>
        <v>8.9492267105911676</v>
      </c>
      <c r="AU344" s="730">
        <f t="shared" si="303"/>
        <v>-1.5703488654444351</v>
      </c>
      <c r="AV344" s="732" t="str">
        <f t="shared" si="304"/>
        <v>-0.49605301513152+0.0716854737890051i</v>
      </c>
      <c r="AW344" s="337">
        <f t="shared" si="305"/>
        <v>-5.9996756973352197</v>
      </c>
      <c r="AX344" s="730">
        <f t="shared" si="306"/>
        <v>171.77701503350448</v>
      </c>
      <c r="AY344" s="360">
        <f t="shared" si="307"/>
        <v>-8.2229849664955168</v>
      </c>
      <c r="BB344" s="337">
        <f t="shared" si="308"/>
        <v>-20.964289796100239</v>
      </c>
      <c r="BC344" s="730">
        <f t="shared" si="309"/>
        <v>-89.97436235312334</v>
      </c>
      <c r="BD344" s="351"/>
      <c r="BE344" s="337">
        <f t="shared" si="270"/>
        <v>34.582274396988311</v>
      </c>
      <c r="BF344" s="730">
        <f t="shared" si="271"/>
        <v>-88.901990644568343</v>
      </c>
      <c r="BI344" s="351"/>
      <c r="BJ344" s="351"/>
      <c r="BL344" s="405">
        <f t="shared" si="272"/>
        <v>0</v>
      </c>
      <c r="BM344" s="405">
        <f t="shared" si="260"/>
        <v>0</v>
      </c>
      <c r="BN344" s="405">
        <f t="shared" si="273"/>
        <v>0</v>
      </c>
      <c r="BO344" s="405">
        <f t="shared" si="274"/>
        <v>0</v>
      </c>
    </row>
    <row r="345" spans="4:67" ht="13.5" thickBot="1" x14ac:dyDescent="0.25">
      <c r="D345" s="345">
        <v>26303</v>
      </c>
      <c r="E345" s="340" t="str">
        <f t="shared" si="261"/>
        <v>0.436303885075726i</v>
      </c>
      <c r="F345" s="728" t="str">
        <f t="shared" si="275"/>
        <v>0.005-0.0991939104944681i</v>
      </c>
      <c r="G345" s="337" t="str">
        <f t="shared" si="276"/>
        <v>0.005-0.155149449747758i</v>
      </c>
      <c r="H345" s="338" t="str">
        <f t="shared" si="277"/>
        <v>0.0242120864482608-0.151439567779055i</v>
      </c>
      <c r="I345" s="338" t="str">
        <f t="shared" si="278"/>
        <v>0.0342120864482608-0.151439567779055i</v>
      </c>
      <c r="J345" s="337" t="str">
        <f t="shared" si="279"/>
        <v>0.00711687947544416-0.0603665970596175i</v>
      </c>
      <c r="K345" s="338" t="str">
        <f t="shared" si="262"/>
        <v>0.992312802122222-0.137722185945621i</v>
      </c>
      <c r="L345" s="732"/>
      <c r="M345" s="732" t="str">
        <f t="shared" si="263"/>
        <v>1.00677676078795-53.1813031812853i</v>
      </c>
      <c r="N345" s="337">
        <f t="shared" si="264"/>
        <v>0</v>
      </c>
      <c r="O345" s="730" t="str">
        <f t="shared" si="265"/>
        <v>-1.78668688967939-20.74809741694i</v>
      </c>
      <c r="P345" s="731" t="str">
        <f t="shared" si="266"/>
        <v>-3.2032091913848-0.439260612135735i</v>
      </c>
      <c r="Q345" s="729" t="str">
        <f t="shared" si="267"/>
        <v>-3.18534232248801-0.231779637966334i</v>
      </c>
      <c r="R345" s="730"/>
      <c r="S345" s="405" t="str">
        <f t="shared" si="280"/>
        <v>39.7314108708076-3.9704060756178i</v>
      </c>
      <c r="T345" s="405" t="str">
        <f t="shared" si="281"/>
        <v>15.3073004975618-3.17361529838934i</v>
      </c>
      <c r="U345" s="405" t="str">
        <f t="shared" si="282"/>
        <v>-0.109989246148607-2.39497081917299i</v>
      </c>
      <c r="V345" s="731" t="str">
        <f t="shared" si="268"/>
        <v>6000</v>
      </c>
      <c r="W345" s="733" t="str">
        <f>IMSUM(COMPLEX(1,0),IMDIV(COMPLEX(0,2*PI()*D345),COMPLEX(2*PI()*'Stability Calculations'!EA_Pole1,0)))</f>
        <v>1+166919.289366092i</v>
      </c>
      <c r="X345" s="734">
        <f t="shared" si="283"/>
        <v>166919.28936908749</v>
      </c>
      <c r="Y345" s="735">
        <f t="shared" si="284"/>
        <v>1.5707903358755499</v>
      </c>
      <c r="Z345" s="340" t="str">
        <f>IMSUM(COMPLEX(1,0),IMDIV(COMPLEX(0,2*PI()*D345),COMPLEX(2*PI()*'Stability Calculations'!EA_Zero1,0)))</f>
        <v>1+1652.66623134745i</v>
      </c>
      <c r="AA345" s="734">
        <f t="shared" si="285"/>
        <v>1652.6665338888497</v>
      </c>
      <c r="AB345" s="735">
        <f t="shared" si="286"/>
        <v>1.5701912440147257</v>
      </c>
      <c r="AC345" s="733" t="str">
        <f>IMSUM(COMPLEX(1,0),IMDIV(COMPLEX(0,2*PI()*D345),COMPLEX(2*PI()*'Stability Calculations'!EA_Pole2,0)))</f>
        <v>1+16.648060775013i</v>
      </c>
      <c r="AD345" s="734">
        <f t="shared" si="287"/>
        <v>16.67806726118247</v>
      </c>
      <c r="AE345" s="735">
        <f t="shared" si="288"/>
        <v>1.5108013564093328</v>
      </c>
      <c r="AF345" s="732" t="str">
        <f t="shared" si="289"/>
        <v>0.211439030937063-3.55563945713015i</v>
      </c>
      <c r="AG345" s="337">
        <f t="shared" si="290"/>
        <v>3.5619206073275116</v>
      </c>
      <c r="AH345" s="730">
        <f t="shared" si="291"/>
        <v>-1.5114004482701568</v>
      </c>
      <c r="AI345" s="731" t="str">
        <f t="shared" si="269"/>
        <v>10000</v>
      </c>
      <c r="AJ345" s="733" t="str">
        <f t="shared" si="292"/>
        <v>1+155614.72181043i</v>
      </c>
      <c r="AK345" s="734">
        <f t="shared" si="293"/>
        <v>155614.72181364306</v>
      </c>
      <c r="AL345" s="735">
        <f t="shared" si="294"/>
        <v>1.5707899006676744</v>
      </c>
      <c r="AM345" s="340" t="str">
        <f t="shared" si="295"/>
        <v>1+264.096063769322i</v>
      </c>
      <c r="AN345" s="734">
        <f t="shared" si="296"/>
        <v>264.09795701301778</v>
      </c>
      <c r="AO345" s="735">
        <f t="shared" si="297"/>
        <v>1.5670098439273668</v>
      </c>
      <c r="AP345" s="733" t="str">
        <f t="shared" si="298"/>
        <v>1+12.8090944104789i</v>
      </c>
      <c r="AQ345" s="734">
        <f t="shared" si="299"/>
        <v>12.848069879034819</v>
      </c>
      <c r="AR345" s="735">
        <f t="shared" si="300"/>
        <v>1.4928848251680071</v>
      </c>
      <c r="AS345" s="732" t="str">
        <f t="shared" si="301"/>
        <v>0.00395896613052101-8.89827550354603i</v>
      </c>
      <c r="AT345" s="337">
        <f t="shared" si="302"/>
        <v>8.8982763842454435</v>
      </c>
      <c r="AU345" s="730">
        <f t="shared" si="303"/>
        <v>-1.5703514129610061</v>
      </c>
      <c r="AV345" s="732" t="str">
        <f t="shared" si="304"/>
        <v>-0.490311426882876+0.0713922614837589i</v>
      </c>
      <c r="AW345" s="337">
        <f t="shared" si="305"/>
        <v>-6.0994469957728095</v>
      </c>
      <c r="AX345" s="730">
        <f t="shared" si="306"/>
        <v>171.71561220289695</v>
      </c>
      <c r="AY345" s="360">
        <f t="shared" si="307"/>
        <v>-8.2843877971030508</v>
      </c>
      <c r="BB345" s="337">
        <f t="shared" si="308"/>
        <v>-21.013882180146688</v>
      </c>
      <c r="BC345" s="730">
        <f t="shared" si="309"/>
        <v>-89.974508315071091</v>
      </c>
      <c r="BD345" s="351"/>
      <c r="BE345" s="337">
        <f t="shared" si="270"/>
        <v>34.516735668297898</v>
      </c>
      <c r="BF345" s="730">
        <f t="shared" si="271"/>
        <v>-88.915461518904493</v>
      </c>
      <c r="BI345" s="351"/>
      <c r="BJ345" s="351"/>
      <c r="BL345" s="405">
        <f t="shared" si="272"/>
        <v>0</v>
      </c>
      <c r="BM345" s="405">
        <f t="shared" si="260"/>
        <v>0</v>
      </c>
      <c r="BN345" s="405">
        <f t="shared" si="273"/>
        <v>0</v>
      </c>
      <c r="BO345" s="405">
        <f t="shared" si="274"/>
        <v>0</v>
      </c>
    </row>
    <row r="346" spans="4:67" ht="13.5" thickBot="1" x14ac:dyDescent="0.25">
      <c r="D346" s="345">
        <v>26456</v>
      </c>
      <c r="E346" s="340" t="str">
        <f t="shared" si="261"/>
        <v>0.438841789285002i</v>
      </c>
      <c r="F346" s="728" t="str">
        <f t="shared" si="275"/>
        <v>0.005-0.0986202535430903i</v>
      </c>
      <c r="G346" s="337" t="str">
        <f t="shared" si="276"/>
        <v>0.005-0.154252191439192i</v>
      </c>
      <c r="H346" s="338" t="str">
        <f t="shared" si="277"/>
        <v>0.0239937594932067-0.15059133118826i</v>
      </c>
      <c r="I346" s="338" t="str">
        <f t="shared" si="278"/>
        <v>0.0339937594932067-0.15059133118826i</v>
      </c>
      <c r="J346" s="337" t="str">
        <f t="shared" si="279"/>
        <v>0.00708250802128119-0.0600195215492347i</v>
      </c>
      <c r="K346" s="338" t="str">
        <f t="shared" si="262"/>
        <v>0.992223111822222-0.138523292072286i</v>
      </c>
      <c r="L346" s="732"/>
      <c r="M346" s="732" t="str">
        <f t="shared" si="263"/>
        <v>0.9867208214708-52.7767590362785i</v>
      </c>
      <c r="N346" s="337">
        <f t="shared" si="264"/>
        <v>0</v>
      </c>
      <c r="O346" s="730" t="str">
        <f t="shared" si="265"/>
        <v>-1.77206002442063-20.5882261708028i</v>
      </c>
      <c r="P346" s="731" t="str">
        <f t="shared" si="266"/>
        <v>-3.16064736814384-0.433014330819013i</v>
      </c>
      <c r="Q346" s="729" t="str">
        <f t="shared" si="267"/>
        <v>-3.14292676789963-0.227132069110987i</v>
      </c>
      <c r="R346" s="730"/>
      <c r="S346" s="405" t="str">
        <f t="shared" si="280"/>
        <v>39.7276741765999-4.01114171965178i</v>
      </c>
      <c r="T346" s="405" t="str">
        <f t="shared" si="281"/>
        <v>15.3035518238893-3.18478156853937i</v>
      </c>
      <c r="U346" s="405" t="str">
        <f t="shared" si="282"/>
        <v>-0.112410754095949-2.38099712406194i</v>
      </c>
      <c r="V346" s="731" t="str">
        <f t="shared" si="268"/>
        <v>6000</v>
      </c>
      <c r="W346" s="733" t="str">
        <f>IMSUM(COMPLEX(1,0),IMDIV(COMPLEX(0,2*PI()*D346),COMPLEX(2*PI()*'Stability Calculations'!EA_Pole1,0)))</f>
        <v>1+167890.22999161i</v>
      </c>
      <c r="X346" s="734">
        <f t="shared" si="283"/>
        <v>167890.22999458815</v>
      </c>
      <c r="Y346" s="735">
        <f t="shared" si="284"/>
        <v>1.570790370522158</v>
      </c>
      <c r="Z346" s="340" t="str">
        <f>IMSUM(COMPLEX(1,0),IMDIV(COMPLEX(0,2*PI()*D346),COMPLEX(2*PI()*'Stability Calculations'!EA_Zero1,0)))</f>
        <v>1+1662.27950486743i</v>
      </c>
      <c r="AA346" s="734">
        <f t="shared" si="285"/>
        <v>1662.2798056591762</v>
      </c>
      <c r="AB346" s="735">
        <f t="shared" si="286"/>
        <v>1.5701947433208554</v>
      </c>
      <c r="AC346" s="733" t="str">
        <f>IMSUM(COMPLEX(1,0),IMDIV(COMPLEX(0,2*PI()*D346),COMPLEX(2*PI()*'Stability Calculations'!EA_Pole2,0)))</f>
        <v>1+16.7448996640589i</v>
      </c>
      <c r="AD346" s="734">
        <f t="shared" si="287"/>
        <v>16.774732926619123</v>
      </c>
      <c r="AE346" s="735">
        <f t="shared" si="288"/>
        <v>1.5111474937651794</v>
      </c>
      <c r="AF346" s="732" t="str">
        <f t="shared" si="289"/>
        <v>0.209009185472425-3.53522163804914i</v>
      </c>
      <c r="AG346" s="337">
        <f t="shared" si="290"/>
        <v>3.5413947633302181</v>
      </c>
      <c r="AH346" s="730">
        <f t="shared" si="291"/>
        <v>-1.511743120966482</v>
      </c>
      <c r="AI346" s="731" t="str">
        <f t="shared" si="269"/>
        <v>10000</v>
      </c>
      <c r="AJ346" s="733" t="str">
        <f t="shared" si="292"/>
        <v>1+156519.905722417i</v>
      </c>
      <c r="AK346" s="734">
        <f t="shared" si="293"/>
        <v>156519.90572561149</v>
      </c>
      <c r="AL346" s="735">
        <f t="shared" si="294"/>
        <v>1.5707899378311712</v>
      </c>
      <c r="AM346" s="340" t="str">
        <f t="shared" si="295"/>
        <v>1+265.632264877815i</v>
      </c>
      <c r="AN346" s="734">
        <f t="shared" si="296"/>
        <v>265.63414717260594</v>
      </c>
      <c r="AO346" s="735">
        <f t="shared" si="297"/>
        <v>1.5670317416590445</v>
      </c>
      <c r="AP346" s="733" t="str">
        <f t="shared" si="298"/>
        <v>1+12.8836026964083i</v>
      </c>
      <c r="AQ346" s="734">
        <f t="shared" si="299"/>
        <v>12.922353440410891</v>
      </c>
      <c r="AR346" s="735">
        <f t="shared" si="300"/>
        <v>1.4933335964750665</v>
      </c>
      <c r="AS346" s="732" t="str">
        <f t="shared" si="301"/>
        <v>0.00391330766374841-8.84681513093788i</v>
      </c>
      <c r="AT346" s="337">
        <f t="shared" si="302"/>
        <v>8.8468159964457431</v>
      </c>
      <c r="AU346" s="730">
        <f t="shared" si="303"/>
        <v>-1.5703539859806492</v>
      </c>
      <c r="AV346" s="732" t="str">
        <f t="shared" si="304"/>
        <v>-0.484545917417683+0.0710938918569387i</v>
      </c>
      <c r="AW346" s="337">
        <f t="shared" si="305"/>
        <v>-6.2008003674189203</v>
      </c>
      <c r="AX346" s="730">
        <f t="shared" si="306"/>
        <v>171.65296481270369</v>
      </c>
      <c r="AY346" s="360">
        <f t="shared" si="307"/>
        <v>-8.3470351872963136</v>
      </c>
      <c r="BB346" s="337">
        <f t="shared" si="308"/>
        <v>-21.064260109163975</v>
      </c>
      <c r="BC346" s="730">
        <f t="shared" si="309"/>
        <v>-89.974655738237246</v>
      </c>
      <c r="BD346" s="351"/>
      <c r="BE346" s="337">
        <f t="shared" si="270"/>
        <v>34.450372132556801</v>
      </c>
      <c r="BF346" s="730">
        <f t="shared" si="271"/>
        <v>-88.928915797936199</v>
      </c>
      <c r="BI346" s="351"/>
      <c r="BJ346" s="351"/>
      <c r="BL346" s="405">
        <f t="shared" si="272"/>
        <v>0</v>
      </c>
      <c r="BM346" s="405">
        <f t="shared" ref="BM346:BM409" si="310">IF(BL346&gt;0,AY346,0)</f>
        <v>0</v>
      </c>
      <c r="BN346" s="405">
        <f t="shared" si="273"/>
        <v>0</v>
      </c>
      <c r="BO346" s="405">
        <f t="shared" si="274"/>
        <v>0</v>
      </c>
    </row>
    <row r="347" spans="4:67" ht="13.5" thickBot="1" x14ac:dyDescent="0.25">
      <c r="D347" s="345">
        <v>26609</v>
      </c>
      <c r="E347" s="340" t="str">
        <f t="shared" si="261"/>
        <v>0.441379693494278i</v>
      </c>
      <c r="F347" s="728" t="str">
        <f t="shared" si="275"/>
        <v>0.005-0.0980531935711977i</v>
      </c>
      <c r="G347" s="337" t="str">
        <f t="shared" si="276"/>
        <v>0.005-0.153365251483155i</v>
      </c>
      <c r="H347" s="338" t="str">
        <f t="shared" si="277"/>
        <v>0.0237791098868624-0.149752387560705i</v>
      </c>
      <c r="I347" s="338" t="str">
        <f t="shared" si="278"/>
        <v>0.0337791098868624-0.149752387560705i</v>
      </c>
      <c r="J347" s="337" t="str">
        <f t="shared" si="279"/>
        <v>0.00704872525189907-0.0596764105124764i</v>
      </c>
      <c r="K347" s="338" t="str">
        <f t="shared" si="262"/>
        <v>0.992132901322222-0.139324398198951i</v>
      </c>
      <c r="L347" s="732"/>
      <c r="M347" s="732" t="str">
        <f t="shared" si="263"/>
        <v>0.967254399170996-52.378858083976i</v>
      </c>
      <c r="N347" s="337">
        <f t="shared" si="264"/>
        <v>0</v>
      </c>
      <c r="O347" s="730" t="str">
        <f t="shared" si="265"/>
        <v>-1.75766642968703-20.4310059361994i</v>
      </c>
      <c r="P347" s="731" t="str">
        <f t="shared" si="266"/>
        <v>-3.11896432668565-0.426926450237086i</v>
      </c>
      <c r="Q347" s="729" t="str">
        <f t="shared" si="267"/>
        <v>-3.10138766238878-0.222616390875092i</v>
      </c>
      <c r="R347" s="730"/>
      <c r="S347" s="405" t="str">
        <f t="shared" si="280"/>
        <v>39.7238799054516-4.05177378750109i</v>
      </c>
      <c r="T347" s="405" t="str">
        <f t="shared" si="281"/>
        <v>15.2997957592575-3.19598298530062i</v>
      </c>
      <c r="U347" s="405" t="str">
        <f t="shared" si="282"/>
        <v>-0.11479055804622-2.36717857474398i</v>
      </c>
      <c r="V347" s="731" t="str">
        <f t="shared" si="268"/>
        <v>6000</v>
      </c>
      <c r="W347" s="733" t="str">
        <f>IMSUM(COMPLEX(1,0),IMDIV(COMPLEX(0,2*PI()*D347),COMPLEX(2*PI()*'Stability Calculations'!EA_Pole1,0)))</f>
        <v>1+168861.170617129i</v>
      </c>
      <c r="X347" s="734">
        <f t="shared" si="283"/>
        <v>168861.17062009004</v>
      </c>
      <c r="Y347" s="735">
        <f t="shared" si="284"/>
        <v>1.5707904047703345</v>
      </c>
      <c r="Z347" s="340" t="str">
        <f>IMSUM(COMPLEX(1,0),IMDIV(COMPLEX(0,2*PI()*D347),COMPLEX(2*PI()*'Stability Calculations'!EA_Zero1,0)))</f>
        <v>1+1671.89277838742i</v>
      </c>
      <c r="AA347" s="734">
        <f t="shared" si="285"/>
        <v>1671.8930774496337</v>
      </c>
      <c r="AB347" s="735">
        <f t="shared" si="286"/>
        <v>1.5701982023854393</v>
      </c>
      <c r="AC347" s="733" t="str">
        <f>IMSUM(COMPLEX(1,0),IMDIV(COMPLEX(0,2*PI()*D347),COMPLEX(2*PI()*'Stability Calculations'!EA_Pole2,0)))</f>
        <v>1+16.841738553105i</v>
      </c>
      <c r="AD347" s="734">
        <f t="shared" si="287"/>
        <v>16.871400578824012</v>
      </c>
      <c r="AE347" s="735">
        <f t="shared" si="288"/>
        <v>1.5114896646521094</v>
      </c>
      <c r="AF347" s="732" t="str">
        <f t="shared" si="289"/>
        <v>0.206620937404994-3.51503615130514i</v>
      </c>
      <c r="AG347" s="337">
        <f t="shared" si="290"/>
        <v>3.5211037128656364</v>
      </c>
      <c r="AH347" s="730">
        <f t="shared" si="291"/>
        <v>-1.5120818670370049</v>
      </c>
      <c r="AI347" s="731" t="str">
        <f t="shared" si="269"/>
        <v>10000</v>
      </c>
      <c r="AJ347" s="733" t="str">
        <f t="shared" si="292"/>
        <v>1+157425.089634404i</v>
      </c>
      <c r="AK347" s="734">
        <f t="shared" si="293"/>
        <v>157425.08963758012</v>
      </c>
      <c r="AL347" s="735">
        <f t="shared" si="294"/>
        <v>1.5707899745672924</v>
      </c>
      <c r="AM347" s="340" t="str">
        <f t="shared" si="295"/>
        <v>1+267.16846598631i</v>
      </c>
      <c r="AN347" s="734">
        <f t="shared" si="296"/>
        <v>267.17033745810573</v>
      </c>
      <c r="AO347" s="735">
        <f t="shared" si="297"/>
        <v>1.5670533875732364</v>
      </c>
      <c r="AP347" s="733" t="str">
        <f t="shared" si="298"/>
        <v>1+12.9581109823379i</v>
      </c>
      <c r="AQ347" s="734">
        <f t="shared" si="299"/>
        <v>12.996639574543339</v>
      </c>
      <c r="AR347" s="735">
        <f t="shared" si="300"/>
        <v>1.4937772377005811</v>
      </c>
      <c r="AS347" s="732" t="str">
        <f t="shared" si="301"/>
        <v>0.00386843452980441-8.79594654550052i</v>
      </c>
      <c r="AT347" s="337">
        <f t="shared" si="302"/>
        <v>8.7959473961642267</v>
      </c>
      <c r="AU347" s="730">
        <f t="shared" si="303"/>
        <v>-1.5703565294109108</v>
      </c>
      <c r="AV347" s="732" t="str">
        <f t="shared" si="304"/>
        <v>-0.478879851416749+0.0707967719359505i</v>
      </c>
      <c r="AW347" s="337">
        <f t="shared" si="305"/>
        <v>-6.3015710488334866</v>
      </c>
      <c r="AX347" s="730">
        <f t="shared" si="306"/>
        <v>171.59040478877532</v>
      </c>
      <c r="AY347" s="360">
        <f t="shared" si="307"/>
        <v>-8.4095952112246835</v>
      </c>
      <c r="BB347" s="337">
        <f t="shared" si="308"/>
        <v>-21.114347531709061</v>
      </c>
      <c r="BC347" s="730">
        <f t="shared" si="309"/>
        <v>-89.974801466056718</v>
      </c>
      <c r="BD347" s="351"/>
      <c r="BE347" s="337">
        <f t="shared" si="270"/>
        <v>34.384601264875315</v>
      </c>
      <c r="BF347" s="730">
        <f t="shared" si="271"/>
        <v>-88.942067495827843</v>
      </c>
      <c r="BI347" s="351"/>
      <c r="BJ347" s="351"/>
      <c r="BL347" s="405">
        <f t="shared" si="272"/>
        <v>0</v>
      </c>
      <c r="BM347" s="405">
        <f t="shared" si="310"/>
        <v>0</v>
      </c>
      <c r="BN347" s="405">
        <f t="shared" si="273"/>
        <v>0</v>
      </c>
      <c r="BO347" s="405">
        <f t="shared" si="274"/>
        <v>0</v>
      </c>
    </row>
    <row r="348" spans="4:67" ht="13.5" thickBot="1" x14ac:dyDescent="0.25">
      <c r="D348" s="345">
        <v>26762</v>
      </c>
      <c r="E348" s="340" t="str">
        <f t="shared" si="261"/>
        <v>0.443917597703554i</v>
      </c>
      <c r="F348" s="728" t="str">
        <f t="shared" si="275"/>
        <v>0.005-0.0974926174327779i</v>
      </c>
      <c r="G348" s="337" t="str">
        <f t="shared" si="276"/>
        <v>0.005-0.152488452907678i</v>
      </c>
      <c r="H348" s="338" t="str">
        <f t="shared" si="277"/>
        <v>0.0235680559366361-0.148922587707931i</v>
      </c>
      <c r="I348" s="338" t="str">
        <f t="shared" si="278"/>
        <v>0.0335680559366361-0.148922587707931i</v>
      </c>
      <c r="J348" s="337" t="str">
        <f t="shared" si="279"/>
        <v>0.00701551779331868-0.0593371966034051i</v>
      </c>
      <c r="K348" s="338" t="str">
        <f t="shared" si="262"/>
        <v>0.992042170622222-0.140125504325617i</v>
      </c>
      <c r="L348" s="732"/>
      <c r="M348" s="732" t="str">
        <f t="shared" si="263"/>
        <v>0.948354989716719-51.987430304564i</v>
      </c>
      <c r="N348" s="337">
        <f t="shared" si="264"/>
        <v>0</v>
      </c>
      <c r="O348" s="730" t="str">
        <f t="shared" si="265"/>
        <v>-1.74350173470467-20.2763681070927i</v>
      </c>
      <c r="P348" s="731" t="str">
        <f t="shared" si="266"/>
        <v>-3.07813517158299-0.420991468805226i</v>
      </c>
      <c r="Q348" s="729" t="str">
        <f t="shared" si="267"/>
        <v>-3.06070015423594-0.2182277877343i</v>
      </c>
      <c r="R348" s="730"/>
      <c r="S348" s="405" t="str">
        <f t="shared" si="280"/>
        <v>39.7200286542213-4.09230390563387i</v>
      </c>
      <c r="T348" s="405" t="str">
        <f t="shared" si="281"/>
        <v>15.2960320712057-3.20721887230568i</v>
      </c>
      <c r="U348" s="405" t="str">
        <f t="shared" si="282"/>
        <v>-0.117129594346717-2.35351259149099i</v>
      </c>
      <c r="V348" s="731" t="str">
        <f t="shared" si="268"/>
        <v>6000</v>
      </c>
      <c r="W348" s="733" t="str">
        <f>IMSUM(COMPLEX(1,0),IMDIV(COMPLEX(0,2*PI()*D348),COMPLEX(2*PI()*'Stability Calculations'!EA_Pole1,0)))</f>
        <v>1+169832.111242647i</v>
      </c>
      <c r="X348" s="734">
        <f t="shared" si="283"/>
        <v>169832.11124559108</v>
      </c>
      <c r="Y348" s="735">
        <f t="shared" si="284"/>
        <v>1.5707904386269131</v>
      </c>
      <c r="Z348" s="340" t="str">
        <f>IMSUM(COMPLEX(1,0),IMDIV(COMPLEX(0,2*PI()*D348),COMPLEX(2*PI()*'Stability Calculations'!EA_Zero1,0)))</f>
        <v>1+1681.5060519074i</v>
      </c>
      <c r="AA348" s="734">
        <f t="shared" si="285"/>
        <v>1681.5063492598567</v>
      </c>
      <c r="AB348" s="735">
        <f t="shared" si="286"/>
        <v>1.5702016218986672</v>
      </c>
      <c r="AC348" s="733" t="str">
        <f>IMSUM(COMPLEX(1,0),IMDIV(COMPLEX(0,2*PI()*D348),COMPLEX(2*PI()*'Stability Calculations'!EA_Pole2,0)))</f>
        <v>1+16.9385774421509i</v>
      </c>
      <c r="AD348" s="734">
        <f t="shared" si="287"/>
        <v>16.968070183840688</v>
      </c>
      <c r="AE348" s="735">
        <f t="shared" si="288"/>
        <v>1.5118279367819849</v>
      </c>
      <c r="AF348" s="732" t="str">
        <f t="shared" si="289"/>
        <v>0.204273343724997-3.49507906779571i</v>
      </c>
      <c r="AG348" s="337">
        <f t="shared" si="290"/>
        <v>3.5010434571853462</v>
      </c>
      <c r="AH348" s="730">
        <f t="shared" si="291"/>
        <v>-1.5124167535102309</v>
      </c>
      <c r="AI348" s="731" t="str">
        <f t="shared" si="269"/>
        <v>10000</v>
      </c>
      <c r="AJ348" s="733" t="str">
        <f t="shared" si="292"/>
        <v>1+158330.273546391i</v>
      </c>
      <c r="AK348" s="734">
        <f t="shared" si="293"/>
        <v>158330.27354954896</v>
      </c>
      <c r="AL348" s="735">
        <f t="shared" si="294"/>
        <v>1.5707900108833681</v>
      </c>
      <c r="AM348" s="340" t="str">
        <f t="shared" si="295"/>
        <v>1+268.704667094802i</v>
      </c>
      <c r="AN348" s="734">
        <f t="shared" si="296"/>
        <v>268.70652786735263</v>
      </c>
      <c r="AO348" s="735">
        <f t="shared" si="297"/>
        <v>1.5670747859888303</v>
      </c>
      <c r="AP348" s="733" t="str">
        <f t="shared" si="298"/>
        <v>1+13.0326192682673i</v>
      </c>
      <c r="AQ348" s="734">
        <f t="shared" si="299"/>
        <v>13.070928237566454</v>
      </c>
      <c r="AR348" s="735">
        <f t="shared" si="300"/>
        <v>1.4942158361389151</v>
      </c>
      <c r="AS348" s="732" t="str">
        <f t="shared" si="301"/>
        <v>0.00382432882094626-8.74565959739083i</v>
      </c>
      <c r="AT348" s="337">
        <f t="shared" si="302"/>
        <v>8.7456604335479007</v>
      </c>
      <c r="AU348" s="730">
        <f t="shared" si="303"/>
        <v>-1.5703590437592834</v>
      </c>
      <c r="AV348" s="732" t="str">
        <f t="shared" si="304"/>
        <v>-0.47331095398457+0.0705009302670833i</v>
      </c>
      <c r="AW348" s="337">
        <f t="shared" si="305"/>
        <v>-6.4017657882957373</v>
      </c>
      <c r="AX348" s="730">
        <f t="shared" si="306"/>
        <v>171.52793052430374</v>
      </c>
      <c r="AY348" s="360">
        <f t="shared" si="307"/>
        <v>-8.4720694756962587</v>
      </c>
      <c r="BB348" s="337">
        <f t="shared" si="308"/>
        <v>-21.164147779016655</v>
      </c>
      <c r="BC348" s="730">
        <f t="shared" si="309"/>
        <v>-89.974945527606693</v>
      </c>
      <c r="BD348" s="351"/>
      <c r="BE348" s="337">
        <f t="shared" si="270"/>
        <v>34.31941198764352</v>
      </c>
      <c r="BF348" s="730">
        <f t="shared" si="271"/>
        <v>-88.954925987882518</v>
      </c>
      <c r="BI348" s="351"/>
      <c r="BJ348" s="351"/>
      <c r="BL348" s="405">
        <f t="shared" si="272"/>
        <v>0</v>
      </c>
      <c r="BM348" s="405">
        <f t="shared" si="310"/>
        <v>0</v>
      </c>
      <c r="BN348" s="405">
        <f t="shared" si="273"/>
        <v>0</v>
      </c>
      <c r="BO348" s="405">
        <f t="shared" si="274"/>
        <v>0</v>
      </c>
    </row>
    <row r="349" spans="4:67" ht="13.5" thickBot="1" x14ac:dyDescent="0.25">
      <c r="D349" s="345">
        <v>26915</v>
      </c>
      <c r="E349" s="340" t="str">
        <f t="shared" si="261"/>
        <v>0.44645550191283i</v>
      </c>
      <c r="F349" s="728" t="str">
        <f t="shared" si="275"/>
        <v>0.005-0.0969384145545598i</v>
      </c>
      <c r="G349" s="337" t="str">
        <f t="shared" si="276"/>
        <v>0.005-0.151621622764825i</v>
      </c>
      <c r="H349" s="338" t="str">
        <f t="shared" si="277"/>
        <v>0.0233605181939348-0.148101785555262i</v>
      </c>
      <c r="I349" s="338" t="str">
        <f t="shared" si="278"/>
        <v>0.0333605181939348-0.148101785555262i</v>
      </c>
      <c r="J349" s="337" t="str">
        <f t="shared" si="279"/>
        <v>0.00698287264882026-0.0590018139891663i</v>
      </c>
      <c r="K349" s="338" t="str">
        <f t="shared" si="262"/>
        <v>0.991950919722222-0.140926610452282i</v>
      </c>
      <c r="L349" s="732"/>
      <c r="M349" s="732" t="str">
        <f t="shared" si="263"/>
        <v>0.930001136292548-51.6023115630819i</v>
      </c>
      <c r="N349" s="337">
        <f t="shared" si="264"/>
        <v>0</v>
      </c>
      <c r="O349" s="730" t="str">
        <f t="shared" si="265"/>
        <v>-1.72956163704792-20.124246477674i</v>
      </c>
      <c r="P349" s="731" t="str">
        <f t="shared" si="266"/>
        <v>-3.03813590875798-0.415204124082992i</v>
      </c>
      <c r="Q349" s="729" t="str">
        <f t="shared" si="267"/>
        <v>-3.0208402923875-0.213961659306251i</v>
      </c>
      <c r="R349" s="730"/>
      <c r="S349" s="405" t="str">
        <f t="shared" si="280"/>
        <v>39.7161210030097-4.13273366434558i</v>
      </c>
      <c r="T349" s="405" t="str">
        <f t="shared" si="281"/>
        <v>15.2922605339135-3.21848856745542i</v>
      </c>
      <c r="U349" s="405" t="str">
        <f t="shared" si="282"/>
        <v>-0.119428773200468-2.33999665098587i</v>
      </c>
      <c r="V349" s="731" t="str">
        <f t="shared" si="268"/>
        <v>6000</v>
      </c>
      <c r="W349" s="733" t="str">
        <f>IMSUM(COMPLEX(1,0),IMDIV(COMPLEX(0,2*PI()*D349),COMPLEX(2*PI()*'Stability Calculations'!EA_Pole1,0)))</f>
        <v>1+170803.051868166i</v>
      </c>
      <c r="X349" s="734">
        <f t="shared" si="283"/>
        <v>170803.05187109334</v>
      </c>
      <c r="Y349" s="735">
        <f t="shared" si="284"/>
        <v>1.5707904720985721</v>
      </c>
      <c r="Z349" s="340" t="str">
        <f>IMSUM(COMPLEX(1,0),IMDIV(COMPLEX(0,2*PI()*D349),COMPLEX(2*PI()*'Stability Calculations'!EA_Zero1,0)))</f>
        <v>1+1691.11932542739i</v>
      </c>
      <c r="AA349" s="734">
        <f t="shared" si="285"/>
        <v>1691.1196210895287</v>
      </c>
      <c r="AB349" s="735">
        <f t="shared" si="286"/>
        <v>1.5702050025350356</v>
      </c>
      <c r="AC349" s="733" t="str">
        <f>IMSUM(COMPLEX(1,0),IMDIV(COMPLEX(0,2*PI()*D349),COMPLEX(2*PI()*'Stability Calculations'!EA_Pole2,0)))</f>
        <v>1+17.035416331197i</v>
      </c>
      <c r="AD349" s="734">
        <f t="shared" si="287"/>
        <v>17.064741708482238</v>
      </c>
      <c r="AE349" s="735">
        <f t="shared" si="288"/>
        <v>1.5121623763359398</v>
      </c>
      <c r="AF349" s="732" t="str">
        <f t="shared" si="289"/>
        <v>0.201965487963813-3.47534654620116i</v>
      </c>
      <c r="AG349" s="337">
        <f t="shared" si="290"/>
        <v>3.4812100876736518</v>
      </c>
      <c r="AH349" s="730">
        <f t="shared" si="291"/>
        <v>-1.5127478458994763</v>
      </c>
      <c r="AI349" s="731" t="str">
        <f t="shared" si="269"/>
        <v>10000</v>
      </c>
      <c r="AJ349" s="733" t="str">
        <f t="shared" si="292"/>
        <v>1+159235.457458379i</v>
      </c>
      <c r="AK349" s="734">
        <f t="shared" si="293"/>
        <v>159235.45746151902</v>
      </c>
      <c r="AL349" s="735">
        <f t="shared" si="294"/>
        <v>1.5707900467865621</v>
      </c>
      <c r="AM349" s="340" t="str">
        <f t="shared" si="295"/>
        <v>1+270.240868203297i</v>
      </c>
      <c r="AN349" s="734">
        <f t="shared" si="296"/>
        <v>270.2427183982424</v>
      </c>
      <c r="AO349" s="735">
        <f t="shared" si="297"/>
        <v>1.5670959411265126</v>
      </c>
      <c r="AP349" s="733" t="str">
        <f t="shared" si="298"/>
        <v>1+13.1071275541969i</v>
      </c>
      <c r="AQ349" s="734">
        <f t="shared" si="299"/>
        <v>13.145219386605445</v>
      </c>
      <c r="AR349" s="735">
        <f t="shared" si="300"/>
        <v>1.4946494771188972</v>
      </c>
      <c r="AS349" s="732" t="str">
        <f t="shared" si="301"/>
        <v>0.00378097313696858-8.69594436755512i</v>
      </c>
      <c r="AT349" s="337">
        <f t="shared" si="302"/>
        <v>8.6959451895335356</v>
      </c>
      <c r="AU349" s="730">
        <f t="shared" si="303"/>
        <v>-1.5703615295217204</v>
      </c>
      <c r="AV349" s="732" t="str">
        <f t="shared" si="304"/>
        <v>-0.467837014940011+0.0702063932898161i</v>
      </c>
      <c r="AW349" s="337">
        <f t="shared" si="305"/>
        <v>-6.5013912178281483</v>
      </c>
      <c r="AX349" s="730">
        <f t="shared" si="306"/>
        <v>171.46554045143836</v>
      </c>
      <c r="AY349" s="360">
        <f t="shared" si="307"/>
        <v>-8.5344595485616424</v>
      </c>
      <c r="BB349" s="337">
        <f t="shared" si="308"/>
        <v>-21.213664125349112</v>
      </c>
      <c r="BC349" s="730">
        <f t="shared" si="309"/>
        <v>-89.975087951303209</v>
      </c>
      <c r="BD349" s="351"/>
      <c r="BE349" s="337">
        <f t="shared" si="270"/>
        <v>34.254793532442946</v>
      </c>
      <c r="BF349" s="730">
        <f t="shared" si="271"/>
        <v>-88.967500284581803</v>
      </c>
      <c r="BI349" s="351"/>
      <c r="BJ349" s="351"/>
      <c r="BL349" s="405">
        <f t="shared" si="272"/>
        <v>0</v>
      </c>
      <c r="BM349" s="405">
        <f t="shared" si="310"/>
        <v>0</v>
      </c>
      <c r="BN349" s="405">
        <f t="shared" si="273"/>
        <v>0</v>
      </c>
      <c r="BO349" s="405">
        <f t="shared" si="274"/>
        <v>0</v>
      </c>
    </row>
    <row r="350" spans="4:67" ht="13.5" thickBot="1" x14ac:dyDescent="0.25">
      <c r="D350" s="345">
        <v>27071.75</v>
      </c>
      <c r="E350" s="340" t="str">
        <f t="shared" si="261"/>
        <v>0.449055609656647i</v>
      </c>
      <c r="F350" s="728" t="str">
        <f t="shared" si="275"/>
        <v>0.005-0.0963771247790033i</v>
      </c>
      <c r="G350" s="337" t="str">
        <f t="shared" si="276"/>
        <v>0.005-0.150743707987672i</v>
      </c>
      <c r="H350" s="338" t="str">
        <f t="shared" si="277"/>
        <v>0.0231514594945827-0.147270047368727i</v>
      </c>
      <c r="I350" s="338" t="str">
        <f t="shared" si="278"/>
        <v>0.0331514594945827-0.147270047368727i</v>
      </c>
      <c r="J350" s="337" t="str">
        <f t="shared" si="279"/>
        <v>0.0069499973294081-0.0586621172312511i</v>
      </c>
      <c r="K350" s="338" t="str">
        <f t="shared" si="262"/>
        <v>0.991856892799306-0.141747351533032i</v>
      </c>
      <c r="L350" s="732"/>
      <c r="M350" s="732" t="str">
        <f t="shared" si="263"/>
        <v>0.911741817966349-51.2141308313965i</v>
      </c>
      <c r="N350" s="337">
        <f t="shared" si="264"/>
        <v>0</v>
      </c>
      <c r="O350" s="730" t="str">
        <f t="shared" si="265"/>
        <v>-1.71550836722727-19.9709390329417i</v>
      </c>
      <c r="P350" s="731" t="str">
        <f t="shared" si="266"/>
        <v>-2.99799274352803-0.409422777916339i</v>
      </c>
      <c r="Q350" s="729" t="str">
        <f t="shared" si="267"/>
        <v>-2.98083765985576-0.209713387586922i</v>
      </c>
      <c r="R350" s="730"/>
      <c r="S350" s="405" t="str">
        <f t="shared" si="280"/>
        <v>39.7120596750603-4.17405189495674i</v>
      </c>
      <c r="T350" s="405" t="str">
        <f t="shared" si="281"/>
        <v>15.2883881874592-3.23006886422267i</v>
      </c>
      <c r="U350" s="405" t="str">
        <f t="shared" si="282"/>
        <v>-0.121743894778905-2.32630246103336i</v>
      </c>
      <c r="V350" s="731" t="str">
        <f t="shared" si="268"/>
        <v>6000</v>
      </c>
      <c r="W350" s="733" t="str">
        <f>IMSUM(COMPLEX(1,0),IMDIV(COMPLEX(0,2*PI()*D350),COMPLEX(2*PI()*'Stability Calculations'!EA_Pole1,0)))</f>
        <v>1+171797.790058035i</v>
      </c>
      <c r="X350" s="734">
        <f t="shared" si="283"/>
        <v>171797.79006094538</v>
      </c>
      <c r="Y350" s="735">
        <f t="shared" si="284"/>
        <v>1.5707905059982517</v>
      </c>
      <c r="Z350" s="340" t="str">
        <f>IMSUM(COMPLEX(1,0),IMDIV(COMPLEX(0,2*PI()*D350),COMPLEX(2*PI()*'Stability Calculations'!EA_Zero1,0)))</f>
        <v>1+1700.96821839639i</v>
      </c>
      <c r="AA350" s="734">
        <f t="shared" si="285"/>
        <v>1700.9685123465952</v>
      </c>
      <c r="AB350" s="735">
        <f t="shared" si="286"/>
        <v>1.5702084264014762</v>
      </c>
      <c r="AC350" s="733" t="str">
        <f>IMSUM(COMPLEX(1,0),IMDIV(COMPLEX(0,2*PI()*D350),COMPLEX(2*PI()*'Stability Calculations'!EA_Pole2,0)))</f>
        <v>1+17.1346287224254i</v>
      </c>
      <c r="AD350" s="734">
        <f t="shared" si="287"/>
        <v>17.163784590100327</v>
      </c>
      <c r="AE350" s="735">
        <f t="shared" si="288"/>
        <v>1.5125011059372082</v>
      </c>
      <c r="AF350" s="732" t="str">
        <f t="shared" si="289"/>
        <v>0.199641346694233-3.45535934322024i</v>
      </c>
      <c r="AG350" s="337">
        <f t="shared" si="290"/>
        <v>3.461121907429626</v>
      </c>
      <c r="AH350" s="730">
        <f t="shared" si="291"/>
        <v>-1.5130831855339839</v>
      </c>
      <c r="AI350" s="731" t="str">
        <f t="shared" si="269"/>
        <v>10000</v>
      </c>
      <c r="AJ350" s="733" t="str">
        <f t="shared" si="292"/>
        <v>1+160162.827250561i</v>
      </c>
      <c r="AK350" s="734">
        <f t="shared" si="293"/>
        <v>160162.82725368283</v>
      </c>
      <c r="AL350" s="735">
        <f t="shared" si="294"/>
        <v>1.5707900831488699</v>
      </c>
      <c r="AM350" s="340" t="str">
        <f t="shared" si="295"/>
        <v>1+271.814721299743i</v>
      </c>
      <c r="AN350" s="734">
        <f t="shared" si="296"/>
        <v>271.81656078182021</v>
      </c>
      <c r="AO350" s="735">
        <f t="shared" si="297"/>
        <v>1.5671173667899638</v>
      </c>
      <c r="AP350" s="733" t="str">
        <f t="shared" si="298"/>
        <v>1+13.183462023605i</v>
      </c>
      <c r="AQ350" s="734">
        <f t="shared" si="299"/>
        <v>13.221333931484947</v>
      </c>
      <c r="AR350" s="735">
        <f t="shared" si="300"/>
        <v>1.4950886925522799</v>
      </c>
      <c r="AS350" s="732" t="str">
        <f t="shared" si="301"/>
        <v>0.00373731496147059-8.64559340137441i</v>
      </c>
      <c r="AT350" s="337">
        <f t="shared" si="302"/>
        <v>8.6455942091571618</v>
      </c>
      <c r="AU350" s="730">
        <f t="shared" si="303"/>
        <v>-1.5703640470709757</v>
      </c>
      <c r="AV350" s="732" t="str">
        <f t="shared" si="304"/>
        <v>-0.46232514367517+0.0699060158630192i</v>
      </c>
      <c r="AW350" s="337">
        <f t="shared" si="305"/>
        <v>-6.6028748502041559</v>
      </c>
      <c r="AX350" s="730">
        <f t="shared" si="306"/>
        <v>171.40170692278139</v>
      </c>
      <c r="AY350" s="360">
        <f t="shared" si="307"/>
        <v>-8.5982930772186137</v>
      </c>
      <c r="BB350" s="337">
        <f t="shared" si="308"/>
        <v>-21.264103048634965</v>
      </c>
      <c r="BC350" s="730">
        <f t="shared" si="309"/>
        <v>-89.975232196250246</v>
      </c>
      <c r="BD350" s="351"/>
      <c r="BE350" s="337">
        <f t="shared" si="270"/>
        <v>34.189172325697726</v>
      </c>
      <c r="BF350" s="730">
        <f t="shared" si="271"/>
        <v>-88.980097100767864</v>
      </c>
      <c r="BI350" s="351"/>
      <c r="BJ350" s="351"/>
      <c r="BL350" s="405">
        <f t="shared" si="272"/>
        <v>0</v>
      </c>
      <c r="BM350" s="405">
        <f t="shared" si="310"/>
        <v>0</v>
      </c>
      <c r="BN350" s="405">
        <f t="shared" si="273"/>
        <v>0</v>
      </c>
      <c r="BO350" s="405">
        <f t="shared" si="274"/>
        <v>0</v>
      </c>
    </row>
    <row r="351" spans="4:67" ht="13.5" thickBot="1" x14ac:dyDescent="0.25">
      <c r="D351" s="345">
        <v>27228.5</v>
      </c>
      <c r="E351" s="340" t="str">
        <f t="shared" si="261"/>
        <v>0.451655717400464i</v>
      </c>
      <c r="F351" s="728" t="str">
        <f t="shared" si="275"/>
        <v>0.005-0.0958222975094474i</v>
      </c>
      <c r="G351" s="337" t="str">
        <f t="shared" si="276"/>
        <v>0.005-0.149875901232726i</v>
      </c>
      <c r="H351" s="338" t="str">
        <f t="shared" si="277"/>
        <v>0.0229459295600652-0.146447452628141i</v>
      </c>
      <c r="I351" s="338" t="str">
        <f t="shared" si="278"/>
        <v>0.0329459295600652-0.146447452628141i</v>
      </c>
      <c r="J351" s="337" t="str">
        <f t="shared" si="279"/>
        <v>0.00691768576834164-0.0583263066738346i</v>
      </c>
      <c r="K351" s="338" t="str">
        <f t="shared" si="262"/>
        <v>0.991762319863889-0.142568092613783i</v>
      </c>
      <c r="L351" s="732"/>
      <c r="M351" s="732" t="str">
        <f t="shared" si="263"/>
        <v>0.894012657988168-50.8322412616512i</v>
      </c>
      <c r="N351" s="337">
        <f t="shared" si="264"/>
        <v>0</v>
      </c>
      <c r="O351" s="730" t="str">
        <f t="shared" si="265"/>
        <v>-1.7016819217613-19.8201392327857i</v>
      </c>
      <c r="P351" s="731" t="str">
        <f t="shared" si="266"/>
        <v>-2.95867239410453-0.403785928408742i</v>
      </c>
      <c r="Q351" s="729" t="str">
        <f t="shared" si="267"/>
        <v>-2.94165557488692-0.205584536080884i</v>
      </c>
      <c r="R351" s="730"/>
      <c r="S351" s="405" t="str">
        <f t="shared" si="280"/>
        <v>39.707940329698-4.21526805337974i</v>
      </c>
      <c r="T351" s="405" t="str">
        <f t="shared" si="281"/>
        <v>15.284507142851-3.24168328403134i</v>
      </c>
      <c r="U351" s="405" t="str">
        <f t="shared" si="282"/>
        <v>-0.124019034913444-2.31276057203858i</v>
      </c>
      <c r="V351" s="731" t="str">
        <f t="shared" si="268"/>
        <v>6000</v>
      </c>
      <c r="W351" s="733" t="str">
        <f>IMSUM(COMPLEX(1,0),IMDIV(COMPLEX(0,2*PI()*D351),COMPLEX(2*PI()*'Stability Calculations'!EA_Pole1,0)))</f>
        <v>1+172792.528247904i</v>
      </c>
      <c r="X351" s="734">
        <f t="shared" si="283"/>
        <v>172792.52825079765</v>
      </c>
      <c r="Y351" s="735">
        <f t="shared" si="284"/>
        <v>1.5707905395076214</v>
      </c>
      <c r="Z351" s="340" t="str">
        <f>IMSUM(COMPLEX(1,0),IMDIV(COMPLEX(0,2*PI()*D351),COMPLEX(2*PI()*'Stability Calculations'!EA_Zero1,0)))</f>
        <v>1+1710.81711136539i</v>
      </c>
      <c r="AA351" s="734">
        <f t="shared" si="285"/>
        <v>1710.8174036233725</v>
      </c>
      <c r="AB351" s="735">
        <f t="shared" si="286"/>
        <v>1.5702118108466574</v>
      </c>
      <c r="AC351" s="733" t="str">
        <f>IMSUM(COMPLEX(1,0),IMDIV(COMPLEX(0,2*PI()*D351),COMPLEX(2*PI()*'Stability Calculations'!EA_Pole2,0)))</f>
        <v>1+17.2338411136539i</v>
      </c>
      <c r="AD351" s="734">
        <f t="shared" si="287"/>
        <v>17.262829418454771</v>
      </c>
      <c r="AE351" s="735">
        <f t="shared" si="288"/>
        <v>1.5128359486800766</v>
      </c>
      <c r="AF351" s="732" t="str">
        <f t="shared" si="289"/>
        <v>0.197357049280897-3.43559995437325i</v>
      </c>
      <c r="AG351" s="337">
        <f t="shared" si="290"/>
        <v>3.4412638450706359</v>
      </c>
      <c r="AH351" s="730">
        <f t="shared" si="291"/>
        <v>-1.5134146773410406</v>
      </c>
      <c r="AI351" s="731" t="str">
        <f t="shared" si="269"/>
        <v>10000</v>
      </c>
      <c r="AJ351" s="733" t="str">
        <f t="shared" si="292"/>
        <v>1+161090.197042743i</v>
      </c>
      <c r="AK351" s="734">
        <f t="shared" si="293"/>
        <v>161090.19704584684</v>
      </c>
      <c r="AL351" s="735">
        <f t="shared" si="294"/>
        <v>1.570790119092514</v>
      </c>
      <c r="AM351" s="340" t="str">
        <f t="shared" si="295"/>
        <v>1+273.388574396189i</v>
      </c>
      <c r="AN351" s="734">
        <f t="shared" si="296"/>
        <v>273.3904032887412</v>
      </c>
      <c r="AO351" s="735">
        <f t="shared" si="297"/>
        <v>1.5671385457686877</v>
      </c>
      <c r="AP351" s="733" t="str">
        <f t="shared" si="298"/>
        <v>1+13.2597964930131i</v>
      </c>
      <c r="AQ351" s="734">
        <f t="shared" si="299"/>
        <v>13.297450997695856</v>
      </c>
      <c r="AR351" s="735">
        <f t="shared" si="300"/>
        <v>1.4955228797680533</v>
      </c>
      <c r="AS351" s="732" t="str">
        <f t="shared" si="301"/>
        <v>0.00369440861218857-8.59582215934674i</v>
      </c>
      <c r="AT351" s="337">
        <f t="shared" si="302"/>
        <v>8.5958229532588355</v>
      </c>
      <c r="AU351" s="730">
        <f t="shared" si="303"/>
        <v>-1.5703665356340017</v>
      </c>
      <c r="AV351" s="732" t="str">
        <f t="shared" si="304"/>
        <v>-0.456908444938584+0.0696070577417811i</v>
      </c>
      <c r="AW351" s="337">
        <f t="shared" si="305"/>
        <v>-6.703774653437959</v>
      </c>
      <c r="AX351" s="730">
        <f t="shared" si="306"/>
        <v>171.33795855201654</v>
      </c>
      <c r="AY351" s="360">
        <f t="shared" si="307"/>
        <v>-8.6620414479834551</v>
      </c>
      <c r="BB351" s="337">
        <f t="shared" si="308"/>
        <v>-21.314250763599251</v>
      </c>
      <c r="BC351" s="730">
        <f t="shared" si="309"/>
        <v>-89.9753747804087</v>
      </c>
      <c r="BD351" s="351"/>
      <c r="BE351" s="337">
        <f t="shared" si="270"/>
        <v>34.124128329509318</v>
      </c>
      <c r="BF351" s="730">
        <f t="shared" si="271"/>
        <v>-88.99241366533623</v>
      </c>
      <c r="BI351" s="351"/>
      <c r="BJ351" s="351"/>
      <c r="BL351" s="405">
        <f t="shared" si="272"/>
        <v>0</v>
      </c>
      <c r="BM351" s="405">
        <f t="shared" si="310"/>
        <v>0</v>
      </c>
      <c r="BN351" s="405">
        <f t="shared" si="273"/>
        <v>0</v>
      </c>
      <c r="BO351" s="405">
        <f t="shared" si="274"/>
        <v>0</v>
      </c>
    </row>
    <row r="352" spans="4:67" ht="13.5" thickBot="1" x14ac:dyDescent="0.25">
      <c r="D352" s="345">
        <v>27385.25</v>
      </c>
      <c r="E352" s="340" t="str">
        <f t="shared" si="261"/>
        <v>0.454255825144281i</v>
      </c>
      <c r="F352" s="728" t="str">
        <f t="shared" si="275"/>
        <v>0.005-0.095273821773984i</v>
      </c>
      <c r="G352" s="337" t="str">
        <f t="shared" si="276"/>
        <v>0.005-0.149018028928539i</v>
      </c>
      <c r="H352" s="338" t="str">
        <f t="shared" si="277"/>
        <v>0.0227438498130717-0.145633853910231i</v>
      </c>
      <c r="I352" s="338" t="str">
        <f t="shared" si="278"/>
        <v>0.0327438498130717-0.145633853910231i</v>
      </c>
      <c r="J352" s="337" t="str">
        <f t="shared" si="279"/>
        <v>0.00688592514009544-0.057994316192988i</v>
      </c>
      <c r="K352" s="338" t="str">
        <f t="shared" si="262"/>
        <v>0.991667200915972-0.143388833694533i</v>
      </c>
      <c r="L352" s="732"/>
      <c r="M352" s="732" t="str">
        <f t="shared" si="263"/>
        <v>0.876793641150501-50.4564839455081i</v>
      </c>
      <c r="N352" s="337">
        <f t="shared" si="264"/>
        <v>0</v>
      </c>
      <c r="O352" s="730" t="str">
        <f t="shared" si="265"/>
        <v>-1.68807790410313-19.6717830522232i</v>
      </c>
      <c r="P352" s="731" t="str">
        <f t="shared" si="266"/>
        <v>-2.92015174854595-0.39828861894208i</v>
      </c>
      <c r="Q352" s="729" t="str">
        <f t="shared" si="267"/>
        <v>-2.90327096950492-0.201570788419846i</v>
      </c>
      <c r="R352" s="730"/>
      <c r="S352" s="405" t="str">
        <f t="shared" si="280"/>
        <v>39.7037635395858-4.25638373789306i</v>
      </c>
      <c r="T352" s="405" t="str">
        <f t="shared" si="281"/>
        <v>15.2806171775281-3.25333115900714i</v>
      </c>
      <c r="U352" s="405" t="str">
        <f t="shared" si="282"/>
        <v>-0.126255092595707-2.29936844496295i</v>
      </c>
      <c r="V352" s="731" t="str">
        <f t="shared" si="268"/>
        <v>6000</v>
      </c>
      <c r="W352" s="733" t="str">
        <f>IMSUM(COMPLEX(1,0),IMDIV(COMPLEX(0,2*PI()*D352),COMPLEX(2*PI()*'Stability Calculations'!EA_Pole1,0)))</f>
        <v>1+173787.266437774i</v>
      </c>
      <c r="X352" s="734">
        <f t="shared" si="283"/>
        <v>173787.26644065109</v>
      </c>
      <c r="Y352" s="735">
        <f t="shared" si="284"/>
        <v>1.5707905726333835</v>
      </c>
      <c r="Z352" s="340" t="str">
        <f>IMSUM(COMPLEX(1,0),IMDIV(COMPLEX(0,2*PI()*D352),COMPLEX(2*PI()*'Stability Calculations'!EA_Zero1,0)))</f>
        <v>1+1720.6660043344i</v>
      </c>
      <c r="AA352" s="734">
        <f t="shared" si="285"/>
        <v>1720.6662949195318</v>
      </c>
      <c r="AB352" s="735">
        <f t="shared" si="286"/>
        <v>1.5702151565475071</v>
      </c>
      <c r="AC352" s="733" t="str">
        <f>IMSUM(COMPLEX(1,0),IMDIV(COMPLEX(0,2*PI()*D352),COMPLEX(2*PI()*'Stability Calculations'!EA_Pole2,0)))</f>
        <v>1+17.3330535048825i</v>
      </c>
      <c r="AD352" s="734">
        <f t="shared" si="287"/>
        <v>17.361876160228753</v>
      </c>
      <c r="AE352" s="735">
        <f t="shared" si="288"/>
        <v>1.5131669710105369</v>
      </c>
      <c r="AF352" s="732" t="str">
        <f t="shared" si="289"/>
        <v>0.195111691154101-3.4160645199025i</v>
      </c>
      <c r="AG352" s="337">
        <f t="shared" si="290"/>
        <v>3.4216319755581122</v>
      </c>
      <c r="AH352" s="730">
        <f t="shared" si="291"/>
        <v>-1.5137423870964135</v>
      </c>
      <c r="AI352" s="731" t="str">
        <f t="shared" si="269"/>
        <v>10000</v>
      </c>
      <c r="AJ352" s="733" t="str">
        <f t="shared" si="292"/>
        <v>1+162017.566834927i</v>
      </c>
      <c r="AK352" s="734">
        <f t="shared" si="293"/>
        <v>162017.5668380131</v>
      </c>
      <c r="AL352" s="735">
        <f t="shared" si="294"/>
        <v>1.5707901546246836</v>
      </c>
      <c r="AM352" s="340" t="str">
        <f t="shared" si="295"/>
        <v>1+274.962427492637i</v>
      </c>
      <c r="AN352" s="734">
        <f t="shared" si="296"/>
        <v>274.96424591688947</v>
      </c>
      <c r="AO352" s="735">
        <f t="shared" si="297"/>
        <v>1.5671594822985933</v>
      </c>
      <c r="AP352" s="733" t="str">
        <f t="shared" si="298"/>
        <v>1+13.3361309624213i</v>
      </c>
      <c r="AQ352" s="734">
        <f t="shared" si="299"/>
        <v>13.373570542187007</v>
      </c>
      <c r="AR352" s="735">
        <f t="shared" si="300"/>
        <v>1.4959521244597636</v>
      </c>
      <c r="AS352" s="732" t="str">
        <f t="shared" si="301"/>
        <v>0.00365223692502192-8.54662068665761i</v>
      </c>
      <c r="AT352" s="337">
        <f t="shared" si="302"/>
        <v>8.5466214670148091</v>
      </c>
      <c r="AU352" s="730">
        <f t="shared" si="303"/>
        <v>-1.5703689957085398</v>
      </c>
      <c r="AV352" s="732" t="str">
        <f t="shared" si="304"/>
        <v>-0.45158473923541+0.0693095411807513i</v>
      </c>
      <c r="AW352" s="337">
        <f t="shared" si="305"/>
        <v>-6.804097396805485</v>
      </c>
      <c r="AX352" s="730">
        <f t="shared" si="306"/>
        <v>171.27429377277625</v>
      </c>
      <c r="AY352" s="360">
        <f t="shared" si="307"/>
        <v>-8.7257062272237533</v>
      </c>
      <c r="BB352" s="337">
        <f t="shared" si="308"/>
        <v>-21.364110613521522</v>
      </c>
      <c r="BC352" s="730">
        <f t="shared" si="309"/>
        <v>-89.975515732297012</v>
      </c>
      <c r="BD352" s="351"/>
      <c r="BE352" s="337">
        <f t="shared" si="270"/>
        <v>34.059650901536912</v>
      </c>
      <c r="BF352" s="730">
        <f t="shared" si="271"/>
        <v>-89.004458584538369</v>
      </c>
      <c r="BI352" s="351"/>
      <c r="BJ352" s="351"/>
      <c r="BL352" s="405">
        <f t="shared" si="272"/>
        <v>0</v>
      </c>
      <c r="BM352" s="405">
        <f t="shared" si="310"/>
        <v>0</v>
      </c>
      <c r="BN352" s="405">
        <f t="shared" si="273"/>
        <v>0</v>
      </c>
      <c r="BO352" s="405">
        <f t="shared" si="274"/>
        <v>0</v>
      </c>
    </row>
    <row r="353" spans="4:67" ht="13.5" thickBot="1" x14ac:dyDescent="0.25">
      <c r="D353" s="345">
        <v>27542</v>
      </c>
      <c r="E353" s="340" t="str">
        <f t="shared" si="261"/>
        <v>0.456855932888098i</v>
      </c>
      <c r="F353" s="728" t="str">
        <f t="shared" si="275"/>
        <v>0.005-0.0947315891270052i</v>
      </c>
      <c r="G353" s="337" t="str">
        <f t="shared" si="276"/>
        <v>0.005-0.14816992145506i</v>
      </c>
      <c r="H353" s="338" t="str">
        <f t="shared" si="277"/>
        <v>0.0225451438403383-0.144829106885381i</v>
      </c>
      <c r="I353" s="338" t="str">
        <f t="shared" si="278"/>
        <v>0.0325451438403383-0.144829106885381i</v>
      </c>
      <c r="J353" s="337" t="str">
        <f t="shared" si="279"/>
        <v>0.00685470298143863-0.0576660811529869i</v>
      </c>
      <c r="K353" s="338" t="str">
        <f t="shared" si="262"/>
        <v>0.991571535955556-0.144209574775283i</v>
      </c>
      <c r="L353" s="732"/>
      <c r="M353" s="732" t="str">
        <f t="shared" si="263"/>
        <v>0.860065673990602-50.0867054068491i</v>
      </c>
      <c r="N353" s="337">
        <f t="shared" si="264"/>
        <v>0</v>
      </c>
      <c r="O353" s="730" t="str">
        <f t="shared" si="265"/>
        <v>-1.67469199663982-19.5258086777853i</v>
      </c>
      <c r="P353" s="731" t="str">
        <f t="shared" si="266"/>
        <v>-2.88240852393738-0.392926105836008i</v>
      </c>
      <c r="Q353" s="729" t="str">
        <f t="shared" si="267"/>
        <v>-2.86566160397098-0.197668019058154i</v>
      </c>
      <c r="R353" s="730"/>
      <c r="S353" s="405" t="str">
        <f t="shared" si="280"/>
        <v>39.6995298612663-4.29740051106014i</v>
      </c>
      <c r="T353" s="405" t="str">
        <f t="shared" si="281"/>
        <v>15.2767180753215-3.26501183536134i</v>
      </c>
      <c r="U353" s="405" t="str">
        <f t="shared" si="282"/>
        <v>-0.128452941669163-2.2861235964572i</v>
      </c>
      <c r="V353" s="731" t="str">
        <f t="shared" si="268"/>
        <v>6000</v>
      </c>
      <c r="W353" s="733" t="str">
        <f>IMSUM(COMPLEX(1,0),IMDIV(COMPLEX(0,2*PI()*D353),COMPLEX(2*PI()*'Stability Calculations'!EA_Pole1,0)))</f>
        <v>1+174782.004627643i</v>
      </c>
      <c r="X353" s="734">
        <f t="shared" si="283"/>
        <v>174782.00463050374</v>
      </c>
      <c r="Y353" s="735">
        <f t="shared" si="284"/>
        <v>1.5707906053820879</v>
      </c>
      <c r="Z353" s="340" t="str">
        <f>IMSUM(COMPLEX(1,0),IMDIV(COMPLEX(0,2*PI()*D353),COMPLEX(2*PI()*'Stability Calculations'!EA_Zero1,0)))</f>
        <v>1+1730.5148973034i</v>
      </c>
      <c r="AA353" s="734">
        <f t="shared" si="285"/>
        <v>1730.5151862347225</v>
      </c>
      <c r="AB353" s="735">
        <f t="shared" si="286"/>
        <v>1.5702184641655428</v>
      </c>
      <c r="AC353" s="733" t="str">
        <f>IMSUM(COMPLEX(1,0),IMDIV(COMPLEX(0,2*PI()*D353),COMPLEX(2*PI()*'Stability Calculations'!EA_Pole2,0)))</f>
        <v>1+17.4322658961109i</v>
      </c>
      <c r="AD353" s="734">
        <f t="shared" si="287"/>
        <v>17.460924782860474</v>
      </c>
      <c r="AE353" s="735">
        <f t="shared" si="288"/>
        <v>1.5134942378702898</v>
      </c>
      <c r="AF353" s="732" t="str">
        <f t="shared" si="289"/>
        <v>0.192904393241546-3.396749266456i</v>
      </c>
      <c r="AG353" s="337">
        <f t="shared" si="290"/>
        <v>3.4022224624649788</v>
      </c>
      <c r="AH353" s="730">
        <f t="shared" si="291"/>
        <v>-1.5140663790868352</v>
      </c>
      <c r="AI353" s="731" t="str">
        <f t="shared" si="269"/>
        <v>10000</v>
      </c>
      <c r="AJ353" s="733" t="str">
        <f t="shared" si="292"/>
        <v>1+162944.936627109i</v>
      </c>
      <c r="AK353" s="734">
        <f t="shared" si="293"/>
        <v>162944.93663017752</v>
      </c>
      <c r="AL353" s="735">
        <f t="shared" si="294"/>
        <v>1.5707901897524044</v>
      </c>
      <c r="AM353" s="340" t="str">
        <f t="shared" si="295"/>
        <v>1+276.536280589083i</v>
      </c>
      <c r="AN353" s="734">
        <f t="shared" si="296"/>
        <v>276.53808866419115</v>
      </c>
      <c r="AO353" s="735">
        <f t="shared" si="297"/>
        <v>1.5671801805191601</v>
      </c>
      <c r="AP353" s="733" t="str">
        <f t="shared" si="298"/>
        <v>1+13.4124654318294i</v>
      </c>
      <c r="AQ353" s="734">
        <f t="shared" si="299"/>
        <v>13.449692522880163</v>
      </c>
      <c r="AR353" s="735">
        <f t="shared" si="300"/>
        <v>1.4963765103883173</v>
      </c>
      <c r="AS353" s="732" t="str">
        <f t="shared" si="301"/>
        <v>0.00361078322290689-8.49797925511603i</v>
      </c>
      <c r="AT353" s="337">
        <f t="shared" si="302"/>
        <v>8.4979800222251587</v>
      </c>
      <c r="AU353" s="730">
        <f t="shared" si="303"/>
        <v>-1.5703714277810001</v>
      </c>
      <c r="AV353" s="732" t="str">
        <f t="shared" si="304"/>
        <v>-0.446351909135845+0.0690134865681909i</v>
      </c>
      <c r="AW353" s="337">
        <f t="shared" si="305"/>
        <v>-6.903849732856723</v>
      </c>
      <c r="AX353" s="730">
        <f t="shared" si="306"/>
        <v>171.21071105662509</v>
      </c>
      <c r="AY353" s="360">
        <f t="shared" si="307"/>
        <v>-8.7892889433749133</v>
      </c>
      <c r="BB353" s="337">
        <f t="shared" si="308"/>
        <v>-21.413685884434845</v>
      </c>
      <c r="BC353" s="730">
        <f t="shared" si="309"/>
        <v>-89.97565507978446</v>
      </c>
      <c r="BD353" s="351"/>
      <c r="BE353" s="337">
        <f t="shared" si="270"/>
        <v>33.995729693030768</v>
      </c>
      <c r="BF353" s="730">
        <f t="shared" si="271"/>
        <v>-89.016240132594859</v>
      </c>
      <c r="BI353" s="351"/>
      <c r="BJ353" s="351"/>
      <c r="BL353" s="405">
        <f t="shared" si="272"/>
        <v>0</v>
      </c>
      <c r="BM353" s="405">
        <f t="shared" si="310"/>
        <v>0</v>
      </c>
      <c r="BN353" s="405">
        <f t="shared" si="273"/>
        <v>0</v>
      </c>
      <c r="BO353" s="405">
        <f t="shared" si="274"/>
        <v>0</v>
      </c>
    </row>
    <row r="354" spans="4:67" ht="13.5" thickBot="1" x14ac:dyDescent="0.25">
      <c r="D354" s="345">
        <v>27702.5</v>
      </c>
      <c r="E354" s="340" t="str">
        <f t="shared" si="261"/>
        <v>0.459518244166456i</v>
      </c>
      <c r="F354" s="728" t="str">
        <f t="shared" si="275"/>
        <v>0.005-0.0941827426310256i</v>
      </c>
      <c r="G354" s="337" t="str">
        <f t="shared" si="276"/>
        <v>0.005-0.147311469243399i</v>
      </c>
      <c r="H354" s="338" t="str">
        <f t="shared" si="277"/>
        <v>0.0223451023347707-0.144014131834221i</v>
      </c>
      <c r="I354" s="338" t="str">
        <f t="shared" si="278"/>
        <v>0.0323451023347707-0.144014131834221i</v>
      </c>
      <c r="J354" s="337" t="str">
        <f t="shared" si="279"/>
        <v>0.00682327917868865-0.0573338188922316i</v>
      </c>
      <c r="K354" s="338" t="str">
        <f t="shared" si="262"/>
        <v>0.991473016597222-0.145049950810119i</v>
      </c>
      <c r="L354" s="732"/>
      <c r="M354" s="732" t="str">
        <f t="shared" si="263"/>
        <v>0.84342730178864-49.7141206957981i</v>
      </c>
      <c r="N354" s="337">
        <f t="shared" si="264"/>
        <v>0</v>
      </c>
      <c r="O354" s="730" t="str">
        <f t="shared" si="265"/>
        <v>-1.66120742541492-19.3787477151941i</v>
      </c>
      <c r="P354" s="731" t="str">
        <f t="shared" si="266"/>
        <v>-2.84454545241239-0.387570232799967i</v>
      </c>
      <c r="Q354" s="729" t="str">
        <f t="shared" si="267"/>
        <v>-2.82793337815824-0.193782755648028i</v>
      </c>
      <c r="R354" s="730"/>
      <c r="S354" s="405" t="str">
        <f t="shared" si="280"/>
        <v>39.6951365177492-4.33929765312991i</v>
      </c>
      <c r="T354" s="405" t="str">
        <f t="shared" si="281"/>
        <v>15.2727160064985-3.27700527313958i</v>
      </c>
      <c r="U354" s="405" t="str">
        <f t="shared" si="282"/>
        <v>-0.130664667332257-2.27271195460637i</v>
      </c>
      <c r="V354" s="731" t="str">
        <f t="shared" si="268"/>
        <v>6000</v>
      </c>
      <c r="W354" s="733" t="str">
        <f>IMSUM(COMPLEX(1,0),IMDIV(COMPLEX(0,2*PI()*D354),COMPLEX(2*PI()*'Stability Calculations'!EA_Pole1,0)))</f>
        <v>1+175800.540381863i</v>
      </c>
      <c r="X354" s="734">
        <f t="shared" si="283"/>
        <v>175800.54038470713</v>
      </c>
      <c r="Y354" s="735">
        <f t="shared" si="284"/>
        <v>1.5707906385302428</v>
      </c>
      <c r="Z354" s="340" t="str">
        <f>IMSUM(COMPLEX(1,0),IMDIV(COMPLEX(0,2*PI()*D354),COMPLEX(2*PI()*'Stability Calculations'!EA_Zero1,0)))</f>
        <v>1+1740.59940972142i</v>
      </c>
      <c r="AA354" s="734">
        <f t="shared" si="285"/>
        <v>1740.5996969787614</v>
      </c>
      <c r="AB354" s="735">
        <f t="shared" si="286"/>
        <v>1.5702218121280569</v>
      </c>
      <c r="AC354" s="733" t="str">
        <f>IMSUM(COMPLEX(1,0),IMDIV(COMPLEX(0,2*PI()*D354),COMPLEX(2*PI()*'Stability Calculations'!EA_Pole2,0)))</f>
        <v>1+17.5338517895219i</v>
      </c>
      <c r="AD354" s="734">
        <f t="shared" si="287"/>
        <v>17.562344905419675</v>
      </c>
      <c r="AE354" s="735">
        <f t="shared" si="288"/>
        <v>1.5138255090611101</v>
      </c>
      <c r="AF354" s="732" t="str">
        <f t="shared" si="289"/>
        <v>0.190682833813887-3.37719621810925i</v>
      </c>
      <c r="AG354" s="337">
        <f t="shared" si="290"/>
        <v>3.382575089886803</v>
      </c>
      <c r="AH354" s="730">
        <f t="shared" si="291"/>
        <v>-1.514394335463296</v>
      </c>
      <c r="AI354" s="731" t="str">
        <f t="shared" si="269"/>
        <v>10000</v>
      </c>
      <c r="AJ354" s="733" t="str">
        <f t="shared" si="292"/>
        <v>1+163894.492299488i</v>
      </c>
      <c r="AK354" s="734">
        <f t="shared" si="293"/>
        <v>163894.49230253871</v>
      </c>
      <c r="AL354" s="735">
        <f t="shared" si="294"/>
        <v>1.570790225308593</v>
      </c>
      <c r="AM354" s="340" t="str">
        <f t="shared" si="295"/>
        <v>1+278.147785673483i</v>
      </c>
      <c r="AN354" s="734">
        <f t="shared" si="296"/>
        <v>278.14958327321256</v>
      </c>
      <c r="AO354" s="735">
        <f t="shared" si="297"/>
        <v>1.5672011312081409</v>
      </c>
      <c r="AP354" s="733" t="str">
        <f t="shared" si="298"/>
        <v>1+13.4906260847162i</v>
      </c>
      <c r="AQ354" s="734">
        <f t="shared" si="299"/>
        <v>13.527638084958703</v>
      </c>
      <c r="AR354" s="735">
        <f t="shared" si="300"/>
        <v>1.4968061000884434</v>
      </c>
      <c r="AS354" s="732" t="str">
        <f t="shared" si="301"/>
        <v>0.00356906483717574-8.44874452243i</v>
      </c>
      <c r="AT354" s="337">
        <f t="shared" si="302"/>
        <v>8.4487452762830255</v>
      </c>
      <c r="AU354" s="730">
        <f t="shared" si="303"/>
        <v>-1.5703738895185182</v>
      </c>
      <c r="AV354" s="732" t="str">
        <f t="shared" si="304"/>
        <v>-0.441085905876013+0.0687118835775509i</v>
      </c>
      <c r="AW354" s="337">
        <f t="shared" si="305"/>
        <v>-7.0054042770516567</v>
      </c>
      <c r="AX354" s="730">
        <f t="shared" si="306"/>
        <v>171.14569069657338</v>
      </c>
      <c r="AY354" s="360">
        <f t="shared" si="307"/>
        <v>-8.8543093034266178</v>
      </c>
      <c r="BB354" s="337">
        <f t="shared" si="308"/>
        <v>-21.464155667272689</v>
      </c>
      <c r="BC354" s="730">
        <f t="shared" si="309"/>
        <v>-89.975796126954521</v>
      </c>
      <c r="BD354" s="351"/>
      <c r="BE354" s="337">
        <f t="shared" si="270"/>
        <v>33.930845096360486</v>
      </c>
      <c r="BF354" s="730">
        <f t="shared" si="271"/>
        <v>-89.028038947466285</v>
      </c>
      <c r="BI354" s="351"/>
      <c r="BJ354" s="351"/>
      <c r="BL354" s="405">
        <f t="shared" si="272"/>
        <v>0</v>
      </c>
      <c r="BM354" s="405">
        <f t="shared" si="310"/>
        <v>0</v>
      </c>
      <c r="BN354" s="405">
        <f t="shared" si="273"/>
        <v>0</v>
      </c>
      <c r="BO354" s="405">
        <f t="shared" si="274"/>
        <v>0</v>
      </c>
    </row>
    <row r="355" spans="4:67" ht="13.5" thickBot="1" x14ac:dyDescent="0.25">
      <c r="D355" s="345">
        <v>27863</v>
      </c>
      <c r="E355" s="340" t="str">
        <f t="shared" si="261"/>
        <v>0.462180555444814i</v>
      </c>
      <c r="F355" s="728" t="str">
        <f t="shared" si="275"/>
        <v>0.005-0.093640219205972i</v>
      </c>
      <c r="G355" s="337" t="str">
        <f t="shared" si="276"/>
        <v>0.005-0.146462906963186i</v>
      </c>
      <c r="H355" s="338" t="str">
        <f t="shared" si="277"/>
        <v>0.0221484424656795-0.143208140412261i</v>
      </c>
      <c r="I355" s="338" t="str">
        <f t="shared" si="278"/>
        <v>0.0321484424656795-0.143208140412261i</v>
      </c>
      <c r="J355" s="337" t="str">
        <f t="shared" si="279"/>
        <v>0.00679239458355361-0.0570053613590968i</v>
      </c>
      <c r="K355" s="338" t="str">
        <f t="shared" si="262"/>
        <v>0.991373924788889-0.145890326844954i</v>
      </c>
      <c r="L355" s="732"/>
      <c r="M355" s="732" t="str">
        <f t="shared" si="263"/>
        <v>0.827265990011568-49.3474950461562i</v>
      </c>
      <c r="N355" s="337">
        <f t="shared" si="264"/>
        <v>0</v>
      </c>
      <c r="O355" s="730" t="str">
        <f t="shared" si="265"/>
        <v>-1.6479426178694-19.2340594178229i</v>
      </c>
      <c r="P355" s="731" t="str">
        <f t="shared" si="266"/>
        <v>-2.80745267024267-0.38234625476415i</v>
      </c>
      <c r="Q355" s="729" t="str">
        <f t="shared" si="267"/>
        <v>-2.79097324406397-0.190005660585925i</v>
      </c>
      <c r="R355" s="730"/>
      <c r="S355" s="405" t="str">
        <f t="shared" si="280"/>
        <v>39.6906846629895-4.38109429967325i</v>
      </c>
      <c r="T355" s="405" t="str">
        <f t="shared" si="281"/>
        <v>15.2687039193261-3.28903175684524i</v>
      </c>
      <c r="U355" s="405" t="str">
        <f t="shared" si="282"/>
        <v>-0.132838111371987-2.25944962542637i</v>
      </c>
      <c r="V355" s="731" t="str">
        <f t="shared" si="268"/>
        <v>6000</v>
      </c>
      <c r="W355" s="733" t="str">
        <f>IMSUM(COMPLEX(1,0),IMDIV(COMPLEX(0,2*PI()*D355),COMPLEX(2*PI()*'Stability Calculations'!EA_Pole1,0)))</f>
        <v>1+176819.076136084i</v>
      </c>
      <c r="X355" s="734">
        <f t="shared" si="283"/>
        <v>176819.07613891177</v>
      </c>
      <c r="Y355" s="735">
        <f t="shared" si="284"/>
        <v>1.570790671296509</v>
      </c>
      <c r="Z355" s="340" t="str">
        <f>IMSUM(COMPLEX(1,0),IMDIV(COMPLEX(0,2*PI()*D355),COMPLEX(2*PI()*'Stability Calculations'!EA_Zero1,0)))</f>
        <v>1+1750.68392213945i</v>
      </c>
      <c r="AA355" s="734">
        <f t="shared" si="285"/>
        <v>1750.6842077420954</v>
      </c>
      <c r="AB355" s="735">
        <f t="shared" si="286"/>
        <v>1.5702251215198637</v>
      </c>
      <c r="AC355" s="733" t="str">
        <f>IMSUM(COMPLEX(1,0),IMDIV(COMPLEX(0,2*PI()*D355),COMPLEX(2*PI()*'Stability Calculations'!EA_Pole2,0)))</f>
        <v>1+17.635437682933i</v>
      </c>
      <c r="AD355" s="734">
        <f t="shared" si="287"/>
        <v>17.663766933149148</v>
      </c>
      <c r="AE355" s="735">
        <f t="shared" si="288"/>
        <v>1.514152976093772</v>
      </c>
      <c r="AF355" s="732" t="str">
        <f t="shared" si="289"/>
        <v>0.188499390374966-3.35786627235236i</v>
      </c>
      <c r="AG355" s="337">
        <f t="shared" si="290"/>
        <v>3.3631529735016912</v>
      </c>
      <c r="AH355" s="730">
        <f t="shared" si="291"/>
        <v>-1.514718525870417</v>
      </c>
      <c r="AI355" s="731" t="str">
        <f t="shared" si="269"/>
        <v>10000</v>
      </c>
      <c r="AJ355" s="733" t="str">
        <f t="shared" si="292"/>
        <v>1+164844.047971867i</v>
      </c>
      <c r="AK355" s="734">
        <f t="shared" si="293"/>
        <v>164844.0479749002</v>
      </c>
      <c r="AL355" s="735">
        <f t="shared" si="294"/>
        <v>1.5707902604551514</v>
      </c>
      <c r="AM355" s="340" t="str">
        <f t="shared" si="295"/>
        <v>1+279.759290757884i</v>
      </c>
      <c r="AN355" s="734">
        <f t="shared" si="296"/>
        <v>279.76107800291715</v>
      </c>
      <c r="AO355" s="735">
        <f t="shared" si="297"/>
        <v>1.5672218405345715</v>
      </c>
      <c r="AP355" s="733" t="str">
        <f t="shared" si="298"/>
        <v>1+13.5687867376031i</v>
      </c>
      <c r="AQ355" s="734">
        <f t="shared" si="299"/>
        <v>13.605586114921833</v>
      </c>
      <c r="AR355" s="735">
        <f t="shared" si="300"/>
        <v>1.4972307675246603</v>
      </c>
      <c r="AS355" s="732" t="str">
        <f t="shared" si="301"/>
        <v>0.00352806530752509-8.40007700579328i</v>
      </c>
      <c r="AT355" s="337">
        <f t="shared" si="302"/>
        <v>8.4000777466938832</v>
      </c>
      <c r="AU355" s="730">
        <f t="shared" si="303"/>
        <v>-1.5703763228952137</v>
      </c>
      <c r="AV355" s="732" t="str">
        <f t="shared" si="304"/>
        <v>-0.435910875698881+0.0684118510151769i</v>
      </c>
      <c r="AW355" s="337">
        <f t="shared" si="305"/>
        <v>-7.1063745478988762</v>
      </c>
      <c r="AX355" s="730">
        <f t="shared" si="306"/>
        <v>171.08075324676392</v>
      </c>
      <c r="AY355" s="360">
        <f t="shared" si="307"/>
        <v>-8.9192467532360808</v>
      </c>
      <c r="BB355" s="337">
        <f t="shared" si="308"/>
        <v>-21.514333886372171</v>
      </c>
      <c r="BC355" s="730">
        <f t="shared" si="309"/>
        <v>-89.975935549169137</v>
      </c>
      <c r="BD355" s="351"/>
      <c r="BE355" s="337">
        <f t="shared" si="270"/>
        <v>33.866522589544495</v>
      </c>
      <c r="BF355" s="730">
        <f t="shared" si="271"/>
        <v>-89.039578194914071</v>
      </c>
      <c r="BI355" s="351"/>
      <c r="BJ355" s="351"/>
      <c r="BL355" s="405">
        <f t="shared" si="272"/>
        <v>0</v>
      </c>
      <c r="BM355" s="405">
        <f t="shared" si="310"/>
        <v>0</v>
      </c>
      <c r="BN355" s="405">
        <f t="shared" si="273"/>
        <v>0</v>
      </c>
      <c r="BO355" s="405">
        <f t="shared" si="274"/>
        <v>0</v>
      </c>
    </row>
    <row r="356" spans="4:67" ht="13.5" thickBot="1" x14ac:dyDescent="0.25">
      <c r="D356" s="345">
        <v>28023.5</v>
      </c>
      <c r="E356" s="340" t="str">
        <f t="shared" si="261"/>
        <v>0.464842866723172i</v>
      </c>
      <c r="F356" s="728" t="str">
        <f t="shared" si="275"/>
        <v>0.005-0.0931039102087885i</v>
      </c>
      <c r="G356" s="337" t="str">
        <f t="shared" si="276"/>
        <v>0.005-0.145624064685541i</v>
      </c>
      <c r="H356" s="338" t="str">
        <f t="shared" si="277"/>
        <v>0.0219550888020472-0.142410987254179i</v>
      </c>
      <c r="I356" s="338" t="str">
        <f t="shared" si="278"/>
        <v>0.0319550888020472-0.142410987254179i</v>
      </c>
      <c r="J356" s="337" t="str">
        <f t="shared" si="279"/>
        <v>0.0067620369192485-0.056680643749852i</v>
      </c>
      <c r="K356" s="338" t="str">
        <f t="shared" si="262"/>
        <v>0.991274260530556-0.146730702879789i</v>
      </c>
      <c r="L356" s="732"/>
      <c r="M356" s="732" t="str">
        <f t="shared" si="263"/>
        <v>0.811563931122587-48.986679926139i</v>
      </c>
      <c r="N356" s="337">
        <f t="shared" si="264"/>
        <v>0</v>
      </c>
      <c r="O356" s="730" t="str">
        <f t="shared" si="265"/>
        <v>-1.63489319696732-19.0916840283768i</v>
      </c>
      <c r="P356" s="731" t="str">
        <f t="shared" si="266"/>
        <v>-2.77110872811693-0.37724970427215i</v>
      </c>
      <c r="Q356" s="729" t="str">
        <f t="shared" si="267"/>
        <v>-2.75475979614726-0.186332863988381i</v>
      </c>
      <c r="R356" s="730"/>
      <c r="S356" s="405" t="str">
        <f t="shared" si="280"/>
        <v>39.6861748453416-4.42279201792031i</v>
      </c>
      <c r="T356" s="405" t="str">
        <f t="shared" si="281"/>
        <v>15.2646816012194-3.30109062808724i</v>
      </c>
      <c r="U356" s="405" t="str">
        <f t="shared" si="282"/>
        <v>-0.134974135271675-2.24633411483361i</v>
      </c>
      <c r="V356" s="731" t="str">
        <f t="shared" si="268"/>
        <v>6000</v>
      </c>
      <c r="W356" s="733" t="str">
        <f>IMSUM(COMPLEX(1,0),IMDIV(COMPLEX(0,2*PI()*D356),COMPLEX(2*PI()*'Stability Calculations'!EA_Pole1,0)))</f>
        <v>1+177837.611890304i</v>
      </c>
      <c r="X356" s="734">
        <f t="shared" si="283"/>
        <v>177837.61189311554</v>
      </c>
      <c r="Y356" s="735">
        <f t="shared" si="284"/>
        <v>1.5707907036874484</v>
      </c>
      <c r="Z356" s="340" t="str">
        <f>IMSUM(COMPLEX(1,0),IMDIV(COMPLEX(0,2*PI()*D356),COMPLEX(2*PI()*'Stability Calculations'!EA_Zero1,0)))</f>
        <v>1+1760.76843455747i</v>
      </c>
      <c r="AA356" s="734">
        <f t="shared" si="285"/>
        <v>1760.7687185243731</v>
      </c>
      <c r="AB356" s="735">
        <f t="shared" si="286"/>
        <v>1.5702283930036851</v>
      </c>
      <c r="AC356" s="733" t="str">
        <f>IMSUM(COMPLEX(1,0),IMDIV(COMPLEX(0,2*PI()*D356),COMPLEX(2*PI()*'Stability Calculations'!EA_Pole2,0)))</f>
        <v>1+17.7370235763439i</v>
      </c>
      <c r="AD356" s="734">
        <f t="shared" si="287"/>
        <v>17.765190833418576</v>
      </c>
      <c r="AE356" s="735">
        <f t="shared" si="288"/>
        <v>1.5144767040528095</v>
      </c>
      <c r="AF356" s="732" t="str">
        <f t="shared" si="289"/>
        <v>0.186353196844746-3.33875564466376i</v>
      </c>
      <c r="AG356" s="337">
        <f t="shared" si="290"/>
        <v>3.3439522677138172</v>
      </c>
      <c r="AH356" s="730">
        <f t="shared" si="291"/>
        <v>-1.5150390147365731</v>
      </c>
      <c r="AI356" s="731" t="str">
        <f t="shared" si="269"/>
        <v>10000</v>
      </c>
      <c r="AJ356" s="733" t="str">
        <f t="shared" si="292"/>
        <v>1+165793.603644245i</v>
      </c>
      <c r="AK356" s="734">
        <f t="shared" si="293"/>
        <v>165793.60364726081</v>
      </c>
      <c r="AL356" s="735">
        <f t="shared" si="294"/>
        <v>1.5707902951991173</v>
      </c>
      <c r="AM356" s="340" t="str">
        <f t="shared" si="295"/>
        <v>1+281.370795842284i</v>
      </c>
      <c r="AN356" s="734">
        <f t="shared" si="296"/>
        <v>281.37257285122917</v>
      </c>
      <c r="AO356" s="735">
        <f t="shared" si="297"/>
        <v>1.5672423126454746</v>
      </c>
      <c r="AP356" s="733" t="str">
        <f t="shared" si="298"/>
        <v>1+13.6469473904898i</v>
      </c>
      <c r="AQ356" s="734">
        <f t="shared" si="299"/>
        <v>13.683536570594473</v>
      </c>
      <c r="AR356" s="735">
        <f t="shared" si="300"/>
        <v>1.4976505966638634</v>
      </c>
      <c r="AS356" s="732" t="str">
        <f t="shared" si="301"/>
        <v>0.00348776821268989-8.3519669593019i</v>
      </c>
      <c r="AT356" s="337">
        <f t="shared" si="302"/>
        <v>8.3519676875451161</v>
      </c>
      <c r="AU356" s="730">
        <f t="shared" si="303"/>
        <v>-1.5703787283983819</v>
      </c>
      <c r="AV356" s="732" t="str">
        <f t="shared" si="304"/>
        <v>-0.430824734293079+0.0681134053219372i</v>
      </c>
      <c r="AW356" s="337">
        <f t="shared" si="305"/>
        <v>-7.2067673237551517</v>
      </c>
      <c r="AX356" s="730">
        <f t="shared" si="306"/>
        <v>171.01589718265788</v>
      </c>
      <c r="AY356" s="360">
        <f t="shared" si="307"/>
        <v>-8.9841028173421194</v>
      </c>
      <c r="BB356" s="337">
        <f t="shared" si="308"/>
        <v>-21.564223891117862</v>
      </c>
      <c r="BC356" s="730">
        <f t="shared" si="309"/>
        <v>-89.976073374348275</v>
      </c>
      <c r="BD356" s="351"/>
      <c r="BE356" s="337">
        <f t="shared" si="270"/>
        <v>33.802751952252102</v>
      </c>
      <c r="BF356" s="730">
        <f t="shared" si="271"/>
        <v>-89.050865772669425</v>
      </c>
      <c r="BI356" s="351"/>
      <c r="BJ356" s="351"/>
      <c r="BL356" s="405">
        <f t="shared" si="272"/>
        <v>0</v>
      </c>
      <c r="BM356" s="405">
        <f t="shared" si="310"/>
        <v>0</v>
      </c>
      <c r="BN356" s="405">
        <f t="shared" si="273"/>
        <v>0</v>
      </c>
      <c r="BO356" s="405">
        <f t="shared" si="274"/>
        <v>0</v>
      </c>
    </row>
    <row r="357" spans="4:67" ht="13.5" thickBot="1" x14ac:dyDescent="0.25">
      <c r="D357" s="345">
        <v>28184</v>
      </c>
      <c r="E357" s="340" t="str">
        <f t="shared" si="261"/>
        <v>0.467505178001531i</v>
      </c>
      <c r="F357" s="728" t="str">
        <f t="shared" si="275"/>
        <v>0.005-0.0925737094711891i</v>
      </c>
      <c r="G357" s="337" t="str">
        <f t="shared" si="276"/>
        <v>0.005-0.144794776352372i</v>
      </c>
      <c r="H357" s="338" t="str">
        <f t="shared" si="277"/>
        <v>0.0217649679943085-0.141622530059209i</v>
      </c>
      <c r="I357" s="338" t="str">
        <f t="shared" si="278"/>
        <v>0.0317649679943085-0.141622530059209i</v>
      </c>
      <c r="J357" s="337" t="str">
        <f t="shared" si="279"/>
        <v>0.00673219425605945-0.0563596027208912i</v>
      </c>
      <c r="K357" s="338" t="str">
        <f t="shared" si="262"/>
        <v>0.991174023822222-0.147571078914625i</v>
      </c>
      <c r="L357" s="732"/>
      <c r="M357" s="732" t="str">
        <f t="shared" si="263"/>
        <v>0.796304128877483-48.6315318175796i</v>
      </c>
      <c r="N357" s="337">
        <f t="shared" si="264"/>
        <v>0</v>
      </c>
      <c r="O357" s="730" t="str">
        <f t="shared" si="265"/>
        <v>-1.62205487218667-18.9515638270446i</v>
      </c>
      <c r="P357" s="731" t="str">
        <f t="shared" si="266"/>
        <v>-2.73549293886465-0.372276303514222i</v>
      </c>
      <c r="Q357" s="729" t="str">
        <f t="shared" si="267"/>
        <v>-2.71927239014278-0.182760665243777i</v>
      </c>
      <c r="R357" s="730"/>
      <c r="S357" s="405" t="str">
        <f t="shared" si="280"/>
        <v>39.681607597693-4.46439233993114i</v>
      </c>
      <c r="T357" s="405" t="str">
        <f t="shared" si="281"/>
        <v>15.2606488457311-3.31318124234311i</v>
      </c>
      <c r="U357" s="405" t="str">
        <f t="shared" si="282"/>
        <v>-0.137073576385624-2.23336298357651i</v>
      </c>
      <c r="V357" s="731" t="str">
        <f t="shared" si="268"/>
        <v>6000</v>
      </c>
      <c r="W357" s="733" t="str">
        <f>IMSUM(COMPLEX(1,0),IMDIV(COMPLEX(0,2*PI()*D357),COMPLEX(2*PI()*'Stability Calculations'!EA_Pole1,0)))</f>
        <v>1+178856.147644524i</v>
      </c>
      <c r="X357" s="734">
        <f t="shared" si="283"/>
        <v>178856.14764731954</v>
      </c>
      <c r="Y357" s="735">
        <f t="shared" si="284"/>
        <v>1.5707907357094733</v>
      </c>
      <c r="Z357" s="340" t="str">
        <f>IMSUM(COMPLEX(1,0),IMDIV(COMPLEX(0,2*PI()*D357),COMPLEX(2*PI()*'Stability Calculations'!EA_Zero1,0)))</f>
        <v>1+1770.85294697549i</v>
      </c>
      <c r="AA357" s="734">
        <f t="shared" si="285"/>
        <v>1770.8532293252815</v>
      </c>
      <c r="AB357" s="735">
        <f t="shared" si="286"/>
        <v>1.5702316272271473</v>
      </c>
      <c r="AC357" s="733" t="str">
        <f>IMSUM(COMPLEX(1,0),IMDIV(COMPLEX(0,2*PI()*D357),COMPLEX(2*PI()*'Stability Calculations'!EA_Pole2,0)))</f>
        <v>1+17.8386094697549i</v>
      </c>
      <c r="AD357" s="734">
        <f t="shared" si="287"/>
        <v>17.866616574338554</v>
      </c>
      <c r="AE357" s="735">
        <f t="shared" si="288"/>
        <v>1.5147967565480398</v>
      </c>
      <c r="AF357" s="732" t="str">
        <f t="shared" si="289"/>
        <v>0.184243411577581-3.31986063535927i</v>
      </c>
      <c r="AG357" s="337">
        <f t="shared" si="290"/>
        <v>3.3249692138300775</v>
      </c>
      <c r="AH357" s="730">
        <f t="shared" si="291"/>
        <v>-1.5153558650303658</v>
      </c>
      <c r="AI357" s="731" t="str">
        <f t="shared" si="269"/>
        <v>10000</v>
      </c>
      <c r="AJ357" s="733" t="str">
        <f t="shared" si="292"/>
        <v>1+166743.159316623i</v>
      </c>
      <c r="AK357" s="734">
        <f t="shared" si="293"/>
        <v>166743.1593196216</v>
      </c>
      <c r="AL357" s="735">
        <f t="shared" si="294"/>
        <v>1.5707903295473689</v>
      </c>
      <c r="AM357" s="340" t="str">
        <f t="shared" si="295"/>
        <v>1+282.982300926683i</v>
      </c>
      <c r="AN357" s="734">
        <f t="shared" si="296"/>
        <v>282.98406781612243</v>
      </c>
      <c r="AO357" s="735">
        <f t="shared" si="297"/>
        <v>1.5672625515934107</v>
      </c>
      <c r="AP357" s="733" t="str">
        <f t="shared" si="298"/>
        <v>1+13.7251080433766i</v>
      </c>
      <c r="AQ357" s="734">
        <f t="shared" si="299"/>
        <v>13.761489410756418</v>
      </c>
      <c r="AR357" s="735">
        <f t="shared" si="300"/>
        <v>1.4980656695773185</v>
      </c>
      <c r="AS357" s="732" t="str">
        <f t="shared" si="301"/>
        <v>0.00344815759764247-8.30440485905272i</v>
      </c>
      <c r="AT357" s="337">
        <f t="shared" si="302"/>
        <v>8.3044055749252301</v>
      </c>
      <c r="AU357" s="730">
        <f t="shared" si="303"/>
        <v>-1.5703811065042192</v>
      </c>
      <c r="AV357" s="732" t="str">
        <f t="shared" si="304"/>
        <v>-0.42582545672902+0.0678165612986581i</v>
      </c>
      <c r="AW357" s="337">
        <f t="shared" si="305"/>
        <v>-7.3065892660563572</v>
      </c>
      <c r="AX357" s="730">
        <f t="shared" si="306"/>
        <v>170.95112101657068</v>
      </c>
      <c r="AY357" s="360">
        <f t="shared" si="307"/>
        <v>-9.0488789834293186</v>
      </c>
      <c r="BB357" s="337">
        <f t="shared" si="308"/>
        <v>-21.613828973508753</v>
      </c>
      <c r="BC357" s="730">
        <f t="shared" si="309"/>
        <v>-89.976209629775994</v>
      </c>
      <c r="BD357" s="351"/>
      <c r="BE357" s="337">
        <f t="shared" si="270"/>
        <v>33.739523242739196</v>
      </c>
      <c r="BF357" s="730">
        <f t="shared" si="271"/>
        <v>-89.061909276444325</v>
      </c>
      <c r="BI357" s="351"/>
      <c r="BJ357" s="351"/>
      <c r="BL357" s="405">
        <f t="shared" si="272"/>
        <v>0</v>
      </c>
      <c r="BM357" s="405">
        <f t="shared" si="310"/>
        <v>0</v>
      </c>
      <c r="BN357" s="405">
        <f t="shared" si="273"/>
        <v>0</v>
      </c>
      <c r="BO357" s="405">
        <f t="shared" si="274"/>
        <v>0</v>
      </c>
    </row>
    <row r="358" spans="4:67" ht="13.5" thickBot="1" x14ac:dyDescent="0.25">
      <c r="D358" s="345">
        <v>28348</v>
      </c>
      <c r="E358" s="340" t="str">
        <f t="shared" si="261"/>
        <v>0.470225545912127i</v>
      </c>
      <c r="F358" s="728" t="str">
        <f t="shared" si="275"/>
        <v>0.005-0.0920381482903908i</v>
      </c>
      <c r="G358" s="337" t="str">
        <f t="shared" si="276"/>
        <v>0.005-0.143957103736252i</v>
      </c>
      <c r="H358" s="338" t="str">
        <f t="shared" si="277"/>
        <v>0.0215739664109234-0.140825716637233i</v>
      </c>
      <c r="I358" s="338" t="str">
        <f t="shared" si="278"/>
        <v>0.0315739664109234-0.140825716637233i</v>
      </c>
      <c r="J358" s="337" t="str">
        <f t="shared" si="279"/>
        <v>0.00670222072612499-0.0560352940920014i</v>
      </c>
      <c r="K358" s="338" t="str">
        <f t="shared" si="262"/>
        <v>0.991071009955556-0.148429780906606i</v>
      </c>
      <c r="L358" s="732"/>
      <c r="M358" s="732" t="str">
        <f t="shared" si="263"/>
        <v>0.781151505737595-48.2743484722844i</v>
      </c>
      <c r="N358" s="337">
        <f t="shared" si="264"/>
        <v>0</v>
      </c>
      <c r="O358" s="730" t="str">
        <f t="shared" si="265"/>
        <v>-1.60915026110345-18.8106595222369i</v>
      </c>
      <c r="P358" s="731" t="str">
        <f t="shared" si="266"/>
        <v>-2.69983186393222-0.367317393225541i</v>
      </c>
      <c r="Q358" s="729" t="str">
        <f t="shared" si="267"/>
        <v>-2.68374036132119-0.179210798003174i</v>
      </c>
      <c r="R358" s="730"/>
      <c r="S358" s="405" t="str">
        <f t="shared" si="280"/>
        <v>39.6768819693425-4.50680078707039i</v>
      </c>
      <c r="T358" s="405" t="str">
        <f t="shared" si="281"/>
        <v>15.2565171586683-3.32556764725357i</v>
      </c>
      <c r="U358" s="405" t="str">
        <f t="shared" si="282"/>
        <v>-0.139181858421293-2.22025564697682i</v>
      </c>
      <c r="V358" s="731" t="str">
        <f t="shared" si="268"/>
        <v>6000</v>
      </c>
      <c r="W358" s="733" t="str">
        <f>IMSUM(COMPLEX(1,0),IMDIV(COMPLEX(0,2*PI()*D358),COMPLEX(2*PI()*'Stability Calculations'!EA_Pole1,0)))</f>
        <v>1+179896.894458806i</v>
      </c>
      <c r="X358" s="734">
        <f t="shared" si="283"/>
        <v>179896.89446158538</v>
      </c>
      <c r="Y358" s="735">
        <f t="shared" si="284"/>
        <v>1.5707907680552475</v>
      </c>
      <c r="Z358" s="340" t="str">
        <f>IMSUM(COMPLEX(1,0),IMDIV(COMPLEX(0,2*PI()*D358),COMPLEX(2*PI()*'Stability Calculations'!EA_Zero1,0)))</f>
        <v>1+1781.15737087927i</v>
      </c>
      <c r="AA358" s="734">
        <f t="shared" si="285"/>
        <v>1781.1576515956006</v>
      </c>
      <c r="AB358" s="735">
        <f t="shared" si="286"/>
        <v>1.5702348941493143</v>
      </c>
      <c r="AC358" s="733" t="str">
        <f>IMSUM(COMPLEX(1,0),IMDIV(COMPLEX(0,2*PI()*D358),COMPLEX(2*PI()*'Stability Calculations'!EA_Pole2,0)))</f>
        <v>1+17.9424106318696i</v>
      </c>
      <c r="AD358" s="734">
        <f t="shared" si="287"/>
        <v>17.970255960409336</v>
      </c>
      <c r="AE358" s="735">
        <f t="shared" si="288"/>
        <v>1.5151200565020873</v>
      </c>
      <c r="AF358" s="732" t="str">
        <f t="shared" si="289"/>
        <v>0.182124375378902-3.30077254485795i</v>
      </c>
      <c r="AG358" s="337">
        <f t="shared" si="290"/>
        <v>3.3057931999741275</v>
      </c>
      <c r="AH358" s="730">
        <f t="shared" si="291"/>
        <v>-1.5156759304080203</v>
      </c>
      <c r="AI358" s="731" t="str">
        <f t="shared" si="269"/>
        <v>10000</v>
      </c>
      <c r="AJ358" s="733" t="str">
        <f t="shared" si="292"/>
        <v>1+167713.421810519i</v>
      </c>
      <c r="AK358" s="734">
        <f t="shared" si="293"/>
        <v>167713.42181350029</v>
      </c>
      <c r="AL358" s="735">
        <f t="shared" si="294"/>
        <v>1.5707903642428886</v>
      </c>
      <c r="AM358" s="340" t="str">
        <f t="shared" si="295"/>
        <v>1+284.628947866507i</v>
      </c>
      <c r="AN358" s="734">
        <f t="shared" si="296"/>
        <v>284.63070453412922</v>
      </c>
      <c r="AO358" s="735">
        <f t="shared" si="297"/>
        <v>1.5672829951643912</v>
      </c>
      <c r="AP358" s="733" t="str">
        <f t="shared" si="298"/>
        <v>1+13.8049731341769i</v>
      </c>
      <c r="AQ358" s="734">
        <f t="shared" si="299"/>
        <v>13.841144578225675</v>
      </c>
      <c r="AR358" s="735">
        <f t="shared" si="300"/>
        <v>1.4984849644552032</v>
      </c>
      <c r="AS358" s="732" t="str">
        <f t="shared" si="301"/>
        <v>0.00340837616830873-8.25636189548075i</v>
      </c>
      <c r="AT358" s="337">
        <f t="shared" si="302"/>
        <v>8.2563625990005178</v>
      </c>
      <c r="AU358" s="730">
        <f t="shared" si="303"/>
        <v>-1.5703835086532212</v>
      </c>
      <c r="AV358" s="732" t="str">
        <f t="shared" si="304"/>
        <v>-0.420804839635353+0.0675149122621584i</v>
      </c>
      <c r="AW358" s="337">
        <f t="shared" si="305"/>
        <v>-7.4080051808628147</v>
      </c>
      <c r="AX358" s="730">
        <f t="shared" si="306"/>
        <v>170.88501330612849</v>
      </c>
      <c r="AY358" s="360">
        <f t="shared" si="307"/>
        <v>-9.1149866938715149</v>
      </c>
      <c r="BB358" s="337">
        <f t="shared" si="308"/>
        <v>-21.664224843196124</v>
      </c>
      <c r="BC358" s="730">
        <f t="shared" si="309"/>
        <v>-89.976347262775562</v>
      </c>
      <c r="BD358" s="351"/>
      <c r="BE358" s="337">
        <f t="shared" si="270"/>
        <v>33.67546543428243</v>
      </c>
      <c r="BF358" s="730">
        <f t="shared" si="271"/>
        <v>-89.072949090146537</v>
      </c>
      <c r="BI358" s="351"/>
      <c r="BJ358" s="351"/>
      <c r="BL358" s="405">
        <f t="shared" si="272"/>
        <v>0</v>
      </c>
      <c r="BM358" s="405">
        <f t="shared" si="310"/>
        <v>0</v>
      </c>
      <c r="BN358" s="405">
        <f t="shared" si="273"/>
        <v>0</v>
      </c>
      <c r="BO358" s="405">
        <f t="shared" si="274"/>
        <v>0</v>
      </c>
    </row>
    <row r="359" spans="4:67" ht="13.5" thickBot="1" x14ac:dyDescent="0.25">
      <c r="D359" s="345">
        <v>28512</v>
      </c>
      <c r="E359" s="340" t="str">
        <f t="shared" si="261"/>
        <v>0.472945913822724i</v>
      </c>
      <c r="F359" s="728" t="str">
        <f t="shared" si="275"/>
        <v>0.005-0.0915087481669466i</v>
      </c>
      <c r="G359" s="337" t="str">
        <f t="shared" si="276"/>
        <v>0.005-0.143129067645737i</v>
      </c>
      <c r="H359" s="338" t="str">
        <f t="shared" si="277"/>
        <v>0.0213861917376411-0.140037691638536i</v>
      </c>
      <c r="I359" s="338" t="str">
        <f t="shared" si="278"/>
        <v>0.0313861917376411-0.140037691638536i</v>
      </c>
      <c r="J359" s="337" t="str">
        <f t="shared" si="279"/>
        <v>0.00667276077896454-0.0557146949152117i</v>
      </c>
      <c r="K359" s="338" t="str">
        <f t="shared" si="262"/>
        <v>0.9909673984-0.149288482898587i</v>
      </c>
      <c r="L359" s="732"/>
      <c r="M359" s="732" t="str">
        <f t="shared" si="263"/>
        <v>0.766427167245633-47.9227941456863i</v>
      </c>
      <c r="N359" s="337">
        <f t="shared" si="264"/>
        <v>0</v>
      </c>
      <c r="O359" s="730" t="str">
        <f t="shared" si="265"/>
        <v>-1.59645726995076-18.671994129577i</v>
      </c>
      <c r="P359" s="731" t="str">
        <f t="shared" si="266"/>
        <v>-2.66488967016987-0.362478596991548i</v>
      </c>
      <c r="Q359" s="729" t="str">
        <f t="shared" si="267"/>
        <v>-2.64892509747036-0.175758655695782i</v>
      </c>
      <c r="R359" s="730"/>
      <c r="S359" s="405" t="str">
        <f t="shared" si="280"/>
        <v>39.6720974566387-4.54911066968482i</v>
      </c>
      <c r="T359" s="405" t="str">
        <f t="shared" si="281"/>
        <v>15.2523741569822-3.33798587683775i</v>
      </c>
      <c r="U359" s="405" t="str">
        <f t="shared" si="282"/>
        <v>-0.141253638738924-2.20729407493063i</v>
      </c>
      <c r="V359" s="731" t="str">
        <f t="shared" si="268"/>
        <v>6000</v>
      </c>
      <c r="W359" s="733" t="str">
        <f>IMSUM(COMPLEX(1,0),IMDIV(COMPLEX(0,2*PI()*D359),COMPLEX(2*PI()*'Stability Calculations'!EA_Pole1,0)))</f>
        <v>1+180937.641273087i</v>
      </c>
      <c r="X359" s="734">
        <f t="shared" si="283"/>
        <v>180937.64127585042</v>
      </c>
      <c r="Y359" s="735">
        <f t="shared" si="284"/>
        <v>1.5707908000289184</v>
      </c>
      <c r="Z359" s="340" t="str">
        <f>IMSUM(COMPLEX(1,0),IMDIV(COMPLEX(0,2*PI()*D359),COMPLEX(2*PI()*'Stability Calculations'!EA_Zero1,0)))</f>
        <v>1+1791.46179478304i</v>
      </c>
      <c r="AA359" s="734">
        <f t="shared" si="285"/>
        <v>1791.4620738847002</v>
      </c>
      <c r="AB359" s="735">
        <f t="shared" si="286"/>
        <v>1.5702381234890552</v>
      </c>
      <c r="AC359" s="733" t="str">
        <f>IMSUM(COMPLEX(1,0),IMDIV(COMPLEX(0,2*PI()*D359),COMPLEX(2*PI()*'Stability Calculations'!EA_Pole2,0)))</f>
        <v>1+18.0462117939843i</v>
      </c>
      <c r="AD359" s="734">
        <f t="shared" si="287"/>
        <v>18.073897203241419</v>
      </c>
      <c r="AE359" s="735">
        <f t="shared" si="288"/>
        <v>1.5154396486880015</v>
      </c>
      <c r="AF359" s="732" t="str">
        <f t="shared" si="289"/>
        <v>0.18004165052494-3.28190203024957i</v>
      </c>
      <c r="AG359" s="337">
        <f t="shared" si="290"/>
        <v>3.2868367668748006</v>
      </c>
      <c r="AH359" s="730">
        <f t="shared" si="291"/>
        <v>-1.5159923252278644</v>
      </c>
      <c r="AI359" s="731" t="str">
        <f t="shared" si="269"/>
        <v>10000</v>
      </c>
      <c r="AJ359" s="733" t="str">
        <f t="shared" si="292"/>
        <v>1+168683.684304413i</v>
      </c>
      <c r="AK359" s="734">
        <f t="shared" si="293"/>
        <v>168683.68430737715</v>
      </c>
      <c r="AL359" s="735">
        <f t="shared" si="294"/>
        <v>1.5707903985392737</v>
      </c>
      <c r="AM359" s="340" t="str">
        <f t="shared" si="295"/>
        <v>1+286.27559480633i</v>
      </c>
      <c r="AN359" s="734">
        <f t="shared" si="296"/>
        <v>286.27734136972498</v>
      </c>
      <c r="AO359" s="735">
        <f t="shared" si="297"/>
        <v>1.5673032035568857</v>
      </c>
      <c r="AP359" s="733" t="str">
        <f t="shared" si="298"/>
        <v>1+13.8848382249771i</v>
      </c>
      <c r="AQ359" s="734">
        <f t="shared" si="299"/>
        <v>13.920802151233429</v>
      </c>
      <c r="AR359" s="735">
        <f t="shared" si="300"/>
        <v>1.4988994608294393</v>
      </c>
      <c r="AS359" s="732" t="str">
        <f t="shared" si="301"/>
        <v>0.00336927922671168-8.20887161442979i</v>
      </c>
      <c r="AT359" s="337">
        <f t="shared" si="302"/>
        <v>8.2088723058793942</v>
      </c>
      <c r="AU359" s="730">
        <f t="shared" si="303"/>
        <v>-1.5703858831680786</v>
      </c>
      <c r="AV359" s="732" t="str">
        <f t="shared" si="304"/>
        <v>-0.415870822678139+0.0672149619016846i</v>
      </c>
      <c r="AW359" s="337">
        <f t="shared" si="305"/>
        <v>-7.5088387944635659</v>
      </c>
      <c r="AX359" s="730">
        <f t="shared" si="306"/>
        <v>170.81898598887452</v>
      </c>
      <c r="AY359" s="360">
        <f t="shared" si="307"/>
        <v>-9.1810140111254839</v>
      </c>
      <c r="BB359" s="337">
        <f t="shared" si="308"/>
        <v>-21.714330000052399</v>
      </c>
      <c r="BC359" s="730">
        <f t="shared" si="309"/>
        <v>-89.976483312455287</v>
      </c>
      <c r="BD359" s="351"/>
      <c r="BE359" s="337">
        <f t="shared" si="270"/>
        <v>33.611953307688985</v>
      </c>
      <c r="BF359" s="730">
        <f t="shared" si="271"/>
        <v>-89.083749197083407</v>
      </c>
      <c r="BI359" s="351"/>
      <c r="BJ359" s="351"/>
      <c r="BL359" s="405">
        <f t="shared" si="272"/>
        <v>0</v>
      </c>
      <c r="BM359" s="405">
        <f t="shared" si="310"/>
        <v>0</v>
      </c>
      <c r="BN359" s="405">
        <f t="shared" si="273"/>
        <v>0</v>
      </c>
      <c r="BO359" s="405">
        <f t="shared" si="274"/>
        <v>0</v>
      </c>
    </row>
    <row r="360" spans="4:67" ht="13.5" thickBot="1" x14ac:dyDescent="0.25">
      <c r="D360" s="345">
        <v>28676</v>
      </c>
      <c r="E360" s="340" t="str">
        <f t="shared" si="261"/>
        <v>0.47566628173332i</v>
      </c>
      <c r="F360" s="728" t="str">
        <f t="shared" si="275"/>
        <v>0.005-0.0909854033943363i</v>
      </c>
      <c r="G360" s="337" t="str">
        <f t="shared" si="276"/>
        <v>0.005-0.142310502744988i</v>
      </c>
      <c r="H360" s="338" t="str">
        <f t="shared" si="277"/>
        <v>0.0212015720213431-0.139258312660077i</v>
      </c>
      <c r="I360" s="338" t="str">
        <f t="shared" si="278"/>
        <v>0.0312015720213431-0.139258312660077i</v>
      </c>
      <c r="J360" s="337" t="str">
        <f t="shared" si="279"/>
        <v>0.00664380273582276-0.0553977420756496i</v>
      </c>
      <c r="K360" s="338" t="str">
        <f t="shared" si="262"/>
        <v>0.990863189155556-0.150147184890568i</v>
      </c>
      <c r="L360" s="732"/>
      <c r="M360" s="732" t="str">
        <f t="shared" si="263"/>
        <v>0.752115333755141-47.5767306074704i</v>
      </c>
      <c r="N360" s="337">
        <f t="shared" si="264"/>
        <v>0</v>
      </c>
      <c r="O360" s="730" t="str">
        <f t="shared" si="265"/>
        <v>-1.58397159714325-18.5355121134914i</v>
      </c>
      <c r="P360" s="731" t="str">
        <f t="shared" si="266"/>
        <v>-2.63064654508325-0.357755904241922i</v>
      </c>
      <c r="Q360" s="729" t="str">
        <f t="shared" si="267"/>
        <v>-2.61480682911182-0.172400783107008i</v>
      </c>
      <c r="R360" s="730"/>
      <c r="S360" s="405" t="str">
        <f t="shared" si="280"/>
        <v>39.6672545813314-4.59132351455558i</v>
      </c>
      <c r="T360" s="405" t="str">
        <f t="shared" si="281"/>
        <v>15.2482196389854-3.3504352859505i</v>
      </c>
      <c r="U360" s="405" t="str">
        <f t="shared" si="282"/>
        <v>-0.143289737725042-2.19447583301328i</v>
      </c>
      <c r="V360" s="731" t="str">
        <f t="shared" si="268"/>
        <v>6000</v>
      </c>
      <c r="W360" s="733" t="str">
        <f>IMSUM(COMPLEX(1,0),IMDIV(COMPLEX(0,2*PI()*D360),COMPLEX(2*PI()*'Stability Calculations'!EA_Pole1,0)))</f>
        <v>1+181978.388087369i</v>
      </c>
      <c r="X360" s="734">
        <f t="shared" si="283"/>
        <v>181978.38809011658</v>
      </c>
      <c r="Y360" s="735">
        <f t="shared" si="284"/>
        <v>1.5707908316368699</v>
      </c>
      <c r="Z360" s="340" t="str">
        <f>IMSUM(COMPLEX(1,0),IMDIV(COMPLEX(0,2*PI()*D360),COMPLEX(2*PI()*'Stability Calculations'!EA_Zero1,0)))</f>
        <v>1+1801.76621868682i</v>
      </c>
      <c r="AA360" s="734">
        <f t="shared" si="285"/>
        <v>1801.766496192279</v>
      </c>
      <c r="AB360" s="735">
        <f t="shared" si="286"/>
        <v>1.5702413158911792</v>
      </c>
      <c r="AC360" s="733" t="str">
        <f>IMSUM(COMPLEX(1,0),IMDIV(COMPLEX(0,2*PI()*D360),COMPLEX(2*PI()*'Stability Calculations'!EA_Pole2,0)))</f>
        <v>1+18.150012956099i</v>
      </c>
      <c r="AD360" s="734">
        <f t="shared" si="287"/>
        <v>18.177540271075223</v>
      </c>
      <c r="AE360" s="735">
        <f t="shared" si="288"/>
        <v>1.5157555964617908</v>
      </c>
      <c r="AF360" s="732" t="str">
        <f t="shared" si="289"/>
        <v>0.177994412931259-3.26324540394404i</v>
      </c>
      <c r="AG360" s="337">
        <f t="shared" si="290"/>
        <v>3.2680961701572744</v>
      </c>
      <c r="AH360" s="730">
        <f t="shared" si="291"/>
        <v>-1.5163051122074818</v>
      </c>
      <c r="AI360" s="731" t="str">
        <f t="shared" si="269"/>
        <v>10000</v>
      </c>
      <c r="AJ360" s="733" t="str">
        <f t="shared" si="292"/>
        <v>1+169653.946798308i</v>
      </c>
      <c r="AK360" s="734">
        <f t="shared" si="293"/>
        <v>169653.94680125517</v>
      </c>
      <c r="AL360" s="735">
        <f t="shared" si="294"/>
        <v>1.5707904324433719</v>
      </c>
      <c r="AM360" s="340" t="str">
        <f t="shared" si="295"/>
        <v>1+287.922241746154i</v>
      </c>
      <c r="AN360" s="734">
        <f t="shared" si="296"/>
        <v>287.92397832089415</v>
      </c>
      <c r="AO360" s="735">
        <f t="shared" si="297"/>
        <v>1.5673231808058345</v>
      </c>
      <c r="AP360" s="733" t="str">
        <f t="shared" si="298"/>
        <v>1+13.9647033157774i</v>
      </c>
      <c r="AQ360" s="734">
        <f t="shared" si="299"/>
        <v>14.00046208871994</v>
      </c>
      <c r="AR360" s="735">
        <f t="shared" si="300"/>
        <v>1.49930924046406</v>
      </c>
      <c r="AS360" s="732" t="str">
        <f t="shared" si="301"/>
        <v>0.00333085115918998-8.16192453341919i</v>
      </c>
      <c r="AT360" s="337">
        <f t="shared" si="302"/>
        <v>8.1619252130731699</v>
      </c>
      <c r="AU360" s="730">
        <f t="shared" si="303"/>
        <v>-1.5703882305229153</v>
      </c>
      <c r="AV360" s="732" t="str">
        <f t="shared" si="304"/>
        <v>-0.411021424837051+0.0669167212715453i</v>
      </c>
      <c r="AW360" s="337">
        <f t="shared" si="305"/>
        <v>-7.60909685251307</v>
      </c>
      <c r="AX360" s="730">
        <f t="shared" si="306"/>
        <v>170.75303758979786</v>
      </c>
      <c r="AY360" s="360">
        <f t="shared" si="307"/>
        <v>-9.2469624102021442</v>
      </c>
      <c r="BB360" s="337">
        <f t="shared" si="308"/>
        <v>-21.764147778852223</v>
      </c>
      <c r="BC360" s="730">
        <f t="shared" si="309"/>
        <v>-89.976617805980453</v>
      </c>
      <c r="BD360" s="351"/>
      <c r="BE360" s="337">
        <f t="shared" si="270"/>
        <v>33.548977094778039</v>
      </c>
      <c r="BF360" s="730">
        <f t="shared" si="271"/>
        <v>-89.094316810794169</v>
      </c>
      <c r="BI360" s="351"/>
      <c r="BJ360" s="351"/>
      <c r="BL360" s="405">
        <f t="shared" si="272"/>
        <v>0</v>
      </c>
      <c r="BM360" s="405">
        <f t="shared" si="310"/>
        <v>0</v>
      </c>
      <c r="BN360" s="405">
        <f t="shared" si="273"/>
        <v>0</v>
      </c>
      <c r="BO360" s="405">
        <f t="shared" si="274"/>
        <v>0</v>
      </c>
    </row>
    <row r="361" spans="4:67" ht="13.5" thickBot="1" x14ac:dyDescent="0.25">
      <c r="D361" s="345">
        <v>28840</v>
      </c>
      <c r="E361" s="340" t="str">
        <f t="shared" si="261"/>
        <v>0.478386649643916i</v>
      </c>
      <c r="F361" s="728" t="str">
        <f t="shared" si="275"/>
        <v>0.005-0.0904680106704574i</v>
      </c>
      <c r="G361" s="337" t="str">
        <f t="shared" si="276"/>
        <v>0.005-0.14150124745892i</v>
      </c>
      <c r="H361" s="338" t="str">
        <f t="shared" si="277"/>
        <v>0.0210200372941126-0.138487440307997i</v>
      </c>
      <c r="I361" s="338" t="str">
        <f t="shared" si="278"/>
        <v>0.0310200372941126-0.138487440307997i</v>
      </c>
      <c r="J361" s="337" t="str">
        <f t="shared" si="279"/>
        <v>0.00661533524770054-0.0550843738791775i</v>
      </c>
      <c r="K361" s="338" t="str">
        <f t="shared" si="262"/>
        <v>0.990758382222222-0.151005886882549i</v>
      </c>
      <c r="L361" s="732"/>
      <c r="M361" s="732" t="str">
        <f t="shared" si="263"/>
        <v>0.738200935643456-47.236024226913i</v>
      </c>
      <c r="N361" s="337">
        <f t="shared" si="264"/>
        <v>0</v>
      </c>
      <c r="O361" s="730" t="str">
        <f t="shared" si="265"/>
        <v>-1.57168903215379-18.4011598044707i</v>
      </c>
      <c r="P361" s="731" t="str">
        <f t="shared" si="266"/>
        <v>-2.59708337241171-0.353145472366477i</v>
      </c>
      <c r="Q361" s="729" t="str">
        <f t="shared" si="267"/>
        <v>-2.58136648209017-0.169133874321771i</v>
      </c>
      <c r="R361" s="730"/>
      <c r="S361" s="405" t="str">
        <f t="shared" si="280"/>
        <v>39.6623538504521-4.63344081412145i</v>
      </c>
      <c r="T361" s="405" t="str">
        <f t="shared" si="281"/>
        <v>15.244053408835-3.3629152429865i</v>
      </c>
      <c r="U361" s="405" t="str">
        <f t="shared" si="282"/>
        <v>-0.145290952806788-2.18179854033247i</v>
      </c>
      <c r="V361" s="731" t="str">
        <f t="shared" si="268"/>
        <v>6000</v>
      </c>
      <c r="W361" s="733" t="str">
        <f>IMSUM(COMPLEX(1,0),IMDIV(COMPLEX(0,2*PI()*D361),COMPLEX(2*PI()*'Stability Calculations'!EA_Pole1,0)))</f>
        <v>1+183019.13490165i</v>
      </c>
      <c r="X361" s="734">
        <f t="shared" si="283"/>
        <v>183019.13490438194</v>
      </c>
      <c r="Y361" s="735">
        <f t="shared" si="284"/>
        <v>1.5707908628853413</v>
      </c>
      <c r="Z361" s="340" t="str">
        <f>IMSUM(COMPLEX(1,0),IMDIV(COMPLEX(0,2*PI()*D361),COMPLEX(2*PI()*'Stability Calculations'!EA_Zero1,0)))</f>
        <v>1+1812.07064259059i</v>
      </c>
      <c r="AA361" s="734">
        <f t="shared" si="285"/>
        <v>1812.0709185180015</v>
      </c>
      <c r="AB361" s="735">
        <f t="shared" si="286"/>
        <v>1.5702444719858282</v>
      </c>
      <c r="AC361" s="733" t="str">
        <f>IMSUM(COMPLEX(1,0),IMDIV(COMPLEX(0,2*PI()*D361),COMPLEX(2*PI()*'Stability Calculations'!EA_Pole2,0)))</f>
        <v>1+18.2538141182136i</v>
      </c>
      <c r="AD361" s="734">
        <f t="shared" si="287"/>
        <v>18.281185132870743</v>
      </c>
      <c r="AE361" s="735">
        <f t="shared" si="288"/>
        <v>1.5160679617456281</v>
      </c>
      <c r="AF361" s="732" t="str">
        <f t="shared" si="289"/>
        <v>0.175981861736378-3.24479906095766i</v>
      </c>
      <c r="AG361" s="337">
        <f t="shared" si="290"/>
        <v>3.2495677499710505</v>
      </c>
      <c r="AH361" s="730">
        <f t="shared" si="291"/>
        <v>-1.5166143526451414</v>
      </c>
      <c r="AI361" s="731" t="str">
        <f t="shared" si="269"/>
        <v>10000</v>
      </c>
      <c r="AJ361" s="733" t="str">
        <f t="shared" si="292"/>
        <v>1+170624.209292202i</v>
      </c>
      <c r="AK361" s="734">
        <f t="shared" si="293"/>
        <v>170624.2092951324</v>
      </c>
      <c r="AL361" s="735">
        <f t="shared" si="294"/>
        <v>1.5707904659618757</v>
      </c>
      <c r="AM361" s="340" t="str">
        <f t="shared" si="295"/>
        <v>1+289.568888685976i</v>
      </c>
      <c r="AN361" s="734">
        <f t="shared" si="296"/>
        <v>289.57061538566228</v>
      </c>
      <c r="AO361" s="735">
        <f t="shared" si="297"/>
        <v>1.5673429308543998</v>
      </c>
      <c r="AP361" s="733" t="str">
        <f t="shared" si="298"/>
        <v>1+14.0445684065776i</v>
      </c>
      <c r="AQ361" s="734">
        <f t="shared" si="299"/>
        <v>14.080124350553078</v>
      </c>
      <c r="AR361" s="735">
        <f t="shared" si="300"/>
        <v>1.4997143832791047</v>
      </c>
      <c r="AS361" s="732" t="str">
        <f t="shared" si="301"/>
        <v>0.00329307679475526-8.11551138565836i</v>
      </c>
      <c r="AT361" s="337">
        <f t="shared" si="302"/>
        <v>8.1155120537834975</v>
      </c>
      <c r="AU361" s="730">
        <f t="shared" si="303"/>
        <v>-1.5703905511810721</v>
      </c>
      <c r="AV361" s="732" t="str">
        <f t="shared" si="304"/>
        <v>-0.406254721442455+0.0666202000061369i</v>
      </c>
      <c r="AW361" s="337">
        <f t="shared" si="305"/>
        <v>-7.7087859845078874</v>
      </c>
      <c r="AX361" s="730">
        <f t="shared" si="306"/>
        <v>170.68716666941069</v>
      </c>
      <c r="AY361" s="360">
        <f t="shared" si="307"/>
        <v>-9.3128333305893136</v>
      </c>
      <c r="BB361" s="337">
        <f t="shared" si="308"/>
        <v>-21.813681457317429</v>
      </c>
      <c r="BC361" s="730">
        <f t="shared" si="309"/>
        <v>-89.97675076989853</v>
      </c>
      <c r="BD361" s="351"/>
      <c r="BE361" s="337">
        <f t="shared" si="270"/>
        <v>33.486527289994363</v>
      </c>
      <c r="BF361" s="730">
        <f t="shared" si="271"/>
        <v>-89.104658871846596</v>
      </c>
      <c r="BI361" s="351"/>
      <c r="BJ361" s="351"/>
      <c r="BL361" s="405">
        <f t="shared" si="272"/>
        <v>0</v>
      </c>
      <c r="BM361" s="405">
        <f t="shared" si="310"/>
        <v>0</v>
      </c>
      <c r="BN361" s="405">
        <f t="shared" si="273"/>
        <v>0</v>
      </c>
      <c r="BO361" s="405">
        <f t="shared" si="274"/>
        <v>0</v>
      </c>
    </row>
    <row r="362" spans="4:67" ht="13.5" thickBot="1" x14ac:dyDescent="0.25">
      <c r="D362" s="345">
        <v>29008</v>
      </c>
      <c r="E362" s="340" t="str">
        <f t="shared" si="261"/>
        <v>0.481173367991357i</v>
      </c>
      <c r="F362" s="728" t="str">
        <f t="shared" si="275"/>
        <v>0.005-0.0899440646627133i</v>
      </c>
      <c r="G362" s="337" t="str">
        <f t="shared" si="276"/>
        <v>0.005-0.140681742164757i</v>
      </c>
      <c r="H362" s="338" t="str">
        <f t="shared" si="277"/>
        <v>0.0208372025434441-0.137706443938447i</v>
      </c>
      <c r="I362" s="338" t="str">
        <f t="shared" si="278"/>
        <v>0.0308372025434441-0.137706443938447i</v>
      </c>
      <c r="J362" s="337" t="str">
        <f t="shared" si="279"/>
        <v>0.00658667055048146-0.0547670163733416i</v>
      </c>
      <c r="K362" s="338" t="str">
        <f t="shared" si="262"/>
        <v>0.990650399288889-0.151885532825555i</v>
      </c>
      <c r="L362" s="732"/>
      <c r="M362" s="732" t="str">
        <f t="shared" si="263"/>
        <v>0.724344210458426-46.8924276278904i</v>
      </c>
      <c r="N362" s="337">
        <f t="shared" si="264"/>
        <v>0</v>
      </c>
      <c r="O362" s="730" t="str">
        <f t="shared" si="265"/>
        <v>-1.5593131846654-18.2656846445261i</v>
      </c>
      <c r="P362" s="731" t="str">
        <f t="shared" si="266"/>
        <v>-2.56338733500297-0.34853514333132i</v>
      </c>
      <c r="Q362" s="729" t="str">
        <f t="shared" si="267"/>
        <v>-2.54779420315631-0.165878296886058i</v>
      </c>
      <c r="R362" s="730"/>
      <c r="S362" s="405" t="str">
        <f t="shared" si="280"/>
        <v>39.6572741151493-4.67648782054289i</v>
      </c>
      <c r="T362" s="405" t="str">
        <f t="shared" si="281"/>
        <v>15.2397732204096-3.3757306174611i</v>
      </c>
      <c r="U362" s="405" t="str">
        <f t="shared" si="282"/>
        <v>-0.147305617714877-2.16895575921911i</v>
      </c>
      <c r="V362" s="731" t="str">
        <f t="shared" si="268"/>
        <v>6000</v>
      </c>
      <c r="W362" s="733" t="str">
        <f>IMSUM(COMPLEX(1,0),IMDIV(COMPLEX(0,2*PI()*D362),COMPLEX(2*PI()*'Stability Calculations'!EA_Pole1,0)))</f>
        <v>1+184085.265784572i</v>
      </c>
      <c r="X362" s="734">
        <f t="shared" si="283"/>
        <v>184085.26578728814</v>
      </c>
      <c r="Y362" s="735">
        <f t="shared" si="284"/>
        <v>1.5707908945296052</v>
      </c>
      <c r="Z362" s="340" t="str">
        <f>IMSUM(COMPLEX(1,0),IMDIV(COMPLEX(0,2*PI()*D362),COMPLEX(2*PI()*'Stability Calculations'!EA_Zero1,0)))</f>
        <v>1+1822.62639390665i</v>
      </c>
      <c r="AA362" s="734">
        <f t="shared" si="285"/>
        <v>1822.6266682360265</v>
      </c>
      <c r="AB362" s="735">
        <f t="shared" si="286"/>
        <v>1.5702476680555078</v>
      </c>
      <c r="AC362" s="733" t="str">
        <f>IMSUM(COMPLEX(1,0),IMDIV(COMPLEX(0,2*PI()*D362),COMPLEX(2*PI()*'Stability Calculations'!EA_Pole2,0)))</f>
        <v>1+18.3601470159896i</v>
      </c>
      <c r="AD362" s="734">
        <f t="shared" si="287"/>
        <v>18.387359746541968</v>
      </c>
      <c r="AE362" s="735">
        <f t="shared" si="288"/>
        <v>1.5163842943353547</v>
      </c>
      <c r="AF362" s="732" t="str">
        <f t="shared" si="289"/>
        <v>0.173955376105782-3.22611716244283i</v>
      </c>
      <c r="AG362" s="337">
        <f t="shared" si="290"/>
        <v>3.2308036799973285</v>
      </c>
      <c r="AH362" s="730">
        <f t="shared" si="291"/>
        <v>-1.5169275208094521</v>
      </c>
      <c r="AI362" s="731" t="str">
        <f t="shared" si="269"/>
        <v>10000</v>
      </c>
      <c r="AJ362" s="733" t="str">
        <f t="shared" si="292"/>
        <v>1+171618.136724972i</v>
      </c>
      <c r="AK362" s="734">
        <f t="shared" si="293"/>
        <v>171618.1367278854</v>
      </c>
      <c r="AL362" s="735">
        <f t="shared" si="294"/>
        <v>1.570790499904924</v>
      </c>
      <c r="AM362" s="340" t="str">
        <f t="shared" si="295"/>
        <v>1+291.255697746283i</v>
      </c>
      <c r="AN362" s="734">
        <f t="shared" si="296"/>
        <v>291.25741444583713</v>
      </c>
      <c r="AO362" s="735">
        <f t="shared" si="297"/>
        <v>1.5673629310593531</v>
      </c>
      <c r="AP362" s="733" t="str">
        <f t="shared" si="298"/>
        <v>1+14.1263814264217i</v>
      </c>
      <c r="AQ362" s="734">
        <f t="shared" si="299"/>
        <v>14.161731963455317</v>
      </c>
      <c r="AR362" s="735">
        <f t="shared" si="300"/>
        <v>1.5001246814443856</v>
      </c>
      <c r="AS362" s="732" t="str">
        <f t="shared" si="301"/>
        <v>0.00325504350915266-8.06851036981084i</v>
      </c>
      <c r="AT362" s="337">
        <f t="shared" si="302"/>
        <v>8.0685110263947273</v>
      </c>
      <c r="AU362" s="730">
        <f t="shared" si="303"/>
        <v>-1.5703929012326339</v>
      </c>
      <c r="AV362" s="732" t="str">
        <f t="shared" si="304"/>
        <v>-0.40145554679913+0.0663182379574899i</v>
      </c>
      <c r="AW362" s="337">
        <f t="shared" si="305"/>
        <v>-7.8103234596428361</v>
      </c>
      <c r="AX362" s="730">
        <f t="shared" si="306"/>
        <v>170.61976800904333</v>
      </c>
      <c r="AY362" s="360">
        <f t="shared" si="307"/>
        <v>-9.3802319909566734</v>
      </c>
      <c r="BB362" s="337">
        <f t="shared" si="308"/>
        <v>-21.8641320631395</v>
      </c>
      <c r="BC362" s="730">
        <f t="shared" si="309"/>
        <v>-89.976885417934653</v>
      </c>
      <c r="BD362" s="351"/>
      <c r="BE362" s="337">
        <f t="shared" si="270"/>
        <v>33.423090472903041</v>
      </c>
      <c r="BF362" s="730">
        <f t="shared" si="271"/>
        <v>-89.115026287681772</v>
      </c>
      <c r="BI362" s="351"/>
      <c r="BJ362" s="351"/>
      <c r="BL362" s="405">
        <f t="shared" si="272"/>
        <v>0</v>
      </c>
      <c r="BM362" s="405">
        <f t="shared" si="310"/>
        <v>0</v>
      </c>
      <c r="BN362" s="405">
        <f t="shared" si="273"/>
        <v>0</v>
      </c>
      <c r="BO362" s="405">
        <f t="shared" si="274"/>
        <v>0</v>
      </c>
    </row>
    <row r="363" spans="4:67" ht="13.5" thickBot="1" x14ac:dyDescent="0.25">
      <c r="D363" s="345">
        <v>29176</v>
      </c>
      <c r="E363" s="340" t="str">
        <f t="shared" si="261"/>
        <v>0.483960086338797i</v>
      </c>
      <c r="F363" s="728" t="str">
        <f t="shared" si="275"/>
        <v>0.005-0.0894261525821217i</v>
      </c>
      <c r="G363" s="337" t="str">
        <f t="shared" si="276"/>
        <v>0.005-0.139871674551524i</v>
      </c>
      <c r="H363" s="338" t="str">
        <f t="shared" si="277"/>
        <v>0.020657462575726-0.136934087439483i</v>
      </c>
      <c r="I363" s="338" t="str">
        <f t="shared" si="278"/>
        <v>0.030657462575726-0.136934087439483i</v>
      </c>
      <c r="J363" s="337" t="str">
        <f t="shared" si="279"/>
        <v>0.00655849753366173-0.0544532938441895i</v>
      </c>
      <c r="K363" s="338" t="str">
        <f t="shared" si="262"/>
        <v>0.990541789155556-0.15276517876856i</v>
      </c>
      <c r="L363" s="732"/>
      <c r="M363" s="732" t="str">
        <f t="shared" si="263"/>
        <v>0.710874655280994-46.5541827969523i</v>
      </c>
      <c r="N363" s="337">
        <f t="shared" si="264"/>
        <v>0</v>
      </c>
      <c r="O363" s="730" t="str">
        <f t="shared" si="265"/>
        <v>-1.54714181683107-18.1323360013892i</v>
      </c>
      <c r="P363" s="731" t="str">
        <f t="shared" si="266"/>
        <v>-2.53036632584515-0.344034959545853i</v>
      </c>
      <c r="Q363" s="729" t="str">
        <f t="shared" si="267"/>
        <v>-2.51489490767684-0.162711599531961i</v>
      </c>
      <c r="R363" s="730"/>
      <c r="S363" s="405" t="str">
        <f t="shared" si="280"/>
        <v>39.6521346994974-4.71943762804607i</v>
      </c>
      <c r="T363" s="405" t="str">
        <f t="shared" si="281"/>
        <v>15.2354803434735-3.38857674840499i</v>
      </c>
      <c r="U363" s="405" t="str">
        <f t="shared" si="282"/>
        <v>-0.149285299742975-2.15625599490087i</v>
      </c>
      <c r="V363" s="731" t="str">
        <f t="shared" si="268"/>
        <v>6000</v>
      </c>
      <c r="W363" s="733" t="str">
        <f>IMSUM(COMPLEX(1,0),IMDIV(COMPLEX(0,2*PI()*D363),COMPLEX(2*PI()*'Stability Calculations'!EA_Pole1,0)))</f>
        <v>1+185151.396667495i</v>
      </c>
      <c r="X363" s="734">
        <f t="shared" si="283"/>
        <v>185151.39667019548</v>
      </c>
      <c r="Y363" s="735">
        <f t="shared" si="284"/>
        <v>1.5707909258094437</v>
      </c>
      <c r="Z363" s="340" t="str">
        <f>IMSUM(COMPLEX(1,0),IMDIV(COMPLEX(0,2*PI()*D363),COMPLEX(2*PI()*'Stability Calculations'!EA_Zero1,0)))</f>
        <v>1+1833.18214522272i</v>
      </c>
      <c r="AA363" s="734">
        <f t="shared" si="285"/>
        <v>1833.1824179724651</v>
      </c>
      <c r="AB363" s="735">
        <f t="shared" si="286"/>
        <v>1.5702508273182538</v>
      </c>
      <c r="AC363" s="733" t="str">
        <f>IMSUM(COMPLEX(1,0),IMDIV(COMPLEX(0,2*PI()*D363),COMPLEX(2*PI()*'Stability Calculations'!EA_Pole2,0)))</f>
        <v>1+18.4664799137657i</v>
      </c>
      <c r="AD363" s="734">
        <f t="shared" si="287"/>
        <v>18.493536179041371</v>
      </c>
      <c r="AE363" s="735">
        <f t="shared" si="288"/>
        <v>1.5166969946528155</v>
      </c>
      <c r="AF363" s="732" t="str">
        <f t="shared" si="289"/>
        <v>0.171963659585595-3.207648527731i</v>
      </c>
      <c r="AG363" s="337">
        <f t="shared" si="290"/>
        <v>3.2122547498093801</v>
      </c>
      <c r="AH363" s="730">
        <f t="shared" si="291"/>
        <v>-1.5172370931440053</v>
      </c>
      <c r="AI363" s="731" t="str">
        <f t="shared" si="269"/>
        <v>10000</v>
      </c>
      <c r="AJ363" s="733" t="str">
        <f t="shared" si="292"/>
        <v>1+172612.064157743i</v>
      </c>
      <c r="AK363" s="734">
        <f t="shared" si="293"/>
        <v>172612.06416063965</v>
      </c>
      <c r="AL363" s="735">
        <f t="shared" si="294"/>
        <v>1.5707905334570735</v>
      </c>
      <c r="AM363" s="340" t="str">
        <f t="shared" si="295"/>
        <v>1+292.942506806591i</v>
      </c>
      <c r="AN363" s="734">
        <f t="shared" si="296"/>
        <v>292.94421362117669</v>
      </c>
      <c r="AO363" s="735">
        <f t="shared" si="297"/>
        <v>1.5673827009383503</v>
      </c>
      <c r="AP363" s="733" t="str">
        <f t="shared" si="298"/>
        <v>1+14.2081944462659i</v>
      </c>
      <c r="AQ363" s="734">
        <f t="shared" si="299"/>
        <v>14.243341933089338</v>
      </c>
      <c r="AR363" s="735">
        <f t="shared" si="300"/>
        <v>1.500530277912645</v>
      </c>
      <c r="AS363" s="732" t="str">
        <f t="shared" si="301"/>
        <v>0.00321766533494276-8.02205063219406i</v>
      </c>
      <c r="AT363" s="337">
        <f t="shared" si="302"/>
        <v>8.022051277500994</v>
      </c>
      <c r="AU363" s="730">
        <f t="shared" si="303"/>
        <v>-1.5703952242202666</v>
      </c>
      <c r="AV363" s="732" t="str">
        <f t="shared" si="304"/>
        <v>-0.396739234087977+0.0660180964114824i</v>
      </c>
      <c r="AW363" s="337">
        <f t="shared" si="305"/>
        <v>-7.9112776388692581</v>
      </c>
      <c r="AX363" s="730">
        <f t="shared" si="306"/>
        <v>170.55244770461951</v>
      </c>
      <c r="AY363" s="360">
        <f t="shared" si="307"/>
        <v>-9.4475522953804898</v>
      </c>
      <c r="BB363" s="337">
        <f t="shared" si="308"/>
        <v>-21.914291326108753</v>
      </c>
      <c r="BC363" s="730">
        <f t="shared" si="309"/>
        <v>-89.977018515321873</v>
      </c>
      <c r="BD363" s="351"/>
      <c r="BE363" s="337">
        <f t="shared" si="270"/>
        <v>33.360186667628106</v>
      </c>
      <c r="BF363" s="730">
        <f t="shared" si="271"/>
        <v>-89.125170932981405</v>
      </c>
      <c r="BI363" s="351"/>
      <c r="BJ363" s="351"/>
      <c r="BL363" s="405">
        <f t="shared" si="272"/>
        <v>0</v>
      </c>
      <c r="BM363" s="405">
        <f t="shared" si="310"/>
        <v>0</v>
      </c>
      <c r="BN363" s="405">
        <f t="shared" si="273"/>
        <v>0</v>
      </c>
      <c r="BO363" s="405">
        <f t="shared" si="274"/>
        <v>0</v>
      </c>
    </row>
    <row r="364" spans="4:67" ht="13.5" thickBot="1" x14ac:dyDescent="0.25">
      <c r="D364" s="345">
        <v>29344</v>
      </c>
      <c r="E364" s="340" t="str">
        <f t="shared" si="261"/>
        <v>0.486746804686237i</v>
      </c>
      <c r="F364" s="728" t="str">
        <f t="shared" si="275"/>
        <v>0.005-0.08891417079253i</v>
      </c>
      <c r="G364" s="337" t="str">
        <f t="shared" si="276"/>
        <v>0.005-0.139070882521649i</v>
      </c>
      <c r="H364" s="338" t="str">
        <f t="shared" si="277"/>
        <v>0.020480748239601-0.136170230288367i</v>
      </c>
      <c r="I364" s="338" t="str">
        <f t="shared" si="278"/>
        <v>0.030480748239601-0.136170230288367i</v>
      </c>
      <c r="J364" s="337" t="str">
        <f t="shared" si="279"/>
        <v>0.00653080500251746-0.0541431443542647i</v>
      </c>
      <c r="K364" s="338" t="str">
        <f t="shared" si="262"/>
        <v>0.990432551822222-0.153644824711565i</v>
      </c>
      <c r="L364" s="732"/>
      <c r="M364" s="732" t="str">
        <f t="shared" si="263"/>
        <v>0.697778150804151-46.2211598755728i</v>
      </c>
      <c r="N364" s="337">
        <f t="shared" si="264"/>
        <v>0</v>
      </c>
      <c r="O364" s="730" t="str">
        <f t="shared" si="265"/>
        <v>-1.53517069185549-18.0010617722581i</v>
      </c>
      <c r="P364" s="731" t="str">
        <f t="shared" si="266"/>
        <v>-2.49800187832676-0.339641285283791i</v>
      </c>
      <c r="Q364" s="729" t="str">
        <f t="shared" si="267"/>
        <v>-2.4826501714082-0.159630667561211i</v>
      </c>
      <c r="R364" s="730"/>
      <c r="S364" s="405" t="str">
        <f t="shared" si="280"/>
        <v>39.6469361036466-4.76229173485746i</v>
      </c>
      <c r="T364" s="405" t="str">
        <f t="shared" si="281"/>
        <v>15.231174585337-3.4014529986879i</v>
      </c>
      <c r="U364" s="405" t="str">
        <f t="shared" si="282"/>
        <v>-0.151230786070691-2.14369685336261i</v>
      </c>
      <c r="V364" s="731" t="str">
        <f t="shared" si="268"/>
        <v>6000</v>
      </c>
      <c r="W364" s="733" t="str">
        <f>IMSUM(COMPLEX(1,0),IMDIV(COMPLEX(0,2*PI()*D364),COMPLEX(2*PI()*'Stability Calculations'!EA_Pole1,0)))</f>
        <v>1+186217.527550417i</v>
      </c>
      <c r="X364" s="734">
        <f t="shared" si="283"/>
        <v>186217.527553102</v>
      </c>
      <c r="Y364" s="735">
        <f t="shared" si="284"/>
        <v>1.5707909567311162</v>
      </c>
      <c r="Z364" s="340" t="str">
        <f>IMSUM(COMPLEX(1,0),IMDIV(COMPLEX(0,2*PI()*D364),COMPLEX(2*PI()*'Stability Calculations'!EA_Zero1,0)))</f>
        <v>1+1843.73789653878i</v>
      </c>
      <c r="AA364" s="734">
        <f t="shared" si="285"/>
        <v>1843.7381677269809</v>
      </c>
      <c r="AB364" s="735">
        <f t="shared" si="286"/>
        <v>1.5702539504062463</v>
      </c>
      <c r="AC364" s="733" t="str">
        <f>IMSUM(COMPLEX(1,0),IMDIV(COMPLEX(0,2*PI()*D364),COMPLEX(2*PI()*'Stability Calculations'!EA_Pole2,0)))</f>
        <v>1+18.5728128115417i</v>
      </c>
      <c r="AD364" s="734">
        <f t="shared" si="287"/>
        <v>18.599714399220417</v>
      </c>
      <c r="AE364" s="735">
        <f t="shared" si="288"/>
        <v>1.5170061248418316</v>
      </c>
      <c r="AF364" s="732" t="str">
        <f t="shared" si="289"/>
        <v>0.1700059220691-3.18938953643531i</v>
      </c>
      <c r="AG364" s="337">
        <f t="shared" si="290"/>
        <v>3.1939172858202838</v>
      </c>
      <c r="AH364" s="730">
        <f t="shared" si="291"/>
        <v>-1.5175431311667014</v>
      </c>
      <c r="AI364" s="731" t="str">
        <f t="shared" si="269"/>
        <v>10000</v>
      </c>
      <c r="AJ364" s="733" t="str">
        <f t="shared" si="292"/>
        <v>1+173605.991590513i</v>
      </c>
      <c r="AK364" s="734">
        <f t="shared" si="293"/>
        <v>173605.99159339309</v>
      </c>
      <c r="AL364" s="735">
        <f t="shared" si="294"/>
        <v>1.5707905666250384</v>
      </c>
      <c r="AM364" s="340" t="str">
        <f t="shared" si="295"/>
        <v>1+294.629315866897i</v>
      </c>
      <c r="AN364" s="734">
        <f t="shared" si="296"/>
        <v>294.6310129096999</v>
      </c>
      <c r="AO364" s="735">
        <f t="shared" si="297"/>
        <v>1.5674022444473099</v>
      </c>
      <c r="AP364" s="733" t="str">
        <f t="shared" si="298"/>
        <v>1+14.29000746611i</v>
      </c>
      <c r="AQ364" s="734">
        <f t="shared" si="299"/>
        <v>14.324954219175693</v>
      </c>
      <c r="AR364" s="735">
        <f t="shared" si="300"/>
        <v>1.5009312529089593</v>
      </c>
      <c r="AS364" s="732" t="str">
        <f t="shared" si="301"/>
        <v>0.00318092731260767-7.97612287605042i</v>
      </c>
      <c r="AT364" s="337">
        <f t="shared" si="302"/>
        <v>7.9761235103371728</v>
      </c>
      <c r="AU364" s="730">
        <f t="shared" si="303"/>
        <v>-1.5703975206088083</v>
      </c>
      <c r="AV364" s="732" t="str">
        <f t="shared" si="304"/>
        <v>-0.392103886005617+0.0657197816033505i</v>
      </c>
      <c r="AW364" s="337">
        <f t="shared" si="305"/>
        <v>-8.0116552867025455</v>
      </c>
      <c r="AX364" s="730">
        <f t="shared" si="306"/>
        <v>170.48520431779886</v>
      </c>
      <c r="AY364" s="360">
        <f t="shared" si="307"/>
        <v>-9.5147956822011395</v>
      </c>
      <c r="BB364" s="337">
        <f t="shared" si="308"/>
        <v>-21.964162591815221</v>
      </c>
      <c r="BC364" s="730">
        <f t="shared" si="309"/>
        <v>-89.977150088693435</v>
      </c>
      <c r="BD364" s="351"/>
      <c r="BE364" s="337">
        <f t="shared" si="270"/>
        <v>33.297806453894175</v>
      </c>
      <c r="BF364" s="730">
        <f t="shared" si="271"/>
        <v>-89.135099456363179</v>
      </c>
      <c r="BI364" s="351"/>
      <c r="BJ364" s="351"/>
      <c r="BL364" s="405">
        <f t="shared" si="272"/>
        <v>0</v>
      </c>
      <c r="BM364" s="405">
        <f t="shared" si="310"/>
        <v>0</v>
      </c>
      <c r="BN364" s="405">
        <f t="shared" si="273"/>
        <v>0</v>
      </c>
      <c r="BO364" s="405">
        <f t="shared" si="274"/>
        <v>0</v>
      </c>
    </row>
    <row r="365" spans="4:67" ht="13.5" thickBot="1" x14ac:dyDescent="0.25">
      <c r="D365" s="345">
        <v>29512</v>
      </c>
      <c r="E365" s="340" t="str">
        <f t="shared" si="261"/>
        <v>0.489533523033678i</v>
      </c>
      <c r="F365" s="728" t="str">
        <f t="shared" si="275"/>
        <v>0.005-0.0884080180176197i</v>
      </c>
      <c r="G365" s="337" t="str">
        <f t="shared" si="276"/>
        <v>0.005-0.138279207668585i</v>
      </c>
      <c r="H365" s="338" t="str">
        <f t="shared" si="277"/>
        <v>0.020306992295993-0.135414734945667i</v>
      </c>
      <c r="I365" s="338" t="str">
        <f t="shared" si="278"/>
        <v>0.030306992295993-0.135414734945667i</v>
      </c>
      <c r="J365" s="337" t="str">
        <f t="shared" si="279"/>
        <v>0.00650358207880917-0.0538365073624895i</v>
      </c>
      <c r="K365" s="338" t="str">
        <f t="shared" si="262"/>
        <v>0.990322687288889-0.15452447065457i</v>
      </c>
      <c r="L365" s="732"/>
      <c r="M365" s="732" t="str">
        <f t="shared" si="263"/>
        <v>0.685041206947459-45.8932332769832i</v>
      </c>
      <c r="N365" s="337">
        <f t="shared" si="264"/>
        <v>0</v>
      </c>
      <c r="O365" s="730" t="str">
        <f t="shared" si="265"/>
        <v>-1.52339566762797-17.8718115845848i</v>
      </c>
      <c r="P365" s="731" t="str">
        <f t="shared" si="266"/>
        <v>-2.46627616948801-0.335350635460231i</v>
      </c>
      <c r="Q365" s="729" t="str">
        <f t="shared" si="267"/>
        <v>-2.45104221281173-0.156632519614382i</v>
      </c>
      <c r="R365" s="730"/>
      <c r="S365" s="405" t="str">
        <f t="shared" si="280"/>
        <v>39.6416788136-4.80505160533487i</v>
      </c>
      <c r="T365" s="405" t="str">
        <f t="shared" si="281"/>
        <v>15.226855758933-3.41435874452958i</v>
      </c>
      <c r="U365" s="405" t="str">
        <f t="shared" si="282"/>
        <v>-0.153142841811047-2.13127599337274i</v>
      </c>
      <c r="V365" s="731" t="str">
        <f t="shared" si="268"/>
        <v>6000</v>
      </c>
      <c r="W365" s="733" t="str">
        <f>IMSUM(COMPLEX(1,0),IMDIV(COMPLEX(0,2*PI()*D365),COMPLEX(2*PI()*'Stability Calculations'!EA_Pole1,0)))</f>
        <v>1+187283.658433339i</v>
      </c>
      <c r="X365" s="734">
        <f t="shared" si="283"/>
        <v>187283.65843600879</v>
      </c>
      <c r="Y365" s="735">
        <f t="shared" si="284"/>
        <v>1.5707909873007391</v>
      </c>
      <c r="Z365" s="340" t="str">
        <f>IMSUM(COMPLEX(1,0),IMDIV(COMPLEX(0,2*PI()*D365),COMPLEX(2*PI()*'Stability Calculations'!EA_Zero1,0)))</f>
        <v>1+1854.29364785484i</v>
      </c>
      <c r="AA365" s="734">
        <f t="shared" si="285"/>
        <v>1854.293917499275</v>
      </c>
      <c r="AB365" s="735">
        <f t="shared" si="286"/>
        <v>1.57025703793727</v>
      </c>
      <c r="AC365" s="733" t="str">
        <f>IMSUM(COMPLEX(1,0),IMDIV(COMPLEX(0,2*PI()*D365),COMPLEX(2*PI()*'Stability Calculations'!EA_Pole2,0)))</f>
        <v>1+18.6791457093176i</v>
      </c>
      <c r="AD365" s="734">
        <f t="shared" si="287"/>
        <v>18.705894376637492</v>
      </c>
      <c r="AE365" s="735">
        <f t="shared" si="288"/>
        <v>1.5173117456380059</v>
      </c>
      <c r="AF365" s="732" t="str">
        <f t="shared" si="289"/>
        <v>0.168081395744741-3.17133664941287i</v>
      </c>
      <c r="AG365" s="337">
        <f t="shared" si="290"/>
        <v>3.1757876974862072</v>
      </c>
      <c r="AH365" s="730">
        <f t="shared" si="291"/>
        <v>-1.5178456950014751</v>
      </c>
      <c r="AI365" s="731" t="str">
        <f t="shared" si="269"/>
        <v>10000</v>
      </c>
      <c r="AJ365" s="733" t="str">
        <f t="shared" si="292"/>
        <v>1+174599.919023283i</v>
      </c>
      <c r="AK365" s="734">
        <f t="shared" si="293"/>
        <v>174599.9190261467</v>
      </c>
      <c r="AL365" s="735">
        <f t="shared" si="294"/>
        <v>1.570790599415379</v>
      </c>
      <c r="AM365" s="340" t="str">
        <f t="shared" si="295"/>
        <v>1+296.316124927203i</v>
      </c>
      <c r="AN365" s="734">
        <f t="shared" si="296"/>
        <v>296.31781230947587</v>
      </c>
      <c r="AO365" s="735">
        <f t="shared" si="297"/>
        <v>1.5674215654520749</v>
      </c>
      <c r="AP365" s="733" t="str">
        <f t="shared" si="298"/>
        <v>1+14.3718204859542i</v>
      </c>
      <c r="AQ365" s="734">
        <f t="shared" si="299"/>
        <v>14.406568782346918</v>
      </c>
      <c r="AR365" s="735">
        <f t="shared" si="300"/>
        <v>1.5013276848464989</v>
      </c>
      <c r="AS365" s="732" t="str">
        <f t="shared" si="301"/>
        <v>0.00314481490720669-7.93071801631308i</v>
      </c>
      <c r="AT365" s="337">
        <f t="shared" si="302"/>
        <v>7.93071863982916</v>
      </c>
      <c r="AU365" s="730">
        <f t="shared" si="303"/>
        <v>-1.5703997908525131</v>
      </c>
      <c r="AV365" s="732" t="str">
        <f t="shared" si="304"/>
        <v>-0.387547659268278+0.0654232985363505i</v>
      </c>
      <c r="AW365" s="337">
        <f t="shared" si="305"/>
        <v>-8.1114630510820067</v>
      </c>
      <c r="AX365" s="730">
        <f t="shared" si="306"/>
        <v>170.4180364448396</v>
      </c>
      <c r="AY365" s="360">
        <f t="shared" si="307"/>
        <v>-9.5819635551603994</v>
      </c>
      <c r="BB365" s="337">
        <f t="shared" si="308"/>
        <v>-22.013749148549898</v>
      </c>
      <c r="BC365" s="730">
        <f t="shared" si="309"/>
        <v>-89.977280164076191</v>
      </c>
      <c r="BD365" s="351"/>
      <c r="BE365" s="337">
        <f t="shared" si="270"/>
        <v>33.235940661928986</v>
      </c>
      <c r="BF365" s="730">
        <f t="shared" si="271"/>
        <v>-89.144818256784532</v>
      </c>
      <c r="BI365" s="351"/>
      <c r="BJ365" s="351"/>
      <c r="BL365" s="405">
        <f t="shared" si="272"/>
        <v>0</v>
      </c>
      <c r="BM365" s="405">
        <f t="shared" si="310"/>
        <v>0</v>
      </c>
      <c r="BN365" s="405">
        <f t="shared" si="273"/>
        <v>0</v>
      </c>
      <c r="BO365" s="405">
        <f t="shared" si="274"/>
        <v>0</v>
      </c>
    </row>
    <row r="366" spans="4:67" ht="13.5" thickBot="1" x14ac:dyDescent="0.25">
      <c r="D366" s="345">
        <v>29684</v>
      </c>
      <c r="E366" s="340" t="str">
        <f t="shared" si="261"/>
        <v>0.492386591817962i</v>
      </c>
      <c r="F366" s="728" t="str">
        <f t="shared" si="275"/>
        <v>0.005-0.0878957494857828i</v>
      </c>
      <c r="G366" s="337" t="str">
        <f t="shared" si="276"/>
        <v>0.005-0.13747796714443i</v>
      </c>
      <c r="H366" s="338" t="str">
        <f t="shared" si="277"/>
        <v>0.0201320959240916-0.134649773863893i</v>
      </c>
      <c r="I366" s="338" t="str">
        <f t="shared" si="278"/>
        <v>0.0301320959240916-0.134649773863893i</v>
      </c>
      <c r="J366" s="337" t="str">
        <f t="shared" si="279"/>
        <v>0.00647618646440198-0.0535261466374703i</v>
      </c>
      <c r="K366" s="338" t="str">
        <f t="shared" si="262"/>
        <v>0.990209557155556-0.155425060548599i</v>
      </c>
      <c r="L366" s="732"/>
      <c r="M366" s="732" t="str">
        <f t="shared" si="263"/>
        <v>0.672360046073111-45.5626518419693i</v>
      </c>
      <c r="N366" s="337">
        <f t="shared" si="264"/>
        <v>0</v>
      </c>
      <c r="O366" s="730" t="str">
        <f t="shared" si="265"/>
        <v>-1.51153921811245-17.7415300552768i</v>
      </c>
      <c r="P366" s="731" t="str">
        <f t="shared" si="266"/>
        <v>-2.43443885465568-0.331061071560508i</v>
      </c>
      <c r="Q366" s="729" t="str">
        <f t="shared" si="267"/>
        <v>-2.41932346247455-0.15364577100774i</v>
      </c>
      <c r="R366" s="730"/>
      <c r="S366" s="405" t="str">
        <f t="shared" si="280"/>
        <v>39.6362360360604-4.84873343384414i</v>
      </c>
      <c r="T366" s="405" t="str">
        <f t="shared" si="281"/>
        <v>15.2224203750041-3.42760168964235i</v>
      </c>
      <c r="U366" s="405" t="str">
        <f t="shared" si="282"/>
        <v>-0.155066565219411-2.11870026716088i</v>
      </c>
      <c r="V366" s="731" t="str">
        <f t="shared" si="268"/>
        <v>6000</v>
      </c>
      <c r="W366" s="733" t="str">
        <f>IMSUM(COMPLEX(1,0),IMDIV(COMPLEX(0,2*PI()*D366),COMPLEX(2*PI()*'Stability Calculations'!EA_Pole1,0)))</f>
        <v>1+188375.173384902i</v>
      </c>
      <c r="X366" s="734">
        <f t="shared" si="283"/>
        <v>188375.17338755631</v>
      </c>
      <c r="Y366" s="735">
        <f t="shared" si="284"/>
        <v>1.5707910182397298</v>
      </c>
      <c r="Z366" s="340" t="str">
        <f>IMSUM(COMPLEX(1,0),IMDIV(COMPLEX(0,2*PI()*D366),COMPLEX(2*PI()*'Stability Calculations'!EA_Zero1,0)))</f>
        <v>1+1865.10072658319i</v>
      </c>
      <c r="AA366" s="734">
        <f t="shared" si="285"/>
        <v>1865.1009946652066</v>
      </c>
      <c r="AB366" s="735">
        <f t="shared" si="286"/>
        <v>1.5702601627744106</v>
      </c>
      <c r="AC366" s="733" t="str">
        <f>IMSUM(COMPLEX(1,0),IMDIV(COMPLEX(0,2*PI()*D366),COMPLEX(2*PI()*'Stability Calculations'!EA_Pole2,0)))</f>
        <v>1+18.788010342755i</v>
      </c>
      <c r="AD366" s="734">
        <f t="shared" si="287"/>
        <v>18.814604238183403</v>
      </c>
      <c r="AE366" s="735">
        <f t="shared" si="288"/>
        <v>1.51762106938068</v>
      </c>
      <c r="AF366" s="732" t="str">
        <f t="shared" si="289"/>
        <v>0.166144674948842-3.15306384262051i</v>
      </c>
      <c r="AG366" s="337">
        <f t="shared" si="290"/>
        <v>3.1574381464495347</v>
      </c>
      <c r="AH366" s="730">
        <f t="shared" si="291"/>
        <v>-1.5181519248459989</v>
      </c>
      <c r="AI366" s="731" t="str">
        <f t="shared" si="269"/>
        <v>10000</v>
      </c>
      <c r="AJ366" s="733" t="str">
        <f t="shared" si="292"/>
        <v>1+175617.511394929i</v>
      </c>
      <c r="AK366" s="734">
        <f t="shared" si="293"/>
        <v>175617.51139777611</v>
      </c>
      <c r="AL366" s="735">
        <f t="shared" si="294"/>
        <v>1.5707906326019199</v>
      </c>
      <c r="AM366" s="340" t="str">
        <f t="shared" si="295"/>
        <v>1+298.043096107994i</v>
      </c>
      <c r="AN366" s="734">
        <f t="shared" si="296"/>
        <v>298.04477371300936</v>
      </c>
      <c r="AO366" s="735">
        <f t="shared" si="297"/>
        <v>1.5674411199117828</v>
      </c>
      <c r="AP366" s="733" t="str">
        <f t="shared" si="298"/>
        <v>1+14.4555814348422i</v>
      </c>
      <c r="AQ366" s="734">
        <f t="shared" si="299"/>
        <v>14.49012886827976</v>
      </c>
      <c r="AR366" s="735">
        <f t="shared" si="300"/>
        <v>1.5017289290719982</v>
      </c>
      <c r="AS366" s="732" t="str">
        <f t="shared" si="301"/>
        <v>0.00310847607349731-7.88476453721496i</v>
      </c>
      <c r="AT366" s="337">
        <f t="shared" si="302"/>
        <v>7.8847651499550793</v>
      </c>
      <c r="AU366" s="730">
        <f t="shared" si="303"/>
        <v>-1.5704020885271865</v>
      </c>
      <c r="AV366" s="732" t="str">
        <f t="shared" si="304"/>
        <v>-0.382963050489089+0.0651216580355538i</v>
      </c>
      <c r="AW366" s="337">
        <f t="shared" si="305"/>
        <v>-8.213063615106881</v>
      </c>
      <c r="AX366" s="730">
        <f t="shared" si="306"/>
        <v>170.34934613842799</v>
      </c>
      <c r="AY366" s="360">
        <f t="shared" si="307"/>
        <v>-9.6506538615720103</v>
      </c>
      <c r="BB366" s="337">
        <f t="shared" si="308"/>
        <v>-22.064224754621744</v>
      </c>
      <c r="BC366" s="730">
        <f t="shared" si="309"/>
        <v>-89.977411811137671</v>
      </c>
      <c r="BD366" s="351"/>
      <c r="BE366" s="337">
        <f t="shared" si="270"/>
        <v>33.173125493340045</v>
      </c>
      <c r="BF366" s="730">
        <f t="shared" si="271"/>
        <v>-89.154557616228203</v>
      </c>
      <c r="BI366" s="351"/>
      <c r="BJ366" s="351"/>
      <c r="BL366" s="405">
        <f t="shared" si="272"/>
        <v>0</v>
      </c>
      <c r="BM366" s="405">
        <f t="shared" si="310"/>
        <v>0</v>
      </c>
      <c r="BN366" s="405">
        <f t="shared" si="273"/>
        <v>0</v>
      </c>
      <c r="BO366" s="405">
        <f t="shared" si="274"/>
        <v>0</v>
      </c>
    </row>
    <row r="367" spans="4:67" ht="13.5" thickBot="1" x14ac:dyDescent="0.25">
      <c r="D367" s="345">
        <v>29856</v>
      </c>
      <c r="E367" s="340" t="str">
        <f t="shared" si="261"/>
        <v>0.495239660602246i</v>
      </c>
      <c r="F367" s="728" t="str">
        <f t="shared" si="275"/>
        <v>0.005-0.0873893832976951i</v>
      </c>
      <c r="G367" s="337" t="str">
        <f t="shared" si="276"/>
        <v>0.005-0.136685958491267i</v>
      </c>
      <c r="H367" s="338" t="str">
        <f t="shared" si="277"/>
        <v>0.0199601637342433-0.133893294995403i</v>
      </c>
      <c r="I367" s="338" t="str">
        <f t="shared" si="278"/>
        <v>0.0299601637342433-0.133893294995403i</v>
      </c>
      <c r="J367" s="337" t="str">
        <f t="shared" si="279"/>
        <v>0.00644926098039143-0.0532193435534718i</v>
      </c>
      <c r="K367" s="338" t="str">
        <f t="shared" si="262"/>
        <v>0.9900957696-0.156325650442628i</v>
      </c>
      <c r="L367" s="732"/>
      <c r="M367" s="732" t="str">
        <f t="shared" si="263"/>
        <v>0.660029035384947-45.2371588573151i</v>
      </c>
      <c r="N367" s="337">
        <f t="shared" si="264"/>
        <v>0</v>
      </c>
      <c r="O367" s="730" t="str">
        <f t="shared" si="265"/>
        <v>-1.49987982900427-17.6132684906209i</v>
      </c>
      <c r="P367" s="731" t="str">
        <f t="shared" si="266"/>
        <v>-2.40323519910661-0.32687255547167i</v>
      </c>
      <c r="Q367" s="729" t="str">
        <f t="shared" si="267"/>
        <v>-2.38823640081656-0.150739870565461i</v>
      </c>
      <c r="R367" s="730"/>
      <c r="S367" s="405" t="str">
        <f t="shared" si="280"/>
        <v>39.6307327236493-4.89231948670635i</v>
      </c>
      <c r="T367" s="405" t="str">
        <f t="shared" si="281"/>
        <v>15.2179709135316-3.44087426966075i</v>
      </c>
      <c r="U367" s="405" t="str">
        <f t="shared" si="282"/>
        <v>-0.156956802492733-2.10626468256833i</v>
      </c>
      <c r="V367" s="731" t="str">
        <f t="shared" si="268"/>
        <v>6000</v>
      </c>
      <c r="W367" s="733" t="str">
        <f>IMSUM(COMPLEX(1,0),IMDIV(COMPLEX(0,2*PI()*D367),COMPLEX(2*PI()*'Stability Calculations'!EA_Pole1,0)))</f>
        <v>1+189466.688336466i</v>
      </c>
      <c r="X367" s="734">
        <f t="shared" si="283"/>
        <v>189466.68833910496</v>
      </c>
      <c r="Y367" s="735">
        <f t="shared" si="284"/>
        <v>1.5707910488222421</v>
      </c>
      <c r="Z367" s="340" t="str">
        <f>IMSUM(COMPLEX(1,0),IMDIV(COMPLEX(0,2*PI()*D367),COMPLEX(2*PI()*'Stability Calculations'!EA_Zero1,0)))</f>
        <v>1+1875.90780531154i</v>
      </c>
      <c r="AA367" s="734">
        <f t="shared" si="285"/>
        <v>1875.9080718491402</v>
      </c>
      <c r="AB367" s="735">
        <f t="shared" si="286"/>
        <v>1.5702632516072752</v>
      </c>
      <c r="AC367" s="733" t="str">
        <f>IMSUM(COMPLEX(1,0),IMDIV(COMPLEX(0,2*PI()*D367),COMPLEX(2*PI()*'Stability Calculations'!EA_Pole2,0)))</f>
        <v>1+18.8968749761923i</v>
      </c>
      <c r="AD367" s="734">
        <f t="shared" si="287"/>
        <v>18.923315879249142</v>
      </c>
      <c r="AE367" s="735">
        <f t="shared" si="288"/>
        <v>1.5179268391143492</v>
      </c>
      <c r="AF367" s="732" t="str">
        <f t="shared" si="289"/>
        <v>0.164241205273595-3.1349998149911i</v>
      </c>
      <c r="AG367" s="337">
        <f t="shared" si="290"/>
        <v>3.1392991277519182</v>
      </c>
      <c r="AH367" s="730">
        <f t="shared" si="291"/>
        <v>-1.5184546363293163</v>
      </c>
      <c r="AI367" s="731" t="str">
        <f t="shared" si="269"/>
        <v>10000</v>
      </c>
      <c r="AJ367" s="733" t="str">
        <f t="shared" si="292"/>
        <v>1+176635.103766574i</v>
      </c>
      <c r="AK367" s="734">
        <f t="shared" si="293"/>
        <v>176635.1037694047</v>
      </c>
      <c r="AL367" s="735">
        <f t="shared" si="294"/>
        <v>1.5707906654060861</v>
      </c>
      <c r="AM367" s="340" t="str">
        <f t="shared" si="295"/>
        <v>1+299.770067288784i</v>
      </c>
      <c r="AN367" s="734">
        <f t="shared" si="296"/>
        <v>299.77173522919418</v>
      </c>
      <c r="AO367" s="735">
        <f t="shared" si="297"/>
        <v>1.5674604490680726</v>
      </c>
      <c r="AP367" s="733" t="str">
        <f t="shared" si="298"/>
        <v>1+14.5393423837303i</v>
      </c>
      <c r="AQ367" s="734">
        <f t="shared" si="299"/>
        <v>14.573691260327159</v>
      </c>
      <c r="AR367" s="735">
        <f t="shared" si="300"/>
        <v>1.5021255720656219</v>
      </c>
      <c r="AS367" s="732" t="str">
        <f t="shared" si="301"/>
        <v>0.00307276347137897-7.83934053257696i</v>
      </c>
      <c r="AT367" s="337">
        <f t="shared" si="302"/>
        <v>7.8393411347880111</v>
      </c>
      <c r="AU367" s="730">
        <f t="shared" si="303"/>
        <v>-1.5704043597281203</v>
      </c>
      <c r="AV367" s="732" t="str">
        <f t="shared" si="304"/>
        <v>-0.378457631021895+0.0648219445067464i</v>
      </c>
      <c r="AW367" s="337">
        <f t="shared" si="305"/>
        <v>-8.314080574813044</v>
      </c>
      <c r="AX367" s="730">
        <f t="shared" si="306"/>
        <v>170.28073211344434</v>
      </c>
      <c r="AY367" s="360">
        <f t="shared" si="307"/>
        <v>-9.7192678865556559</v>
      </c>
      <c r="BB367" s="337">
        <f t="shared" si="308"/>
        <v>-22.114408729857335</v>
      </c>
      <c r="BC367" s="730">
        <f t="shared" si="309"/>
        <v>-89.977541941365601</v>
      </c>
      <c r="BD367" s="351"/>
      <c r="BE367" s="337">
        <f t="shared" si="270"/>
        <v>33.110830849430144</v>
      </c>
      <c r="BF367" s="730">
        <f t="shared" si="271"/>
        <v>-89.164089967356659</v>
      </c>
      <c r="BI367" s="351"/>
      <c r="BJ367" s="351"/>
      <c r="BL367" s="405">
        <f t="shared" si="272"/>
        <v>0</v>
      </c>
      <c r="BM367" s="405">
        <f t="shared" si="310"/>
        <v>0</v>
      </c>
      <c r="BN367" s="405">
        <f t="shared" si="273"/>
        <v>0</v>
      </c>
      <c r="BO367" s="405">
        <f t="shared" si="274"/>
        <v>0</v>
      </c>
    </row>
    <row r="368" spans="4:67" ht="13.5" thickBot="1" x14ac:dyDescent="0.25">
      <c r="D368" s="345">
        <v>30028</v>
      </c>
      <c r="E368" s="340" t="str">
        <f t="shared" si="261"/>
        <v>0.49809272938653i</v>
      </c>
      <c r="F368" s="728" t="str">
        <f t="shared" si="275"/>
        <v>0.005-0.0868888180277071i</v>
      </c>
      <c r="G368" s="337" t="str">
        <f t="shared" si="276"/>
        <v>0.005-0.135903023068978i</v>
      </c>
      <c r="H368" s="338" t="str">
        <f t="shared" si="277"/>
        <v>0.0197911293962101-0.133145159961006i</v>
      </c>
      <c r="I368" s="338" t="str">
        <f t="shared" si="278"/>
        <v>0.0297911293962101-0.133145159961006i</v>
      </c>
      <c r="J368" s="337" t="str">
        <f t="shared" si="279"/>
        <v>0.00642279491554261-0.0529160374391356i</v>
      </c>
      <c r="K368" s="338" t="str">
        <f t="shared" si="262"/>
        <v>0.989981324622222-0.157226240336657i</v>
      </c>
      <c r="L368" s="732"/>
      <c r="M368" s="732" t="str">
        <f t="shared" si="263"/>
        <v>0.648035539742313-44.9166323446986i</v>
      </c>
      <c r="N368" s="337">
        <f t="shared" si="264"/>
        <v>0</v>
      </c>
      <c r="O368" s="730" t="str">
        <f t="shared" si="265"/>
        <v>-1.48841335298533-17.4869780118952i</v>
      </c>
      <c r="P368" s="731" t="str">
        <f t="shared" si="266"/>
        <v>-2.37264799942221-0.322781790729721i</v>
      </c>
      <c r="Q368" s="729" t="str">
        <f t="shared" si="267"/>
        <v>-2.35776386589236-0.147912010610769i</v>
      </c>
      <c r="R368" s="730"/>
      <c r="S368" s="405" t="str">
        <f t="shared" si="280"/>
        <v>39.6251693548592-4.9358112309734i</v>
      </c>
      <c r="T368" s="405" t="str">
        <f t="shared" si="281"/>
        <v>15.2135071908899-3.45417585633195i</v>
      </c>
      <c r="U368" s="405" t="str">
        <f t="shared" si="282"/>
        <v>-0.158814307539689-2.09396688982888i</v>
      </c>
      <c r="V368" s="731" t="str">
        <f t="shared" si="268"/>
        <v>6000</v>
      </c>
      <c r="W368" s="733" t="str">
        <f>IMSUM(COMPLEX(1,0),IMDIV(COMPLEX(0,2*PI()*D368),COMPLEX(2*PI()*'Stability Calculations'!EA_Pole1,0)))</f>
        <v>1+190558.203288029i</v>
      </c>
      <c r="X368" s="734">
        <f t="shared" si="283"/>
        <v>190558.20329065289</v>
      </c>
      <c r="Y368" s="735">
        <f t="shared" si="284"/>
        <v>1.570791079054402</v>
      </c>
      <c r="Z368" s="340" t="str">
        <f>IMSUM(COMPLEX(1,0),IMDIV(COMPLEX(0,2*PI()*D368),COMPLEX(2*PI()*'Stability Calculations'!EA_Zero1,0)))</f>
        <v>1+1886.71488403989i</v>
      </c>
      <c r="AA368" s="734">
        <f t="shared" si="285"/>
        <v>1886.7151490507663</v>
      </c>
      <c r="AB368" s="735">
        <f t="shared" si="286"/>
        <v>1.5702663050545593</v>
      </c>
      <c r="AC368" s="733" t="str">
        <f>IMSUM(COMPLEX(1,0),IMDIV(COMPLEX(0,2*PI()*D368),COMPLEX(2*PI()*'Stability Calculations'!EA_Pole2,0)))</f>
        <v>1+19.0057396096297i</v>
      </c>
      <c r="AD368" s="734">
        <f t="shared" si="287"/>
        <v>19.032029269340864</v>
      </c>
      <c r="AE368" s="735">
        <f t="shared" si="288"/>
        <v>1.5182291156842069</v>
      </c>
      <c r="AF368" s="732" t="str">
        <f t="shared" si="289"/>
        <v>0.162370230574213-3.11714101865653i</v>
      </c>
      <c r="AG368" s="337">
        <f t="shared" si="290"/>
        <v>3.1213670437754977</v>
      </c>
      <c r="AH368" s="730">
        <f t="shared" si="291"/>
        <v>-1.5187538896840493</v>
      </c>
      <c r="AI368" s="731" t="str">
        <f t="shared" si="269"/>
        <v>10000</v>
      </c>
      <c r="AJ368" s="733" t="str">
        <f t="shared" si="292"/>
        <v>1+177652.69613822i</v>
      </c>
      <c r="AK368" s="734">
        <f t="shared" si="293"/>
        <v>177652.69614103445</v>
      </c>
      <c r="AL368" s="735">
        <f t="shared" si="294"/>
        <v>1.570790697834449</v>
      </c>
      <c r="AM368" s="340" t="str">
        <f t="shared" si="295"/>
        <v>1+301.497038469574i</v>
      </c>
      <c r="AN368" s="734">
        <f t="shared" si="296"/>
        <v>301.49869685609553</v>
      </c>
      <c r="AO368" s="735">
        <f t="shared" si="297"/>
        <v>1.5674795567924924</v>
      </c>
      <c r="AP368" s="733" t="str">
        <f t="shared" si="298"/>
        <v>1+14.6231033326183i</v>
      </c>
      <c r="AQ368" s="734">
        <f t="shared" si="299"/>
        <v>14.657255919046801</v>
      </c>
      <c r="AR368" s="735">
        <f t="shared" si="300"/>
        <v>1.5025176923997845</v>
      </c>
      <c r="AS368" s="732" t="str">
        <f t="shared" si="301"/>
        <v>0.00303766279384165-7.7944369039359i</v>
      </c>
      <c r="AT368" s="337">
        <f t="shared" si="302"/>
        <v>7.7944374958577418</v>
      </c>
      <c r="AU368" s="730">
        <f t="shared" si="303"/>
        <v>-1.5704066049102383</v>
      </c>
      <c r="AV368" s="732" t="str">
        <f t="shared" si="304"/>
        <v>-0.374029586982922+0.064524159766957i</v>
      </c>
      <c r="AW368" s="337">
        <f t="shared" si="305"/>
        <v>-8.4145207018216013</v>
      </c>
      <c r="AX368" s="730">
        <f t="shared" si="306"/>
        <v>170.21219296949701</v>
      </c>
      <c r="AY368" s="360">
        <f t="shared" si="307"/>
        <v>-9.7878070305029894</v>
      </c>
      <c r="BB368" s="337">
        <f t="shared" si="308"/>
        <v>-22.164304424794111</v>
      </c>
      <c r="BC368" s="730">
        <f t="shared" si="309"/>
        <v>-89.977670580825205</v>
      </c>
      <c r="BD368" s="351"/>
      <c r="BE368" s="337">
        <f t="shared" si="270"/>
        <v>33.049047649838855</v>
      </c>
      <c r="BF368" s="730">
        <f t="shared" si="271"/>
        <v>-89.173421435174291</v>
      </c>
      <c r="BI368" s="351"/>
      <c r="BJ368" s="351"/>
      <c r="BL368" s="405">
        <f t="shared" si="272"/>
        <v>0</v>
      </c>
      <c r="BM368" s="405">
        <f t="shared" si="310"/>
        <v>0</v>
      </c>
      <c r="BN368" s="405">
        <f t="shared" si="273"/>
        <v>0</v>
      </c>
      <c r="BO368" s="405">
        <f t="shared" si="274"/>
        <v>0</v>
      </c>
    </row>
    <row r="369" spans="4:67" ht="13.5" thickBot="1" x14ac:dyDescent="0.25">
      <c r="D369" s="345">
        <v>30200</v>
      </c>
      <c r="E369" s="340" t="str">
        <f t="shared" si="261"/>
        <v>0.500945798170814i</v>
      </c>
      <c r="F369" s="728" t="str">
        <f t="shared" si="275"/>
        <v>0.005-0.0863939545607946i</v>
      </c>
      <c r="G369" s="337" t="str">
        <f t="shared" si="276"/>
        <v>0.005-0.135129005851499i</v>
      </c>
      <c r="H369" s="338" t="str">
        <f t="shared" si="277"/>
        <v>0.0196249284170711-0.132405233330765i</v>
      </c>
      <c r="I369" s="338" t="str">
        <f t="shared" si="278"/>
        <v>0.0296249284170711-0.132405233330765i</v>
      </c>
      <c r="J369" s="337" t="str">
        <f t="shared" si="279"/>
        <v>0.00639677786163685-0.052616168992222i</v>
      </c>
      <c r="K369" s="338" t="str">
        <f t="shared" si="262"/>
        <v>0.989866222222222-0.158126830230686i</v>
      </c>
      <c r="L369" s="732"/>
      <c r="M369" s="732" t="str">
        <f t="shared" si="263"/>
        <v>0.636367481541106-44.6009542916398i</v>
      </c>
      <c r="N369" s="337">
        <f t="shared" si="264"/>
        <v>0</v>
      </c>
      <c r="O369" s="730" t="str">
        <f t="shared" si="265"/>
        <v>-1.47713573939323-17.3626113442263i</v>
      </c>
      <c r="P369" s="731" t="str">
        <f t="shared" si="266"/>
        <v>-2.3426606468055-0.31878561597056i</v>
      </c>
      <c r="Q369" s="729" t="str">
        <f t="shared" si="267"/>
        <v>-2.32788928941157-0.145159502528297i</v>
      </c>
      <c r="R369" s="730"/>
      <c r="S369" s="405" t="str">
        <f t="shared" si="280"/>
        <v>39.619546394619-4.97921010038078i</v>
      </c>
      <c r="T369" s="405" t="str">
        <f t="shared" si="281"/>
        <v>15.2090290288495-3.46750583453235i</v>
      </c>
      <c r="U369" s="405" t="str">
        <f t="shared" si="282"/>
        <v>-0.160639813112716-2.08180459108768i</v>
      </c>
      <c r="V369" s="731" t="str">
        <f t="shared" si="268"/>
        <v>6000</v>
      </c>
      <c r="W369" s="733" t="str">
        <f>IMSUM(COMPLEX(1,0),IMDIV(COMPLEX(0,2*PI()*D369),COMPLEX(2*PI()*'Stability Calculations'!EA_Pole1,0)))</f>
        <v>1+191649.718239591i</v>
      </c>
      <c r="X369" s="734">
        <f t="shared" si="283"/>
        <v>191649.71824219995</v>
      </c>
      <c r="Y369" s="735">
        <f t="shared" si="284"/>
        <v>1.5707911089421955</v>
      </c>
      <c r="Z369" s="340" t="str">
        <f>IMSUM(COMPLEX(1,0),IMDIV(COMPLEX(0,2*PI()*D369),COMPLEX(2*PI()*'Stability Calculations'!EA_Zero1,0)))</f>
        <v>1+1897.52196276823i</v>
      </c>
      <c r="AA369" s="734">
        <f t="shared" si="285"/>
        <v>1897.5222262697732</v>
      </c>
      <c r="AB369" s="735">
        <f t="shared" si="286"/>
        <v>1.5702693237208643</v>
      </c>
      <c r="AC369" s="733" t="str">
        <f>IMSUM(COMPLEX(1,0),IMDIV(COMPLEX(0,2*PI()*D369),COMPLEX(2*PI()*'Stability Calculations'!EA_Pole2,0)))</f>
        <v>1+19.1146042430669i</v>
      </c>
      <c r="AD369" s="734">
        <f t="shared" si="287"/>
        <v>19.140744378656521</v>
      </c>
      <c r="AE369" s="735">
        <f t="shared" si="288"/>
        <v>1.5185279585556846</v>
      </c>
      <c r="AF369" s="732" t="str">
        <f t="shared" si="289"/>
        <v>0.160531016058651-3.09948398545727i</v>
      </c>
      <c r="AG369" s="337">
        <f t="shared" si="290"/>
        <v>3.1036383782945633</v>
      </c>
      <c r="AH369" s="730">
        <f t="shared" si="291"/>
        <v>-1.5190497437770156</v>
      </c>
      <c r="AI369" s="731" t="str">
        <f t="shared" si="269"/>
        <v>10000</v>
      </c>
      <c r="AJ369" s="733" t="str">
        <f t="shared" si="292"/>
        <v>1+178670.288509865i</v>
      </c>
      <c r="AK369" s="734">
        <f t="shared" si="293"/>
        <v>178670.28851266345</v>
      </c>
      <c r="AL369" s="735">
        <f t="shared" si="294"/>
        <v>1.5707907298934289</v>
      </c>
      <c r="AM369" s="340" t="str">
        <f t="shared" si="295"/>
        <v>1+303.224009650363i</v>
      </c>
      <c r="AN369" s="734">
        <f t="shared" si="296"/>
        <v>303.22565859182072</v>
      </c>
      <c r="AO369" s="735">
        <f t="shared" si="297"/>
        <v>1.5674984468683926</v>
      </c>
      <c r="AP369" s="733" t="str">
        <f t="shared" si="298"/>
        <v>1+14.7068642815063i</v>
      </c>
      <c r="AQ369" s="734">
        <f t="shared" si="299"/>
        <v>14.740822805889968</v>
      </c>
      <c r="AR369" s="735">
        <f t="shared" si="300"/>
        <v>1.502905366870805</v>
      </c>
      <c r="AS369" s="732" t="str">
        <f t="shared" si="301"/>
        <v>0.00300316014012971-7.75004476010451i</v>
      </c>
      <c r="AT369" s="337">
        <f t="shared" si="302"/>
        <v>7.7500453419702131</v>
      </c>
      <c r="AU369" s="730">
        <f t="shared" si="303"/>
        <v>-1.5704088245181003</v>
      </c>
      <c r="AV369" s="732" t="str">
        <f t="shared" si="304"/>
        <v>-0.369677156151419+0.0642283045772717i</v>
      </c>
      <c r="AW369" s="337">
        <f t="shared" si="305"/>
        <v>-8.514390651028636</v>
      </c>
      <c r="AX369" s="730">
        <f t="shared" si="306"/>
        <v>170.143727339821</v>
      </c>
      <c r="AY369" s="360">
        <f t="shared" si="307"/>
        <v>-9.8562726601790018</v>
      </c>
      <c r="BB369" s="337">
        <f t="shared" si="308"/>
        <v>-22.213915132558032</v>
      </c>
      <c r="BC369" s="730">
        <f t="shared" si="309"/>
        <v>-89.977797754987861</v>
      </c>
      <c r="BD369" s="351"/>
      <c r="BE369" s="337">
        <f t="shared" si="270"/>
        <v>32.987767052949934</v>
      </c>
      <c r="BF369" s="730">
        <f t="shared" si="271"/>
        <v>-89.182557916522228</v>
      </c>
      <c r="BI369" s="351"/>
      <c r="BJ369" s="351"/>
      <c r="BL369" s="405">
        <f t="shared" si="272"/>
        <v>0</v>
      </c>
      <c r="BM369" s="405">
        <f t="shared" si="310"/>
        <v>0</v>
      </c>
      <c r="BN369" s="405">
        <f t="shared" si="273"/>
        <v>0</v>
      </c>
      <c r="BO369" s="405">
        <f t="shared" si="274"/>
        <v>0</v>
      </c>
    </row>
    <row r="370" spans="4:67" ht="13.5" thickBot="1" x14ac:dyDescent="0.25">
      <c r="D370" s="345">
        <v>30375.75</v>
      </c>
      <c r="E370" s="340" t="str">
        <f t="shared" si="261"/>
        <v>0.503861070489639i</v>
      </c>
      <c r="F370" s="728" t="str">
        <f t="shared" si="275"/>
        <v>0.005-0.0858940907709599i</v>
      </c>
      <c r="G370" s="337" t="str">
        <f t="shared" si="276"/>
        <v>0.005-0.134347167616117i</v>
      </c>
      <c r="H370" s="338" t="str">
        <f t="shared" si="277"/>
        <v>0.0194579653200821-0.131657515474447i</v>
      </c>
      <c r="I370" s="338" t="str">
        <f t="shared" si="278"/>
        <v>0.0294579653200821-0.131657515474447i</v>
      </c>
      <c r="J370" s="337" t="str">
        <f t="shared" si="279"/>
        <v>0.00637064685437692-0.0523132533150656i</v>
      </c>
      <c r="K370" s="338" t="str">
        <f t="shared" si="262"/>
        <v>0.98974793124375-0.1590470550788i</v>
      </c>
      <c r="L370" s="732"/>
      <c r="M370" s="732" t="str">
        <f t="shared" si="263"/>
        <v>0.6247691770017-44.2832830891023i</v>
      </c>
      <c r="N370" s="337">
        <f t="shared" si="264"/>
        <v>0</v>
      </c>
      <c r="O370" s="730" t="str">
        <f t="shared" si="265"/>
        <v>-1.4658032159366-17.2374727989617i</v>
      </c>
      <c r="P370" s="731" t="str">
        <f t="shared" si="266"/>
        <v>-2.31262242207079-0.314796866333006i</v>
      </c>
      <c r="Q370" s="729" t="str">
        <f t="shared" si="267"/>
        <v>-2.29796438991142-0.142422138343389i</v>
      </c>
      <c r="R370" s="730"/>
      <c r="S370" s="405" t="str">
        <f t="shared" si="280"/>
        <v>39.6137397563294-5.02346068963101i</v>
      </c>
      <c r="T370" s="405" t="str">
        <f t="shared" si="281"/>
        <v>15.2044381374328-3.481155137391i</v>
      </c>
      <c r="U370" s="405" t="str">
        <f t="shared" si="282"/>
        <v>-0.162472806380504-2.06951474529652i</v>
      </c>
      <c r="V370" s="731" t="str">
        <f t="shared" si="268"/>
        <v>6000</v>
      </c>
      <c r="W370" s="733" t="str">
        <f>IMSUM(COMPLEX(1,0),IMDIV(COMPLEX(0,2*PI()*D370),COMPLEX(2*PI()*'Stability Calculations'!EA_Pole1,0)))</f>
        <v>1+192765.030755506i</v>
      </c>
      <c r="X370" s="734">
        <f t="shared" si="283"/>
        <v>192765.03075809983</v>
      </c>
      <c r="Y370" s="735">
        <f t="shared" si="284"/>
        <v>1.5707911391319886</v>
      </c>
      <c r="Z370" s="340" t="str">
        <f>IMSUM(COMPLEX(1,0),IMDIV(COMPLEX(0,2*PI()*D370),COMPLEX(2*PI()*'Stability Calculations'!EA_Zero1,0)))</f>
        <v>1+1908.5646609456i</v>
      </c>
      <c r="AA370" s="734">
        <f t="shared" si="285"/>
        <v>1908.5649229225589</v>
      </c>
      <c r="AB370" s="735">
        <f t="shared" si="286"/>
        <v>1.5702723728891403</v>
      </c>
      <c r="AC370" s="733" t="str">
        <f>IMSUM(COMPLEX(1,0),IMDIV(COMPLEX(0,2*PI()*D370),COMPLEX(2*PI()*'Stability Calculations'!EA_Pole2,0)))</f>
        <v>1+19.2258423786868i</v>
      </c>
      <c r="AD370" s="734">
        <f t="shared" si="287"/>
        <v>19.251831475735219</v>
      </c>
      <c r="AE370" s="735">
        <f t="shared" si="288"/>
        <v>1.5188298305564742</v>
      </c>
      <c r="AF370" s="732" t="str">
        <f t="shared" si="289"/>
        <v>0.158683765859902-3.08164686993125i</v>
      </c>
      <c r="AG370" s="337">
        <f t="shared" si="290"/>
        <v>3.0857297303076541</v>
      </c>
      <c r="AH370" s="730">
        <f t="shared" si="291"/>
        <v>-1.5193485967993225</v>
      </c>
      <c r="AI370" s="731" t="str">
        <f t="shared" si="269"/>
        <v>10000</v>
      </c>
      <c r="AJ370" s="733" t="str">
        <f t="shared" si="292"/>
        <v>1+179710.066761706i</v>
      </c>
      <c r="AK370" s="734">
        <f t="shared" si="293"/>
        <v>179710.06676448823</v>
      </c>
      <c r="AL370" s="735">
        <f t="shared" si="294"/>
        <v>1.5707907622763473</v>
      </c>
      <c r="AM370" s="340" t="str">
        <f t="shared" si="295"/>
        <v>1+304.988632819107i</v>
      </c>
      <c r="AN370" s="734">
        <f t="shared" si="296"/>
        <v>304.99027222006293</v>
      </c>
      <c r="AO370" s="735">
        <f t="shared" si="297"/>
        <v>1.5675175278205002</v>
      </c>
      <c r="AP370" s="733" t="str">
        <f t="shared" si="298"/>
        <v>1+14.7924514138731i</v>
      </c>
      <c r="AQ370" s="734">
        <f t="shared" si="299"/>
        <v>14.826213907528659</v>
      </c>
      <c r="AR370" s="735">
        <f t="shared" si="300"/>
        <v>1.5032969793287476</v>
      </c>
      <c r="AS370" s="732" t="str">
        <f t="shared" si="301"/>
        <v>0.00296850891926851-7.70520405786407i</v>
      </c>
      <c r="AT370" s="337">
        <f t="shared" si="302"/>
        <v>7.7052046296883088</v>
      </c>
      <c r="AU370" s="730">
        <f t="shared" si="303"/>
        <v>-1.5704110665538817</v>
      </c>
      <c r="AV370" s="732" t="str">
        <f t="shared" si="304"/>
        <v>-0.365306154901502+0.0639279919238197i</v>
      </c>
      <c r="AW370" s="337">
        <f t="shared" si="305"/>
        <v>-8.615855842035284</v>
      </c>
      <c r="AX370" s="730">
        <f t="shared" si="306"/>
        <v>170.07384354818038</v>
      </c>
      <c r="AY370" s="360">
        <f t="shared" si="307"/>
        <v>-9.9261564518196224</v>
      </c>
      <c r="BB370" s="337">
        <f t="shared" si="308"/>
        <v>-22.264316461781096</v>
      </c>
      <c r="BC370" s="730">
        <f t="shared" si="309"/>
        <v>-89.977926214175653</v>
      </c>
      <c r="BD370" s="351"/>
      <c r="BE370" s="337">
        <f t="shared" si="270"/>
        <v>32.925660597386674</v>
      </c>
      <c r="BF370" s="730">
        <f t="shared" si="271"/>
        <v>-89.191698092233125</v>
      </c>
      <c r="BI370" s="351"/>
      <c r="BJ370" s="351"/>
      <c r="BL370" s="405">
        <f t="shared" si="272"/>
        <v>0</v>
      </c>
      <c r="BM370" s="405">
        <f t="shared" si="310"/>
        <v>0</v>
      </c>
      <c r="BN370" s="405">
        <f t="shared" si="273"/>
        <v>0</v>
      </c>
      <c r="BO370" s="405">
        <f t="shared" si="274"/>
        <v>0</v>
      </c>
    </row>
    <row r="371" spans="4:67" ht="13.5" thickBot="1" x14ac:dyDescent="0.25">
      <c r="D371" s="345">
        <v>30551.5</v>
      </c>
      <c r="E371" s="340" t="str">
        <f t="shared" si="261"/>
        <v>0.506776342808464i</v>
      </c>
      <c r="F371" s="728" t="str">
        <f t="shared" si="275"/>
        <v>0.005-0.085399977995712i</v>
      </c>
      <c r="G371" s="337" t="str">
        <f t="shared" si="276"/>
        <v>0.005-0.133574324557395i</v>
      </c>
      <c r="H371" s="338" t="str">
        <f t="shared" si="277"/>
        <v>0.0192938299470453-0.130918091057186i</v>
      </c>
      <c r="I371" s="338" t="str">
        <f t="shared" si="278"/>
        <v>0.0292938299470453-0.130918091057186i</v>
      </c>
      <c r="J371" s="337" t="str">
        <f t="shared" si="279"/>
        <v>0.00634496360372325-0.0520138058641967i</v>
      </c>
      <c r="K371" s="338" t="str">
        <f t="shared" si="262"/>
        <v>0.989628953863889-0.159967279926914i</v>
      </c>
      <c r="L371" s="732"/>
      <c r="M371" s="732" t="str">
        <f t="shared" si="263"/>
        <v>0.613486818483681-43.9704369291879i</v>
      </c>
      <c r="N371" s="337">
        <f t="shared" si="264"/>
        <v>0</v>
      </c>
      <c r="O371" s="730" t="str">
        <f t="shared" si="265"/>
        <v>-1.45465962960679-17.1142479144828i</v>
      </c>
      <c r="P371" s="731" t="str">
        <f t="shared" si="266"/>
        <v>-2.28317721866403-0.310900606232359i</v>
      </c>
      <c r="Q371" s="729" t="str">
        <f t="shared" si="267"/>
        <v>-2.26863062236796-0.139758127087531i</v>
      </c>
      <c r="R371" s="730"/>
      <c r="S371" s="405" t="str">
        <f t="shared" si="280"/>
        <v>39.6078718398429-5.06761723407386i</v>
      </c>
      <c r="T371" s="405" t="str">
        <f t="shared" si="281"/>
        <v>15.1998318103751-3.49483282520061i</v>
      </c>
      <c r="U371" s="405" t="str">
        <f t="shared" si="282"/>
        <v>-0.164273871866187-2.05736167522736i</v>
      </c>
      <c r="V371" s="731" t="str">
        <f t="shared" si="268"/>
        <v>6000</v>
      </c>
      <c r="W371" s="733" t="str">
        <f>IMSUM(COMPLEX(1,0),IMDIV(COMPLEX(0,2*PI()*D371),COMPLEX(2*PI()*'Stability Calculations'!EA_Pole1,0)))</f>
        <v>1+193880.34327142i</v>
      </c>
      <c r="X371" s="734">
        <f t="shared" si="283"/>
        <v>193880.34327399891</v>
      </c>
      <c r="Y371" s="735">
        <f t="shared" si="284"/>
        <v>1.5707911689744434</v>
      </c>
      <c r="Z371" s="340" t="str">
        <f>IMSUM(COMPLEX(1,0),IMDIV(COMPLEX(0,2*PI()*D371),COMPLEX(2*PI()*'Stability Calculations'!EA_Zero1,0)))</f>
        <v>1+1919.60735912297i</v>
      </c>
      <c r="AA371" s="734">
        <f t="shared" si="285"/>
        <v>1919.6076195928854</v>
      </c>
      <c r="AB371" s="735">
        <f t="shared" si="286"/>
        <v>1.5702753869762467</v>
      </c>
      <c r="AC371" s="733" t="str">
        <f>IMSUM(COMPLEX(1,0),IMDIV(COMPLEX(0,2*PI()*D371),COMPLEX(2*PI()*'Stability Calculations'!EA_Pole2,0)))</f>
        <v>1+19.3370805143066i</v>
      </c>
      <c r="AD371" s="734">
        <f t="shared" si="287"/>
        <v>19.362920307039843</v>
      </c>
      <c r="AE371" s="735">
        <f t="shared" si="288"/>
        <v>1.5191282387876999</v>
      </c>
      <c r="AF371" s="732" t="str">
        <f t="shared" si="289"/>
        <v>0.156868189877194-3.06401333533182i</v>
      </c>
      <c r="AG371" s="337">
        <f t="shared" si="290"/>
        <v>3.0680262952078121</v>
      </c>
      <c r="AH371" s="730">
        <f t="shared" si="291"/>
        <v>-1.5196440207858966</v>
      </c>
      <c r="AI371" s="731" t="str">
        <f t="shared" si="269"/>
        <v>10000</v>
      </c>
      <c r="AJ371" s="733" t="str">
        <f t="shared" si="292"/>
        <v>1+180749.845013548i</v>
      </c>
      <c r="AK371" s="734">
        <f t="shared" si="293"/>
        <v>180749.84501631424</v>
      </c>
      <c r="AL371" s="735">
        <f t="shared" si="294"/>
        <v>1.570790794286695</v>
      </c>
      <c r="AM371" s="340" t="str">
        <f t="shared" si="295"/>
        <v>1+306.753255987851i</v>
      </c>
      <c r="AN371" s="734">
        <f t="shared" si="296"/>
        <v>306.75488595806917</v>
      </c>
      <c r="AO371" s="735">
        <f t="shared" si="297"/>
        <v>1.5675363892454823</v>
      </c>
      <c r="AP371" s="733" t="str">
        <f t="shared" si="298"/>
        <v>1+14.8780385462398i</v>
      </c>
      <c r="AQ371" s="734">
        <f t="shared" si="299"/>
        <v>14.911607256878694</v>
      </c>
      <c r="AR371" s="735">
        <f t="shared" si="300"/>
        <v>1.5036841066013682</v>
      </c>
      <c r="AS371" s="732" t="str">
        <f t="shared" si="301"/>
        <v>0.00293445397853704-7.66087925500205i</v>
      </c>
      <c r="AT371" s="337">
        <f t="shared" si="302"/>
        <v>7.6608798170145516</v>
      </c>
      <c r="AU371" s="730">
        <f t="shared" si="303"/>
        <v>-1.5704132827946791</v>
      </c>
      <c r="AV371" s="732" t="str">
        <f t="shared" si="304"/>
        <v>-0.36101053749401+0.0636296923851347i</v>
      </c>
      <c r="AW371" s="337">
        <f t="shared" si="305"/>
        <v>-8.7167394084175527</v>
      </c>
      <c r="AX371" s="730">
        <f t="shared" si="306"/>
        <v>170.0040337292682</v>
      </c>
      <c r="AY371" s="360">
        <f t="shared" si="307"/>
        <v>-9.9959662707317989</v>
      </c>
      <c r="BB371" s="337">
        <f t="shared" si="308"/>
        <v>-22.314427015357158</v>
      </c>
      <c r="BC371" s="730">
        <f t="shared" si="309"/>
        <v>-89.978053195419733</v>
      </c>
      <c r="BD371" s="351"/>
      <c r="BE371" s="337">
        <f t="shared" si="270"/>
        <v>32.864060962603759</v>
      </c>
      <c r="BF371" s="730">
        <f t="shared" si="271"/>
        <v>-89.200646448765013</v>
      </c>
      <c r="BI371" s="351"/>
      <c r="BJ371" s="351"/>
      <c r="BL371" s="405">
        <f t="shared" si="272"/>
        <v>0</v>
      </c>
      <c r="BM371" s="405">
        <f t="shared" si="310"/>
        <v>0</v>
      </c>
      <c r="BN371" s="405">
        <f t="shared" si="273"/>
        <v>0</v>
      </c>
      <c r="BO371" s="405">
        <f t="shared" si="274"/>
        <v>0</v>
      </c>
    </row>
    <row r="372" spans="4:67" ht="13.5" thickBot="1" x14ac:dyDescent="0.25">
      <c r="D372" s="345">
        <v>30727.25</v>
      </c>
      <c r="E372" s="340" t="str">
        <f t="shared" si="261"/>
        <v>0.50969161512729i</v>
      </c>
      <c r="F372" s="728" t="str">
        <f t="shared" si="275"/>
        <v>0.005-0.0849115175531811i</v>
      </c>
      <c r="G372" s="337" t="str">
        <f t="shared" si="276"/>
        <v>0.005-0.132810322326771i</v>
      </c>
      <c r="H372" s="338" t="str">
        <f t="shared" si="277"/>
        <v>0.0191324590538047-0.130186824646984i</v>
      </c>
      <c r="I372" s="338" t="str">
        <f t="shared" si="278"/>
        <v>0.0291324590538047-0.130186824646984i</v>
      </c>
      <c r="J372" s="337" t="str">
        <f t="shared" si="279"/>
        <v>0.00631971792112771-0.0517177675584252i</v>
      </c>
      <c r="K372" s="338" t="str">
        <f t="shared" si="262"/>
        <v>0.989509290082639-0.160887504775028i</v>
      </c>
      <c r="L372" s="732"/>
      <c r="M372" s="732" t="str">
        <f t="shared" si="263"/>
        <v>0.602509143521751-43.6623017194475i</v>
      </c>
      <c r="N372" s="337">
        <f t="shared" si="264"/>
        <v>0</v>
      </c>
      <c r="O372" s="730" t="str">
        <f t="shared" si="265"/>
        <v>-1.44370095893881-16.9928910278502i</v>
      </c>
      <c r="P372" s="731" t="str">
        <f t="shared" si="266"/>
        <v>-2.25430908356025-0.307093858490561i</v>
      </c>
      <c r="Q372" s="729" t="str">
        <f t="shared" si="267"/>
        <v>-2.23987207397086-0.13716494821206i</v>
      </c>
      <c r="R372" s="730"/>
      <c r="S372" s="405" t="str">
        <f t="shared" si="280"/>
        <v>39.6019431001669-5.11168116128153i</v>
      </c>
      <c r="T372" s="405" t="str">
        <f t="shared" si="281"/>
        <v>15.1952098738572-3.50853828191154i</v>
      </c>
      <c r="U372" s="405" t="str">
        <f t="shared" si="282"/>
        <v>-0.166043727348905-2.04534308833933i</v>
      </c>
      <c r="V372" s="731" t="str">
        <f t="shared" si="268"/>
        <v>6000</v>
      </c>
      <c r="W372" s="733" t="str">
        <f>IMSUM(COMPLEX(1,0),IMDIV(COMPLEX(0,2*PI()*D372),COMPLEX(2*PI()*'Stability Calculations'!EA_Pole1,0)))</f>
        <v>1+194995.655787334i</v>
      </c>
      <c r="X372" s="734">
        <f t="shared" si="283"/>
        <v>194995.65578989816</v>
      </c>
      <c r="Y372" s="735">
        <f t="shared" si="284"/>
        <v>1.5707911984755196</v>
      </c>
      <c r="Z372" s="340" t="str">
        <f>IMSUM(COMPLEX(1,0),IMDIV(COMPLEX(0,2*PI()*D372),COMPLEX(2*PI()*'Stability Calculations'!EA_Zero1,0)))</f>
        <v>1+1930.65005730034i</v>
      </c>
      <c r="AA372" s="734">
        <f t="shared" si="285"/>
        <v>1930.6503162804511</v>
      </c>
      <c r="AB372" s="735">
        <f t="shared" si="286"/>
        <v>1.5702783665841422</v>
      </c>
      <c r="AC372" s="733" t="str">
        <f>IMSUM(COMPLEX(1,0),IMDIV(COMPLEX(0,2*PI()*D372),COMPLEX(2*PI()*'Stability Calculations'!EA_Pole2,0)))</f>
        <v>1+19.4483186499265i</v>
      </c>
      <c r="AD372" s="734">
        <f t="shared" si="287"/>
        <v>19.474010842892092</v>
      </c>
      <c r="AE372" s="735">
        <f t="shared" si="288"/>
        <v>1.5194232424735323</v>
      </c>
      <c r="AF372" s="732" t="str">
        <f t="shared" si="289"/>
        <v>0.155083568716774-3.04657992539639i</v>
      </c>
      <c r="AG372" s="337">
        <f t="shared" si="290"/>
        <v>3.050524570481969</v>
      </c>
      <c r="AH372" s="730">
        <f t="shared" si="291"/>
        <v>-1.51993607436491</v>
      </c>
      <c r="AI372" s="731" t="str">
        <f t="shared" si="269"/>
        <v>10000</v>
      </c>
      <c r="AJ372" s="733" t="str">
        <f t="shared" si="292"/>
        <v>1+181789.623265389i</v>
      </c>
      <c r="AK372" s="734">
        <f t="shared" si="293"/>
        <v>181789.62326813943</v>
      </c>
      <c r="AL372" s="735">
        <f t="shared" si="294"/>
        <v>1.5707908259308647</v>
      </c>
      <c r="AM372" s="340" t="str">
        <f t="shared" si="295"/>
        <v>1+308.517879156594i</v>
      </c>
      <c r="AN372" s="734">
        <f t="shared" si="296"/>
        <v>308.51949980395523</v>
      </c>
      <c r="AO372" s="735">
        <f t="shared" si="297"/>
        <v>1.5675550349101597</v>
      </c>
      <c r="AP372" s="733" t="str">
        <f t="shared" si="298"/>
        <v>1+14.9636256786065i</v>
      </c>
      <c r="AQ372" s="734">
        <f t="shared" si="299"/>
        <v>14.997002815544574</v>
      </c>
      <c r="AR372" s="735">
        <f t="shared" si="300"/>
        <v>1.5040668251899194</v>
      </c>
      <c r="AS372" s="732" t="str">
        <f t="shared" si="301"/>
        <v>0.00290098171490491-7.61706149918742i</v>
      </c>
      <c r="AT372" s="337">
        <f t="shared" si="302"/>
        <v>7.6170620516113834</v>
      </c>
      <c r="AU372" s="730">
        <f t="shared" si="303"/>
        <v>-1.5704154736831091</v>
      </c>
      <c r="AV372" s="732" t="str">
        <f t="shared" si="304"/>
        <v>-0.356788579902271+0.0633334037664049i</v>
      </c>
      <c r="AW372" s="337">
        <f t="shared" si="305"/>
        <v>-8.8170480893566303</v>
      </c>
      <c r="AX372" s="730">
        <f t="shared" si="306"/>
        <v>169.93429652731567</v>
      </c>
      <c r="AY372" s="360">
        <f t="shared" si="307"/>
        <v>-10.065703472684334</v>
      </c>
      <c r="BB372" s="337">
        <f t="shared" si="308"/>
        <v>-22.364250129138878</v>
      </c>
      <c r="BC372" s="730">
        <f t="shared" si="309"/>
        <v>-89.978178724080152</v>
      </c>
      <c r="BD372" s="351"/>
      <c r="BE372" s="337">
        <f t="shared" si="270"/>
        <v>32.802959436006176</v>
      </c>
      <c r="BF372" s="730">
        <f t="shared" si="271"/>
        <v>-89.209408603125624</v>
      </c>
      <c r="BI372" s="351"/>
      <c r="BJ372" s="351"/>
      <c r="BL372" s="405">
        <f t="shared" si="272"/>
        <v>0</v>
      </c>
      <c r="BM372" s="405">
        <f t="shared" si="310"/>
        <v>0</v>
      </c>
      <c r="BN372" s="405">
        <f t="shared" si="273"/>
        <v>0</v>
      </c>
      <c r="BO372" s="405">
        <f t="shared" si="274"/>
        <v>0</v>
      </c>
    </row>
    <row r="373" spans="4:67" ht="13.5" thickBot="1" x14ac:dyDescent="0.25">
      <c r="D373" s="345">
        <v>30903</v>
      </c>
      <c r="E373" s="340" t="str">
        <f t="shared" si="261"/>
        <v>0.512606887446115i</v>
      </c>
      <c r="F373" s="728" t="str">
        <f t="shared" si="275"/>
        <v>0.005-0.0844286130063746i</v>
      </c>
      <c r="G373" s="337" t="str">
        <f t="shared" si="276"/>
        <v>0.005-0.132055010086893i</v>
      </c>
      <c r="H373" s="338" t="str">
        <f t="shared" si="277"/>
        <v>0.0189737911474825-0.129463583703426i</v>
      </c>
      <c r="I373" s="338" t="str">
        <f t="shared" si="278"/>
        <v>0.0289737911474825-0.129463583703426i</v>
      </c>
      <c r="J373" s="337" t="str">
        <f t="shared" si="279"/>
        <v>0.00629489990590646-0.0514250806484474i</v>
      </c>
      <c r="K373" s="338" t="str">
        <f t="shared" si="262"/>
        <v>0.9893889399-0.161807729623142i</v>
      </c>
      <c r="L373" s="732"/>
      <c r="M373" s="732" t="str">
        <f t="shared" si="263"/>
        <v>0.591825380926519-43.3587670279417i</v>
      </c>
      <c r="N373" s="337">
        <f t="shared" si="264"/>
        <v>0</v>
      </c>
      <c r="O373" s="730" t="str">
        <f t="shared" si="265"/>
        <v>-1.43292327918922-16.8733579542881i</v>
      </c>
      <c r="P373" s="731" t="str">
        <f t="shared" si="266"/>
        <v>-2.22600260969444-0.303373766428354i</v>
      </c>
      <c r="Q373" s="729" t="str">
        <f t="shared" si="267"/>
        <v>-2.21167337690255-0.134640186885473i</v>
      </c>
      <c r="R373" s="730"/>
      <c r="S373" s="405" t="str">
        <f t="shared" si="280"/>
        <v>39.5959539794068-5.15565386631342i</v>
      </c>
      <c r="T373" s="405" t="str">
        <f t="shared" si="281"/>
        <v>15.1905721592006-3.52227090428345i</v>
      </c>
      <c r="U373" s="405" t="str">
        <f t="shared" si="282"/>
        <v>-0.16778307048341-2.03345674273833i</v>
      </c>
      <c r="V373" s="731" t="str">
        <f t="shared" si="268"/>
        <v>6000</v>
      </c>
      <c r="W373" s="733" t="str">
        <f>IMSUM(COMPLEX(1,0),IMDIV(COMPLEX(0,2*PI()*D373),COMPLEX(2*PI()*'Stability Calculations'!EA_Pole1,0)))</f>
        <v>1+196110.968303249i</v>
      </c>
      <c r="X373" s="734">
        <f t="shared" si="283"/>
        <v>196110.9683057986</v>
      </c>
      <c r="Y373" s="735">
        <f t="shared" si="284"/>
        <v>1.5707912276410418</v>
      </c>
      <c r="Z373" s="340" t="str">
        <f>IMSUM(COMPLEX(1,0),IMDIV(COMPLEX(0,2*PI()*D373),COMPLEX(2*PI()*'Stability Calculations'!EA_Zero1,0)))</f>
        <v>1+1941.69275547771i</v>
      </c>
      <c r="AA373" s="734">
        <f t="shared" si="285"/>
        <v>1941.6930129849625</v>
      </c>
      <c r="AB373" s="735">
        <f t="shared" si="286"/>
        <v>1.5702813123010919</v>
      </c>
      <c r="AC373" s="733" t="str">
        <f>IMSUM(COMPLEX(1,0),IMDIV(COMPLEX(0,2*PI()*D373),COMPLEX(2*PI()*'Stability Calculations'!EA_Pole2,0)))</f>
        <v>1+19.5595567855463i</v>
      </c>
      <c r="AD373" s="734">
        <f t="shared" si="287"/>
        <v>19.58510305428619</v>
      </c>
      <c r="AE373" s="735">
        <f t="shared" si="288"/>
        <v>1.5197148994967991</v>
      </c>
      <c r="AF373" s="732" t="str">
        <f t="shared" si="289"/>
        <v>0.153329203275665-3.0293432614502i</v>
      </c>
      <c r="AG373" s="337">
        <f t="shared" si="290"/>
        <v>3.033221132768082</v>
      </c>
      <c r="AH373" s="730">
        <f t="shared" si="291"/>
        <v>-1.5202248148367488</v>
      </c>
      <c r="AI373" s="731" t="str">
        <f t="shared" si="269"/>
        <v>10000</v>
      </c>
      <c r="AJ373" s="733" t="str">
        <f t="shared" si="292"/>
        <v>1+182829.401517231i</v>
      </c>
      <c r="AK373" s="734">
        <f t="shared" si="293"/>
        <v>182829.40151996579</v>
      </c>
      <c r="AL373" s="735">
        <f t="shared" si="294"/>
        <v>1.5707908572151041</v>
      </c>
      <c r="AM373" s="340" t="str">
        <f t="shared" si="295"/>
        <v>1+310.282502325338i</v>
      </c>
      <c r="AN373" s="734">
        <f t="shared" si="296"/>
        <v>310.28411375588246</v>
      </c>
      <c r="AO373" s="735">
        <f t="shared" si="297"/>
        <v>1.5675734684956646</v>
      </c>
      <c r="AP373" s="733" t="str">
        <f t="shared" si="298"/>
        <v>1+15.0492128109732i</v>
      </c>
      <c r="AQ373" s="734">
        <f t="shared" si="299"/>
        <v>15.082400545999297</v>
      </c>
      <c r="AR373" s="735">
        <f t="shared" si="300"/>
        <v>1.504445209868263</v>
      </c>
      <c r="AS373" s="732" t="str">
        <f t="shared" si="301"/>
        <v>0.00286807891105087-7.57374213946717i</v>
      </c>
      <c r="AT373" s="337">
        <f t="shared" si="302"/>
        <v>7.5737426825194794</v>
      </c>
      <c r="AU373" s="730">
        <f t="shared" si="303"/>
        <v>-1.5704176396517198</v>
      </c>
      <c r="AV373" s="732" t="str">
        <f t="shared" si="304"/>
        <v>-0.352638607126809+0.0630391229855559i</v>
      </c>
      <c r="AW373" s="337">
        <f t="shared" si="305"/>
        <v>-8.916788508064494</v>
      </c>
      <c r="AX373" s="730">
        <f t="shared" si="306"/>
        <v>169.86463061899224</v>
      </c>
      <c r="AY373" s="360">
        <f t="shared" si="307"/>
        <v>-10.135369381007763</v>
      </c>
      <c r="BB373" s="337">
        <f t="shared" si="308"/>
        <v>-22.413789081901534</v>
      </c>
      <c r="BC373" s="730">
        <f t="shared" si="309"/>
        <v>-89.978302824940101</v>
      </c>
      <c r="BD373" s="351"/>
      <c r="BE373" s="337">
        <f t="shared" si="270"/>
        <v>32.742347531113268</v>
      </c>
      <c r="BF373" s="730">
        <f t="shared" si="271"/>
        <v>-89.217989965093253</v>
      </c>
      <c r="BI373" s="351"/>
      <c r="BJ373" s="351"/>
      <c r="BL373" s="405">
        <f t="shared" si="272"/>
        <v>0</v>
      </c>
      <c r="BM373" s="405">
        <f t="shared" si="310"/>
        <v>0</v>
      </c>
      <c r="BN373" s="405">
        <f t="shared" si="273"/>
        <v>0</v>
      </c>
      <c r="BO373" s="405">
        <f t="shared" si="274"/>
        <v>0</v>
      </c>
    </row>
    <row r="374" spans="4:67" ht="13.5" thickBot="1" x14ac:dyDescent="0.25">
      <c r="D374" s="345">
        <v>31083</v>
      </c>
      <c r="E374" s="340" t="str">
        <f t="shared" si="261"/>
        <v>0.515592657104087i</v>
      </c>
      <c r="F374" s="728" t="str">
        <f t="shared" si="275"/>
        <v>0.005-0.083939691398385i</v>
      </c>
      <c r="G374" s="337" t="str">
        <f t="shared" si="276"/>
        <v>0.005-0.131290286546191i</v>
      </c>
      <c r="H374" s="338" t="str">
        <f t="shared" si="277"/>
        <v>0.0188140256695945-0.128731036679359i</v>
      </c>
      <c r="I374" s="338" t="str">
        <f t="shared" si="278"/>
        <v>0.0288140256695945-0.128731036679359i</v>
      </c>
      <c r="J374" s="337" t="str">
        <f t="shared" si="279"/>
        <v>0.00626991499171938-0.0511287309197194i</v>
      </c>
      <c r="K374" s="338" t="str">
        <f t="shared" si="262"/>
        <v>0.9892649679-0.162750207419219i</v>
      </c>
      <c r="L374" s="732"/>
      <c r="M374" s="732" t="str">
        <f t="shared" si="263"/>
        <v>0.58117715696505-43.0525492752546i</v>
      </c>
      <c r="N374" s="337">
        <f t="shared" si="264"/>
        <v>0</v>
      </c>
      <c r="O374" s="730" t="str">
        <f t="shared" si="265"/>
        <v>-1.42206858002388-16.7527801452889i</v>
      </c>
      <c r="P374" s="731" t="str">
        <f t="shared" si="266"/>
        <v>-2.19757827593316-0.29965067460781i</v>
      </c>
      <c r="Q374" s="729" t="str">
        <f t="shared" si="267"/>
        <v>-2.18335759013292-0.132122873154921i</v>
      </c>
      <c r="R374" s="730"/>
      <c r="S374" s="405" t="str">
        <f t="shared" si="280"/>
        <v>39.5897578891786-5.20059678939897i</v>
      </c>
      <c r="T374" s="405" t="str">
        <f t="shared" si="281"/>
        <v>15.1858057688655-3.53636315172934i</v>
      </c>
      <c r="U374" s="405" t="str">
        <f t="shared" si="282"/>
        <v>-0.16953355504789-2.0214177465511i</v>
      </c>
      <c r="V374" s="731" t="str">
        <f t="shared" si="268"/>
        <v>6000</v>
      </c>
      <c r="W374" s="733" t="str">
        <f>IMSUM(COMPLEX(1,0),IMDIV(COMPLEX(0,2*PI()*D374),COMPLEX(2*PI()*'Stability Calculations'!EA_Pole1,0)))</f>
        <v>1+197253.251392094i</v>
      </c>
      <c r="X374" s="734">
        <f t="shared" si="283"/>
        <v>197253.25139462884</v>
      </c>
      <c r="Y374" s="735">
        <f t="shared" si="284"/>
        <v>1.5707912571699707</v>
      </c>
      <c r="Z374" s="340" t="str">
        <f>IMSUM(COMPLEX(1,0),IMDIV(COMPLEX(0,2*PI()*D374),COMPLEX(2*PI()*'Stability Calculations'!EA_Zero1,0)))</f>
        <v>1+1953.00248903063i</v>
      </c>
      <c r="AA374" s="734">
        <f t="shared" si="285"/>
        <v>1953.0027450466719</v>
      </c>
      <c r="AB374" s="735">
        <f t="shared" si="286"/>
        <v>1.5702842947221141</v>
      </c>
      <c r="AC374" s="733" t="str">
        <f>IMSUM(COMPLEX(1,0),IMDIV(COMPLEX(0,2*PI()*D374),COMPLEX(2*PI()*'Stability Calculations'!EA_Pole2,0)))</f>
        <v>1+19.6734848903063i</v>
      </c>
      <c r="AD374" s="734">
        <f t="shared" si="287"/>
        <v>19.698883413257473</v>
      </c>
      <c r="AE374" s="735">
        <f t="shared" si="288"/>
        <v>1.5200101994703994</v>
      </c>
      <c r="AF374" s="732" t="str">
        <f t="shared" si="289"/>
        <v>0.151563065772002-3.01189026811226i</v>
      </c>
      <c r="AG374" s="337">
        <f t="shared" si="290"/>
        <v>3.015701303188953</v>
      </c>
      <c r="AH374" s="730">
        <f t="shared" si="291"/>
        <v>-1.5205171619182558</v>
      </c>
      <c r="AI374" s="731" t="str">
        <f t="shared" si="269"/>
        <v>10000</v>
      </c>
      <c r="AJ374" s="733" t="str">
        <f t="shared" si="292"/>
        <v>1+183894.323766627i</v>
      </c>
      <c r="AK374" s="734">
        <f t="shared" si="293"/>
        <v>183894.32376934597</v>
      </c>
      <c r="AL374" s="735">
        <f t="shared" si="294"/>
        <v>1.57079088888915</v>
      </c>
      <c r="AM374" s="340" t="str">
        <f t="shared" si="295"/>
        <v>1+312.089797747095i</v>
      </c>
      <c r="AN374" s="734">
        <f t="shared" si="296"/>
        <v>312.09139984597891</v>
      </c>
      <c r="AO374" s="735">
        <f t="shared" si="297"/>
        <v>1.5675921317685682</v>
      </c>
      <c r="AP374" s="733" t="str">
        <f t="shared" si="298"/>
        <v>1+15.1368696179491i</v>
      </c>
      <c r="AQ374" s="734">
        <f t="shared" si="299"/>
        <v>15.169865583807608</v>
      </c>
      <c r="AR374" s="735">
        <f t="shared" si="300"/>
        <v>1.5048283286601598</v>
      </c>
      <c r="AS374" s="732" t="str">
        <f t="shared" si="301"/>
        <v>0.00283495731206088-7.52988301398068i</v>
      </c>
      <c r="AT374" s="337">
        <f t="shared" si="302"/>
        <v>7.5298835476531583</v>
      </c>
      <c r="AU374" s="730">
        <f t="shared" si="303"/>
        <v>-1.5704198326086194</v>
      </c>
      <c r="AV374" s="732" t="str">
        <f t="shared" si="304"/>
        <v>-0.348461195907657+0.0627398030473011i</v>
      </c>
      <c r="AW374" s="337">
        <f t="shared" si="305"/>
        <v>-9.0183586178345703</v>
      </c>
      <c r="AX374" s="730">
        <f t="shared" si="306"/>
        <v>169.79335259513564</v>
      </c>
      <c r="AY374" s="360">
        <f t="shared" si="307"/>
        <v>-10.206647404864356</v>
      </c>
      <c r="BB374" s="337">
        <f t="shared" si="308"/>
        <v>-22.464234805342464</v>
      </c>
      <c r="BC374" s="730">
        <f t="shared" si="309"/>
        <v>-89.978428472115112</v>
      </c>
      <c r="BD374" s="351"/>
      <c r="BE374" s="337">
        <f t="shared" si="270"/>
        <v>32.680768791278552</v>
      </c>
      <c r="BF374" s="730">
        <f t="shared" si="271"/>
        <v>-89.22659688367915</v>
      </c>
      <c r="BI374" s="351"/>
      <c r="BJ374" s="351"/>
      <c r="BL374" s="405">
        <f t="shared" si="272"/>
        <v>0</v>
      </c>
      <c r="BM374" s="405">
        <f t="shared" si="310"/>
        <v>0</v>
      </c>
      <c r="BN374" s="405">
        <f t="shared" si="273"/>
        <v>0</v>
      </c>
      <c r="BO374" s="405">
        <f t="shared" si="274"/>
        <v>0</v>
      </c>
    </row>
    <row r="375" spans="4:67" ht="13.5" thickBot="1" x14ac:dyDescent="0.25">
      <c r="D375" s="345">
        <v>31263</v>
      </c>
      <c r="E375" s="340" t="str">
        <f t="shared" si="261"/>
        <v>0.518578426762058i</v>
      </c>
      <c r="F375" s="728" t="str">
        <f t="shared" si="275"/>
        <v>0.005-0.0834563998252242i</v>
      </c>
      <c r="G375" s="337" t="str">
        <f t="shared" si="276"/>
        <v>0.005-0.130534368957402i</v>
      </c>
      <c r="H375" s="338" t="str">
        <f t="shared" si="277"/>
        <v>0.0186569703049074-0.128006635513859i</v>
      </c>
      <c r="I375" s="338" t="str">
        <f t="shared" si="278"/>
        <v>0.0286569703049074-0.128006635513859i</v>
      </c>
      <c r="J375" s="337" t="str">
        <f t="shared" si="279"/>
        <v>0.00624535854096932-0.0508357781392912i</v>
      </c>
      <c r="K375" s="338" t="str">
        <f t="shared" si="262"/>
        <v>0.9891402759-0.163692685215296i</v>
      </c>
      <c r="L375" s="732"/>
      <c r="M375" s="732" t="str">
        <f t="shared" si="263"/>
        <v>0.570815834118396-42.7509338935268i</v>
      </c>
      <c r="N375" s="337">
        <f t="shared" si="264"/>
        <v>0</v>
      </c>
      <c r="O375" s="730" t="str">
        <f t="shared" si="265"/>
        <v>-1.41139569933872-16.6340261028027i</v>
      </c>
      <c r="P375" s="731" t="str">
        <f t="shared" si="266"/>
        <v>-2.16971204111389-0.296012777227989i</v>
      </c>
      <c r="Q375" s="729" t="str">
        <f t="shared" si="267"/>
        <v>-2.1555980841205-0.129672516199963i</v>
      </c>
      <c r="R375" s="730"/>
      <c r="S375" s="405" t="str">
        <f t="shared" si="280"/>
        <v>39.5834993613506-5.24544688642826i</v>
      </c>
      <c r="T375" s="405" t="str">
        <f t="shared" si="281"/>
        <v>15.1810224857171-3.55048265341024i</v>
      </c>
      <c r="U375" s="405" t="str">
        <f t="shared" si="282"/>
        <v>-0.171253453199207-2.00951286148963i</v>
      </c>
      <c r="V375" s="731" t="str">
        <f t="shared" si="268"/>
        <v>6000</v>
      </c>
      <c r="W375" s="733" t="str">
        <f>IMSUM(COMPLEX(1,0),IMDIV(COMPLEX(0,2*PI()*D375),COMPLEX(2*PI()*'Stability Calculations'!EA_Pole1,0)))</f>
        <v>1+198395.534480939i</v>
      </c>
      <c r="X375" s="734">
        <f t="shared" si="283"/>
        <v>198395.53448345923</v>
      </c>
      <c r="Y375" s="735">
        <f t="shared" si="284"/>
        <v>1.5707912863588676</v>
      </c>
      <c r="Z375" s="340" t="str">
        <f>IMSUM(COMPLEX(1,0),IMDIV(COMPLEX(0,2*PI()*D375),COMPLEX(2*PI()*'Stability Calculations'!EA_Zero1,0)))</f>
        <v>1+1964.31222258355i</v>
      </c>
      <c r="AA375" s="734">
        <f t="shared" si="285"/>
        <v>1964.3124771255532</v>
      </c>
      <c r="AB375" s="735">
        <f t="shared" si="286"/>
        <v>1.5702872427999419</v>
      </c>
      <c r="AC375" s="733" t="str">
        <f>IMSUM(COMPLEX(1,0),IMDIV(COMPLEX(0,2*PI()*D375),COMPLEX(2*PI()*'Stability Calculations'!EA_Pole2,0)))</f>
        <v>1+19.7874129950663i</v>
      </c>
      <c r="AD375" s="734">
        <f t="shared" si="287"/>
        <v>19.812665470282358</v>
      </c>
      <c r="AE375" s="735">
        <f t="shared" si="288"/>
        <v>1.520302107715741</v>
      </c>
      <c r="AF375" s="732" t="str">
        <f t="shared" si="289"/>
        <v>0.149827242906705-2.99463671763731i</v>
      </c>
      <c r="AG375" s="337">
        <f t="shared" si="290"/>
        <v>2.9983824428078858</v>
      </c>
      <c r="AH375" s="730">
        <f t="shared" si="291"/>
        <v>-1.5208061512746669</v>
      </c>
      <c r="AI375" s="731" t="str">
        <f t="shared" si="269"/>
        <v>10000</v>
      </c>
      <c r="AJ375" s="733" t="str">
        <f t="shared" si="292"/>
        <v>1+184959.246016023i</v>
      </c>
      <c r="AK375" s="734">
        <f t="shared" si="293"/>
        <v>184959.24601872632</v>
      </c>
      <c r="AL375" s="735">
        <f t="shared" si="294"/>
        <v>1.5707909201984624</v>
      </c>
      <c r="AM375" s="340" t="str">
        <f t="shared" si="295"/>
        <v>1+313.897093168851i</v>
      </c>
      <c r="AN375" s="734">
        <f t="shared" si="296"/>
        <v>313.89868604352949</v>
      </c>
      <c r="AO375" s="735">
        <f t="shared" si="297"/>
        <v>1.5676105801321651</v>
      </c>
      <c r="AP375" s="733" t="str">
        <f t="shared" si="298"/>
        <v>1+15.2245264249249i</v>
      </c>
      <c r="AQ375" s="734">
        <f t="shared" si="299"/>
        <v>15.257332822719592</v>
      </c>
      <c r="AR375" s="735">
        <f t="shared" si="300"/>
        <v>1.5052070548202297</v>
      </c>
      <c r="AS375" s="732" t="str">
        <f t="shared" si="301"/>
        <v>0.00280240616763323-7.48652893530669i</v>
      </c>
      <c r="AT375" s="337">
        <f t="shared" si="302"/>
        <v>7.4865294598141157</v>
      </c>
      <c r="AU375" s="730">
        <f t="shared" si="303"/>
        <v>-1.5704220003131641</v>
      </c>
      <c r="AV375" s="732" t="str">
        <f t="shared" si="304"/>
        <v>-0.344355887118097+0.062442580077057i</v>
      </c>
      <c r="AW375" s="337">
        <f t="shared" si="305"/>
        <v>-9.1193463509100461</v>
      </c>
      <c r="AX375" s="730">
        <f t="shared" si="306"/>
        <v>169.72214664499759</v>
      </c>
      <c r="AY375" s="360">
        <f t="shared" si="307"/>
        <v>-10.277853355002406</v>
      </c>
      <c r="BB375" s="337">
        <f t="shared" si="308"/>
        <v>-22.51438924214888</v>
      </c>
      <c r="BC375" s="730">
        <f t="shared" si="309"/>
        <v>-89.978552672436749</v>
      </c>
      <c r="BD375" s="351"/>
      <c r="BE375" s="337">
        <f t="shared" si="270"/>
        <v>32.619686314447051</v>
      </c>
      <c r="BF375" s="730">
        <f t="shared" si="271"/>
        <v>-89.235025019513358</v>
      </c>
      <c r="BI375" s="351"/>
      <c r="BJ375" s="351"/>
      <c r="BL375" s="405">
        <f t="shared" si="272"/>
        <v>0</v>
      </c>
      <c r="BM375" s="405">
        <f t="shared" si="310"/>
        <v>0</v>
      </c>
      <c r="BN375" s="405">
        <f t="shared" si="273"/>
        <v>0</v>
      </c>
      <c r="BO375" s="405">
        <f t="shared" si="274"/>
        <v>0</v>
      </c>
    </row>
    <row r="376" spans="4:67" ht="13.5" thickBot="1" x14ac:dyDescent="0.25">
      <c r="D376" s="345">
        <v>31443</v>
      </c>
      <c r="E376" s="340" t="str">
        <f t="shared" si="261"/>
        <v>0.52156419642003i</v>
      </c>
      <c r="F376" s="728" t="str">
        <f t="shared" si="275"/>
        <v>0.005-0.0829786415970484i</v>
      </c>
      <c r="G376" s="337" t="str">
        <f t="shared" si="276"/>
        <v>0.005-0.129787106087691i</v>
      </c>
      <c r="H376" s="338" t="str">
        <f t="shared" si="277"/>
        <v>0.0185025643331517-0.127290246761274i</v>
      </c>
      <c r="I376" s="338" t="str">
        <f t="shared" si="278"/>
        <v>0.0285025643331517-0.127290246761274i</v>
      </c>
      <c r="J376" s="337" t="str">
        <f t="shared" si="279"/>
        <v>0.00622122079396209-0.0505461643707675i</v>
      </c>
      <c r="K376" s="338" t="str">
        <f t="shared" si="262"/>
        <v>0.9890148639-0.164635163011373i</v>
      </c>
      <c r="L376" s="732"/>
      <c r="M376" s="732" t="str">
        <f t="shared" si="263"/>
        <v>0.560731283648613-42.4538132433684i</v>
      </c>
      <c r="N376" s="337">
        <f t="shared" si="264"/>
        <v>0</v>
      </c>
      <c r="O376" s="730" t="str">
        <f t="shared" si="265"/>
        <v>-1.40090072187582-16.5170527969588i</v>
      </c>
      <c r="P376" s="731" t="str">
        <f t="shared" si="266"/>
        <v>-2.14238898924351-0.292457361363762i</v>
      </c>
      <c r="Q376" s="729" t="str">
        <f t="shared" si="267"/>
        <v>-2.12837998202475-0.127286833394174i</v>
      </c>
      <c r="R376" s="730"/>
      <c r="S376" s="405" t="str">
        <f t="shared" si="280"/>
        <v>39.5771788315656-5.29020555578559i</v>
      </c>
      <c r="T376" s="405" t="str">
        <f t="shared" si="281"/>
        <v>15.1762221442175-3.56462880078569i</v>
      </c>
      <c r="U376" s="405" t="str">
        <f t="shared" si="282"/>
        <v>-0.172943453106768-1.99773983535171i</v>
      </c>
      <c r="V376" s="731" t="str">
        <f t="shared" si="268"/>
        <v>6000</v>
      </c>
      <c r="W376" s="733" t="str">
        <f>IMSUM(COMPLEX(1,0),IMDIV(COMPLEX(0,2*PI()*D376),COMPLEX(2*PI()*'Stability Calculations'!EA_Pole1,0)))</f>
        <v>1+199537.817569784i</v>
      </c>
      <c r="X376" s="734">
        <f t="shared" si="283"/>
        <v>199537.81757228979</v>
      </c>
      <c r="Y376" s="735">
        <f t="shared" si="284"/>
        <v>1.5707913152135724</v>
      </c>
      <c r="Z376" s="340" t="str">
        <f>IMSUM(COMPLEX(1,0),IMDIV(COMPLEX(0,2*PI()*D376),COMPLEX(2*PI()*'Stability Calculations'!EA_Zero1,0)))</f>
        <v>1+1975.62195613648i</v>
      </c>
      <c r="AA376" s="734">
        <f t="shared" si="285"/>
        <v>1975.6222092213211</v>
      </c>
      <c r="AB376" s="735">
        <f t="shared" si="286"/>
        <v>1.5702901571243828</v>
      </c>
      <c r="AC376" s="733" t="str">
        <f>IMSUM(COMPLEX(1,0),IMDIV(COMPLEX(0,2*PI()*D376),COMPLEX(2*PI()*'Stability Calculations'!EA_Pole2,0)))</f>
        <v>1+19.9013410998263i</v>
      </c>
      <c r="AD376" s="734">
        <f t="shared" si="287"/>
        <v>19.926449196272664</v>
      </c>
      <c r="AE376" s="735">
        <f t="shared" si="288"/>
        <v>1.5205906822848407</v>
      </c>
      <c r="AF376" s="732" t="str">
        <f t="shared" si="289"/>
        <v>0.148121045431652-2.97757921944007i</v>
      </c>
      <c r="AG376" s="337">
        <f t="shared" si="290"/>
        <v>2.981261117738784</v>
      </c>
      <c r="AH376" s="730">
        <f t="shared" si="291"/>
        <v>-1.5210918403740303</v>
      </c>
      <c r="AI376" s="731" t="str">
        <f t="shared" si="269"/>
        <v>10000</v>
      </c>
      <c r="AJ376" s="733" t="str">
        <f t="shared" si="292"/>
        <v>1+186024.16826542i</v>
      </c>
      <c r="AK376" s="734">
        <f t="shared" si="293"/>
        <v>186024.16826810787</v>
      </c>
      <c r="AL376" s="735">
        <f t="shared" si="294"/>
        <v>1.5707909511493054</v>
      </c>
      <c r="AM376" s="340" t="str">
        <f t="shared" si="295"/>
        <v>1+315.704388590609i</v>
      </c>
      <c r="AN376" s="734">
        <f t="shared" si="296"/>
        <v>315.70597234669202</v>
      </c>
      <c r="AO376" s="735">
        <f t="shared" si="297"/>
        <v>1.5676288172772437</v>
      </c>
      <c r="AP376" s="733" t="str">
        <f t="shared" si="298"/>
        <v>1+15.3121832319008i</v>
      </c>
      <c r="AQ376" s="734">
        <f t="shared" si="299"/>
        <v>15.344802225095766</v>
      </c>
      <c r="AR376" s="735">
        <f t="shared" si="300"/>
        <v>1.5055814633563545</v>
      </c>
      <c r="AS376" s="732" t="str">
        <f t="shared" si="301"/>
        <v>0.00277041245263401-7.44367122980959i</v>
      </c>
      <c r="AT376" s="337">
        <f t="shared" si="302"/>
        <v>7.4436717453606311</v>
      </c>
      <c r="AU376" s="730">
        <f t="shared" si="303"/>
        <v>-1.570424143199036</v>
      </c>
      <c r="AV376" s="732" t="str">
        <f t="shared" si="304"/>
        <v>-0.340321030528393+0.0621474482345797i</v>
      </c>
      <c r="AW376" s="337">
        <f t="shared" si="305"/>
        <v>-9.2197584615462098</v>
      </c>
      <c r="AX376" s="730">
        <f t="shared" si="306"/>
        <v>169.65101144646385</v>
      </c>
      <c r="AY376" s="360">
        <f t="shared" si="307"/>
        <v>-10.348988553536145</v>
      </c>
      <c r="BB376" s="337">
        <f t="shared" si="308"/>
        <v>-22.564255736945277</v>
      </c>
      <c r="BC376" s="730">
        <f t="shared" si="309"/>
        <v>-89.978675450753187</v>
      </c>
      <c r="BD376" s="351"/>
      <c r="BE376" s="337">
        <f t="shared" si="270"/>
        <v>32.55909167150967</v>
      </c>
      <c r="BF376" s="730">
        <f t="shared" si="271"/>
        <v>-89.243279566741307</v>
      </c>
      <c r="BI376" s="351"/>
      <c r="BJ376" s="351"/>
      <c r="BL376" s="405">
        <f t="shared" si="272"/>
        <v>0</v>
      </c>
      <c r="BM376" s="405">
        <f t="shared" si="310"/>
        <v>0</v>
      </c>
      <c r="BN376" s="405">
        <f t="shared" si="273"/>
        <v>0</v>
      </c>
      <c r="BO376" s="405">
        <f t="shared" si="274"/>
        <v>0</v>
      </c>
    </row>
    <row r="377" spans="4:67" ht="13.5" thickBot="1" x14ac:dyDescent="0.25">
      <c r="D377" s="345">
        <v>31623</v>
      </c>
      <c r="E377" s="340" t="str">
        <f t="shared" si="261"/>
        <v>0.524549966078002i</v>
      </c>
      <c r="F377" s="728" t="str">
        <f t="shared" si="275"/>
        <v>0.005-0.0825063222254688i</v>
      </c>
      <c r="G377" s="337" t="str">
        <f t="shared" si="276"/>
        <v>0.005-0.129048350147528i</v>
      </c>
      <c r="H377" s="338" t="str">
        <f t="shared" si="277"/>
        <v>0.0183507487187019-0.126581739836321i</v>
      </c>
      <c r="I377" s="338" t="str">
        <f t="shared" si="278"/>
        <v>0.0283507487187019-0.126581739836321i</v>
      </c>
      <c r="J377" s="337" t="str">
        <f t="shared" si="279"/>
        <v>0.00619749226703343-0.0502598329854951i</v>
      </c>
      <c r="K377" s="338" t="str">
        <f t="shared" si="262"/>
        <v>0.9888887319-0.16557764080745i</v>
      </c>
      <c r="L377" s="732"/>
      <c r="M377" s="732" t="str">
        <f t="shared" si="263"/>
        <v>0.55091381469879-42.1610831022567i</v>
      </c>
      <c r="N377" s="337">
        <f t="shared" si="264"/>
        <v>0</v>
      </c>
      <c r="O377" s="730" t="str">
        <f t="shared" si="265"/>
        <v>-1.39057982916499-16.401818575691i</v>
      </c>
      <c r="P377" s="731" t="str">
        <f t="shared" si="266"/>
        <v>-2.1155947111006-0.288981822812154i</v>
      </c>
      <c r="Q377" s="729" t="str">
        <f t="shared" si="267"/>
        <v>-2.10168891280895-0.124963637055244i</v>
      </c>
      <c r="R377" s="730"/>
      <c r="S377" s="405" t="str">
        <f t="shared" si="280"/>
        <v>39.5707967230798-5.3348741638342i</v>
      </c>
      <c r="T377" s="405" t="str">
        <f t="shared" si="281"/>
        <v>15.171404583771-3.57880099792694i</v>
      </c>
      <c r="U377" s="405" t="str">
        <f t="shared" si="282"/>
        <v>-0.174604223619009-1.98609646580166i</v>
      </c>
      <c r="V377" s="731" t="str">
        <f t="shared" si="268"/>
        <v>6000</v>
      </c>
      <c r="W377" s="733" t="str">
        <f>IMSUM(COMPLEX(1,0),IMDIV(COMPLEX(0,2*PI()*D377),COMPLEX(2*PI()*'Stability Calculations'!EA_Pole1,0)))</f>
        <v>1+200680.100658629i</v>
      </c>
      <c r="X377" s="734">
        <f t="shared" si="283"/>
        <v>200680.10066112052</v>
      </c>
      <c r="Y377" s="735">
        <f t="shared" si="284"/>
        <v>1.570791343739792</v>
      </c>
      <c r="Z377" s="340" t="str">
        <f>IMSUM(COMPLEX(1,0),IMDIV(COMPLEX(0,2*PI()*D377),COMPLEX(2*PI()*'Stability Calculations'!EA_Zero1,0)))</f>
        <v>1+1986.9316896894i</v>
      </c>
      <c r="AA377" s="734">
        <f t="shared" si="285"/>
        <v>1986.9319413336668</v>
      </c>
      <c r="AB377" s="735">
        <f t="shared" si="286"/>
        <v>1.5702930382718154</v>
      </c>
      <c r="AC377" s="733" t="str">
        <f>IMSUM(COMPLEX(1,0),IMDIV(COMPLEX(0,2*PI()*D377),COMPLEX(2*PI()*'Stability Calculations'!EA_Pole2,0)))</f>
        <v>1+20.0152692045863i</v>
      </c>
      <c r="AD377" s="734">
        <f t="shared" si="287"/>
        <v>20.040234562800425</v>
      </c>
      <c r="AE377" s="735">
        <f t="shared" si="288"/>
        <v>1.5208759799135232</v>
      </c>
      <c r="AF377" s="732" t="str">
        <f t="shared" si="289"/>
        <v>0.146443803560579-2.96071445916052i</v>
      </c>
      <c r="AG377" s="337">
        <f t="shared" si="290"/>
        <v>2.9643339717858139</v>
      </c>
      <c r="AH377" s="730">
        <f t="shared" si="291"/>
        <v>-1.5213742853814998</v>
      </c>
      <c r="AI377" s="731" t="str">
        <f t="shared" si="269"/>
        <v>10000</v>
      </c>
      <c r="AJ377" s="733" t="str">
        <f t="shared" si="292"/>
        <v>1+187089.090514817i</v>
      </c>
      <c r="AK377" s="734">
        <f t="shared" si="293"/>
        <v>187089.09051748953</v>
      </c>
      <c r="AL377" s="735">
        <f t="shared" si="294"/>
        <v>1.5707909817478003</v>
      </c>
      <c r="AM377" s="340" t="str">
        <f t="shared" si="295"/>
        <v>1+317.511684012366i</v>
      </c>
      <c r="AN377" s="734">
        <f t="shared" si="296"/>
        <v>317.51325875365984</v>
      </c>
      <c r="AO377" s="735">
        <f t="shared" si="297"/>
        <v>1.5676468468105607</v>
      </c>
      <c r="AP377" s="733" t="str">
        <f t="shared" si="298"/>
        <v>1+15.3998400388767i</v>
      </c>
      <c r="AQ377" s="734">
        <f t="shared" si="299"/>
        <v>15.432273754148801</v>
      </c>
      <c r="AR377" s="735">
        <f t="shared" si="300"/>
        <v>1.5059516275807145</v>
      </c>
      <c r="AS377" s="732" t="str">
        <f t="shared" si="301"/>
        <v>0.00273896351157022-7.40130142133688i</v>
      </c>
      <c r="AT377" s="337">
        <f t="shared" si="302"/>
        <v>7.4013019281342958</v>
      </c>
      <c r="AU377" s="730">
        <f t="shared" si="303"/>
        <v>-1.5704262616900433</v>
      </c>
      <c r="AV377" s="732" t="str">
        <f t="shared" si="304"/>
        <v>-0.336355022872262+0.0618544009386016i</v>
      </c>
      <c r="AW377" s="337">
        <f t="shared" si="305"/>
        <v>-9.3196015876990277</v>
      </c>
      <c r="AX377" s="730">
        <f t="shared" si="306"/>
        <v>169.57994570901275</v>
      </c>
      <c r="AY377" s="360">
        <f t="shared" si="307"/>
        <v>-10.420054290987252</v>
      </c>
      <c r="BB377" s="337">
        <f t="shared" si="308"/>
        <v>-22.613837577079281</v>
      </c>
      <c r="BC377" s="730">
        <f t="shared" si="309"/>
        <v>-89.978796831346841</v>
      </c>
      <c r="BD377" s="351"/>
      <c r="BE377" s="337">
        <f t="shared" si="270"/>
        <v>32.498976649835782</v>
      </c>
      <c r="BF377" s="730">
        <f t="shared" si="271"/>
        <v>-89.251365529238541</v>
      </c>
      <c r="BI377" s="351"/>
      <c r="BJ377" s="351"/>
      <c r="BL377" s="405">
        <f t="shared" si="272"/>
        <v>0</v>
      </c>
      <c r="BM377" s="405">
        <f t="shared" si="310"/>
        <v>0</v>
      </c>
      <c r="BN377" s="405">
        <f t="shared" si="273"/>
        <v>0</v>
      </c>
      <c r="BO377" s="405">
        <f t="shared" si="274"/>
        <v>0</v>
      </c>
    </row>
    <row r="378" spans="4:67" ht="13.5" thickBot="1" x14ac:dyDescent="0.25">
      <c r="D378" s="345">
        <v>31807</v>
      </c>
      <c r="E378" s="340" t="str">
        <f t="shared" si="261"/>
        <v>0.527602086172817i</v>
      </c>
      <c r="F378" s="728" t="str">
        <f t="shared" si="275"/>
        <v>0.005-0.0820290322173105i</v>
      </c>
      <c r="G378" s="337" t="str">
        <f t="shared" si="276"/>
        <v>0.005-0.128301819621947i</v>
      </c>
      <c r="H378" s="338" t="str">
        <f t="shared" si="277"/>
        <v>0.0181981770014619-0.125865501760119i</v>
      </c>
      <c r="I378" s="338" t="str">
        <f t="shared" si="278"/>
        <v>0.0281981770014619-0.125865501760119i</v>
      </c>
      <c r="J378" s="337" t="str">
        <f t="shared" si="279"/>
        <v>0.00617364980577916-0.049970473653947i</v>
      </c>
      <c r="K378" s="338" t="str">
        <f t="shared" si="262"/>
        <v>0.988759052788889-0.166541062554551i</v>
      </c>
      <c r="L378" s="732"/>
      <c r="M378" s="732" t="str">
        <f t="shared" si="263"/>
        <v>0.541144574528789-41.8662807041746i</v>
      </c>
      <c r="N378" s="337">
        <f t="shared" si="264"/>
        <v>0</v>
      </c>
      <c r="O378" s="730" t="str">
        <f t="shared" si="265"/>
        <v>-1.38020563675196-16.2857790920531i</v>
      </c>
      <c r="P378" s="731" t="str">
        <f t="shared" si="266"/>
        <v>-2.08873703981927-0.28550900644249i</v>
      </c>
      <c r="Q378" s="729" t="str">
        <f t="shared" si="267"/>
        <v>-2.07493498345175-0.122651215521959i</v>
      </c>
      <c r="R378" s="730"/>
      <c r="S378" s="405" t="str">
        <f t="shared" si="280"/>
        <v>39.5642095716094-5.38044371212679i</v>
      </c>
      <c r="T378" s="405" t="str">
        <f t="shared" si="281"/>
        <v>15.1664620070467-3.59331444964501i</v>
      </c>
      <c r="U378" s="405" t="str">
        <f t="shared" si="282"/>
        <v>-0.176272366096273-1.97432612281927i</v>
      </c>
      <c r="V378" s="731" t="str">
        <f t="shared" si="268"/>
        <v>6000</v>
      </c>
      <c r="W378" s="733" t="str">
        <f>IMSUM(COMPLEX(1,0),IMDIV(COMPLEX(0,2*PI()*D378),COMPLEX(2*PI()*'Stability Calculations'!EA_Pole1,0)))</f>
        <v>1+201847.767816116i</v>
      </c>
      <c r="X378" s="734">
        <f t="shared" si="283"/>
        <v>201847.7678185931</v>
      </c>
      <c r="Y378" s="735">
        <f t="shared" si="284"/>
        <v>1.5707913725662181</v>
      </c>
      <c r="Z378" s="340" t="str">
        <f>IMSUM(COMPLEX(1,0),IMDIV(COMPLEX(0,2*PI()*D378),COMPLEX(2*PI()*'Stability Calculations'!EA_Zero1,0)))</f>
        <v>1+1998.49275065461i</v>
      </c>
      <c r="AA378" s="734">
        <f t="shared" si="285"/>
        <v>1998.4930008431425</v>
      </c>
      <c r="AB378" s="735">
        <f t="shared" si="286"/>
        <v>1.5702959497401321</v>
      </c>
      <c r="AC378" s="733" t="str">
        <f>IMSUM(COMPLEX(1,0),IMDIV(COMPLEX(0,2*PI()*D378),COMPLEX(2*PI()*'Stability Calculations'!EA_Pole2,0)))</f>
        <v>1+20.1317290450076i</v>
      </c>
      <c r="AD378" s="734">
        <f t="shared" si="287"/>
        <v>20.156550159727299</v>
      </c>
      <c r="AE378" s="735">
        <f t="shared" si="288"/>
        <v>1.5211642882449212</v>
      </c>
      <c r="AF378" s="732" t="str">
        <f t="shared" si="289"/>
        <v>0.144758539870432-2.943670763078i</v>
      </c>
      <c r="AG378" s="337">
        <f t="shared" si="290"/>
        <v>2.9472279511883079</v>
      </c>
      <c r="AH378" s="730">
        <f t="shared" si="291"/>
        <v>-1.5216597110710073</v>
      </c>
      <c r="AI378" s="731" t="str">
        <f t="shared" si="269"/>
        <v>10000</v>
      </c>
      <c r="AJ378" s="733" t="str">
        <f t="shared" si="292"/>
        <v>1+188177.677703089i</v>
      </c>
      <c r="AK378" s="734">
        <f t="shared" si="293"/>
        <v>188177.67770574603</v>
      </c>
      <c r="AL378" s="735">
        <f t="shared" si="294"/>
        <v>1.5707910126683104</v>
      </c>
      <c r="AM378" s="340" t="str">
        <f t="shared" si="295"/>
        <v>1+319.359141554607i</v>
      </c>
      <c r="AN378" s="734">
        <f t="shared" si="296"/>
        <v>319.36070718624029</v>
      </c>
      <c r="AO378" s="735">
        <f t="shared" si="297"/>
        <v>1.5676650660867626</v>
      </c>
      <c r="AP378" s="733" t="str">
        <f t="shared" si="298"/>
        <v>1+15.4894447748964i</v>
      </c>
      <c r="AQ378" s="734">
        <f t="shared" si="299"/>
        <v>15.521691255612753</v>
      </c>
      <c r="AR378" s="735">
        <f t="shared" si="300"/>
        <v>1.506325705449836</v>
      </c>
      <c r="AS378" s="732" t="str">
        <f t="shared" si="301"/>
        <v>0.00270736596922837-7.35848571750581i</v>
      </c>
      <c r="AT378" s="337">
        <f t="shared" si="302"/>
        <v>7.3584862155587061</v>
      </c>
      <c r="AU378" s="730">
        <f t="shared" si="303"/>
        <v>-1.5704284024758177</v>
      </c>
      <c r="AV378" s="732" t="str">
        <f t="shared" si="304"/>
        <v>-0.332370420725452+0.0615569884519578i</v>
      </c>
      <c r="AW378" s="337">
        <f t="shared" si="305"/>
        <v>-9.4210821515743106</v>
      </c>
      <c r="AX378" s="730">
        <f t="shared" si="306"/>
        <v>169.50737121490022</v>
      </c>
      <c r="AY378" s="360">
        <f t="shared" si="307"/>
        <v>-10.492628785099782</v>
      </c>
      <c r="BB378" s="337">
        <f t="shared" si="308"/>
        <v>-22.664230386749821</v>
      </c>
      <c r="BC378" s="730">
        <f t="shared" si="309"/>
        <v>-89.978919489336562</v>
      </c>
      <c r="BD378" s="351"/>
      <c r="BE378" s="337">
        <f t="shared" si="270"/>
        <v>32.438013133508782</v>
      </c>
      <c r="BF378" s="730">
        <f t="shared" si="271"/>
        <v>-89.259461953730209</v>
      </c>
      <c r="BI378" s="351"/>
      <c r="BJ378" s="351"/>
      <c r="BL378" s="405">
        <f t="shared" si="272"/>
        <v>0</v>
      </c>
      <c r="BM378" s="405">
        <f t="shared" si="310"/>
        <v>0</v>
      </c>
      <c r="BN378" s="405">
        <f t="shared" si="273"/>
        <v>0</v>
      </c>
      <c r="BO378" s="405">
        <f t="shared" si="274"/>
        <v>0</v>
      </c>
    </row>
    <row r="379" spans="4:67" ht="13.5" thickBot="1" x14ac:dyDescent="0.25">
      <c r="D379" s="345">
        <v>31991</v>
      </c>
      <c r="E379" s="340" t="str">
        <f t="shared" si="261"/>
        <v>0.530654206267633i</v>
      </c>
      <c r="F379" s="728" t="str">
        <f t="shared" si="275"/>
        <v>0.005-0.0815572325884152i</v>
      </c>
      <c r="G379" s="337" t="str">
        <f t="shared" si="276"/>
        <v>0.005-0.127563876612649i</v>
      </c>
      <c r="H379" s="338" t="str">
        <f t="shared" si="277"/>
        <v>0.0180481924493565-0.125157232592659i</v>
      </c>
      <c r="I379" s="338" t="str">
        <f t="shared" si="278"/>
        <v>0.0280481924493565-0.125157232592659i</v>
      </c>
      <c r="J379" s="337" t="str">
        <f t="shared" si="279"/>
        <v>0.00615021575725292-0.0496844285734395i</v>
      </c>
      <c r="K379" s="338" t="str">
        <f t="shared" si="262"/>
        <v>0.988628621322222-0.167504484301652i</v>
      </c>
      <c r="L379" s="732"/>
      <c r="M379" s="732" t="str">
        <f t="shared" si="263"/>
        <v>0.531635246053741-41.5758562302988i</v>
      </c>
      <c r="N379" s="337">
        <f t="shared" si="264"/>
        <v>0</v>
      </c>
      <c r="O379" s="730" t="str">
        <f t="shared" si="265"/>
        <v>-1.37000558262178-16.1714729993728i</v>
      </c>
      <c r="P379" s="731" t="str">
        <f t="shared" si="266"/>
        <v>-2.06240298778648-0.282114479518545i</v>
      </c>
      <c r="Q379" s="729" t="str">
        <f t="shared" si="267"/>
        <v>-2.04870293196026-0.120399749524816i</v>
      </c>
      <c r="R379" s="730"/>
      <c r="S379" s="405" t="str">
        <f t="shared" si="280"/>
        <v>39.5575589307414-5.42592194051662i</v>
      </c>
      <c r="T379" s="405" t="str">
        <f t="shared" si="281"/>
        <v>15.1615011133373-3.60785390135618i</v>
      </c>
      <c r="U379" s="405" t="str">
        <f t="shared" si="282"/>
        <v>-0.177911319977724-1.96268676283666i</v>
      </c>
      <c r="V379" s="731" t="str">
        <f t="shared" si="268"/>
        <v>6000</v>
      </c>
      <c r="W379" s="733" t="str">
        <f>IMSUM(COMPLEX(1,0),IMDIV(COMPLEX(0,2*PI()*D379),COMPLEX(2*PI()*'Stability Calculations'!EA_Pole1,0)))</f>
        <v>1+203015.434973602i</v>
      </c>
      <c r="X379" s="734">
        <f t="shared" si="283"/>
        <v>203015.43497606486</v>
      </c>
      <c r="Y379" s="735">
        <f t="shared" si="284"/>
        <v>1.5707914010610473</v>
      </c>
      <c r="Z379" s="340" t="str">
        <f>IMSUM(COMPLEX(1,0),IMDIV(COMPLEX(0,2*PI()*D379),COMPLEX(2*PI()*'Stability Calculations'!EA_Zero1,0)))</f>
        <v>1+2010.05381161982i</v>
      </c>
      <c r="AA379" s="734">
        <f t="shared" si="285"/>
        <v>2010.0540603693642</v>
      </c>
      <c r="AB379" s="735">
        <f t="shared" si="286"/>
        <v>1.5702988277171519</v>
      </c>
      <c r="AC379" s="733" t="str">
        <f>IMSUM(COMPLEX(1,0),IMDIV(COMPLEX(0,2*PI()*D379),COMPLEX(2*PI()*'Stability Calculations'!EA_Pole2,0)))</f>
        <v>1+20.248188885429i</v>
      </c>
      <c r="AD379" s="734">
        <f t="shared" si="287"/>
        <v>20.27286741287503</v>
      </c>
      <c r="AE379" s="735">
        <f t="shared" si="288"/>
        <v>1.5214492882139998</v>
      </c>
      <c r="AF379" s="732" t="str">
        <f t="shared" si="289"/>
        <v>0.1431021771113-2.92682169730897i</v>
      </c>
      <c r="AG379" s="337">
        <f t="shared" si="290"/>
        <v>2.9303179829043389</v>
      </c>
      <c r="AH379" s="730">
        <f t="shared" si="291"/>
        <v>-1.5219418615578955</v>
      </c>
      <c r="AI379" s="731" t="str">
        <f t="shared" si="269"/>
        <v>10000</v>
      </c>
      <c r="AJ379" s="733" t="str">
        <f t="shared" si="292"/>
        <v>1+189266.264891361i</v>
      </c>
      <c r="AK379" s="734">
        <f t="shared" si="293"/>
        <v>189266.26489400282</v>
      </c>
      <c r="AL379" s="735">
        <f t="shared" si="294"/>
        <v>1.5707910432331347</v>
      </c>
      <c r="AM379" s="340" t="str">
        <f t="shared" si="295"/>
        <v>1+321.206599096847i</v>
      </c>
      <c r="AN379" s="734">
        <f t="shared" si="296"/>
        <v>321.20815572360959</v>
      </c>
      <c r="AO379" s="735">
        <f t="shared" si="297"/>
        <v>1.5676830757843869</v>
      </c>
      <c r="AP379" s="733" t="str">
        <f t="shared" si="298"/>
        <v>1+15.5790495109162i</v>
      </c>
      <c r="AQ379" s="734">
        <f t="shared" si="299"/>
        <v>15.611110904211085</v>
      </c>
      <c r="AR379" s="735">
        <f t="shared" si="300"/>
        <v>1.5066954979722265</v>
      </c>
      <c r="AS379" s="732" t="str">
        <f t="shared" si="301"/>
        <v>0.00267631206829672-7.31616253259099i</v>
      </c>
      <c r="AT379" s="337">
        <f t="shared" si="302"/>
        <v>7.3161630220993912</v>
      </c>
      <c r="AU379" s="730">
        <f t="shared" si="303"/>
        <v>-1.5704305186356331</v>
      </c>
      <c r="AV379" s="732" t="str">
        <f t="shared" si="304"/>
        <v>-0.328454516971372+0.0612617381286139i</v>
      </c>
      <c r="AW379" s="337">
        <f t="shared" si="305"/>
        <v>-9.5219818279478758</v>
      </c>
      <c r="AX379" s="730">
        <f t="shared" si="306"/>
        <v>169.4348666733143</v>
      </c>
      <c r="AY379" s="360">
        <f t="shared" si="307"/>
        <v>-10.565133326685697</v>
      </c>
      <c r="BB379" s="337">
        <f t="shared" si="308"/>
        <v>-22.714332518780122</v>
      </c>
      <c r="BC379" s="730">
        <f t="shared" si="309"/>
        <v>-89.979040736362748</v>
      </c>
      <c r="BD379" s="351"/>
      <c r="BE379" s="337">
        <f t="shared" si="270"/>
        <v>32.377534098641043</v>
      </c>
      <c r="BF379" s="730">
        <f t="shared" si="271"/>
        <v>-89.267392218359959</v>
      </c>
      <c r="BI379" s="351"/>
      <c r="BJ379" s="351"/>
      <c r="BL379" s="405">
        <f t="shared" si="272"/>
        <v>0</v>
      </c>
      <c r="BM379" s="405">
        <f t="shared" si="310"/>
        <v>0</v>
      </c>
      <c r="BN379" s="405">
        <f t="shared" si="273"/>
        <v>0</v>
      </c>
      <c r="BO379" s="405">
        <f t="shared" si="274"/>
        <v>0</v>
      </c>
    </row>
    <row r="380" spans="4:67" ht="13.5" thickBot="1" x14ac:dyDescent="0.25">
      <c r="D380" s="345">
        <v>32175</v>
      </c>
      <c r="E380" s="340" t="str">
        <f t="shared" si="261"/>
        <v>0.533706326362448i</v>
      </c>
      <c r="F380" s="728" t="str">
        <f t="shared" si="275"/>
        <v>0.005-0.0810908291448637i</v>
      </c>
      <c r="G380" s="337" t="str">
        <f t="shared" si="276"/>
        <v>0.005-0.126834373790684i</v>
      </c>
      <c r="H380" s="338" t="str">
        <f t="shared" si="277"/>
        <v>0.0179007371072451-0.124456801634878i</v>
      </c>
      <c r="I380" s="338" t="str">
        <f t="shared" si="278"/>
        <v>0.0279007371072451-0.124456801634878i</v>
      </c>
      <c r="J380" s="337" t="str">
        <f t="shared" si="279"/>
        <v>0.00612718082646271-0.0494016412585898i</v>
      </c>
      <c r="K380" s="338" t="str">
        <f t="shared" si="262"/>
        <v>0.9884974375-0.168467906048753i</v>
      </c>
      <c r="L380" s="732"/>
      <c r="M380" s="732" t="str">
        <f t="shared" si="263"/>
        <v>0.522376756642577-41.2897085620063i</v>
      </c>
      <c r="N380" s="337">
        <f t="shared" si="264"/>
        <v>0</v>
      </c>
      <c r="O380" s="730" t="str">
        <f t="shared" si="265"/>
        <v>-1.35997588623774-16.0588599198765i</v>
      </c>
      <c r="P380" s="731" t="str">
        <f t="shared" si="266"/>
        <v>-2.03657867320447-0.27879577976484i</v>
      </c>
      <c r="Q380" s="729" t="str">
        <f t="shared" si="267"/>
        <v>-2.02297891434209-0.118207180566075i</v>
      </c>
      <c r="R380" s="730"/>
      <c r="S380" s="405" t="str">
        <f t="shared" si="280"/>
        <v>39.5508452150874-5.47131021033487i</v>
      </c>
      <c r="T380" s="405" t="str">
        <f t="shared" si="281"/>
        <v>15.1565217460738-3.62241875516951i</v>
      </c>
      <c r="U380" s="405" t="str">
        <f t="shared" si="282"/>
        <v>-0.179521741213883-1.95117618625445i</v>
      </c>
      <c r="V380" s="731" t="str">
        <f t="shared" si="268"/>
        <v>6000</v>
      </c>
      <c r="W380" s="733" t="str">
        <f>IMSUM(COMPLEX(1,0),IMDIV(COMPLEX(0,2*PI()*D380),COMPLEX(2*PI()*'Stability Calculations'!EA_Pole1,0)))</f>
        <v>1+204183.102131088i</v>
      </c>
      <c r="X380" s="734">
        <f t="shared" si="283"/>
        <v>204183.1021335368</v>
      </c>
      <c r="Y380" s="735">
        <f t="shared" si="284"/>
        <v>1.5707914292299681</v>
      </c>
      <c r="Z380" s="340" t="str">
        <f>IMSUM(COMPLEX(1,0),IMDIV(COMPLEX(0,2*PI()*D380),COMPLEX(2*PI()*'Stability Calculations'!EA_Zero1,0)))</f>
        <v>1+2021.61487258503i</v>
      </c>
      <c r="AA380" s="734">
        <f t="shared" si="285"/>
        <v>2021.6151199120436</v>
      </c>
      <c r="AB380" s="735">
        <f t="shared" si="286"/>
        <v>1.5703016727774575</v>
      </c>
      <c r="AC380" s="733" t="str">
        <f>IMSUM(COMPLEX(1,0),IMDIV(COMPLEX(0,2*PI()*D380),COMPLEX(2*PI()*'Stability Calculations'!EA_Pole2,0)))</f>
        <v>1+20.3646487258503i</v>
      </c>
      <c r="AD380" s="734">
        <f t="shared" si="287"/>
        <v>20.389186293897957</v>
      </c>
      <c r="AE380" s="735">
        <f t="shared" si="288"/>
        <v>1.5217310363959862</v>
      </c>
      <c r="AF380" s="732" t="str">
        <f t="shared" si="289"/>
        <v>0.141474058730242-2.91016395498109i</v>
      </c>
      <c r="AG380" s="337">
        <f t="shared" si="290"/>
        <v>2.9136007197563618</v>
      </c>
      <c r="AH380" s="730">
        <f t="shared" si="291"/>
        <v>-1.5222207928484968</v>
      </c>
      <c r="AI380" s="731" t="str">
        <f t="shared" si="269"/>
        <v>10000</v>
      </c>
      <c r="AJ380" s="733" t="str">
        <f t="shared" si="292"/>
        <v>1+190354.852079633i</v>
      </c>
      <c r="AK380" s="734">
        <f t="shared" si="293"/>
        <v>190354.85208225966</v>
      </c>
      <c r="AL380" s="735">
        <f t="shared" si="294"/>
        <v>1.5707910734483752</v>
      </c>
      <c r="AM380" s="340" t="str">
        <f t="shared" si="295"/>
        <v>1+323.054056639088i</v>
      </c>
      <c r="AN380" s="734">
        <f t="shared" si="296"/>
        <v>323.05560436397178</v>
      </c>
      <c r="AO380" s="735">
        <f t="shared" si="297"/>
        <v>1.5677008794989544</v>
      </c>
      <c r="AP380" s="733" t="str">
        <f t="shared" si="298"/>
        <v>1+15.668654246936i</v>
      </c>
      <c r="AQ380" s="734">
        <f t="shared" si="299"/>
        <v>15.700532663257817</v>
      </c>
      <c r="AR380" s="735">
        <f t="shared" si="300"/>
        <v>1.5070610782669416</v>
      </c>
      <c r="AS380" s="732" t="str">
        <f t="shared" si="301"/>
        <v>0.00264578940866039-7.27432341685509i</v>
      </c>
      <c r="AT380" s="337">
        <f t="shared" si="302"/>
        <v>7.2743238980133347</v>
      </c>
      <c r="AU380" s="730">
        <f t="shared" si="303"/>
        <v>-1.5704326105919766</v>
      </c>
      <c r="AV380" s="732" t="str">
        <f t="shared" si="304"/>
        <v>-0.324605741074829+0.0609686408601059i</v>
      </c>
      <c r="AW380" s="337">
        <f t="shared" si="305"/>
        <v>-9.6223073474445417</v>
      </c>
      <c r="AX380" s="730">
        <f t="shared" si="306"/>
        <v>169.36243080210082</v>
      </c>
      <c r="AY380" s="360">
        <f t="shared" si="307"/>
        <v>-10.637569197899182</v>
      </c>
      <c r="BB380" s="337">
        <f t="shared" si="308"/>
        <v>-22.764147307341396</v>
      </c>
      <c r="BC380" s="730">
        <f t="shared" si="309"/>
        <v>-89.979160596632155</v>
      </c>
      <c r="BD380" s="351"/>
      <c r="BE380" s="337">
        <f t="shared" si="270"/>
        <v>32.317531427606745</v>
      </c>
      <c r="BF380" s="730">
        <f t="shared" si="271"/>
        <v>-89.275161104351298</v>
      </c>
      <c r="BI380" s="351"/>
      <c r="BJ380" s="351"/>
      <c r="BL380" s="405">
        <f t="shared" si="272"/>
        <v>0</v>
      </c>
      <c r="BM380" s="405">
        <f t="shared" si="310"/>
        <v>0</v>
      </c>
      <c r="BN380" s="405">
        <f t="shared" si="273"/>
        <v>0</v>
      </c>
      <c r="BO380" s="405">
        <f t="shared" si="274"/>
        <v>0</v>
      </c>
    </row>
    <row r="381" spans="4:67" ht="13.5" thickBot="1" x14ac:dyDescent="0.25">
      <c r="D381" s="345">
        <v>32359</v>
      </c>
      <c r="E381" s="340" t="str">
        <f t="shared" si="261"/>
        <v>0.536758446457264i</v>
      </c>
      <c r="F381" s="728" t="str">
        <f t="shared" si="275"/>
        <v>0.005-0.0806297298351613i</v>
      </c>
      <c r="G381" s="337" t="str">
        <f t="shared" si="276"/>
        <v>0.005-0.126113167178073i</v>
      </c>
      <c r="H381" s="338" t="str">
        <f t="shared" si="277"/>
        <v>0.017755754627908-0.123764080994456i</v>
      </c>
      <c r="I381" s="338" t="str">
        <f t="shared" si="278"/>
        <v>0.027755754627908-0.123764080994456i</v>
      </c>
      <c r="J381" s="337" t="str">
        <f t="shared" si="279"/>
        <v>0.00610453598107495-0.0491220564981947i</v>
      </c>
      <c r="K381" s="338" t="str">
        <f t="shared" si="262"/>
        <v>0.988365501322222-0.169431327795854i</v>
      </c>
      <c r="L381" s="732"/>
      <c r="M381" s="732" t="str">
        <f t="shared" si="263"/>
        <v>0.513360421762202-41.0077397515648i</v>
      </c>
      <c r="N381" s="337">
        <f t="shared" si="264"/>
        <v>0</v>
      </c>
      <c r="O381" s="730" t="str">
        <f t="shared" si="265"/>
        <v>-1.35011286247598-15.9479007526527i</v>
      </c>
      <c r="P381" s="731" t="str">
        <f t="shared" si="266"/>
        <v>-2.01125068177373-0.275550542457725i</v>
      </c>
      <c r="Q381" s="729" t="str">
        <f t="shared" si="267"/>
        <v>-1.99774955314897-0.116071534931198i</v>
      </c>
      <c r="R381" s="730"/>
      <c r="S381" s="405" t="str">
        <f t="shared" si="280"/>
        <v>39.5440688274598-5.51660985162137i</v>
      </c>
      <c r="T381" s="405" t="str">
        <f t="shared" si="281"/>
        <v>15.1515237534026-3.63700842551432i</v>
      </c>
      <c r="U381" s="405" t="str">
        <f t="shared" si="282"/>
        <v>-0.181104267348537-1.93979224218862i</v>
      </c>
      <c r="V381" s="731" t="str">
        <f t="shared" si="268"/>
        <v>6000</v>
      </c>
      <c r="W381" s="733" t="str">
        <f>IMSUM(COMPLEX(1,0),IMDIV(COMPLEX(0,2*PI()*D381),COMPLEX(2*PI()*'Stability Calculations'!EA_Pole1,0)))</f>
        <v>1+205350.769288574i</v>
      </c>
      <c r="X381" s="734">
        <f t="shared" si="283"/>
        <v>205350.76929100888</v>
      </c>
      <c r="Y381" s="735">
        <f t="shared" si="284"/>
        <v>1.5707914570785402</v>
      </c>
      <c r="Z381" s="340" t="str">
        <f>IMSUM(COMPLEX(1,0),IMDIV(COMPLEX(0,2*PI()*D381),COMPLEX(2*PI()*'Stability Calculations'!EA_Zero1,0)))</f>
        <v>1+2033.17593355024i</v>
      </c>
      <c r="AA381" s="734">
        <f t="shared" si="285"/>
        <v>2033.1761794709009</v>
      </c>
      <c r="AB381" s="735">
        <f t="shared" si="286"/>
        <v>1.5703044854825623</v>
      </c>
      <c r="AC381" s="733" t="str">
        <f>IMSUM(COMPLEX(1,0),IMDIV(COMPLEX(0,2*PI()*D381),COMPLEX(2*PI()*'Stability Calculations'!EA_Pole2,0)))</f>
        <v>1+20.4811085662716i</v>
      </c>
      <c r="AD381" s="734">
        <f t="shared" si="287"/>
        <v>20.505506775093465</v>
      </c>
      <c r="AE381" s="735">
        <f t="shared" si="288"/>
        <v>1.5220095880844751</v>
      </c>
      <c r="AF381" s="732" t="str">
        <f t="shared" si="289"/>
        <v>0.139873546698176-2.89369430353184i</v>
      </c>
      <c r="AG381" s="337">
        <f t="shared" si="290"/>
        <v>2.8970728902391372</v>
      </c>
      <c r="AH381" s="730">
        <f t="shared" si="291"/>
        <v>-1.5224965596804534</v>
      </c>
      <c r="AI381" s="731" t="str">
        <f t="shared" si="269"/>
        <v>10000</v>
      </c>
      <c r="AJ381" s="733" t="str">
        <f t="shared" si="292"/>
        <v>1+191443.439267905i</v>
      </c>
      <c r="AK381" s="734">
        <f t="shared" si="293"/>
        <v>191443.43927051674</v>
      </c>
      <c r="AL381" s="735">
        <f t="shared" si="294"/>
        <v>1.5707911033199955</v>
      </c>
      <c r="AM381" s="340" t="str">
        <f t="shared" si="295"/>
        <v>1+324.901514181328i</v>
      </c>
      <c r="AN381" s="734">
        <f t="shared" si="296"/>
        <v>324.90305310556823</v>
      </c>
      <c r="AO381" s="735">
        <f t="shared" si="297"/>
        <v>1.5677184807442075</v>
      </c>
      <c r="AP381" s="733" t="str">
        <f t="shared" si="298"/>
        <v>1+15.7582589829558i</v>
      </c>
      <c r="AQ381" s="734">
        <f t="shared" si="299"/>
        <v>15.789956496897231</v>
      </c>
      <c r="AR381" s="735">
        <f t="shared" si="300"/>
        <v>1.5074225178012082</v>
      </c>
      <c r="AS381" s="732" t="str">
        <f t="shared" si="301"/>
        <v>0.00261578594174738-7.23296011274855i</v>
      </c>
      <c r="AT381" s="337">
        <f t="shared" si="302"/>
        <v>7.2329605857454817</v>
      </c>
      <c r="AU381" s="730">
        <f t="shared" si="303"/>
        <v>-1.5704346787577261</v>
      </c>
      <c r="AV381" s="732" t="str">
        <f t="shared" si="304"/>
        <v>-0.320822567145216+0.0606776869361471i</v>
      </c>
      <c r="AW381" s="337">
        <f t="shared" si="305"/>
        <v>-9.7220653249447277</v>
      </c>
      <c r="AX381" s="730">
        <f t="shared" si="306"/>
        <v>169.29006234964737</v>
      </c>
      <c r="AY381" s="360">
        <f t="shared" si="307"/>
        <v>-10.709937650352629</v>
      </c>
      <c r="BB381" s="337">
        <f t="shared" si="308"/>
        <v>-22.813678029565722</v>
      </c>
      <c r="BC381" s="730">
        <f t="shared" si="309"/>
        <v>-89.97927909380094</v>
      </c>
      <c r="BD381" s="351"/>
      <c r="BE381" s="337">
        <f t="shared" si="270"/>
        <v>32.257997208744243</v>
      </c>
      <c r="BF381" s="730">
        <f t="shared" si="271"/>
        <v>-89.282773219312418</v>
      </c>
      <c r="BI381" s="351"/>
      <c r="BJ381" s="351"/>
      <c r="BL381" s="405">
        <f t="shared" si="272"/>
        <v>0</v>
      </c>
      <c r="BM381" s="405">
        <f t="shared" si="310"/>
        <v>0</v>
      </c>
      <c r="BN381" s="405">
        <f t="shared" si="273"/>
        <v>0</v>
      </c>
      <c r="BO381" s="405">
        <f t="shared" si="274"/>
        <v>0</v>
      </c>
    </row>
    <row r="382" spans="4:67" ht="13.5" thickBot="1" x14ac:dyDescent="0.25">
      <c r="D382" s="345">
        <v>32547.5</v>
      </c>
      <c r="E382" s="340" t="str">
        <f t="shared" si="261"/>
        <v>0.539885210793529i</v>
      </c>
      <c r="F382" s="728" t="str">
        <f t="shared" si="275"/>
        <v>0.005-0.0801627598966429i</v>
      </c>
      <c r="G382" s="337" t="str">
        <f t="shared" si="276"/>
        <v>0.005-0.125382778299878i</v>
      </c>
      <c r="H382" s="338" t="str">
        <f t="shared" si="277"/>
        <v>0.0176097334278627-0.123062283461838i</v>
      </c>
      <c r="I382" s="338" t="str">
        <f t="shared" si="278"/>
        <v>0.0276097334278627-0.123062283461838i</v>
      </c>
      <c r="J382" s="337" t="str">
        <f t="shared" si="279"/>
        <v>0.00608173265797089-0.0488388986469189i</v>
      </c>
      <c r="K382" s="338" t="str">
        <f t="shared" si="262"/>
        <v>0.988229558263889-0.170418311487856i</v>
      </c>
      <c r="L382" s="732"/>
      <c r="M382" s="732" t="str">
        <f t="shared" si="263"/>
        <v>0.504365997450039-40.7231091776763i</v>
      </c>
      <c r="N382" s="337">
        <f t="shared" si="264"/>
        <v>0</v>
      </c>
      <c r="O382" s="730" t="str">
        <f t="shared" si="265"/>
        <v>-1.34017770543677-15.8359034022714i</v>
      </c>
      <c r="P382" s="731" t="str">
        <f t="shared" si="266"/>
        <v>-1.98580438255769-0.272299742850403i</v>
      </c>
      <c r="Q382" s="729" t="str">
        <f t="shared" si="267"/>
        <v>-1.97240260550333-0.113940708827688i</v>
      </c>
      <c r="R382" s="730"/>
      <c r="S382" s="405" t="str">
        <f t="shared" si="280"/>
        <v>39.537062132258-5.56292681667641i</v>
      </c>
      <c r="T382" s="405" t="str">
        <f t="shared" si="281"/>
        <v>15.1463840590126-3.65198004321644i</v>
      </c>
      <c r="U382" s="405" t="str">
        <f t="shared" si="282"/>
        <v>-0.182697217600037-1.92825900353701i</v>
      </c>
      <c r="V382" s="731" t="str">
        <f t="shared" si="268"/>
        <v>6000</v>
      </c>
      <c r="W382" s="733" t="str">
        <f>IMSUM(COMPLEX(1,0),IMDIV(COMPLEX(0,2*PI()*D382),COMPLEX(2*PI()*'Stability Calculations'!EA_Pole1,0)))</f>
        <v>1+206546.993523282i</v>
      </c>
      <c r="X382" s="734">
        <f t="shared" si="283"/>
        <v>206546.99352570277</v>
      </c>
      <c r="Y382" s="735">
        <f t="shared" si="284"/>
        <v>1.5707914852816751</v>
      </c>
      <c r="Z382" s="340" t="str">
        <f>IMSUM(COMPLEX(1,0),IMDIV(COMPLEX(0,2*PI()*D382),COMPLEX(2*PI()*'Stability Calculations'!EA_Zero1,0)))</f>
        <v>1+2045.01973785428i</v>
      </c>
      <c r="AA382" s="734">
        <f t="shared" si="285"/>
        <v>2045.0199823506832</v>
      </c>
      <c r="AB382" s="735">
        <f t="shared" si="286"/>
        <v>1.5703073339985021</v>
      </c>
      <c r="AC382" s="733" t="str">
        <f>IMSUM(COMPLEX(1,0),IMDIV(COMPLEX(0,2*PI()*D382),COMPLEX(2*PI()*'Stability Calculations'!EA_Pole2,0)))</f>
        <v>1+20.600416609312i</v>
      </c>
      <c r="AD382" s="734">
        <f t="shared" si="287"/>
        <v>20.624673681714764</v>
      </c>
      <c r="AE382" s="735">
        <f t="shared" si="288"/>
        <v>1.5222916939623243</v>
      </c>
      <c r="AF382" s="732" t="str">
        <f t="shared" si="289"/>
        <v>0.138261870852561-2.87701360542704i</v>
      </c>
      <c r="AG382" s="337">
        <f t="shared" si="290"/>
        <v>2.8803339443099207</v>
      </c>
      <c r="AH382" s="730">
        <f t="shared" si="291"/>
        <v>-1.5227758452454974</v>
      </c>
      <c r="AI382" s="731" t="str">
        <f t="shared" si="269"/>
        <v>10000</v>
      </c>
      <c r="AJ382" s="733" t="str">
        <f t="shared" si="292"/>
        <v>1+192558.649512412i</v>
      </c>
      <c r="AK382" s="734">
        <f t="shared" si="293"/>
        <v>192558.64951500861</v>
      </c>
      <c r="AL382" s="735">
        <f t="shared" si="294"/>
        <v>1.5707911335719356</v>
      </c>
      <c r="AM382" s="340" t="str">
        <f t="shared" si="295"/>
        <v>1+326.794154109114i</v>
      </c>
      <c r="AN382" s="734">
        <f t="shared" si="296"/>
        <v>326.79568412066175</v>
      </c>
      <c r="AO382" s="735">
        <f t="shared" si="297"/>
        <v>1.5677363060871152</v>
      </c>
      <c r="AP382" s="733" t="str">
        <f t="shared" si="298"/>
        <v>1+15.85005513915i</v>
      </c>
      <c r="AQ382" s="734">
        <f t="shared" si="299"/>
        <v>15.881569441150813</v>
      </c>
      <c r="AR382" s="735">
        <f t="shared" si="300"/>
        <v>1.5077885760136498</v>
      </c>
      <c r="AS382" s="732" t="str">
        <f t="shared" si="301"/>
        <v>0.0025855748500256-7.19107017872269i</v>
      </c>
      <c r="AT382" s="337">
        <f t="shared" si="302"/>
        <v>7.1910706435489908</v>
      </c>
      <c r="AU382" s="730">
        <f t="shared" si="303"/>
        <v>-1.570436773254972</v>
      </c>
      <c r="AV382" s="732" t="str">
        <f t="shared" si="304"/>
        <v>-0.317013348254348+0.0603818291679264i</v>
      </c>
      <c r="AW382" s="337">
        <f t="shared" si="305"/>
        <v>-9.8236813002014962</v>
      </c>
      <c r="AX382" s="730">
        <f t="shared" si="306"/>
        <v>169.21599265140873</v>
      </c>
      <c r="AY382" s="360">
        <f t="shared" si="307"/>
        <v>-10.784007348591274</v>
      </c>
      <c r="BB382" s="337">
        <f t="shared" si="308"/>
        <v>-22.864128896181594</v>
      </c>
      <c r="BC382" s="730">
        <f t="shared" si="309"/>
        <v>-89.979399099653335</v>
      </c>
      <c r="BD382" s="351"/>
      <c r="BE382" s="337">
        <f t="shared" si="270"/>
        <v>32.197484705492833</v>
      </c>
      <c r="BF382" s="730">
        <f t="shared" si="271"/>
        <v>-89.290413573443942</v>
      </c>
      <c r="BI382" s="351"/>
      <c r="BJ382" s="351"/>
      <c r="BL382" s="405">
        <f t="shared" si="272"/>
        <v>0</v>
      </c>
      <c r="BM382" s="405">
        <f t="shared" si="310"/>
        <v>0</v>
      </c>
      <c r="BN382" s="405">
        <f t="shared" si="273"/>
        <v>0</v>
      </c>
      <c r="BO382" s="405">
        <f t="shared" si="274"/>
        <v>0</v>
      </c>
    </row>
    <row r="383" spans="4:67" ht="13.5" thickBot="1" x14ac:dyDescent="0.25">
      <c r="D383" s="345">
        <v>32736</v>
      </c>
      <c r="E383" s="340" t="str">
        <f t="shared" si="261"/>
        <v>0.543011975129794i</v>
      </c>
      <c r="F383" s="728" t="str">
        <f t="shared" si="275"/>
        <v>0.005-0.0797011677583085i</v>
      </c>
      <c r="G383" s="337" t="str">
        <f t="shared" si="276"/>
        <v>0.005-0.124660800852739i</v>
      </c>
      <c r="H383" s="338" t="str">
        <f t="shared" si="277"/>
        <v>0.017466192750728-0.12236831497518i</v>
      </c>
      <c r="I383" s="338" t="str">
        <f t="shared" si="278"/>
        <v>0.027466192750728-0.12236831497518i</v>
      </c>
      <c r="J383" s="337" t="str">
        <f t="shared" si="279"/>
        <v>0.00605932035012688-0.0485589885522291i</v>
      </c>
      <c r="K383" s="338" t="str">
        <f t="shared" si="262"/>
        <v>0.9880928256-0.171405295179859i</v>
      </c>
      <c r="L383" s="732"/>
      <c r="M383" s="732" t="str">
        <f t="shared" si="263"/>
        <v>0.495608430488257-40.4426659209076i</v>
      </c>
      <c r="N383" s="337">
        <f t="shared" si="264"/>
        <v>0</v>
      </c>
      <c r="O383" s="730" t="str">
        <f t="shared" si="265"/>
        <v>-1.33040993970085-15.7255626652653i</v>
      </c>
      <c r="P383" s="731" t="str">
        <f t="shared" si="266"/>
        <v>-1.96085190122642-0.269121312730406i</v>
      </c>
      <c r="Q383" s="729" t="str">
        <f t="shared" si="267"/>
        <v>-1.94754780182941-0.111865686077753i</v>
      </c>
      <c r="R383" s="730"/>
      <c r="S383" s="405" t="str">
        <f t="shared" si="280"/>
        <v>39.5299904816962-5.60915349400329i</v>
      </c>
      <c r="T383" s="405" t="str">
        <f t="shared" si="281"/>
        <v>15.1412245089181-3.66697650018262i</v>
      </c>
      <c r="U383" s="405" t="str">
        <f t="shared" si="282"/>
        <v>-0.184262189626118-1.91685424818178i</v>
      </c>
      <c r="V383" s="731" t="str">
        <f t="shared" si="268"/>
        <v>6000</v>
      </c>
      <c r="W383" s="733" t="str">
        <f>IMSUM(COMPLEX(1,0),IMDIV(COMPLEX(0,2*PI()*D383),COMPLEX(2*PI()*'Stability Calculations'!EA_Pole1,0)))</f>
        <v>1+207743.217757989i</v>
      </c>
      <c r="X383" s="734">
        <f t="shared" si="283"/>
        <v>207743.21776039581</v>
      </c>
      <c r="Y383" s="735">
        <f t="shared" si="284"/>
        <v>1.5707915131600123</v>
      </c>
      <c r="Z383" s="340" t="str">
        <f>IMSUM(COMPLEX(1,0),IMDIV(COMPLEX(0,2*PI()*D383),COMPLEX(2*PI()*'Stability Calculations'!EA_Zero1,0)))</f>
        <v>1+2056.86354215831i</v>
      </c>
      <c r="AA383" s="734">
        <f t="shared" si="285"/>
        <v>2056.8637852468573</v>
      </c>
      <c r="AB383" s="735">
        <f t="shared" si="286"/>
        <v>1.5703101497098766</v>
      </c>
      <c r="AC383" s="733" t="str">
        <f>IMSUM(COMPLEX(1,0),IMDIV(COMPLEX(0,2*PI()*D383),COMPLEX(2*PI()*'Stability Calculations'!EA_Pole2,0)))</f>
        <v>1+20.7197246523523i</v>
      </c>
      <c r="AD383" s="734">
        <f t="shared" si="287"/>
        <v>20.743842210865751</v>
      </c>
      <c r="AE383" s="735">
        <f t="shared" si="288"/>
        <v>1.5225705585973794</v>
      </c>
      <c r="AF383" s="732" t="str">
        <f t="shared" si="289"/>
        <v>0.1366778694954-2.86052367281267i</v>
      </c>
      <c r="AG383" s="337">
        <f t="shared" si="290"/>
        <v>2.8637870945186359</v>
      </c>
      <c r="AH383" s="730">
        <f t="shared" si="291"/>
        <v>-1.5230519220475154</v>
      </c>
      <c r="AI383" s="731" t="str">
        <f t="shared" si="269"/>
        <v>10000</v>
      </c>
      <c r="AJ383" s="733" t="str">
        <f t="shared" si="292"/>
        <v>1+193673.859756919i</v>
      </c>
      <c r="AK383" s="734">
        <f t="shared" si="293"/>
        <v>193673.85975950063</v>
      </c>
      <c r="AL383" s="735">
        <f t="shared" si="294"/>
        <v>1.570791163475483</v>
      </c>
      <c r="AM383" s="340" t="str">
        <f t="shared" si="295"/>
        <v>1+328.686794036898i</v>
      </c>
      <c r="AN383" s="734">
        <f t="shared" si="296"/>
        <v>328.68831523839452</v>
      </c>
      <c r="AO383" s="735">
        <f t="shared" si="297"/>
        <v>1.5677539261486289</v>
      </c>
      <c r="AP383" s="733" t="str">
        <f t="shared" si="298"/>
        <v>1+15.9418512953441i</v>
      </c>
      <c r="AQ383" s="734">
        <f t="shared" si="299"/>
        <v>15.973184489101236</v>
      </c>
      <c r="AR383" s="735">
        <f t="shared" si="300"/>
        <v>1.5081504351814805</v>
      </c>
      <c r="AS383" s="732" t="str">
        <f t="shared" si="301"/>
        <v>0.00255588413752973-7.14966266463327i</v>
      </c>
      <c r="AT383" s="337">
        <f t="shared" si="302"/>
        <v>7.1496631214760491</v>
      </c>
      <c r="AU383" s="730">
        <f t="shared" si="303"/>
        <v>-1.5704388436312087</v>
      </c>
      <c r="AV383" s="732" t="str">
        <f t="shared" si="304"/>
        <v>-0.31326987447092+0.0600881984877016i</v>
      </c>
      <c r="AW383" s="337">
        <f t="shared" si="305"/>
        <v>-9.9247153273115778</v>
      </c>
      <c r="AX383" s="730">
        <f t="shared" si="306"/>
        <v>169.14199114498763</v>
      </c>
      <c r="AY383" s="360">
        <f t="shared" si="307"/>
        <v>-10.858008855012372</v>
      </c>
      <c r="BB383" s="337">
        <f t="shared" si="308"/>
        <v>-22.914288416931573</v>
      </c>
      <c r="BC383" s="730">
        <f t="shared" si="309"/>
        <v>-89.979517723473705</v>
      </c>
      <c r="BD383" s="351"/>
      <c r="BE383" s="337">
        <f t="shared" si="270"/>
        <v>32.137447671327834</v>
      </c>
      <c r="BF383" s="730">
        <f t="shared" si="271"/>
        <v>-89.297898658039045</v>
      </c>
      <c r="BI383" s="351"/>
      <c r="BJ383" s="351"/>
      <c r="BL383" s="405">
        <f t="shared" si="272"/>
        <v>0</v>
      </c>
      <c r="BM383" s="405">
        <f t="shared" si="310"/>
        <v>0</v>
      </c>
      <c r="BN383" s="405">
        <f t="shared" si="273"/>
        <v>0</v>
      </c>
      <c r="BO383" s="405">
        <f t="shared" si="274"/>
        <v>0</v>
      </c>
    </row>
    <row r="384" spans="4:67" ht="13.5" thickBot="1" x14ac:dyDescent="0.25">
      <c r="D384" s="345">
        <v>32924.5</v>
      </c>
      <c r="E384" s="340" t="str">
        <f t="shared" si="261"/>
        <v>0.546138739466059i</v>
      </c>
      <c r="F384" s="728" t="str">
        <f t="shared" si="275"/>
        <v>0.005-0.0792448610528934i</v>
      </c>
      <c r="G384" s="337" t="str">
        <f t="shared" si="276"/>
        <v>0.005-0.123947090364782i</v>
      </c>
      <c r="H384" s="338" t="str">
        <f t="shared" si="277"/>
        <v>0.0173250769221031-0.121682046714033i</v>
      </c>
      <c r="I384" s="338" t="str">
        <f t="shared" si="278"/>
        <v>0.0273250769221031-0.121682046714033i</v>
      </c>
      <c r="J384" s="337" t="str">
        <f t="shared" si="279"/>
        <v>0.00603729014689229-0.0482822707824051i</v>
      </c>
      <c r="K384" s="338" t="str">
        <f t="shared" si="262"/>
        <v>0.987955303330556-0.172392278871862i</v>
      </c>
      <c r="L384" s="732"/>
      <c r="M384" s="732" t="str">
        <f t="shared" si="263"/>
        <v>0.487079526640257-40.1663142239486i</v>
      </c>
      <c r="N384" s="337">
        <f t="shared" si="264"/>
        <v>0</v>
      </c>
      <c r="O384" s="730" t="str">
        <f t="shared" si="265"/>
        <v>-1.3208058984222-15.6168403458669i</v>
      </c>
      <c r="P384" s="731" t="str">
        <f t="shared" si="266"/>
        <v>-1.93638021926492-0.266012998699035i</v>
      </c>
      <c r="Q384" s="729" t="str">
        <f t="shared" si="267"/>
        <v>-1.9231721602807-0.109844595240367i</v>
      </c>
      <c r="R384" s="730"/>
      <c r="S384" s="405" t="str">
        <f t="shared" si="280"/>
        <v>39.5228542728793-5.65529121697445i</v>
      </c>
      <c r="T384" s="405" t="str">
        <f t="shared" si="281"/>
        <v>15.1360449542497-3.68199720486966i</v>
      </c>
      <c r="U384" s="405" t="str">
        <f t="shared" si="282"/>
        <v>-0.185799812755101-1.90557581399005i</v>
      </c>
      <c r="V384" s="731" t="str">
        <f t="shared" si="268"/>
        <v>6000</v>
      </c>
      <c r="W384" s="733" t="str">
        <f>IMSUM(COMPLEX(1,0),IMDIV(COMPLEX(0,2*PI()*D384),COMPLEX(2*PI()*'Stability Calculations'!EA_Pole1,0)))</f>
        <v>1+208939.441992696i</v>
      </c>
      <c r="X384" s="734">
        <f t="shared" si="283"/>
        <v>208939.44199508903</v>
      </c>
      <c r="Y384" s="735">
        <f t="shared" si="284"/>
        <v>1.5707915407191302</v>
      </c>
      <c r="Z384" s="340" t="str">
        <f>IMSUM(COMPLEX(1,0),IMDIV(COMPLEX(0,2*PI()*D384),COMPLEX(2*PI()*'Stability Calculations'!EA_Zero1,0)))</f>
        <v>1+2068.70734646234i</v>
      </c>
      <c r="AA384" s="734">
        <f t="shared" si="285"/>
        <v>2068.7075881591522</v>
      </c>
      <c r="AB384" s="735">
        <f t="shared" si="286"/>
        <v>1.5703129331801253</v>
      </c>
      <c r="AC384" s="733" t="str">
        <f>IMSUM(COMPLEX(1,0),IMDIV(COMPLEX(0,2*PI()*D384),COMPLEX(2*PI()*'Stability Calculations'!EA_Pole2,0)))</f>
        <v>1+20.8390326953926i</v>
      </c>
      <c r="AD384" s="734">
        <f t="shared" si="287"/>
        <v>20.863012334743075</v>
      </c>
      <c r="AE384" s="735">
        <f t="shared" si="288"/>
        <v>1.5228462374881075</v>
      </c>
      <c r="AF384" s="732" t="str">
        <f t="shared" si="289"/>
        <v>0.135120913108921-2.84422125937416i</v>
      </c>
      <c r="AG384" s="337">
        <f t="shared" si="290"/>
        <v>2.8474290567870728</v>
      </c>
      <c r="AH384" s="730">
        <f t="shared" si="291"/>
        <v>-1.5233248450271124</v>
      </c>
      <c r="AI384" s="731" t="str">
        <f t="shared" si="269"/>
        <v>10000</v>
      </c>
      <c r="AJ384" s="733" t="str">
        <f t="shared" si="292"/>
        <v>1+194789.070001425i</v>
      </c>
      <c r="AK384" s="734">
        <f t="shared" si="293"/>
        <v>194789.07000399189</v>
      </c>
      <c r="AL384" s="735">
        <f t="shared" si="294"/>
        <v>1.5707911930366216</v>
      </c>
      <c r="AM384" s="340" t="str">
        <f t="shared" si="295"/>
        <v>1+330.579433964682i</v>
      </c>
      <c r="AN384" s="734">
        <f t="shared" si="296"/>
        <v>330.5809464570055</v>
      </c>
      <c r="AO384" s="735">
        <f t="shared" si="297"/>
        <v>1.5677713444545485</v>
      </c>
      <c r="AP384" s="733" t="str">
        <f t="shared" si="298"/>
        <v>1+16.0336474515383i</v>
      </c>
      <c r="AQ384" s="734">
        <f t="shared" si="299"/>
        <v>16.064801604757548</v>
      </c>
      <c r="AR384" s="735">
        <f t="shared" si="300"/>
        <v>1.508508167050219</v>
      </c>
      <c r="AS384" s="732" t="str">
        <f t="shared" si="301"/>
        <v>0.00252670192130041-7.10872928460393i</v>
      </c>
      <c r="AT384" s="337">
        <f t="shared" si="302"/>
        <v>7.1087297336449717</v>
      </c>
      <c r="AU384" s="730">
        <f t="shared" si="303"/>
        <v>-1.5704408903007303</v>
      </c>
      <c r="AV384" s="732" t="str">
        <f t="shared" si="304"/>
        <v>-0.309590641226219+0.059796782775358i</v>
      </c>
      <c r="AW384" s="337">
        <f t="shared" si="305"/>
        <v>-10.025174157643246</v>
      </c>
      <c r="AX384" s="730">
        <f t="shared" si="306"/>
        <v>169.06805657853209</v>
      </c>
      <c r="AY384" s="360">
        <f t="shared" si="307"/>
        <v>-10.931943421467906</v>
      </c>
      <c r="BB384" s="337">
        <f t="shared" si="308"/>
        <v>-22.964159937457605</v>
      </c>
      <c r="BC384" s="730">
        <f t="shared" si="309"/>
        <v>-89.979634988999351</v>
      </c>
      <c r="BD384" s="351"/>
      <c r="BE384" s="337">
        <f t="shared" si="270"/>
        <v>32.077878227990048</v>
      </c>
      <c r="BF384" s="730">
        <f t="shared" si="271"/>
        <v>-89.305232908418262</v>
      </c>
      <c r="BI384" s="351"/>
      <c r="BJ384" s="351"/>
      <c r="BL384" s="405">
        <f t="shared" si="272"/>
        <v>0</v>
      </c>
      <c r="BM384" s="405">
        <f t="shared" si="310"/>
        <v>0</v>
      </c>
      <c r="BN384" s="405">
        <f t="shared" si="273"/>
        <v>0</v>
      </c>
      <c r="BO384" s="405">
        <f t="shared" si="274"/>
        <v>0</v>
      </c>
    </row>
    <row r="385" spans="4:67" ht="13.5" thickBot="1" x14ac:dyDescent="0.25">
      <c r="D385" s="345">
        <v>33113</v>
      </c>
      <c r="E385" s="340" t="str">
        <f t="shared" si="261"/>
        <v>0.549265503802323i</v>
      </c>
      <c r="F385" s="728" t="str">
        <f t="shared" si="275"/>
        <v>0.005-0.0787937495163829i</v>
      </c>
      <c r="G385" s="337" t="str">
        <f t="shared" si="276"/>
        <v>0.005-0.12324150565383i</v>
      </c>
      <c r="H385" s="338" t="str">
        <f t="shared" si="277"/>
        <v>0.0171863318154803-0.121003352635105i</v>
      </c>
      <c r="I385" s="338" t="str">
        <f t="shared" si="278"/>
        <v>0.0271863318154803-0.121003352635105i</v>
      </c>
      <c r="J385" s="337" t="str">
        <f t="shared" si="279"/>
        <v>0.00601563338973524-0.0480086911580187i</v>
      </c>
      <c r="K385" s="338" t="str">
        <f t="shared" si="262"/>
        <v>0.987816991455555-0.173379262563865i</v>
      </c>
      <c r="L385" s="732"/>
      <c r="M385" s="732" t="str">
        <f t="shared" si="263"/>
        <v>0.478771439330018-39.8939613030928i</v>
      </c>
      <c r="N385" s="337">
        <f t="shared" si="264"/>
        <v>0</v>
      </c>
      <c r="O385" s="730" t="str">
        <f t="shared" si="265"/>
        <v>-1.31136200908151-15.5096994441464i</v>
      </c>
      <c r="P385" s="731" t="str">
        <f t="shared" si="266"/>
        <v>-1.91237675381365-0.262972635829766i</v>
      </c>
      <c r="Q385" s="729" t="str">
        <f t="shared" si="267"/>
        <v>-1.89926313372284-0.107875641388301i</v>
      </c>
      <c r="R385" s="730"/>
      <c r="S385" s="405" t="str">
        <f t="shared" si="280"/>
        <v>39.5156538915739-5.70134128811907i</v>
      </c>
      <c r="T385" s="405" t="str">
        <f t="shared" si="281"/>
        <v>15.1308452506791-3.69704157787325i</v>
      </c>
      <c r="U385" s="405" t="str">
        <f t="shared" si="282"/>
        <v>-0.187310698627189-1.8944215868281i</v>
      </c>
      <c r="V385" s="731" t="str">
        <f t="shared" si="268"/>
        <v>6000</v>
      </c>
      <c r="W385" s="733" t="str">
        <f>IMSUM(COMPLEX(1,0),IMDIV(COMPLEX(0,2*PI()*D385),COMPLEX(2*PI()*'Stability Calculations'!EA_Pole1,0)))</f>
        <v>1+210135.666227404i</v>
      </c>
      <c r="X385" s="734">
        <f t="shared" si="283"/>
        <v>210135.66622978344</v>
      </c>
      <c r="Y385" s="735">
        <f t="shared" si="284"/>
        <v>1.5707915679644804</v>
      </c>
      <c r="Z385" s="340" t="str">
        <f>IMSUM(COMPLEX(1,0),IMDIV(COMPLEX(0,2*PI()*D385),COMPLEX(2*PI()*'Stability Calculations'!EA_Zero1,0)))</f>
        <v>1+2080.55115076638i</v>
      </c>
      <c r="AA385" s="734">
        <f t="shared" si="285"/>
        <v>2080.5513910873019</v>
      </c>
      <c r="AB385" s="735">
        <f t="shared" si="286"/>
        <v>1.5703156849598587</v>
      </c>
      <c r="AC385" s="733" t="str">
        <f>IMSUM(COMPLEX(1,0),IMDIV(COMPLEX(0,2*PI()*D385),COMPLEX(2*PI()*'Stability Calculations'!EA_Pole2,0)))</f>
        <v>1+20.958340738433i</v>
      </c>
      <c r="AD385" s="734">
        <f t="shared" si="287"/>
        <v>20.982184026174689</v>
      </c>
      <c r="AE385" s="735">
        <f t="shared" si="288"/>
        <v>1.5231187848740884</v>
      </c>
      <c r="AF385" s="732" t="str">
        <f t="shared" si="289"/>
        <v>0.133590389960307-2.82810319186863i</v>
      </c>
      <c r="AG385" s="337">
        <f t="shared" si="290"/>
        <v>2.8312566213869204</v>
      </c>
      <c r="AH385" s="730">
        <f t="shared" si="291"/>
        <v>-1.52359466787871</v>
      </c>
      <c r="AI385" s="731" t="str">
        <f t="shared" si="269"/>
        <v>10000</v>
      </c>
      <c r="AJ385" s="733" t="str">
        <f t="shared" si="292"/>
        <v>1+195904.280245933i</v>
      </c>
      <c r="AK385" s="734">
        <f t="shared" si="293"/>
        <v>195904.2802484853</v>
      </c>
      <c r="AL385" s="735">
        <f t="shared" si="294"/>
        <v>1.5707912222611993</v>
      </c>
      <c r="AM385" s="340" t="str">
        <f t="shared" si="295"/>
        <v>1+332.472073892467i</v>
      </c>
      <c r="AN385" s="734">
        <f t="shared" si="296"/>
        <v>332.47357777477305</v>
      </c>
      <c r="AO385" s="735">
        <f t="shared" si="297"/>
        <v>1.5677885644503911</v>
      </c>
      <c r="AP385" s="733" t="str">
        <f t="shared" si="298"/>
        <v>1+16.1254436077325i</v>
      </c>
      <c r="AQ385" s="734">
        <f t="shared" si="299"/>
        <v>16.15642075294404</v>
      </c>
      <c r="AR385" s="735">
        <f t="shared" si="300"/>
        <v>1.5088618417422575</v>
      </c>
      <c r="AS385" s="732" t="str">
        <f t="shared" si="301"/>
        <v>0.00249801665563905-7.06826194143183i</v>
      </c>
      <c r="AT385" s="337">
        <f t="shared" si="302"/>
        <v>7.068262382847772</v>
      </c>
      <c r="AU385" s="730">
        <f t="shared" si="303"/>
        <v>-1.5704429136683973</v>
      </c>
      <c r="AV385" s="732" t="str">
        <f t="shared" si="304"/>
        <v>-0.305974186764444+0.0595075694312715i</v>
      </c>
      <c r="AW385" s="337">
        <f t="shared" si="305"/>
        <v>-10.125064426359673</v>
      </c>
      <c r="AX385" s="730">
        <f t="shared" si="306"/>
        <v>168.99418772998456</v>
      </c>
      <c r="AY385" s="360">
        <f t="shared" si="307"/>
        <v>-11.00581227001544</v>
      </c>
      <c r="BB385" s="337">
        <f t="shared" si="308"/>
        <v>-23.013746746101464</v>
      </c>
      <c r="BC385" s="730">
        <f t="shared" si="309"/>
        <v>-89.979750919427062</v>
      </c>
      <c r="BD385" s="351"/>
      <c r="BE385" s="337">
        <f t="shared" si="270"/>
        <v>32.018768695169271</v>
      </c>
      <c r="BF385" s="730">
        <f t="shared" si="271"/>
        <v>-89.312420599876987</v>
      </c>
      <c r="BI385" s="351"/>
      <c r="BJ385" s="351"/>
      <c r="BL385" s="405">
        <f t="shared" si="272"/>
        <v>0</v>
      </c>
      <c r="BM385" s="405">
        <f t="shared" si="310"/>
        <v>0</v>
      </c>
      <c r="BN385" s="405">
        <f t="shared" si="273"/>
        <v>0</v>
      </c>
      <c r="BO385" s="405">
        <f t="shared" si="274"/>
        <v>0</v>
      </c>
    </row>
    <row r="386" spans="4:67" ht="13.5" thickBot="1" x14ac:dyDescent="0.25">
      <c r="D386" s="345">
        <v>33305.75</v>
      </c>
      <c r="E386" s="340" t="str">
        <f t="shared" si="261"/>
        <v>0.552462765477735i</v>
      </c>
      <c r="F386" s="728" t="str">
        <f t="shared" si="275"/>
        <v>0.005-0.0783377473179852i</v>
      </c>
      <c r="G386" s="337" t="str">
        <f t="shared" si="276"/>
        <v>0.005-0.12252827144608i</v>
      </c>
      <c r="H386" s="338" t="str">
        <f t="shared" si="277"/>
        <v>0.017046855181495-0.120317060213165i</v>
      </c>
      <c r="I386" s="338" t="str">
        <f t="shared" si="278"/>
        <v>0.027046855181495-0.120317060213165i</v>
      </c>
      <c r="J386" s="337" t="str">
        <f t="shared" si="279"/>
        <v>0.00599386575540573-0.0477321331952573i</v>
      </c>
      <c r="K386" s="338" t="str">
        <f t="shared" si="262"/>
        <v>0.987674744632639-0.17438849920383i</v>
      </c>
      <c r="L386" s="732"/>
      <c r="M386" s="732" t="str">
        <f t="shared" si="263"/>
        <v>0.470496546049282-39.6195091556737i</v>
      </c>
      <c r="N386" s="337">
        <f t="shared" si="264"/>
        <v>0</v>
      </c>
      <c r="O386" s="730" t="str">
        <f t="shared" si="265"/>
        <v>-1.30186717687606-15.4017408564696i</v>
      </c>
      <c r="P386" s="731" t="str">
        <f t="shared" si="266"/>
        <v>-1.88830359501393-0.25993182297811i</v>
      </c>
      <c r="Q386" s="729" t="str">
        <f t="shared" si="267"/>
        <v>-1.87528492324517-0.105914414413413i</v>
      </c>
      <c r="R386" s="730"/>
      <c r="S386" s="405" t="str">
        <f t="shared" si="280"/>
        <v>39.5082251987942-5.74834031061674i</v>
      </c>
      <c r="T386" s="405" t="str">
        <f t="shared" si="281"/>
        <v>15.1255073311937-3.71244903111985i</v>
      </c>
      <c r="U386" s="405" t="str">
        <f t="shared" si="282"/>
        <v>-0.188828620594052-1.88314215732409i</v>
      </c>
      <c r="V386" s="731" t="str">
        <f t="shared" si="268"/>
        <v>6000</v>
      </c>
      <c r="W386" s="733" t="str">
        <f>IMSUM(COMPLEX(1,0),IMDIV(COMPLEX(0,2*PI()*D386),COMPLEX(2*PI()*'Stability Calculations'!EA_Pole1,0)))</f>
        <v>1+211358.861035042i</v>
      </c>
      <c r="X386" s="734">
        <f t="shared" si="283"/>
        <v>211358.86103740765</v>
      </c>
      <c r="Y386" s="735">
        <f t="shared" si="284"/>
        <v>1.5707915955052072</v>
      </c>
      <c r="Z386" s="340" t="str">
        <f>IMSUM(COMPLEX(1,0),IMDIV(COMPLEX(0,2*PI()*D386),COMPLEX(2*PI()*'Stability Calculations'!EA_Zero1,0)))</f>
        <v>1+2092.66199044596i</v>
      </c>
      <c r="AA386" s="734">
        <f t="shared" si="285"/>
        <v>2092.6622293760756</v>
      </c>
      <c r="AB386" s="735">
        <f t="shared" si="286"/>
        <v>1.5703184665726302</v>
      </c>
      <c r="AC386" s="733" t="str">
        <f>IMSUM(COMPLEX(1,0),IMDIV(COMPLEX(0,2*PI()*D386),COMPLEX(2*PI()*'Stability Calculations'!EA_Pole2,0)))</f>
        <v>1+21.0803387506135i</v>
      </c>
      <c r="AD386" s="734">
        <f t="shared" si="287"/>
        <v>21.10404420580608</v>
      </c>
      <c r="AE386" s="735">
        <f t="shared" si="288"/>
        <v>1.5233942942482623</v>
      </c>
      <c r="AF386" s="732" t="str">
        <f t="shared" si="289"/>
        <v>0.132052073586245-2.81180911534114i</v>
      </c>
      <c r="AG386" s="337">
        <f t="shared" si="290"/>
        <v>2.8149082136463974</v>
      </c>
      <c r="AH386" s="730">
        <f t="shared" si="291"/>
        <v>-1.5238674231808393</v>
      </c>
      <c r="AI386" s="731" t="str">
        <f t="shared" si="269"/>
        <v>10000</v>
      </c>
      <c r="AJ386" s="733" t="str">
        <f t="shared" si="292"/>
        <v>1+197044.634487994i</v>
      </c>
      <c r="AK386" s="734">
        <f t="shared" si="293"/>
        <v>197044.63449053146</v>
      </c>
      <c r="AL386" s="735">
        <f t="shared" si="294"/>
        <v>1.5707912518026108</v>
      </c>
      <c r="AM386" s="340" t="str">
        <f t="shared" si="295"/>
        <v>1+334.407386073264i</v>
      </c>
      <c r="AN386" s="734">
        <f t="shared" si="296"/>
        <v>334.40888125220755</v>
      </c>
      <c r="AO386" s="735">
        <f t="shared" si="297"/>
        <v>1.5678059711361947</v>
      </c>
      <c r="AP386" s="733" t="str">
        <f t="shared" si="298"/>
        <v>1+16.2193094385357i</v>
      </c>
      <c r="AQ386" s="734">
        <f t="shared" si="299"/>
        <v>16.250107650811835</v>
      </c>
      <c r="AR386" s="735">
        <f t="shared" si="300"/>
        <v>1.5092193665160829</v>
      </c>
      <c r="AS386" s="732" t="str">
        <f t="shared" si="301"/>
        <v>0.00246918683602094-7.02735587710877i</v>
      </c>
      <c r="AT386" s="337">
        <f t="shared" si="302"/>
        <v>7.0273563109051747</v>
      </c>
      <c r="AU386" s="730">
        <f t="shared" si="303"/>
        <v>-1.5704449589721214</v>
      </c>
      <c r="AV386" s="732" t="str">
        <f t="shared" si="304"/>
        <v>-0.302339632501526+0.0592140991857633i</v>
      </c>
      <c r="AW386" s="337">
        <f t="shared" si="305"/>
        <v>-10.226625722126347</v>
      </c>
      <c r="AX386" s="730">
        <f t="shared" si="306"/>
        <v>168.91872011767197</v>
      </c>
      <c r="AY386" s="360">
        <f t="shared" si="307"/>
        <v>-11.081279882328033</v>
      </c>
      <c r="BB386" s="337">
        <f t="shared" si="308"/>
        <v>-23.064160513895228</v>
      </c>
      <c r="BC386" s="730">
        <f t="shared" si="309"/>
        <v>-89.979868106698291</v>
      </c>
      <c r="BD386" s="351"/>
      <c r="BE386" s="337">
        <f t="shared" si="270"/>
        <v>31.958794234240564</v>
      </c>
      <c r="BF386" s="730">
        <f t="shared" si="271"/>
        <v>-89.319623089121166</v>
      </c>
      <c r="BI386" s="351"/>
      <c r="BJ386" s="351"/>
      <c r="BL386" s="405">
        <f t="shared" si="272"/>
        <v>0</v>
      </c>
      <c r="BM386" s="405">
        <f t="shared" si="310"/>
        <v>0</v>
      </c>
      <c r="BN386" s="405">
        <f t="shared" si="273"/>
        <v>0</v>
      </c>
      <c r="BO386" s="405">
        <f t="shared" si="274"/>
        <v>0</v>
      </c>
    </row>
    <row r="387" spans="4:67" ht="13.5" thickBot="1" x14ac:dyDescent="0.25">
      <c r="D387" s="345">
        <v>33498.5</v>
      </c>
      <c r="E387" s="340" t="str">
        <f t="shared" si="261"/>
        <v>0.555660027153146i</v>
      </c>
      <c r="F387" s="728" t="str">
        <f t="shared" si="275"/>
        <v>0.005-0.0778869927828406i</v>
      </c>
      <c r="G387" s="337" t="str">
        <f t="shared" si="276"/>
        <v>0.005-0.121823245121879i</v>
      </c>
      <c r="H387" s="338" t="str">
        <f t="shared" si="277"/>
        <v>0.0169097476472051-0.119638429385303i</v>
      </c>
      <c r="I387" s="338" t="str">
        <f t="shared" si="278"/>
        <v>0.0269097476472051-0.119638429385303i</v>
      </c>
      <c r="J387" s="337" t="str">
        <f t="shared" si="279"/>
        <v>0.00597247105645659-0.0474587457613903i</v>
      </c>
      <c r="K387" s="338" t="str">
        <f t="shared" si="262"/>
        <v>0.987531672197222-0.175397735843796i</v>
      </c>
      <c r="L387" s="732"/>
      <c r="M387" s="732" t="str">
        <f t="shared" si="263"/>
        <v>0.462436983995115-39.3490509385049i</v>
      </c>
      <c r="N387" s="337">
        <f t="shared" si="264"/>
        <v>0</v>
      </c>
      <c r="O387" s="730" t="str">
        <f t="shared" si="265"/>
        <v>-1.29253253546388-15.2953611810773i</v>
      </c>
      <c r="P387" s="731" t="str">
        <f t="shared" si="266"/>
        <v>-1.86469471294015-0.256957747083345i</v>
      </c>
      <c r="Q387" s="729" t="str">
        <f t="shared" si="267"/>
        <v>-1.85176938758551-0.104004135272573i</v>
      </c>
      <c r="R387" s="730"/>
      <c r="S387" s="405" t="str">
        <f t="shared" si="280"/>
        <v>39.5007301883292-5.79525034371701i</v>
      </c>
      <c r="T387" s="405" t="str">
        <f t="shared" si="281"/>
        <v>15.1201480526656-3.72788004410042i</v>
      </c>
      <c r="U387" s="405" t="str">
        <f t="shared" si="282"/>
        <v>-0.190319825454032-1.87198827589895i</v>
      </c>
      <c r="V387" s="731" t="str">
        <f t="shared" si="268"/>
        <v>6000</v>
      </c>
      <c r="W387" s="733" t="str">
        <f>IMSUM(COMPLEX(1,0),IMDIV(COMPLEX(0,2*PI()*D387),COMPLEX(2*PI()*'Stability Calculations'!EA_Pole1,0)))</f>
        <v>1+212582.055842681i</v>
      </c>
      <c r="X387" s="734">
        <f t="shared" si="283"/>
        <v>212582.05584503303</v>
      </c>
      <c r="Y387" s="735">
        <f t="shared" si="284"/>
        <v>1.570791622728996</v>
      </c>
      <c r="Z387" s="340" t="str">
        <f>IMSUM(COMPLEX(1,0),IMDIV(COMPLEX(0,2*PI()*D387),COMPLEX(2*PI()*'Stability Calculations'!EA_Zero1,0)))</f>
        <v>1+2104.77283012555i</v>
      </c>
      <c r="AA387" s="734">
        <f t="shared" si="285"/>
        <v>2104.7730676808646</v>
      </c>
      <c r="AB387" s="735">
        <f t="shared" si="286"/>
        <v>1.5703212161746702</v>
      </c>
      <c r="AC387" s="733" t="str">
        <f>IMSUM(COMPLEX(1,0),IMDIV(COMPLEX(0,2*PI()*D387),COMPLEX(2*PI()*'Stability Calculations'!EA_Pole2,0)))</f>
        <v>1+21.202336762794i</v>
      </c>
      <c r="AD387" s="734">
        <f t="shared" si="287"/>
        <v>21.225905968955153</v>
      </c>
      <c r="AE387" s="735">
        <f t="shared" si="288"/>
        <v>1.5236666401446701</v>
      </c>
      <c r="AF387" s="732" t="str">
        <f t="shared" si="289"/>
        <v>0.130540156521233-2.79570130557542i</v>
      </c>
      <c r="AG387" s="337">
        <f t="shared" si="290"/>
        <v>2.7987473130778877</v>
      </c>
      <c r="AH387" s="730">
        <f t="shared" si="291"/>
        <v>-1.5241370466989956</v>
      </c>
      <c r="AI387" s="731" t="str">
        <f t="shared" si="269"/>
        <v>10000</v>
      </c>
      <c r="AJ387" s="733" t="str">
        <f t="shared" si="292"/>
        <v>1+198184.988730057i</v>
      </c>
      <c r="AK387" s="734">
        <f t="shared" si="293"/>
        <v>198184.98873257989</v>
      </c>
      <c r="AL387" s="735">
        <f t="shared" si="294"/>
        <v>1.5707912810040605</v>
      </c>
      <c r="AM387" s="340" t="str">
        <f t="shared" si="295"/>
        <v>1+336.342698254063i</v>
      </c>
      <c r="AN387" s="734">
        <f t="shared" si="296"/>
        <v>336.34418482980146</v>
      </c>
      <c r="AO387" s="735">
        <f t="shared" si="297"/>
        <v>1.5678231775080225</v>
      </c>
      <c r="AP387" s="733" t="str">
        <f t="shared" si="298"/>
        <v>1+16.3131752693391i</v>
      </c>
      <c r="AQ387" s="734">
        <f t="shared" si="299"/>
        <v>16.343796602019278</v>
      </c>
      <c r="AR387" s="735">
        <f t="shared" si="300"/>
        <v>1.5095727923946221</v>
      </c>
      <c r="AS387" s="732" t="str">
        <f t="shared" si="301"/>
        <v>0.00244085324256703-6.98692055869938i</v>
      </c>
      <c r="AT387" s="337">
        <f t="shared" si="302"/>
        <v>6.9869209850506113</v>
      </c>
      <c r="AU387" s="730">
        <f t="shared" si="303"/>
        <v>-1.5704469807385382</v>
      </c>
      <c r="AV387" s="732" t="str">
        <f t="shared" si="304"/>
        <v>-0.298767759335643+0.0589229037272722i</v>
      </c>
      <c r="AW387" s="337">
        <f t="shared" si="305"/>
        <v>-10.327606200560112</v>
      </c>
      <c r="AX387" s="730">
        <f t="shared" si="306"/>
        <v>168.84331872726062</v>
      </c>
      <c r="AY387" s="360">
        <f t="shared" si="307"/>
        <v>-11.156681272739377</v>
      </c>
      <c r="BB387" s="337">
        <f t="shared" si="308"/>
        <v>-23.114283362909546</v>
      </c>
      <c r="BC387" s="730">
        <f t="shared" si="309"/>
        <v>-89.979983945381122</v>
      </c>
      <c r="BD387" s="351"/>
      <c r="BE387" s="337">
        <f t="shared" si="270"/>
        <v>31.899285019606339</v>
      </c>
      <c r="BF387" s="730">
        <f t="shared" si="271"/>
        <v>-89.326680894774114</v>
      </c>
      <c r="BI387" s="351"/>
      <c r="BJ387" s="351"/>
      <c r="BL387" s="405">
        <f t="shared" si="272"/>
        <v>0</v>
      </c>
      <c r="BM387" s="405">
        <f t="shared" si="310"/>
        <v>0</v>
      </c>
      <c r="BN387" s="405">
        <f t="shared" si="273"/>
        <v>0</v>
      </c>
      <c r="BO387" s="405">
        <f t="shared" si="274"/>
        <v>0</v>
      </c>
    </row>
    <row r="388" spans="4:67" ht="13.5" thickBot="1" x14ac:dyDescent="0.25">
      <c r="D388" s="345">
        <v>33691.25</v>
      </c>
      <c r="E388" s="340" t="str">
        <f t="shared" si="261"/>
        <v>0.558857288828558i</v>
      </c>
      <c r="F388" s="728" t="str">
        <f t="shared" si="275"/>
        <v>0.005-0.0774413958442024i</v>
      </c>
      <c r="G388" s="337" t="str">
        <f t="shared" si="276"/>
        <v>0.005-0.121126285807599i</v>
      </c>
      <c r="H388" s="338" t="str">
        <f t="shared" si="277"/>
        <v>0.0167749560362301-0.118967333926323i</v>
      </c>
      <c r="I388" s="338" t="str">
        <f t="shared" si="278"/>
        <v>0.0267749560362301-0.118967333926323i</v>
      </c>
      <c r="J388" s="337" t="str">
        <f t="shared" si="279"/>
        <v>0.00595144079894665-0.0471884747663913i</v>
      </c>
      <c r="K388" s="338" t="str">
        <f t="shared" si="262"/>
        <v>0.987387774149305-0.176406972483762i</v>
      </c>
      <c r="L388" s="732"/>
      <c r="M388" s="732" t="str">
        <f t="shared" si="263"/>
        <v>0.454585382099398-39.0824963578506i</v>
      </c>
      <c r="N388" s="337">
        <f t="shared" si="264"/>
        <v>0</v>
      </c>
      <c r="O388" s="730" t="str">
        <f t="shared" si="265"/>
        <v>-1.28335455452783-15.1905244387774i</v>
      </c>
      <c r="P388" s="731" t="str">
        <f t="shared" si="266"/>
        <v>-1.84153795520038-0.254048354181164i</v>
      </c>
      <c r="Q388" s="729" t="str">
        <f t="shared" si="267"/>
        <v>-1.8287044096551-0.10214310979339i</v>
      </c>
      <c r="R388" s="730"/>
      <c r="S388" s="405" t="str">
        <f t="shared" si="280"/>
        <v>39.4931692382763-5.84207268540952i</v>
      </c>
      <c r="T388" s="405" t="str">
        <f t="shared" si="281"/>
        <v>15.114767274558-3.74333403457142i</v>
      </c>
      <c r="U388" s="405" t="str">
        <f t="shared" si="282"/>
        <v>-0.191784913560067-1.86095782942986i</v>
      </c>
      <c r="V388" s="731" t="str">
        <f t="shared" si="268"/>
        <v>6000</v>
      </c>
      <c r="W388" s="733" t="str">
        <f>IMSUM(COMPLEX(1,0),IMDIV(COMPLEX(0,2*PI()*D388),COMPLEX(2*PI()*'Stability Calculations'!EA_Pole1,0)))</f>
        <v>1+213805.250650319i</v>
      </c>
      <c r="X388" s="734">
        <f t="shared" si="283"/>
        <v>213805.25065265759</v>
      </c>
      <c r="Y388" s="735">
        <f t="shared" si="284"/>
        <v>1.5707916496412864</v>
      </c>
      <c r="Z388" s="340" t="str">
        <f>IMSUM(COMPLEX(1,0),IMDIV(COMPLEX(0,2*PI()*D388),COMPLEX(2*PI()*'Stability Calculations'!EA_Zero1,0)))</f>
        <v>1+2116.88366980514i</v>
      </c>
      <c r="AA388" s="734">
        <f t="shared" si="285"/>
        <v>2116.8839060013838</v>
      </c>
      <c r="AB388" s="735">
        <f t="shared" si="286"/>
        <v>1.5703239343153859</v>
      </c>
      <c r="AC388" s="733" t="str">
        <f>IMSUM(COMPLEX(1,0),IMDIV(COMPLEX(0,2*PI()*D388),COMPLEX(2*PI()*'Stability Calculations'!EA_Pole2,0)))</f>
        <v>1+21.3243347749745i</v>
      </c>
      <c r="AD388" s="734">
        <f t="shared" si="287"/>
        <v>21.347769288503816</v>
      </c>
      <c r="AE388" s="735">
        <f t="shared" si="288"/>
        <v>1.523935876698512</v>
      </c>
      <c r="AF388" s="732" t="str">
        <f t="shared" si="289"/>
        <v>0.129054038584064-2.77977659378128i</v>
      </c>
      <c r="AG388" s="337">
        <f t="shared" si="290"/>
        <v>2.7827707157092751</v>
      </c>
      <c r="AH388" s="730">
        <f t="shared" si="291"/>
        <v>-1.5244035920244126</v>
      </c>
      <c r="AI388" s="731" t="str">
        <f t="shared" si="269"/>
        <v>10000</v>
      </c>
      <c r="AJ388" s="733" t="str">
        <f t="shared" si="292"/>
        <v>1+199325.342972119i</v>
      </c>
      <c r="AK388" s="734">
        <f t="shared" si="293"/>
        <v>199325.34297462742</v>
      </c>
      <c r="AL388" s="735">
        <f t="shared" si="294"/>
        <v>1.570791309871383</v>
      </c>
      <c r="AM388" s="340" t="str">
        <f t="shared" si="295"/>
        <v>1+338.278010434861i</v>
      </c>
      <c r="AN388" s="734">
        <f t="shared" si="296"/>
        <v>338.27948850583289</v>
      </c>
      <c r="AO388" s="735">
        <f t="shared" si="297"/>
        <v>1.567840187003865</v>
      </c>
      <c r="AP388" s="733" t="str">
        <f t="shared" si="298"/>
        <v>1+16.4070411001424i</v>
      </c>
      <c r="AQ388" s="734">
        <f t="shared" si="299"/>
        <v>16.43748757145574</v>
      </c>
      <c r="AR388" s="735">
        <f t="shared" si="300"/>
        <v>1.5099221893778996</v>
      </c>
      <c r="AS388" s="732" t="str">
        <f t="shared" si="301"/>
        <v>0.00241300455204737-6.94694790669662i</v>
      </c>
      <c r="AT388" s="337">
        <f t="shared" si="302"/>
        <v>6.9469483257720812</v>
      </c>
      <c r="AU388" s="730">
        <f t="shared" si="303"/>
        <v>-1.5704489793716234</v>
      </c>
      <c r="AV388" s="732" t="str">
        <f t="shared" si="304"/>
        <v>-0.295257133994883+0.058633968278722i</v>
      </c>
      <c r="AW388" s="337">
        <f t="shared" si="305"/>
        <v>-10.428012595937336</v>
      </c>
      <c r="AX388" s="730">
        <f t="shared" si="306"/>
        <v>168.76798234312221</v>
      </c>
      <c r="AY388" s="360">
        <f t="shared" si="307"/>
        <v>-11.232017656877787</v>
      </c>
      <c r="BB388" s="337">
        <f t="shared" si="308"/>
        <v>-23.164118631453469</v>
      </c>
      <c r="BC388" s="730">
        <f t="shared" si="309"/>
        <v>-89.980098458621711</v>
      </c>
      <c r="BD388" s="351"/>
      <c r="BE388" s="337">
        <f t="shared" si="270"/>
        <v>31.840233439853002</v>
      </c>
      <c r="BF388" s="730">
        <f t="shared" si="271"/>
        <v>-89.333598112619867</v>
      </c>
      <c r="BI388" s="351"/>
      <c r="BJ388" s="351"/>
      <c r="BL388" s="405">
        <f t="shared" si="272"/>
        <v>0</v>
      </c>
      <c r="BM388" s="405">
        <f t="shared" si="310"/>
        <v>0</v>
      </c>
      <c r="BN388" s="405">
        <f t="shared" si="273"/>
        <v>0</v>
      </c>
      <c r="BO388" s="405">
        <f t="shared" si="274"/>
        <v>0</v>
      </c>
    </row>
    <row r="389" spans="4:67" ht="13.5" thickBot="1" x14ac:dyDescent="0.25">
      <c r="D389" s="345">
        <v>33884</v>
      </c>
      <c r="E389" s="340" t="str">
        <f t="shared" si="261"/>
        <v>0.562054550503969i</v>
      </c>
      <c r="F389" s="728" t="str">
        <f t="shared" si="275"/>
        <v>0.005-0.077000868484712i</v>
      </c>
      <c r="G389" s="337" t="str">
        <f t="shared" si="276"/>
        <v>0.005-0.120437255835063i</v>
      </c>
      <c r="H389" s="338" t="str">
        <f t="shared" si="277"/>
        <v>0.0166424286509462-0.118303650337388i</v>
      </c>
      <c r="I389" s="338" t="str">
        <f t="shared" si="278"/>
        <v>0.0266424286509462-0.118303650337388i</v>
      </c>
      <c r="J389" s="337" t="str">
        <f t="shared" si="279"/>
        <v>0.00593076672912474-0.0469212673417703i</v>
      </c>
      <c r="K389" s="338" t="str">
        <f t="shared" si="262"/>
        <v>0.987243050488889-0.177416209123728i</v>
      </c>
      <c r="L389" s="732"/>
      <c r="M389" s="732" t="str">
        <f t="shared" si="263"/>
        <v>0.446934678977937-38.8197578924041i</v>
      </c>
      <c r="N389" s="337">
        <f t="shared" si="264"/>
        <v>0</v>
      </c>
      <c r="O389" s="730" t="str">
        <f t="shared" si="265"/>
        <v>-1.27432979586842-15.0871957638981i</v>
      </c>
      <c r="P389" s="731" t="str">
        <f t="shared" si="266"/>
        <v>-1.81882157288812-0.25120167009758i</v>
      </c>
      <c r="Q389" s="729" t="str">
        <f t="shared" si="267"/>
        <v>-1.80607827492944-0.100329712458599i</v>
      </c>
      <c r="R389" s="730"/>
      <c r="S389" s="405" t="str">
        <f t="shared" si="280"/>
        <v>39.485542715921-5.88880860351328i</v>
      </c>
      <c r="T389" s="405" t="str">
        <f t="shared" si="281"/>
        <v>15.109364860675-3.75881043215841i</v>
      </c>
      <c r="U389" s="405" t="str">
        <f t="shared" si="282"/>
        <v>-0.193224468395697-1.85004875172695i</v>
      </c>
      <c r="V389" s="731" t="str">
        <f t="shared" si="268"/>
        <v>6000</v>
      </c>
      <c r="W389" s="733" t="str">
        <f>IMSUM(COMPLEX(1,0),IMDIV(COMPLEX(0,2*PI()*D389),COMPLEX(2*PI()*'Stability Calculations'!EA_Pole1,0)))</f>
        <v>1+215028.445457958i</v>
      </c>
      <c r="X389" s="734">
        <f t="shared" si="283"/>
        <v>215028.44546028328</v>
      </c>
      <c r="Y389" s="735">
        <f t="shared" si="284"/>
        <v>1.5707916762473941</v>
      </c>
      <c r="Z389" s="340" t="str">
        <f>IMSUM(COMPLEX(1,0),IMDIV(COMPLEX(0,2*PI()*D389),COMPLEX(2*PI()*'Stability Calculations'!EA_Zero1,0)))</f>
        <v>1+2128.99450948473i</v>
      </c>
      <c r="AA389" s="734">
        <f t="shared" si="285"/>
        <v>2128.9947443373658</v>
      </c>
      <c r="AB389" s="735">
        <f t="shared" si="286"/>
        <v>1.5703266215316825</v>
      </c>
      <c r="AC389" s="733" t="str">
        <f>IMSUM(COMPLEX(1,0),IMDIV(COMPLEX(0,2*PI()*D389),COMPLEX(2*PI()*'Stability Calculations'!EA_Pole2,0)))</f>
        <v>1+21.446332787155i</v>
      </c>
      <c r="AD389" s="734">
        <f t="shared" si="287"/>
        <v>21.469634137949338</v>
      </c>
      <c r="AE389" s="735">
        <f t="shared" si="288"/>
        <v>1.5242020568176968</v>
      </c>
      <c r="AF389" s="732" t="str">
        <f t="shared" si="289"/>
        <v>0.127593136541002-2.76403188248123i</v>
      </c>
      <c r="AG389" s="337">
        <f t="shared" si="290"/>
        <v>2.7669752900712909</v>
      </c>
      <c r="AH389" s="730">
        <f t="shared" si="291"/>
        <v>-1.5246671115334085</v>
      </c>
      <c r="AI389" s="731" t="str">
        <f t="shared" si="269"/>
        <v>10000</v>
      </c>
      <c r="AJ389" s="733" t="str">
        <f t="shared" si="292"/>
        <v>1+200465.697214181i</v>
      </c>
      <c r="AK389" s="734">
        <f t="shared" si="293"/>
        <v>200465.69721667521</v>
      </c>
      <c r="AL389" s="735">
        <f t="shared" si="294"/>
        <v>1.5707913384102807</v>
      </c>
      <c r="AM389" s="340" t="str">
        <f t="shared" si="295"/>
        <v>1+340.21332261566i</v>
      </c>
      <c r="AN389" s="734">
        <f t="shared" si="296"/>
        <v>340.2147922786238</v>
      </c>
      <c r="AO389" s="735">
        <f t="shared" si="297"/>
        <v>1.5678570029834855</v>
      </c>
      <c r="AP389" s="733" t="str">
        <f t="shared" si="298"/>
        <v>1+16.5009069309457i</v>
      </c>
      <c r="AQ389" s="734">
        <f t="shared" si="299"/>
        <v>16.531180524806203</v>
      </c>
      <c r="AR389" s="735">
        <f t="shared" si="300"/>
        <v>1.510267625882985</v>
      </c>
      <c r="AS389" s="732" t="str">
        <f t="shared" si="301"/>
        <v>0.00238562976237569-6.90743002543525i</v>
      </c>
      <c r="AT389" s="337">
        <f t="shared" si="302"/>
        <v>6.9074304373995536</v>
      </c>
      <c r="AU389" s="730">
        <f t="shared" si="303"/>
        <v>-1.5704509552661605</v>
      </c>
      <c r="AV389" s="732" t="str">
        <f t="shared" si="304"/>
        <v>-0.291806363957882+0.0583472776989001i</v>
      </c>
      <c r="AW389" s="337">
        <f t="shared" si="305"/>
        <v>-10.527851526735041</v>
      </c>
      <c r="AX389" s="730">
        <f t="shared" si="306"/>
        <v>168.69270977848282</v>
      </c>
      <c r="AY389" s="360">
        <f t="shared" si="307"/>
        <v>-11.307290221517178</v>
      </c>
      <c r="BB389" s="337">
        <f t="shared" si="308"/>
        <v>-23.213669600702829</v>
      </c>
      <c r="BC389" s="730">
        <f t="shared" si="309"/>
        <v>-89.980211669039448</v>
      </c>
      <c r="BD389" s="351"/>
      <c r="BE389" s="337">
        <f t="shared" si="270"/>
        <v>31.781632072643006</v>
      </c>
      <c r="BF389" s="730">
        <f t="shared" si="271"/>
        <v>-89.340378691853701</v>
      </c>
      <c r="BI389" s="351"/>
      <c r="BJ389" s="351"/>
      <c r="BL389" s="405">
        <f t="shared" si="272"/>
        <v>0</v>
      </c>
      <c r="BM389" s="405">
        <f t="shared" si="310"/>
        <v>0</v>
      </c>
      <c r="BN389" s="405">
        <f t="shared" si="273"/>
        <v>0</v>
      </c>
      <c r="BO389" s="405">
        <f t="shared" si="274"/>
        <v>0</v>
      </c>
    </row>
    <row r="390" spans="4:67" ht="13.5" thickBot="1" x14ac:dyDescent="0.25">
      <c r="D390" s="345">
        <v>34081.5</v>
      </c>
      <c r="E390" s="340" t="str">
        <f t="shared" si="261"/>
        <v>0.565330603323132i</v>
      </c>
      <c r="F390" s="728" t="str">
        <f t="shared" si="275"/>
        <v>0.005-0.0765546536313246i</v>
      </c>
      <c r="G390" s="337" t="str">
        <f t="shared" si="276"/>
        <v>0.005-0.119739330038738i</v>
      </c>
      <c r="H390" s="338" t="str">
        <f t="shared" si="277"/>
        <v>0.0165089314005919-0.117631173119975i</v>
      </c>
      <c r="I390" s="338" t="str">
        <f t="shared" si="278"/>
        <v>0.0265089314005919-0.117631173119975i</v>
      </c>
      <c r="J390" s="337" t="str">
        <f t="shared" si="279"/>
        <v>0.00590994425637914-0.0466505987442673i</v>
      </c>
      <c r="K390" s="338" t="str">
        <f t="shared" si="262"/>
        <v>0.987093903975-0.178450316705534i</v>
      </c>
      <c r="L390" s="732"/>
      <c r="M390" s="732" t="str">
        <f t="shared" si="263"/>
        <v>0.439296748057447-38.5544142904518i</v>
      </c>
      <c r="N390" s="337">
        <f t="shared" si="264"/>
        <v>0</v>
      </c>
      <c r="O390" s="730" t="str">
        <f t="shared" si="265"/>
        <v>-1.26523806838589-14.9828496620811i</v>
      </c>
      <c r="P390" s="731" t="str">
        <f t="shared" si="266"/>
        <v>-1.79599029159108-0.248347895617207i</v>
      </c>
      <c r="Q390" s="729" t="str">
        <f t="shared" si="267"/>
        <v>-1.78333791090722-0.0985193989963954i</v>
      </c>
      <c r="R390" s="730"/>
      <c r="S390" s="405" t="str">
        <f t="shared" si="280"/>
        <v>39.4776606077499-5.93660790033987i</v>
      </c>
      <c r="T390" s="405" t="str">
        <f t="shared" si="281"/>
        <v>15.1038067332495-3.77469087742062i</v>
      </c>
      <c r="U390" s="405" t="str">
        <f t="shared" si="282"/>
        <v>-0.19467360682924-1.83899461736329i</v>
      </c>
      <c r="V390" s="731" t="str">
        <f t="shared" si="268"/>
        <v>6000</v>
      </c>
      <c r="W390" s="733" t="str">
        <f>IMSUM(COMPLEX(1,0),IMDIV(COMPLEX(0,2*PI()*D390),COMPLEX(2*PI()*'Stability Calculations'!EA_Pole1,0)))</f>
        <v>1+216281.783847107i</v>
      </c>
      <c r="X390" s="734">
        <f t="shared" si="283"/>
        <v>216281.78384941877</v>
      </c>
      <c r="Y390" s="735">
        <f t="shared" si="284"/>
        <v>1.570791703197004</v>
      </c>
      <c r="Z390" s="340" t="str">
        <f>IMSUM(COMPLEX(1,0),IMDIV(COMPLEX(0,2*PI()*D390),COMPLEX(2*PI()*'Stability Calculations'!EA_Zero1,0)))</f>
        <v>1+2141.40380046641i</v>
      </c>
      <c r="AA390" s="734">
        <f t="shared" si="285"/>
        <v>2141.4040339580911</v>
      </c>
      <c r="AB390" s="735">
        <f t="shared" si="286"/>
        <v>1.5703293434416912</v>
      </c>
      <c r="AC390" s="733" t="str">
        <f>IMSUM(COMPLEX(1,0),IMDIV(COMPLEX(0,2*PI()*D390),COMPLEX(2*PI()*'Stability Calculations'!EA_Pole2,0)))</f>
        <v>1+21.5713372354333i</v>
      </c>
      <c r="AD390" s="734">
        <f t="shared" si="287"/>
        <v>21.594503701747612</v>
      </c>
      <c r="AE390" s="735">
        <f t="shared" si="288"/>
        <v>1.5244716802307152</v>
      </c>
      <c r="AF390" s="732" t="str">
        <f t="shared" si="289"/>
        <v>0.126121795966574-2.74808271170668i</v>
      </c>
      <c r="AG390" s="337">
        <f t="shared" si="290"/>
        <v>2.7509753357307605</v>
      </c>
      <c r="AH390" s="730">
        <f t="shared" si="291"/>
        <v>-1.5249340399860285</v>
      </c>
      <c r="AI390" s="731" t="str">
        <f t="shared" si="269"/>
        <v>10000</v>
      </c>
      <c r="AJ390" s="733" t="str">
        <f t="shared" si="292"/>
        <v>1+201634.153571158i</v>
      </c>
      <c r="AK390" s="734">
        <f t="shared" si="293"/>
        <v>201634.15357363774</v>
      </c>
      <c r="AL390" s="735">
        <f t="shared" si="294"/>
        <v>1.5707913673176341</v>
      </c>
      <c r="AM390" s="340" t="str">
        <f t="shared" si="295"/>
        <v>1+342.196327314532i</v>
      </c>
      <c r="AN390" s="734">
        <f t="shared" si="296"/>
        <v>342.19778846093431</v>
      </c>
      <c r="AO390" s="735">
        <f t="shared" si="297"/>
        <v>1.5678740360700028</v>
      </c>
      <c r="AP390" s="733" t="str">
        <f t="shared" si="298"/>
        <v>1+16.5970859274887i</v>
      </c>
      <c r="AQ390" s="734">
        <f t="shared" si="299"/>
        <v>16.62718440640036</v>
      </c>
      <c r="AR390" s="735">
        <f t="shared" si="300"/>
        <v>1.5106175369419335</v>
      </c>
      <c r="AS390" s="732" t="str">
        <f t="shared" si="301"/>
        <v>0.00235806075003859-6.86740194253412i</v>
      </c>
      <c r="AT390" s="337">
        <f t="shared" si="302"/>
        <v>6.8674023473779302</v>
      </c>
      <c r="AU390" s="730">
        <f t="shared" si="303"/>
        <v>-1.5704529566707803</v>
      </c>
      <c r="AV390" s="732" t="str">
        <f t="shared" si="304"/>
        <v>-0.288331226651272+0.0580558344619626i</v>
      </c>
      <c r="AW390" s="337">
        <f t="shared" si="305"/>
        <v>-10.629569009562152</v>
      </c>
      <c r="AX390" s="730">
        <f t="shared" si="306"/>
        <v>168.61564723422183</v>
      </c>
      <c r="AY390" s="360">
        <f t="shared" si="307"/>
        <v>-11.384352765778175</v>
      </c>
      <c r="BB390" s="337">
        <f t="shared" si="308"/>
        <v>-23.264150148294167</v>
      </c>
      <c r="BC390" s="730">
        <f t="shared" si="309"/>
        <v>-89.980326341077259</v>
      </c>
      <c r="BD390" s="351"/>
      <c r="BE390" s="337">
        <f t="shared" si="270"/>
        <v>31.722045994688976</v>
      </c>
      <c r="BF390" s="730">
        <f t="shared" si="271"/>
        <v>-89.347188618562285</v>
      </c>
      <c r="BI390" s="351"/>
      <c r="BJ390" s="351"/>
      <c r="BL390" s="405">
        <f t="shared" si="272"/>
        <v>0</v>
      </c>
      <c r="BM390" s="405">
        <f t="shared" si="310"/>
        <v>0</v>
      </c>
      <c r="BN390" s="405">
        <f t="shared" si="273"/>
        <v>0</v>
      </c>
      <c r="BO390" s="405">
        <f t="shared" si="274"/>
        <v>0</v>
      </c>
    </row>
    <row r="391" spans="4:67" ht="13.5" thickBot="1" x14ac:dyDescent="0.25">
      <c r="D391" s="345">
        <v>34279</v>
      </c>
      <c r="E391" s="340" t="str">
        <f t="shared" si="261"/>
        <v>0.568606656142296i</v>
      </c>
      <c r="F391" s="728" t="str">
        <f t="shared" si="275"/>
        <v>0.005-0.0761135805518241i</v>
      </c>
      <c r="G391" s="337" t="str">
        <f t="shared" si="276"/>
        <v>0.005-0.119049446504136i</v>
      </c>
      <c r="H391" s="338" t="str">
        <f t="shared" si="277"/>
        <v>0.0163777060061489-0.116966223529325i</v>
      </c>
      <c r="I391" s="338" t="str">
        <f t="shared" si="278"/>
        <v>0.0263777060061489-0.116966223529325i</v>
      </c>
      <c r="J391" s="337" t="str">
        <f t="shared" si="279"/>
        <v>0.00588947893674861-0.046383037975603i</v>
      </c>
      <c r="K391" s="338" t="str">
        <f t="shared" si="262"/>
        <v>0.986943890655556-0.179484424287341i</v>
      </c>
      <c r="L391" s="732"/>
      <c r="M391" s="732" t="str">
        <f t="shared" si="263"/>
        <v>0.431855660977408-38.2928996305904i</v>
      </c>
      <c r="N391" s="337">
        <f t="shared" si="264"/>
        <v>0</v>
      </c>
      <c r="O391" s="730" t="str">
        <f t="shared" si="265"/>
        <v>-1.256300184904-14.8800161575992i</v>
      </c>
      <c r="P391" s="731" t="str">
        <f t="shared" si="266"/>
        <v>-1.77359761294259-0.245556003324485i</v>
      </c>
      <c r="Q391" s="729" t="str">
        <f t="shared" si="267"/>
        <v>-1.76103461109355-0.0967558417484923i</v>
      </c>
      <c r="R391" s="730"/>
      <c r="S391" s="405" t="str">
        <f t="shared" si="280"/>
        <v>39.4697104030882-5.98431906293799i</v>
      </c>
      <c r="T391" s="405" t="str">
        <f t="shared" si="281"/>
        <v>15.0982256144106-3.79059367216462i</v>
      </c>
      <c r="U391" s="405" t="str">
        <f t="shared" si="282"/>
        <v>-0.196097126439929-1.82806366086281i</v>
      </c>
      <c r="V391" s="731" t="str">
        <f t="shared" si="268"/>
        <v>6000</v>
      </c>
      <c r="W391" s="733" t="str">
        <f>IMSUM(COMPLEX(1,0),IMDIV(COMPLEX(0,2*PI()*D391),COMPLEX(2*PI()*'Stability Calculations'!EA_Pole1,0)))</f>
        <v>1+217535.122236257i</v>
      </c>
      <c r="X391" s="734">
        <f t="shared" si="283"/>
        <v>217535.12223855549</v>
      </c>
      <c r="Y391" s="735">
        <f t="shared" si="284"/>
        <v>1.5707917298360712</v>
      </c>
      <c r="Z391" s="340" t="str">
        <f>IMSUM(COMPLEX(1,0),IMDIV(COMPLEX(0,2*PI()*D391),COMPLEX(2*PI()*'Stability Calculations'!EA_Zero1,0)))</f>
        <v>1+2153.81309144809i</v>
      </c>
      <c r="AA391" s="734">
        <f t="shared" si="285"/>
        <v>2153.8133235944979</v>
      </c>
      <c r="AB391" s="735">
        <f t="shared" si="286"/>
        <v>1.5703320339868927</v>
      </c>
      <c r="AC391" s="733" t="str">
        <f>IMSUM(COMPLEX(1,0),IMDIV(COMPLEX(0,2*PI()*D391),COMPLEX(2*PI()*'Stability Calculations'!EA_Pole2,0)))</f>
        <v>1+21.6963416837117i</v>
      </c>
      <c r="AD391" s="734">
        <f t="shared" si="287"/>
        <v>21.719374817346051</v>
      </c>
      <c r="AE391" s="735">
        <f t="shared" si="288"/>
        <v>1.5247382033732833</v>
      </c>
      <c r="AF391" s="732" t="str">
        <f t="shared" si="289"/>
        <v>0.124675741760531-2.73231615919565i</v>
      </c>
      <c r="AG391" s="337">
        <f t="shared" si="290"/>
        <v>2.7351591607044012</v>
      </c>
      <c r="AH391" s="730">
        <f t="shared" si="291"/>
        <v>-1.5251978992224617</v>
      </c>
      <c r="AI391" s="731" t="str">
        <f t="shared" si="269"/>
        <v>10000</v>
      </c>
      <c r="AJ391" s="733" t="str">
        <f t="shared" si="292"/>
        <v>1+202802.609928135i</v>
      </c>
      <c r="AK391" s="734">
        <f t="shared" si="293"/>
        <v>202802.60993060048</v>
      </c>
      <c r="AL391" s="735">
        <f t="shared" si="294"/>
        <v>1.5707913958918853</v>
      </c>
      <c r="AM391" s="340" t="str">
        <f t="shared" si="295"/>
        <v>1+344.179332013405i</v>
      </c>
      <c r="AN391" s="734">
        <f t="shared" si="296"/>
        <v>344.18078474138213</v>
      </c>
      <c r="AO391" s="735">
        <f t="shared" si="297"/>
        <v>1.5678908728843985</v>
      </c>
      <c r="AP391" s="733" t="str">
        <f t="shared" si="298"/>
        <v>1+16.6932649240317i</v>
      </c>
      <c r="AQ391" s="734">
        <f t="shared" si="299"/>
        <v>16.723190300415382</v>
      </c>
      <c r="AR391" s="735">
        <f t="shared" si="300"/>
        <v>1.5109634304452961</v>
      </c>
      <c r="AS391" s="732" t="str">
        <f t="shared" si="301"/>
        <v>0.00233096688386417-6.82783510667011i</v>
      </c>
      <c r="AT391" s="337">
        <f t="shared" si="302"/>
        <v>6.8278355045565835</v>
      </c>
      <c r="AU391" s="730">
        <f t="shared" si="303"/>
        <v>-1.5704549350130375</v>
      </c>
      <c r="AV391" s="732" t="str">
        <f t="shared" si="304"/>
        <v>-0.284916096293547+0.0577667148886268i</v>
      </c>
      <c r="AW391" s="337">
        <f t="shared" si="305"/>
        <v>-10.730704421992833</v>
      </c>
      <c r="AX391" s="730">
        <f t="shared" si="306"/>
        <v>168.53864926019301</v>
      </c>
      <c r="AY391" s="360">
        <f t="shared" si="307"/>
        <v>-11.461350739806988</v>
      </c>
      <c r="BB391" s="337">
        <f t="shared" si="308"/>
        <v>-23.31433900809958</v>
      </c>
      <c r="BC391" s="730">
        <f t="shared" si="309"/>
        <v>-89.980439691739022</v>
      </c>
      <c r="BD391" s="351"/>
      <c r="BE391" s="337">
        <f t="shared" si="270"/>
        <v>31.662917396800438</v>
      </c>
      <c r="BF391" s="730">
        <f t="shared" si="271"/>
        <v>-89.353863038868013</v>
      </c>
      <c r="BI391" s="351"/>
      <c r="BJ391" s="351"/>
      <c r="BL391" s="405">
        <f t="shared" si="272"/>
        <v>0</v>
      </c>
      <c r="BM391" s="405">
        <f t="shared" si="310"/>
        <v>0</v>
      </c>
      <c r="BN391" s="405">
        <f t="shared" si="273"/>
        <v>0</v>
      </c>
      <c r="BO391" s="405">
        <f t="shared" si="274"/>
        <v>0</v>
      </c>
    </row>
    <row r="392" spans="4:67" ht="13.5" thickBot="1" x14ac:dyDescent="0.25">
      <c r="D392" s="345">
        <v>34476.5</v>
      </c>
      <c r="E392" s="340" t="str">
        <f t="shared" si="261"/>
        <v>0.571882708961459i</v>
      </c>
      <c r="F392" s="728" t="str">
        <f t="shared" si="275"/>
        <v>0.005-0.0756775608816437i</v>
      </c>
      <c r="G392" s="337" t="str">
        <f t="shared" si="276"/>
        <v>0.005-0.118367467020007i</v>
      </c>
      <c r="H392" s="338" t="str">
        <f t="shared" si="277"/>
        <v>0.016248701369677-0.116308677149399i</v>
      </c>
      <c r="I392" s="338" t="str">
        <f t="shared" si="278"/>
        <v>0.026248701369677-0.116308677149399i</v>
      </c>
      <c r="J392" s="337" t="str">
        <f t="shared" si="279"/>
        <v>0.00586936262377439-0.0461185319315322i</v>
      </c>
      <c r="K392" s="338" t="str">
        <f t="shared" si="262"/>
        <v>0.986793010530555-0.180518531869148i</v>
      </c>
      <c r="L392" s="732"/>
      <c r="M392" s="732" t="str">
        <f t="shared" si="263"/>
        <v>0.424604735744309-38.0351281325427i</v>
      </c>
      <c r="N392" s="337">
        <f t="shared" si="264"/>
        <v>0</v>
      </c>
      <c r="O392" s="730" t="str">
        <f t="shared" si="265"/>
        <v>-1.24751273073974-14.7786611037004i</v>
      </c>
      <c r="P392" s="731" t="str">
        <f t="shared" si="266"/>
        <v>-1.75163211213473-0.24282410651532i</v>
      </c>
      <c r="Q392" s="729" t="str">
        <f t="shared" si="267"/>
        <v>-1.73915698482733-0.0950374954783158i</v>
      </c>
      <c r="R392" s="730"/>
      <c r="S392" s="405" t="str">
        <f t="shared" si="280"/>
        <v>39.4616924640554-6.03194336194431i</v>
      </c>
      <c r="T392" s="405" t="str">
        <f t="shared" si="281"/>
        <v>15.0926213709075-3.80651823947308i</v>
      </c>
      <c r="U392" s="405" t="str">
        <f t="shared" si="282"/>
        <v>-0.19749560343669-1.81725380449843i</v>
      </c>
      <c r="V392" s="731" t="str">
        <f t="shared" si="268"/>
        <v>6000</v>
      </c>
      <c r="W392" s="733" t="str">
        <f>IMSUM(COMPLEX(1,0),IMDIV(COMPLEX(0,2*PI()*D392),COMPLEX(2*PI()*'Stability Calculations'!EA_Pole1,0)))</f>
        <v>1+218788.460625407i</v>
      </c>
      <c r="X392" s="734">
        <f t="shared" si="283"/>
        <v>218788.46062769234</v>
      </c>
      <c r="Y392" s="735">
        <f t="shared" si="284"/>
        <v>1.5707917561699325</v>
      </c>
      <c r="Z392" s="340" t="str">
        <f>IMSUM(COMPLEX(1,0),IMDIV(COMPLEX(0,2*PI()*D392),COMPLEX(2*PI()*'Stability Calculations'!EA_Zero1,0)))</f>
        <v>1+2166.22238242977i</v>
      </c>
      <c r="AA392" s="734">
        <f t="shared" si="285"/>
        <v>2166.2226132463179</v>
      </c>
      <c r="AB392" s="735">
        <f t="shared" si="286"/>
        <v>1.5703346937063107</v>
      </c>
      <c r="AC392" s="733" t="str">
        <f>IMSUM(COMPLEX(1,0),IMDIV(COMPLEX(0,2*PI()*D392),COMPLEX(2*PI()*'Stability Calculations'!EA_Pole2,0)))</f>
        <v>1+21.82134613199i</v>
      </c>
      <c r="AD392" s="734">
        <f t="shared" si="287"/>
        <v>21.844247458132198</v>
      </c>
      <c r="AE392" s="735">
        <f t="shared" si="288"/>
        <v>1.5250016793752956</v>
      </c>
      <c r="AF392" s="732" t="str">
        <f t="shared" si="289"/>
        <v>0.123254398200101-2.71672911292369i</v>
      </c>
      <c r="AG392" s="337">
        <f t="shared" si="290"/>
        <v>2.7195236199898702</v>
      </c>
      <c r="AH392" s="730">
        <f t="shared" si="291"/>
        <v>-1.5254587418389172</v>
      </c>
      <c r="AI392" s="731" t="str">
        <f t="shared" si="269"/>
        <v>10000</v>
      </c>
      <c r="AJ392" s="733" t="str">
        <f t="shared" si="292"/>
        <v>1+203971.066285111i</v>
      </c>
      <c r="AK392" s="734">
        <f t="shared" si="293"/>
        <v>203971.06628756231</v>
      </c>
      <c r="AL392" s="735">
        <f t="shared" si="294"/>
        <v>1.5707914241387591</v>
      </c>
      <c r="AM392" s="340" t="str">
        <f t="shared" si="295"/>
        <v>1+346.162336712277i</v>
      </c>
      <c r="AN392" s="734">
        <f t="shared" si="296"/>
        <v>346.16378111827908</v>
      </c>
      <c r="AO392" s="735">
        <f t="shared" si="297"/>
        <v>1.5679075167996932</v>
      </c>
      <c r="AP392" s="733" t="str">
        <f t="shared" si="298"/>
        <v>1+16.7894439205746i</v>
      </c>
      <c r="AQ392" s="734">
        <f t="shared" si="299"/>
        <v>16.819198172389768</v>
      </c>
      <c r="AR392" s="735">
        <f t="shared" si="300"/>
        <v>1.5113053751089969</v>
      </c>
      <c r="AS392" s="732" t="str">
        <f t="shared" si="301"/>
        <v>0.00230433730752503-6.78872159103098i</v>
      </c>
      <c r="AT392" s="337">
        <f t="shared" si="302"/>
        <v>6.7887219821186262</v>
      </c>
      <c r="AU392" s="730">
        <f t="shared" si="303"/>
        <v>-1.5704568906892726</v>
      </c>
      <c r="AV392" s="732" t="str">
        <f t="shared" si="304"/>
        <v>-0.28155959910434+0.0574799017190068i</v>
      </c>
      <c r="AW392" s="337">
        <f t="shared" si="305"/>
        <v>-10.831264522755269</v>
      </c>
      <c r="AX392" s="730">
        <f t="shared" si="306"/>
        <v>168.46171466844689</v>
      </c>
      <c r="AY392" s="360">
        <f t="shared" si="307"/>
        <v>-11.538285331553112</v>
      </c>
      <c r="BB392" s="337">
        <f t="shared" si="308"/>
        <v>-23.364239531635395</v>
      </c>
      <c r="BC392" s="730">
        <f t="shared" si="309"/>
        <v>-89.980551743733386</v>
      </c>
      <c r="BD392" s="351"/>
      <c r="BE392" s="337">
        <f t="shared" si="270"/>
        <v>31.604238872056523</v>
      </c>
      <c r="BF392" s="730">
        <f t="shared" si="271"/>
        <v>-89.360405762422062</v>
      </c>
      <c r="BI392" s="351"/>
      <c r="BJ392" s="351"/>
      <c r="BL392" s="405">
        <f t="shared" si="272"/>
        <v>0</v>
      </c>
      <c r="BM392" s="405">
        <f t="shared" si="310"/>
        <v>0</v>
      </c>
      <c r="BN392" s="405">
        <f t="shared" si="273"/>
        <v>0</v>
      </c>
      <c r="BO392" s="405">
        <f t="shared" si="274"/>
        <v>0</v>
      </c>
    </row>
    <row r="393" spans="4:67" ht="13.5" thickBot="1" x14ac:dyDescent="0.25">
      <c r="D393" s="345">
        <v>34674</v>
      </c>
      <c r="E393" s="340" t="str">
        <f t="shared" si="261"/>
        <v>0.575158761780623i</v>
      </c>
      <c r="F393" s="728" t="str">
        <f t="shared" si="275"/>
        <v>0.005-0.0752465082694814i</v>
      </c>
      <c r="G393" s="337" t="str">
        <f t="shared" si="276"/>
        <v>0.005-0.11769325652406i</v>
      </c>
      <c r="H393" s="338" t="str">
        <f t="shared" si="277"/>
        <v>0.0161218678173028-0.115658412261613i</v>
      </c>
      <c r="I393" s="338" t="str">
        <f t="shared" si="278"/>
        <v>0.0261218678173028-0.115658412261613i</v>
      </c>
      <c r="J393" s="337" t="str">
        <f t="shared" si="279"/>
        <v>0.00584958740169218-0.0458570287090498i</v>
      </c>
      <c r="K393" s="338" t="str">
        <f t="shared" si="262"/>
        <v>0.9866412636-0.181552639450954i</v>
      </c>
      <c r="L393" s="732"/>
      <c r="M393" s="732" t="str">
        <f t="shared" si="263"/>
        <v>0.417537568973604-37.7810166262817i</v>
      </c>
      <c r="N393" s="337">
        <f t="shared" si="264"/>
        <v>0</v>
      </c>
      <c r="O393" s="730" t="str">
        <f t="shared" si="265"/>
        <v>-1.23887238155379-14.6787514007341i</v>
      </c>
      <c r="P393" s="731" t="str">
        <f t="shared" si="266"/>
        <v>-1.73008274158528-0.24015039116775i</v>
      </c>
      <c r="Q393" s="729" t="str">
        <f t="shared" si="267"/>
        <v>-1.71769401776974-0.0933628771604099i</v>
      </c>
      <c r="R393" s="730"/>
      <c r="S393" s="405" t="str">
        <f t="shared" si="280"/>
        <v>39.4536071423772-6.07948203824435i</v>
      </c>
      <c r="T393" s="405" t="str">
        <f t="shared" si="281"/>
        <v>15.0869938736744-3.82246401412753i</v>
      </c>
      <c r="U393" s="405" t="str">
        <f t="shared" si="282"/>
        <v>-0.198869597809303-1.80656301680201i</v>
      </c>
      <c r="V393" s="731" t="str">
        <f t="shared" si="268"/>
        <v>6000</v>
      </c>
      <c r="W393" s="733" t="str">
        <f>IMSUM(COMPLEX(1,0),IMDIV(COMPLEX(0,2*PI()*D393),COMPLEX(2*PI()*'Stability Calculations'!EA_Pole1,0)))</f>
        <v>1+220041.799014556i</v>
      </c>
      <c r="X393" s="734">
        <f t="shared" si="283"/>
        <v>220041.79901682827</v>
      </c>
      <c r="Y393" s="735">
        <f t="shared" si="284"/>
        <v>1.5707917822038031</v>
      </c>
      <c r="Z393" s="340" t="str">
        <f>IMSUM(COMPLEX(1,0),IMDIV(COMPLEX(0,2*PI()*D393),COMPLEX(2*PI()*'Stability Calculations'!EA_Zero1,0)))</f>
        <v>1+2178.63167341145i</v>
      </c>
      <c r="AA393" s="734">
        <f t="shared" si="285"/>
        <v>2178.6319029132878</v>
      </c>
      <c r="AB393" s="735">
        <f t="shared" si="286"/>
        <v>1.5703373231266877</v>
      </c>
      <c r="AC393" s="733" t="str">
        <f>IMSUM(COMPLEX(1,0),IMDIV(COMPLEX(0,2*PI()*D393),COMPLEX(2*PI()*'Stability Calculations'!EA_Pole2,0)))</f>
        <v>1+21.9463505802684i</v>
      </c>
      <c r="AD393" s="734">
        <f t="shared" si="287"/>
        <v>21.96912159809871</v>
      </c>
      <c r="AE393" s="735">
        <f t="shared" si="288"/>
        <v>1.5252621601603844</v>
      </c>
      <c r="AF393" s="732" t="str">
        <f t="shared" si="289"/>
        <v>0.121857205843607-2.70131853102767i</v>
      </c>
      <c r="AG393" s="337">
        <f t="shared" si="290"/>
        <v>2.7040656398633334</v>
      </c>
      <c r="AH393" s="730">
        <f t="shared" si="291"/>
        <v>-1.5257166192374998</v>
      </c>
      <c r="AI393" s="731" t="str">
        <f t="shared" si="269"/>
        <v>10000</v>
      </c>
      <c r="AJ393" s="733" t="str">
        <f t="shared" si="292"/>
        <v>1+205139.522642088i</v>
      </c>
      <c r="AK393" s="734">
        <f t="shared" si="293"/>
        <v>205139.52264452539</v>
      </c>
      <c r="AL393" s="735">
        <f t="shared" si="294"/>
        <v>1.5707914520638495</v>
      </c>
      <c r="AM393" s="340" t="str">
        <f t="shared" si="295"/>
        <v>1+348.14534141115i</v>
      </c>
      <c r="AN393" s="734">
        <f t="shared" si="296"/>
        <v>348.14677758997885</v>
      </c>
      <c r="AO393" s="735">
        <f t="shared" si="297"/>
        <v>1.5679239711120581</v>
      </c>
      <c r="AP393" s="733" t="str">
        <f t="shared" si="298"/>
        <v>1+16.8856229171176i</v>
      </c>
      <c r="AQ393" s="734">
        <f t="shared" si="299"/>
        <v>16.915207988644038</v>
      </c>
      <c r="AR393" s="735">
        <f t="shared" si="300"/>
        <v>1.5116434380925918</v>
      </c>
      <c r="AS393" s="732" t="str">
        <f t="shared" si="301"/>
        <v>0.00227816147299393-6.75005364940598i</v>
      </c>
      <c r="AT393" s="337">
        <f t="shared" si="302"/>
        <v>6.7500540338488166</v>
      </c>
      <c r="AU393" s="730">
        <f t="shared" si="303"/>
        <v>-1.5704588240867967</v>
      </c>
      <c r="AV393" s="732" t="str">
        <f t="shared" si="304"/>
        <v>-0.278260400408992+0.057195377431796i</v>
      </c>
      <c r="AW393" s="337">
        <f t="shared" si="305"/>
        <v>-10.931255954233428</v>
      </c>
      <c r="AX393" s="730">
        <f t="shared" si="306"/>
        <v>168.38484229921323</v>
      </c>
      <c r="AY393" s="360">
        <f t="shared" si="307"/>
        <v>-11.615157700786767</v>
      </c>
      <c r="BB393" s="337">
        <f t="shared" si="308"/>
        <v>-23.413855012984083</v>
      </c>
      <c r="BC393" s="730">
        <f t="shared" si="309"/>
        <v>-89.980662519251638</v>
      </c>
      <c r="BD393" s="351"/>
      <c r="BE393" s="337">
        <f t="shared" si="270"/>
        <v>31.546003195850538</v>
      </c>
      <c r="BF393" s="730">
        <f t="shared" si="271"/>
        <v>-89.366820463326363</v>
      </c>
      <c r="BI393" s="351"/>
      <c r="BJ393" s="351"/>
      <c r="BL393" s="405">
        <f t="shared" si="272"/>
        <v>0</v>
      </c>
      <c r="BM393" s="405">
        <f t="shared" si="310"/>
        <v>0</v>
      </c>
      <c r="BN393" s="405">
        <f t="shared" si="273"/>
        <v>0</v>
      </c>
      <c r="BO393" s="405">
        <f t="shared" si="274"/>
        <v>0</v>
      </c>
    </row>
    <row r="394" spans="4:67" ht="13.5" thickBot="1" x14ac:dyDescent="0.25">
      <c r="D394" s="345">
        <v>34875.75</v>
      </c>
      <c r="E394" s="340" t="str">
        <f t="shared" si="261"/>
        <v>0.578505311938933i</v>
      </c>
      <c r="F394" s="728" t="str">
        <f t="shared" si="275"/>
        <v>0.005-0.0748112206256779i</v>
      </c>
      <c r="G394" s="337" t="str">
        <f t="shared" si="276"/>
        <v>0.005-0.117012422004266i</v>
      </c>
      <c r="H394" s="338" t="str">
        <f t="shared" si="277"/>
        <v>0.0159944963840379-0.115001548713142i</v>
      </c>
      <c r="I394" s="338" t="str">
        <f t="shared" si="278"/>
        <v>0.0259944963840379-0.115001548713142i</v>
      </c>
      <c r="J394" s="337" t="str">
        <f t="shared" si="279"/>
        <v>0.00582973081789952-0.0455929458911208i</v>
      </c>
      <c r="K394" s="338" t="str">
        <f t="shared" si="262"/>
        <v>0.98648535624375-0.182608999980724i</v>
      </c>
      <c r="L394" s="732"/>
      <c r="M394" s="732" t="str">
        <f t="shared" si="263"/>
        <v>0.410501674313141-37.5251320100617i</v>
      </c>
      <c r="N394" s="337">
        <f t="shared" si="264"/>
        <v>0</v>
      </c>
      <c r="O394" s="730" t="str">
        <f t="shared" si="265"/>
        <v>-1.23019462281412-14.5781507128901i</v>
      </c>
      <c r="P394" s="731" t="str">
        <f t="shared" si="266"/>
        <v>-1.70848819903036-0.237477399149977i</v>
      </c>
      <c r="Q394" s="729" t="str">
        <f t="shared" si="267"/>
        <v>-1.69618625280222-0.0916958920210767i</v>
      </c>
      <c r="R394" s="730"/>
      <c r="S394" s="405" t="str">
        <f t="shared" si="280"/>
        <v>39.4452786147735-6.12795655258383i</v>
      </c>
      <c r="T394" s="405" t="str">
        <f t="shared" si="281"/>
        <v>15.0812211387023-3.83877424661447i</v>
      </c>
      <c r="U394" s="405" t="str">
        <f t="shared" si="282"/>
        <v>-0.200248446550939-1.79576304824276i</v>
      </c>
      <c r="V394" s="731" t="str">
        <f t="shared" si="268"/>
        <v>6000</v>
      </c>
      <c r="W394" s="733" t="str">
        <f>IMSUM(COMPLEX(1,0),IMDIV(COMPLEX(0,2*PI()*D394),COMPLEX(2*PI()*'Stability Calculations'!EA_Pole1,0)))</f>
        <v>1+221322.107976637i</v>
      </c>
      <c r="X394" s="734">
        <f t="shared" si="283"/>
        <v>221322.10797889612</v>
      </c>
      <c r="Y394" s="735">
        <f t="shared" si="284"/>
        <v>1.5707918084934529</v>
      </c>
      <c r="Z394" s="340" t="str">
        <f>IMSUM(COMPLEX(1,0),IMDIV(COMPLEX(0,2*PI()*D394),COMPLEX(2*PI()*'Stability Calculations'!EA_Zero1,0)))</f>
        <v>1+2191.30799976868i</v>
      </c>
      <c r="AA394" s="734">
        <f t="shared" si="285"/>
        <v>2191.3082279428913</v>
      </c>
      <c r="AB394" s="735">
        <f t="shared" si="286"/>
        <v>1.5703399783807588</v>
      </c>
      <c r="AC394" s="733" t="str">
        <f>IMSUM(COMPLEX(1,0),IMDIV(COMPLEX(0,2*PI()*D394),COMPLEX(2*PI()*'Stability Calculations'!EA_Pole2,0)))</f>
        <v>1+22.0740449976868i</v>
      </c>
      <c r="AD394" s="734">
        <f t="shared" si="287"/>
        <v>22.096684424589622</v>
      </c>
      <c r="AE394" s="735">
        <f t="shared" si="288"/>
        <v>1.5255252064075011</v>
      </c>
      <c r="AF394" s="732" t="str">
        <f t="shared" si="289"/>
        <v>0.120454318355614-2.68575543826217i</v>
      </c>
      <c r="AG394" s="337">
        <f t="shared" si="290"/>
        <v>2.6884552287448149</v>
      </c>
      <c r="AH394" s="730">
        <f t="shared" si="291"/>
        <v>-1.525977036520195</v>
      </c>
      <c r="AI394" s="731" t="str">
        <f t="shared" si="269"/>
        <v>10000</v>
      </c>
      <c r="AJ394" s="733" t="str">
        <f t="shared" si="292"/>
        <v>1+206333.12299662i</v>
      </c>
      <c r="AK394" s="734">
        <f t="shared" si="293"/>
        <v>206333.12299904323</v>
      </c>
      <c r="AL394" s="735">
        <f t="shared" si="294"/>
        <v>1.5707914802633003</v>
      </c>
      <c r="AM394" s="340" t="str">
        <f t="shared" si="295"/>
        <v>1+350.171018363035i</v>
      </c>
      <c r="AN394" s="734">
        <f t="shared" si="296"/>
        <v>350.17244623385915</v>
      </c>
      <c r="AO394" s="735">
        <f t="shared" si="297"/>
        <v>1.5679405870873193</v>
      </c>
      <c r="AP394" s="733" t="str">
        <f t="shared" si="298"/>
        <v>1+16.9838715882697i</v>
      </c>
      <c r="AQ394" s="734">
        <f t="shared" si="299"/>
        <v>17.01328581217734</v>
      </c>
      <c r="AR394" s="735">
        <f t="shared" si="300"/>
        <v>1.511984836234725</v>
      </c>
      <c r="AS394" s="732" t="str">
        <f t="shared" si="301"/>
        <v>0.00225188019627071-6.71100580050784i</v>
      </c>
      <c r="AT394" s="337">
        <f t="shared" si="302"/>
        <v>6.7110061783173984</v>
      </c>
      <c r="AU394" s="730">
        <f t="shared" si="303"/>
        <v>-1.5704607764796839</v>
      </c>
      <c r="AV394" s="732" t="str">
        <f t="shared" si="304"/>
        <v>-0.274948019108107+0.0569070753015511i</v>
      </c>
      <c r="AW394" s="337">
        <f t="shared" si="305"/>
        <v>-11.032818732004589</v>
      </c>
      <c r="AX394" s="730">
        <f t="shared" si="306"/>
        <v>168.30637878232619</v>
      </c>
      <c r="AY394" s="360">
        <f t="shared" si="307"/>
        <v>-11.693621217673808</v>
      </c>
      <c r="BB394" s="337">
        <f t="shared" si="308"/>
        <v>-23.464247227226775</v>
      </c>
      <c r="BC394" s="730">
        <f t="shared" si="309"/>
        <v>-89.980774383124029</v>
      </c>
      <c r="BD394" s="351"/>
      <c r="BE394" s="337">
        <f t="shared" si="270"/>
        <v>31.486964263795297</v>
      </c>
      <c r="BF394" s="730">
        <f t="shared" si="271"/>
        <v>-89.373244702545961</v>
      </c>
      <c r="BI394" s="351"/>
      <c r="BJ394" s="351"/>
      <c r="BL394" s="405">
        <f t="shared" si="272"/>
        <v>0</v>
      </c>
      <c r="BM394" s="405">
        <f t="shared" si="310"/>
        <v>0</v>
      </c>
      <c r="BN394" s="405">
        <f t="shared" si="273"/>
        <v>0</v>
      </c>
      <c r="BO394" s="405">
        <f t="shared" si="274"/>
        <v>0</v>
      </c>
    </row>
    <row r="395" spans="4:67" ht="13.5" thickBot="1" x14ac:dyDescent="0.25">
      <c r="D395" s="345">
        <v>35077.5</v>
      </c>
      <c r="E395" s="340" t="str">
        <f t="shared" si="261"/>
        <v>0.581851862097243i</v>
      </c>
      <c r="F395" s="728" t="str">
        <f t="shared" si="275"/>
        <v>0.005-0.0743809401392913i</v>
      </c>
      <c r="G395" s="337" t="str">
        <f t="shared" si="276"/>
        <v>0.005-0.116339419192225i</v>
      </c>
      <c r="H395" s="338" t="str">
        <f t="shared" si="277"/>
        <v>0.0158692900378649-0.114352034950512i</v>
      </c>
      <c r="I395" s="338" t="str">
        <f t="shared" si="278"/>
        <v>0.0258692900378649-0.114352034950512i</v>
      </c>
      <c r="J395" s="337" t="str">
        <f t="shared" si="279"/>
        <v>0.0058102141678715-0.0453318907230176i</v>
      </c>
      <c r="K395" s="338" t="str">
        <f t="shared" si="262"/>
        <v>0.986328544375-0.183665360510493i</v>
      </c>
      <c r="L395" s="732"/>
      <c r="M395" s="732" t="str">
        <f t="shared" si="263"/>
        <v>0.40364485527711-37.2728990604427i</v>
      </c>
      <c r="N395" s="337">
        <f t="shared" si="264"/>
        <v>0</v>
      </c>
      <c r="O395" s="730" t="str">
        <f t="shared" si="265"/>
        <v>-1.22166363274722-14.4789915977745i</v>
      </c>
      <c r="P395" s="731" t="str">
        <f t="shared" si="266"/>
        <v>-1.68730572408113-0.234861510668959i</v>
      </c>
      <c r="Q395" s="729" t="str">
        <f t="shared" si="267"/>
        <v>-1.67508908775365-0.0900715946912145i</v>
      </c>
      <c r="R395" s="730"/>
      <c r="S395" s="405" t="str">
        <f t="shared" si="280"/>
        <v>39.4368804835783-6.17634424567215i</v>
      </c>
      <c r="T395" s="405" t="str">
        <f t="shared" si="281"/>
        <v>15.0754238789474-3.85510545264221i</v>
      </c>
      <c r="U395" s="405" t="str">
        <f t="shared" si="282"/>
        <v>-0.201602879479678-1.78508318485371i</v>
      </c>
      <c r="V395" s="731" t="str">
        <f t="shared" si="268"/>
        <v>6000</v>
      </c>
      <c r="W395" s="733" t="str">
        <f>IMSUM(COMPLEX(1,0),IMDIV(COMPLEX(0,2*PI()*D395),COMPLEX(2*PI()*'Stability Calculations'!EA_Pole1,0)))</f>
        <v>1+222602.416938718i</v>
      </c>
      <c r="X395" s="734">
        <f t="shared" si="283"/>
        <v>222602.41694096421</v>
      </c>
      <c r="Y395" s="735">
        <f t="shared" si="284"/>
        <v>1.5707918344806902</v>
      </c>
      <c r="Z395" s="340" t="str">
        <f>IMSUM(COMPLEX(1,0),IMDIV(COMPLEX(0,2*PI()*D395),COMPLEX(2*PI()*'Stability Calculations'!EA_Zero1,0)))</f>
        <v>1+2203.98432612592i</v>
      </c>
      <c r="AA395" s="734">
        <f t="shared" si="285"/>
        <v>2203.9845529877753</v>
      </c>
      <c r="AB395" s="735">
        <f t="shared" si="286"/>
        <v>1.5703426030911822</v>
      </c>
      <c r="AC395" s="733" t="str">
        <f>IMSUM(COMPLEX(1,0),IMDIV(COMPLEX(0,2*PI()*D395),COMPLEX(2*PI()*'Stability Calculations'!EA_Pole2,0)))</f>
        <v>1+22.2017394151054i</v>
      </c>
      <c r="AD395" s="734">
        <f t="shared" si="287"/>
        <v>22.224248762472147</v>
      </c>
      <c r="AE395" s="735">
        <f t="shared" si="288"/>
        <v>1.5257852329689872</v>
      </c>
      <c r="AF395" s="732" t="str">
        <f t="shared" si="289"/>
        <v>0.119075502175313-2.67037028510629i</v>
      </c>
      <c r="AG395" s="337">
        <f t="shared" si="290"/>
        <v>2.6730238373042901</v>
      </c>
      <c r="AH395" s="730">
        <f t="shared" si="291"/>
        <v>-1.5262344643584951</v>
      </c>
      <c r="AI395" s="731" t="str">
        <f t="shared" si="269"/>
        <v>10000</v>
      </c>
      <c r="AJ395" s="733" t="str">
        <f t="shared" si="292"/>
        <v>1+207526.723351152i</v>
      </c>
      <c r="AK395" s="734">
        <f t="shared" si="293"/>
        <v>207526.72335356136</v>
      </c>
      <c r="AL395" s="735">
        <f t="shared" si="294"/>
        <v>1.5707915081383697</v>
      </c>
      <c r="AM395" s="340" t="str">
        <f t="shared" si="295"/>
        <v>1+352.196695314922i</v>
      </c>
      <c r="AN395" s="734">
        <f t="shared" si="296"/>
        <v>352.19811497330875</v>
      </c>
      <c r="AO395" s="735">
        <f t="shared" si="297"/>
        <v>1.5679570119289008</v>
      </c>
      <c r="AP395" s="733" t="str">
        <f t="shared" si="298"/>
        <v>1+17.0821202594218i</v>
      </c>
      <c r="AQ395" s="734">
        <f t="shared" si="299"/>
        <v>17.111365595923335</v>
      </c>
      <c r="AR395" s="735">
        <f t="shared" si="300"/>
        <v>1.512322320729822</v>
      </c>
      <c r="AS395" s="732" t="str">
        <f t="shared" si="301"/>
        <v>0.00222605108837168-6.67240712278036i</v>
      </c>
      <c r="AT395" s="337">
        <f t="shared" si="302"/>
        <v>6.6724074941083691</v>
      </c>
      <c r="AU395" s="730">
        <f t="shared" si="303"/>
        <v>-1.5704627064140024</v>
      </c>
      <c r="AV395" s="732" t="str">
        <f t="shared" si="304"/>
        <v>-0.271692732545871+0.0566211239543695i</v>
      </c>
      <c r="AW395" s="337">
        <f t="shared" si="305"/>
        <v>-11.133801754700453</v>
      </c>
      <c r="AX395" s="730">
        <f t="shared" si="306"/>
        <v>168.22797783456994</v>
      </c>
      <c r="AY395" s="360">
        <f t="shared" si="307"/>
        <v>-11.772022165430059</v>
      </c>
      <c r="BB395" s="337">
        <f t="shared" si="308"/>
        <v>-23.514348770672019</v>
      </c>
      <c r="BC395" s="730">
        <f t="shared" si="309"/>
        <v>-89.980884960215221</v>
      </c>
      <c r="BD395" s="351"/>
      <c r="BE395" s="337">
        <f t="shared" si="270"/>
        <v>31.428372761134508</v>
      </c>
      <c r="BF395" s="730">
        <f t="shared" si="271"/>
        <v>-89.379542692338916</v>
      </c>
      <c r="BI395" s="351"/>
      <c r="BJ395" s="351"/>
      <c r="BL395" s="405">
        <f t="shared" si="272"/>
        <v>0</v>
      </c>
      <c r="BM395" s="405">
        <f t="shared" si="310"/>
        <v>0</v>
      </c>
      <c r="BN395" s="405">
        <f t="shared" si="273"/>
        <v>0</v>
      </c>
      <c r="BO395" s="405">
        <f t="shared" si="274"/>
        <v>0</v>
      </c>
    </row>
    <row r="396" spans="4:67" ht="13.5" thickBot="1" x14ac:dyDescent="0.25">
      <c r="D396" s="345">
        <v>35279.25</v>
      </c>
      <c r="E396" s="340" t="str">
        <f t="shared" si="261"/>
        <v>0.585198412255553i</v>
      </c>
      <c r="F396" s="728" t="str">
        <f t="shared" si="275"/>
        <v>0.005-0.0739555809076439i</v>
      </c>
      <c r="G396" s="337" t="str">
        <f t="shared" si="276"/>
        <v>0.005-0.11567411372734i</v>
      </c>
      <c r="H396" s="338" t="str">
        <f t="shared" si="277"/>
        <v>0.0157462001315832-0.113709749487151i</v>
      </c>
      <c r="I396" s="338" t="str">
        <f t="shared" si="278"/>
        <v>0.0257462001315832-0.113709749487151i</v>
      </c>
      <c r="J396" s="337" t="str">
        <f t="shared" si="279"/>
        <v>0.00579102970993471-0.0450738115461268i</v>
      </c>
      <c r="K396" s="338" t="str">
        <f t="shared" si="262"/>
        <v>0.98617082799375-0.184721721040263i</v>
      </c>
      <c r="L396" s="732"/>
      <c r="M396" s="732" t="str">
        <f t="shared" si="263"/>
        <v>0.39696110072961-37.0242369264537i</v>
      </c>
      <c r="N396" s="337">
        <f t="shared" si="264"/>
        <v>0</v>
      </c>
      <c r="O396" s="730" t="str">
        <f t="shared" si="265"/>
        <v>-1.21327614287502-14.3812419015975i</v>
      </c>
      <c r="P396" s="731" t="str">
        <f t="shared" si="266"/>
        <v>-1.66652466433411-0.232301005874184i</v>
      </c>
      <c r="Q396" s="729" t="str">
        <f t="shared" si="267"/>
        <v>-1.65439190290536-0.0884885868582091i</v>
      </c>
      <c r="R396" s="730"/>
      <c r="S396" s="405" t="str">
        <f t="shared" si="280"/>
        <v>39.4284130923391-6.22464634927643i</v>
      </c>
      <c r="T396" s="405" t="str">
        <f t="shared" si="281"/>
        <v>15.0696019694831-3.87145706547014i</v>
      </c>
      <c r="U396" s="405" t="str">
        <f t="shared" si="282"/>
        <v>-0.20293344455009-1.77452140257473i</v>
      </c>
      <c r="V396" s="731" t="str">
        <f t="shared" si="268"/>
        <v>6000</v>
      </c>
      <c r="W396" s="733" t="str">
        <f>IMSUM(COMPLEX(1,0),IMDIV(COMPLEX(0,2*PI()*D396),COMPLEX(2*PI()*'Stability Calculations'!EA_Pole1,0)))</f>
        <v>1+223882.725900798i</v>
      </c>
      <c r="X396" s="734">
        <f t="shared" si="283"/>
        <v>223882.7259030313</v>
      </c>
      <c r="Y396" s="735">
        <f t="shared" si="284"/>
        <v>1.5707918601707032</v>
      </c>
      <c r="Z396" s="340" t="str">
        <f>IMSUM(COMPLEX(1,0),IMDIV(COMPLEX(0,2*PI()*D396),COMPLEX(2*PI()*'Stability Calculations'!EA_Zero1,0)))</f>
        <v>1+2216.66065248315i</v>
      </c>
      <c r="AA396" s="734">
        <f t="shared" si="285"/>
        <v>2216.6608780476604</v>
      </c>
      <c r="AB396" s="735">
        <f t="shared" si="286"/>
        <v>1.5703451977819642</v>
      </c>
      <c r="AC396" s="733" t="str">
        <f>IMSUM(COMPLEX(1,0),IMDIV(COMPLEX(0,2*PI()*D396),COMPLEX(2*PI()*'Stability Calculations'!EA_Pole2,0)))</f>
        <v>1+22.3294338325238i</v>
      </c>
      <c r="AD396" s="734">
        <f t="shared" si="287"/>
        <v>22.35181458586883</v>
      </c>
      <c r="AE396" s="735">
        <f t="shared" si="288"/>
        <v>1.5260422915110405</v>
      </c>
      <c r="AF396" s="732" t="str">
        <f t="shared" si="289"/>
        <v>0.117720210100481-2.65516004333806i</v>
      </c>
      <c r="AG396" s="337">
        <f t="shared" si="290"/>
        <v>2.6577684066910483</v>
      </c>
      <c r="AH396" s="730">
        <f t="shared" si="291"/>
        <v>-1.5264889538997795</v>
      </c>
      <c r="AI396" s="731" t="str">
        <f t="shared" si="269"/>
        <v>10000</v>
      </c>
      <c r="AJ396" s="733" t="str">
        <f t="shared" si="292"/>
        <v>1+208720.323705684i</v>
      </c>
      <c r="AK396" s="734">
        <f t="shared" si="293"/>
        <v>208720.32370807958</v>
      </c>
      <c r="AL396" s="735">
        <f t="shared" si="294"/>
        <v>1.5707915356946232</v>
      </c>
      <c r="AM396" s="340" t="str">
        <f t="shared" si="295"/>
        <v>1+354.222372266807i</v>
      </c>
      <c r="AN396" s="734">
        <f t="shared" si="296"/>
        <v>354.22378380668397</v>
      </c>
      <c r="AO396" s="735">
        <f t="shared" si="297"/>
        <v>1.5679732489158522</v>
      </c>
      <c r="AP396" s="733" t="str">
        <f t="shared" si="298"/>
        <v>1+17.1803689305739i</v>
      </c>
      <c r="AQ396" s="734">
        <f t="shared" si="299"/>
        <v>17.209447306367192</v>
      </c>
      <c r="AR396" s="735">
        <f t="shared" si="300"/>
        <v>1.5126559584154247</v>
      </c>
      <c r="AS396" s="732" t="str">
        <f t="shared" si="301"/>
        <v>0.00220066383573313-6.63424991025671i</v>
      </c>
      <c r="AT396" s="337">
        <f t="shared" si="302"/>
        <v>6.6342502752505856</v>
      </c>
      <c r="AU396" s="730">
        <f t="shared" si="303"/>
        <v>-1.5704646142750509</v>
      </c>
      <c r="AV396" s="732" t="str">
        <f t="shared" si="304"/>
        <v>-0.268493235981343+0.0563375040557i</v>
      </c>
      <c r="AW396" s="337">
        <f t="shared" si="305"/>
        <v>-11.234211743764543</v>
      </c>
      <c r="AX396" s="730">
        <f t="shared" si="306"/>
        <v>168.14963830543684</v>
      </c>
      <c r="AY396" s="360">
        <f t="shared" si="307"/>
        <v>-11.850361694563162</v>
      </c>
      <c r="BB396" s="337">
        <f t="shared" si="308"/>
        <v>-23.56416297737368</v>
      </c>
      <c r="BC396" s="730">
        <f t="shared" si="309"/>
        <v>-89.980994272601194</v>
      </c>
      <c r="BD396" s="351"/>
      <c r="BE396" s="337">
        <f t="shared" si="270"/>
        <v>31.370221538285751</v>
      </c>
      <c r="BF396" s="730">
        <f t="shared" si="271"/>
        <v>-89.385717947497312</v>
      </c>
      <c r="BI396" s="351"/>
      <c r="BJ396" s="351"/>
      <c r="BL396" s="405">
        <f t="shared" si="272"/>
        <v>0</v>
      </c>
      <c r="BM396" s="405">
        <f t="shared" si="310"/>
        <v>0</v>
      </c>
      <c r="BN396" s="405">
        <f t="shared" si="273"/>
        <v>0</v>
      </c>
      <c r="BO396" s="405">
        <f t="shared" si="274"/>
        <v>0</v>
      </c>
    </row>
    <row r="397" spans="4:67" ht="13.5" thickBot="1" x14ac:dyDescent="0.25">
      <c r="D397" s="345">
        <v>35481</v>
      </c>
      <c r="E397" s="340" t="str">
        <f t="shared" ref="E397:E460" si="311">COMPLEX(0,2*PI()*D397*L)</f>
        <v>0.588544962413863i</v>
      </c>
      <c r="F397" s="728" t="str">
        <f t="shared" si="275"/>
        <v>0.005-0.0735350589818772i</v>
      </c>
      <c r="G397" s="337" t="str">
        <f t="shared" si="276"/>
        <v>0.005-0.115016374304988i</v>
      </c>
      <c r="H397" s="338" t="str">
        <f t="shared" si="277"/>
        <v>0.0156251793725887-0.113074573472116i</v>
      </c>
      <c r="I397" s="338" t="str">
        <f t="shared" si="278"/>
        <v>0.0256251793725887-0.113074573472116i</v>
      </c>
      <c r="J397" s="337" t="str">
        <f t="shared" si="279"/>
        <v>0.00577216992130078-0.0448186578687495i</v>
      </c>
      <c r="K397" s="338" t="str">
        <f t="shared" ref="K397:K460" si="312">IMSUM(COMPLEX(1,0),COMPLEX(0,2*PI()*D397/(Fsw*PI()*(-2)/PI())),IMPRODUCT(COMPLEX(0,2*PI()*D397/(Fsw*PI())),COMPLEX(0,2*PI()*D397/(Fsw*PI()))))</f>
        <v>0.9860122071-0.185778081570032i</v>
      </c>
      <c r="L397" s="732"/>
      <c r="M397" s="732" t="str">
        <f t="shared" ref="M397:M460" si="313">IF(Vin&gt;=Vout,IMDIV(COMPLEX(Vin,0),IMSUM(E397,J397)),IMDIV(IMSUM(COMPLEX(Vout,0),IMPRODUCT(J397,COMPLEX($B$4,0))),IMSUM(E397,IMPRODUCT(J397,COMPLEX((1-$B$11)^2,0)))))</f>
        <v>0.390444647584128-36.7790671887386i</v>
      </c>
      <c r="N397" s="337">
        <f t="shared" ref="N397:N460" si="314">IF(Vin&gt;=Vout,0,IMSUB(IMPRODUCT(M397,COMPLEX(1-$B$11,0)),COMPLEX($B$4/(1-$B$11),0)))</f>
        <v>0</v>
      </c>
      <c r="O397" s="730" t="str">
        <f t="shared" ref="O397:O460" si="315">IMDIV(IF(Vin&gt;=Vout,M397,N397),IMPRODUCT(I397,IMSUM(IMDIV(COMPLEX(1,0),F397),IMDIV(COMPLEX(1,0),I397))))</f>
        <v>-1.20502897196693-14.2848704448627i</v>
      </c>
      <c r="P397" s="731" t="str">
        <f t="shared" ref="P397:P460" si="316">IF(Vin&gt;=Vout,IMDIV(IMPRODUCT(COMPLEX(Vin,0),J397),IMSUM(J397,E397)),IMPRODUCT(N397,J397))</f>
        <v>-1.64613471621311-0.229794230437096i</v>
      </c>
      <c r="Q397" s="729" t="str">
        <f t="shared" ref="Q397:Q460" si="317">IF(Vin&gt;=Vout,IMDIV(IMPRODUCT(P397,H397),IMSUM(COMPLEX($B$15,0),H397)),IMPRODUCT(O397,H397))</f>
        <v>-1.63408442649344-0.0869455259884695i</v>
      </c>
      <c r="R397" s="730"/>
      <c r="S397" s="405" t="str">
        <f t="shared" si="280"/>
        <v>39.4198767747344-6.27286406618393i</v>
      </c>
      <c r="T397" s="405" t="str">
        <f t="shared" si="281"/>
        <v>15.0637552893686-3.88782852974658i</v>
      </c>
      <c r="U397" s="405" t="str">
        <f t="shared" si="282"/>
        <v>-0.204240674312651-1.76407572238086i</v>
      </c>
      <c r="V397" s="731" t="str">
        <f t="shared" ref="V397:V460" si="318">COMPLEX(AEA,0)</f>
        <v>6000</v>
      </c>
      <c r="W397" s="733" t="str">
        <f>IMSUM(COMPLEX(1,0),IMDIV(COMPLEX(0,2*PI()*D397),COMPLEX(2*PI()*'Stability Calculations'!EA_Pole1,0)))</f>
        <v>1+225163.034862879i</v>
      </c>
      <c r="X397" s="734">
        <f t="shared" si="283"/>
        <v>225163.03486509962</v>
      </c>
      <c r="Y397" s="735">
        <f t="shared" si="284"/>
        <v>1.5707918855685621</v>
      </c>
      <c r="Z397" s="340" t="str">
        <f>IMSUM(COMPLEX(1,0),IMDIV(COMPLEX(0,2*PI()*D397),COMPLEX(2*PI()*'Stability Calculations'!EA_Zero1,0)))</f>
        <v>1+2229.33697884039i</v>
      </c>
      <c r="AA397" s="734">
        <f t="shared" si="285"/>
        <v>2229.3372031223089</v>
      </c>
      <c r="AB397" s="735">
        <f t="shared" si="286"/>
        <v>1.5703477629651923</v>
      </c>
      <c r="AC397" s="733" t="str">
        <f>IMSUM(COMPLEX(1,0),IMDIV(COMPLEX(0,2*PI()*D397),COMPLEX(2*PI()*'Stability Calculations'!EA_Pole2,0)))</f>
        <v>1+22.4571282499424i</v>
      </c>
      <c r="AD397" s="734">
        <f t="shared" si="287"/>
        <v>22.479381869490119</v>
      </c>
      <c r="AE397" s="735">
        <f t="shared" si="288"/>
        <v>1.526296432528657</v>
      </c>
      <c r="AF397" s="732" t="str">
        <f t="shared" si="289"/>
        <v>0.116387910379892-2.64012175292301i</v>
      </c>
      <c r="AG397" s="337">
        <f t="shared" si="290"/>
        <v>2.6426859472778572</v>
      </c>
      <c r="AH397" s="730">
        <f t="shared" si="291"/>
        <v>-1.5267405551320268</v>
      </c>
      <c r="AI397" s="731" t="str">
        <f t="shared" ref="AI397:AI460" si="319">COMPLEX(AIL,0)</f>
        <v>10000</v>
      </c>
      <c r="AJ397" s="733" t="str">
        <f t="shared" si="292"/>
        <v>1+209913.924060216i</v>
      </c>
      <c r="AK397" s="734">
        <f t="shared" si="293"/>
        <v>209913.92406259791</v>
      </c>
      <c r="AL397" s="735">
        <f t="shared" si="294"/>
        <v>1.5707915629374991</v>
      </c>
      <c r="AM397" s="340" t="str">
        <f t="shared" si="295"/>
        <v>1+356.248049218694i</v>
      </c>
      <c r="AN397" s="734">
        <f t="shared" si="296"/>
        <v>356.24945273238671</v>
      </c>
      <c r="AO397" s="735">
        <f t="shared" si="297"/>
        <v>1.5679893012526442</v>
      </c>
      <c r="AP397" s="733" t="str">
        <f t="shared" si="298"/>
        <v>1+17.2786176017261i</v>
      </c>
      <c r="AQ397" s="734">
        <f t="shared" si="299"/>
        <v>17.307530910753243</v>
      </c>
      <c r="AR397" s="735">
        <f t="shared" si="300"/>
        <v>1.5129858146174431</v>
      </c>
      <c r="AS397" s="732" t="str">
        <f t="shared" si="301"/>
        <v>0.0021757084171772-6.59652663223889i</v>
      </c>
      <c r="AT397" s="337">
        <f t="shared" si="302"/>
        <v>6.5965269910418813</v>
      </c>
      <c r="AU397" s="730">
        <f t="shared" si="303"/>
        <v>-1.5704665004393645</v>
      </c>
      <c r="AV397" s="732" t="str">
        <f t="shared" si="304"/>
        <v>-0.265348261746893+0.0560561961061036i</v>
      </c>
      <c r="AW397" s="337">
        <f t="shared" si="305"/>
        <v>-11.334055305164206</v>
      </c>
      <c r="AX397" s="730">
        <f t="shared" si="306"/>
        <v>168.07135907161322</v>
      </c>
      <c r="AY397" s="360">
        <f t="shared" si="307"/>
        <v>-11.928640928386784</v>
      </c>
      <c r="BB397" s="337">
        <f t="shared" si="308"/>
        <v>-23.613693124349137</v>
      </c>
      <c r="BC397" s="730">
        <f t="shared" si="309"/>
        <v>-89.981102341855831</v>
      </c>
      <c r="BD397" s="351"/>
      <c r="BE397" s="337">
        <f t="shared" ref="BE397:BE460" si="320">20*LOG10(IMABS(M397))</f>
        <v>31.312503619549364</v>
      </c>
      <c r="BF397" s="730">
        <f t="shared" ref="BF397:BF460" si="321">180/PI()*IMARGUMENT(IMPRODUCT(COMPLEX(1,0),M397))</f>
        <v>-89.391773858839258</v>
      </c>
      <c r="BI397" s="351"/>
      <c r="BJ397" s="351"/>
      <c r="BL397" s="405">
        <f t="shared" ref="BL397:BL460" si="322">SUM((AW398&lt;0)*(AW397&gt;0))*D397</f>
        <v>0</v>
      </c>
      <c r="BM397" s="405">
        <f t="shared" si="310"/>
        <v>0</v>
      </c>
      <c r="BN397" s="405">
        <f t="shared" ref="BN397:BN460" si="323">SUM((BB398&lt;0)*(BB397&gt;0))*D397</f>
        <v>0</v>
      </c>
      <c r="BO397" s="405">
        <f t="shared" ref="BO397:BO460" si="324">IF(BN397&gt;0,BC397,0)</f>
        <v>0</v>
      </c>
    </row>
    <row r="398" spans="4:67" ht="13.5" thickBot="1" x14ac:dyDescent="0.25">
      <c r="D398" s="345">
        <v>35687.75</v>
      </c>
      <c r="E398" s="340" t="str">
        <f t="shared" si="311"/>
        <v>0.591974450618228i</v>
      </c>
      <c r="F398" s="728" t="str">
        <f t="shared" ref="F398:F461" si="325">IMSUM(COMPLEX($B$8,0),IMDIV(COMPLEX(1,0),COMPLEX(0,2*PI()*D398*$B$6)))</f>
        <v>0.005-0.0731090479992711i</v>
      </c>
      <c r="G398" s="337" t="str">
        <f t="shared" ref="G398:G461" si="326">IMSUM(COMPLEX($B$9,0),IMDIV(COMPLEX(1,0),COMPLEX(0,2*PI()*D398*$B$7)))</f>
        <v>0.005-0.114350049434757i</v>
      </c>
      <c r="H398" s="338" t="str">
        <f t="shared" ref="H398:H461" si="327">IMDIV(COMPLEX(1,0),IMSUM(IMDIV(COMPLEX(1,0),COMPLEX($B$5,0)), IMDIV(COMPLEX(1,0),G398)))</f>
        <v>0.0155032579487287-0.112430910095048i</v>
      </c>
      <c r="I398" s="338" t="str">
        <f t="shared" ref="I398:I461" si="328">IMSUM(H398,COMPLEX($B$15,0))</f>
        <v>0.0255032579487287-0.112430910095048i</v>
      </c>
      <c r="J398" s="337" t="str">
        <f t="shared" ref="J398:J461" si="329">IMDIV(COMPLEX(1,0),IMSUM(IMDIV(COMPLEX(1,0),F398),IMDIV(COMPLEX(1,0),IMSUM(COMPLEX($B$15,0),H398))))</f>
        <v>0.00575317191959099-0.0445601642093761i</v>
      </c>
      <c r="K398" s="338" t="str">
        <f t="shared" si="312"/>
        <v>0.985848716665972-0.186860622038582i</v>
      </c>
      <c r="L398" s="732"/>
      <c r="M398" s="732" t="str">
        <f t="shared" si="313"/>
        <v>0.383934488206808-36.5313651020565i</v>
      </c>
      <c r="N398" s="337">
        <f t="shared" si="314"/>
        <v>0</v>
      </c>
      <c r="O398" s="730" t="str">
        <f t="shared" si="315"/>
        <v>-1.19671974992037-14.1875088692313i</v>
      </c>
      <c r="P398" s="731" t="str">
        <f t="shared" si="316"/>
        <v>-1.62563478662379-0.227279407729616i</v>
      </c>
      <c r="Q398" s="729" t="str">
        <f t="shared" si="317"/>
        <v>-1.61366758912458-0.0854043190373046i</v>
      </c>
      <c r="R398" s="730"/>
      <c r="S398" s="405" t="str">
        <f t="shared" ref="S398:S461" si="330">IMDIV(IMPRODUCT(COMPLEX($B$34,0),M398),IMSUM(COMPLEX(1,0),IMPRODUCT(M398,COMPLEX($B$29,0),K398,COMPLEX($B$34,0))))</f>
        <v>39.4110577294691-6.32219044873103i</v>
      </c>
      <c r="T398" s="405" t="str">
        <f t="shared" ref="T398:T461" si="331">IMDIV(IMPRODUCT(COMPLEX($B$34,0),O398),IMSUM(COMPLEX(1,0),IMPRODUCT(M398,COMPLEX($B$29,0),K398,COMPLEX($B$34,0))))</f>
        <v>15.0577378885679-3.90462575668212i</v>
      </c>
      <c r="U398" s="405" t="str">
        <f t="shared" ref="U398:U461" si="332">IMDIV(IMPRODUCT(COMPLEX($B$34,0),Q398),IMSUM(COMPLEX(1,0),IMPRODUCT(M398,COMPLEX($B$29,0),K398,COMPLEX($B$34,0))))</f>
        <v>-0.205556632793518-1.75348959508346i</v>
      </c>
      <c r="V398" s="731" t="str">
        <f t="shared" si="318"/>
        <v>6000</v>
      </c>
      <c r="W398" s="733" t="str">
        <f>IMSUM(COMPLEX(1,0),IMDIV(COMPLEX(0,2*PI()*D398),COMPLEX(2*PI()*'Stability Calculations'!EA_Pole1,0)))</f>
        <v>1+226475.073910761i</v>
      </c>
      <c r="X398" s="734">
        <f t="shared" ref="X398:X461" si="333">IMABS(W398)</f>
        <v>226475.07391296874</v>
      </c>
      <c r="Y398" s="735">
        <f t="shared" ref="Y398:Y461" si="334">IMARGUMENT(W398)</f>
        <v>1.5707919112979383</v>
      </c>
      <c r="Z398" s="340" t="str">
        <f>IMSUM(COMPLEX(1,0),IMDIV(COMPLEX(0,2*PI()*D398),COMPLEX(2*PI()*'Stability Calculations'!EA_Zero1,0)))</f>
        <v>1+2242.32746446298i</v>
      </c>
      <c r="AA398" s="734">
        <f t="shared" ref="AA398:AA461" si="335">IMABS(Z398)</f>
        <v>2242.3276874455651</v>
      </c>
      <c r="AB398" s="735">
        <f t="shared" ref="AB398:AB461" si="336">IMARGUMENT(Z398)</f>
        <v>1.5703503616316663</v>
      </c>
      <c r="AC398" s="733" t="str">
        <f>IMSUM(COMPLEX(1,0),IMDIV(COMPLEX(0,2*PI()*D398),COMPLEX(2*PI()*'Stability Calculations'!EA_Pole2,0)))</f>
        <v>1+22.5879873369375i</v>
      </c>
      <c r="AD398" s="734">
        <f t="shared" ref="AD398:AD461" si="337">IMABS(AC398)</f>
        <v>22.610112161014342</v>
      </c>
      <c r="AE398" s="735">
        <f t="shared" ref="AE398:AE461" si="338">IMARGUMENT(AC398)</f>
        <v>1.5265538967045784</v>
      </c>
      <c r="AF398" s="732" t="str">
        <f t="shared" ref="AF398:AF461" si="339">IMPRODUCT(V398,IMDIV(Z398,IMPRODUCT(W398,AC398)))</f>
        <v>0.115045905701269-2.62488613614649i</v>
      </c>
      <c r="AG398" s="337">
        <f t="shared" ref="AG398:AG461" si="340">IMABS(AF398)</f>
        <v>2.6274060950208433</v>
      </c>
      <c r="AH398" s="730">
        <f t="shared" ref="AH398:AH461" si="341">IMARGUMENT(AF398)</f>
        <v>-1.5269954463708504</v>
      </c>
      <c r="AI398" s="731" t="str">
        <f t="shared" si="319"/>
        <v>10000</v>
      </c>
      <c r="AJ398" s="733" t="str">
        <f t="shared" ref="AJ398:AJ461" si="342">IMSUM(COMPLEX(1,0),IMDIV(COMPLEX(0,2*PI()*D398),COMPLEX(2*PI()*IL_Pole1,0)))</f>
        <v>1+211137.105588342i</v>
      </c>
      <c r="AK398" s="734">
        <f t="shared" ref="AK398:AK461" si="343">IMABS(AJ398)</f>
        <v>211137.1055907101</v>
      </c>
      <c r="AL398" s="735">
        <f t="shared" ref="AL398:AL461" si="344">IMARGUMENT(AJ398)</f>
        <v>1.5707915905359751</v>
      </c>
      <c r="AM398" s="340" t="str">
        <f t="shared" ref="AM398:AM461" si="345">IMSUM(COMPLEX(1,0),IMDIV(COMPLEX(0,2*PI()*D398),COMPLEX(2*PI()*IL_Zero1,0)))</f>
        <v>1+358.323928821184i</v>
      </c>
      <c r="AN398" s="734">
        <f t="shared" ref="AN398:AN461" si="346">IMABS(AM398)</f>
        <v>358.32532420392636</v>
      </c>
      <c r="AO398" s="735">
        <f t="shared" ref="AO398:AO461" si="347">IMARGUMENT(AM398)</f>
        <v>1.5680055631214578</v>
      </c>
      <c r="AP398" s="733" t="str">
        <f t="shared" ref="AP398:AP461" si="348">IMSUM(COMPLEX(1,0),IMDIV(COMPLEX(0,2*PI()*D398),COMPLEX(2*PI()*IL_Pole2,0)))</f>
        <v>1+17.3793011841831i</v>
      </c>
      <c r="AQ398" s="734">
        <f t="shared" ref="AQ398:AQ461" si="349">IMABS(AP398)</f>
        <v>17.408047267012694</v>
      </c>
      <c r="AR398" s="735">
        <f t="shared" ref="AR398:AR461" si="350">IMARGUMENT(AP398)</f>
        <v>1.5133199892620548</v>
      </c>
      <c r="AS398" s="732" t="str">
        <f t="shared" ref="AS398:AS461" si="351">_xlfn.SWITCH(IMONLIM_select,0,COMPLEX(1,0),1,IMPRODUCT(gm_IL,IMDIV(COMPLEX(1,0),IMSUM(COMPLEX(1/20000000,0),COMPLEX(0,2*PI()*D398*CISET),COMPLEX(1/RISET,0)))),2,IMPRODUCT(gm_IL,IMDIV(COMPLEX(1,0),IMSUM(COMPLEX(1/20000000,0),COMPLEX(0,2*PI()*D398*CcIL)))),3,IMPRODUCT(AI398,IMDIV(AM398,IMPRODUCT(AJ398,AP398))))</f>
        <v>0.00215057235942205-6.55831095355195i</v>
      </c>
      <c r="AT398" s="337">
        <f t="shared" ref="AT398:AT461" si="352">IMABS(AS398)</f>
        <v>6.5583113061550344</v>
      </c>
      <c r="AU398" s="730">
        <f t="shared" ref="AU398:AU461" si="353">IMARGUMENT(AS398)</f>
        <v>-1.5704684112237122</v>
      </c>
      <c r="AV398" s="732" t="str">
        <f t="shared" ref="AV398:AV461" si="354">IMPRODUCT(T398,AS398,COMPLEX($B$15,0),IMPRODUCT(COMPLEX(0.1,0),AF398))</f>
        <v>-0.262180622722973+0.0557702945212226i</v>
      </c>
      <c r="AW398" s="337">
        <f t="shared" ref="AW398:AW461" si="355">20*LOG10(IMABS(AV398))</f>
        <v>-11.435792437293362</v>
      </c>
      <c r="AX398" s="730">
        <f t="shared" ref="AX398:AX461" si="356">(180/PI())*IMARGUMENT(AV398)</f>
        <v>167.99120124001013</v>
      </c>
      <c r="AY398" s="360">
        <f t="shared" ref="AY398:AY461" si="357">IF(AX398&gt;0,AX398-180,AX398+180)</f>
        <v>-12.008798759989872</v>
      </c>
      <c r="BB398" s="337">
        <f t="shared" ref="BB398:BB461" si="358">20*LOG10(IMPRODUCT(COMPLEX($B$15,0),IMABS(AS398)))</f>
        <v>-23.664159446725883</v>
      </c>
      <c r="BC398" s="730">
        <f t="shared" ref="BC398:BC461" si="359">(180/PI())*IMARGUMENT(AS398)</f>
        <v>-89.981211821734519</v>
      </c>
      <c r="BD398" s="351"/>
      <c r="BE398" s="337">
        <f t="shared" si="320"/>
        <v>31.253797694395075</v>
      </c>
      <c r="BF398" s="730">
        <f t="shared" si="321"/>
        <v>-89.397859459722696</v>
      </c>
      <c r="BI398" s="351"/>
      <c r="BJ398" s="351"/>
      <c r="BL398" s="405">
        <f t="shared" si="322"/>
        <v>0</v>
      </c>
      <c r="BM398" s="405">
        <f t="shared" si="310"/>
        <v>0</v>
      </c>
      <c r="BN398" s="405">
        <f t="shared" si="323"/>
        <v>0</v>
      </c>
      <c r="BO398" s="405">
        <f t="shared" si="324"/>
        <v>0</v>
      </c>
    </row>
    <row r="399" spans="4:67" ht="13.5" thickBot="1" x14ac:dyDescent="0.25">
      <c r="D399" s="345">
        <v>35894.5</v>
      </c>
      <c r="E399" s="340" t="str">
        <f t="shared" si="311"/>
        <v>0.595403938822592i</v>
      </c>
      <c r="F399" s="728" t="str">
        <f t="shared" si="325"/>
        <v>0.005-0.0726879446081152i</v>
      </c>
      <c r="G399" s="337" t="str">
        <f t="shared" si="326"/>
        <v>0.005-0.113691400540898i</v>
      </c>
      <c r="H399" s="338" t="str">
        <f t="shared" si="327"/>
        <v>0.0153834131105303-0.111794468384549i</v>
      </c>
      <c r="I399" s="338" t="str">
        <f t="shared" si="328"/>
        <v>0.0253834131105303-0.111794468384549i</v>
      </c>
      <c r="J399" s="337" t="str">
        <f t="shared" si="329"/>
        <v>0.00573449955614704-0.0443046391050766i</v>
      </c>
      <c r="K399" s="338" t="str">
        <f t="shared" si="312"/>
        <v>0.985684276330556-0.187943162507131i</v>
      </c>
      <c r="L399" s="732"/>
      <c r="M399" s="732" t="str">
        <f t="shared" si="313"/>
        <v>0.377588518253706-36.2871713483582i</v>
      </c>
      <c r="N399" s="337">
        <f t="shared" si="314"/>
        <v>0</v>
      </c>
      <c r="O399" s="730" t="str">
        <f t="shared" si="315"/>
        <v>-1.18855139335497-14.0915313725832i</v>
      </c>
      <c r="P399" s="731" t="str">
        <f t="shared" si="316"/>
        <v>-1.60552474954275-0.224817691022443i</v>
      </c>
      <c r="Q399" s="729" t="str">
        <f t="shared" si="317"/>
        <v>-1.5936392356092-0.0839023772966117i</v>
      </c>
      <c r="R399" s="730"/>
      <c r="S399" s="405" t="str">
        <f t="shared" si="330"/>
        <v>39.4021669782478-6.3714306776872i</v>
      </c>
      <c r="T399" s="405" t="str">
        <f t="shared" si="331"/>
        <v>15.0516942292259-3.92144268565947i</v>
      </c>
      <c r="U399" s="405" t="str">
        <f t="shared" si="332"/>
        <v>-0.206849170002209-1.74302132746586i</v>
      </c>
      <c r="V399" s="731" t="str">
        <f t="shared" si="318"/>
        <v>6000</v>
      </c>
      <c r="W399" s="733" t="str">
        <f>IMSUM(COMPLEX(1,0),IMDIV(COMPLEX(0,2*PI()*D399),COMPLEX(2*PI()*'Stability Calculations'!EA_Pole1,0)))</f>
        <v>1+227787.112958644i</v>
      </c>
      <c r="X399" s="734">
        <f t="shared" si="333"/>
        <v>227787.112960839</v>
      </c>
      <c r="Y399" s="735">
        <f t="shared" si="334"/>
        <v>1.5707919367309153</v>
      </c>
      <c r="Z399" s="340" t="str">
        <f>IMSUM(COMPLEX(1,0),IMDIV(COMPLEX(0,2*PI()*D399),COMPLEX(2*PI()*'Stability Calculations'!EA_Zero1,0)))</f>
        <v>1+2255.31795008558i</v>
      </c>
      <c r="AA399" s="734">
        <f t="shared" si="335"/>
        <v>2255.3181717838002</v>
      </c>
      <c r="AB399" s="735">
        <f t="shared" si="336"/>
        <v>1.5703529303618444</v>
      </c>
      <c r="AC399" s="733" t="str">
        <f>IMSUM(COMPLEX(1,0),IMDIV(COMPLEX(0,2*PI()*D399),COMPLEX(2*PI()*'Stability Calculations'!EA_Pole2,0)))</f>
        <v>1+22.7188464239327i</v>
      </c>
      <c r="AD399" s="734">
        <f t="shared" si="337"/>
        <v>22.740843934081244</v>
      </c>
      <c r="AE399" s="735">
        <f t="shared" si="338"/>
        <v>1.5268084006950007</v>
      </c>
      <c r="AF399" s="732" t="str">
        <f t="shared" si="339"/>
        <v>0.113726963963807-2.60982501656098i</v>
      </c>
      <c r="AG399" s="337">
        <f t="shared" si="340"/>
        <v>2.6123017512148068</v>
      </c>
      <c r="AH399" s="730">
        <f t="shared" si="341"/>
        <v>-1.5272474070640716</v>
      </c>
      <c r="AI399" s="731" t="str">
        <f t="shared" si="319"/>
        <v>10000</v>
      </c>
      <c r="AJ399" s="733" t="str">
        <f t="shared" si="342"/>
        <v>1+212360.287116469i</v>
      </c>
      <c r="AK399" s="734">
        <f t="shared" si="343"/>
        <v>212360.28711882347</v>
      </c>
      <c r="AL399" s="735">
        <f t="shared" si="344"/>
        <v>1.5707916178165204</v>
      </c>
      <c r="AM399" s="340" t="str">
        <f t="shared" si="345"/>
        <v>1+360.399808423676i</v>
      </c>
      <c r="AN399" s="734">
        <f t="shared" si="346"/>
        <v>360.40119576913497</v>
      </c>
      <c r="AO399" s="735">
        <f t="shared" si="347"/>
        <v>1.5680216376570957</v>
      </c>
      <c r="AP399" s="733" t="str">
        <f t="shared" si="348"/>
        <v>1+17.4799847666401i</v>
      </c>
      <c r="AQ399" s="734">
        <f t="shared" si="349"/>
        <v>17.508565544954561</v>
      </c>
      <c r="AR399" s="735">
        <f t="shared" si="350"/>
        <v>1.513650326888738</v>
      </c>
      <c r="AS399" s="732" t="str">
        <f t="shared" si="351"/>
        <v>0.0021258693956951-6.52053551440227i</v>
      </c>
      <c r="AT399" s="337">
        <f t="shared" si="352"/>
        <v>6.5205358609474704</v>
      </c>
      <c r="AU399" s="730">
        <f t="shared" si="353"/>
        <v>-1.5704702999960736</v>
      </c>
      <c r="AV399" s="732" t="str">
        <f t="shared" si="354"/>
        <v>-0.25906766043591+0.055486779014241i</v>
      </c>
      <c r="AW399" s="337">
        <f t="shared" si="355"/>
        <v>-11.536948404425758</v>
      </c>
      <c r="AX399" s="730">
        <f t="shared" si="356"/>
        <v>167.91110442489034</v>
      </c>
      <c r="AY399" s="360">
        <f t="shared" si="357"/>
        <v>-12.08889557510966</v>
      </c>
      <c r="BB399" s="337">
        <f t="shared" si="358"/>
        <v>-23.71433424520912</v>
      </c>
      <c r="BC399" s="730">
        <f t="shared" si="359"/>
        <v>-89.981320040419277</v>
      </c>
      <c r="BD399" s="351"/>
      <c r="BE399" s="337">
        <f t="shared" si="320"/>
        <v>31.195532519642434</v>
      </c>
      <c r="BF399" s="730">
        <f t="shared" si="321"/>
        <v>-89.40382656144304</v>
      </c>
      <c r="BI399" s="351"/>
      <c r="BJ399" s="351"/>
      <c r="BL399" s="405">
        <f t="shared" si="322"/>
        <v>0</v>
      </c>
      <c r="BM399" s="405">
        <f t="shared" si="310"/>
        <v>0</v>
      </c>
      <c r="BN399" s="405">
        <f t="shared" si="323"/>
        <v>0</v>
      </c>
      <c r="BO399" s="405">
        <f t="shared" si="324"/>
        <v>0</v>
      </c>
    </row>
    <row r="400" spans="4:67" ht="13.5" thickBot="1" x14ac:dyDescent="0.25">
      <c r="D400" s="345">
        <v>36101.25</v>
      </c>
      <c r="E400" s="340" t="str">
        <f t="shared" si="311"/>
        <v>0.598833427026957i</v>
      </c>
      <c r="F400" s="728" t="str">
        <f t="shared" si="325"/>
        <v>0.005-0.0722716644918388i</v>
      </c>
      <c r="G400" s="337" t="str">
        <f t="shared" si="326"/>
        <v>0.005-0.113040295743645i</v>
      </c>
      <c r="H400" s="338" t="str">
        <f t="shared" si="327"/>
        <v>0.0152655981002767-0.11116512859275i</v>
      </c>
      <c r="I400" s="338" t="str">
        <f t="shared" si="328"/>
        <v>0.0252655981002767-0.11116512859275i</v>
      </c>
      <c r="J400" s="337" t="str">
        <f t="shared" si="329"/>
        <v>0.00571614540287787-0.0440520318192977i</v>
      </c>
      <c r="K400" s="338" t="str">
        <f t="shared" si="312"/>
        <v>0.98551888609375-0.189025702975681i</v>
      </c>
      <c r="L400" s="732"/>
      <c r="M400" s="732" t="str">
        <f t="shared" si="313"/>
        <v>0.371401269487326-36.0464088902178i</v>
      </c>
      <c r="N400" s="337">
        <f t="shared" si="314"/>
        <v>0</v>
      </c>
      <c r="O400" s="730" t="str">
        <f t="shared" si="315"/>
        <v>-1.18052074692246-13.9969073458597i</v>
      </c>
      <c r="P400" s="731" t="str">
        <f t="shared" si="316"/>
        <v>-1.58579456774409-0.222407495009257i</v>
      </c>
      <c r="Q400" s="729" t="str">
        <f t="shared" si="317"/>
        <v>-1.57398936027487-0.0824384215506581i</v>
      </c>
      <c r="R400" s="730"/>
      <c r="S400" s="405" t="str">
        <f t="shared" si="330"/>
        <v>39.393204850052-6.42058595790183i</v>
      </c>
      <c r="T400" s="405" t="str">
        <f t="shared" si="331"/>
        <v>15.0456241933775-3.93827875420642i</v>
      </c>
      <c r="U400" s="405" t="str">
        <f t="shared" si="332"/>
        <v>-0.208118812041556-1.73266892888359i</v>
      </c>
      <c r="V400" s="731" t="str">
        <f t="shared" si="318"/>
        <v>6000</v>
      </c>
      <c r="W400" s="733" t="str">
        <f>IMSUM(COMPLEX(1,0),IMDIV(COMPLEX(0,2*PI()*D400),COMPLEX(2*PI()*'Stability Calculations'!EA_Pole1,0)))</f>
        <v>1+229099.152006525i</v>
      </c>
      <c r="X400" s="734">
        <f t="shared" si="333"/>
        <v>229099.15200870743</v>
      </c>
      <c r="Y400" s="735">
        <f t="shared" si="334"/>
        <v>1.5707919618725859</v>
      </c>
      <c r="Z400" s="340" t="str">
        <f>IMSUM(COMPLEX(1,0),IMDIV(COMPLEX(0,2*PI()*D400),COMPLEX(2*PI()*'Stability Calculations'!EA_Zero1,0)))</f>
        <v>1+2268.30843570817i</v>
      </c>
      <c r="AA400" s="734">
        <f t="shared" si="335"/>
        <v>2268.3086561367354</v>
      </c>
      <c r="AB400" s="735">
        <f t="shared" si="336"/>
        <v>1.5703554696700572</v>
      </c>
      <c r="AC400" s="733" t="str">
        <f>IMSUM(COMPLEX(1,0),IMDIV(COMPLEX(0,2*PI()*D400),COMPLEX(2*PI()*'Stability Calculations'!EA_Pole2,0)))</f>
        <v>1+22.8497055109279i</v>
      </c>
      <c r="AD400" s="734">
        <f t="shared" si="337"/>
        <v>22.871577163285632</v>
      </c>
      <c r="AE400" s="735">
        <f t="shared" si="338"/>
        <v>1.5270599952276549</v>
      </c>
      <c r="AF400" s="732" t="str">
        <f t="shared" si="339"/>
        <v>0.112430560050787-2.59493541913855i</v>
      </c>
      <c r="AG400" s="337">
        <f t="shared" si="340"/>
        <v>2.5973699121097669</v>
      </c>
      <c r="AH400" s="730">
        <f t="shared" si="341"/>
        <v>-1.5274964874301833</v>
      </c>
      <c r="AI400" s="731" t="str">
        <f t="shared" si="319"/>
        <v>10000</v>
      </c>
      <c r="AJ400" s="733" t="str">
        <f t="shared" si="342"/>
        <v>1+213583.468644595i</v>
      </c>
      <c r="AK400" s="734">
        <f t="shared" si="343"/>
        <v>213583.468646936</v>
      </c>
      <c r="AL400" s="735">
        <f t="shared" si="344"/>
        <v>1.5707916447845971</v>
      </c>
      <c r="AM400" s="340" t="str">
        <f t="shared" si="345"/>
        <v>1+362.475688026165i</v>
      </c>
      <c r="AN400" s="734">
        <f t="shared" si="346"/>
        <v>362.47706742639832</v>
      </c>
      <c r="AO400" s="735">
        <f t="shared" si="347"/>
        <v>1.5680375280780667</v>
      </c>
      <c r="AP400" s="733" t="str">
        <f t="shared" si="348"/>
        <v>1+17.5806683490971i</v>
      </c>
      <c r="AQ400" s="734">
        <f t="shared" si="349"/>
        <v>17.609085711670112</v>
      </c>
      <c r="AR400" s="735">
        <f t="shared" si="350"/>
        <v>1.5139768931347748</v>
      </c>
      <c r="AS400" s="732" t="str">
        <f t="shared" si="351"/>
        <v>0.00210158963323329-6.48319275110549i</v>
      </c>
      <c r="AT400" s="337">
        <f t="shared" si="352"/>
        <v>6.4831930917307838</v>
      </c>
      <c r="AU400" s="730">
        <f t="shared" si="353"/>
        <v>-1.5704721671346329</v>
      </c>
      <c r="AV400" s="732" t="str">
        <f t="shared" si="354"/>
        <v>-0.256008123707297+0.0552056282216268i</v>
      </c>
      <c r="AW400" s="337">
        <f t="shared" si="355"/>
        <v>-11.637529955563279</v>
      </c>
      <c r="AX400" s="730">
        <f t="shared" si="356"/>
        <v>167.83106750103727</v>
      </c>
      <c r="AY400" s="360">
        <f t="shared" si="357"/>
        <v>-12.168932498962732</v>
      </c>
      <c r="BB400" s="337">
        <f t="shared" si="358"/>
        <v>-23.764220868499176</v>
      </c>
      <c r="BC400" s="730">
        <f t="shared" si="359"/>
        <v>-89.98142701957849</v>
      </c>
      <c r="BD400" s="351"/>
      <c r="BE400" s="337">
        <f t="shared" si="320"/>
        <v>31.137701120270261</v>
      </c>
      <c r="BF400" s="730">
        <f t="shared" si="321"/>
        <v>-89.409678441521208</v>
      </c>
      <c r="BI400" s="351"/>
      <c r="BJ400" s="351"/>
      <c r="BL400" s="405">
        <f t="shared" si="322"/>
        <v>0</v>
      </c>
      <c r="BM400" s="405">
        <f t="shared" si="310"/>
        <v>0</v>
      </c>
      <c r="BN400" s="405">
        <f t="shared" si="323"/>
        <v>0</v>
      </c>
      <c r="BO400" s="405">
        <f t="shared" si="324"/>
        <v>0</v>
      </c>
    </row>
    <row r="401" spans="4:67" ht="13.5" thickBot="1" x14ac:dyDescent="0.25">
      <c r="D401" s="345">
        <v>36308</v>
      </c>
      <c r="E401" s="340" t="str">
        <f t="shared" si="311"/>
        <v>0.602262915231322i</v>
      </c>
      <c r="F401" s="728" t="str">
        <f t="shared" si="325"/>
        <v>0.005-0.0718601252543787i</v>
      </c>
      <c r="G401" s="337" t="str">
        <f t="shared" si="326"/>
        <v>0.005-0.112396606167105i</v>
      </c>
      <c r="H401" s="338" t="str">
        <f t="shared" si="327"/>
        <v>0.0151497674651637-0.110542773579268i</v>
      </c>
      <c r="I401" s="338" t="str">
        <f t="shared" si="328"/>
        <v>0.0251497674651637-0.110542773579268i</v>
      </c>
      <c r="J401" s="337" t="str">
        <f t="shared" si="329"/>
        <v>0.0056981022420397-0.0438022927635798i</v>
      </c>
      <c r="K401" s="338" t="str">
        <f t="shared" si="312"/>
        <v>0.985352545955556-0.19010824344423i</v>
      </c>
      <c r="L401" s="732"/>
      <c r="M401" s="732" t="str">
        <f t="shared" si="313"/>
        <v>0.365367497729101-35.8090029880256i</v>
      </c>
      <c r="N401" s="337">
        <f t="shared" si="314"/>
        <v>0</v>
      </c>
      <c r="O401" s="730" t="str">
        <f t="shared" si="315"/>
        <v>-1.1726247403856-13.903607099642i</v>
      </c>
      <c r="P401" s="731" t="str">
        <f t="shared" si="316"/>
        <v>-1.56643453109542-0.220047294313102i</v>
      </c>
      <c r="Q401" s="729" t="str">
        <f t="shared" si="317"/>
        <v>-1.55470828369156-0.081011223316682i</v>
      </c>
      <c r="R401" s="730"/>
      <c r="S401" s="405" t="str">
        <f t="shared" si="330"/>
        <v>39.384171664373-6.46965746563467i</v>
      </c>
      <c r="T401" s="405" t="str">
        <f t="shared" si="331"/>
        <v>15.0395276669047-3.95513341107912i</v>
      </c>
      <c r="U401" s="405" t="str">
        <f t="shared" si="332"/>
        <v>-0.209366070197214-1.72243045309332i</v>
      </c>
      <c r="V401" s="731" t="str">
        <f t="shared" si="318"/>
        <v>6000</v>
      </c>
      <c r="W401" s="733" t="str">
        <f>IMSUM(COMPLEX(1,0),IMDIV(COMPLEX(0,2*PI()*D401),COMPLEX(2*PI()*'Stability Calculations'!EA_Pole1,0)))</f>
        <v>1+230411.191054407i</v>
      </c>
      <c r="X401" s="734">
        <f t="shared" si="333"/>
        <v>230411.19105657708</v>
      </c>
      <c r="Y401" s="735">
        <f t="shared" si="334"/>
        <v>1.5707919867279259</v>
      </c>
      <c r="Z401" s="340" t="str">
        <f>IMSUM(COMPLEX(1,0),IMDIV(COMPLEX(0,2*PI()*D401),COMPLEX(2*PI()*'Stability Calculations'!EA_Zero1,0)))</f>
        <v>1+2281.29892133076i</v>
      </c>
      <c r="AA401" s="734">
        <f t="shared" si="335"/>
        <v>2281.2991405041316</v>
      </c>
      <c r="AB401" s="735">
        <f t="shared" si="336"/>
        <v>1.5703579800589207</v>
      </c>
      <c r="AC401" s="733" t="str">
        <f>IMSUM(COMPLEX(1,0),IMDIV(COMPLEX(0,2*PI()*D401),COMPLEX(2*PI()*'Stability Calculations'!EA_Pole2,0)))</f>
        <v>1+22.980564597923i</v>
      </c>
      <c r="AD401" s="734">
        <f t="shared" si="337"/>
        <v>23.002311823799623</v>
      </c>
      <c r="AE401" s="735">
        <f t="shared" si="338"/>
        <v>1.5273087298785115</v>
      </c>
      <c r="AF401" s="732" t="str">
        <f t="shared" si="339"/>
        <v>0.111156183696868-2.58021443596819i</v>
      </c>
      <c r="AG401" s="337">
        <f t="shared" si="340"/>
        <v>2.5826076420456703</v>
      </c>
      <c r="AH401" s="730">
        <f t="shared" si="341"/>
        <v>-1.5277427365475165</v>
      </c>
      <c r="AI401" s="731" t="str">
        <f t="shared" si="319"/>
        <v>10000</v>
      </c>
      <c r="AJ401" s="733" t="str">
        <f t="shared" si="342"/>
        <v>1+214806.650172721i</v>
      </c>
      <c r="AK401" s="734">
        <f t="shared" si="343"/>
        <v>214806.65017504871</v>
      </c>
      <c r="AL401" s="735">
        <f t="shared" si="344"/>
        <v>1.5707916714455432</v>
      </c>
      <c r="AM401" s="340" t="str">
        <f t="shared" si="345"/>
        <v>1+364.551567628655i</v>
      </c>
      <c r="AN401" s="734">
        <f t="shared" si="346"/>
        <v>364.5529391741477</v>
      </c>
      <c r="AO401" s="735">
        <f t="shared" si="347"/>
        <v>1.5680532375295726</v>
      </c>
      <c r="AP401" s="733" t="str">
        <f t="shared" si="348"/>
        <v>1+17.681351931554i</v>
      </c>
      <c r="AQ401" s="734">
        <f t="shared" si="349"/>
        <v>17.709607734997082</v>
      </c>
      <c r="AR401" s="735">
        <f t="shared" si="350"/>
        <v>1.5142997521504438</v>
      </c>
      <c r="AS401" s="732" t="str">
        <f t="shared" si="351"/>
        <v>0.00207772346013298-6.44627527225799i</v>
      </c>
      <c r="AT401" s="337">
        <f t="shared" si="352"/>
        <v>6.4462756070974505</v>
      </c>
      <c r="AU401" s="730">
        <f t="shared" si="353"/>
        <v>-1.5704740130089612</v>
      </c>
      <c r="AV401" s="732" t="str">
        <f t="shared" si="354"/>
        <v>-0.253000796957856+0.0549268207007695i</v>
      </c>
      <c r="AW401" s="337">
        <f t="shared" si="355"/>
        <v>-11.737543723616955</v>
      </c>
      <c r="AX401" s="730">
        <f t="shared" si="356"/>
        <v>167.75108936982215</v>
      </c>
      <c r="AY401" s="360">
        <f t="shared" si="357"/>
        <v>-12.248910630177846</v>
      </c>
      <c r="BB401" s="337">
        <f t="shared" si="358"/>
        <v>-23.813822607926308</v>
      </c>
      <c r="BC401" s="730">
        <f t="shared" si="359"/>
        <v>-89.981532780387013</v>
      </c>
      <c r="BD401" s="351"/>
      <c r="BE401" s="337">
        <f t="shared" si="320"/>
        <v>31.080296689435873</v>
      </c>
      <c r="BF401" s="730">
        <f t="shared" si="321"/>
        <v>-89.415418262497795</v>
      </c>
      <c r="BI401" s="351"/>
      <c r="BJ401" s="351"/>
      <c r="BL401" s="405">
        <f t="shared" si="322"/>
        <v>0</v>
      </c>
      <c r="BM401" s="405">
        <f t="shared" si="310"/>
        <v>0</v>
      </c>
      <c r="BN401" s="405">
        <f t="shared" si="323"/>
        <v>0</v>
      </c>
      <c r="BO401" s="405">
        <f t="shared" si="324"/>
        <v>0</v>
      </c>
    </row>
    <row r="402" spans="4:67" ht="13.5" thickBot="1" x14ac:dyDescent="0.25">
      <c r="D402" s="345">
        <v>36519.5</v>
      </c>
      <c r="E402" s="340" t="str">
        <f t="shared" si="311"/>
        <v>0.605771194579439i</v>
      </c>
      <c r="F402" s="728" t="str">
        <f t="shared" si="325"/>
        <v>0.005-0.0714439526208189i</v>
      </c>
      <c r="G402" s="337" t="str">
        <f t="shared" si="326"/>
        <v>0.005-0.111745669483845i</v>
      </c>
      <c r="H402" s="338" t="str">
        <f t="shared" si="327"/>
        <v>0.0150332828823113-0.109913228058762i</v>
      </c>
      <c r="I402" s="338" t="str">
        <f t="shared" si="328"/>
        <v>0.0250332828823113-0.109913228058762i</v>
      </c>
      <c r="J402" s="337" t="str">
        <f t="shared" si="329"/>
        <v>0.00567995902608804-0.0435497333494861i</v>
      </c>
      <c r="K402" s="338" t="str">
        <f t="shared" si="312"/>
        <v>0.985181401330556-0.191215654854621i</v>
      </c>
      <c r="L402" s="732"/>
      <c r="M402" s="732" t="str">
        <f t="shared" si="313"/>
        <v>0.359348664765629-35.5695402849959i</v>
      </c>
      <c r="N402" s="337">
        <f t="shared" si="314"/>
        <v>0</v>
      </c>
      <c r="O402" s="730" t="str">
        <f t="shared" si="315"/>
        <v>-1.16468352691186-13.8095030388372i</v>
      </c>
      <c r="P402" s="731" t="str">
        <f t="shared" si="316"/>
        <v>-1.54700290908343-0.217683069925602i</v>
      </c>
      <c r="Q402" s="729" t="str">
        <f t="shared" si="317"/>
        <v>-1.53535607381431-0.0795880395372294i</v>
      </c>
      <c r="R402" s="730"/>
      <c r="S402" s="405" t="str">
        <f t="shared" si="330"/>
        <v>39.3748577432935-6.51977088769593i</v>
      </c>
      <c r="T402" s="405" t="str">
        <f t="shared" si="331"/>
        <v>15.0332635495163-3.97239396758416i</v>
      </c>
      <c r="U402" s="405" t="str">
        <f t="shared" si="332"/>
        <v>-0.210619340514111-1.71207264722013i</v>
      </c>
      <c r="V402" s="731" t="str">
        <f t="shared" si="318"/>
        <v>6000</v>
      </c>
      <c r="W402" s="733" t="str">
        <f>IMSUM(COMPLEX(1,0),IMDIV(COMPLEX(0,2*PI()*D402),COMPLEX(2*PI()*'Stability Calculations'!EA_Pole1,0)))</f>
        <v>1+231753.3736838i</v>
      </c>
      <c r="X402" s="734">
        <f t="shared" si="333"/>
        <v>231753.37368595749</v>
      </c>
      <c r="Y402" s="735">
        <f t="shared" si="334"/>
        <v>1.5707920118631047</v>
      </c>
      <c r="Z402" s="340" t="str">
        <f>IMSUM(COMPLEX(1,0),IMDIV(COMPLEX(0,2*PI()*D402),COMPLEX(2*PI()*'Stability Calculations'!EA_Zero1,0)))</f>
        <v>1+2294.58785825545i</v>
      </c>
      <c r="AA402" s="734">
        <f t="shared" si="335"/>
        <v>2294.5880761594954</v>
      </c>
      <c r="AB402" s="735">
        <f t="shared" si="336"/>
        <v>1.5703605187115004</v>
      </c>
      <c r="AC402" s="733" t="str">
        <f>IMSUM(COMPLEX(1,0),IMDIV(COMPLEX(0,2*PI()*D402),COMPLEX(2*PI()*'Stability Calculations'!EA_Pole2,0)))</f>
        <v>1+23.114430121016i</v>
      </c>
      <c r="AD402" s="734">
        <f t="shared" si="337"/>
        <v>23.136051517476609</v>
      </c>
      <c r="AE402" s="735">
        <f t="shared" si="338"/>
        <v>1.5275602704334836</v>
      </c>
      <c r="AF402" s="732" t="str">
        <f t="shared" si="339"/>
        <v>0.109874804549344-2.56532674998563i</v>
      </c>
      <c r="AG402" s="337">
        <f t="shared" si="340"/>
        <v>2.5676786806114564</v>
      </c>
      <c r="AH402" s="730">
        <f t="shared" si="341"/>
        <v>-1.5279917635850879</v>
      </c>
      <c r="AI402" s="731" t="str">
        <f t="shared" si="319"/>
        <v>10000</v>
      </c>
      <c r="AJ402" s="733" t="str">
        <f t="shared" si="342"/>
        <v>1+216057.933815762i</v>
      </c>
      <c r="AK402" s="734">
        <f t="shared" si="343"/>
        <v>216057.93381807618</v>
      </c>
      <c r="AL402" s="735">
        <f t="shared" si="344"/>
        <v>1.5707916984066568</v>
      </c>
      <c r="AM402" s="340" t="str">
        <f t="shared" si="345"/>
        <v>1+366.675139749221i</v>
      </c>
      <c r="AN402" s="734">
        <f t="shared" si="346"/>
        <v>366.67650335153837</v>
      </c>
      <c r="AO402" s="735">
        <f t="shared" si="347"/>
        <v>1.5680691238504298</v>
      </c>
      <c r="AP402" s="733" t="str">
        <f t="shared" si="348"/>
        <v>1+17.7843486797507i</v>
      </c>
      <c r="AQ402" s="734">
        <f t="shared" si="349"/>
        <v>17.812441100617018</v>
      </c>
      <c r="AR402" s="735">
        <f t="shared" si="350"/>
        <v>1.5146262581291279</v>
      </c>
      <c r="AS402" s="732" t="str">
        <f t="shared" si="351"/>
        <v>0.00205372718532616-6.40894215052124i</v>
      </c>
      <c r="AT402" s="337">
        <f t="shared" si="352"/>
        <v>6.4089424795767336</v>
      </c>
      <c r="AU402" s="730">
        <f t="shared" si="353"/>
        <v>-1.5704758796654334</v>
      </c>
      <c r="AV402" s="732" t="str">
        <f t="shared" si="354"/>
        <v>-0.249977169705618+0.0546440099133224i</v>
      </c>
      <c r="AW402" s="337">
        <f t="shared" si="355"/>
        <v>-11.839274565726223</v>
      </c>
      <c r="AX402" s="730">
        <f t="shared" si="356"/>
        <v>167.66933348830156</v>
      </c>
      <c r="AY402" s="360">
        <f t="shared" si="357"/>
        <v>-12.330666511698439</v>
      </c>
      <c r="BB402" s="337">
        <f t="shared" si="358"/>
        <v>-23.864272524051305</v>
      </c>
      <c r="BC402" s="730">
        <f t="shared" si="359"/>
        <v>-89.981639731924687</v>
      </c>
      <c r="BD402" s="351"/>
      <c r="BE402" s="337">
        <f t="shared" si="320"/>
        <v>31.022008283263961</v>
      </c>
      <c r="BF402" s="730">
        <f t="shared" si="321"/>
        <v>-89.421177185110764</v>
      </c>
      <c r="BI402" s="351"/>
      <c r="BJ402" s="351"/>
      <c r="BL402" s="405">
        <f t="shared" si="322"/>
        <v>0</v>
      </c>
      <c r="BM402" s="405">
        <f t="shared" si="310"/>
        <v>0</v>
      </c>
      <c r="BN402" s="405">
        <f t="shared" si="323"/>
        <v>0</v>
      </c>
      <c r="BO402" s="405">
        <f t="shared" si="324"/>
        <v>0</v>
      </c>
    </row>
    <row r="403" spans="4:67" ht="13.5" thickBot="1" x14ac:dyDescent="0.25">
      <c r="D403" s="345">
        <v>36731</v>
      </c>
      <c r="E403" s="340" t="str">
        <f t="shared" si="311"/>
        <v>0.609279473927555i</v>
      </c>
      <c r="F403" s="728" t="str">
        <f t="shared" si="325"/>
        <v>0.005-0.0710325726970677i</v>
      </c>
      <c r="G403" s="337" t="str">
        <f t="shared" si="326"/>
        <v>0.005-0.111102229090285i</v>
      </c>
      <c r="H403" s="338" t="str">
        <f t="shared" si="327"/>
        <v>0.0149187826752088-0.109290752018541i</v>
      </c>
      <c r="I403" s="338" t="str">
        <f t="shared" si="328"/>
        <v>0.0249187826752088-0.109290752018541i</v>
      </c>
      <c r="J403" s="337" t="str">
        <f t="shared" si="329"/>
        <v>0.0056621266203023-0.0433000740344858i</v>
      </c>
      <c r="K403" s="338" t="str">
        <f t="shared" si="312"/>
        <v>0.985009262655556-0.192323066265011i</v>
      </c>
      <c r="L403" s="732"/>
      <c r="M403" s="732" t="str">
        <f t="shared" si="313"/>
        <v>0.353480011969836-35.3334389117214i</v>
      </c>
      <c r="N403" s="337">
        <f t="shared" si="314"/>
        <v>0</v>
      </c>
      <c r="O403" s="730" t="str">
        <f t="shared" si="315"/>
        <v>-1.1568769729198-13.716724229883i</v>
      </c>
      <c r="P403" s="731" t="str">
        <f t="shared" si="316"/>
        <v>-1.527939072185-0.215368115736888i</v>
      </c>
      <c r="Q403" s="729" t="str">
        <f t="shared" si="317"/>
        <v>-1.51637030245581-0.0782008734380565i</v>
      </c>
      <c r="R403" s="730"/>
      <c r="S403" s="405" t="str">
        <f t="shared" si="330"/>
        <v>39.3654701095092-6.56979904566559i</v>
      </c>
      <c r="T403" s="405" t="str">
        <f t="shared" si="331"/>
        <v>15.0269714805033-3.98967284401609i</v>
      </c>
      <c r="U403" s="405" t="str">
        <f t="shared" si="332"/>
        <v>-0.211850223646284-1.70183007577044i</v>
      </c>
      <c r="V403" s="731" t="str">
        <f t="shared" si="318"/>
        <v>6000</v>
      </c>
      <c r="W403" s="733" t="str">
        <f>IMSUM(COMPLEX(1,0),IMDIV(COMPLEX(0,2*PI()*D403),COMPLEX(2*PI()*'Stability Calculations'!EA_Pole1,0)))</f>
        <v>1+233095.556313193i</v>
      </c>
      <c r="X403" s="734">
        <f t="shared" si="333"/>
        <v>233095.55631533804</v>
      </c>
      <c r="Y403" s="735">
        <f t="shared" si="334"/>
        <v>1.5707920367088228</v>
      </c>
      <c r="Z403" s="340" t="str">
        <f>IMSUM(COMPLEX(1,0),IMDIV(COMPLEX(0,2*PI()*D403),COMPLEX(2*PI()*'Stability Calculations'!EA_Zero1,0)))</f>
        <v>1+2307.87679518013i</v>
      </c>
      <c r="AA403" s="734">
        <f t="shared" si="335"/>
        <v>2307.8770118294665</v>
      </c>
      <c r="AB403" s="735">
        <f t="shared" si="336"/>
        <v>1.5703630281285614</v>
      </c>
      <c r="AC403" s="733" t="str">
        <f>IMSUM(COMPLEX(1,0),IMDIV(COMPLEX(0,2*PI()*D403),COMPLEX(2*PI()*'Stability Calculations'!EA_Pole2,0)))</f>
        <v>1+23.248295644109i</v>
      </c>
      <c r="AD403" s="734">
        <f t="shared" si="337"/>
        <v>23.269792658205994</v>
      </c>
      <c r="AE403" s="735">
        <f t="shared" si="338"/>
        <v>1.5278089195884375</v>
      </c>
      <c r="AF403" s="732" t="str">
        <f t="shared" si="339"/>
        <v>0.108615441955048-2.5506095659303i</v>
      </c>
      <c r="AG403" s="337">
        <f t="shared" si="340"/>
        <v>2.55292116447928</v>
      </c>
      <c r="AH403" s="730">
        <f t="shared" si="341"/>
        <v>-1.5282379281686986</v>
      </c>
      <c r="AI403" s="731" t="str">
        <f t="shared" si="319"/>
        <v>10000</v>
      </c>
      <c r="AJ403" s="733" t="str">
        <f t="shared" si="342"/>
        <v>1+217309.217458803i</v>
      </c>
      <c r="AK403" s="734">
        <f t="shared" si="343"/>
        <v>217309.21746110386</v>
      </c>
      <c r="AL403" s="735">
        <f t="shared" si="344"/>
        <v>1.570791725057282</v>
      </c>
      <c r="AM403" s="340" t="str">
        <f t="shared" si="345"/>
        <v>1+368.798711869785i</v>
      </c>
      <c r="AN403" s="734">
        <f t="shared" si="346"/>
        <v>368.80006762040142</v>
      </c>
      <c r="AO403" s="735">
        <f t="shared" si="347"/>
        <v>1.5680848272232588</v>
      </c>
      <c r="AP403" s="733" t="str">
        <f t="shared" si="348"/>
        <v>1+17.8873454279473i</v>
      </c>
      <c r="AQ403" s="734">
        <f t="shared" si="349"/>
        <v>17.915276343353099</v>
      </c>
      <c r="AR403" s="735">
        <f t="shared" si="350"/>
        <v>1.5149490157965204</v>
      </c>
      <c r="AS403" s="732" t="str">
        <f t="shared" si="351"/>
        <v>0.00203014423323482-6.37203896278192i</v>
      </c>
      <c r="AT403" s="337">
        <f t="shared" si="352"/>
        <v>6.372039286185899</v>
      </c>
      <c r="AU403" s="730">
        <f t="shared" si="353"/>
        <v>-1.5704777248251973</v>
      </c>
      <c r="AV403" s="732" t="str">
        <f t="shared" si="354"/>
        <v>-0.247005714526585+0.0543636057505477i</v>
      </c>
      <c r="AW403" s="337">
        <f t="shared" si="355"/>
        <v>-11.940424917104425</v>
      </c>
      <c r="AX403" s="730">
        <f t="shared" si="356"/>
        <v>167.58763688796597</v>
      </c>
      <c r="AY403" s="360">
        <f t="shared" si="357"/>
        <v>-12.412363112034029</v>
      </c>
      <c r="BB403" s="337">
        <f t="shared" si="358"/>
        <v>-23.91443110524877</v>
      </c>
      <c r="BC403" s="730">
        <f t="shared" si="359"/>
        <v>-89.981745451791681</v>
      </c>
      <c r="BD403" s="351"/>
      <c r="BE403" s="337">
        <f t="shared" si="320"/>
        <v>30.964152795674561</v>
      </c>
      <c r="BF403" s="730">
        <f t="shared" si="321"/>
        <v>-89.426825187732291</v>
      </c>
      <c r="BI403" s="351"/>
      <c r="BJ403" s="351"/>
      <c r="BL403" s="405">
        <f t="shared" si="322"/>
        <v>0</v>
      </c>
      <c r="BM403" s="405">
        <f t="shared" si="310"/>
        <v>0</v>
      </c>
      <c r="BN403" s="405">
        <f t="shared" si="323"/>
        <v>0</v>
      </c>
      <c r="BO403" s="405">
        <f t="shared" si="324"/>
        <v>0</v>
      </c>
    </row>
    <row r="404" spans="4:67" ht="13.5" thickBot="1" x14ac:dyDescent="0.25">
      <c r="D404" s="345">
        <v>36942.5</v>
      </c>
      <c r="E404" s="340" t="str">
        <f t="shared" si="311"/>
        <v>0.612787753275672i</v>
      </c>
      <c r="F404" s="728" t="str">
        <f t="shared" si="325"/>
        <v>0.005-0.0706259031667047i</v>
      </c>
      <c r="G404" s="337" t="str">
        <f t="shared" si="326"/>
        <v>0.005-0.110466156235102i</v>
      </c>
      <c r="H404" s="338" t="str">
        <f t="shared" si="327"/>
        <v>0.0148062221478078-0.108675228079407i</v>
      </c>
      <c r="I404" s="338" t="str">
        <f t="shared" si="328"/>
        <v>0.0248062221478078-0.108675228079407i</v>
      </c>
      <c r="J404" s="337" t="str">
        <f t="shared" si="329"/>
        <v>0.00564459793588073-0.0430532652559381i</v>
      </c>
      <c r="K404" s="338" t="str">
        <f t="shared" si="312"/>
        <v>0.984836129930555-0.193430477675402i</v>
      </c>
      <c r="L404" s="732"/>
      <c r="M404" s="732" t="str">
        <f t="shared" si="313"/>
        <v>0.347756584781312-35.1006257729068i</v>
      </c>
      <c r="N404" s="337">
        <f t="shared" si="314"/>
        <v>0</v>
      </c>
      <c r="O404" s="730" t="str">
        <f t="shared" si="315"/>
        <v>-1.14920205147542-13.6252416556805i</v>
      </c>
      <c r="P404" s="731" t="str">
        <f t="shared" si="316"/>
        <v>-1.50923360594973-0.213100976274961i</v>
      </c>
      <c r="Q404" s="729" t="str">
        <f t="shared" si="317"/>
        <v>-1.49774158543498-0.0768485597181559i</v>
      </c>
      <c r="R404" s="730"/>
      <c r="S404" s="405" t="str">
        <f t="shared" si="330"/>
        <v>39.3560090762566-6.61974311091246i</v>
      </c>
      <c r="T404" s="405" t="str">
        <f t="shared" si="331"/>
        <v>15.0206513493975-4.00696948474481i</v>
      </c>
      <c r="U404" s="405" t="str">
        <f t="shared" si="332"/>
        <v>-0.213059221977918-1.69170079162766i</v>
      </c>
      <c r="V404" s="731" t="str">
        <f t="shared" si="318"/>
        <v>6000</v>
      </c>
      <c r="W404" s="733" t="str">
        <f>IMSUM(COMPLEX(1,0),IMDIV(COMPLEX(0,2*PI()*D404),COMPLEX(2*PI()*'Stability Calculations'!EA_Pole1,0)))</f>
        <v>1+234437.738942587i</v>
      </c>
      <c r="X404" s="734">
        <f t="shared" si="333"/>
        <v>234437.73894471975</v>
      </c>
      <c r="Y404" s="735">
        <f t="shared" si="334"/>
        <v>1.5707920612700519</v>
      </c>
      <c r="Z404" s="340" t="str">
        <f>IMSUM(COMPLEX(1,0),IMDIV(COMPLEX(0,2*PI()*D404),COMPLEX(2*PI()*'Stability Calculations'!EA_Zero1,0)))</f>
        <v>1+2321.16573210482i</v>
      </c>
      <c r="AA404" s="734">
        <f t="shared" si="335"/>
        <v>2321.1659475138149</v>
      </c>
      <c r="AB404" s="735">
        <f t="shared" si="336"/>
        <v>1.5703655088122337</v>
      </c>
      <c r="AC404" s="733" t="str">
        <f>IMSUM(COMPLEX(1,0),IMDIV(COMPLEX(0,2*PI()*D404),COMPLEX(2*PI()*'Stability Calculations'!EA_Pole2,0)))</f>
        <v>1+23.3821611672021i</v>
      </c>
      <c r="AD404" s="734">
        <f t="shared" si="337"/>
        <v>23.403535221180018</v>
      </c>
      <c r="AE404" s="735">
        <f t="shared" si="338"/>
        <v>1.5280547268822104</v>
      </c>
      <c r="AF404" s="732" t="str">
        <f t="shared" si="339"/>
        <v>0.107377594710036-2.5360599768089i</v>
      </c>
      <c r="AG404" s="337">
        <f t="shared" si="340"/>
        <v>2.5383321598675126</v>
      </c>
      <c r="AH404" s="730">
        <f t="shared" si="341"/>
        <v>-1.5284812793400286</v>
      </c>
      <c r="AI404" s="731" t="str">
        <f t="shared" si="319"/>
        <v>10000</v>
      </c>
      <c r="AJ404" s="733" t="str">
        <f t="shared" si="342"/>
        <v>1+218560.501101844i</v>
      </c>
      <c r="AK404" s="734">
        <f t="shared" si="343"/>
        <v>218560.50110413172</v>
      </c>
      <c r="AL404" s="735">
        <f t="shared" si="344"/>
        <v>1.5707917514027514</v>
      </c>
      <c r="AM404" s="340" t="str">
        <f t="shared" si="345"/>
        <v>1+370.92228399035i</v>
      </c>
      <c r="AN404" s="734">
        <f t="shared" si="346"/>
        <v>370.92363197916887</v>
      </c>
      <c r="AO404" s="735">
        <f t="shared" si="347"/>
        <v>1.5681003507902234</v>
      </c>
      <c r="AP404" s="733" t="str">
        <f t="shared" si="348"/>
        <v>1+17.990342176144i</v>
      </c>
      <c r="AQ404" s="734">
        <f t="shared" si="349"/>
        <v>18.018113431065572</v>
      </c>
      <c r="AR404" s="735">
        <f t="shared" si="350"/>
        <v>1.5152680892644468</v>
      </c>
      <c r="AS404" s="732" t="str">
        <f t="shared" si="351"/>
        <v>0.00200696516573011-6.33555832478031i</v>
      </c>
      <c r="AT404" s="337">
        <f t="shared" si="352"/>
        <v>6.3355586426614554</v>
      </c>
      <c r="AU404" s="730">
        <f t="shared" si="353"/>
        <v>-1.5704795488574654</v>
      </c>
      <c r="AV404" s="732" t="str">
        <f t="shared" si="354"/>
        <v>-0.244085238042143+0.0540855851367475i</v>
      </c>
      <c r="AW404" s="337">
        <f t="shared" si="355"/>
        <v>-12.041001518351703</v>
      </c>
      <c r="AX404" s="730">
        <f t="shared" si="356"/>
        <v>167.50599847404757</v>
      </c>
      <c r="AY404" s="360">
        <f t="shared" si="357"/>
        <v>-12.494001525952427</v>
      </c>
      <c r="BB404" s="337">
        <f t="shared" si="358"/>
        <v>-23.964301696973024</v>
      </c>
      <c r="BC404" s="730">
        <f t="shared" si="359"/>
        <v>-89.981849961142331</v>
      </c>
      <c r="BD404" s="351"/>
      <c r="BE404" s="337">
        <f t="shared" si="320"/>
        <v>30.906723451726435</v>
      </c>
      <c r="BF404" s="730">
        <f t="shared" si="321"/>
        <v>-89.432365313143279</v>
      </c>
      <c r="BI404" s="351"/>
      <c r="BJ404" s="351"/>
      <c r="BL404" s="405">
        <f t="shared" si="322"/>
        <v>0</v>
      </c>
      <c r="BM404" s="405">
        <f t="shared" si="310"/>
        <v>0</v>
      </c>
      <c r="BN404" s="405">
        <f t="shared" si="323"/>
        <v>0</v>
      </c>
      <c r="BO404" s="405">
        <f t="shared" si="324"/>
        <v>0</v>
      </c>
    </row>
    <row r="405" spans="4:67" ht="13.5" thickBot="1" x14ac:dyDescent="0.25">
      <c r="D405" s="345">
        <v>37154</v>
      </c>
      <c r="E405" s="340" t="str">
        <f t="shared" si="311"/>
        <v>0.616296032623789i</v>
      </c>
      <c r="F405" s="728" t="str">
        <f t="shared" si="325"/>
        <v>0.005-0.0702238635876617i</v>
      </c>
      <c r="G405" s="337" t="str">
        <f t="shared" si="326"/>
        <v>0.005-0.109837325098651i</v>
      </c>
      <c r="H405" s="338" t="str">
        <f t="shared" si="327"/>
        <v>0.0146955578520041-0.108066541422697i</v>
      </c>
      <c r="I405" s="338" t="str">
        <f t="shared" si="328"/>
        <v>0.0246955578520041-0.108066541422697i</v>
      </c>
      <c r="J405" s="337" t="str">
        <f t="shared" si="329"/>
        <v>0.00562736608472177-0.042809258572707i</v>
      </c>
      <c r="K405" s="338" t="str">
        <f t="shared" si="312"/>
        <v>0.984662003155556-0.194537889085792i</v>
      </c>
      <c r="L405" s="732"/>
      <c r="M405" s="732" t="str">
        <f t="shared" si="313"/>
        <v>0.342173629906464-34.8710299323114i</v>
      </c>
      <c r="N405" s="337">
        <f t="shared" si="314"/>
        <v>0</v>
      </c>
      <c r="O405" s="730" t="str">
        <f t="shared" si="315"/>
        <v>-1.14165581789452-13.5350271622906i</v>
      </c>
      <c r="P405" s="731" t="str">
        <f t="shared" si="316"/>
        <v>-1.4908774007889-0.210880250579834i</v>
      </c>
      <c r="Q405" s="729" t="str">
        <f t="shared" si="317"/>
        <v>-1.47946084260995-0.0755299789569283i</v>
      </c>
      <c r="R405" s="730"/>
      <c r="S405" s="405" t="str">
        <f t="shared" si="330"/>
        <v>39.3464749477131-6.66960422680271i</v>
      </c>
      <c r="T405" s="405" t="str">
        <f t="shared" si="331"/>
        <v>15.0143030494201-4.02428334513015i</v>
      </c>
      <c r="U405" s="405" t="str">
        <f t="shared" si="332"/>
        <v>-0.2142468237429-1.6816828911343i</v>
      </c>
      <c r="V405" s="731" t="str">
        <f t="shared" si="318"/>
        <v>6000</v>
      </c>
      <c r="W405" s="733" t="str">
        <f>IMSUM(COMPLEX(1,0),IMDIV(COMPLEX(0,2*PI()*D405),COMPLEX(2*PI()*'Stability Calculations'!EA_Pole1,0)))</f>
        <v>1+235779.92157198i</v>
      </c>
      <c r="X405" s="734">
        <f t="shared" si="333"/>
        <v>235779.92157410065</v>
      </c>
      <c r="Y405" s="735">
        <f t="shared" si="334"/>
        <v>1.5707920855516502</v>
      </c>
      <c r="Z405" s="340" t="str">
        <f>IMSUM(COMPLEX(1,0),IMDIV(COMPLEX(0,2*PI()*D405),COMPLEX(2*PI()*'Stability Calculations'!EA_Zero1,0)))</f>
        <v>1+2334.4546690295i</v>
      </c>
      <c r="AA405" s="734">
        <f t="shared" si="335"/>
        <v>2334.4548832122741</v>
      </c>
      <c r="AB405" s="735">
        <f t="shared" si="336"/>
        <v>1.5703679612532131</v>
      </c>
      <c r="AC405" s="733" t="str">
        <f>IMSUM(COMPLEX(1,0),IMDIV(COMPLEX(0,2*PI()*D405),COMPLEX(2*PI()*'Stability Calculations'!EA_Pole2,0)))</f>
        <v>1+23.516026690295i</v>
      </c>
      <c r="AD405" s="734">
        <f t="shared" si="337"/>
        <v>23.537279182154144</v>
      </c>
      <c r="AE405" s="735">
        <f t="shared" si="338"/>
        <v>1.5282977407290701</v>
      </c>
      <c r="AF405" s="732" t="str">
        <f t="shared" si="339"/>
        <v>0.106160775783385-2.52167514121801i</v>
      </c>
      <c r="AG405" s="337">
        <f t="shared" si="340"/>
        <v>2.5239087994917329</v>
      </c>
      <c r="AH405" s="730">
        <f t="shared" si="341"/>
        <v>-1.5287218650275072</v>
      </c>
      <c r="AI405" s="731" t="str">
        <f t="shared" si="319"/>
        <v>10000</v>
      </c>
      <c r="AJ405" s="733" t="str">
        <f t="shared" si="342"/>
        <v>1+219811.784744885i</v>
      </c>
      <c r="AK405" s="734">
        <f t="shared" si="343"/>
        <v>219811.78474715963</v>
      </c>
      <c r="AL405" s="735">
        <f t="shared" si="344"/>
        <v>1.5707917774482765</v>
      </c>
      <c r="AM405" s="340" t="str">
        <f t="shared" si="345"/>
        <v>1+373.045856110914i</v>
      </c>
      <c r="AN405" s="734">
        <f t="shared" si="346"/>
        <v>373.04719642630306</v>
      </c>
      <c r="AO405" s="735">
        <f t="shared" si="347"/>
        <v>1.5681156976219406</v>
      </c>
      <c r="AP405" s="733" t="str">
        <f t="shared" si="348"/>
        <v>1+18.0933389243406i</v>
      </c>
      <c r="AQ405" s="734">
        <f t="shared" si="349"/>
        <v>18.120952332343315</v>
      </c>
      <c r="AR405" s="735">
        <f t="shared" si="350"/>
        <v>1.5155835411923975</v>
      </c>
      <c r="AS405" s="732" t="str">
        <f t="shared" si="351"/>
        <v>0.00198418081255025-6.29949302039707i</v>
      </c>
      <c r="AT405" s="337">
        <f t="shared" si="352"/>
        <v>6.2994933328804228</v>
      </c>
      <c r="AU405" s="730">
        <f t="shared" si="353"/>
        <v>-1.5704813521230445</v>
      </c>
      <c r="AV405" s="732" t="str">
        <f t="shared" si="354"/>
        <v>-0.241214580814437+0.0538099249961239i</v>
      </c>
      <c r="AW405" s="337">
        <f t="shared" si="355"/>
        <v>-12.141010994184256</v>
      </c>
      <c r="AX405" s="730">
        <f t="shared" si="356"/>
        <v>167.4244171775957</v>
      </c>
      <c r="AY405" s="360">
        <f t="shared" si="357"/>
        <v>-12.5755828224043</v>
      </c>
      <c r="BB405" s="337">
        <f t="shared" si="358"/>
        <v>-24.013887587382197</v>
      </c>
      <c r="BC405" s="730">
        <f t="shared" si="359"/>
        <v>-89.981953280649364</v>
      </c>
      <c r="BD405" s="351"/>
      <c r="BE405" s="337">
        <f t="shared" si="320"/>
        <v>30.849713638173885</v>
      </c>
      <c r="BF405" s="730">
        <f t="shared" si="321"/>
        <v>-89.437800498127231</v>
      </c>
      <c r="BI405" s="351"/>
      <c r="BJ405" s="351"/>
      <c r="BL405" s="405">
        <f t="shared" si="322"/>
        <v>0</v>
      </c>
      <c r="BM405" s="405">
        <f t="shared" si="310"/>
        <v>0</v>
      </c>
      <c r="BN405" s="405">
        <f t="shared" si="323"/>
        <v>0</v>
      </c>
      <c r="BO405" s="405">
        <f t="shared" si="324"/>
        <v>0</v>
      </c>
    </row>
    <row r="406" spans="4:67" ht="13.5" thickBot="1" x14ac:dyDescent="0.25">
      <c r="D406" s="345">
        <v>37370.25</v>
      </c>
      <c r="E406" s="340" t="str">
        <f t="shared" si="311"/>
        <v>0.619883103115658i</v>
      </c>
      <c r="F406" s="728" t="str">
        <f t="shared" si="325"/>
        <v>0.005-0.0698174999561413i</v>
      </c>
      <c r="G406" s="337" t="str">
        <f t="shared" si="326"/>
        <v>0.005-0.109201730700631i</v>
      </c>
      <c r="H406" s="338" t="str">
        <f t="shared" si="327"/>
        <v>0.0145843247824083-0.107451136844553i</v>
      </c>
      <c r="I406" s="338" t="str">
        <f t="shared" si="328"/>
        <v>0.0245843247824083-0.107451136844553i</v>
      </c>
      <c r="J406" s="337" t="str">
        <f t="shared" si="329"/>
        <v>0.00561004716554663-0.0425626197142419i</v>
      </c>
      <c r="K406" s="338" t="str">
        <f t="shared" si="312"/>
        <v>0.98448293794375-0.195670171438023i</v>
      </c>
      <c r="L406" s="732"/>
      <c r="M406" s="732" t="str">
        <f t="shared" si="313"/>
        <v>0.336605778750174-34.6395324619032i</v>
      </c>
      <c r="N406" s="337">
        <f t="shared" si="314"/>
        <v>0</v>
      </c>
      <c r="O406" s="730" t="str">
        <f t="shared" si="315"/>
        <v>-1.13407017785941-13.4440692374567i</v>
      </c>
      <c r="P406" s="731" t="str">
        <f t="shared" si="316"/>
        <v>-1.47246087296014-0.208656234658321i</v>
      </c>
      <c r="Q406" s="729" t="str">
        <f t="shared" si="317"/>
        <v>-1.46112017118155-0.0742155422837533i</v>
      </c>
      <c r="R406" s="730"/>
      <c r="S406" s="405" t="str">
        <f t="shared" si="330"/>
        <v>39.3366514272489-6.72050055281651i</v>
      </c>
      <c r="T406" s="405" t="str">
        <f t="shared" si="331"/>
        <v>15.0077829429126-4.0420032990262i</v>
      </c>
      <c r="U406" s="405" t="str">
        <f t="shared" si="332"/>
        <v>-0.215439468906476-1.67155322761682i</v>
      </c>
      <c r="V406" s="731" t="str">
        <f t="shared" si="318"/>
        <v>6000</v>
      </c>
      <c r="W406" s="733" t="str">
        <f>IMSUM(COMPLEX(1,0),IMDIV(COMPLEX(0,2*PI()*D406),COMPLEX(2*PI()*'Stability Calculations'!EA_Pole1,0)))</f>
        <v>1+237152.247782884i</v>
      </c>
      <c r="X406" s="734">
        <f t="shared" si="333"/>
        <v>237152.24778499233</v>
      </c>
      <c r="Y406" s="735">
        <f t="shared" si="334"/>
        <v>1.5707921100944042</v>
      </c>
      <c r="Z406" s="340" t="str">
        <f>IMSUM(COMPLEX(1,0),IMDIV(COMPLEX(0,2*PI()*D406),COMPLEX(2*PI()*'Stability Calculations'!EA_Zero1,0)))</f>
        <v>1+2348.04205725628i</v>
      </c>
      <c r="AA406" s="734">
        <f t="shared" si="335"/>
        <v>2348.0422701996449</v>
      </c>
      <c r="AB406" s="735">
        <f t="shared" si="336"/>
        <v>1.5703704400709133</v>
      </c>
      <c r="AC406" s="733" t="str">
        <f>IMSUM(COMPLEX(1,0),IMDIV(COMPLEX(0,2*PI()*D406),COMPLEX(2*PI()*'Stability Calculations'!EA_Pole2,0)))</f>
        <v>1+23.6528986494859i</v>
      </c>
      <c r="AD406" s="734">
        <f t="shared" si="337"/>
        <v>23.674028269875237</v>
      </c>
      <c r="AE406" s="735">
        <f t="shared" si="338"/>
        <v>1.5285433733643714</v>
      </c>
      <c r="AF406" s="732" t="str">
        <f t="shared" si="339"/>
        <v>0.104937877807705-2.50713469417279i</v>
      </c>
      <c r="AG406" s="337">
        <f t="shared" si="340"/>
        <v>2.509329857337149</v>
      </c>
      <c r="AH406" s="730">
        <f t="shared" si="341"/>
        <v>-1.5289650433878625</v>
      </c>
      <c r="AI406" s="731" t="str">
        <f t="shared" si="319"/>
        <v>10000</v>
      </c>
      <c r="AJ406" s="733" t="str">
        <f t="shared" si="342"/>
        <v>1+221091.170502841i</v>
      </c>
      <c r="AK406" s="734">
        <f t="shared" si="343"/>
        <v>221091.17050510249</v>
      </c>
      <c r="AL406" s="735">
        <f t="shared" si="344"/>
        <v>1.5707918037739288</v>
      </c>
      <c r="AM406" s="340" t="str">
        <f t="shared" si="345"/>
        <v>1+375.217120749553i</v>
      </c>
      <c r="AN406" s="734">
        <f t="shared" si="346"/>
        <v>375.21845330898185</v>
      </c>
      <c r="AO406" s="735">
        <f t="shared" si="347"/>
        <v>1.568131209514575</v>
      </c>
      <c r="AP406" s="733" t="str">
        <f t="shared" si="348"/>
        <v>1+18.1986488382769i</v>
      </c>
      <c r="AQ406" s="734">
        <f t="shared" si="349"/>
        <v>18.226102697475319</v>
      </c>
      <c r="AR406" s="735">
        <f t="shared" si="350"/>
        <v>1.5159023970753565</v>
      </c>
      <c r="AS406" s="732" t="str">
        <f t="shared" si="351"/>
        <v>0.00196128358359479-6.26303982306217i</v>
      </c>
      <c r="AT406" s="337">
        <f t="shared" si="352"/>
        <v>6.263040130152123</v>
      </c>
      <c r="AU406" s="730">
        <f t="shared" si="353"/>
        <v>-1.5704831747832708</v>
      </c>
      <c r="AV406" s="732" t="str">
        <f t="shared" si="354"/>
        <v>-0.238329789268767+0.0535304904760012i</v>
      </c>
      <c r="AW406" s="337">
        <f t="shared" si="355"/>
        <v>-12.242686954214674</v>
      </c>
      <c r="AX406" s="730">
        <f t="shared" si="356"/>
        <v>167.34106164586419</v>
      </c>
      <c r="AY406" s="360">
        <f t="shared" si="357"/>
        <v>-12.658938354135813</v>
      </c>
      <c r="BB406" s="337">
        <f t="shared" si="358"/>
        <v>-24.064296111342554</v>
      </c>
      <c r="BC406" s="730">
        <f t="shared" si="359"/>
        <v>-89.98205771138781</v>
      </c>
      <c r="BD406" s="351"/>
      <c r="BE406" s="337">
        <f t="shared" si="320"/>
        <v>30.79185050678457</v>
      </c>
      <c r="BF406" s="730">
        <f t="shared" si="321"/>
        <v>-89.443252200615234</v>
      </c>
      <c r="BI406" s="351"/>
      <c r="BJ406" s="351"/>
      <c r="BL406" s="405">
        <f t="shared" si="322"/>
        <v>0</v>
      </c>
      <c r="BM406" s="405">
        <f t="shared" si="310"/>
        <v>0</v>
      </c>
      <c r="BN406" s="405">
        <f t="shared" si="323"/>
        <v>0</v>
      </c>
      <c r="BO406" s="405">
        <f t="shared" si="324"/>
        <v>0</v>
      </c>
    </row>
    <row r="407" spans="4:67" ht="13.5" thickBot="1" x14ac:dyDescent="0.25">
      <c r="D407" s="345">
        <v>37586.5</v>
      </c>
      <c r="E407" s="340" t="str">
        <f t="shared" si="311"/>
        <v>0.623470173607527i</v>
      </c>
      <c r="F407" s="728" t="str">
        <f t="shared" si="325"/>
        <v>0.005-0.0694158122659996i</v>
      </c>
      <c r="G407" s="337" t="str">
        <f t="shared" si="326"/>
        <v>0.005-0.108573449954512i</v>
      </c>
      <c r="H407" s="338" t="str">
        <f t="shared" si="327"/>
        <v>0.0144749860271136-0.10684264524446i</v>
      </c>
      <c r="I407" s="338" t="str">
        <f t="shared" si="328"/>
        <v>0.0244749860271136-0.10684264524446i</v>
      </c>
      <c r="J407" s="337" t="str">
        <f t="shared" si="329"/>
        <v>0.00559302461187944-0.0423188112604383i</v>
      </c>
      <c r="K407" s="338" t="str">
        <f t="shared" si="312"/>
        <v>0.984302833530556-0.196802453790255i</v>
      </c>
      <c r="L407" s="732"/>
      <c r="M407" s="732" t="str">
        <f t="shared" si="313"/>
        <v>0.331175333411226-34.411255008408i</v>
      </c>
      <c r="N407" s="337">
        <f t="shared" si="314"/>
        <v>0</v>
      </c>
      <c r="O407" s="730" t="str">
        <f t="shared" si="315"/>
        <v>-1.12661309716703-13.3543800892357i</v>
      </c>
      <c r="P407" s="731" t="str">
        <f t="shared" si="316"/>
        <v>-1.45439113414501-0.206477942616428i</v>
      </c>
      <c r="Q407" s="729" t="str">
        <f t="shared" si="317"/>
        <v>-1.44312500317334-0.0729341417240718i</v>
      </c>
      <c r="R407" s="730"/>
      <c r="S407" s="405" t="str">
        <f t="shared" si="330"/>
        <v>39.3267521068352-6.77131249290998i</v>
      </c>
      <c r="T407" s="405" t="str">
        <f t="shared" si="331"/>
        <v>15.0012331735859-4.05974013704582i</v>
      </c>
      <c r="U407" s="405" t="str">
        <f t="shared" si="332"/>
        <v>-0.216610734669951-1.6615361159523i</v>
      </c>
      <c r="V407" s="731" t="str">
        <f t="shared" si="318"/>
        <v>6000</v>
      </c>
      <c r="W407" s="733" t="str">
        <f>IMSUM(COMPLEX(1,0),IMDIV(COMPLEX(0,2*PI()*D407),COMPLEX(2*PI()*'Stability Calculations'!EA_Pole1,0)))</f>
        <v>1+238524.573993789i</v>
      </c>
      <c r="X407" s="734">
        <f t="shared" si="333"/>
        <v>238524.57399588524</v>
      </c>
      <c r="Y407" s="735">
        <f t="shared" si="334"/>
        <v>1.57079213435475</v>
      </c>
      <c r="Z407" s="340" t="str">
        <f>IMSUM(COMPLEX(1,0),IMDIV(COMPLEX(0,2*PI()*D407),COMPLEX(2*PI()*'Stability Calculations'!EA_Zero1,0)))</f>
        <v>1+2361.62944548306i</v>
      </c>
      <c r="AA407" s="734">
        <f t="shared" si="335"/>
        <v>2361.629657201278</v>
      </c>
      <c r="AB407" s="735">
        <f t="shared" si="336"/>
        <v>1.5703728903653811</v>
      </c>
      <c r="AC407" s="733" t="str">
        <f>IMSUM(COMPLEX(1,0),IMDIV(COMPLEX(0,2*PI()*D407),COMPLEX(2*PI()*'Stability Calculations'!EA_Pole2,0)))</f>
        <v>1+23.7897706086768i</v>
      </c>
      <c r="AD407" s="734">
        <f t="shared" si="337"/>
        <v>23.810778769571197</v>
      </c>
      <c r="AE407" s="735">
        <f t="shared" si="338"/>
        <v>1.5287861845705044</v>
      </c>
      <c r="AF407" s="732" t="str">
        <f t="shared" si="339"/>
        <v>0.103735976860421-2.49276067840625i</v>
      </c>
      <c r="AG407" s="337">
        <f t="shared" si="340"/>
        <v>2.4949182256546152</v>
      </c>
      <c r="AH407" s="730">
        <f t="shared" si="341"/>
        <v>-1.5292054285598735</v>
      </c>
      <c r="AI407" s="731" t="str">
        <f t="shared" si="319"/>
        <v>10000</v>
      </c>
      <c r="AJ407" s="733" t="str">
        <f t="shared" si="342"/>
        <v>1+222370.556260797i</v>
      </c>
      <c r="AK407" s="734">
        <f t="shared" si="343"/>
        <v>222370.5562630455</v>
      </c>
      <c r="AL407" s="735">
        <f t="shared" si="344"/>
        <v>1.5707918297966572</v>
      </c>
      <c r="AM407" s="340" t="str">
        <f t="shared" si="345"/>
        <v>1+377.388385388193i</v>
      </c>
      <c r="AN407" s="734">
        <f t="shared" si="346"/>
        <v>377.38971028090748</v>
      </c>
      <c r="AO407" s="735">
        <f t="shared" si="347"/>
        <v>1.5681465429163632</v>
      </c>
      <c r="AP407" s="733" t="str">
        <f t="shared" si="348"/>
        <v>1+18.3039587522133i</v>
      </c>
      <c r="AQ407" s="734">
        <f t="shared" si="349"/>
        <v>18.331254894379867</v>
      </c>
      <c r="AR407" s="735">
        <f t="shared" si="350"/>
        <v>1.5162175949320797</v>
      </c>
      <c r="AS407" s="732" t="str">
        <f t="shared" si="351"/>
        <v>0.00193878042702978-6.22700608492766i</v>
      </c>
      <c r="AT407" s="337">
        <f t="shared" si="352"/>
        <v>6.22700638674762</v>
      </c>
      <c r="AU407" s="730">
        <f t="shared" si="353"/>
        <v>-1.5704849764705289</v>
      </c>
      <c r="AV407" s="732" t="str">
        <f t="shared" si="354"/>
        <v>-0.235494732110602+0.0532534749319069i</v>
      </c>
      <c r="AW407" s="337">
        <f t="shared" si="355"/>
        <v>-12.343783676392084</v>
      </c>
      <c r="AX407" s="730">
        <f t="shared" si="356"/>
        <v>167.25776364521121</v>
      </c>
      <c r="AY407" s="360">
        <f t="shared" si="357"/>
        <v>-12.742236354788787</v>
      </c>
      <c r="BB407" s="337">
        <f t="shared" si="358"/>
        <v>-24.114413776858893</v>
      </c>
      <c r="BC407" s="730">
        <f t="shared" si="359"/>
        <v>-89.9821609404637</v>
      </c>
      <c r="BD407" s="351"/>
      <c r="BE407" s="337">
        <f t="shared" si="320"/>
        <v>30.734412474482532</v>
      </c>
      <c r="BF407" s="730">
        <f t="shared" si="321"/>
        <v>-89.448600085129485</v>
      </c>
      <c r="BI407" s="351"/>
      <c r="BJ407" s="351"/>
      <c r="BL407" s="405">
        <f t="shared" si="322"/>
        <v>0</v>
      </c>
      <c r="BM407" s="405">
        <f t="shared" si="310"/>
        <v>0</v>
      </c>
      <c r="BN407" s="405">
        <f t="shared" si="323"/>
        <v>0</v>
      </c>
      <c r="BO407" s="405">
        <f t="shared" si="324"/>
        <v>0</v>
      </c>
    </row>
    <row r="408" spans="4:67" ht="13.5" thickBot="1" x14ac:dyDescent="0.25">
      <c r="D408" s="345">
        <v>37802.75</v>
      </c>
      <c r="E408" s="340" t="str">
        <f t="shared" si="311"/>
        <v>0.627057244099395i</v>
      </c>
      <c r="F408" s="728" t="str">
        <f t="shared" si="325"/>
        <v>0.005-0.0690187202713026i</v>
      </c>
      <c r="G408" s="337" t="str">
        <f t="shared" si="326"/>
        <v>0.005-0.107952357347422i</v>
      </c>
      <c r="H408" s="338" t="str">
        <f t="shared" si="327"/>
        <v>0.0143674989267256-0.106240951755283i</v>
      </c>
      <c r="I408" s="338" t="str">
        <f t="shared" si="328"/>
        <v>0.0243674989267256-0.106240951755283i</v>
      </c>
      <c r="J408" s="337" t="str">
        <f t="shared" si="329"/>
        <v>0.00557629166864166-0.0420777848676819i</v>
      </c>
      <c r="K408" s="338" t="str">
        <f t="shared" si="312"/>
        <v>0.984121689915972-0.197934736142486i</v>
      </c>
      <c r="L408" s="732"/>
      <c r="M408" s="732" t="str">
        <f t="shared" si="313"/>
        <v>0.325877804890875-34.1861282387186i</v>
      </c>
      <c r="N408" s="337">
        <f t="shared" si="314"/>
        <v>0</v>
      </c>
      <c r="O408" s="730" t="str">
        <f t="shared" si="315"/>
        <v>-1.11928167864204-13.2659322173879i</v>
      </c>
      <c r="P408" s="731" t="str">
        <f t="shared" si="316"/>
        <v>-1.43665935979938-0.204344038248032i</v>
      </c>
      <c r="Q408" s="729" t="str">
        <f t="shared" si="317"/>
        <v>-1.42546654301296-0.0716847160741528i</v>
      </c>
      <c r="R408" s="730"/>
      <c r="S408" s="405" t="str">
        <f t="shared" si="330"/>
        <v>39.3167772841801-6.82204118334273i</v>
      </c>
      <c r="T408" s="405" t="str">
        <f t="shared" si="331"/>
        <v>14.9946536385037-4.07749331071732i</v>
      </c>
      <c r="U408" s="405" t="str">
        <f t="shared" si="332"/>
        <v>-0.217761100048587-1.65162965456092i</v>
      </c>
      <c r="V408" s="731" t="str">
        <f t="shared" si="318"/>
        <v>6000</v>
      </c>
      <c r="W408" s="733" t="str">
        <f>IMSUM(COMPLEX(1,0),IMDIV(COMPLEX(0,2*PI()*D408),COMPLEX(2*PI()*'Stability Calculations'!EA_Pole1,0)))</f>
        <v>1+239896.900204693i</v>
      </c>
      <c r="X408" s="734">
        <f t="shared" si="333"/>
        <v>239896.90020677727</v>
      </c>
      <c r="Y408" s="735">
        <f t="shared" si="334"/>
        <v>1.5707921583375337</v>
      </c>
      <c r="Z408" s="340" t="str">
        <f>IMSUM(COMPLEX(1,0),IMDIV(COMPLEX(0,2*PI()*D408),COMPLEX(2*PI()*'Stability Calculations'!EA_Zero1,0)))</f>
        <v>1+2375.21683370983i</v>
      </c>
      <c r="AA408" s="734">
        <f t="shared" si="335"/>
        <v>2375.2170442169177</v>
      </c>
      <c r="AB408" s="735">
        <f t="shared" si="336"/>
        <v>1.5703753126261171</v>
      </c>
      <c r="AC408" s="733" t="str">
        <f>IMSUM(COMPLEX(1,0),IMDIV(COMPLEX(0,2*PI()*D408),COMPLEX(2*PI()*'Stability Calculations'!EA_Pole2,0)))</f>
        <v>1+23.9266425678675i</v>
      </c>
      <c r="AD408" s="734">
        <f t="shared" si="337"/>
        <v>23.947530657052909</v>
      </c>
      <c r="AE408" s="735">
        <f t="shared" si="338"/>
        <v>1.5290262226537319</v>
      </c>
      <c r="AF408" s="732" t="str">
        <f t="shared" si="339"/>
        <v>0.1025545952665-2.47855025768048i</v>
      </c>
      <c r="AG408" s="337">
        <f t="shared" si="340"/>
        <v>2.4806710432579022</v>
      </c>
      <c r="AH408" s="730">
        <f t="shared" si="341"/>
        <v>-1.5294430683651485</v>
      </c>
      <c r="AI408" s="731" t="str">
        <f t="shared" si="319"/>
        <v>10000</v>
      </c>
      <c r="AJ408" s="733" t="str">
        <f t="shared" si="342"/>
        <v>1+223649.942018752i</v>
      </c>
      <c r="AK408" s="734">
        <f t="shared" si="343"/>
        <v>223649.9420209876</v>
      </c>
      <c r="AL408" s="735">
        <f t="shared" si="344"/>
        <v>1.5707918555216607</v>
      </c>
      <c r="AM408" s="340" t="str">
        <f t="shared" si="345"/>
        <v>1+379.559650026831i</v>
      </c>
      <c r="AN408" s="734">
        <f t="shared" si="346"/>
        <v>379.56096734054518</v>
      </c>
      <c r="AO408" s="735">
        <f t="shared" si="347"/>
        <v>1.5681617008904385</v>
      </c>
      <c r="AP408" s="733" t="str">
        <f t="shared" si="348"/>
        <v>1+18.4092686661495i</v>
      </c>
      <c r="AQ408" s="734">
        <f t="shared" si="349"/>
        <v>18.436408891714077</v>
      </c>
      <c r="AR408" s="735">
        <f t="shared" si="350"/>
        <v>1.5165291972912072</v>
      </c>
      <c r="AS408" s="732" t="str">
        <f t="shared" si="351"/>
        <v>0.00191666235155948-6.19138460746827i</v>
      </c>
      <c r="AT408" s="337">
        <f t="shared" si="352"/>
        <v>6.1913849041381361</v>
      </c>
      <c r="AU408" s="730">
        <f t="shared" si="353"/>
        <v>-1.5704867575447452</v>
      </c>
      <c r="AV408" s="732" t="str">
        <f t="shared" si="354"/>
        <v>-0.232708272734031+0.0529788538103891i</v>
      </c>
      <c r="AW408" s="337">
        <f t="shared" si="355"/>
        <v>-12.444307883085697</v>
      </c>
      <c r="AX408" s="730">
        <f t="shared" si="356"/>
        <v>167.17452211188322</v>
      </c>
      <c r="AY408" s="360">
        <f t="shared" si="357"/>
        <v>-12.825477888116779</v>
      </c>
      <c r="BB408" s="337">
        <f t="shared" si="358"/>
        <v>-24.164243921204935</v>
      </c>
      <c r="BC408" s="730">
        <f t="shared" si="359"/>
        <v>-89.982262988499301</v>
      </c>
      <c r="BD408" s="351"/>
      <c r="BE408" s="337">
        <f t="shared" si="320"/>
        <v>30.677392963979258</v>
      </c>
      <c r="BF408" s="730">
        <f t="shared" si="321"/>
        <v>-89.453846975172112</v>
      </c>
      <c r="BI408" s="351"/>
      <c r="BJ408" s="351"/>
      <c r="BL408" s="405">
        <f t="shared" si="322"/>
        <v>0</v>
      </c>
      <c r="BM408" s="405">
        <f t="shared" si="310"/>
        <v>0</v>
      </c>
      <c r="BN408" s="405">
        <f t="shared" si="323"/>
        <v>0</v>
      </c>
      <c r="BO408" s="405">
        <f t="shared" si="324"/>
        <v>0</v>
      </c>
    </row>
    <row r="409" spans="4:67" ht="13.5" thickBot="1" x14ac:dyDescent="0.25">
      <c r="D409" s="345">
        <v>38019</v>
      </c>
      <c r="E409" s="340" t="str">
        <f t="shared" si="311"/>
        <v>0.630644314591264i</v>
      </c>
      <c r="F409" s="728" t="str">
        <f t="shared" si="325"/>
        <v>0.005-0.0686261455518554i</v>
      </c>
      <c r="G409" s="337" t="str">
        <f t="shared" si="326"/>
        <v>0.005-0.107338330222133i</v>
      </c>
      <c r="H409" s="338" t="str">
        <f t="shared" si="327"/>
        <v>0.0142618220128554-0.105645944018671i</v>
      </c>
      <c r="I409" s="338" t="str">
        <f t="shared" si="328"/>
        <v>0.0242618220128554-0.105645944018671i</v>
      </c>
      <c r="J409" s="337" t="str">
        <f t="shared" si="329"/>
        <v>0.00555984177187594-0.0418394932857089i</v>
      </c>
      <c r="K409" s="338" t="str">
        <f t="shared" si="312"/>
        <v>0.9839395071-0.199067018494717i</v>
      </c>
      <c r="L409" s="732"/>
      <c r="M409" s="732" t="str">
        <f t="shared" si="313"/>
        <v>0.320708884922306-33.9640848473404i</v>
      </c>
      <c r="N409" s="337">
        <f t="shared" si="314"/>
        <v>0</v>
      </c>
      <c r="O409" s="730" t="str">
        <f t="shared" si="315"/>
        <v>-1.11207310428786-13.1786989314324i</v>
      </c>
      <c r="P409" s="731" t="str">
        <f t="shared" si="316"/>
        <v>-1.41925700927055-0.202253234915156i</v>
      </c>
      <c r="Q409" s="729" t="str">
        <f t="shared" si="317"/>
        <v>-1.40813627822767-0.0704662456008305i</v>
      </c>
      <c r="R409" s="730"/>
      <c r="S409" s="405" t="str">
        <f t="shared" si="330"/>
        <v>39.3067272483637-6.87268773300124i</v>
      </c>
      <c r="T409" s="405" t="str">
        <f t="shared" si="331"/>
        <v>14.988044238263-4.0952622823037i</v>
      </c>
      <c r="U409" s="405" t="str">
        <f t="shared" si="332"/>
        <v>-0.218891030571126-1.64183198431108i</v>
      </c>
      <c r="V409" s="731" t="str">
        <f t="shared" si="318"/>
        <v>6000</v>
      </c>
      <c r="W409" s="733" t="str">
        <f>IMSUM(COMPLEX(1,0),IMDIV(COMPLEX(0,2*PI()*D409),COMPLEX(2*PI()*'Stability Calculations'!EA_Pole1,0)))</f>
        <v>1+241269.226415598i</v>
      </c>
      <c r="X409" s="734">
        <f t="shared" si="333"/>
        <v>241269.2264176704</v>
      </c>
      <c r="Y409" s="735">
        <f t="shared" si="334"/>
        <v>1.5707921820474919</v>
      </c>
      <c r="Z409" s="340" t="str">
        <f>IMSUM(COMPLEX(1,0),IMDIV(COMPLEX(0,2*PI()*D409),COMPLEX(2*PI()*'Stability Calculations'!EA_Zero1,0)))</f>
        <v>1+2388.80422193661i</v>
      </c>
      <c r="AA409" s="734">
        <f t="shared" si="335"/>
        <v>2388.8044312463444</v>
      </c>
      <c r="AB409" s="735">
        <f t="shared" si="336"/>
        <v>1.5703777073314835</v>
      </c>
      <c r="AC409" s="733" t="str">
        <f>IMSUM(COMPLEX(1,0),IMDIV(COMPLEX(0,2*PI()*D409),COMPLEX(2*PI()*'Stability Calculations'!EA_Pole2,0)))</f>
        <v>1+24.0635145270584i</v>
      </c>
      <c r="AD409" s="734">
        <f t="shared" si="337"/>
        <v>24.084283908681005</v>
      </c>
      <c r="AE409" s="735">
        <f t="shared" si="338"/>
        <v>1.5292635348244585</v>
      </c>
      <c r="AF409" s="732" t="str">
        <f t="shared" si="339"/>
        <v>0.101393268849956-2.46450065972603i</v>
      </c>
      <c r="AG409" s="337">
        <f t="shared" si="340"/>
        <v>2.4665855137736692</v>
      </c>
      <c r="AH409" s="730">
        <f t="shared" si="341"/>
        <v>-1.5296780095404667</v>
      </c>
      <c r="AI409" s="731" t="str">
        <f t="shared" si="319"/>
        <v>10000</v>
      </c>
      <c r="AJ409" s="733" t="str">
        <f t="shared" si="342"/>
        <v>1+224929.327776708i</v>
      </c>
      <c r="AK409" s="734">
        <f t="shared" si="343"/>
        <v>224929.32777893092</v>
      </c>
      <c r="AL409" s="735">
        <f t="shared" si="344"/>
        <v>1.5707918809540191</v>
      </c>
      <c r="AM409" s="340" t="str">
        <f t="shared" si="345"/>
        <v>1+381.73091466547i</v>
      </c>
      <c r="AN409" s="734">
        <f t="shared" si="346"/>
        <v>381.73222448640138</v>
      </c>
      <c r="AO409" s="735">
        <f t="shared" si="347"/>
        <v>1.5681766864302431</v>
      </c>
      <c r="AP409" s="733" t="str">
        <f t="shared" si="348"/>
        <v>1+18.5145785800858i</v>
      </c>
      <c r="AQ409" s="734">
        <f t="shared" si="349"/>
        <v>18.541564658846134</v>
      </c>
      <c r="AR409" s="735">
        <f t="shared" si="350"/>
        <v>1.5168372652657214</v>
      </c>
      <c r="AS409" s="732" t="str">
        <f t="shared" si="351"/>
        <v>0.00189492062086882-6.15616835593799i</v>
      </c>
      <c r="AT409" s="337">
        <f t="shared" si="352"/>
        <v>6.1561686475742698</v>
      </c>
      <c r="AU409" s="730">
        <f t="shared" si="353"/>
        <v>-1.5704885183576573</v>
      </c>
      <c r="AV409" s="732" t="str">
        <f t="shared" si="354"/>
        <v>-0.229969306830513+0.0527066026292691i</v>
      </c>
      <c r="AW409" s="337">
        <f t="shared" si="355"/>
        <v>-12.544266181213448</v>
      </c>
      <c r="AX409" s="730">
        <f t="shared" si="356"/>
        <v>167.0913360071514</v>
      </c>
      <c r="AY409" s="360">
        <f t="shared" si="357"/>
        <v>-12.908663992848602</v>
      </c>
      <c r="BB409" s="337">
        <f t="shared" si="358"/>
        <v>-24.213789824544627</v>
      </c>
      <c r="BC409" s="730">
        <f t="shared" si="359"/>
        <v>-89.982363875647678</v>
      </c>
      <c r="BD409" s="351"/>
      <c r="BE409" s="337">
        <f t="shared" si="320"/>
        <v>30.620785553325529</v>
      </c>
      <c r="BF409" s="730">
        <f t="shared" si="321"/>
        <v>-89.458995596610251</v>
      </c>
      <c r="BI409" s="351"/>
      <c r="BJ409" s="351"/>
      <c r="BL409" s="405">
        <f t="shared" si="322"/>
        <v>0</v>
      </c>
      <c r="BM409" s="405">
        <f t="shared" si="310"/>
        <v>0</v>
      </c>
      <c r="BN409" s="405">
        <f t="shared" si="323"/>
        <v>0</v>
      </c>
      <c r="BO409" s="405">
        <f t="shared" si="324"/>
        <v>0</v>
      </c>
    </row>
    <row r="410" spans="4:67" ht="13.5" thickBot="1" x14ac:dyDescent="0.25">
      <c r="D410" s="345">
        <v>38240.5</v>
      </c>
      <c r="E410" s="340" t="str">
        <f t="shared" si="311"/>
        <v>0.634318470031491i</v>
      </c>
      <c r="F410" s="728" t="str">
        <f t="shared" si="325"/>
        <v>0.005-0.0682286431332222i</v>
      </c>
      <c r="G410" s="337" t="str">
        <f t="shared" si="326"/>
        <v>0.005-0.106716595669912i</v>
      </c>
      <c r="H410" s="338" t="str">
        <f t="shared" si="327"/>
        <v>0.0141554140441865-0.105043307340763i</v>
      </c>
      <c r="I410" s="338" t="str">
        <f t="shared" si="328"/>
        <v>0.0241554140441865-0.105043307340763i</v>
      </c>
      <c r="J410" s="337" t="str">
        <f t="shared" si="329"/>
        <v>0.00554327928495697-0.041598203534178i</v>
      </c>
      <c r="K410" s="338" t="str">
        <f t="shared" si="312"/>
        <v>0.983751823997222-0.200226789782667i</v>
      </c>
      <c r="L410" s="732"/>
      <c r="M410" s="732" t="str">
        <f t="shared" si="313"/>
        <v>0.315543484988329-33.7397790909294i</v>
      </c>
      <c r="N410" s="337">
        <f t="shared" si="314"/>
        <v>0</v>
      </c>
      <c r="O410" s="730" t="str">
        <f t="shared" si="315"/>
        <v>-1.10481401350834-13.0905799429939i</v>
      </c>
      <c r="P410" s="731" t="str">
        <f t="shared" si="316"/>
        <v>-1.40176505215885-0.200155060626201i</v>
      </c>
      <c r="Q410" s="729" t="str">
        <f t="shared" si="317"/>
        <v>-1.39071691202377-0.0692492611962613i</v>
      </c>
      <c r="R410" s="730"/>
      <c r="S410" s="405" t="str">
        <f t="shared" si="330"/>
        <v>39.2963555422904-6.92447982674898i</v>
      </c>
      <c r="T410" s="405" t="str">
        <f t="shared" si="331"/>
        <v>14.9812433167668-4.11347846618171i</v>
      </c>
      <c r="U410" s="405" t="str">
        <f t="shared" si="332"/>
        <v>-0.220027680717202-1.63190733692054i</v>
      </c>
      <c r="V410" s="731" t="str">
        <f t="shared" si="318"/>
        <v>6000</v>
      </c>
      <c r="W410" s="733" t="str">
        <f>IMSUM(COMPLEX(1,0),IMDIV(COMPLEX(0,2*PI()*D410),COMPLEX(2*PI()*'Stability Calculations'!EA_Pole1,0)))</f>
        <v>1+242674.869216593i</v>
      </c>
      <c r="X410" s="734">
        <f t="shared" si="333"/>
        <v>242674.86921865336</v>
      </c>
      <c r="Y410" s="735">
        <f t="shared" si="334"/>
        <v>1.5707922060550639</v>
      </c>
      <c r="Z410" s="340" t="str">
        <f>IMSUM(COMPLEX(1,0),IMDIV(COMPLEX(0,2*PI()*D410),COMPLEX(2*PI()*'Stability Calculations'!EA_Zero1,0)))</f>
        <v>1+2402.72147739201i</v>
      </c>
      <c r="AA410" s="734">
        <f t="shared" si="335"/>
        <v>2402.7216854893622</v>
      </c>
      <c r="AB410" s="735">
        <f t="shared" si="336"/>
        <v>1.5703801320958148</v>
      </c>
      <c r="AC410" s="733" t="str">
        <f>IMSUM(COMPLEX(1,0),IMDIV(COMPLEX(0,2*PI()*D410),COMPLEX(2*PI()*'Stability Calculations'!EA_Pole2,0)))</f>
        <v>1+24.2037093893047i</v>
      </c>
      <c r="AD410" s="734">
        <f t="shared" si="337"/>
        <v>24.224358571527056</v>
      </c>
      <c r="AE410" s="735">
        <f t="shared" si="338"/>
        <v>1.5295038305679733</v>
      </c>
      <c r="AF410" s="732" t="str">
        <f t="shared" si="339"/>
        <v>0.100224068404692-2.45027386805162i</v>
      </c>
      <c r="AG410" s="337">
        <f t="shared" si="340"/>
        <v>2.4523227545215653</v>
      </c>
      <c r="AH410" s="730">
        <f t="shared" si="341"/>
        <v>-1.5299159045272224</v>
      </c>
      <c r="AI410" s="731" t="str">
        <f t="shared" si="319"/>
        <v>10000</v>
      </c>
      <c r="AJ410" s="733" t="str">
        <f t="shared" si="342"/>
        <v>1+226239.773766937i</v>
      </c>
      <c r="AK410" s="734">
        <f t="shared" si="343"/>
        <v>226239.77376914705</v>
      </c>
      <c r="AL410" s="735">
        <f t="shared" si="344"/>
        <v>1.5707919067056111</v>
      </c>
      <c r="AM410" s="340" t="str">
        <f t="shared" si="345"/>
        <v>1+383.954892087243i</v>
      </c>
      <c r="AN410" s="734">
        <f t="shared" si="346"/>
        <v>383.95619432133975</v>
      </c>
      <c r="AO410" s="735">
        <f t="shared" si="347"/>
        <v>1.5681918600736093</v>
      </c>
      <c r="AP410" s="733" t="str">
        <f t="shared" si="348"/>
        <v>1+18.6224451508922i</v>
      </c>
      <c r="AQ410" s="734">
        <f t="shared" si="349"/>
        <v>18.649275144036793</v>
      </c>
      <c r="AR410" s="735">
        <f t="shared" si="350"/>
        <v>1.5171492106349036</v>
      </c>
      <c r="AS410" s="732" t="str">
        <f t="shared" si="351"/>
        <v>0.00187303234563873-6.12051006081392i</v>
      </c>
      <c r="AT410" s="337">
        <f t="shared" si="352"/>
        <v>6.1205103474117726</v>
      </c>
      <c r="AU410" s="730">
        <f t="shared" si="353"/>
        <v>-1.5704903012727494</v>
      </c>
      <c r="AV410" s="732" t="str">
        <f t="shared" si="354"/>
        <v>-0.227211961489733+0.0524301733290636i</v>
      </c>
      <c r="AW410" s="337">
        <f t="shared" si="355"/>
        <v>-12.646071315306164</v>
      </c>
      <c r="AX410" s="730">
        <f t="shared" si="356"/>
        <v>167.00618675875586</v>
      </c>
      <c r="AY410" s="360">
        <f t="shared" si="357"/>
        <v>-12.99381324124414</v>
      </c>
      <c r="BB410" s="337">
        <f t="shared" si="358"/>
        <v>-24.264247270082357</v>
      </c>
      <c r="BC410" s="730">
        <f t="shared" si="359"/>
        <v>-89.982466029157678</v>
      </c>
      <c r="BD410" s="351"/>
      <c r="BE410" s="337">
        <f t="shared" si="320"/>
        <v>30.563224533700012</v>
      </c>
      <c r="BF410" s="730">
        <f t="shared" si="321"/>
        <v>-89.464170087784439</v>
      </c>
      <c r="BI410" s="351"/>
      <c r="BJ410" s="351"/>
      <c r="BL410" s="405">
        <f t="shared" si="322"/>
        <v>0</v>
      </c>
      <c r="BM410" s="405">
        <f t="shared" ref="BM410:BM473" si="360">IF(BL410&gt;0,AY410,0)</f>
        <v>0</v>
      </c>
      <c r="BN410" s="405">
        <f t="shared" si="323"/>
        <v>0</v>
      </c>
      <c r="BO410" s="405">
        <f t="shared" si="324"/>
        <v>0</v>
      </c>
    </row>
    <row r="411" spans="4:67" ht="13.5" thickBot="1" x14ac:dyDescent="0.25">
      <c r="D411" s="345">
        <v>38462</v>
      </c>
      <c r="E411" s="340" t="str">
        <f t="shared" si="311"/>
        <v>0.637992625471717i</v>
      </c>
      <c r="F411" s="728" t="str">
        <f t="shared" si="325"/>
        <v>0.005-0.0678357190925067i</v>
      </c>
      <c r="G411" s="337" t="str">
        <f t="shared" si="326"/>
        <v>0.005-0.106102022170331i</v>
      </c>
      <c r="H411" s="338" t="str">
        <f t="shared" si="327"/>
        <v>0.0140508208141528-0.104447454138364i</v>
      </c>
      <c r="I411" s="338" t="str">
        <f t="shared" si="328"/>
        <v>0.0240508208141528-0.104447454138364i</v>
      </c>
      <c r="J411" s="337" t="str">
        <f t="shared" si="329"/>
        <v>0.00552700040137256-0.0413596860300342i</v>
      </c>
      <c r="K411" s="338" t="str">
        <f t="shared" si="312"/>
        <v>0.983563050622222-0.201386561070618i</v>
      </c>
      <c r="L411" s="732"/>
      <c r="M411" s="732" t="str">
        <f t="shared" si="313"/>
        <v>0.310504408835575-33.5185715034804i</v>
      </c>
      <c r="N411" s="337">
        <f t="shared" si="314"/>
        <v>0</v>
      </c>
      <c r="O411" s="730" t="str">
        <f t="shared" si="315"/>
        <v>-1.09767806321874-13.0036810218236i</v>
      </c>
      <c r="P411" s="731" t="str">
        <f t="shared" si="316"/>
        <v>-1.38460143556694-0.198099523013551i</v>
      </c>
      <c r="Q411" s="729" t="str">
        <f t="shared" si="317"/>
        <v>-1.37362465493475-0.0680627127953157i</v>
      </c>
      <c r="R411" s="730"/>
      <c r="S411" s="405" t="str">
        <f t="shared" si="330"/>
        <v>39.2859055141946-6.97618801317176i</v>
      </c>
      <c r="T411" s="405" t="str">
        <f t="shared" si="331"/>
        <v>14.9744108621725-4.13171011557609i</v>
      </c>
      <c r="U411" s="405" t="str">
        <f t="shared" si="332"/>
        <v>-0.221143838987759-1.62209301026577i</v>
      </c>
      <c r="V411" s="731" t="str">
        <f t="shared" si="318"/>
        <v>6000</v>
      </c>
      <c r="W411" s="733" t="str">
        <f>IMSUM(COMPLEX(1,0),IMDIV(COMPLEX(0,2*PI()*D411),COMPLEX(2*PI()*'Stability Calculations'!EA_Pole1,0)))</f>
        <v>1+244080.512017588i</v>
      </c>
      <c r="X411" s="734">
        <f t="shared" si="333"/>
        <v>244080.51201963652</v>
      </c>
      <c r="Y411" s="735">
        <f t="shared" si="334"/>
        <v>1.5707922297861199</v>
      </c>
      <c r="Z411" s="340" t="str">
        <f>IMSUM(COMPLEX(1,0),IMDIV(COMPLEX(0,2*PI()*D411),COMPLEX(2*PI()*'Stability Calculations'!EA_Zero1,0)))</f>
        <v>1+2416.63873284741i</v>
      </c>
      <c r="AA411" s="734">
        <f t="shared" si="335"/>
        <v>2416.638939746344</v>
      </c>
      <c r="AB411" s="735">
        <f t="shared" si="336"/>
        <v>1.5703825289320503</v>
      </c>
      <c r="AC411" s="733" t="str">
        <f>IMSUM(COMPLEX(1,0),IMDIV(COMPLEX(0,2*PI()*D411),COMPLEX(2*PI()*'Stability Calculations'!EA_Pole2,0)))</f>
        <v>1+24.343904251551i</v>
      </c>
      <c r="AD411" s="734">
        <f t="shared" si="337"/>
        <v>24.364434617053661</v>
      </c>
      <c r="AE411" s="735">
        <f t="shared" si="338"/>
        <v>1.5297413633077455</v>
      </c>
      <c r="AF411" s="732" t="str">
        <f t="shared" si="339"/>
        <v>0.0990749643998136-2.43621011307571i</v>
      </c>
      <c r="AG411" s="337">
        <f t="shared" si="340"/>
        <v>2.4382238542888528</v>
      </c>
      <c r="AH411" s="730">
        <f t="shared" si="341"/>
        <v>-1.5301510641618148</v>
      </c>
      <c r="AI411" s="731" t="str">
        <f t="shared" si="319"/>
        <v>10000</v>
      </c>
      <c r="AJ411" s="733" t="str">
        <f t="shared" si="342"/>
        <v>1+227550.219757166i</v>
      </c>
      <c r="AK411" s="734">
        <f t="shared" si="343"/>
        <v>227550.21975936327</v>
      </c>
      <c r="AL411" s="735">
        <f t="shared" si="344"/>
        <v>1.5707919321605999</v>
      </c>
      <c r="AM411" s="340" t="str">
        <f t="shared" si="345"/>
        <v>1+386.178869509016i</v>
      </c>
      <c r="AN411" s="734">
        <f t="shared" si="346"/>
        <v>386.18016424366186</v>
      </c>
      <c r="AO411" s="735">
        <f t="shared" si="347"/>
        <v>1.5682068589502272</v>
      </c>
      <c r="AP411" s="733" t="str">
        <f t="shared" si="348"/>
        <v>1+18.7303117216986i</v>
      </c>
      <c r="AQ411" s="734">
        <f t="shared" si="349"/>
        <v>18.756987423144476</v>
      </c>
      <c r="AR411" s="735">
        <f t="shared" si="350"/>
        <v>1.5174575733319668</v>
      </c>
      <c r="AS411" s="732" t="str">
        <f t="shared" si="351"/>
        <v>0.00185152113960464-6.08526247288991i</v>
      </c>
      <c r="AT411" s="337">
        <f t="shared" si="352"/>
        <v>6.0852627545647318</v>
      </c>
      <c r="AU411" s="730">
        <f t="shared" si="353"/>
        <v>-1.5704920636524737</v>
      </c>
      <c r="AV411" s="732" t="str">
        <f t="shared" si="354"/>
        <v>-0.224502197544719+0.052156178735628i</v>
      </c>
      <c r="AW411" s="337">
        <f t="shared" si="355"/>
        <v>-12.747296401185572</v>
      </c>
      <c r="AX411" s="730">
        <f t="shared" si="356"/>
        <v>166.92109353426864</v>
      </c>
      <c r="AY411" s="360">
        <f t="shared" si="357"/>
        <v>-13.078906465731365</v>
      </c>
      <c r="BB411" s="337">
        <f t="shared" si="358"/>
        <v>-24.314413293973665</v>
      </c>
      <c r="BC411" s="730">
        <f t="shared" si="359"/>
        <v>-89.982567006077787</v>
      </c>
      <c r="BD411" s="351"/>
      <c r="BE411" s="337">
        <f t="shared" si="320"/>
        <v>30.506082706242111</v>
      </c>
      <c r="BF411" s="730">
        <f t="shared" si="321"/>
        <v>-89.469246973446118</v>
      </c>
      <c r="BI411" s="351"/>
      <c r="BJ411" s="351"/>
      <c r="BL411" s="405">
        <f t="shared" si="322"/>
        <v>0</v>
      </c>
      <c r="BM411" s="405">
        <f t="shared" si="360"/>
        <v>0</v>
      </c>
      <c r="BN411" s="405">
        <f t="shared" si="323"/>
        <v>0</v>
      </c>
      <c r="BO411" s="405">
        <f t="shared" si="324"/>
        <v>0</v>
      </c>
    </row>
    <row r="412" spans="4:67" ht="13.5" thickBot="1" x14ac:dyDescent="0.25">
      <c r="D412" s="345">
        <v>38683.5</v>
      </c>
      <c r="E412" s="340" t="str">
        <f t="shared" si="311"/>
        <v>0.641666780911943i</v>
      </c>
      <c r="F412" s="728" t="str">
        <f t="shared" si="325"/>
        <v>0.005-0.0674472947829432i</v>
      </c>
      <c r="G412" s="337" t="str">
        <f t="shared" si="326"/>
        <v>0.005-0.105494486711783i</v>
      </c>
      <c r="H412" s="338" t="str">
        <f t="shared" si="327"/>
        <v>0.0139480013922982-0.1038582714203i</v>
      </c>
      <c r="I412" s="338" t="str">
        <f t="shared" si="328"/>
        <v>0.0239480013922982-0.1038582714203i</v>
      </c>
      <c r="J412" s="337" t="str">
        <f t="shared" si="329"/>
        <v>0.00551099864962477-0.0411238933672157i</v>
      </c>
      <c r="K412" s="338" t="str">
        <f t="shared" si="312"/>
        <v>0.983373186975-0.202546332358568i</v>
      </c>
      <c r="L412" s="732"/>
      <c r="M412" s="732" t="str">
        <f t="shared" si="313"/>
        <v>0.305587561883198-33.3003958953218i</v>
      </c>
      <c r="N412" s="337">
        <f t="shared" si="314"/>
        <v>0</v>
      </c>
      <c r="O412" s="730" t="str">
        <f t="shared" si="315"/>
        <v>-1.09066246751218-12.917975935922i</v>
      </c>
      <c r="P412" s="731" t="str">
        <f t="shared" si="316"/>
        <v>-1.3677578372444-0.19608538712032i</v>
      </c>
      <c r="Q412" s="729" t="str">
        <f t="shared" si="317"/>
        <v>-1.35685121256928-0.0669056277611001i</v>
      </c>
      <c r="R412" s="730"/>
      <c r="S412" s="405" t="str">
        <f t="shared" si="330"/>
        <v>39.275377448441-7.02781339941751i</v>
      </c>
      <c r="T412" s="405" t="str">
        <f t="shared" si="331"/>
        <v>14.9675467784543-4.14995668574108i</v>
      </c>
      <c r="U412" s="405" t="str">
        <f t="shared" si="332"/>
        <v>-0.222239964545018-1.61238713744344i</v>
      </c>
      <c r="V412" s="731" t="str">
        <f t="shared" si="318"/>
        <v>6000</v>
      </c>
      <c r="W412" s="733" t="str">
        <f>IMSUM(COMPLEX(1,0),IMDIV(COMPLEX(0,2*PI()*D412),COMPLEX(2*PI()*'Stability Calculations'!EA_Pole1,0)))</f>
        <v>1+245486.154818585i</v>
      </c>
      <c r="X412" s="734">
        <f t="shared" si="333"/>
        <v>245486.15482062177</v>
      </c>
      <c r="Y412" s="735">
        <f t="shared" si="334"/>
        <v>1.5707922532454097</v>
      </c>
      <c r="Z412" s="340" t="str">
        <f>IMSUM(COMPLEX(1,0),IMDIV(COMPLEX(0,2*PI()*D412),COMPLEX(2*PI()*'Stability Calculations'!EA_Zero1,0)))</f>
        <v>1+2430.55598830282i</v>
      </c>
      <c r="AA412" s="734">
        <f t="shared" si="335"/>
        <v>2430.5561940170605</v>
      </c>
      <c r="AB412" s="735">
        <f t="shared" si="336"/>
        <v>1.5703848983199353</v>
      </c>
      <c r="AC412" s="733" t="str">
        <f>IMSUM(COMPLEX(1,0),IMDIV(COMPLEX(0,2*PI()*D412),COMPLEX(2*PI()*'Stability Calculations'!EA_Pole2,0)))</f>
        <v>1+24.4840991137974i</v>
      </c>
      <c r="AD412" s="734">
        <f t="shared" si="337"/>
        <v>24.504512021549306</v>
      </c>
      <c r="AE412" s="735">
        <f t="shared" si="338"/>
        <v>1.5299761803999785</v>
      </c>
      <c r="AF412" s="732" t="str">
        <f t="shared" si="339"/>
        <v>0.0979454991519456-2.42230661286871i</v>
      </c>
      <c r="AG412" s="337">
        <f t="shared" si="340"/>
        <v>2.4242860077869537</v>
      </c>
      <c r="AH412" s="730">
        <f t="shared" si="341"/>
        <v>-1.5303835353254529</v>
      </c>
      <c r="AI412" s="731" t="str">
        <f t="shared" si="319"/>
        <v>10000</v>
      </c>
      <c r="AJ412" s="733" t="str">
        <f t="shared" si="342"/>
        <v>1+228860.665747397i</v>
      </c>
      <c r="AK412" s="734">
        <f t="shared" si="343"/>
        <v>228860.66574958173</v>
      </c>
      <c r="AL412" s="735">
        <f t="shared" si="344"/>
        <v>1.5707919573240803</v>
      </c>
      <c r="AM412" s="340" t="str">
        <f t="shared" si="345"/>
        <v>1+388.402846930791i</v>
      </c>
      <c r="AN412" s="734">
        <f t="shared" si="346"/>
        <v>388.40413425186847</v>
      </c>
      <c r="AO412" s="735">
        <f t="shared" si="347"/>
        <v>1.5682216860621896</v>
      </c>
      <c r="AP412" s="733" t="str">
        <f t="shared" si="348"/>
        <v>1+18.8381782925051i</v>
      </c>
      <c r="AQ412" s="734">
        <f t="shared" si="349"/>
        <v>18.864701465440959</v>
      </c>
      <c r="AR412" s="735">
        <f t="shared" si="350"/>
        <v>1.5177624146669944</v>
      </c>
      <c r="AS412" s="732" t="str">
        <f t="shared" si="351"/>
        <v>0.00183037839121543-6.05041853709506i</v>
      </c>
      <c r="AT412" s="337">
        <f t="shared" si="352"/>
        <v>6.0504188139589621</v>
      </c>
      <c r="AU412" s="730">
        <f t="shared" si="353"/>
        <v>-1.5704938058495843</v>
      </c>
      <c r="AV412" s="732" t="str">
        <f t="shared" si="354"/>
        <v>-0.221838926645321+0.0518845928645831i</v>
      </c>
      <c r="AW412" s="337">
        <f t="shared" si="355"/>
        <v>-12.847948179051853</v>
      </c>
      <c r="AX412" s="730">
        <f t="shared" si="356"/>
        <v>166.8360552943746</v>
      </c>
      <c r="AY412" s="360">
        <f t="shared" si="357"/>
        <v>-13.163944705625397</v>
      </c>
      <c r="BB412" s="337">
        <f t="shared" si="358"/>
        <v>-24.364291243162356</v>
      </c>
      <c r="BC412" s="730">
        <f t="shared" si="359"/>
        <v>-89.982666826619294</v>
      </c>
      <c r="BD412" s="351"/>
      <c r="BE412" s="337">
        <f t="shared" si="320"/>
        <v>30.449353645337109</v>
      </c>
      <c r="BF412" s="730">
        <f t="shared" si="321"/>
        <v>-89.474228890154379</v>
      </c>
      <c r="BI412" s="351"/>
      <c r="BJ412" s="351"/>
      <c r="BL412" s="405">
        <f t="shared" si="322"/>
        <v>0</v>
      </c>
      <c r="BM412" s="405">
        <f t="shared" si="360"/>
        <v>0</v>
      </c>
      <c r="BN412" s="405">
        <f t="shared" si="323"/>
        <v>0</v>
      </c>
      <c r="BO412" s="405">
        <f t="shared" si="324"/>
        <v>0</v>
      </c>
    </row>
    <row r="413" spans="4:67" ht="13.5" thickBot="1" x14ac:dyDescent="0.25">
      <c r="D413" s="345">
        <v>38905</v>
      </c>
      <c r="E413" s="340" t="str">
        <f t="shared" si="311"/>
        <v>0.64534093635217i</v>
      </c>
      <c r="F413" s="728" t="str">
        <f t="shared" si="325"/>
        <v>0.005-0.0670632933488239i</v>
      </c>
      <c r="G413" s="337" t="str">
        <f t="shared" si="326"/>
        <v>0.005-0.104893869084058i</v>
      </c>
      <c r="H413" s="338" t="str">
        <f t="shared" si="327"/>
        <v>0.0138469159927929-0.103275648670317i</v>
      </c>
      <c r="I413" s="338" t="str">
        <f t="shared" si="328"/>
        <v>0.0238469159927929-0.103275648670317i</v>
      </c>
      <c r="J413" s="337" t="str">
        <f t="shared" si="329"/>
        <v>0.00549526774150789-0.0408907792131178i</v>
      </c>
      <c r="K413" s="338" t="str">
        <f t="shared" si="312"/>
        <v>0.983182233055556-0.203706103646518i</v>
      </c>
      <c r="L413" s="732"/>
      <c r="M413" s="732" t="str">
        <f t="shared" si="313"/>
        <v>0.300789013246151-33.085187997127i</v>
      </c>
      <c r="N413" s="337">
        <f t="shared" si="314"/>
        <v>0</v>
      </c>
      <c r="O413" s="730" t="str">
        <f t="shared" si="315"/>
        <v>-1.08376451712203-12.8334392194302i</v>
      </c>
      <c r="P413" s="731" t="str">
        <f t="shared" si="316"/>
        <v>-1.35122620145352-0.194111463452716i</v>
      </c>
      <c r="Q413" s="729" t="str">
        <f t="shared" si="317"/>
        <v>-1.3403885562823-0.0657770712584134i</v>
      </c>
      <c r="R413" s="730"/>
      <c r="S413" s="405" t="str">
        <f t="shared" si="330"/>
        <v>39.2647716211206-7.0793570656864i</v>
      </c>
      <c r="T413" s="405" t="str">
        <f t="shared" si="331"/>
        <v>14.9606509729954-4.16821764248895i</v>
      </c>
      <c r="U413" s="405" t="str">
        <f t="shared" si="332"/>
        <v>-0.223316503606544-1.60278789330153i</v>
      </c>
      <c r="V413" s="731" t="str">
        <f t="shared" si="318"/>
        <v>6000</v>
      </c>
      <c r="W413" s="733" t="str">
        <f>IMSUM(COMPLEX(1,0),IMDIV(COMPLEX(0,2*PI()*D413),COMPLEX(2*PI()*'Stability Calculations'!EA_Pole1,0)))</f>
        <v>1+246891.79761958i</v>
      </c>
      <c r="X413" s="734">
        <f t="shared" si="333"/>
        <v>246891.79762160519</v>
      </c>
      <c r="Y413" s="735">
        <f t="shared" si="334"/>
        <v>1.5707922764375755</v>
      </c>
      <c r="Z413" s="340" t="str">
        <f>IMSUM(COMPLEX(1,0),IMDIV(COMPLEX(0,2*PI()*D413),COMPLEX(2*PI()*'Stability Calculations'!EA_Zero1,0)))</f>
        <v>1+2444.47324375822i</v>
      </c>
      <c r="AA413" s="734">
        <f t="shared" si="335"/>
        <v>2444.4734483012562</v>
      </c>
      <c r="AB413" s="735">
        <f t="shared" si="336"/>
        <v>1.5703872407282893</v>
      </c>
      <c r="AC413" s="733" t="str">
        <f>IMSUM(COMPLEX(1,0),IMDIV(COMPLEX(0,2*PI()*D413),COMPLEX(2*PI()*'Stability Calculations'!EA_Pole2,0)))</f>
        <v>1+24.6242939760437i</v>
      </c>
      <c r="AD413" s="734">
        <f t="shared" si="337"/>
        <v>24.644590761841062</v>
      </c>
      <c r="AE413" s="735">
        <f t="shared" si="338"/>
        <v>1.5302083281254073</v>
      </c>
      <c r="AF413" s="732" t="str">
        <f t="shared" si="339"/>
        <v>0.0968352279261084-2.40856064832931i</v>
      </c>
      <c r="AG413" s="337">
        <f t="shared" si="340"/>
        <v>2.4105064733470445</v>
      </c>
      <c r="AH413" s="730">
        <f t="shared" si="341"/>
        <v>-1.5306133638346939</v>
      </c>
      <c r="AI413" s="731" t="str">
        <f t="shared" si="319"/>
        <v>10000</v>
      </c>
      <c r="AJ413" s="733" t="str">
        <f t="shared" si="342"/>
        <v>1+230171.111737626i</v>
      </c>
      <c r="AK413" s="734">
        <f t="shared" si="343"/>
        <v>230171.1117397983</v>
      </c>
      <c r="AL413" s="735">
        <f t="shared" si="344"/>
        <v>1.5707919822010314</v>
      </c>
      <c r="AM413" s="340" t="str">
        <f t="shared" si="345"/>
        <v>1+390.626824352563i</v>
      </c>
      <c r="AN413" s="734">
        <f t="shared" si="346"/>
        <v>390.62810434448789</v>
      </c>
      <c r="AO413" s="735">
        <f t="shared" si="347"/>
        <v>1.5682363443432228</v>
      </c>
      <c r="AP413" s="733" t="str">
        <f t="shared" si="348"/>
        <v>1+18.9460448633114i</v>
      </c>
      <c r="AQ413" s="734">
        <f t="shared" si="349"/>
        <v>18.972417240894956</v>
      </c>
      <c r="AR413" s="735">
        <f t="shared" si="350"/>
        <v>1.518063794560371</v>
      </c>
      <c r="AS413" s="732" t="str">
        <f t="shared" si="351"/>
        <v>0.0018095957333632-6.01597135902651i</v>
      </c>
      <c r="AT413" s="337">
        <f t="shared" si="352"/>
        <v>6.0159716311884308</v>
      </c>
      <c r="AU413" s="730">
        <f t="shared" si="353"/>
        <v>-1.5704955282088011</v>
      </c>
      <c r="AV413" s="732" t="str">
        <f t="shared" si="354"/>
        <v>-0.219221091394291+0.0516153898680714i</v>
      </c>
      <c r="AW413" s="337">
        <f t="shared" si="355"/>
        <v>-12.948033273263269</v>
      </c>
      <c r="AX413" s="730">
        <f t="shared" si="356"/>
        <v>166.75107102419574</v>
      </c>
      <c r="AY413" s="360">
        <f t="shared" si="357"/>
        <v>-13.248928975804262</v>
      </c>
      <c r="BB413" s="337">
        <f t="shared" si="358"/>
        <v>-24.413884407262366</v>
      </c>
      <c r="BC413" s="730">
        <f t="shared" si="359"/>
        <v>-89.982765510533227</v>
      </c>
      <c r="BD413" s="351"/>
      <c r="BE413" s="337">
        <f t="shared" si="320"/>
        <v>30.393031075835147</v>
      </c>
      <c r="BF413" s="730">
        <f t="shared" si="321"/>
        <v>-89.479118383800127</v>
      </c>
      <c r="BI413" s="351"/>
      <c r="BJ413" s="351"/>
      <c r="BL413" s="405">
        <f t="shared" si="322"/>
        <v>0</v>
      </c>
      <c r="BM413" s="405">
        <f t="shared" si="360"/>
        <v>0</v>
      </c>
      <c r="BN413" s="405">
        <f t="shared" si="323"/>
        <v>0</v>
      </c>
      <c r="BO413" s="405">
        <f t="shared" si="324"/>
        <v>0</v>
      </c>
    </row>
    <row r="414" spans="4:67" ht="13.5" thickBot="1" x14ac:dyDescent="0.25">
      <c r="D414" s="345">
        <v>39131.5</v>
      </c>
      <c r="E414" s="340" t="str">
        <f t="shared" si="311"/>
        <v>0.649098029838451i</v>
      </c>
      <c r="F414" s="728" t="str">
        <f t="shared" si="325"/>
        <v>0.005-0.066675119219452i</v>
      </c>
      <c r="G414" s="337" t="str">
        <f t="shared" si="326"/>
        <v>0.005-0.104286724932989i</v>
      </c>
      <c r="H414" s="338" t="str">
        <f t="shared" si="327"/>
        <v>0.013745301640561-0.102686545301904i</v>
      </c>
      <c r="I414" s="338" t="str">
        <f t="shared" si="328"/>
        <v>0.023745301640561-0.102686545301904i</v>
      </c>
      <c r="J414" s="337" t="str">
        <f t="shared" si="329"/>
        <v>0.00547945545117487-0.0406551255932956i</v>
      </c>
      <c r="K414" s="338" t="str">
        <f t="shared" si="312"/>
        <v>0.982985841197222-0.204892054873248i</v>
      </c>
      <c r="L414" s="732"/>
      <c r="M414" s="732" t="str">
        <f t="shared" si="313"/>
        <v>0.29600054707373-32.8681260618844i</v>
      </c>
      <c r="N414" s="337">
        <f t="shared" si="314"/>
        <v>0</v>
      </c>
      <c r="O414" s="730" t="str">
        <f t="shared" si="315"/>
        <v>-1.07682977052235-12.7481766933112i</v>
      </c>
      <c r="P414" s="731" t="str">
        <f t="shared" si="316"/>
        <v>-1.33463587125097-0.192133371936661i</v>
      </c>
      <c r="Q414" s="729" t="str">
        <f t="shared" si="317"/>
        <v>-1.32386757354574-0.0646516050035492i</v>
      </c>
      <c r="R414" s="730"/>
      <c r="S414" s="405" t="str">
        <f t="shared" si="330"/>
        <v>39.2538462494987-7.13198083602671i</v>
      </c>
      <c r="T414" s="405" t="str">
        <f t="shared" si="331"/>
        <v>14.9535666090509-4.1869051420158i</v>
      </c>
      <c r="U414" s="405" t="str">
        <f t="shared" si="332"/>
        <v>-0.224397540896755-1.59308036914276i</v>
      </c>
      <c r="V414" s="731" t="str">
        <f t="shared" si="318"/>
        <v>6000</v>
      </c>
      <c r="W414" s="733" t="str">
        <f>IMSUM(COMPLEX(1,0),IMDIV(COMPLEX(0,2*PI()*D414),COMPLEX(2*PI()*'Stability Calculations'!EA_Pole1,0)))</f>
        <v>1+248329.170506377i</v>
      </c>
      <c r="X414" s="734">
        <f t="shared" si="333"/>
        <v>248329.1705083905</v>
      </c>
      <c r="Y414" s="735">
        <f t="shared" si="334"/>
        <v>1.5707922998817556</v>
      </c>
      <c r="Z414" s="340" t="str">
        <f>IMSUM(COMPLEX(1,0),IMDIV(COMPLEX(0,2*PI()*D414),COMPLEX(2*PI()*'Stability Calculations'!EA_Zero1,0)))</f>
        <v>1+2458.70465847898i</v>
      </c>
      <c r="AA414" s="734">
        <f t="shared" si="335"/>
        <v>2458.704861838085</v>
      </c>
      <c r="AB414" s="735">
        <f t="shared" si="336"/>
        <v>1.5703896085900844</v>
      </c>
      <c r="AC414" s="733" t="str">
        <f>IMSUM(COMPLEX(1,0),IMDIV(COMPLEX(0,2*PI()*D414),COMPLEX(2*PI()*'Stability Calculations'!EA_Pole2,0)))</f>
        <v>1+24.7676535078667i</v>
      </c>
      <c r="AD414" s="734">
        <f t="shared" si="337"/>
        <v>24.787832908218132</v>
      </c>
      <c r="AE414" s="735">
        <f t="shared" si="338"/>
        <v>1.5304430028988227</v>
      </c>
      <c r="AF414" s="732" t="str">
        <f t="shared" si="339"/>
        <v>0.0957192927067638-2.39466453206184i</v>
      </c>
      <c r="AG414" s="337">
        <f t="shared" si="340"/>
        <v>2.3965768095580064</v>
      </c>
      <c r="AH414" s="730">
        <f t="shared" si="341"/>
        <v>-1.530845694190494</v>
      </c>
      <c r="AI414" s="731" t="str">
        <f t="shared" si="319"/>
        <v>10000</v>
      </c>
      <c r="AJ414" s="733" t="str">
        <f t="shared" si="342"/>
        <v>1+231511.13890145i</v>
      </c>
      <c r="AK414" s="734">
        <f t="shared" si="343"/>
        <v>231511.13890360971</v>
      </c>
      <c r="AL414" s="735">
        <f t="shared" si="344"/>
        <v>1.5707920073483044</v>
      </c>
      <c r="AM414" s="340" t="str">
        <f t="shared" si="345"/>
        <v>1+392.901004424941i</v>
      </c>
      <c r="AN414" s="734">
        <f t="shared" si="346"/>
        <v>392.90227700807168</v>
      </c>
      <c r="AO414" s="735">
        <f t="shared" si="347"/>
        <v>1.5682511619074344</v>
      </c>
      <c r="AP414" s="733" t="str">
        <f t="shared" si="348"/>
        <v>1+19.0563463454227i</v>
      </c>
      <c r="AQ414" s="734">
        <f t="shared" si="349"/>
        <v>19.082566285400532</v>
      </c>
      <c r="AR414" s="735">
        <f t="shared" si="350"/>
        <v>1.518368459099372</v>
      </c>
      <c r="AS414" s="732" t="str">
        <f t="shared" si="351"/>
        <v>0.00178870784573722-5.98114986564195i</v>
      </c>
      <c r="AT414" s="337">
        <f t="shared" si="352"/>
        <v>5.9811501331052099</v>
      </c>
      <c r="AU414" s="730">
        <f t="shared" si="353"/>
        <v>-1.5704972692837837</v>
      </c>
      <c r="AV414" s="732" t="str">
        <f t="shared" si="354"/>
        <v>-0.216590078102324+0.0513425474450242i</v>
      </c>
      <c r="AW414" s="337">
        <f t="shared" si="355"/>
        <v>-13.049798392010638</v>
      </c>
      <c r="AX414" s="730">
        <f t="shared" si="356"/>
        <v>166.66422315153369</v>
      </c>
      <c r="AY414" s="360">
        <f t="shared" si="357"/>
        <v>-13.33577684846631</v>
      </c>
      <c r="BB414" s="337">
        <f t="shared" si="358"/>
        <v>-24.464305924134322</v>
      </c>
      <c r="BC414" s="730">
        <f t="shared" si="359"/>
        <v>-89.982865266781545</v>
      </c>
      <c r="BD414" s="351"/>
      <c r="BE414" s="337">
        <f t="shared" si="320"/>
        <v>30.335851089945614</v>
      </c>
      <c r="BF414" s="730">
        <f t="shared" si="321"/>
        <v>-89.484025235203532</v>
      </c>
      <c r="BI414" s="351"/>
      <c r="BJ414" s="351"/>
      <c r="BL414" s="405">
        <f t="shared" si="322"/>
        <v>0</v>
      </c>
      <c r="BM414" s="405">
        <f t="shared" si="360"/>
        <v>0</v>
      </c>
      <c r="BN414" s="405">
        <f t="shared" si="323"/>
        <v>0</v>
      </c>
      <c r="BO414" s="405">
        <f t="shared" si="324"/>
        <v>0</v>
      </c>
    </row>
    <row r="415" spans="4:67" ht="13.5" thickBot="1" x14ac:dyDescent="0.25">
      <c r="D415" s="345">
        <v>39358</v>
      </c>
      <c r="E415" s="340" t="str">
        <f t="shared" si="311"/>
        <v>0.652855123324732i</v>
      </c>
      <c r="F415" s="728" t="str">
        <f t="shared" si="325"/>
        <v>0.005-0.0662914128699627i</v>
      </c>
      <c r="G415" s="337" t="str">
        <f t="shared" si="326"/>
        <v>0.005-0.10368656884789i</v>
      </c>
      <c r="H415" s="338" t="str">
        <f t="shared" si="327"/>
        <v>0.0136454198369143-0.10210407530823i</v>
      </c>
      <c r="I415" s="338" t="str">
        <f t="shared" si="328"/>
        <v>0.0236454198369143-0.10210407530823i</v>
      </c>
      <c r="J415" s="337" t="str">
        <f t="shared" si="329"/>
        <v>0.00546391363138839-0.0404221780900679i</v>
      </c>
      <c r="K415" s="338" t="str">
        <f t="shared" si="312"/>
        <v>0.982788309288889-0.206078006099978i</v>
      </c>
      <c r="L415" s="732"/>
      <c r="M415" s="732" t="str">
        <f t="shared" si="313"/>
        <v>0.291327957876282-32.6540372538859i</v>
      </c>
      <c r="N415" s="337">
        <f t="shared" si="314"/>
        <v>0</v>
      </c>
      <c r="O415" s="730" t="str">
        <f t="shared" si="315"/>
        <v>-1.07001254551118-12.6640843537657i</v>
      </c>
      <c r="P415" s="731" t="str">
        <f t="shared" si="316"/>
        <v>-1.31835551843604-0.190194949867262i</v>
      </c>
      <c r="Q415" s="729" t="str">
        <f t="shared" si="317"/>
        <v>-1.30765539298092-0.0635541063296063i</v>
      </c>
      <c r="R415" s="730"/>
      <c r="S415" s="405" t="str">
        <f t="shared" si="330"/>
        <v>39.2428401246234-7.18452135680682i</v>
      </c>
      <c r="T415" s="405" t="str">
        <f t="shared" si="331"/>
        <v>14.9464488896354-4.20560658774424i</v>
      </c>
      <c r="U415" s="405" t="str">
        <f t="shared" si="332"/>
        <v>-0.225459001581766-1.58348061057658i</v>
      </c>
      <c r="V415" s="731" t="str">
        <f t="shared" si="318"/>
        <v>6000</v>
      </c>
      <c r="W415" s="733" t="str">
        <f>IMSUM(COMPLEX(1,0),IMDIV(COMPLEX(0,2*PI()*D415),COMPLEX(2*PI()*'Stability Calculations'!EA_Pole1,0)))</f>
        <v>1+249766.543393174i</v>
      </c>
      <c r="X415" s="734">
        <f t="shared" si="333"/>
        <v>249766.54339517586</v>
      </c>
      <c r="Y415" s="735">
        <f t="shared" si="334"/>
        <v>1.5707923230560996</v>
      </c>
      <c r="Z415" s="340" t="str">
        <f>IMSUM(COMPLEX(1,0),IMDIV(COMPLEX(0,2*PI()*D415),COMPLEX(2*PI()*'Stability Calculations'!EA_Zero1,0)))</f>
        <v>1+2472.93607319974i</v>
      </c>
      <c r="AA415" s="734">
        <f t="shared" si="335"/>
        <v>2472.9362753885407</v>
      </c>
      <c r="AB415" s="735">
        <f t="shared" si="336"/>
        <v>1.5703919491984313</v>
      </c>
      <c r="AC415" s="733" t="str">
        <f>IMSUM(COMPLEX(1,0),IMDIV(COMPLEX(0,2*PI()*D415),COMPLEX(2*PI()*'Stability Calculations'!EA_Pole2,0)))</f>
        <v>1+24.9110130396897i</v>
      </c>
      <c r="AD415" s="734">
        <f t="shared" si="337"/>
        <v>24.931076404030176</v>
      </c>
      <c r="AE415" s="735">
        <f t="shared" si="338"/>
        <v>1.5306749809994875</v>
      </c>
      <c r="AF415" s="732" t="str">
        <f t="shared" si="339"/>
        <v>0.0946225268388804-2.3809275868448i</v>
      </c>
      <c r="AG415" s="337">
        <f t="shared" si="340"/>
        <v>2.3828070833334318</v>
      </c>
      <c r="AH415" s="730">
        <f t="shared" si="341"/>
        <v>-1.5310753548571558</v>
      </c>
      <c r="AI415" s="731" t="str">
        <f t="shared" si="319"/>
        <v>10000</v>
      </c>
      <c r="AJ415" s="733" t="str">
        <f t="shared" si="342"/>
        <v>1+232851.166065274i</v>
      </c>
      <c r="AK415" s="734">
        <f t="shared" si="343"/>
        <v>232851.16606742129</v>
      </c>
      <c r="AL415" s="735">
        <f t="shared" si="344"/>
        <v>1.5707920322061391</v>
      </c>
      <c r="AM415" s="340" t="str">
        <f t="shared" si="345"/>
        <v>1+395.175184497318i</v>
      </c>
      <c r="AN415" s="734">
        <f t="shared" si="346"/>
        <v>395.17644975692741</v>
      </c>
      <c r="AO415" s="735">
        <f t="shared" si="347"/>
        <v>1.5682658089265638</v>
      </c>
      <c r="AP415" s="733" t="str">
        <f t="shared" si="348"/>
        <v>1+19.166647827534i</v>
      </c>
      <c r="AQ415" s="734">
        <f t="shared" si="349"/>
        <v>19.192717080828178</v>
      </c>
      <c r="AR415" s="735">
        <f t="shared" si="350"/>
        <v>1.5186696266060908</v>
      </c>
      <c r="AS415" s="732" t="str">
        <f t="shared" si="351"/>
        <v>0.00176817954035967-5.94672915817884i</v>
      </c>
      <c r="AT415" s="337">
        <f t="shared" si="352"/>
        <v>5.9467294210509785</v>
      </c>
      <c r="AU415" s="730">
        <f t="shared" si="353"/>
        <v>-1.5704989903194628</v>
      </c>
      <c r="AV415" s="732" t="str">
        <f t="shared" si="354"/>
        <v>-0.214004433161172+0.0510721425100579i</v>
      </c>
      <c r="AW415" s="337">
        <f t="shared" si="355"/>
        <v>-13.150984604956545</v>
      </c>
      <c r="AX415" s="730">
        <f t="shared" si="356"/>
        <v>166.57742964140556</v>
      </c>
      <c r="AY415" s="360">
        <f t="shared" si="357"/>
        <v>-13.422570358594442</v>
      </c>
      <c r="BB415" s="337">
        <f t="shared" si="358"/>
        <v>-24.514436433033922</v>
      </c>
      <c r="BC415" s="730">
        <f t="shared" si="359"/>
        <v>-89.982963874862349</v>
      </c>
      <c r="BD415" s="351"/>
      <c r="BE415" s="337">
        <f t="shared" si="320"/>
        <v>30.279083344465185</v>
      </c>
      <c r="BF415" s="730">
        <f t="shared" si="321"/>
        <v>-89.4888405539551</v>
      </c>
      <c r="BI415" s="351"/>
      <c r="BJ415" s="351"/>
      <c r="BL415" s="405">
        <f t="shared" si="322"/>
        <v>0</v>
      </c>
      <c r="BM415" s="405">
        <f t="shared" si="360"/>
        <v>0</v>
      </c>
      <c r="BN415" s="405">
        <f t="shared" si="323"/>
        <v>0</v>
      </c>
      <c r="BO415" s="405">
        <f t="shared" si="324"/>
        <v>0</v>
      </c>
    </row>
    <row r="416" spans="4:67" ht="13.5" thickBot="1" x14ac:dyDescent="0.25">
      <c r="D416" s="345">
        <v>39584.5</v>
      </c>
      <c r="E416" s="340" t="str">
        <f t="shared" si="311"/>
        <v>0.656612216811013i</v>
      </c>
      <c r="F416" s="728" t="str">
        <f t="shared" si="325"/>
        <v>0.005-0.0659120976072954i</v>
      </c>
      <c r="G416" s="337" t="str">
        <f t="shared" si="326"/>
        <v>0.005-0.103093280872949i</v>
      </c>
      <c r="H416" s="338" t="str">
        <f t="shared" si="327"/>
        <v>0.0135472315105276-0.101528128119172i</v>
      </c>
      <c r="I416" s="338" t="str">
        <f t="shared" si="328"/>
        <v>0.0235472315105276-0.101528128119172i</v>
      </c>
      <c r="J416" s="337" t="str">
        <f t="shared" si="329"/>
        <v>0.00544863611353352-0.0401918904509104i</v>
      </c>
      <c r="K416" s="338" t="str">
        <f t="shared" si="312"/>
        <v>0.982589637330556-0.207263957326709i</v>
      </c>
      <c r="L416" s="732"/>
      <c r="M416" s="732" t="str">
        <f t="shared" si="313"/>
        <v>0.286767524736067-32.4428586354334i</v>
      </c>
      <c r="N416" s="337">
        <f t="shared" si="314"/>
        <v>0</v>
      </c>
      <c r="O416" s="730" t="str">
        <f t="shared" si="315"/>
        <v>-1.06331017822751-12.5811372771958i</v>
      </c>
      <c r="P416" s="731" t="str">
        <f t="shared" si="316"/>
        <v>-1.30237732829825-0.188295060126355i</v>
      </c>
      <c r="Q416" s="729" t="str">
        <f t="shared" si="317"/>
        <v>-1.29174422651597-0.0624836873543978i</v>
      </c>
      <c r="R416" s="730"/>
      <c r="S416" s="405" t="str">
        <f t="shared" si="330"/>
        <v>39.2317535166489-7.23697970036147i</v>
      </c>
      <c r="T416" s="405" t="str">
        <f t="shared" si="331"/>
        <v>14.9392977260768-4.22432144086751i</v>
      </c>
      <c r="U416" s="405" t="str">
        <f t="shared" si="332"/>
        <v>-0.2265013235651-1.57398679407789i</v>
      </c>
      <c r="V416" s="731" t="str">
        <f t="shared" si="318"/>
        <v>6000</v>
      </c>
      <c r="W416" s="733" t="str">
        <f>IMSUM(COMPLEX(1,0),IMDIV(COMPLEX(0,2*PI()*D416),COMPLEX(2*PI()*'Stability Calculations'!EA_Pole1,0)))</f>
        <v>1+251203.916279971i</v>
      </c>
      <c r="X416" s="734">
        <f t="shared" si="333"/>
        <v>251203.9162819614</v>
      </c>
      <c r="Y416" s="735">
        <f t="shared" si="334"/>
        <v>1.5707923459652391</v>
      </c>
      <c r="Z416" s="340" t="str">
        <f>IMSUM(COMPLEX(1,0),IMDIV(COMPLEX(0,2*PI()*D416),COMPLEX(2*PI()*'Stability Calculations'!EA_Zero1,0)))</f>
        <v>1+2487.1674879205i</v>
      </c>
      <c r="AA416" s="734">
        <f t="shared" si="335"/>
        <v>2487.1676889523901</v>
      </c>
      <c r="AB416" s="735">
        <f t="shared" si="336"/>
        <v>1.5703942630211574</v>
      </c>
      <c r="AC416" s="733" t="str">
        <f>IMSUM(COMPLEX(1,0),IMDIV(COMPLEX(0,2*PI()*D416),COMPLEX(2*PI()*'Stability Calculations'!EA_Pole2,0)))</f>
        <v>1+25.0543725715127i</v>
      </c>
      <c r="AD416" s="734">
        <f t="shared" si="337"/>
        <v>25.074321226150232</v>
      </c>
      <c r="AE416" s="735">
        <f t="shared" si="338"/>
        <v>1.5309043086189518</v>
      </c>
      <c r="AF416" s="732" t="str">
        <f t="shared" si="339"/>
        <v>0.0935444940035568-2.36734709779305i</v>
      </c>
      <c r="AG416" s="337">
        <f t="shared" si="340"/>
        <v>2.3691945580275924</v>
      </c>
      <c r="AH416" s="730">
        <f t="shared" si="341"/>
        <v>-1.5313023915630337</v>
      </c>
      <c r="AI416" s="731" t="str">
        <f t="shared" si="319"/>
        <v>10000</v>
      </c>
      <c r="AJ416" s="733" t="str">
        <f t="shared" si="342"/>
        <v>1+234191.193229098i</v>
      </c>
      <c r="AK416" s="734">
        <f t="shared" si="343"/>
        <v>234191.19323123299</v>
      </c>
      <c r="AL416" s="735">
        <f t="shared" si="344"/>
        <v>1.5707920567795035</v>
      </c>
      <c r="AM416" s="340" t="str">
        <f t="shared" si="345"/>
        <v>1+397.449364569696i</v>
      </c>
      <c r="AN416" s="734">
        <f t="shared" si="346"/>
        <v>397.45062258959302</v>
      </c>
      <c r="AO416" s="735">
        <f t="shared" si="347"/>
        <v>1.5682802883281302</v>
      </c>
      <c r="AP416" s="733" t="str">
        <f t="shared" si="348"/>
        <v>1+19.2769493096453i</v>
      </c>
      <c r="AQ416" s="734">
        <f t="shared" si="349"/>
        <v>19.302869597203269</v>
      </c>
      <c r="AR416" s="735">
        <f t="shared" si="350"/>
        <v>1.5189673568932409</v>
      </c>
      <c r="AS416" s="732" t="str">
        <f t="shared" si="351"/>
        <v>0.00174800261079563-5.91270235682463i</v>
      </c>
      <c r="AT416" s="337">
        <f t="shared" si="352"/>
        <v>5.9127026152101259</v>
      </c>
      <c r="AU416" s="730">
        <f t="shared" si="353"/>
        <v>-1.5705006916598296</v>
      </c>
      <c r="AV416" s="732" t="str">
        <f t="shared" si="354"/>
        <v>-0.211463119650121+0.0508041479406537i</v>
      </c>
      <c r="AW416" s="337">
        <f t="shared" si="355"/>
        <v>-13.251598636456158</v>
      </c>
      <c r="AX416" s="730">
        <f t="shared" si="356"/>
        <v>166.49068948332356</v>
      </c>
      <c r="AY416" s="360">
        <f t="shared" si="357"/>
        <v>-13.509310516676436</v>
      </c>
      <c r="BB416" s="337">
        <f t="shared" si="358"/>
        <v>-24.564279273801453</v>
      </c>
      <c r="BC416" s="730">
        <f t="shared" si="359"/>
        <v>-89.983061354484889</v>
      </c>
      <c r="BD416" s="351"/>
      <c r="BE416" s="337">
        <f t="shared" si="320"/>
        <v>30.222721587772732</v>
      </c>
      <c r="BF416" s="730">
        <f t="shared" si="321"/>
        <v>-89.493566791913452</v>
      </c>
      <c r="BI416" s="351"/>
      <c r="BJ416" s="351"/>
      <c r="BL416" s="405">
        <f t="shared" si="322"/>
        <v>0</v>
      </c>
      <c r="BM416" s="405">
        <f t="shared" si="360"/>
        <v>0</v>
      </c>
      <c r="BN416" s="405">
        <f t="shared" si="323"/>
        <v>0</v>
      </c>
      <c r="BO416" s="405">
        <f t="shared" si="324"/>
        <v>0</v>
      </c>
    </row>
    <row r="417" spans="4:67" ht="13.5" thickBot="1" x14ac:dyDescent="0.25">
      <c r="D417" s="345">
        <v>39811</v>
      </c>
      <c r="E417" s="340" t="str">
        <f t="shared" si="311"/>
        <v>0.660369310297294i</v>
      </c>
      <c r="F417" s="728" t="str">
        <f t="shared" si="325"/>
        <v>0.005-0.0655370984837355i</v>
      </c>
      <c r="G417" s="337" t="str">
        <f t="shared" si="326"/>
        <v>0.005-0.102506743782253i</v>
      </c>
      <c r="H417" s="338" t="str">
        <f t="shared" si="327"/>
        <v>0.0134506986826863-0.100958595589236i</v>
      </c>
      <c r="I417" s="338" t="str">
        <f t="shared" si="328"/>
        <v>0.0234506986826863-0.100958595589236i</v>
      </c>
      <c r="J417" s="337" t="str">
        <f t="shared" si="329"/>
        <v>0.00543361690360631-0.0399642174701729i</v>
      </c>
      <c r="K417" s="338" t="str">
        <f t="shared" si="312"/>
        <v>0.982389825322222-0.208449908553439i</v>
      </c>
      <c r="L417" s="732"/>
      <c r="M417" s="732" t="str">
        <f t="shared" si="313"/>
        <v>0.282315674229944-32.2345290778472i</v>
      </c>
      <c r="N417" s="337">
        <f t="shared" si="314"/>
        <v>0</v>
      </c>
      <c r="O417" s="730" t="str">
        <f t="shared" si="315"/>
        <v>-1.05672007839802-12.4993112610229i</v>
      </c>
      <c r="P417" s="731" t="str">
        <f t="shared" si="316"/>
        <v>-1.28669373489605-0.186432607077344i</v>
      </c>
      <c r="Q417" s="729" t="str">
        <f t="shared" si="317"/>
        <v>-1.27612653411207-0.0614394944671148i</v>
      </c>
      <c r="R417" s="730"/>
      <c r="S417" s="405" t="str">
        <f t="shared" si="330"/>
        <v>39.2205866878492-7.28935691267301i</v>
      </c>
      <c r="T417" s="405" t="str">
        <f t="shared" si="331"/>
        <v>14.9321130329737-4.24304917289349i</v>
      </c>
      <c r="U417" s="405" t="str">
        <f t="shared" si="332"/>
        <v>-0.227524932409055-1.56459713690916i</v>
      </c>
      <c r="V417" s="731" t="str">
        <f t="shared" si="318"/>
        <v>6000</v>
      </c>
      <c r="W417" s="733" t="str">
        <f>IMSUM(COMPLEX(1,0),IMDIV(COMPLEX(0,2*PI()*D417),COMPLEX(2*PI()*'Stability Calculations'!EA_Pole1,0)))</f>
        <v>1+252641.289166768i</v>
      </c>
      <c r="X417" s="734">
        <f t="shared" si="333"/>
        <v>252641.28916874711</v>
      </c>
      <c r="Y417" s="735">
        <f t="shared" si="334"/>
        <v>1.5707923686137011</v>
      </c>
      <c r="Z417" s="340" t="str">
        <f>IMSUM(COMPLEX(1,0),IMDIV(COMPLEX(0,2*PI()*D417),COMPLEX(2*PI()*'Stability Calculations'!EA_Zero1,0)))</f>
        <v>1+2501.39890264127i</v>
      </c>
      <c r="AA417" s="734">
        <f t="shared" si="335"/>
        <v>2501.3991025294126</v>
      </c>
      <c r="AB417" s="735">
        <f t="shared" si="336"/>
        <v>1.5703965505154434</v>
      </c>
      <c r="AC417" s="733" t="str">
        <f>IMSUM(COMPLEX(1,0),IMDIV(COMPLEX(0,2*PI()*D417),COMPLEX(2*PI()*'Stability Calculations'!EA_Pole2,0)))</f>
        <v>1+25.1977321033358i</v>
      </c>
      <c r="AD417" s="734">
        <f t="shared" si="337"/>
        <v>25.217567351976669</v>
      </c>
      <c r="AE417" s="735">
        <f t="shared" si="338"/>
        <v>1.5311310309003474</v>
      </c>
      <c r="AF417" s="732" t="str">
        <f t="shared" si="339"/>
        <v>0.0924847702191198-2.35392041131593i</v>
      </c>
      <c r="AG417" s="337">
        <f t="shared" si="340"/>
        <v>2.3557365590261234</v>
      </c>
      <c r="AH417" s="730">
        <f t="shared" si="341"/>
        <v>-1.5315268489986051</v>
      </c>
      <c r="AI417" s="731" t="str">
        <f t="shared" si="319"/>
        <v>10000</v>
      </c>
      <c r="AJ417" s="733" t="str">
        <f t="shared" si="342"/>
        <v>1+235531.220392922i</v>
      </c>
      <c r="AK417" s="734">
        <f t="shared" si="343"/>
        <v>235531.22039504489</v>
      </c>
      <c r="AL417" s="735">
        <f t="shared" si="344"/>
        <v>1.5707920810732539</v>
      </c>
      <c r="AM417" s="340" t="str">
        <f t="shared" si="345"/>
        <v>1+399.723544642075i</v>
      </c>
      <c r="AN417" s="734">
        <f t="shared" si="346"/>
        <v>399.72479550463828</v>
      </c>
      <c r="AO417" s="735">
        <f t="shared" si="347"/>
        <v>1.5682946029730307</v>
      </c>
      <c r="AP417" s="733" t="str">
        <f t="shared" si="348"/>
        <v>1+19.3872507917567i</v>
      </c>
      <c r="AQ417" s="734">
        <f t="shared" si="349"/>
        <v>19.413023805231138</v>
      </c>
      <c r="AR417" s="735">
        <f t="shared" si="350"/>
        <v>1.5192617084184386</v>
      </c>
      <c r="AS417" s="732" t="str">
        <f t="shared" si="351"/>
        <v>0.00172816908339197-5.87906273833432i</v>
      </c>
      <c r="AT417" s="337">
        <f t="shared" si="352"/>
        <v>5.8790629923346991</v>
      </c>
      <c r="AU417" s="730">
        <f t="shared" si="353"/>
        <v>-1.5705023736410466</v>
      </c>
      <c r="AV417" s="732" t="str">
        <f t="shared" si="354"/>
        <v>-0.208965130115827+0.0505385368090952i</v>
      </c>
      <c r="AW417" s="337">
        <f t="shared" si="355"/>
        <v>-13.351647095401235</v>
      </c>
      <c r="AX417" s="730">
        <f t="shared" si="356"/>
        <v>166.4040016905096</v>
      </c>
      <c r="AY417" s="360">
        <f t="shared" si="357"/>
        <v>-13.595998309490398</v>
      </c>
      <c r="BB417" s="337">
        <f t="shared" si="358"/>
        <v>-24.613837729108994</v>
      </c>
      <c r="BC417" s="730">
        <f t="shared" si="359"/>
        <v>-89.983157724909844</v>
      </c>
      <c r="BD417" s="351"/>
      <c r="BE417" s="337">
        <f t="shared" si="320"/>
        <v>30.166759713178916</v>
      </c>
      <c r="BF417" s="730">
        <f t="shared" si="321"/>
        <v>-89.498206317214283</v>
      </c>
      <c r="BI417" s="351"/>
      <c r="BJ417" s="351"/>
      <c r="BL417" s="405">
        <f t="shared" si="322"/>
        <v>0</v>
      </c>
      <c r="BM417" s="405">
        <f t="shared" si="360"/>
        <v>0</v>
      </c>
      <c r="BN417" s="405">
        <f t="shared" si="323"/>
        <v>0</v>
      </c>
      <c r="BO417" s="405">
        <f t="shared" si="324"/>
        <v>0</v>
      </c>
    </row>
    <row r="418" spans="4:67" ht="13.5" thickBot="1" x14ac:dyDescent="0.25">
      <c r="D418" s="345">
        <v>40042.75</v>
      </c>
      <c r="E418" s="340" t="str">
        <f t="shared" si="311"/>
        <v>0.664213488731933i</v>
      </c>
      <c r="F418" s="728" t="str">
        <f t="shared" si="325"/>
        <v>0.005-0.0651577982964703i</v>
      </c>
      <c r="G418" s="337" t="str">
        <f t="shared" si="326"/>
        <v>0.005-0.101913479386787i</v>
      </c>
      <c r="H418" s="338" t="str">
        <f t="shared" si="327"/>
        <v>0.0133536033357707-0.10038239105781i</v>
      </c>
      <c r="I418" s="338" t="str">
        <f t="shared" si="328"/>
        <v>0.0233536033357707-0.10038239105781i</v>
      </c>
      <c r="J418" s="337" t="str">
        <f t="shared" si="329"/>
        <v>0.00541851084953732-0.0397339274851543i</v>
      </c>
      <c r="K418" s="338" t="str">
        <f t="shared" si="312"/>
        <v>0.982184201915972-0.209663348715888i</v>
      </c>
      <c r="L418" s="732"/>
      <c r="M418" s="732" t="str">
        <f t="shared" si="313"/>
        <v>0.277869442410711-32.0242576418104i</v>
      </c>
      <c r="N418" s="337">
        <f t="shared" si="314"/>
        <v>0</v>
      </c>
      <c r="O418" s="730" t="str">
        <f t="shared" si="315"/>
        <v>-1.05009080183296-12.4167244387193i</v>
      </c>
      <c r="P418" s="731" t="str">
        <f t="shared" si="316"/>
        <v>-1.27094389231713-0.184564631755615i</v>
      </c>
      <c r="Q418" s="729" t="str">
        <f t="shared" si="317"/>
        <v>-1.2604429842988-0.0603973873684234i</v>
      </c>
      <c r="R418" s="730"/>
      <c r="S418" s="405" t="str">
        <f t="shared" si="330"/>
        <v>39.2090782593333-7.34286525661466i</v>
      </c>
      <c r="T418" s="405" t="str">
        <f t="shared" si="331"/>
        <v>14.9247270171793-4.26222378084716i</v>
      </c>
      <c r="U418" s="405" t="str">
        <f t="shared" si="332"/>
        <v>-0.228553329862822-1.55509582956727i</v>
      </c>
      <c r="V418" s="731" t="str">
        <f t="shared" si="318"/>
        <v>6000</v>
      </c>
      <c r="W418" s="733" t="str">
        <f>IMSUM(COMPLEX(1,0),IMDIV(COMPLEX(0,2*PI()*D418),COMPLEX(2*PI()*'Stability Calculations'!EA_Pole1,0)))</f>
        <v>1+254111.978643656i</v>
      </c>
      <c r="X418" s="734">
        <f t="shared" si="333"/>
        <v>254111.97864562363</v>
      </c>
      <c r="Y418" s="735">
        <f t="shared" si="334"/>
        <v>1.5707923915219302</v>
      </c>
      <c r="Z418" s="340" t="str">
        <f>IMSUM(COMPLEX(1,0),IMDIV(COMPLEX(0,2*PI()*D418),COMPLEX(2*PI()*'Stability Calculations'!EA_Zero1,0)))</f>
        <v>1+2515.96018459065i</v>
      </c>
      <c r="AA418" s="734">
        <f t="shared" si="335"/>
        <v>2515.9603833219267</v>
      </c>
      <c r="AB418" s="735">
        <f t="shared" si="336"/>
        <v>1.5703988642462181</v>
      </c>
      <c r="AC418" s="733" t="str">
        <f>IMSUM(COMPLEX(1,0),IMDIV(COMPLEX(0,2*PI()*D418),COMPLEX(2*PI()*'Stability Calculations'!EA_Pole2,0)))</f>
        <v>1+25.3444145382142i</v>
      </c>
      <c r="AD418" s="734">
        <f t="shared" si="337"/>
        <v>25.364135078587704</v>
      </c>
      <c r="AE418" s="735">
        <f t="shared" si="338"/>
        <v>1.5313603577301709</v>
      </c>
      <c r="AF418" s="732" t="str">
        <f t="shared" si="339"/>
        <v>0.0914190041198634-2.34033899629063i</v>
      </c>
      <c r="AG418" s="337">
        <f t="shared" si="340"/>
        <v>2.3421238335905512</v>
      </c>
      <c r="AH418" s="730">
        <f t="shared" si="341"/>
        <v>-1.5317538850058832</v>
      </c>
      <c r="AI418" s="731" t="str">
        <f t="shared" si="319"/>
        <v>10000</v>
      </c>
      <c r="AJ418" s="733" t="str">
        <f t="shared" si="342"/>
        <v>1+236902.30778902i</v>
      </c>
      <c r="AK418" s="734">
        <f t="shared" si="343"/>
        <v>236902.30779113059</v>
      </c>
      <c r="AL418" s="735">
        <f t="shared" si="344"/>
        <v>1.5707921056456418</v>
      </c>
      <c r="AM418" s="340" t="str">
        <f t="shared" si="345"/>
        <v>1+402.050437497586i</v>
      </c>
      <c r="AN418" s="734">
        <f t="shared" si="346"/>
        <v>402.05168112072397</v>
      </c>
      <c r="AO418" s="735">
        <f t="shared" si="347"/>
        <v>1.5683090818012235</v>
      </c>
      <c r="AP418" s="733" t="str">
        <f t="shared" si="348"/>
        <v>1+19.500108930738i</v>
      </c>
      <c r="AQ418" s="734">
        <f t="shared" si="349"/>
        <v>19.525732977551648</v>
      </c>
      <c r="AR418" s="735">
        <f t="shared" si="350"/>
        <v>1.5195594451098544</v>
      </c>
      <c r="AS418" s="732" t="str">
        <f t="shared" si="351"/>
        <v>0.0017082231914664-5.8450372891284i</v>
      </c>
      <c r="AT418" s="337">
        <f t="shared" si="352"/>
        <v>5.8450375387441218</v>
      </c>
      <c r="AU418" s="730">
        <f t="shared" si="353"/>
        <v>-1.5705040749137991</v>
      </c>
      <c r="AV418" s="732" t="str">
        <f t="shared" si="354"/>
        <v>-0.206453061126331+0.0502692082014238i</v>
      </c>
      <c r="AW418" s="337">
        <f t="shared" si="355"/>
        <v>-13.453435944873625</v>
      </c>
      <c r="AX418" s="730">
        <f t="shared" si="356"/>
        <v>166.31535777287363</v>
      </c>
      <c r="AY418" s="360">
        <f t="shared" si="357"/>
        <v>-13.684642227126375</v>
      </c>
      <c r="BB418" s="337">
        <f t="shared" si="358"/>
        <v>-24.66425390623759</v>
      </c>
      <c r="BC418" s="730">
        <f t="shared" si="359"/>
        <v>-89.983255200658348</v>
      </c>
      <c r="BD418" s="351"/>
      <c r="BE418" s="337">
        <f t="shared" si="320"/>
        <v>30.109908379582468</v>
      </c>
      <c r="BF418" s="730">
        <f t="shared" si="321"/>
        <v>-89.502866016224615</v>
      </c>
      <c r="BI418" s="351"/>
      <c r="BJ418" s="351"/>
      <c r="BL418" s="405">
        <f t="shared" si="322"/>
        <v>0</v>
      </c>
      <c r="BM418" s="405">
        <f t="shared" si="360"/>
        <v>0</v>
      </c>
      <c r="BN418" s="405">
        <f t="shared" si="323"/>
        <v>0</v>
      </c>
      <c r="BO418" s="405">
        <f t="shared" si="324"/>
        <v>0</v>
      </c>
    </row>
    <row r="419" spans="4:67" ht="13.5" thickBot="1" x14ac:dyDescent="0.25">
      <c r="D419" s="345">
        <v>40274.5</v>
      </c>
      <c r="E419" s="340" t="str">
        <f t="shared" si="311"/>
        <v>0.668057667166571i</v>
      </c>
      <c r="F419" s="728" t="str">
        <f t="shared" si="325"/>
        <v>0.005-0.0647828632940442i</v>
      </c>
      <c r="G419" s="337" t="str">
        <f t="shared" si="326"/>
        <v>0.005-0.101327042588121i</v>
      </c>
      <c r="H419" s="338" t="str">
        <f t="shared" si="327"/>
        <v>0.0132581640283025-0.0998126804347158i</v>
      </c>
      <c r="I419" s="338" t="str">
        <f t="shared" si="328"/>
        <v>0.0232581640283025-0.0998126804347158i</v>
      </c>
      <c r="J419" s="337" t="str">
        <f t="shared" si="329"/>
        <v>0.00540366305570571-0.0395062822549455i</v>
      </c>
      <c r="K419" s="338" t="str">
        <f t="shared" si="312"/>
        <v>0.981977384997222-0.210876788878337i</v>
      </c>
      <c r="L419" s="732"/>
      <c r="M419" s="732" t="str">
        <f t="shared" si="313"/>
        <v>0.273529759960623-31.8168449189771i</v>
      </c>
      <c r="N419" s="337">
        <f t="shared" si="314"/>
        <v>0</v>
      </c>
      <c r="O419" s="730" t="str">
        <f t="shared" si="315"/>
        <v>-1.04357379698761-12.3352621857673i</v>
      </c>
      <c r="P419" s="731" t="str">
        <f t="shared" si="316"/>
        <v>-1.2554871931724-0.182733653339926i</v>
      </c>
      <c r="Q419" s="729" t="str">
        <f t="shared" si="317"/>
        <v>-1.24505145520252-0.0593810314822544i</v>
      </c>
      <c r="R419" s="730"/>
      <c r="S419" s="405" t="str">
        <f t="shared" si="330"/>
        <v>39.1974863794306-7.39629079872961i</v>
      </c>
      <c r="T419" s="405" t="str">
        <f t="shared" si="331"/>
        <v>14.91730572863-4.28141078412912i</v>
      </c>
      <c r="U419" s="405" t="str">
        <f t="shared" si="332"/>
        <v>-0.229563000195509-1.54569991608722i</v>
      </c>
      <c r="V419" s="731" t="str">
        <f t="shared" si="318"/>
        <v>6000</v>
      </c>
      <c r="W419" s="733" t="str">
        <f>IMSUM(COMPLEX(1,0),IMDIV(COMPLEX(0,2*PI()*D419),COMPLEX(2*PI()*'Stability Calculations'!EA_Pole1,0)))</f>
        <v>1+255582.668120544i</v>
      </c>
      <c r="X419" s="734">
        <f t="shared" si="333"/>
        <v>255582.6681225003</v>
      </c>
      <c r="Y419" s="735">
        <f t="shared" si="334"/>
        <v>1.5707924141665195</v>
      </c>
      <c r="Z419" s="340" t="str">
        <f>IMSUM(COMPLEX(1,0),IMDIV(COMPLEX(0,2*PI()*D419),COMPLEX(2*PI()*'Stability Calculations'!EA_Zero1,0)))</f>
        <v>1+2530.52146654004i</v>
      </c>
      <c r="AA419" s="734">
        <f t="shared" si="335"/>
        <v>2530.5216641277652</v>
      </c>
      <c r="AB419" s="735">
        <f t="shared" si="336"/>
        <v>1.5704011513493736</v>
      </c>
      <c r="AC419" s="733" t="str">
        <f>IMSUM(COMPLEX(1,0),IMDIV(COMPLEX(0,2*PI()*D419),COMPLEX(2*PI()*'Stability Calculations'!EA_Pole2,0)))</f>
        <v>1+25.4910969730927i</v>
      </c>
      <c r="AD419" s="734">
        <f t="shared" si="337"/>
        <v>25.510704123791168</v>
      </c>
      <c r="AE419" s="735">
        <f t="shared" si="338"/>
        <v>1.5315870494258399</v>
      </c>
      <c r="AF419" s="732" t="str">
        <f t="shared" si="339"/>
        <v>0.0903715454317062-2.32691316510157i</v>
      </c>
      <c r="AG419" s="337">
        <f t="shared" si="340"/>
        <v>2.3286674073698719</v>
      </c>
      <c r="AH419" s="730">
        <f t="shared" si="341"/>
        <v>-1.5319783122429858</v>
      </c>
      <c r="AI419" s="731" t="str">
        <f t="shared" si="319"/>
        <v>10000</v>
      </c>
      <c r="AJ419" s="733" t="str">
        <f t="shared" si="342"/>
        <v>1+238273.395185118i</v>
      </c>
      <c r="AK419" s="734">
        <f t="shared" si="343"/>
        <v>238273.3951872164</v>
      </c>
      <c r="AL419" s="735">
        <f t="shared" si="344"/>
        <v>1.5707921299352379</v>
      </c>
      <c r="AM419" s="340" t="str">
        <f t="shared" si="345"/>
        <v>1+404.377330353098i</v>
      </c>
      <c r="AN419" s="734">
        <f t="shared" si="346"/>
        <v>404.37856682012534</v>
      </c>
      <c r="AO419" s="735">
        <f t="shared" si="347"/>
        <v>1.5683233940005175</v>
      </c>
      <c r="AP419" s="733" t="str">
        <f t="shared" si="348"/>
        <v>1+19.6129670697195i</v>
      </c>
      <c r="AQ419" s="734">
        <f t="shared" si="349"/>
        <v>19.638443860904598</v>
      </c>
      <c r="AR419" s="735">
        <f t="shared" si="350"/>
        <v>1.5198537642278633</v>
      </c>
      <c r="AS419" s="732" t="str">
        <f t="shared" si="351"/>
        <v>0.00168862062951224-5.81140342247938i</v>
      </c>
      <c r="AT419" s="337">
        <f t="shared" si="352"/>
        <v>5.8114036678107883</v>
      </c>
      <c r="AU419" s="730">
        <f t="shared" si="353"/>
        <v>-1.5705057566074172</v>
      </c>
      <c r="AV419" s="732" t="str">
        <f t="shared" si="354"/>
        <v>-0.203984304148062+0.0500023184304225i</v>
      </c>
      <c r="AW419" s="337">
        <f t="shared" si="355"/>
        <v>-13.554646338448567</v>
      </c>
      <c r="AX419" s="730">
        <f t="shared" si="356"/>
        <v>166.22676665915827</v>
      </c>
      <c r="AY419" s="360">
        <f t="shared" si="357"/>
        <v>-13.773233340841728</v>
      </c>
      <c r="BB419" s="337">
        <f t="shared" si="358"/>
        <v>-24.714379136848525</v>
      </c>
      <c r="BC419" s="730">
        <f t="shared" si="359"/>
        <v>-89.983351554605107</v>
      </c>
      <c r="BD419" s="351"/>
      <c r="BE419" s="337">
        <f t="shared" si="320"/>
        <v>30.053463191695432</v>
      </c>
      <c r="BF419" s="730">
        <f t="shared" si="321"/>
        <v>-89.507439698278844</v>
      </c>
      <c r="BI419" s="351"/>
      <c r="BJ419" s="351"/>
      <c r="BL419" s="405">
        <f t="shared" si="322"/>
        <v>0</v>
      </c>
      <c r="BM419" s="405">
        <f t="shared" si="360"/>
        <v>0</v>
      </c>
      <c r="BN419" s="405">
        <f t="shared" si="323"/>
        <v>0</v>
      </c>
      <c r="BO419" s="405">
        <f t="shared" si="324"/>
        <v>0</v>
      </c>
    </row>
    <row r="420" spans="4:67" ht="13.5" thickBot="1" x14ac:dyDescent="0.25">
      <c r="D420" s="345">
        <v>40506.25</v>
      </c>
      <c r="E420" s="340" t="str">
        <f t="shared" si="311"/>
        <v>0.67190184560121i</v>
      </c>
      <c r="F420" s="728" t="str">
        <f t="shared" si="325"/>
        <v>0.005-0.0644122185523467i</v>
      </c>
      <c r="G420" s="337" t="str">
        <f t="shared" si="326"/>
        <v>0.005-0.10074731619726i</v>
      </c>
      <c r="H420" s="338" t="str">
        <f t="shared" si="327"/>
        <v>0.0131643433981718-0.0992493553395374i</v>
      </c>
      <c r="I420" s="338" t="str">
        <f t="shared" si="328"/>
        <v>0.0231643433981718-0.0992493553395374i</v>
      </c>
      <c r="J420" s="337" t="str">
        <f t="shared" si="329"/>
        <v>0.00538906763150349-0.0392812365713622i</v>
      </c>
      <c r="K420" s="338" t="str">
        <f t="shared" si="312"/>
        <v>0.981769374565972-0.212090229040786i</v>
      </c>
      <c r="L420" s="732"/>
      <c r="M420" s="732" t="str">
        <f t="shared" si="313"/>
        <v>0.269293234895134-31.6122308933519i</v>
      </c>
      <c r="N420" s="337">
        <f t="shared" si="314"/>
        <v>0</v>
      </c>
      <c r="O420" s="730" t="str">
        <f t="shared" si="315"/>
        <v>-1.0371665133663-12.2549007535316i</v>
      </c>
      <c r="P420" s="731" t="str">
        <f t="shared" si="316"/>
        <v>-1.24031628081472-0.180938621533961i</v>
      </c>
      <c r="Q420" s="729" t="str">
        <f t="shared" si="317"/>
        <v>-1.22994461568106-0.0583896139986443i</v>
      </c>
      <c r="R420" s="730"/>
      <c r="S420" s="405" t="str">
        <f t="shared" si="330"/>
        <v>39.1858113051664-7.44963457840786i</v>
      </c>
      <c r="T420" s="405" t="str">
        <f t="shared" si="331"/>
        <v>14.9098490858103-4.30060964833651i</v>
      </c>
      <c r="U420" s="405" t="str">
        <f t="shared" si="332"/>
        <v>-0.230554361783867-1.53640761220866i</v>
      </c>
      <c r="V420" s="731" t="str">
        <f t="shared" si="318"/>
        <v>6000</v>
      </c>
      <c r="W420" s="733" t="str">
        <f>IMSUM(COMPLEX(1,0),IMDIV(COMPLEX(0,2*PI()*D420),COMPLEX(2*PI()*'Stability Calculations'!EA_Pole1,0)))</f>
        <v>1+257053.357597432i</v>
      </c>
      <c r="X420" s="734">
        <f t="shared" si="333"/>
        <v>257053.35759937708</v>
      </c>
      <c r="Y420" s="735">
        <f t="shared" si="334"/>
        <v>1.5707924365519941</v>
      </c>
      <c r="Z420" s="340" t="str">
        <f>IMSUM(COMPLEX(1,0),IMDIV(COMPLEX(0,2*PI()*D420),COMPLEX(2*PI()*'Stability Calculations'!EA_Zero1,0)))</f>
        <v>1+2545.08274848943i</v>
      </c>
      <c r="AA420" s="734">
        <f t="shared" si="335"/>
        <v>2545.0829449466892</v>
      </c>
      <c r="AB420" s="735">
        <f t="shared" si="336"/>
        <v>1.570403412281947</v>
      </c>
      <c r="AC420" s="733" t="str">
        <f>IMSUM(COMPLEX(1,0),IMDIV(COMPLEX(0,2*PI()*D420),COMPLEX(2*PI()*'Stability Calculations'!EA_Pole2,0)))</f>
        <v>1+25.6377794079712i</v>
      </c>
      <c r="AD420" s="734">
        <f t="shared" si="337"/>
        <v>25.6572744649893</v>
      </c>
      <c r="AE420" s="735">
        <f t="shared" si="338"/>
        <v>1.5318111511244388</v>
      </c>
      <c r="AF420" s="732" t="str">
        <f t="shared" si="339"/>
        <v>0.0893419774479216-2.31364026355863i</v>
      </c>
      <c r="AG420" s="337">
        <f t="shared" si="340"/>
        <v>2.3153646058653381</v>
      </c>
      <c r="AH420" s="730">
        <f t="shared" si="341"/>
        <v>-1.5322001753944858</v>
      </c>
      <c r="AI420" s="731" t="str">
        <f t="shared" si="319"/>
        <v>10000</v>
      </c>
      <c r="AJ420" s="733" t="str">
        <f t="shared" si="342"/>
        <v>1+239644.482581216i</v>
      </c>
      <c r="AK420" s="734">
        <f t="shared" si="343"/>
        <v>239644.48258330242</v>
      </c>
      <c r="AL420" s="735">
        <f t="shared" si="344"/>
        <v>1.5707921539468961</v>
      </c>
      <c r="AM420" s="340" t="str">
        <f t="shared" si="345"/>
        <v>1+406.704223208611i</v>
      </c>
      <c r="AN420" s="734">
        <f t="shared" si="346"/>
        <v>406.70545260141228</v>
      </c>
      <c r="AO420" s="735">
        <f t="shared" si="347"/>
        <v>1.5683375424309107</v>
      </c>
      <c r="AP420" s="733" t="str">
        <f t="shared" si="348"/>
        <v>1+19.7258252087009i</v>
      </c>
      <c r="AQ420" s="734">
        <f t="shared" si="349"/>
        <v>19.751156425997436</v>
      </c>
      <c r="AR420" s="735">
        <f t="shared" si="350"/>
        <v>1.5201447242295258</v>
      </c>
      <c r="AS420" s="732" t="str">
        <f t="shared" si="351"/>
        <v>0.00166935356282188-5.77815441725958i</v>
      </c>
      <c r="AT420" s="337">
        <f t="shared" si="352"/>
        <v>5.7781546584041612</v>
      </c>
      <c r="AU420" s="730">
        <f t="shared" si="353"/>
        <v>-1.5705074190579573</v>
      </c>
      <c r="AV420" s="732" t="str">
        <f t="shared" si="354"/>
        <v>-0.201557869439888+0.0497378393405683i</v>
      </c>
      <c r="AW420" s="337">
        <f t="shared" si="355"/>
        <v>-13.655284996922488</v>
      </c>
      <c r="AX420" s="730">
        <f t="shared" si="356"/>
        <v>166.1382273649854</v>
      </c>
      <c r="AY420" s="360">
        <f t="shared" si="357"/>
        <v>-13.861772635014603</v>
      </c>
      <c r="BB420" s="337">
        <f t="shared" si="358"/>
        <v>-24.76421675972707</v>
      </c>
      <c r="BC420" s="730">
        <f t="shared" si="359"/>
        <v>-89.983446806004707</v>
      </c>
      <c r="BD420" s="351"/>
      <c r="BE420" s="337">
        <f t="shared" si="320"/>
        <v>29.997418050736314</v>
      </c>
      <c r="BF420" s="730">
        <f t="shared" si="321"/>
        <v>-89.51192964972762</v>
      </c>
      <c r="BI420" s="351"/>
      <c r="BJ420" s="351"/>
      <c r="BL420" s="405">
        <f t="shared" si="322"/>
        <v>0</v>
      </c>
      <c r="BM420" s="405">
        <f t="shared" si="360"/>
        <v>0</v>
      </c>
      <c r="BN420" s="405">
        <f t="shared" si="323"/>
        <v>0</v>
      </c>
      <c r="BO420" s="405">
        <f t="shared" si="324"/>
        <v>0</v>
      </c>
    </row>
    <row r="421" spans="4:67" ht="13.5" thickBot="1" x14ac:dyDescent="0.25">
      <c r="D421" s="345">
        <v>40738</v>
      </c>
      <c r="E421" s="340" t="str">
        <f t="shared" si="311"/>
        <v>0.675746024035848i</v>
      </c>
      <c r="F421" s="728" t="str">
        <f t="shared" si="325"/>
        <v>0.005-0.0640457908521771i</v>
      </c>
      <c r="G421" s="337" t="str">
        <f t="shared" si="326"/>
        <v>0.005-0.100174185691867i</v>
      </c>
      <c r="H421" s="338" t="str">
        <f t="shared" si="327"/>
        <v>0.0130721051286457-0.0986923097723582i</v>
      </c>
      <c r="I421" s="338" t="str">
        <f t="shared" si="328"/>
        <v>0.0230721051286457-0.0986923097723582i</v>
      </c>
      <c r="J421" s="337" t="str">
        <f t="shared" si="329"/>
        <v>0.00537471885306454-0.0390587462496003i</v>
      </c>
      <c r="K421" s="338" t="str">
        <f t="shared" si="312"/>
        <v>0.981560170622222-0.213303669203235i</v>
      </c>
      <c r="L421" s="732"/>
      <c r="M421" s="732" t="str">
        <f t="shared" si="313"/>
        <v>0.265156608642384-31.4103572593931i</v>
      </c>
      <c r="N421" s="337">
        <f t="shared" si="314"/>
        <v>0</v>
      </c>
      <c r="O421" s="730" t="str">
        <f t="shared" si="315"/>
        <v>-1.03086647121733-12.1756170744671i</v>
      </c>
      <c r="P421" s="731" t="str">
        <f t="shared" si="316"/>
        <v>-1.22542403158044-0.179178524036921i</v>
      </c>
      <c r="Q421" s="729" t="str">
        <f t="shared" si="317"/>
        <v>-1.21511536686827-0.0574223532922495i</v>
      </c>
      <c r="R421" s="730"/>
      <c r="S421" s="405" t="str">
        <f t="shared" si="330"/>
        <v>39.1740532860441-7.50289760920576i</v>
      </c>
      <c r="T421" s="405" t="str">
        <f t="shared" si="331"/>
        <v>14.9023570103522-4.3198198491663i</v>
      </c>
      <c r="U421" s="405" t="str">
        <f t="shared" si="332"/>
        <v>-0.231527821210767-1.52721717360907i</v>
      </c>
      <c r="V421" s="731" t="str">
        <f t="shared" si="318"/>
        <v>6000</v>
      </c>
      <c r="W421" s="733" t="str">
        <f>IMSUM(COMPLEX(1,0),IMDIV(COMPLEX(0,2*PI()*D421),COMPLEX(2*PI()*'Stability Calculations'!EA_Pole1,0)))</f>
        <v>1+258524.047074321i</v>
      </c>
      <c r="X421" s="734">
        <f t="shared" si="333"/>
        <v>258524.04707625502</v>
      </c>
      <c r="Y421" s="735">
        <f t="shared" si="334"/>
        <v>1.5707924586827759</v>
      </c>
      <c r="Z421" s="340" t="str">
        <f>IMSUM(COMPLEX(1,0),IMDIV(COMPLEX(0,2*PI()*D421),COMPLEX(2*PI()*'Stability Calculations'!EA_Zero1,0)))</f>
        <v>1+2559.64403043882i</v>
      </c>
      <c r="AA421" s="734">
        <f t="shared" si="335"/>
        <v>2559.6442257784747</v>
      </c>
      <c r="AB421" s="735">
        <f t="shared" si="336"/>
        <v>1.5704056474905748</v>
      </c>
      <c r="AC421" s="733" t="str">
        <f>IMSUM(COMPLEX(1,0),IMDIV(COMPLEX(0,2*PI()*D421),COMPLEX(2*PI()*'Stability Calculations'!EA_Pole2,0)))</f>
        <v>1+25.7844618428497i</v>
      </c>
      <c r="AD421" s="734">
        <f t="shared" si="337"/>
        <v>25.803846080097678</v>
      </c>
      <c r="AE421" s="735">
        <f t="shared" si="338"/>
        <v>1.5320327069385515</v>
      </c>
      <c r="AF421" s="732" t="str">
        <f t="shared" si="339"/>
        <v>0.0883298952449274-2.30051769741119i</v>
      </c>
      <c r="AG421" s="337">
        <f t="shared" si="340"/>
        <v>2.3022128152054195</v>
      </c>
      <c r="AH421" s="730">
        <f t="shared" si="341"/>
        <v>-1.5324195181307525</v>
      </c>
      <c r="AI421" s="731" t="str">
        <f t="shared" si="319"/>
        <v>10000</v>
      </c>
      <c r="AJ421" s="733" t="str">
        <f t="shared" si="342"/>
        <v>1+241015.569977314i</v>
      </c>
      <c r="AK421" s="734">
        <f t="shared" si="343"/>
        <v>241015.56997938856</v>
      </c>
      <c r="AL421" s="735">
        <f t="shared" si="344"/>
        <v>1.5707921776853595</v>
      </c>
      <c r="AM421" s="340" t="str">
        <f t="shared" si="345"/>
        <v>1+409.031116064123i</v>
      </c>
      <c r="AN421" s="734">
        <f t="shared" si="346"/>
        <v>409.03233846318562</v>
      </c>
      <c r="AO421" s="735">
        <f t="shared" si="347"/>
        <v>1.5683515298873223</v>
      </c>
      <c r="AP421" s="733" t="str">
        <f t="shared" si="348"/>
        <v>1+19.8386833476823i</v>
      </c>
      <c r="AQ421" s="734">
        <f t="shared" si="349"/>
        <v>19.863870644202425</v>
      </c>
      <c r="AR421" s="735">
        <f t="shared" si="350"/>
        <v>1.5204323822473886</v>
      </c>
      <c r="AS421" s="732" t="str">
        <f t="shared" si="351"/>
        <v>0.00165041437890203-5.74528370528148i</v>
      </c>
      <c r="AT421" s="337">
        <f t="shared" si="352"/>
        <v>5.7452839423339652</v>
      </c>
      <c r="AU421" s="730">
        <f t="shared" si="353"/>
        <v>-1.5705090625938289</v>
      </c>
      <c r="AV421" s="732" t="str">
        <f t="shared" si="354"/>
        <v>-0.199172795382208+0.0494757430240087i</v>
      </c>
      <c r="AW421" s="337">
        <f t="shared" si="355"/>
        <v>-13.755358525727726</v>
      </c>
      <c r="AX421" s="730">
        <f t="shared" si="356"/>
        <v>166.04973892904297</v>
      </c>
      <c r="AY421" s="360">
        <f t="shared" si="357"/>
        <v>-13.950261070957026</v>
      </c>
      <c r="BB421" s="337">
        <f t="shared" si="358"/>
        <v>-24.813770056514596</v>
      </c>
      <c r="BC421" s="730">
        <f t="shared" si="359"/>
        <v>-89.983540973673627</v>
      </c>
      <c r="BD421" s="351"/>
      <c r="BE421" s="337">
        <f t="shared" si="320"/>
        <v>29.941766998012881</v>
      </c>
      <c r="BF421" s="730">
        <f t="shared" si="321"/>
        <v>-89.516338079346468</v>
      </c>
      <c r="BI421" s="351"/>
      <c r="BJ421" s="351"/>
      <c r="BL421" s="405">
        <f t="shared" si="322"/>
        <v>0</v>
      </c>
      <c r="BM421" s="405">
        <f t="shared" si="360"/>
        <v>0</v>
      </c>
      <c r="BN421" s="405">
        <f t="shared" si="323"/>
        <v>0</v>
      </c>
      <c r="BO421" s="405">
        <f t="shared" si="324"/>
        <v>0</v>
      </c>
    </row>
    <row r="422" spans="4:67" ht="13.5" thickBot="1" x14ac:dyDescent="0.25">
      <c r="D422" s="345">
        <v>40975.25</v>
      </c>
      <c r="E422" s="340" t="str">
        <f t="shared" si="311"/>
        <v>0.679681434321147i</v>
      </c>
      <c r="F422" s="728" t="str">
        <f t="shared" si="325"/>
        <v>0.005-0.0636749605612167i</v>
      </c>
      <c r="G422" s="337" t="str">
        <f t="shared" si="326"/>
        <v>0.005-0.0995941690829285i</v>
      </c>
      <c r="H422" s="338" t="str">
        <f t="shared" si="327"/>
        <v>0.0129792800971263-0.0981284407375132i</v>
      </c>
      <c r="I422" s="338" t="str">
        <f t="shared" si="328"/>
        <v>0.0229792800971263-0.0981284407375132i</v>
      </c>
      <c r="J422" s="337" t="str">
        <f t="shared" si="329"/>
        <v>0.0053602792311979-0.0388335776441247i</v>
      </c>
      <c r="K422" s="338" t="str">
        <f t="shared" si="312"/>
        <v>0.981344765415972-0.214545907298342i</v>
      </c>
      <c r="L422" s="732"/>
      <c r="M422" s="732" t="str">
        <f t="shared" si="313"/>
        <v>0.26102202462081-31.2064722393876i</v>
      </c>
      <c r="N422" s="337">
        <f t="shared" si="314"/>
        <v>0</v>
      </c>
      <c r="O422" s="730" t="str">
        <f t="shared" si="315"/>
        <v>-1.02452548567822-12.0955448262232i</v>
      </c>
      <c r="P422" s="731" t="str">
        <f t="shared" si="316"/>
        <v>-1.21045981177002-0.177411824083682i</v>
      </c>
      <c r="Q422" s="729" t="str">
        <f t="shared" si="317"/>
        <v>-1.20021455691324-0.0564563758214495i</v>
      </c>
      <c r="R422" s="730"/>
      <c r="S422" s="405" t="str">
        <f t="shared" si="330"/>
        <v>39.1619305520067-7.55734208897044i</v>
      </c>
      <c r="T422" s="405" t="str">
        <f t="shared" si="331"/>
        <v>14.8946503468413-4.33949716180241i</v>
      </c>
      <c r="U422" s="405" t="str">
        <f t="shared" si="332"/>
        <v>-0.232506251272123-1.51791236300972i</v>
      </c>
      <c r="V422" s="731" t="str">
        <f t="shared" si="318"/>
        <v>6000</v>
      </c>
      <c r="W422" s="733" t="str">
        <f>IMSUM(COMPLEX(1,0),IMDIV(COMPLEX(0,2*PI()*D422),COMPLEX(2*PI()*'Stability Calculations'!EA_Pole1,0)))</f>
        <v>1+260029.63964559i</v>
      </c>
      <c r="X422" s="734">
        <f t="shared" si="333"/>
        <v>260029.63964751287</v>
      </c>
      <c r="Y422" s="735">
        <f t="shared" si="334"/>
        <v>1.5707924810794569</v>
      </c>
      <c r="Z422" s="340" t="str">
        <f>IMSUM(COMPLEX(1,0),IMDIV(COMPLEX(0,2*PI()*D422),COMPLEX(2*PI()*'Stability Calculations'!EA_Zero1,0)))</f>
        <v>1+2574.5508875801i</v>
      </c>
      <c r="AA422" s="734">
        <f t="shared" si="335"/>
        <v>2574.5510817887225</v>
      </c>
      <c r="AB422" s="735">
        <f t="shared" si="336"/>
        <v>1.5704079095550065</v>
      </c>
      <c r="AC422" s="733" t="str">
        <f>IMSUM(COMPLEX(1,0),IMDIV(COMPLEX(0,2*PI()*D422),COMPLEX(2*PI()*'Stability Calculations'!EA_Pole2,0)))</f>
        <v>1+25.9346254142625i</v>
      </c>
      <c r="AD422" s="734">
        <f t="shared" si="337"/>
        <v>25.953897498797943</v>
      </c>
      <c r="AE422" s="735">
        <f t="shared" si="338"/>
        <v>1.5322569285991365</v>
      </c>
      <c r="AF422" s="732" t="str">
        <f t="shared" si="339"/>
        <v>0.0873114961929108-2.28723678241766i</v>
      </c>
      <c r="AG422" s="337">
        <f t="shared" si="340"/>
        <v>2.2889026620220738</v>
      </c>
      <c r="AH422" s="730">
        <f t="shared" si="341"/>
        <v>-1.5326415001235869</v>
      </c>
      <c r="AI422" s="731" t="str">
        <f t="shared" si="319"/>
        <v>10000</v>
      </c>
      <c r="AJ422" s="733" t="str">
        <f t="shared" si="342"/>
        <v>1+242419.196664366i</v>
      </c>
      <c r="AK422" s="734">
        <f t="shared" si="343"/>
        <v>242419.19666642859</v>
      </c>
      <c r="AL422" s="735">
        <f t="shared" si="344"/>
        <v>1.5707922017090381</v>
      </c>
      <c r="AM422" s="340" t="str">
        <f t="shared" si="345"/>
        <v>1+411.4132318353i</v>
      </c>
      <c r="AN422" s="734">
        <f t="shared" si="346"/>
        <v>411.41444715659452</v>
      </c>
      <c r="AO422" s="735">
        <f t="shared" si="347"/>
        <v>1.568365685402545</v>
      </c>
      <c r="AP422" s="733" t="str">
        <f t="shared" si="348"/>
        <v>1+19.9542198890991i</v>
      </c>
      <c r="AQ422" s="734">
        <f t="shared" si="349"/>
        <v>19.979261532462054</v>
      </c>
      <c r="AR422" s="735">
        <f t="shared" si="350"/>
        <v>1.5207235049394807</v>
      </c>
      <c r="AS422" s="732" t="str">
        <f t="shared" si="351"/>
        <v>0.00163135764610749-5.71201805501541i</v>
      </c>
      <c r="AT422" s="337">
        <f t="shared" si="352"/>
        <v>5.7120182879740318</v>
      </c>
      <c r="AU422" s="730">
        <f t="shared" si="353"/>
        <v>-1.5705107258766153</v>
      </c>
      <c r="AV422" s="732" t="str">
        <f t="shared" si="354"/>
        <v>-0.196772986835171+0.0492098659114233i</v>
      </c>
      <c r="AW422" s="337">
        <f t="shared" si="355"/>
        <v>-13.857228418061286</v>
      </c>
      <c r="AX422" s="730">
        <f t="shared" si="356"/>
        <v>165.95920214679055</v>
      </c>
      <c r="AY422" s="360">
        <f t="shared" si="357"/>
        <v>-14.040797853209455</v>
      </c>
      <c r="BB422" s="337">
        <f t="shared" si="358"/>
        <v>-24.864208215276676</v>
      </c>
      <c r="BC422" s="730">
        <f t="shared" si="359"/>
        <v>-89.983636272757423</v>
      </c>
      <c r="BD422" s="351"/>
      <c r="BE422" s="337">
        <f t="shared" si="320"/>
        <v>29.885197357855169</v>
      </c>
      <c r="BF422" s="730">
        <f t="shared" si="321"/>
        <v>-89.520768913027268</v>
      </c>
      <c r="BI422" s="351"/>
      <c r="BJ422" s="351"/>
      <c r="BL422" s="405">
        <f t="shared" si="322"/>
        <v>0</v>
      </c>
      <c r="BM422" s="405">
        <f t="shared" si="360"/>
        <v>0</v>
      </c>
      <c r="BN422" s="405">
        <f t="shared" si="323"/>
        <v>0</v>
      </c>
      <c r="BO422" s="405">
        <f t="shared" si="324"/>
        <v>0</v>
      </c>
    </row>
    <row r="423" spans="4:67" ht="13.5" thickBot="1" x14ac:dyDescent="0.25">
      <c r="D423" s="345">
        <v>41212.5</v>
      </c>
      <c r="E423" s="340" t="str">
        <f t="shared" si="311"/>
        <v>0.683616844606446i</v>
      </c>
      <c r="F423" s="728" t="str">
        <f t="shared" si="325"/>
        <v>0.005-0.0633083998237424i</v>
      </c>
      <c r="G423" s="337" t="str">
        <f t="shared" si="326"/>
        <v>0.005-0.0990208304935461i</v>
      </c>
      <c r="H423" s="338" t="str">
        <f t="shared" si="327"/>
        <v>0.0128880396066268-0.0975709353739689i</v>
      </c>
      <c r="I423" s="338" t="str">
        <f t="shared" si="328"/>
        <v>0.0228880396066268-0.0975709353739689i</v>
      </c>
      <c r="J423" s="337" t="str">
        <f t="shared" si="329"/>
        <v>0.00534608647245726-0.0386109965798225i</v>
      </c>
      <c r="K423" s="338" t="str">
        <f t="shared" si="312"/>
        <v>0.981128109375-0.215788145393449i</v>
      </c>
      <c r="L423" s="732"/>
      <c r="M423" s="732" t="str">
        <f t="shared" si="313"/>
        <v>0.256985628120044-31.0053407946534i</v>
      </c>
      <c r="N423" s="337">
        <f t="shared" si="314"/>
        <v>0</v>
      </c>
      <c r="O423" s="730" t="str">
        <f t="shared" si="315"/>
        <v>-1.018291850223-12.0165552507584i</v>
      </c>
      <c r="P423" s="731" t="str">
        <f t="shared" si="316"/>
        <v>-1.19577323998848-0.17567970420463i</v>
      </c>
      <c r="Q423" s="729" t="str">
        <f t="shared" si="317"/>
        <v>-1.18559032148625-0.0555141516970454i</v>
      </c>
      <c r="R423" s="730"/>
      <c r="S423" s="405" t="str">
        <f t="shared" si="330"/>
        <v>39.1497213955432-7.61170401139961i</v>
      </c>
      <c r="T423" s="405" t="str">
        <f t="shared" si="331"/>
        <v>14.8869063923946-4.35918527476099i</v>
      </c>
      <c r="U423" s="405" t="str">
        <f t="shared" si="332"/>
        <v>-0.233466745521533-1.5087107340044i</v>
      </c>
      <c r="V423" s="731" t="str">
        <f t="shared" si="318"/>
        <v>6000</v>
      </c>
      <c r="W423" s="733" t="str">
        <f>IMSUM(COMPLEX(1,0),IMDIV(COMPLEX(0,2*PI()*D423),COMPLEX(2*PI()*'Stability Calculations'!EA_Pole1,0)))</f>
        <v>1+261535.23221686i</v>
      </c>
      <c r="X423" s="734">
        <f t="shared" si="333"/>
        <v>261535.23221877174</v>
      </c>
      <c r="Y423" s="735">
        <f t="shared" si="334"/>
        <v>1.5707925032182737</v>
      </c>
      <c r="Z423" s="340" t="str">
        <f>IMSUM(COMPLEX(1,0),IMDIV(COMPLEX(0,2*PI()*D423),COMPLEX(2*PI()*'Stability Calculations'!EA_Zero1,0)))</f>
        <v>1+2589.45774472139i</v>
      </c>
      <c r="AA423" s="734">
        <f t="shared" si="335"/>
        <v>2589.457937812002</v>
      </c>
      <c r="AB423" s="735">
        <f t="shared" si="336"/>
        <v>1.5704101455751696</v>
      </c>
      <c r="AC423" s="733" t="str">
        <f>IMSUM(COMPLEX(1,0),IMDIV(COMPLEX(0,2*PI()*D423),COMPLEX(2*PI()*'Stability Calculations'!EA_Pole2,0)))</f>
        <v>1+26.0847889856754i</v>
      </c>
      <c r="AD423" s="734">
        <f t="shared" si="337"/>
        <v>26.103950207338588</v>
      </c>
      <c r="AE423" s="735">
        <f t="shared" si="338"/>
        <v>1.5324785724948113</v>
      </c>
      <c r="AF423" s="732" t="str">
        <f t="shared" si="339"/>
        <v>0.0863106000537276-2.27410810620056i</v>
      </c>
      <c r="AG423" s="337">
        <f t="shared" si="340"/>
        <v>2.2757454159832404</v>
      </c>
      <c r="AH423" s="730">
        <f t="shared" si="341"/>
        <v>-1.5328609301379155</v>
      </c>
      <c r="AI423" s="731" t="str">
        <f t="shared" si="319"/>
        <v>10000</v>
      </c>
      <c r="AJ423" s="733" t="str">
        <f t="shared" si="342"/>
        <v>1+243822.823351418i</v>
      </c>
      <c r="AK423" s="734">
        <f t="shared" si="343"/>
        <v>243822.82335346867</v>
      </c>
      <c r="AL423" s="735">
        <f t="shared" si="344"/>
        <v>1.5707922254561202</v>
      </c>
      <c r="AM423" s="340" t="str">
        <f t="shared" si="345"/>
        <v>1+413.795347606478i</v>
      </c>
      <c r="AN423" s="734">
        <f t="shared" si="346"/>
        <v>413.79655593149386</v>
      </c>
      <c r="AO423" s="735">
        <f t="shared" si="347"/>
        <v>1.5683796779392414</v>
      </c>
      <c r="AP423" s="733" t="str">
        <f t="shared" si="348"/>
        <v>1+20.069756430516i</v>
      </c>
      <c r="AQ423" s="734">
        <f t="shared" si="349"/>
        <v>20.094654094565509</v>
      </c>
      <c r="AR423" s="735">
        <f t="shared" si="350"/>
        <v>1.521011284140269</v>
      </c>
      <c r="AS423" s="732" t="str">
        <f t="shared" si="351"/>
        <v>0.00161262907950333-5.67913540862464i</v>
      </c>
      <c r="AT423" s="337">
        <f t="shared" si="352"/>
        <v>5.6791356375831272</v>
      </c>
      <c r="AU423" s="730">
        <f t="shared" si="353"/>
        <v>-1.5705123700092014</v>
      </c>
      <c r="AV423" s="732" t="str">
        <f t="shared" si="354"/>
        <v>-0.19441457210815+0.0489464276441238i</v>
      </c>
      <c r="AW423" s="337">
        <f t="shared" si="355"/>
        <v>-13.958519689084767</v>
      </c>
      <c r="AX423" s="730">
        <f t="shared" si="356"/>
        <v>165.86871669769585</v>
      </c>
      <c r="AY423" s="360">
        <f t="shared" si="357"/>
        <v>-14.131283302304155</v>
      </c>
      <c r="BB423" s="337">
        <f t="shared" si="358"/>
        <v>-24.914355174489163</v>
      </c>
      <c r="BC423" s="730">
        <f t="shared" si="359"/>
        <v>-89.98373047461557</v>
      </c>
      <c r="BD423" s="351"/>
      <c r="BE423" s="337">
        <f t="shared" si="320"/>
        <v>29.829028526746335</v>
      </c>
      <c r="BF423" s="730">
        <f t="shared" si="321"/>
        <v>-89.525118758616571</v>
      </c>
      <c r="BI423" s="351"/>
      <c r="BJ423" s="351"/>
      <c r="BL423" s="405">
        <f t="shared" si="322"/>
        <v>0</v>
      </c>
      <c r="BM423" s="405">
        <f t="shared" si="360"/>
        <v>0</v>
      </c>
      <c r="BN423" s="405">
        <f t="shared" si="323"/>
        <v>0</v>
      </c>
      <c r="BO423" s="405">
        <f t="shared" si="324"/>
        <v>0</v>
      </c>
    </row>
    <row r="424" spans="4:67" ht="13.5" thickBot="1" x14ac:dyDescent="0.25">
      <c r="D424" s="345">
        <v>41449.75</v>
      </c>
      <c r="E424" s="340" t="str">
        <f t="shared" si="311"/>
        <v>0.687552254891745i</v>
      </c>
      <c r="F424" s="728" t="str">
        <f t="shared" si="325"/>
        <v>0.005-0.0629460353255686i</v>
      </c>
      <c r="G424" s="337" t="str">
        <f t="shared" si="326"/>
        <v>0.005-0.0984540552528126i</v>
      </c>
      <c r="H424" s="338" t="str">
        <f t="shared" si="327"/>
        <v>0.0127983478744536-0.0970196872923428i</v>
      </c>
      <c r="I424" s="338" t="str">
        <f t="shared" si="328"/>
        <v>0.0227983478744536-0.0970196872923428i</v>
      </c>
      <c r="J424" s="337" t="str">
        <f t="shared" si="329"/>
        <v>0.0053321349427077-0.0383909587988848i</v>
      </c>
      <c r="K424" s="338" t="str">
        <f t="shared" si="312"/>
        <v>0.980910202499306-0.217030383488556i</v>
      </c>
      <c r="L424" s="732"/>
      <c r="M424" s="732" t="str">
        <f t="shared" si="313"/>
        <v>0.253044318157799-30.8069055470743i</v>
      </c>
      <c r="N424" s="337">
        <f t="shared" si="314"/>
        <v>0</v>
      </c>
      <c r="O424" s="730" t="str">
        <f t="shared" si="315"/>
        <v>-1.01216312006286-11.9386256597685i</v>
      </c>
      <c r="P424" s="731" t="str">
        <f t="shared" si="316"/>
        <v>-1.18135737512796-0.173981191536939i</v>
      </c>
      <c r="Q424" s="729" t="str">
        <f t="shared" si="317"/>
        <v>-1.17123574392733-0.0545949349392539i</v>
      </c>
      <c r="R424" s="730"/>
      <c r="S424" s="405" t="str">
        <f t="shared" si="330"/>
        <v>39.1374260614872-7.66598438435791i</v>
      </c>
      <c r="T424" s="405" t="str">
        <f t="shared" si="331"/>
        <v>14.8791250725437-4.37888365661192i</v>
      </c>
      <c r="U424" s="405" t="str">
        <f t="shared" si="332"/>
        <v>-0.23440970430812-1.49961053806092i</v>
      </c>
      <c r="V424" s="731" t="str">
        <f t="shared" si="318"/>
        <v>6000</v>
      </c>
      <c r="W424" s="733" t="str">
        <f>IMSUM(COMPLEX(1,0),IMDIV(COMPLEX(0,2*PI()*D424),COMPLEX(2*PI()*'Stability Calculations'!EA_Pole1,0)))</f>
        <v>1+263040.82478813i</v>
      </c>
      <c r="X424" s="734">
        <f t="shared" si="333"/>
        <v>263040.82479003083</v>
      </c>
      <c r="Y424" s="735">
        <f t="shared" si="334"/>
        <v>1.5707925251036543</v>
      </c>
      <c r="Z424" s="340" t="str">
        <f>IMSUM(COMPLEX(1,0),IMDIV(COMPLEX(0,2*PI()*D424),COMPLEX(2*PI()*'Stability Calculations'!EA_Zero1,0)))</f>
        <v>1+2604.36460186267i</v>
      </c>
      <c r="AA424" s="734">
        <f t="shared" si="335"/>
        <v>2604.3647938480708</v>
      </c>
      <c r="AB424" s="735">
        <f t="shared" si="336"/>
        <v>1.5704123559982808</v>
      </c>
      <c r="AC424" s="733" t="str">
        <f>IMSUM(COMPLEX(1,0),IMDIV(COMPLEX(0,2*PI()*D424),COMPLEX(2*PI()*'Stability Calculations'!EA_Pole2,0)))</f>
        <v>1+26.2349525570882i</v>
      </c>
      <c r="AD424" s="734">
        <f t="shared" si="337"/>
        <v>26.254004183603474</v>
      </c>
      <c r="AE424" s="735">
        <f t="shared" si="338"/>
        <v>1.5326976828030248</v>
      </c>
      <c r="AF424" s="732" t="str">
        <f t="shared" si="339"/>
        <v>0.0853268082158874-2.26112906980175i</v>
      </c>
      <c r="AG424" s="337">
        <f t="shared" si="340"/>
        <v>2.2627384591469775</v>
      </c>
      <c r="AH424" s="730">
        <f t="shared" si="341"/>
        <v>-1.5330778519083983</v>
      </c>
      <c r="AI424" s="731" t="str">
        <f t="shared" si="319"/>
        <v>10000</v>
      </c>
      <c r="AJ424" s="733" t="str">
        <f t="shared" si="342"/>
        <v>1+245226.45003847i</v>
      </c>
      <c r="AK424" s="734">
        <f t="shared" si="343"/>
        <v>245226.45004050893</v>
      </c>
      <c r="AL424" s="735">
        <f t="shared" si="344"/>
        <v>1.5707922489313553</v>
      </c>
      <c r="AM424" s="340" t="str">
        <f t="shared" si="345"/>
        <v>1+416.177463377655i</v>
      </c>
      <c r="AN424" s="734">
        <f t="shared" si="346"/>
        <v>416.17866478648256</v>
      </c>
      <c r="AO424" s="735">
        <f t="shared" si="347"/>
        <v>1.5683935102959581</v>
      </c>
      <c r="AP424" s="733" t="str">
        <f t="shared" si="348"/>
        <v>1+20.1852929719327i</v>
      </c>
      <c r="AQ424" s="734">
        <f t="shared" si="349"/>
        <v>20.210048301841233</v>
      </c>
      <c r="AR424" s="735">
        <f t="shared" si="350"/>
        <v>1.5212957770731144</v>
      </c>
      <c r="AS424" s="732" t="str">
        <f t="shared" si="351"/>
        <v>0.00159422118720666-5.6466291894007i</v>
      </c>
      <c r="AT424" s="337">
        <f t="shared" si="352"/>
        <v>5.6466294144501106</v>
      </c>
      <c r="AU424" s="730">
        <f t="shared" si="353"/>
        <v>-1.5705139953204232</v>
      </c>
      <c r="AV424" s="732" t="str">
        <f t="shared" si="354"/>
        <v>-0.192096604960861+0.0486853991256765i</v>
      </c>
      <c r="AW424" s="337">
        <f t="shared" si="355"/>
        <v>-14.05923906700647</v>
      </c>
      <c r="AX424" s="730">
        <f t="shared" si="356"/>
        <v>165.77828162115711</v>
      </c>
      <c r="AY424" s="360">
        <f t="shared" si="357"/>
        <v>-14.221718378842894</v>
      </c>
      <c r="BB424" s="337">
        <f t="shared" si="358"/>
        <v>-24.964214277281499</v>
      </c>
      <c r="BC424" s="730">
        <f t="shared" si="359"/>
        <v>-89.983823598088975</v>
      </c>
      <c r="BD424" s="351"/>
      <c r="BE424" s="337">
        <f t="shared" si="320"/>
        <v>29.773254540312941</v>
      </c>
      <c r="BF424" s="730">
        <f t="shared" si="321"/>
        <v>-89.529389753438494</v>
      </c>
      <c r="BI424" s="351"/>
      <c r="BJ424" s="351"/>
      <c r="BL424" s="405">
        <f t="shared" si="322"/>
        <v>0</v>
      </c>
      <c r="BM424" s="405">
        <f t="shared" si="360"/>
        <v>0</v>
      </c>
      <c r="BN424" s="405">
        <f t="shared" si="323"/>
        <v>0</v>
      </c>
      <c r="BO424" s="405">
        <f t="shared" si="324"/>
        <v>0</v>
      </c>
    </row>
    <row r="425" spans="4:67" ht="13.5" thickBot="1" x14ac:dyDescent="0.25">
      <c r="D425" s="345">
        <v>41687</v>
      </c>
      <c r="E425" s="340" t="str">
        <f t="shared" si="311"/>
        <v>0.691487665177044i</v>
      </c>
      <c r="F425" s="728" t="str">
        <f t="shared" si="325"/>
        <v>0.005-0.0625877954214981i</v>
      </c>
      <c r="G425" s="337" t="str">
        <f t="shared" si="326"/>
        <v>0.005-0.097893731300292i</v>
      </c>
      <c r="H425" s="338" t="str">
        <f t="shared" si="327"/>
        <v>0.0127101701201401-0.0964745924448836i</v>
      </c>
      <c r="I425" s="338" t="str">
        <f t="shared" si="328"/>
        <v>0.0227101701201401-0.0964745924448836i</v>
      </c>
      <c r="J425" s="337" t="str">
        <f t="shared" si="329"/>
        <v>0.00531841916738081-0.0381734210460307i</v>
      </c>
      <c r="K425" s="338" t="str">
        <f t="shared" si="312"/>
        <v>0.980691044788889-0.218272621583663i</v>
      </c>
      <c r="L425" s="732"/>
      <c r="M425" s="732" t="str">
        <f t="shared" si="313"/>
        <v>0.249195114852549-30.6111107412412i</v>
      </c>
      <c r="N425" s="337">
        <f t="shared" si="314"/>
        <v>0</v>
      </c>
      <c r="O425" s="730" t="str">
        <f t="shared" si="315"/>
        <v>-1.00613691849581-11.8617340105106i</v>
      </c>
      <c r="P425" s="731" t="str">
        <f t="shared" si="316"/>
        <v>-1.16720549493683-0.172315348142914i</v>
      </c>
      <c r="Q425" s="729" t="str">
        <f t="shared" si="317"/>
        <v>-1.15714412575187-0.0536980080378062i</v>
      </c>
      <c r="R425" s="730"/>
      <c r="S425" s="405" t="str">
        <f t="shared" si="330"/>
        <v>39.1250447874809-7.72018419032984i</v>
      </c>
      <c r="T425" s="405" t="str">
        <f t="shared" si="331"/>
        <v>14.8713063158588-4.39859178583524i</v>
      </c>
      <c r="U425" s="405" t="str">
        <f t="shared" si="332"/>
        <v>-0.235335516686591-1.49061006583253i</v>
      </c>
      <c r="V425" s="731" t="str">
        <f t="shared" si="318"/>
        <v>6000</v>
      </c>
      <c r="W425" s="733" t="str">
        <f>IMSUM(COMPLEX(1,0),IMDIV(COMPLEX(0,2*PI()*D425),COMPLEX(2*PI()*'Stability Calculations'!EA_Pole1,0)))</f>
        <v>1+264546.417359399i</v>
      </c>
      <c r="X425" s="734">
        <f t="shared" si="333"/>
        <v>264546.41736128909</v>
      </c>
      <c r="Y425" s="735">
        <f t="shared" si="334"/>
        <v>1.5707925467399257</v>
      </c>
      <c r="Z425" s="340" t="str">
        <f>IMSUM(COMPLEX(1,0),IMDIV(COMPLEX(0,2*PI()*D425),COMPLEX(2*PI()*'Stability Calculations'!EA_Zero1,0)))</f>
        <v>1+2619.27145900395i</v>
      </c>
      <c r="AA425" s="734">
        <f t="shared" si="335"/>
        <v>2619.2716498967193</v>
      </c>
      <c r="AB425" s="735">
        <f t="shared" si="336"/>
        <v>1.5704145412613753</v>
      </c>
      <c r="AC425" s="733" t="str">
        <f>IMSUM(COMPLEX(1,0),IMDIV(COMPLEX(0,2*PI()*D425),COMPLEX(2*PI()*'Stability Calculations'!EA_Pole2,0)))</f>
        <v>1+26.385116128501i</v>
      </c>
      <c r="AD425" s="734">
        <f t="shared" si="337"/>
        <v>26.404059405979293</v>
      </c>
      <c r="AE425" s="735">
        <f t="shared" si="338"/>
        <v>1.5329143026979637</v>
      </c>
      <c r="AF425" s="732" t="str">
        <f t="shared" si="339"/>
        <v>0.0843597333457128-2.24829713300064i</v>
      </c>
      <c r="AG425" s="337">
        <f t="shared" si="340"/>
        <v>2.2498792329520838</v>
      </c>
      <c r="AH425" s="730">
        <f t="shared" si="341"/>
        <v>-1.533292308176514</v>
      </c>
      <c r="AI425" s="731" t="str">
        <f t="shared" si="319"/>
        <v>10000</v>
      </c>
      <c r="AJ425" s="733" t="str">
        <f t="shared" si="342"/>
        <v>1+246630.076725521i</v>
      </c>
      <c r="AK425" s="734">
        <f t="shared" si="343"/>
        <v>246630.07672754832</v>
      </c>
      <c r="AL425" s="735">
        <f t="shared" si="344"/>
        <v>1.5707922721393848</v>
      </c>
      <c r="AM425" s="340" t="str">
        <f t="shared" si="345"/>
        <v>1+418.559579148831i</v>
      </c>
      <c r="AN425" s="734">
        <f t="shared" si="346"/>
        <v>418.56077372019286</v>
      </c>
      <c r="AO425" s="735">
        <f t="shared" si="347"/>
        <v>1.5684071852075341</v>
      </c>
      <c r="AP425" s="733" t="str">
        <f t="shared" si="348"/>
        <v>1+20.3008295133495i</v>
      </c>
      <c r="AQ425" s="734">
        <f t="shared" si="349"/>
        <v>20.325444126268977</v>
      </c>
      <c r="AR425" s="735">
        <f t="shared" si="350"/>
        <v>1.5215770396640138</v>
      </c>
      <c r="AS425" s="732" t="str">
        <f t="shared" si="351"/>
        <v>0.00157612668991604-5.61449297035321i</v>
      </c>
      <c r="AT425" s="337">
        <f t="shared" si="352"/>
        <v>5.614493191582028</v>
      </c>
      <c r="AU425" s="730">
        <f t="shared" si="353"/>
        <v>-1.5705156021316304</v>
      </c>
      <c r="AV425" s="732" t="str">
        <f t="shared" si="354"/>
        <v>-0.18981816604804+0.0484267515555803i</v>
      </c>
      <c r="AW425" s="337">
        <f t="shared" si="355"/>
        <v>-14.159393164519363</v>
      </c>
      <c r="AX425" s="730">
        <f t="shared" si="356"/>
        <v>165.68789597906508</v>
      </c>
      <c r="AY425" s="360">
        <f t="shared" si="357"/>
        <v>-14.312104020934925</v>
      </c>
      <c r="BB425" s="337">
        <f t="shared" si="358"/>
        <v>-25.013788809539953</v>
      </c>
      <c r="BC425" s="730">
        <f t="shared" si="359"/>
        <v>-89.98391566158962</v>
      </c>
      <c r="BD425" s="351"/>
      <c r="BE425" s="337">
        <f t="shared" si="320"/>
        <v>29.717869570021268</v>
      </c>
      <c r="BF425" s="730">
        <f t="shared" si="321"/>
        <v>-89.533583962715468</v>
      </c>
      <c r="BI425" s="351"/>
      <c r="BJ425" s="351"/>
      <c r="BL425" s="405">
        <f t="shared" si="322"/>
        <v>0</v>
      </c>
      <c r="BM425" s="405">
        <f t="shared" si="360"/>
        <v>0</v>
      </c>
      <c r="BN425" s="405">
        <f t="shared" si="323"/>
        <v>0</v>
      </c>
      <c r="BO425" s="405">
        <f t="shared" si="324"/>
        <v>0</v>
      </c>
    </row>
    <row r="426" spans="4:67" ht="13.5" thickBot="1" x14ac:dyDescent="0.25">
      <c r="D426" s="345">
        <v>41929.75</v>
      </c>
      <c r="E426" s="340" t="str">
        <f t="shared" si="311"/>
        <v>0.695514307313003i</v>
      </c>
      <c r="F426" s="728" t="str">
        <f t="shared" si="325"/>
        <v>0.005-0.0622254467946027i</v>
      </c>
      <c r="G426" s="337" t="str">
        <f t="shared" si="326"/>
        <v>0.005-0.0973269808838658i</v>
      </c>
      <c r="H426" s="338" t="str">
        <f t="shared" si="327"/>
        <v>0.0126214799725987-0.0959231237669993i</v>
      </c>
      <c r="I426" s="338" t="str">
        <f t="shared" si="328"/>
        <v>0.0226214799725987-0.0959231237669993i</v>
      </c>
      <c r="J426" s="337" t="str">
        <f t="shared" si="329"/>
        <v>0.00530462389616281-0.0379533838078198i</v>
      </c>
      <c r="K426" s="338" t="str">
        <f t="shared" si="312"/>
        <v>0.980465511832639-0.219543657611428i</v>
      </c>
      <c r="L426" s="732"/>
      <c r="M426" s="732" t="str">
        <f t="shared" si="313"/>
        <v>0.24534902545502-30.4134534167449i</v>
      </c>
      <c r="N426" s="337">
        <f t="shared" si="314"/>
        <v>0</v>
      </c>
      <c r="O426" s="730" t="str">
        <f t="shared" si="315"/>
        <v>-1.0000747272473-11.7841118109937i</v>
      </c>
      <c r="P426" s="731" t="str">
        <f t="shared" si="316"/>
        <v>-1.15299198614364-0.170643757489268i</v>
      </c>
      <c r="Q426" s="729" t="str">
        <f t="shared" si="317"/>
        <v>-1.14299123887117-0.05280263937933i</v>
      </c>
      <c r="R426" s="730"/>
      <c r="S426" s="405" t="str">
        <f t="shared" si="330"/>
        <v>39.1122877762159-7.77555808096095i</v>
      </c>
      <c r="T426" s="405" t="str">
        <f t="shared" si="331"/>
        <v>14.8632674823157-4.41876634984858i</v>
      </c>
      <c r="U426" s="405" t="str">
        <f t="shared" si="332"/>
        <v>-0.236265438618555-1.48150241727641i</v>
      </c>
      <c r="V426" s="731" t="str">
        <f t="shared" si="318"/>
        <v>6000</v>
      </c>
      <c r="W426" s="733" t="str">
        <f>IMSUM(COMPLEX(1,0),IMDIV(COMPLEX(0,2*PI()*D426),COMPLEX(2*PI()*'Stability Calculations'!EA_Pole1,0)))</f>
        <v>1+266086.91302505i</v>
      </c>
      <c r="X426" s="734">
        <f t="shared" si="333"/>
        <v>266086.91302692908</v>
      </c>
      <c r="Y426" s="735">
        <f t="shared" si="334"/>
        <v>1.5707925686243476</v>
      </c>
      <c r="Z426" s="340" t="str">
        <f>IMSUM(COMPLEX(1,0),IMDIV(COMPLEX(0,2*PI()*D426),COMPLEX(2*PI()*'Stability Calculations'!EA_Zero1,0)))</f>
        <v>1+2634.52389133713i</v>
      </c>
      <c r="AA426" s="734">
        <f t="shared" si="335"/>
        <v>2634.5240811247359</v>
      </c>
      <c r="AB426" s="735">
        <f t="shared" si="336"/>
        <v>1.570416751587679</v>
      </c>
      <c r="AC426" s="733" t="str">
        <f>IMSUM(COMPLEX(1,0),IMDIV(COMPLEX(0,2*PI()*D426),COMPLEX(2*PI()*'Stability Calculations'!EA_Pole2,0)))</f>
        <v>1+26.5387608364482i</v>
      </c>
      <c r="AD426" s="734">
        <f t="shared" si="337"/>
        <v>26.557594520855933</v>
      </c>
      <c r="AE426" s="735">
        <f t="shared" si="338"/>
        <v>1.5331334106666947</v>
      </c>
      <c r="AF426" s="732" t="str">
        <f t="shared" si="339"/>
        <v>0.083387149650462-2.23531738704392i</v>
      </c>
      <c r="AG426" s="337">
        <f t="shared" si="340"/>
        <v>2.2368721996456764</v>
      </c>
      <c r="AH426" s="730">
        <f t="shared" si="341"/>
        <v>-1.5335092277033633</v>
      </c>
      <c r="AI426" s="731" t="str">
        <f t="shared" si="319"/>
        <v>10000</v>
      </c>
      <c r="AJ426" s="733" t="str">
        <f t="shared" si="342"/>
        <v>1+248066.242703527i</v>
      </c>
      <c r="AK426" s="734">
        <f t="shared" si="343"/>
        <v>248066.24270554257</v>
      </c>
      <c r="AL426" s="735">
        <f t="shared" si="344"/>
        <v>1.5707922956135916</v>
      </c>
      <c r="AM426" s="340" t="str">
        <f t="shared" si="345"/>
        <v>1+420.996917835673i</v>
      </c>
      <c r="AN426" s="734">
        <f t="shared" si="346"/>
        <v>420.99810549114875</v>
      </c>
      <c r="AO426" s="735">
        <f t="shared" si="347"/>
        <v>1.5684210169602277</v>
      </c>
      <c r="AP426" s="733" t="str">
        <f t="shared" si="348"/>
        <v>1+20.4190444572017i</v>
      </c>
      <c r="AQ426" s="734">
        <f t="shared" si="349"/>
        <v>20.443516736246227</v>
      </c>
      <c r="AR426" s="735">
        <f t="shared" si="350"/>
        <v>1.5218615360383059</v>
      </c>
      <c r="AS426" s="732" t="str">
        <f t="shared" si="351"/>
        <v>0.00155792972048096-5.58198817469853i</v>
      </c>
      <c r="AT426" s="337">
        <f t="shared" si="352"/>
        <v>5.5819883921071751</v>
      </c>
      <c r="AU426" s="730">
        <f t="shared" si="353"/>
        <v>-1.5705172273716679</v>
      </c>
      <c r="AV426" s="732" t="str">
        <f t="shared" si="354"/>
        <v>-0.187526889415821+0.0481645425973538i</v>
      </c>
      <c r="AW426" s="337">
        <f t="shared" si="355"/>
        <v>-14.261290753924802</v>
      </c>
      <c r="AX426" s="730">
        <f t="shared" si="356"/>
        <v>165.59546520131559</v>
      </c>
      <c r="AY426" s="360">
        <f t="shared" si="357"/>
        <v>-14.404534798684409</v>
      </c>
      <c r="BB426" s="337">
        <f t="shared" si="358"/>
        <v>-25.064221419466712</v>
      </c>
      <c r="BC426" s="730">
        <f t="shared" si="359"/>
        <v>-89.984008780984468</v>
      </c>
      <c r="BD426" s="351"/>
      <c r="BE426" s="337">
        <f t="shared" si="320"/>
        <v>29.661597355749777</v>
      </c>
      <c r="BF426" s="730">
        <f t="shared" si="321"/>
        <v>-89.537798008679772</v>
      </c>
      <c r="BI426" s="351"/>
      <c r="BJ426" s="351"/>
      <c r="BL426" s="405">
        <f t="shared" si="322"/>
        <v>0</v>
      </c>
      <c r="BM426" s="405">
        <f t="shared" si="360"/>
        <v>0</v>
      </c>
      <c r="BN426" s="405">
        <f t="shared" si="323"/>
        <v>0</v>
      </c>
      <c r="BO426" s="405">
        <f t="shared" si="324"/>
        <v>0</v>
      </c>
    </row>
    <row r="427" spans="4:67" ht="13.5" thickBot="1" x14ac:dyDescent="0.25">
      <c r="D427" s="345">
        <v>42172.5</v>
      </c>
      <c r="E427" s="340" t="str">
        <f t="shared" si="311"/>
        <v>0.699540949448962i</v>
      </c>
      <c r="F427" s="728" t="str">
        <f t="shared" si="325"/>
        <v>0.005-0.0618672696125672i</v>
      </c>
      <c r="G427" s="337" t="str">
        <f t="shared" si="326"/>
        <v>0.005-0.0967667550350411i</v>
      </c>
      <c r="H427" s="338" t="str">
        <f t="shared" si="327"/>
        <v>0.0125343042143354-0.0953778837766906i</v>
      </c>
      <c r="I427" s="338" t="str">
        <f t="shared" si="328"/>
        <v>0.0225343042143354-0.0953778837766906i</v>
      </c>
      <c r="J427" s="337" t="str">
        <f t="shared" si="329"/>
        <v>0.00529106432973987-0.0377358753296557i</v>
      </c>
      <c r="K427" s="338" t="str">
        <f t="shared" si="312"/>
        <v>0.980238669375-0.220814693639193i</v>
      </c>
      <c r="L427" s="732"/>
      <c r="M427" s="732" t="str">
        <f t="shared" si="313"/>
        <v>0.241593415539363-30.2184472373681i</v>
      </c>
      <c r="N427" s="337">
        <f t="shared" si="314"/>
        <v>0</v>
      </c>
      <c r="O427" s="730" t="str">
        <f t="shared" si="315"/>
        <v>-0.994115048178639-11.7075315174379i</v>
      </c>
      <c r="P427" s="731" t="str">
        <f t="shared" si="316"/>
        <v>-1.13904127130184-0.169004487287023i</v>
      </c>
      <c r="Q427" s="729" t="str">
        <f t="shared" si="317"/>
        <v>-1.12910012082005-0.0519291721126455i</v>
      </c>
      <c r="R427" s="730"/>
      <c r="S427" s="405" t="str">
        <f t="shared" si="330"/>
        <v>39.0994412755825-7.83084962843527i</v>
      </c>
      <c r="T427" s="405" t="str">
        <f t="shared" si="331"/>
        <v>14.8551893141188-4.43895004438425i</v>
      </c>
      <c r="U427" s="405" t="str">
        <f t="shared" si="332"/>
        <v>-0.237178199399106-1.4724956701313i</v>
      </c>
      <c r="V427" s="731" t="str">
        <f t="shared" si="318"/>
        <v>6000</v>
      </c>
      <c r="W427" s="733" t="str">
        <f>IMSUM(COMPLEX(1,0),IMDIV(COMPLEX(0,2*PI()*D427),COMPLEX(2*PI()*'Stability Calculations'!EA_Pole1,0)))</f>
        <v>1+267627.408690701i</v>
      </c>
      <c r="X427" s="734">
        <f t="shared" si="333"/>
        <v>267627.4086925693</v>
      </c>
      <c r="Y427" s="735">
        <f t="shared" si="334"/>
        <v>1.5707925902568309</v>
      </c>
      <c r="Z427" s="340" t="str">
        <f>IMSUM(COMPLEX(1,0),IMDIV(COMPLEX(0,2*PI()*D427),COMPLEX(2*PI()*'Stability Calculations'!EA_Zero1,0)))</f>
        <v>1+2649.77632367031i</v>
      </c>
      <c r="AA427" s="734">
        <f t="shared" si="335"/>
        <v>2649.7765123654758</v>
      </c>
      <c r="AB427" s="735">
        <f t="shared" si="336"/>
        <v>1.5704189364681764</v>
      </c>
      <c r="AC427" s="733" t="str">
        <f>IMSUM(COMPLEX(1,0),IMDIV(COMPLEX(0,2*PI()*D427),COMPLEX(2*PI()*'Stability Calculations'!EA_Pole2,0)))</f>
        <v>1+26.6924055443954i</v>
      </c>
      <c r="AD427" s="734">
        <f t="shared" si="337"/>
        <v>26.711130896060361</v>
      </c>
      <c r="AE427" s="735">
        <f t="shared" si="338"/>
        <v>1.5333499997674764</v>
      </c>
      <c r="AF427" s="732" t="str">
        <f t="shared" si="339"/>
        <v>0.0824312811127992-2.22248644084249i</v>
      </c>
      <c r="AG427" s="337">
        <f t="shared" si="340"/>
        <v>2.2240145898430197</v>
      </c>
      <c r="AH427" s="730">
        <f t="shared" si="341"/>
        <v>-1.5337236535561309</v>
      </c>
      <c r="AI427" s="731" t="str">
        <f t="shared" si="319"/>
        <v>10000</v>
      </c>
      <c r="AJ427" s="733" t="str">
        <f t="shared" si="342"/>
        <v>1+249502.408681533i</v>
      </c>
      <c r="AK427" s="734">
        <f t="shared" si="343"/>
        <v>249502.40868353695</v>
      </c>
      <c r="AL427" s="735">
        <f t="shared" si="344"/>
        <v>1.5707923188175577</v>
      </c>
      <c r="AM427" s="340" t="str">
        <f t="shared" si="345"/>
        <v>1+423.434256522515i</v>
      </c>
      <c r="AN427" s="734">
        <f t="shared" si="346"/>
        <v>423.43543734172158</v>
      </c>
      <c r="AO427" s="735">
        <f t="shared" si="347"/>
        <v>1.5684346894793388</v>
      </c>
      <c r="AP427" s="733" t="str">
        <f t="shared" si="348"/>
        <v>1+20.5372594010539i</v>
      </c>
      <c r="AQ427" s="734">
        <f t="shared" si="349"/>
        <v>20.561590981881164</v>
      </c>
      <c r="AR427" s="735">
        <f t="shared" si="350"/>
        <v>1.5221427650133939</v>
      </c>
      <c r="AS427" s="732" t="str">
        <f t="shared" si="351"/>
        <v>0.00154004607761723-5.54985758201079i</v>
      </c>
      <c r="AT427" s="337">
        <f t="shared" si="352"/>
        <v>5.5498577956867132</v>
      </c>
      <c r="AU427" s="730">
        <f t="shared" si="353"/>
        <v>-1.570518833901551</v>
      </c>
      <c r="AV427" s="732" t="str">
        <f t="shared" si="354"/>
        <v>-0.18527513006102+0.0479047662231821i</v>
      </c>
      <c r="AW427" s="337">
        <f t="shared" si="355"/>
        <v>-14.362610197245615</v>
      </c>
      <c r="AX427" s="730">
        <f t="shared" si="356"/>
        <v>165.50308425890995</v>
      </c>
      <c r="AY427" s="360">
        <f t="shared" si="357"/>
        <v>-14.496915741090049</v>
      </c>
      <c r="BB427" s="337">
        <f t="shared" si="358"/>
        <v>-25.114362893725861</v>
      </c>
      <c r="BC427" s="730">
        <f t="shared" si="359"/>
        <v>-89.984100828366422</v>
      </c>
      <c r="BD427" s="351"/>
      <c r="BE427" s="337">
        <f t="shared" si="320"/>
        <v>29.605720475832072</v>
      </c>
      <c r="BF427" s="730">
        <f t="shared" si="321"/>
        <v>-89.541935823319932</v>
      </c>
      <c r="BI427" s="351"/>
      <c r="BJ427" s="351"/>
      <c r="BL427" s="405">
        <f t="shared" si="322"/>
        <v>0</v>
      </c>
      <c r="BM427" s="405">
        <f t="shared" si="360"/>
        <v>0</v>
      </c>
      <c r="BN427" s="405">
        <f t="shared" si="323"/>
        <v>0</v>
      </c>
      <c r="BO427" s="405">
        <f t="shared" si="324"/>
        <v>0</v>
      </c>
    </row>
    <row r="428" spans="4:67" ht="13.5" thickBot="1" x14ac:dyDescent="0.25">
      <c r="D428" s="345">
        <v>42415.25</v>
      </c>
      <c r="E428" s="340" t="str">
        <f t="shared" si="311"/>
        <v>0.703567591584921i</v>
      </c>
      <c r="F428" s="728" t="str">
        <f t="shared" si="325"/>
        <v>0.005-0.0615131922536349i</v>
      </c>
      <c r="G428" s="337" t="str">
        <f t="shared" si="326"/>
        <v>0.005-0.0962129417300445i</v>
      </c>
      <c r="H428" s="338" t="str">
        <f t="shared" si="327"/>
        <v>0.0124486086337907-0.0948387682246527i</v>
      </c>
      <c r="I428" s="338" t="str">
        <f t="shared" si="328"/>
        <v>0.0224486086337907-0.0948387682246527i</v>
      </c>
      <c r="J428" s="337" t="str">
        <f t="shared" si="329"/>
        <v>0.00527773508817129-0.0375208523557639i</v>
      </c>
      <c r="K428" s="338" t="str">
        <f t="shared" si="312"/>
        <v>0.980010517415972-0.222085729666957i</v>
      </c>
      <c r="L428" s="732"/>
      <c r="M428" s="732" t="str">
        <f t="shared" si="313"/>
        <v>0.23792545137433-30.0260373853677i</v>
      </c>
      <c r="N428" s="337">
        <f t="shared" si="314"/>
        <v>0</v>
      </c>
      <c r="O428" s="730" t="str">
        <f t="shared" si="315"/>
        <v>-0.988255542582048-11.6319714691274i</v>
      </c>
      <c r="P428" s="731" t="str">
        <f t="shared" si="316"/>
        <v>-1.12534680806194-0.167396636800193i</v>
      </c>
      <c r="Q428" s="729" t="str">
        <f t="shared" si="317"/>
        <v>-1.11546425263612-0.0510769221089183i</v>
      </c>
      <c r="R428" s="730"/>
      <c r="S428" s="405" t="str">
        <f t="shared" si="330"/>
        <v>39.0865055183287-7.88605980712388i</v>
      </c>
      <c r="T428" s="405" t="str">
        <f t="shared" si="331"/>
        <v>14.8470717440233-4.45914234125615i</v>
      </c>
      <c r="U428" s="405" t="str">
        <f t="shared" si="332"/>
        <v>-0.238074181483969-1.46358811379487i</v>
      </c>
      <c r="V428" s="731" t="str">
        <f t="shared" si="318"/>
        <v>6000</v>
      </c>
      <c r="W428" s="733" t="str">
        <f>IMSUM(COMPLEX(1,0),IMDIV(COMPLEX(0,2*PI()*D428),COMPLEX(2*PI()*'Stability Calculations'!EA_Pole1,0)))</f>
        <v>1+269167.904356353i</v>
      </c>
      <c r="X428" s="734">
        <f t="shared" si="333"/>
        <v>269167.90435821057</v>
      </c>
      <c r="Y428" s="735">
        <f t="shared" si="334"/>
        <v>1.570792611641701</v>
      </c>
      <c r="Z428" s="340" t="str">
        <f>IMSUM(COMPLEX(1,0),IMDIV(COMPLEX(0,2*PI()*D428),COMPLEX(2*PI()*'Stability Calculations'!EA_Zero1,0)))</f>
        <v>1+2665.02875600349i</v>
      </c>
      <c r="AA428" s="734">
        <f t="shared" si="335"/>
        <v>2665.0289436187195</v>
      </c>
      <c r="AB428" s="735">
        <f t="shared" si="336"/>
        <v>1.57042109633976</v>
      </c>
      <c r="AC428" s="733" t="str">
        <f>IMSUM(COMPLEX(1,0),IMDIV(COMPLEX(0,2*PI()*D428),COMPLEX(2*PI()*'Stability Calculations'!EA_Pole2,0)))</f>
        <v>1+26.8460502523426i</v>
      </c>
      <c r="AD428" s="734">
        <f t="shared" si="337"/>
        <v>26.864668509983591</v>
      </c>
      <c r="AE428" s="735">
        <f t="shared" si="338"/>
        <v>1.5335641131674997</v>
      </c>
      <c r="AF428" s="732" t="str">
        <f t="shared" si="339"/>
        <v>0.0814917470610132-2.20980175375392i</v>
      </c>
      <c r="AG428" s="337">
        <f t="shared" si="340"/>
        <v>2.2113038451856757</v>
      </c>
      <c r="AH428" s="730">
        <f t="shared" si="341"/>
        <v>-1.533935628469441</v>
      </c>
      <c r="AI428" s="731" t="str">
        <f t="shared" si="319"/>
        <v>10000</v>
      </c>
      <c r="AJ428" s="733" t="str">
        <f t="shared" si="342"/>
        <v>1+250938.574659538i</v>
      </c>
      <c r="AK428" s="734">
        <f t="shared" si="343"/>
        <v>250938.57466153053</v>
      </c>
      <c r="AL428" s="735">
        <f t="shared" si="344"/>
        <v>1.5707923417559231</v>
      </c>
      <c r="AM428" s="340" t="str">
        <f t="shared" si="345"/>
        <v>1+425.871595209358i</v>
      </c>
      <c r="AN428" s="734">
        <f t="shared" si="346"/>
        <v>425.87276927054552</v>
      </c>
      <c r="AO428" s="735">
        <f t="shared" si="347"/>
        <v>1.5684482054988131</v>
      </c>
      <c r="AP428" s="733" t="str">
        <f t="shared" si="348"/>
        <v>1+20.6554743449061i</v>
      </c>
      <c r="AQ428" s="734">
        <f t="shared" si="349"/>
        <v>20.67966683515656</v>
      </c>
      <c r="AR428" s="735">
        <f t="shared" si="350"/>
        <v>1.5224207825125653</v>
      </c>
      <c r="AS428" s="732" t="str">
        <f t="shared" si="351"/>
        <v>0.00152246860899706-5.5180947674021i</v>
      </c>
      <c r="AT428" s="337">
        <f t="shared" si="352"/>
        <v>5.5180949774302626</v>
      </c>
      <c r="AU428" s="730">
        <f t="shared" si="353"/>
        <v>-1.5705204220425246</v>
      </c>
      <c r="AV428" s="732" t="str">
        <f t="shared" si="354"/>
        <v>-0.183061984806043+0.0476473925694809i</v>
      </c>
      <c r="AW428" s="337">
        <f t="shared" si="355"/>
        <v>-14.463358219255188</v>
      </c>
      <c r="AX428" s="730">
        <f t="shared" si="356"/>
        <v>165.41075221588434</v>
      </c>
      <c r="AY428" s="360">
        <f t="shared" si="357"/>
        <v>-14.589247784115656</v>
      </c>
      <c r="BB428" s="337">
        <f t="shared" si="358"/>
        <v>-25.164216574349851</v>
      </c>
      <c r="BC428" s="730">
        <f t="shared" si="359"/>
        <v>-89.984191822141483</v>
      </c>
      <c r="BD428" s="351"/>
      <c r="BE428" s="337">
        <f t="shared" si="320"/>
        <v>29.550233102035392</v>
      </c>
      <c r="BF428" s="730">
        <f t="shared" si="321"/>
        <v>-89.545999403083812</v>
      </c>
      <c r="BI428" s="351"/>
      <c r="BJ428" s="351"/>
      <c r="BL428" s="405">
        <f t="shared" si="322"/>
        <v>0</v>
      </c>
      <c r="BM428" s="405">
        <f t="shared" si="360"/>
        <v>0</v>
      </c>
      <c r="BN428" s="405">
        <f t="shared" si="323"/>
        <v>0</v>
      </c>
      <c r="BO428" s="405">
        <f t="shared" si="324"/>
        <v>0</v>
      </c>
    </row>
    <row r="429" spans="4:67" ht="13.5" thickBot="1" x14ac:dyDescent="0.25">
      <c r="D429" s="345">
        <v>42658</v>
      </c>
      <c r="E429" s="340" t="str">
        <f t="shared" si="311"/>
        <v>0.70759423372088i</v>
      </c>
      <c r="F429" s="728" t="str">
        <f t="shared" si="325"/>
        <v>0.005-0.0611631447263347i</v>
      </c>
      <c r="G429" s="337" t="str">
        <f t="shared" si="326"/>
        <v>0.005-0.0956654314950365i</v>
      </c>
      <c r="H429" s="338" t="str">
        <f t="shared" si="327"/>
        <v>0.0123643599780865-0.0943056751594792i</v>
      </c>
      <c r="I429" s="338" t="str">
        <f t="shared" si="328"/>
        <v>0.0223643599780865-0.0943056751594792i</v>
      </c>
      <c r="J429" s="337" t="str">
        <f t="shared" si="329"/>
        <v>0.00526463094388246-0.0373082726103135i</v>
      </c>
      <c r="K429" s="338" t="str">
        <f t="shared" si="312"/>
        <v>0.979781055955556-0.223356765694722i</v>
      </c>
      <c r="L429" s="732"/>
      <c r="M429" s="732" t="str">
        <f t="shared" si="313"/>
        <v>0.234342409062396-29.8361705809365i</v>
      </c>
      <c r="N429" s="337">
        <f t="shared" si="314"/>
        <v>0</v>
      </c>
      <c r="O429" s="730" t="str">
        <f t="shared" si="315"/>
        <v>-0.982493937079712-11.5574106166451i</v>
      </c>
      <c r="P429" s="731" t="str">
        <f t="shared" si="316"/>
        <v>-1.11190225938318-0.165819337368811i</v>
      </c>
      <c r="Q429" s="729" t="str">
        <f t="shared" si="317"/>
        <v>-1.10207732001238-0.0502452312023615i</v>
      </c>
      <c r="R429" s="730"/>
      <c r="S429" s="405" t="str">
        <f t="shared" si="330"/>
        <v>39.0734807303469-7.94118956651564i</v>
      </c>
      <c r="T429" s="405" t="str">
        <f t="shared" si="331"/>
        <v>14.8389147077167-4.47934272198041i</v>
      </c>
      <c r="U429" s="405" t="str">
        <f t="shared" si="332"/>
        <v>-0.238953756536728-1.45477807602492i</v>
      </c>
      <c r="V429" s="731" t="str">
        <f t="shared" si="318"/>
        <v>6000</v>
      </c>
      <c r="W429" s="733" t="str">
        <f>IMSUM(COMPLEX(1,0),IMDIV(COMPLEX(0,2*PI()*D429),COMPLEX(2*PI()*'Stability Calculations'!EA_Pole1,0)))</f>
        <v>1+270708.400022004i</v>
      </c>
      <c r="X429" s="734">
        <f t="shared" si="333"/>
        <v>270708.40002385102</v>
      </c>
      <c r="Y429" s="735">
        <f t="shared" si="334"/>
        <v>1.5707926327831854</v>
      </c>
      <c r="Z429" s="340" t="str">
        <f>IMSUM(COMPLEX(1,0),IMDIV(COMPLEX(0,2*PI()*D429),COMPLEX(2*PI()*'Stability Calculations'!EA_Zero1,0)))</f>
        <v>1+2680.28118833667i</v>
      </c>
      <c r="AA429" s="734">
        <f t="shared" si="335"/>
        <v>2680.281374884255</v>
      </c>
      <c r="AB429" s="735">
        <f t="shared" si="336"/>
        <v>1.5704232316293776</v>
      </c>
      <c r="AC429" s="733" t="str">
        <f>IMSUM(COMPLEX(1,0),IMDIV(COMPLEX(0,2*PI()*D429),COMPLEX(2*PI()*'Stability Calculations'!EA_Pole2,0)))</f>
        <v>1+26.9996949602898i</v>
      </c>
      <c r="AD429" s="734">
        <f t="shared" si="337"/>
        <v>27.018207341507662</v>
      </c>
      <c r="AE429" s="735">
        <f t="shared" si="338"/>
        <v>1.5337757930536353</v>
      </c>
      <c r="AF429" s="732" t="str">
        <f t="shared" si="339"/>
        <v>0.080568177593892-2.19726084256814i</v>
      </c>
      <c r="AG429" s="337">
        <f t="shared" si="340"/>
        <v>2.1987374653477971</v>
      </c>
      <c r="AH429" s="730">
        <f t="shared" si="341"/>
        <v>-1.5341451942074433</v>
      </c>
      <c r="AI429" s="731" t="str">
        <f t="shared" si="319"/>
        <v>10000</v>
      </c>
      <c r="AJ429" s="733" t="str">
        <f t="shared" si="342"/>
        <v>1+252374.740637544i</v>
      </c>
      <c r="AK429" s="734">
        <f t="shared" si="343"/>
        <v>252374.74063952517</v>
      </c>
      <c r="AL429" s="735">
        <f t="shared" si="344"/>
        <v>1.5707923644332218</v>
      </c>
      <c r="AM429" s="340" t="str">
        <f t="shared" si="345"/>
        <v>1+428.3089338962i</v>
      </c>
      <c r="AN429" s="734">
        <f t="shared" si="346"/>
        <v>428.31010127628264</v>
      </c>
      <c r="AO429" s="735">
        <f t="shared" si="347"/>
        <v>1.5684615676903659</v>
      </c>
      <c r="AP429" s="733" t="str">
        <f t="shared" si="348"/>
        <v>1+20.7736892887583i</v>
      </c>
      <c r="AQ429" s="734">
        <f t="shared" si="349"/>
        <v>20.797744268691048</v>
      </c>
      <c r="AR429" s="735">
        <f t="shared" si="350"/>
        <v>1.5226956431911203</v>
      </c>
      <c r="AS429" s="732" t="str">
        <f t="shared" si="351"/>
        <v>0.0015051903652174-5.48669345223058i</v>
      </c>
      <c r="AT429" s="337">
        <f t="shared" si="352"/>
        <v>5.4866936586935449</v>
      </c>
      <c r="AU429" s="730">
        <f t="shared" si="353"/>
        <v>-1.5705219921085209</v>
      </c>
      <c r="AV429" s="732" t="str">
        <f t="shared" si="354"/>
        <v>-0.180886576139796+0.0473923921114654i</v>
      </c>
      <c r="AW429" s="337">
        <f t="shared" si="355"/>
        <v>-14.563541429307719</v>
      </c>
      <c r="AX429" s="730">
        <f t="shared" si="356"/>
        <v>165.3184681581686</v>
      </c>
      <c r="AY429" s="360">
        <f t="shared" si="357"/>
        <v>-14.681531841831401</v>
      </c>
      <c r="BB429" s="337">
        <f t="shared" si="358"/>
        <v>-25.213785746153192</v>
      </c>
      <c r="BC429" s="730">
        <f t="shared" si="359"/>
        <v>-89.984281780296627</v>
      </c>
      <c r="BD429" s="351"/>
      <c r="BE429" s="337">
        <f t="shared" si="320"/>
        <v>29.495129537693579</v>
      </c>
      <c r="BF429" s="730">
        <f t="shared" si="321"/>
        <v>-89.549990677487912</v>
      </c>
      <c r="BI429" s="351"/>
      <c r="BJ429" s="351"/>
      <c r="BL429" s="405">
        <f t="shared" si="322"/>
        <v>0</v>
      </c>
      <c r="BM429" s="405">
        <f t="shared" si="360"/>
        <v>0</v>
      </c>
      <c r="BN429" s="405">
        <f t="shared" si="323"/>
        <v>0</v>
      </c>
      <c r="BO429" s="405">
        <f t="shared" si="324"/>
        <v>0</v>
      </c>
    </row>
    <row r="430" spans="4:67" ht="13.5" thickBot="1" x14ac:dyDescent="0.25">
      <c r="D430" s="345">
        <v>42906.5</v>
      </c>
      <c r="E430" s="340" t="str">
        <f t="shared" si="311"/>
        <v>0.711716254609802i</v>
      </c>
      <c r="F430" s="728" t="str">
        <f t="shared" si="325"/>
        <v>0.005-0.0608089083876798i</v>
      </c>
      <c r="G430" s="337" t="str">
        <f t="shared" si="326"/>
        <v>0.005-0.0951113695294484i</v>
      </c>
      <c r="H430" s="338" t="str">
        <f t="shared" si="327"/>
        <v>0.0122795807290789-0.0937660888298271i</v>
      </c>
      <c r="I430" s="338" t="str">
        <f t="shared" si="328"/>
        <v>0.0222795807290789-0.0937660888298271i</v>
      </c>
      <c r="J430" s="337" t="str">
        <f t="shared" si="329"/>
        <v>0.00525144425803493-0.037093145092488i</v>
      </c>
      <c r="K430" s="338" t="str">
        <f t="shared" si="312"/>
        <v>0.979544802863889-0.224657908652084i</v>
      </c>
      <c r="L430" s="732"/>
      <c r="M430" s="732" t="str">
        <f t="shared" si="313"/>
        <v>0.230759724799536-29.6443864671003i</v>
      </c>
      <c r="N430" s="337">
        <f t="shared" si="314"/>
        <v>0</v>
      </c>
      <c r="O430" s="730" t="str">
        <f t="shared" si="315"/>
        <v>-0.976694955840844-11.4820972687446i</v>
      </c>
      <c r="P430" s="731" t="str">
        <f t="shared" si="316"/>
        <v>-1.09839170657016-0.164235447049115i</v>
      </c>
      <c r="Q430" s="729" t="str">
        <f t="shared" si="317"/>
        <v>-1.08862475701175-0.0494144743616691i</v>
      </c>
      <c r="R430" s="730"/>
      <c r="S430" s="405" t="str">
        <f t="shared" si="330"/>
        <v>39.060055435122-7.9975428468057i</v>
      </c>
      <c r="T430" s="405" t="str">
        <f t="shared" si="331"/>
        <v>14.830523512646-4.50002942947676i</v>
      </c>
      <c r="U430" s="405" t="str">
        <f t="shared" si="332"/>
        <v>-0.239837548493114-1.44585865974208i</v>
      </c>
      <c r="V430" s="731" t="str">
        <f t="shared" si="318"/>
        <v>6000</v>
      </c>
      <c r="W430" s="733" t="str">
        <f>IMSUM(COMPLEX(1,0),IMDIV(COMPLEX(0,2*PI()*D430),COMPLEX(2*PI()*'Stability Calculations'!EA_Pole1,0)))</f>
        <v>1+272285.385286326i</v>
      </c>
      <c r="X430" s="734">
        <f t="shared" si="333"/>
        <v>272285.38528816227</v>
      </c>
      <c r="Y430" s="735">
        <f t="shared" si="334"/>
        <v>1.5707926541776573</v>
      </c>
      <c r="Z430" s="340" t="str">
        <f>IMSUM(COMPLEX(1,0),IMDIV(COMPLEX(0,2*PI()*D430),COMPLEX(2*PI()*'Stability Calculations'!EA_Zero1,0)))</f>
        <v>1+2695.89490382501i</v>
      </c>
      <c r="AA430" s="734">
        <f t="shared" si="335"/>
        <v>2695.8950892921739</v>
      </c>
      <c r="AB430" s="735">
        <f t="shared" si="336"/>
        <v>1.5704253924707443</v>
      </c>
      <c r="AC430" s="733" t="str">
        <f>IMSUM(COMPLEX(1,0),IMDIV(COMPLEX(0,2*PI()*D430),COMPLEX(2*PI()*'Stability Calculations'!EA_Pole2,0)))</f>
        <v>1+27.1569790382501i</v>
      </c>
      <c r="AD430" s="734">
        <f t="shared" si="337"/>
        <v>27.175384274816711</v>
      </c>
      <c r="AE430" s="735">
        <f t="shared" si="338"/>
        <v>1.5339900093665153</v>
      </c>
      <c r="AF430" s="732" t="str">
        <f t="shared" si="339"/>
        <v>0.0796388926556274-2.18456926663202i</v>
      </c>
      <c r="AG430" s="337">
        <f t="shared" si="340"/>
        <v>2.1860204102287275</v>
      </c>
      <c r="AH430" s="730">
        <f t="shared" si="341"/>
        <v>-1.5343572710734281</v>
      </c>
      <c r="AI430" s="731" t="str">
        <f t="shared" si="319"/>
        <v>10000</v>
      </c>
      <c r="AJ430" s="733" t="str">
        <f t="shared" si="342"/>
        <v>1+253844.924965183i</v>
      </c>
      <c r="AK430" s="734">
        <f t="shared" si="343"/>
        <v>253844.92496715271</v>
      </c>
      <c r="AL430" s="735">
        <f t="shared" si="344"/>
        <v>1.5707923873818863</v>
      </c>
      <c r="AM430" s="340" t="str">
        <f t="shared" si="345"/>
        <v>1+430.804005631236i</v>
      </c>
      <c r="AN430" s="734">
        <f t="shared" si="346"/>
        <v>430.80516625026445</v>
      </c>
      <c r="AO430" s="735">
        <f t="shared" si="347"/>
        <v>1.5684750897801967</v>
      </c>
      <c r="AP430" s="733" t="str">
        <f t="shared" si="348"/>
        <v>1+20.894704380611i</v>
      </c>
      <c r="AQ430" s="734">
        <f t="shared" si="349"/>
        <v>20.91862020194268</v>
      </c>
      <c r="AR430" s="735">
        <f t="shared" si="350"/>
        <v>1.5229738003691333</v>
      </c>
      <c r="AS430" s="732" t="str">
        <f t="shared" si="351"/>
        <v>0.00148780574415949-5.45491637604316i</v>
      </c>
      <c r="AT430" s="337">
        <f t="shared" si="352"/>
        <v>5.454916578939569</v>
      </c>
      <c r="AU430" s="730">
        <f t="shared" si="353"/>
        <v>-1.5705235809625679</v>
      </c>
      <c r="AV430" s="732" t="str">
        <f t="shared" si="354"/>
        <v>-0.178697836635159+0.047133779194264i</v>
      </c>
      <c r="AW430" s="337">
        <f t="shared" si="355"/>
        <v>-14.665519414383423</v>
      </c>
      <c r="AX430" s="730">
        <f t="shared" si="356"/>
        <v>165.22404694704258</v>
      </c>
      <c r="AY430" s="360">
        <f t="shared" si="357"/>
        <v>-14.775953052957419</v>
      </c>
      <c r="BB430" s="337">
        <f t="shared" si="358"/>
        <v>-25.264237732248777</v>
      </c>
      <c r="BC430" s="730">
        <f t="shared" si="359"/>
        <v>-89.984372814927781</v>
      </c>
      <c r="BD430" s="351"/>
      <c r="BE430" s="337">
        <f t="shared" si="320"/>
        <v>29.439112480333137</v>
      </c>
      <c r="BF430" s="730">
        <f t="shared" si="321"/>
        <v>-89.554003545170417</v>
      </c>
      <c r="BI430" s="351"/>
      <c r="BJ430" s="351"/>
      <c r="BL430" s="405">
        <f t="shared" si="322"/>
        <v>0</v>
      </c>
      <c r="BM430" s="405">
        <f t="shared" si="360"/>
        <v>0</v>
      </c>
      <c r="BN430" s="405">
        <f t="shared" si="323"/>
        <v>0</v>
      </c>
      <c r="BO430" s="405">
        <f t="shared" si="324"/>
        <v>0</v>
      </c>
    </row>
    <row r="431" spans="4:67" ht="13.5" thickBot="1" x14ac:dyDescent="0.25">
      <c r="D431" s="345">
        <v>43155</v>
      </c>
      <c r="E431" s="340" t="str">
        <f t="shared" si="311"/>
        <v>0.715838275498725i</v>
      </c>
      <c r="F431" s="728" t="str">
        <f t="shared" si="325"/>
        <v>0.005-0.0604587516564939i</v>
      </c>
      <c r="G431" s="337" t="str">
        <f t="shared" si="326"/>
        <v>0.005-0.0945636884883618i</v>
      </c>
      <c r="H431" s="338" t="str">
        <f t="shared" si="327"/>
        <v>0.0121962501850992-0.0932326045764884i</v>
      </c>
      <c r="I431" s="338" t="str">
        <f t="shared" si="328"/>
        <v>0.0221962501850992-0.0932326045764884i</v>
      </c>
      <c r="J431" s="337" t="str">
        <f t="shared" si="329"/>
        <v>0.00523848284058182-0.0368804912931006i</v>
      </c>
      <c r="K431" s="338" t="str">
        <f t="shared" si="312"/>
        <v>0.9793071775-0.225959051609446i</v>
      </c>
      <c r="L431" s="732"/>
      <c r="M431" s="732" t="str">
        <f t="shared" si="313"/>
        <v>0.227260587718884-29.4551590165644i</v>
      </c>
      <c r="N431" s="337">
        <f t="shared" si="314"/>
        <v>0</v>
      </c>
      <c r="O431" s="730" t="str">
        <f t="shared" si="315"/>
        <v>-0.970993946991658-11.4077882433284i</v>
      </c>
      <c r="P431" s="731" t="str">
        <f t="shared" si="316"/>
        <v>-1.08513023495819-0.162681827201512i</v>
      </c>
      <c r="Q431" s="729" t="str">
        <f t="shared" si="317"/>
        <v>-1.07542029548827-0.0486039447682281i</v>
      </c>
      <c r="R431" s="730"/>
      <c r="S431" s="405" t="str">
        <f t="shared" si="330"/>
        <v>39.0465372995281-8.05381378951442i</v>
      </c>
      <c r="T431" s="405" t="str">
        <f t="shared" si="331"/>
        <v>14.822090832189-4.52072353877524i</v>
      </c>
      <c r="U431" s="405" t="str">
        <f t="shared" si="332"/>
        <v>-0.240704902034614-1.43703800885083i</v>
      </c>
      <c r="V431" s="731" t="str">
        <f t="shared" si="318"/>
        <v>6000</v>
      </c>
      <c r="W431" s="733" t="str">
        <f>IMSUM(COMPLEX(1,0),IMDIV(COMPLEX(0,2*PI()*D431),COMPLEX(2*PI()*'Stability Calculations'!EA_Pole1,0)))</f>
        <v>1+273862.370550648i</v>
      </c>
      <c r="X431" s="734">
        <f t="shared" si="333"/>
        <v>273862.37055247376</v>
      </c>
      <c r="Y431" s="735">
        <f t="shared" si="334"/>
        <v>1.5707926753257371</v>
      </c>
      <c r="Z431" s="340" t="str">
        <f>IMSUM(COMPLEX(1,0),IMDIV(COMPLEX(0,2*PI()*D431),COMPLEX(2*PI()*'Stability Calculations'!EA_Zero1,0)))</f>
        <v>1+2711.50861931335i</v>
      </c>
      <c r="AA431" s="734">
        <f t="shared" si="335"/>
        <v>2711.5088037125365</v>
      </c>
      <c r="AB431" s="735">
        <f t="shared" si="336"/>
        <v>1.5704275284265123</v>
      </c>
      <c r="AC431" s="733" t="str">
        <f>IMSUM(COMPLEX(1,0),IMDIV(COMPLEX(0,2*PI()*D431),COMPLEX(2*PI()*'Stability Calculations'!EA_Pole2,0)))</f>
        <v>1+27.3142631162104i</v>
      </c>
      <c r="AD431" s="734">
        <f t="shared" si="337"/>
        <v>27.332562440824535</v>
      </c>
      <c r="AE431" s="735">
        <f t="shared" si="338"/>
        <v>1.5342017619516906</v>
      </c>
      <c r="AF431" s="732" t="str">
        <f t="shared" si="339"/>
        <v>0.0787255861416264-2.17202326984673i</v>
      </c>
      <c r="AG431" s="337">
        <f t="shared" si="340"/>
        <v>2.1734495169359294</v>
      </c>
      <c r="AH431" s="730">
        <f t="shared" si="341"/>
        <v>-1.5345669088509155</v>
      </c>
      <c r="AI431" s="731" t="str">
        <f t="shared" si="319"/>
        <v>10000</v>
      </c>
      <c r="AJ431" s="733" t="str">
        <f t="shared" si="342"/>
        <v>1+255315.109292822i</v>
      </c>
      <c r="AK431" s="734">
        <f t="shared" si="343"/>
        <v>255315.10929478033</v>
      </c>
      <c r="AL431" s="735">
        <f t="shared" si="344"/>
        <v>1.5707924100662598</v>
      </c>
      <c r="AM431" s="340" t="str">
        <f t="shared" si="345"/>
        <v>1+433.299077366273i</v>
      </c>
      <c r="AN431" s="734">
        <f t="shared" si="346"/>
        <v>433.30023130211163</v>
      </c>
      <c r="AO431" s="735">
        <f t="shared" si="347"/>
        <v>1.5684884561420087</v>
      </c>
      <c r="AP431" s="733" t="str">
        <f t="shared" si="348"/>
        <v>1+21.0157194724638i</v>
      </c>
      <c r="AQ431" s="734">
        <f t="shared" si="349"/>
        <v>21.039497735100383</v>
      </c>
      <c r="AR431" s="735">
        <f t="shared" si="350"/>
        <v>1.5232487613936765</v>
      </c>
      <c r="AS431" s="732" t="str">
        <f t="shared" si="351"/>
        <v>0.00147072057584309-5.42350526448005i</v>
      </c>
      <c r="AT431" s="337">
        <f t="shared" si="352"/>
        <v>5.4235054638915807</v>
      </c>
      <c r="AU431" s="730">
        <f t="shared" si="353"/>
        <v>-1.5705251515183785</v>
      </c>
      <c r="AV431" s="732" t="str">
        <f t="shared" si="354"/>
        <v>-0.176546860370276+0.0468775917147895i</v>
      </c>
      <c r="AW431" s="337">
        <f t="shared" si="355"/>
        <v>-14.766919170427695</v>
      </c>
      <c r="AX431" s="730">
        <f t="shared" si="356"/>
        <v>165.12967415049616</v>
      </c>
      <c r="AY431" s="360">
        <f t="shared" si="357"/>
        <v>-14.870325849503843</v>
      </c>
      <c r="BB431" s="337">
        <f t="shared" si="358"/>
        <v>-25.314398359570099</v>
      </c>
      <c r="BC431" s="730">
        <f t="shared" si="359"/>
        <v>-89.984462801147217</v>
      </c>
      <c r="BD431" s="351"/>
      <c r="BE431" s="337">
        <f t="shared" si="320"/>
        <v>29.38348595482811</v>
      </c>
      <c r="BF431" s="730">
        <f t="shared" si="321"/>
        <v>-89.557944530105914</v>
      </c>
      <c r="BI431" s="351"/>
      <c r="BJ431" s="351"/>
      <c r="BL431" s="405">
        <f t="shared" si="322"/>
        <v>0</v>
      </c>
      <c r="BM431" s="405">
        <f t="shared" si="360"/>
        <v>0</v>
      </c>
      <c r="BN431" s="405">
        <f t="shared" si="323"/>
        <v>0</v>
      </c>
      <c r="BO431" s="405">
        <f t="shared" si="324"/>
        <v>0</v>
      </c>
    </row>
    <row r="432" spans="4:67" ht="13.5" thickBot="1" x14ac:dyDescent="0.25">
      <c r="D432" s="345">
        <v>43403.5</v>
      </c>
      <c r="E432" s="340" t="str">
        <f t="shared" si="311"/>
        <v>0.719960296387647i</v>
      </c>
      <c r="F432" s="728" t="str">
        <f t="shared" si="325"/>
        <v>0.005-0.060112604461299i</v>
      </c>
      <c r="G432" s="337" t="str">
        <f t="shared" si="326"/>
        <v>0.005-0.0940222787728009i</v>
      </c>
      <c r="H432" s="338" t="str">
        <f t="shared" si="327"/>
        <v>0.0121143355907792-0.0927051201109232i</v>
      </c>
      <c r="I432" s="338" t="str">
        <f t="shared" si="328"/>
        <v>0.0221143355907792-0.0927051201109232i</v>
      </c>
      <c r="J432" s="337" t="str">
        <f t="shared" si="329"/>
        <v>0.00522574154680773-0.0366702688742996i</v>
      </c>
      <c r="K432" s="338" t="str">
        <f t="shared" si="312"/>
        <v>0.979068179863889-0.227260194566808i</v>
      </c>
      <c r="L432" s="732"/>
      <c r="M432" s="732" t="str">
        <f t="shared" si="313"/>
        <v>0.223842401414919-29.2684357332763i</v>
      </c>
      <c r="N432" s="337">
        <f t="shared" si="314"/>
        <v>0</v>
      </c>
      <c r="O432" s="730" t="str">
        <f t="shared" si="315"/>
        <v>-0.965388670775758-11.3344628110515i</v>
      </c>
      <c r="P432" s="731" t="str">
        <f t="shared" si="316"/>
        <v>-1.07211166533239-0.161157641666808i</v>
      </c>
      <c r="Q432" s="729" t="str">
        <f t="shared" si="317"/>
        <v>-1.06245777862463-0.0478130135562933i</v>
      </c>
      <c r="R432" s="730"/>
      <c r="S432" s="405" t="str">
        <f t="shared" si="330"/>
        <v>39.0329265450703-8.11000333656972i</v>
      </c>
      <c r="T432" s="405" t="str">
        <f t="shared" si="331"/>
        <v>14.8136166063153-4.54142452353072i</v>
      </c>
      <c r="U432" s="405" t="str">
        <f t="shared" si="332"/>
        <v>-0.241556183046563-1.42831444750387i</v>
      </c>
      <c r="V432" s="731" t="str">
        <f t="shared" si="318"/>
        <v>6000</v>
      </c>
      <c r="W432" s="733" t="str">
        <f>IMSUM(COMPLEX(1,0),IMDIV(COMPLEX(0,2*PI()*D432),COMPLEX(2*PI()*'Stability Calculations'!EA_Pole1,0)))</f>
        <v>1+275439.355814971i</v>
      </c>
      <c r="X432" s="734">
        <f t="shared" si="333"/>
        <v>275439.35581678624</v>
      </c>
      <c r="Y432" s="735">
        <f t="shared" si="334"/>
        <v>1.570792696231657</v>
      </c>
      <c r="Z432" s="340" t="str">
        <f>IMSUM(COMPLEX(1,0),IMDIV(COMPLEX(0,2*PI()*D432),COMPLEX(2*PI()*'Stability Calculations'!EA_Zero1,0)))</f>
        <v>1+2727.12233480169i</v>
      </c>
      <c r="AA432" s="734">
        <f t="shared" si="335"/>
        <v>2727.1225181451273</v>
      </c>
      <c r="AB432" s="735">
        <f t="shared" si="336"/>
        <v>1.5704296399241175</v>
      </c>
      <c r="AC432" s="733" t="str">
        <f>IMSUM(COMPLEX(1,0),IMDIV(COMPLEX(0,2*PI()*D432),COMPLEX(2*PI()*'Stability Calculations'!EA_Pole2,0)))</f>
        <v>1+27.4715471941707i</v>
      </c>
      <c r="AD432" s="734">
        <f t="shared" si="337"/>
        <v>27.489741818386513</v>
      </c>
      <c r="AE432" s="735">
        <f t="shared" si="338"/>
        <v>1.5344110930509189</v>
      </c>
      <c r="AF432" s="732" t="str">
        <f t="shared" si="339"/>
        <v>0.0778278939830514-2.15962036499234i</v>
      </c>
      <c r="AG432" s="337">
        <f t="shared" si="340"/>
        <v>2.1610222816925058</v>
      </c>
      <c r="AH432" s="730">
        <f t="shared" si="341"/>
        <v>-1.5347741493584584</v>
      </c>
      <c r="AI432" s="731" t="str">
        <f t="shared" si="319"/>
        <v>10000</v>
      </c>
      <c r="AJ432" s="733" t="str">
        <f t="shared" si="342"/>
        <v>1+256785.293620461i</v>
      </c>
      <c r="AK432" s="734">
        <f t="shared" si="343"/>
        <v>256785.29362240815</v>
      </c>
      <c r="AL432" s="735">
        <f t="shared" si="344"/>
        <v>1.5707924324908813</v>
      </c>
      <c r="AM432" s="340" t="str">
        <f t="shared" si="345"/>
        <v>1+435.79414910131i</v>
      </c>
      <c r="AN432" s="734">
        <f t="shared" si="346"/>
        <v>435.79529643048556</v>
      </c>
      <c r="AO432" s="735">
        <f t="shared" si="347"/>
        <v>1.5685016694505729</v>
      </c>
      <c r="AP432" s="733" t="str">
        <f t="shared" si="348"/>
        <v>1+21.1367345643166i</v>
      </c>
      <c r="AQ432" s="734">
        <f t="shared" si="349"/>
        <v>21.160376840745915</v>
      </c>
      <c r="AR432" s="735">
        <f t="shared" si="350"/>
        <v>1.5235205809970982</v>
      </c>
      <c r="AS432" s="732" t="str">
        <f t="shared" si="351"/>
        <v>0.00145392802205808-5.39245383172216i</v>
      </c>
      <c r="AT432" s="337">
        <f t="shared" si="352"/>
        <v>5.3924540277281654</v>
      </c>
      <c r="AU432" s="730">
        <f t="shared" si="353"/>
        <v>-1.5705267040902435</v>
      </c>
      <c r="AV432" s="732" t="str">
        <f t="shared" si="354"/>
        <v>-0.174432783994962+0.0466237991148002i</v>
      </c>
      <c r="AW432" s="337">
        <f t="shared" si="355"/>
        <v>-14.867747428798774</v>
      </c>
      <c r="AX432" s="730">
        <f t="shared" si="356"/>
        <v>165.03534885515265</v>
      </c>
      <c r="AY432" s="360">
        <f t="shared" si="357"/>
        <v>-14.964651144847352</v>
      </c>
      <c r="BB432" s="337">
        <f t="shared" si="358"/>
        <v>-25.364270973981068</v>
      </c>
      <c r="BC432" s="730">
        <f t="shared" si="359"/>
        <v>-89.984551756962475</v>
      </c>
      <c r="BD432" s="351"/>
      <c r="BE432" s="337">
        <f t="shared" si="320"/>
        <v>29.32824425299815</v>
      </c>
      <c r="BF432" s="730">
        <f t="shared" si="321"/>
        <v>-89.561815501473291</v>
      </c>
      <c r="BI432" s="351"/>
      <c r="BJ432" s="351"/>
      <c r="BL432" s="405">
        <f t="shared" si="322"/>
        <v>0</v>
      </c>
      <c r="BM432" s="405">
        <f t="shared" si="360"/>
        <v>0</v>
      </c>
      <c r="BN432" s="405">
        <f t="shared" si="323"/>
        <v>0</v>
      </c>
      <c r="BO432" s="405">
        <f t="shared" si="324"/>
        <v>0</v>
      </c>
    </row>
    <row r="433" spans="4:67" ht="13.5" thickBot="1" x14ac:dyDescent="0.25">
      <c r="D433" s="345">
        <v>43652</v>
      </c>
      <c r="E433" s="340" t="str">
        <f t="shared" si="311"/>
        <v>0.724082317276569i</v>
      </c>
      <c r="F433" s="728" t="str">
        <f t="shared" si="325"/>
        <v>0.005-0.0597703983262162i</v>
      </c>
      <c r="G433" s="337" t="str">
        <f t="shared" si="326"/>
        <v>0.005-0.0934870332794666i</v>
      </c>
      <c r="H433" s="338" t="str">
        <f t="shared" si="327"/>
        <v>0.0120338051094832-0.0921835354034942i</v>
      </c>
      <c r="I433" s="338" t="str">
        <f t="shared" si="328"/>
        <v>0.0220338051094832-0.0921835354034942i</v>
      </c>
      <c r="J433" s="337" t="str">
        <f t="shared" si="329"/>
        <v>0.00521321537777042-0.0364624364579472i</v>
      </c>
      <c r="K433" s="338" t="str">
        <f t="shared" si="312"/>
        <v>0.978827809955556-0.228561337524169i</v>
      </c>
      <c r="L433" s="732"/>
      <c r="M433" s="732" t="str">
        <f t="shared" si="313"/>
        <v>0.220502669422436-29.0841655832929i</v>
      </c>
      <c r="N433" s="337">
        <f t="shared" si="314"/>
        <v>0</v>
      </c>
      <c r="O433" s="730" t="str">
        <f t="shared" si="315"/>
        <v>-0.959876950196653-11.2621008232354i</v>
      </c>
      <c r="P433" s="731" t="str">
        <f t="shared" si="316"/>
        <v>-1.05933001160616-0.159662083841066i</v>
      </c>
      <c r="Q433" s="729" t="str">
        <f t="shared" si="317"/>
        <v>-1.04973124210419-0.0470410756087123i</v>
      </c>
      <c r="R433" s="730"/>
      <c r="S433" s="405" t="str">
        <f t="shared" si="330"/>
        <v>39.019223386707-8.16611240545472i</v>
      </c>
      <c r="T433" s="405" t="str">
        <f t="shared" si="331"/>
        <v>14.8051007778324-4.56213186691452i</v>
      </c>
      <c r="U433" s="405" t="str">
        <f t="shared" si="332"/>
        <v>-0.24239174708243-1.41968633747582i</v>
      </c>
      <c r="V433" s="731" t="str">
        <f t="shared" si="318"/>
        <v>6000</v>
      </c>
      <c r="W433" s="733" t="str">
        <f>IMSUM(COMPLEX(1,0),IMDIV(COMPLEX(0,2*PI()*D433),COMPLEX(2*PI()*'Stability Calculations'!EA_Pole1,0)))</f>
        <v>1+277016.341079293i</v>
      </c>
      <c r="X433" s="734">
        <f t="shared" si="333"/>
        <v>277016.34108109795</v>
      </c>
      <c r="Y433" s="735">
        <f t="shared" si="334"/>
        <v>1.5707927168995521</v>
      </c>
      <c r="Z433" s="340" t="str">
        <f>IMSUM(COMPLEX(1,0),IMDIV(COMPLEX(0,2*PI()*D433),COMPLEX(2*PI()*'Stability Calculations'!EA_Zero1,0)))</f>
        <v>1+2742.73605029003i</v>
      </c>
      <c r="AA433" s="734">
        <f t="shared" si="335"/>
        <v>2742.7362325897393</v>
      </c>
      <c r="AB433" s="735">
        <f t="shared" si="336"/>
        <v>1.5704317273812625</v>
      </c>
      <c r="AC433" s="733" t="str">
        <f>IMSUM(COMPLEX(1,0),IMDIV(COMPLEX(0,2*PI()*D433),COMPLEX(2*PI()*'Stability Calculations'!EA_Pole2,0)))</f>
        <v>1+27.6288312721311i</v>
      </c>
      <c r="AD433" s="734">
        <f t="shared" si="337"/>
        <v>27.646922386838824</v>
      </c>
      <c r="AE433" s="735">
        <f t="shared" si="338"/>
        <v>1.5346180439461927</v>
      </c>
      <c r="AF433" s="732" t="str">
        <f t="shared" si="339"/>
        <v>0.076945462416963-2.14735812111245i</v>
      </c>
      <c r="AG433" s="337">
        <f t="shared" si="340"/>
        <v>2.1487362575463167</v>
      </c>
      <c r="AH433" s="730">
        <f t="shared" si="341"/>
        <v>-1.5349790334644826</v>
      </c>
      <c r="AI433" s="731" t="str">
        <f t="shared" si="319"/>
        <v>10000</v>
      </c>
      <c r="AJ433" s="733" t="str">
        <f t="shared" si="342"/>
        <v>1+258255.4779481i</v>
      </c>
      <c r="AK433" s="734">
        <f t="shared" si="343"/>
        <v>258255.47795003603</v>
      </c>
      <c r="AL433" s="735">
        <f t="shared" si="344"/>
        <v>1.5707924546601875</v>
      </c>
      <c r="AM433" s="340" t="str">
        <f t="shared" si="345"/>
        <v>1+438.289220836347i</v>
      </c>
      <c r="AN433" s="734">
        <f t="shared" si="346"/>
        <v>438.29036163407943</v>
      </c>
      <c r="AO433" s="735">
        <f t="shared" si="347"/>
        <v>1.5685147323197537</v>
      </c>
      <c r="AP433" s="733" t="str">
        <f t="shared" si="348"/>
        <v>1+21.2577496561694i</v>
      </c>
      <c r="AQ433" s="734">
        <f t="shared" si="349"/>
        <v>21.281257492083736</v>
      </c>
      <c r="AR433" s="735">
        <f t="shared" si="350"/>
        <v>1.5237893126700779</v>
      </c>
      <c r="AS433" s="732" t="str">
        <f t="shared" si="351"/>
        <v>0.00143742143867988-5.36175593508482i</v>
      </c>
      <c r="AT433" s="337">
        <f t="shared" si="352"/>
        <v>5.3617561277624031</v>
      </c>
      <c r="AU433" s="730">
        <f t="shared" si="353"/>
        <v>-1.5705282389852973</v>
      </c>
      <c r="AV433" s="732" t="str">
        <f t="shared" si="354"/>
        <v>-0.172354768701275+0.0463723712139837i</v>
      </c>
      <c r="AW433" s="337">
        <f t="shared" si="355"/>
        <v>-14.968010805304788</v>
      </c>
      <c r="AX433" s="730">
        <f t="shared" si="356"/>
        <v>164.94107016899321</v>
      </c>
      <c r="AY433" s="360">
        <f t="shared" si="357"/>
        <v>-15.058929831006793</v>
      </c>
      <c r="BB433" s="337">
        <f t="shared" si="358"/>
        <v>-25.413858864040343</v>
      </c>
      <c r="BC433" s="730">
        <f t="shared" si="359"/>
        <v>-89.984639699971055</v>
      </c>
      <c r="BD433" s="351"/>
      <c r="BE433" s="337">
        <f t="shared" si="320"/>
        <v>29.273381794466072</v>
      </c>
      <c r="BF433" s="730">
        <f t="shared" si="321"/>
        <v>-89.565618266141612</v>
      </c>
      <c r="BI433" s="351"/>
      <c r="BJ433" s="351"/>
      <c r="BL433" s="405">
        <f t="shared" si="322"/>
        <v>0</v>
      </c>
      <c r="BM433" s="405">
        <f t="shared" si="360"/>
        <v>0</v>
      </c>
      <c r="BN433" s="405">
        <f t="shared" si="323"/>
        <v>0</v>
      </c>
      <c r="BO433" s="405">
        <f t="shared" si="324"/>
        <v>0</v>
      </c>
    </row>
    <row r="434" spans="4:67" ht="13.5" thickBot="1" x14ac:dyDescent="0.25">
      <c r="D434" s="345">
        <v>43906</v>
      </c>
      <c r="E434" s="340" t="str">
        <f t="shared" si="311"/>
        <v>0.728295570016151i</v>
      </c>
      <c r="F434" s="728" t="str">
        <f t="shared" si="325"/>
        <v>0.005-0.059424621412472i</v>
      </c>
      <c r="G434" s="337" t="str">
        <f t="shared" si="326"/>
        <v>0.005-0.0929462027220718i</v>
      </c>
      <c r="H434" s="338" t="str">
        <f t="shared" si="327"/>
        <v>0.0119528904522602-0.0916564018003523i</v>
      </c>
      <c r="I434" s="338" t="str">
        <f t="shared" si="328"/>
        <v>0.0219528904522602-0.0916564018003523i</v>
      </c>
      <c r="J434" s="337" t="str">
        <f t="shared" si="329"/>
        <v>0.00520062923215388-0.0362524319617277i</v>
      </c>
      <c r="K434" s="338" t="str">
        <f t="shared" si="312"/>
        <v>0.978580701822222-0.229891278414189i</v>
      </c>
      <c r="L434" s="732"/>
      <c r="M434" s="732" t="str">
        <f t="shared" si="313"/>
        <v>0.217167598804828-28.8983005424506i</v>
      </c>
      <c r="N434" s="337">
        <f t="shared" si="314"/>
        <v>0</v>
      </c>
      <c r="O434" s="730" t="str">
        <f t="shared" si="315"/>
        <v>-0.954337721474623-11.1891125383911i</v>
      </c>
      <c r="P434" s="731" t="str">
        <f t="shared" si="316"/>
        <v>-1.04650426606213-0.158162200160602i</v>
      </c>
      <c r="Q434" s="729" t="str">
        <f t="shared" si="317"/>
        <v>-1.03696088884738-0.0462710747766909i</v>
      </c>
      <c r="R434" s="730"/>
      <c r="S434" s="405" t="str">
        <f t="shared" si="330"/>
        <v>39.0051216620223-8.22338108554365i</v>
      </c>
      <c r="T434" s="405" t="str">
        <f t="shared" si="331"/>
        <v>14.7963534196126-4.58330356463836i</v>
      </c>
      <c r="U434" s="405" t="str">
        <f t="shared" si="332"/>
        <v>-0.243229921575922-1.41096423962561i</v>
      </c>
      <c r="V434" s="731" t="str">
        <f t="shared" si="318"/>
        <v>6000</v>
      </c>
      <c r="W434" s="733" t="str">
        <f>IMSUM(COMPLEX(1,0),IMDIV(COMPLEX(0,2*PI()*D434),COMPLEX(2*PI()*'Stability Calculations'!EA_Pole1,0)))</f>
        <v>1+278628.229437997i</v>
      </c>
      <c r="X434" s="734">
        <f t="shared" si="333"/>
        <v>278628.22943979152</v>
      </c>
      <c r="Y434" s="735">
        <f t="shared" si="334"/>
        <v>1.5707927377831084</v>
      </c>
      <c r="Z434" s="340" t="str">
        <f>IMSUM(COMPLEX(1,0),IMDIV(COMPLEX(0,2*PI()*D434),COMPLEX(2*PI()*'Stability Calculations'!EA_Zero1,0)))</f>
        <v>1+2758.69534097027i</v>
      </c>
      <c r="AA434" s="734">
        <f t="shared" si="335"/>
        <v>2758.6955222153592</v>
      </c>
      <c r="AB434" s="735">
        <f t="shared" si="336"/>
        <v>1.5704338366201576</v>
      </c>
      <c r="AC434" s="733" t="str">
        <f>IMSUM(COMPLEX(1,0),IMDIV(COMPLEX(0,2*PI()*D434),COMPLEX(2*PI()*'Stability Calculations'!EA_Pole2,0)))</f>
        <v>1+27.7895964866258i</v>
      </c>
      <c r="AD434" s="734">
        <f t="shared" si="337"/>
        <v>27.807583010565391</v>
      </c>
      <c r="AE434" s="735">
        <f t="shared" si="338"/>
        <v>1.5348271574369343</v>
      </c>
      <c r="AF434" s="732" t="str">
        <f t="shared" si="339"/>
        <v>0.0760589132732682-2.13496737118369i</v>
      </c>
      <c r="AG434" s="337">
        <f t="shared" si="340"/>
        <v>2.1363217534602104</v>
      </c>
      <c r="AH434" s="730">
        <f t="shared" si="341"/>
        <v>-1.5351860585998849</v>
      </c>
      <c r="AI434" s="731" t="str">
        <f t="shared" si="319"/>
        <v>10000</v>
      </c>
      <c r="AJ434" s="733" t="str">
        <f t="shared" si="342"/>
        <v>1+259758.201566693i</v>
      </c>
      <c r="AK434" s="734">
        <f t="shared" si="343"/>
        <v>259758.20156861783</v>
      </c>
      <c r="AL434" s="735">
        <f t="shared" si="344"/>
        <v>1.570792477060821</v>
      </c>
      <c r="AM434" s="340" t="str">
        <f t="shared" si="345"/>
        <v>1+440.839515487049i</v>
      </c>
      <c r="AN434" s="734">
        <f t="shared" si="346"/>
        <v>440.8406496851851</v>
      </c>
      <c r="AO434" s="735">
        <f t="shared" si="347"/>
        <v>1.5685279314953309</v>
      </c>
      <c r="AP434" s="733" t="str">
        <f t="shared" si="348"/>
        <v>1+21.3814431504576i</v>
      </c>
      <c r="AQ434" s="734">
        <f t="shared" si="349"/>
        <v>21.404815140436281</v>
      </c>
      <c r="AR434" s="735">
        <f t="shared" si="350"/>
        <v>1.5240608553474146</v>
      </c>
      <c r="AS434" s="732" t="str">
        <f t="shared" si="351"/>
        <v>0.00142083833215868-5.33073771858943i</v>
      </c>
      <c r="AT434" s="337">
        <f t="shared" si="352"/>
        <v>5.3307379079423516</v>
      </c>
      <c r="AU434" s="730">
        <f t="shared" si="353"/>
        <v>-1.5705297898963435</v>
      </c>
      <c r="AV434" s="732" t="str">
        <f t="shared" si="354"/>
        <v>-0.170267179790015+0.0461177912710553i</v>
      </c>
      <c r="AW434" s="337">
        <f t="shared" si="355"/>
        <v>-15.069916286221396</v>
      </c>
      <c r="AX434" s="730">
        <f t="shared" si="356"/>
        <v>164.8447520928712</v>
      </c>
      <c r="AY434" s="360">
        <f t="shared" si="357"/>
        <v>-15.155247907128796</v>
      </c>
      <c r="BB434" s="337">
        <f t="shared" si="358"/>
        <v>-25.464253391078348</v>
      </c>
      <c r="BC434" s="730">
        <f t="shared" si="359"/>
        <v>-89.984728560628398</v>
      </c>
      <c r="BD434" s="351"/>
      <c r="BE434" s="337">
        <f t="shared" si="320"/>
        <v>29.217691323252609</v>
      </c>
      <c r="BF434" s="730">
        <f t="shared" si="321"/>
        <v>-89.569436527296091</v>
      </c>
      <c r="BI434" s="351"/>
      <c r="BJ434" s="351"/>
      <c r="BL434" s="405">
        <f t="shared" si="322"/>
        <v>0</v>
      </c>
      <c r="BM434" s="405">
        <f t="shared" si="360"/>
        <v>0</v>
      </c>
      <c r="BN434" s="405">
        <f t="shared" si="323"/>
        <v>0</v>
      </c>
      <c r="BO434" s="405">
        <f t="shared" si="324"/>
        <v>0</v>
      </c>
    </row>
    <row r="435" spans="4:67" ht="13.5" thickBot="1" x14ac:dyDescent="0.25">
      <c r="D435" s="345">
        <v>44160</v>
      </c>
      <c r="E435" s="340" t="str">
        <f t="shared" si="311"/>
        <v>0.732508822755733i</v>
      </c>
      <c r="F435" s="728" t="str">
        <f t="shared" si="325"/>
        <v>0.005-0.0590828221860504i</v>
      </c>
      <c r="G435" s="337" t="str">
        <f t="shared" si="326"/>
        <v>0.005-0.0924115936756172i</v>
      </c>
      <c r="H435" s="338" t="str">
        <f t="shared" si="327"/>
        <v>0.011873357401583-0.091135227633485i</v>
      </c>
      <c r="I435" s="338" t="str">
        <f t="shared" si="328"/>
        <v>0.021873357401583-0.091135227633485i</v>
      </c>
      <c r="J435" s="337" t="str">
        <f t="shared" si="329"/>
        <v>0.00518825772333615-0.0360448399692451i</v>
      </c>
      <c r="K435" s="338" t="str">
        <f t="shared" si="312"/>
        <v>0.97833216-0.231221219304209i</v>
      </c>
      <c r="L435" s="732"/>
      <c r="M435" s="732" t="str">
        <f t="shared" si="313"/>
        <v>0.21390951977134-28.7148950650229i</v>
      </c>
      <c r="N435" s="337">
        <f t="shared" si="314"/>
        <v>0</v>
      </c>
      <c r="O435" s="730" t="str">
        <f t="shared" si="315"/>
        <v>-0.94889182813337-11.1170900194242i</v>
      </c>
      <c r="P435" s="731" t="str">
        <f t="shared" si="316"/>
        <v>-1.03391397963437-0.156690610503948i</v>
      </c>
      <c r="Q435" s="729" t="str">
        <f t="shared" si="317"/>
        <v>-1.02442506135304-0.0455197103097059i</v>
      </c>
      <c r="R435" s="730"/>
      <c r="S435" s="405" t="str">
        <f t="shared" si="330"/>
        <v>38.9909238320171-8.28056754864896i</v>
      </c>
      <c r="T435" s="405" t="str">
        <f t="shared" si="331"/>
        <v>14.7875624847096-4.60448084299529i</v>
      </c>
      <c r="U435" s="405" t="str">
        <f t="shared" si="332"/>
        <v>-0.2440523952812-1.40233851988602i</v>
      </c>
      <c r="V435" s="731" t="str">
        <f t="shared" si="318"/>
        <v>6000</v>
      </c>
      <c r="W435" s="733" t="str">
        <f>IMSUM(COMPLEX(1,0),IMDIV(COMPLEX(0,2*PI()*D435),COMPLEX(2*PI()*'Stability Calculations'!EA_Pole1,0)))</f>
        <v>1+280240.117796702i</v>
      </c>
      <c r="X435" s="734">
        <f t="shared" si="333"/>
        <v>280240.11779848614</v>
      </c>
      <c r="Y435" s="735">
        <f t="shared" si="334"/>
        <v>1.5707927584264281</v>
      </c>
      <c r="Z435" s="340" t="str">
        <f>IMSUM(COMPLEX(1,0),IMDIV(COMPLEX(0,2*PI()*D435),COMPLEX(2*PI()*'Stability Calculations'!EA_Zero1,0)))</f>
        <v>1+2774.65463165051i</v>
      </c>
      <c r="AA435" s="734">
        <f t="shared" si="335"/>
        <v>2774.6548118531118</v>
      </c>
      <c r="AB435" s="735">
        <f t="shared" si="336"/>
        <v>1.5704359215951662</v>
      </c>
      <c r="AC435" s="733" t="str">
        <f>IMSUM(COMPLEX(1,0),IMDIV(COMPLEX(0,2*PI()*D435),COMPLEX(2*PI()*'Stability Calculations'!EA_Pole2,0)))</f>
        <v>1+27.9503617011205i</v>
      </c>
      <c r="AD435" s="734">
        <f t="shared" si="337"/>
        <v>27.968244836304326</v>
      </c>
      <c r="AE435" s="735">
        <f t="shared" si="338"/>
        <v>1.5350338684580029</v>
      </c>
      <c r="AF435" s="732" t="str">
        <f t="shared" si="339"/>
        <v>0.0751875918067824-2.12271861496222i</v>
      </c>
      <c r="AG435" s="337">
        <f t="shared" si="340"/>
        <v>2.1240497857321587</v>
      </c>
      <c r="AH435" s="730">
        <f t="shared" si="341"/>
        <v>-1.5353907052892648</v>
      </c>
      <c r="AI435" s="731" t="str">
        <f t="shared" si="319"/>
        <v>10000</v>
      </c>
      <c r="AJ435" s="733" t="str">
        <f t="shared" si="342"/>
        <v>1+261260.925185287i</v>
      </c>
      <c r="AK435" s="734">
        <f t="shared" si="343"/>
        <v>261260.9251872008</v>
      </c>
      <c r="AL435" s="735">
        <f t="shared" si="344"/>
        <v>1.5707924992037661</v>
      </c>
      <c r="AM435" s="340" t="str">
        <f t="shared" si="345"/>
        <v>1+443.389810137751i</v>
      </c>
      <c r="AN435" s="734">
        <f t="shared" si="346"/>
        <v>443.39093781220976</v>
      </c>
      <c r="AO435" s="735">
        <f t="shared" si="347"/>
        <v>1.5685409788333426</v>
      </c>
      <c r="AP435" s="733" t="str">
        <f t="shared" si="348"/>
        <v>1+21.5051366447458i</v>
      </c>
      <c r="AQ435" s="734">
        <f t="shared" si="349"/>
        <v>21.528374348965336</v>
      </c>
      <c r="AR435" s="735">
        <f t="shared" si="350"/>
        <v>1.5243292810790188</v>
      </c>
      <c r="AS435" s="732" t="str">
        <f t="shared" si="351"/>
        <v>0.00140454055059125-5.30007632389297i</v>
      </c>
      <c r="AT435" s="337">
        <f t="shared" si="352"/>
        <v>5.3000765099972833</v>
      </c>
      <c r="AU435" s="730">
        <f t="shared" si="353"/>
        <v>-1.5705313229662949</v>
      </c>
      <c r="AV435" s="732" t="str">
        <f t="shared" si="354"/>
        <v>-0.168215568701361+0.0458656193088004i</v>
      </c>
      <c r="AW435" s="337">
        <f t="shared" si="355"/>
        <v>-15.17124522241393</v>
      </c>
      <c r="AX435" s="730">
        <f t="shared" si="356"/>
        <v>164.74848089306064</v>
      </c>
      <c r="AY435" s="360">
        <f t="shared" si="357"/>
        <v>-15.251519106939355</v>
      </c>
      <c r="BB435" s="337">
        <f t="shared" si="358"/>
        <v>-25.514357220701974</v>
      </c>
      <c r="BC435" s="730">
        <f t="shared" si="359"/>
        <v>-89.984816399066318</v>
      </c>
      <c r="BD435" s="351"/>
      <c r="BE435" s="337">
        <f t="shared" si="320"/>
        <v>29.162385671451226</v>
      </c>
      <c r="BF435" s="730">
        <f t="shared" si="321"/>
        <v>-89.573187157851947</v>
      </c>
      <c r="BI435" s="351"/>
      <c r="BJ435" s="351"/>
      <c r="BL435" s="405">
        <f t="shared" si="322"/>
        <v>0</v>
      </c>
      <c r="BM435" s="405">
        <f t="shared" si="360"/>
        <v>0</v>
      </c>
      <c r="BN435" s="405">
        <f t="shared" si="323"/>
        <v>0</v>
      </c>
      <c r="BO435" s="405">
        <f t="shared" si="324"/>
        <v>0</v>
      </c>
    </row>
    <row r="436" spans="4:67" ht="13.5" thickBot="1" x14ac:dyDescent="0.25">
      <c r="D436" s="345">
        <v>44414</v>
      </c>
      <c r="E436" s="340" t="str">
        <f t="shared" si="311"/>
        <v>0.736722075495316i</v>
      </c>
      <c r="F436" s="728" t="str">
        <f t="shared" si="325"/>
        <v>0.005-0.0587449324027557i</v>
      </c>
      <c r="G436" s="337" t="str">
        <f t="shared" si="326"/>
        <v>0.005-0.0918830993991818i</v>
      </c>
      <c r="H436" s="338" t="str">
        <f t="shared" si="327"/>
        <v>0.011795174740214-0.0906199130062093i</v>
      </c>
      <c r="I436" s="338" t="str">
        <f t="shared" si="328"/>
        <v>0.021795174740214-0.0906199130062093i</v>
      </c>
      <c r="J436" s="337" t="str">
        <f t="shared" si="329"/>
        <v>0.00517609595386352-0.0358396192296188i</v>
      </c>
      <c r="K436" s="338" t="str">
        <f t="shared" si="312"/>
        <v>0.978082184488889-0.232551160194228i</v>
      </c>
      <c r="L436" s="732"/>
      <c r="M436" s="732" t="str">
        <f t="shared" si="313"/>
        <v>0.210726061359432-28.5338990623915i</v>
      </c>
      <c r="N436" s="337">
        <f t="shared" si="314"/>
        <v>0</v>
      </c>
      <c r="O436" s="730" t="str">
        <f t="shared" si="315"/>
        <v>-0.943537135525108-11.0460135004508i</v>
      </c>
      <c r="P436" s="731" t="str">
        <f t="shared" si="316"/>
        <v>-1.02155333921891-0.155246541285674i</v>
      </c>
      <c r="Q436" s="729" t="str">
        <f t="shared" si="317"/>
        <v>-1.01211796786366-0.0447864062811665i</v>
      </c>
      <c r="R436" s="730"/>
      <c r="S436" s="405" t="str">
        <f t="shared" si="330"/>
        <v>38.9766301064728-8.33767269963115i</v>
      </c>
      <c r="T436" s="405" t="str">
        <f t="shared" si="331"/>
        <v>14.7787279206821-4.62566317920921i</v>
      </c>
      <c r="U436" s="405" t="str">
        <f t="shared" si="332"/>
        <v>-0.24485951663344-1.39380754400279i</v>
      </c>
      <c r="V436" s="731" t="str">
        <f t="shared" si="318"/>
        <v>6000</v>
      </c>
      <c r="W436" s="733" t="str">
        <f>IMSUM(COMPLEX(1,0),IMDIV(COMPLEX(0,2*PI()*D436),COMPLEX(2*PI()*'Stability Calculations'!EA_Pole1,0)))</f>
        <v>1+281852.006155405i</v>
      </c>
      <c r="X436" s="734">
        <f t="shared" si="333"/>
        <v>281852.00615717901</v>
      </c>
      <c r="Y436" s="735">
        <f t="shared" si="334"/>
        <v>1.5707927788336327</v>
      </c>
      <c r="Z436" s="340" t="str">
        <f>IMSUM(COMPLEX(1,0),IMDIV(COMPLEX(0,2*PI()*D436),COMPLEX(2*PI()*'Stability Calculations'!EA_Zero1,0)))</f>
        <v>1+2790.61392233074i</v>
      </c>
      <c r="AA436" s="734">
        <f t="shared" si="335"/>
        <v>2790.6141015027779</v>
      </c>
      <c r="AB436" s="735">
        <f t="shared" si="336"/>
        <v>1.5704379827225783</v>
      </c>
      <c r="AC436" s="733" t="str">
        <f>IMSUM(COMPLEX(1,0),IMDIV(COMPLEX(0,2*PI()*D436),COMPLEX(2*PI()*'Stability Calculations'!EA_Pole2,0)))</f>
        <v>1+28.1111269156151i</v>
      </c>
      <c r="AD436" s="734">
        <f t="shared" si="337"/>
        <v>28.128907843459185</v>
      </c>
      <c r="AE436" s="735">
        <f t="shared" si="338"/>
        <v>1.5352382181579138</v>
      </c>
      <c r="AF436" s="732" t="str">
        <f t="shared" si="339"/>
        <v>0.0743311514082072-2.11060942862714i</v>
      </c>
      <c r="AG436" s="337">
        <f t="shared" si="340"/>
        <v>2.1119179151376724</v>
      </c>
      <c r="AH436" s="730">
        <f t="shared" si="341"/>
        <v>-1.5355930142689682</v>
      </c>
      <c r="AI436" s="731" t="str">
        <f t="shared" si="319"/>
        <v>10000</v>
      </c>
      <c r="AJ436" s="733" t="str">
        <f t="shared" si="342"/>
        <v>1+262763.648803879i</v>
      </c>
      <c r="AK436" s="734">
        <f t="shared" si="343"/>
        <v>262763.64880578185</v>
      </c>
      <c r="AL436" s="735">
        <f t="shared" si="344"/>
        <v>1.5707925210934439</v>
      </c>
      <c r="AM436" s="340" t="str">
        <f t="shared" si="345"/>
        <v>1+445.940104788452i</v>
      </c>
      <c r="AN436" s="734">
        <f t="shared" si="346"/>
        <v>445.94122601384987</v>
      </c>
      <c r="AO436" s="735">
        <f t="shared" si="347"/>
        <v>1.568553876938811</v>
      </c>
      <c r="AP436" s="733" t="str">
        <f t="shared" si="348"/>
        <v>1+21.6288301390339i</v>
      </c>
      <c r="AQ436" s="734">
        <f t="shared" si="349"/>
        <v>21.651935090960833</v>
      </c>
      <c r="AR436" s="735">
        <f t="shared" si="350"/>
        <v>1.524594643188143</v>
      </c>
      <c r="AS436" s="732" t="str">
        <f t="shared" si="351"/>
        <v>0.00138852158567858-5.2697656290939i</v>
      </c>
      <c r="AT436" s="337">
        <f t="shared" si="352"/>
        <v>5.2697658120234925</v>
      </c>
      <c r="AU436" s="730">
        <f t="shared" si="353"/>
        <v>-1.5705328385012467</v>
      </c>
      <c r="AV436" s="732" t="str">
        <f t="shared" si="354"/>
        <v>-0.16619911388488+0.0456158243217823i</v>
      </c>
      <c r="AW436" s="337">
        <f t="shared" si="355"/>
        <v>-15.272004321384316</v>
      </c>
      <c r="AX436" s="730">
        <f t="shared" si="356"/>
        <v>164.65225568220902</v>
      </c>
      <c r="AY436" s="360">
        <f t="shared" si="357"/>
        <v>-15.347744317790983</v>
      </c>
      <c r="BB436" s="337">
        <f t="shared" si="358"/>
        <v>-25.564173687421963</v>
      </c>
      <c r="BC436" s="730">
        <f t="shared" si="359"/>
        <v>-89.984903232822759</v>
      </c>
      <c r="BD436" s="351"/>
      <c r="BE436" s="337">
        <f t="shared" si="320"/>
        <v>29.10745926944216</v>
      </c>
      <c r="BF436" s="730">
        <f t="shared" si="321"/>
        <v>-89.57687190136842</v>
      </c>
      <c r="BI436" s="351"/>
      <c r="BJ436" s="351"/>
      <c r="BL436" s="405">
        <f t="shared" si="322"/>
        <v>0</v>
      </c>
      <c r="BM436" s="405">
        <f t="shared" si="360"/>
        <v>0</v>
      </c>
      <c r="BN436" s="405">
        <f t="shared" si="323"/>
        <v>0</v>
      </c>
      <c r="BO436" s="405">
        <f t="shared" si="324"/>
        <v>0</v>
      </c>
    </row>
    <row r="437" spans="4:67" ht="13.5" thickBot="1" x14ac:dyDescent="0.25">
      <c r="D437" s="345">
        <v>44668</v>
      </c>
      <c r="E437" s="340" t="str">
        <f t="shared" si="311"/>
        <v>0.740935328234898i</v>
      </c>
      <c r="F437" s="728" t="str">
        <f t="shared" si="325"/>
        <v>0.005-0.0584108853706453i</v>
      </c>
      <c r="G437" s="337" t="str">
        <f t="shared" si="326"/>
        <v>0.005-0.0913606155797275i</v>
      </c>
      <c r="H437" s="338" t="str">
        <f t="shared" si="327"/>
        <v>0.0117183121259998-0.0901103602286067i</v>
      </c>
      <c r="I437" s="338" t="str">
        <f t="shared" si="328"/>
        <v>0.0217183121259998-0.0901103602286067i</v>
      </c>
      <c r="J437" s="337" t="str">
        <f t="shared" si="329"/>
        <v>0.00516413916490813-0.035636729426187i</v>
      </c>
      <c r="K437" s="338" t="str">
        <f t="shared" si="312"/>
        <v>0.977830775288889-0.233881101084248i</v>
      </c>
      <c r="L437" s="732"/>
      <c r="M437" s="732" t="str">
        <f t="shared" si="313"/>
        <v>0.207614943115829-28.3552638291361i</v>
      </c>
      <c r="N437" s="337">
        <f t="shared" si="314"/>
        <v>0</v>
      </c>
      <c r="O437" s="730" t="str">
        <f t="shared" si="315"/>
        <v>-0.938271568891628-10.975863764464i</v>
      </c>
      <c r="P437" s="731" t="str">
        <f t="shared" si="316"/>
        <v>-1.00941671242811-0.153829246023997i</v>
      </c>
      <c r="Q437" s="729" t="str">
        <f t="shared" si="317"/>
        <v>-1.00003399673919-0.044070608379356i</v>
      </c>
      <c r="R437" s="730"/>
      <c r="S437" s="405" t="str">
        <f t="shared" si="330"/>
        <v>38.962240688963-8.39469741947794i</v>
      </c>
      <c r="T437" s="405" t="str">
        <f t="shared" si="331"/>
        <v>14.7698496778226-4.64685005978161i</v>
      </c>
      <c r="U437" s="405" t="str">
        <f t="shared" si="332"/>
        <v>-0.245651624236421-1.38536971439421i</v>
      </c>
      <c r="V437" s="731" t="str">
        <f t="shared" si="318"/>
        <v>6000</v>
      </c>
      <c r="W437" s="733" t="str">
        <f>IMSUM(COMPLEX(1,0),IMDIV(COMPLEX(0,2*PI()*D437),COMPLEX(2*PI()*'Stability Calculations'!EA_Pole1,0)))</f>
        <v>1+283463.894514109i</v>
      </c>
      <c r="X437" s="734">
        <f t="shared" si="333"/>
        <v>283463.89451587287</v>
      </c>
      <c r="Y437" s="735">
        <f t="shared" si="334"/>
        <v>1.5707927990087505</v>
      </c>
      <c r="Z437" s="340" t="str">
        <f>IMSUM(COMPLEX(1,0),IMDIV(COMPLEX(0,2*PI()*D437),COMPLEX(2*PI()*'Stability Calculations'!EA_Zero1,0)))</f>
        <v>1+2806.57321301098i</v>
      </c>
      <c r="AA437" s="734">
        <f t="shared" si="335"/>
        <v>2806.5733911641746</v>
      </c>
      <c r="AB437" s="735">
        <f t="shared" si="336"/>
        <v>1.5704400204092139</v>
      </c>
      <c r="AC437" s="733" t="str">
        <f>IMSUM(COMPLEX(1,0),IMDIV(COMPLEX(0,2*PI()*D437),COMPLEX(2*PI()*'Stability Calculations'!EA_Pole2,0)))</f>
        <v>1+28.2718921301098i</v>
      </c>
      <c r="AD437" s="734">
        <f t="shared" si="337"/>
        <v>28.289572011901566</v>
      </c>
      <c r="AE437" s="735">
        <f t="shared" si="338"/>
        <v>1.5354402467512072</v>
      </c>
      <c r="AF437" s="732" t="str">
        <f t="shared" si="339"/>
        <v>0.0734892552701454-2.09863744314205i</v>
      </c>
      <c r="AG437" s="337">
        <f t="shared" si="340"/>
        <v>2.0999237577583525</v>
      </c>
      <c r="AH437" s="730">
        <f t="shared" si="341"/>
        <v>-1.5357930253507437</v>
      </c>
      <c r="AI437" s="731" t="str">
        <f t="shared" si="319"/>
        <v>10000</v>
      </c>
      <c r="AJ437" s="733" t="str">
        <f t="shared" si="342"/>
        <v>1+264266.372422472i</v>
      </c>
      <c r="AK437" s="734">
        <f t="shared" si="343"/>
        <v>264266.37242436403</v>
      </c>
      <c r="AL437" s="735">
        <f t="shared" si="344"/>
        <v>1.5707925427341747</v>
      </c>
      <c r="AM437" s="340" t="str">
        <f t="shared" si="345"/>
        <v>1+448.490399439154i</v>
      </c>
      <c r="AN437" s="734">
        <f t="shared" si="346"/>
        <v>448.49151428883454</v>
      </c>
      <c r="AO437" s="735">
        <f t="shared" si="347"/>
        <v>1.5685666283575055</v>
      </c>
      <c r="AP437" s="733" t="str">
        <f t="shared" si="348"/>
        <v>1+21.7525236333221i</v>
      </c>
      <c r="AQ437" s="734">
        <f t="shared" si="349"/>
        <v>21.775497340318925</v>
      </c>
      <c r="AR437" s="735">
        <f t="shared" si="350"/>
        <v>1.5248569937894847</v>
      </c>
      <c r="AS437" s="732" t="str">
        <f t="shared" si="351"/>
        <v>0.00137277511363788-5.23979965153688i</v>
      </c>
      <c r="AT437" s="337">
        <f t="shared" si="352"/>
        <v>5.2397998313635528</v>
      </c>
      <c r="AU437" s="730">
        <f t="shared" si="353"/>
        <v>-1.5705343368003313</v>
      </c>
      <c r="AV437" s="732" t="str">
        <f t="shared" si="354"/>
        <v>-0.164217017116642+0.0453683757151311i</v>
      </c>
      <c r="AW437" s="337">
        <f t="shared" si="355"/>
        <v>-15.372200175649262</v>
      </c>
      <c r="AX437" s="730">
        <f t="shared" si="356"/>
        <v>164.55607559367849</v>
      </c>
      <c r="AY437" s="360">
        <f t="shared" si="357"/>
        <v>-15.443924406321514</v>
      </c>
      <c r="BB437" s="337">
        <f t="shared" si="358"/>
        <v>-25.613706068702232</v>
      </c>
      <c r="BC437" s="730">
        <f t="shared" si="359"/>
        <v>-89.984989079036751</v>
      </c>
      <c r="BD437" s="351"/>
      <c r="BE437" s="337">
        <f t="shared" si="320"/>
        <v>29.052906671125225</v>
      </c>
      <c r="BF437" s="730">
        <f t="shared" si="321"/>
        <v>-89.580492443693657</v>
      </c>
      <c r="BI437" s="351"/>
      <c r="BJ437" s="351"/>
      <c r="BL437" s="405">
        <f t="shared" si="322"/>
        <v>0</v>
      </c>
      <c r="BM437" s="405">
        <f t="shared" si="360"/>
        <v>0</v>
      </c>
      <c r="BN437" s="405">
        <f t="shared" si="323"/>
        <v>0</v>
      </c>
      <c r="BO437" s="405">
        <f t="shared" si="324"/>
        <v>0</v>
      </c>
    </row>
    <row r="438" spans="4:67" ht="13.5" thickBot="1" x14ac:dyDescent="0.25">
      <c r="D438" s="345">
        <v>44928.25</v>
      </c>
      <c r="E438" s="340" t="str">
        <f t="shared" si="311"/>
        <v>0.745252253532049i</v>
      </c>
      <c r="F438" s="728" t="str">
        <f t="shared" si="325"/>
        <v>0.005-0.0580725362714102i</v>
      </c>
      <c r="G438" s="337" t="str">
        <f t="shared" si="326"/>
        <v>0.005-0.0908314028860516i</v>
      </c>
      <c r="H438" s="338" t="str">
        <f t="shared" si="327"/>
        <v>0.0116408965367477-0.0895941456055217i</v>
      </c>
      <c r="I438" s="338" t="str">
        <f t="shared" si="328"/>
        <v>0.0216408965367477-0.0895941456055217i</v>
      </c>
      <c r="J438" s="337" t="str">
        <f t="shared" si="329"/>
        <v>0.00515209593642437-0.0354312237262096i</v>
      </c>
      <c r="K438" s="338" t="str">
        <f t="shared" si="312"/>
        <v>0.977571692799306-0.235243766897743i</v>
      </c>
      <c r="L438" s="732"/>
      <c r="M438" s="732" t="str">
        <f t="shared" si="313"/>
        <v>0.204500010054218-28.1746321348067i</v>
      </c>
      <c r="N438" s="337">
        <f t="shared" si="314"/>
        <v>0</v>
      </c>
      <c r="O438" s="730" t="str">
        <f t="shared" si="315"/>
        <v>-0.932966770004607-10.9049296352583i</v>
      </c>
      <c r="P438" s="731" t="str">
        <f t="shared" si="316"/>
        <v>-0.997208090901193-0.152404093340232i</v>
      </c>
      <c r="Q438" s="729" t="str">
        <f t="shared" si="317"/>
        <v>-0.987878423201146-0.0433547969876487i</v>
      </c>
      <c r="R438" s="730"/>
      <c r="S438" s="405" t="str">
        <f t="shared" si="330"/>
        <v>38.947398154844-8.45304277932745i</v>
      </c>
      <c r="T438" s="405" t="str">
        <f t="shared" si="331"/>
        <v>14.7607076208546-4.66856245705431i</v>
      </c>
      <c r="U438" s="405" t="str">
        <f t="shared" si="332"/>
        <v>-0.246447994322245-1.37681924036129i</v>
      </c>
      <c r="V438" s="731" t="str">
        <f t="shared" si="318"/>
        <v>6000</v>
      </c>
      <c r="W438" s="733" t="str">
        <f>IMSUM(COMPLEX(1,0),IMDIV(COMPLEX(0,2*PI()*D438),COMPLEX(2*PI()*'Stability Calculations'!EA_Pole1,0)))</f>
        <v>1+285115.445480064i</v>
      </c>
      <c r="X438" s="734">
        <f t="shared" si="333"/>
        <v>285115.44548181765</v>
      </c>
      <c r="Y438" s="735">
        <f t="shared" si="334"/>
        <v>1.570792819443696</v>
      </c>
      <c r="Z438" s="340" t="str">
        <f>IMSUM(COMPLEX(1,0),IMDIV(COMPLEX(0,2*PI()*D438),COMPLEX(2*PI()*'Stability Calculations'!EA_Zero1,0)))</f>
        <v>1+2822.92520277291i</v>
      </c>
      <c r="AA438" s="734">
        <f t="shared" si="335"/>
        <v>2822.92537989414</v>
      </c>
      <c r="AB438" s="735">
        <f t="shared" si="336"/>
        <v>1.5704420843384588</v>
      </c>
      <c r="AC438" s="733" t="str">
        <f>IMSUM(COMPLEX(1,0),IMDIV(COMPLEX(0,2*PI()*D438),COMPLEX(2*PI()*'Stability Calculations'!EA_Pole2,0)))</f>
        <v>1+28.4366131815753i</v>
      </c>
      <c r="AD438" s="734">
        <f t="shared" si="337"/>
        <v>28.454190714876113</v>
      </c>
      <c r="AE438" s="735">
        <f t="shared" si="338"/>
        <v>1.5356448801387423</v>
      </c>
      <c r="AF438" s="732" t="str">
        <f t="shared" si="339"/>
        <v>0.072641386425534-2.08651075646222i</v>
      </c>
      <c r="AG438" s="337">
        <f t="shared" si="340"/>
        <v>2.0877748700121783</v>
      </c>
      <c r="AH438" s="730">
        <f t="shared" si="341"/>
        <v>-1.5359956152439795</v>
      </c>
      <c r="AI438" s="731" t="str">
        <f t="shared" si="319"/>
        <v>10000</v>
      </c>
      <c r="AJ438" s="733" t="str">
        <f t="shared" si="342"/>
        <v>1+265806.072508058i</v>
      </c>
      <c r="AK438" s="734">
        <f t="shared" si="343"/>
        <v>265806.07250993908</v>
      </c>
      <c r="AL438" s="735">
        <f t="shared" si="344"/>
        <v>1.5707925646536085</v>
      </c>
      <c r="AM438" s="340" t="str">
        <f t="shared" si="345"/>
        <v>1+451.103447403111i</v>
      </c>
      <c r="AN438" s="734">
        <f t="shared" si="346"/>
        <v>451.10455579496346</v>
      </c>
      <c r="AO438" s="735">
        <f t="shared" si="347"/>
        <v>1.5685795439977042</v>
      </c>
      <c r="AP438" s="733" t="str">
        <f t="shared" si="348"/>
        <v>1+21.8792607667413i</v>
      </c>
      <c r="AQ438" s="734">
        <f t="shared" si="349"/>
        <v>21.902101536132669</v>
      </c>
      <c r="AR438" s="735">
        <f t="shared" si="350"/>
        <v>1.5251227295573968</v>
      </c>
      <c r="AS438" s="732" t="str">
        <f t="shared" si="351"/>
        <v>0.00135691738675879-5.20944775326051i</v>
      </c>
      <c r="AT438" s="337">
        <f t="shared" si="352"/>
        <v>5.2094479299802749</v>
      </c>
      <c r="AU438" s="730">
        <f t="shared" si="353"/>
        <v>-1.5705358543954522</v>
      </c>
      <c r="AV438" s="732" t="str">
        <f t="shared" si="354"/>
        <v>-0.162220973857584+0.0451172404450334i</v>
      </c>
      <c r="AW438" s="337">
        <f t="shared" si="355"/>
        <v>-15.474284050522426</v>
      </c>
      <c r="AX438" s="730">
        <f t="shared" si="356"/>
        <v>164.45757478543405</v>
      </c>
      <c r="AY438" s="360">
        <f t="shared" si="357"/>
        <v>-15.542425214565952</v>
      </c>
      <c r="BB438" s="337">
        <f t="shared" si="358"/>
        <v>-25.664165970351334</v>
      </c>
      <c r="BC438" s="730">
        <f t="shared" si="359"/>
        <v>-89.98507603083219</v>
      </c>
      <c r="BD438" s="351"/>
      <c r="BE438" s="337">
        <f t="shared" si="320"/>
        <v>28.99739387998342</v>
      </c>
      <c r="BF438" s="730">
        <f t="shared" si="321"/>
        <v>-89.584137188550486</v>
      </c>
      <c r="BI438" s="351"/>
      <c r="BJ438" s="351"/>
      <c r="BL438" s="405">
        <f t="shared" si="322"/>
        <v>0</v>
      </c>
      <c r="BM438" s="405">
        <f t="shared" si="360"/>
        <v>0</v>
      </c>
      <c r="BN438" s="405">
        <f t="shared" si="323"/>
        <v>0</v>
      </c>
      <c r="BO438" s="405">
        <f t="shared" si="324"/>
        <v>0</v>
      </c>
    </row>
    <row r="439" spans="4:67" ht="13.5" thickBot="1" x14ac:dyDescent="0.25">
      <c r="D439" s="345">
        <v>45188.5</v>
      </c>
      <c r="E439" s="340" t="str">
        <f t="shared" si="311"/>
        <v>0.7495691788292i</v>
      </c>
      <c r="F439" s="728" t="str">
        <f t="shared" si="325"/>
        <v>0.005-0.0577380844182919i</v>
      </c>
      <c r="G439" s="337" t="str">
        <f t="shared" si="326"/>
        <v>0.005-0.0903082858850209i</v>
      </c>
      <c r="H439" s="338" t="str">
        <f t="shared" si="327"/>
        <v>0.0115648049570958-0.0890837790841789i</v>
      </c>
      <c r="I439" s="338" t="str">
        <f t="shared" si="328"/>
        <v>0.0215648049570958-0.0890837790841789i</v>
      </c>
      <c r="J439" s="337" t="str">
        <f t="shared" si="329"/>
        <v>0.00514025821161053-0.0352280822876956i</v>
      </c>
      <c r="K439" s="338" t="str">
        <f t="shared" si="312"/>
        <v>0.977311105197222-0.236606432711237i</v>
      </c>
      <c r="L439" s="732"/>
      <c r="M439" s="732" t="str">
        <f t="shared" si="313"/>
        <v>0.201456447819249-27.9963795428615i</v>
      </c>
      <c r="N439" s="337">
        <f t="shared" si="314"/>
        <v>0</v>
      </c>
      <c r="O439" s="730" t="str">
        <f t="shared" si="315"/>
        <v>-0.927751311641426-10.8349292988232i</v>
      </c>
      <c r="P439" s="731" t="str">
        <f t="shared" si="316"/>
        <v>-0.985223224133298-0.151005544161723i</v>
      </c>
      <c r="Q439" s="729" t="str">
        <f t="shared" si="317"/>
        <v>-0.975945711016883-0.0426562511734912i</v>
      </c>
      <c r="R439" s="730"/>
      <c r="S439" s="405" t="str">
        <f t="shared" si="330"/>
        <v>38.9324555751982-8.5113054995853i</v>
      </c>
      <c r="T439" s="405" t="str">
        <f t="shared" si="331"/>
        <v>14.7515196118516-4.69027856240879i</v>
      </c>
      <c r="U439" s="405" t="str">
        <f t="shared" si="332"/>
        <v>-0.247229292165047-1.36836327102682i</v>
      </c>
      <c r="V439" s="731" t="str">
        <f t="shared" si="318"/>
        <v>6000</v>
      </c>
      <c r="W439" s="733" t="str">
        <f>IMSUM(COMPLEX(1,0),IMDIV(COMPLEX(0,2*PI()*D439),COMPLEX(2*PI()*'Stability Calculations'!EA_Pole1,0)))</f>
        <v>1+286766.99644602i</v>
      </c>
      <c r="X439" s="734">
        <f t="shared" si="333"/>
        <v>286766.99644776358</v>
      </c>
      <c r="Y439" s="735">
        <f t="shared" si="334"/>
        <v>1.5707928396432635</v>
      </c>
      <c r="Z439" s="340" t="str">
        <f>IMSUM(COMPLEX(1,0),IMDIV(COMPLEX(0,2*PI()*D439),COMPLEX(2*PI()*'Stability Calculations'!EA_Zero1,0)))</f>
        <v>1+2839.27719253485i</v>
      </c>
      <c r="AA439" s="734">
        <f t="shared" si="335"/>
        <v>2839.2773686360024</v>
      </c>
      <c r="AB439" s="735">
        <f t="shared" si="336"/>
        <v>1.5704441244945082</v>
      </c>
      <c r="AC439" s="733" t="str">
        <f>IMSUM(COMPLEX(1,0),IMDIV(COMPLEX(0,2*PI()*D439),COMPLEX(2*PI()*'Stability Calculations'!EA_Pole2,0)))</f>
        <v>1+28.6013342330408i</v>
      </c>
      <c r="AD439" s="734">
        <f t="shared" si="337"/>
        <v>28.618810595657386</v>
      </c>
      <c r="AE439" s="735">
        <f t="shared" si="338"/>
        <v>1.5358471593680776</v>
      </c>
      <c r="AF439" s="732" t="str">
        <f t="shared" si="339"/>
        <v>0.071808100668864-2.0745232401461i</v>
      </c>
      <c r="AG439" s="337">
        <f t="shared" si="340"/>
        <v>2.075765660479993</v>
      </c>
      <c r="AH439" s="730">
        <f t="shared" si="341"/>
        <v>-1.5361958745168327</v>
      </c>
      <c r="AI439" s="731" t="str">
        <f t="shared" si="319"/>
        <v>10000</v>
      </c>
      <c r="AJ439" s="733" t="str">
        <f t="shared" si="342"/>
        <v>1+267345.772593644i</v>
      </c>
      <c r="AK439" s="734">
        <f t="shared" si="343"/>
        <v>267345.77259551425</v>
      </c>
      <c r="AL439" s="735">
        <f t="shared" si="344"/>
        <v>1.5707925863205652</v>
      </c>
      <c r="AM439" s="340" t="str">
        <f t="shared" si="345"/>
        <v>1+453.716495367069i</v>
      </c>
      <c r="AN439" s="734">
        <f t="shared" si="346"/>
        <v>453.71759737547711</v>
      </c>
      <c r="AO439" s="735">
        <f t="shared" si="347"/>
        <v>1.5685923108708961</v>
      </c>
      <c r="AP439" s="733" t="str">
        <f t="shared" si="348"/>
        <v>1+22.0059979001606i</v>
      </c>
      <c r="AQ439" s="734">
        <f t="shared" si="349"/>
        <v>22.028707260796597</v>
      </c>
      <c r="AR439" s="735">
        <f t="shared" si="350"/>
        <v>1.5253854108140563</v>
      </c>
      <c r="AS439" s="732" t="str">
        <f t="shared" si="351"/>
        <v>0.00134133285399948-5.17944546074344i</v>
      </c>
      <c r="AT439" s="337">
        <f t="shared" si="352"/>
        <v>5.1794456344274575</v>
      </c>
      <c r="AU439" s="730">
        <f t="shared" si="353"/>
        <v>-1.5705373545102805</v>
      </c>
      <c r="AV439" s="732" t="str">
        <f t="shared" si="354"/>
        <v>-0.160259375395739+0.0448685047334889i</v>
      </c>
      <c r="AW439" s="337">
        <f t="shared" si="355"/>
        <v>-15.575790274250554</v>
      </c>
      <c r="AX439" s="730">
        <f t="shared" si="356"/>
        <v>164.35911956951114</v>
      </c>
      <c r="AY439" s="360">
        <f t="shared" si="357"/>
        <v>-15.640880430488863</v>
      </c>
      <c r="BB439" s="337">
        <f t="shared" si="358"/>
        <v>-25.714334422056851</v>
      </c>
      <c r="BC439" s="730">
        <f t="shared" si="359"/>
        <v>-89.985161981080637</v>
      </c>
      <c r="BD439" s="351"/>
      <c r="BE439" s="337">
        <f t="shared" si="320"/>
        <v>28.942262321049171</v>
      </c>
      <c r="BF439" s="730">
        <f t="shared" si="321"/>
        <v>-89.587717941154096</v>
      </c>
      <c r="BI439" s="351"/>
      <c r="BJ439" s="351"/>
      <c r="BL439" s="405">
        <f t="shared" si="322"/>
        <v>0</v>
      </c>
      <c r="BM439" s="405">
        <f t="shared" si="360"/>
        <v>0</v>
      </c>
      <c r="BN439" s="405">
        <f t="shared" si="323"/>
        <v>0</v>
      </c>
      <c r="BO439" s="405">
        <f t="shared" si="324"/>
        <v>0</v>
      </c>
    </row>
    <row r="440" spans="4:67" ht="13.5" thickBot="1" x14ac:dyDescent="0.25">
      <c r="D440" s="345">
        <v>45448.75</v>
      </c>
      <c r="E440" s="340" t="str">
        <f t="shared" si="311"/>
        <v>0.753886104126351i</v>
      </c>
      <c r="F440" s="728" t="str">
        <f t="shared" si="325"/>
        <v>0.005-0.0574074628617065i</v>
      </c>
      <c r="G440" s="337" t="str">
        <f t="shared" si="326"/>
        <v>0.005-0.0897911598606177i</v>
      </c>
      <c r="H440" s="338" t="str">
        <f t="shared" si="327"/>
        <v>0.0114900074202762-0.0885791624043747i</v>
      </c>
      <c r="I440" s="338" t="str">
        <f t="shared" si="328"/>
        <v>0.0214900074202762-0.0885791624043747i</v>
      </c>
      <c r="J440" s="337" t="str">
        <f t="shared" si="329"/>
        <v>0.00512862129439803-0.0350272646262843i</v>
      </c>
      <c r="K440" s="338" t="str">
        <f t="shared" si="312"/>
        <v>0.977049012482639-0.237969098524732i</v>
      </c>
      <c r="L440" s="732"/>
      <c r="M440" s="732" t="str">
        <f t="shared" si="313"/>
        <v>0.198482073009263-27.8204578725389i</v>
      </c>
      <c r="N440" s="337">
        <f t="shared" si="314"/>
        <v>0</v>
      </c>
      <c r="O440" s="730" t="str">
        <f t="shared" si="315"/>
        <v>-0.922623145005937-10.7658437540185i</v>
      </c>
      <c r="P440" s="731" t="str">
        <f t="shared" si="316"/>
        <v>-0.973456600539622-0.149632876759876i</v>
      </c>
      <c r="Q440" s="729" t="str">
        <f t="shared" si="317"/>
        <v>-0.964230369089562-0.0419744392196909i</v>
      </c>
      <c r="R440" s="730"/>
      <c r="S440" s="405" t="str">
        <f t="shared" si="330"/>
        <v>38.917413150101-8.56948645410881i</v>
      </c>
      <c r="T440" s="405" t="str">
        <f t="shared" si="331"/>
        <v>14.7422856057422-4.71199785214441i</v>
      </c>
      <c r="U440" s="405" t="str">
        <f t="shared" si="332"/>
        <v>-0.247995851992355-1.36000020116818i</v>
      </c>
      <c r="V440" s="731" t="str">
        <f t="shared" si="318"/>
        <v>6000</v>
      </c>
      <c r="W440" s="733" t="str">
        <f>IMSUM(COMPLEX(1,0),IMDIV(COMPLEX(0,2*PI()*D440),COMPLEX(2*PI()*'Stability Calculations'!EA_Pole1,0)))</f>
        <v>1+288418.547411975i</v>
      </c>
      <c r="X440" s="734">
        <f t="shared" si="333"/>
        <v>288418.54741370858</v>
      </c>
      <c r="Y440" s="735">
        <f t="shared" si="334"/>
        <v>1.5707928596114962</v>
      </c>
      <c r="Z440" s="340" t="str">
        <f>IMSUM(COMPLEX(1,0),IMDIV(COMPLEX(0,2*PI()*D440),COMPLEX(2*PI()*'Stability Calculations'!EA_Zero1,0)))</f>
        <v>1+2855.62918229678i</v>
      </c>
      <c r="AA440" s="734">
        <f t="shared" si="335"/>
        <v>2855.6293573895368</v>
      </c>
      <c r="AB440" s="735">
        <f t="shared" si="336"/>
        <v>1.5704461412857547</v>
      </c>
      <c r="AC440" s="733" t="str">
        <f>IMSUM(COMPLEX(1,0),IMDIV(COMPLEX(0,2*PI()*D440),COMPLEX(2*PI()*'Stability Calculations'!EA_Pole2,0)))</f>
        <v>1+28.7660552845063i</v>
      </c>
      <c r="AD440" s="734">
        <f t="shared" si="337"/>
        <v>28.783431634036841</v>
      </c>
      <c r="AE440" s="735">
        <f t="shared" si="338"/>
        <v>1.5360471248149172</v>
      </c>
      <c r="AF440" s="732" t="str">
        <f t="shared" si="339"/>
        <v>0.0709890656078952-2.06267251498414i</v>
      </c>
      <c r="AG440" s="337">
        <f t="shared" si="340"/>
        <v>2.0638937355171363</v>
      </c>
      <c r="AH440" s="730">
        <f t="shared" si="341"/>
        <v>-1.5363938431406587</v>
      </c>
      <c r="AI440" s="731" t="str">
        <f t="shared" si="319"/>
        <v>10000</v>
      </c>
      <c r="AJ440" s="733" t="str">
        <f t="shared" si="342"/>
        <v>1+268885.472679229i</v>
      </c>
      <c r="AK440" s="734">
        <f t="shared" si="343"/>
        <v>268885.47268108855</v>
      </c>
      <c r="AL440" s="735">
        <f t="shared" si="344"/>
        <v>1.5707926077393819</v>
      </c>
      <c r="AM440" s="340" t="str">
        <f t="shared" si="345"/>
        <v>1+456.329543331025i</v>
      </c>
      <c r="AN440" s="734">
        <f t="shared" si="346"/>
        <v>456.33063902909458</v>
      </c>
      <c r="AO440" s="735">
        <f t="shared" si="347"/>
        <v>1.5686049315326873</v>
      </c>
      <c r="AP440" s="733" t="str">
        <f t="shared" si="348"/>
        <v>1+22.1327350335799i</v>
      </c>
      <c r="AQ440" s="734">
        <f t="shared" si="349"/>
        <v>22.155314488100931</v>
      </c>
      <c r="AR440" s="735">
        <f t="shared" si="350"/>
        <v>1.5256450898881935</v>
      </c>
      <c r="AS440" s="732" t="str">
        <f t="shared" si="351"/>
        <v>0.00132601527582163-5.14978676821828i</v>
      </c>
      <c r="AT440" s="337">
        <f t="shared" si="352"/>
        <v>5.1497869389356863</v>
      </c>
      <c r="AU440" s="730">
        <f t="shared" si="353"/>
        <v>-1.5705388374451046</v>
      </c>
      <c r="AV440" s="732" t="str">
        <f t="shared" si="354"/>
        <v>-0.158331434241889+0.0446221370006502i</v>
      </c>
      <c r="AW440" s="337">
        <f t="shared" si="355"/>
        <v>-15.676725579410499</v>
      </c>
      <c r="AX440" s="730">
        <f t="shared" si="356"/>
        <v>164.26070907751406</v>
      </c>
      <c r="AY440" s="360">
        <f t="shared" si="357"/>
        <v>-15.739290922485935</v>
      </c>
      <c r="BB440" s="337">
        <f t="shared" si="358"/>
        <v>-25.764214771248607</v>
      </c>
      <c r="BC440" s="730">
        <f t="shared" si="359"/>
        <v>-89.985246946987345</v>
      </c>
      <c r="BD440" s="351"/>
      <c r="BE440" s="337">
        <f t="shared" si="320"/>
        <v>28.887506516098181</v>
      </c>
      <c r="BF440" s="730">
        <f t="shared" si="321"/>
        <v>-89.591236341111767</v>
      </c>
      <c r="BI440" s="351"/>
      <c r="BJ440" s="351"/>
      <c r="BL440" s="405">
        <f t="shared" si="322"/>
        <v>0</v>
      </c>
      <c r="BM440" s="405">
        <f t="shared" si="360"/>
        <v>0</v>
      </c>
      <c r="BN440" s="405">
        <f t="shared" si="323"/>
        <v>0</v>
      </c>
      <c r="BO440" s="405">
        <f t="shared" si="324"/>
        <v>0</v>
      </c>
    </row>
    <row r="441" spans="4:67" ht="13.5" thickBot="1" x14ac:dyDescent="0.25">
      <c r="D441" s="345">
        <v>45709</v>
      </c>
      <c r="E441" s="340" t="str">
        <f t="shared" si="311"/>
        <v>0.758203029423501i</v>
      </c>
      <c r="F441" s="728" t="str">
        <f t="shared" si="325"/>
        <v>0.005-0.0570806061768139i</v>
      </c>
      <c r="G441" s="337" t="str">
        <f t="shared" si="326"/>
        <v>0.005-0.0892799224816833i</v>
      </c>
      <c r="H441" s="338" t="str">
        <f t="shared" si="327"/>
        <v>0.0114164748010463-0.0880801994822343i</v>
      </c>
      <c r="I441" s="338" t="str">
        <f t="shared" si="328"/>
        <v>0.0214164748010463-0.0880801994822343i</v>
      </c>
      <c r="J441" s="337" t="str">
        <f t="shared" si="329"/>
        <v>0.00511718062182461-0.0348287311758185i</v>
      </c>
      <c r="K441" s="338" t="str">
        <f t="shared" si="312"/>
        <v>0.976785414655556-0.239331764338226i</v>
      </c>
      <c r="L441" s="732"/>
      <c r="M441" s="732" t="str">
        <f t="shared" si="313"/>
        <v>0.195574785089202-27.6468202657264i</v>
      </c>
      <c r="N441" s="337">
        <f t="shared" si="314"/>
        <v>0</v>
      </c>
      <c r="O441" s="730" t="str">
        <f t="shared" si="315"/>
        <v>-0.917580278974496-10.697654524139i</v>
      </c>
      <c r="P441" s="731" t="str">
        <f t="shared" si="316"/>
        <v>-0.961902879400778-0.148285394533483i</v>
      </c>
      <c r="Q441" s="729" t="str">
        <f t="shared" si="317"/>
        <v>-0.952727076611034-0.041308849292094i</v>
      </c>
      <c r="R441" s="730"/>
      <c r="S441" s="405" t="str">
        <f t="shared" si="330"/>
        <v>38.9022710736892-8.62758649321079i</v>
      </c>
      <c r="T441" s="405" t="str">
        <f t="shared" si="331"/>
        <v>14.7330055601195-4.73371981169257i</v>
      </c>
      <c r="U441" s="405" t="str">
        <f t="shared" si="332"/>
        <v>-0.248747998586105-1.35172846165359i</v>
      </c>
      <c r="V441" s="731" t="str">
        <f t="shared" si="318"/>
        <v>6000</v>
      </c>
      <c r="W441" s="733" t="str">
        <f>IMSUM(COMPLEX(1,0),IMDIV(COMPLEX(0,2*PI()*D441),COMPLEX(2*PI()*'Stability Calculations'!EA_Pole1,0)))</f>
        <v>1+290070.098377931i</v>
      </c>
      <c r="X441" s="734">
        <f t="shared" si="333"/>
        <v>290070.09837965469</v>
      </c>
      <c r="Y441" s="735">
        <f t="shared" si="334"/>
        <v>1.5707928793523454</v>
      </c>
      <c r="Z441" s="340" t="str">
        <f>IMSUM(COMPLEX(1,0),IMDIV(COMPLEX(0,2*PI()*D441),COMPLEX(2*PI()*'Stability Calculations'!EA_Zero1,0)))</f>
        <v>1+2871.98117205872i</v>
      </c>
      <c r="AA441" s="734">
        <f t="shared" si="335"/>
        <v>2871.9813461545637</v>
      </c>
      <c r="AB441" s="735">
        <f t="shared" si="336"/>
        <v>1.5704481351112893</v>
      </c>
      <c r="AC441" s="733" t="str">
        <f>IMSUM(COMPLEX(1,0),IMDIV(COMPLEX(0,2*PI()*D441),COMPLEX(2*PI()*'Stability Calculations'!EA_Pole2,0)))</f>
        <v>1+28.9307763359718i</v>
      </c>
      <c r="AD441" s="734">
        <f t="shared" si="337"/>
        <v>28.948053810265478</v>
      </c>
      <c r="AE441" s="735">
        <f t="shared" si="338"/>
        <v>1.5362448159372781</v>
      </c>
      <c r="AF441" s="732" t="str">
        <f t="shared" si="339"/>
        <v>0.0701839582632318-2.05095625562674i</v>
      </c>
      <c r="AG441" s="337">
        <f t="shared" si="340"/>
        <v>2.0521567558283538</v>
      </c>
      <c r="AH441" s="730">
        <f t="shared" si="341"/>
        <v>-1.5365895601783341</v>
      </c>
      <c r="AI441" s="731" t="str">
        <f t="shared" si="319"/>
        <v>10000</v>
      </c>
      <c r="AJ441" s="733" t="str">
        <f t="shared" si="342"/>
        <v>1+270425.172764816i</v>
      </c>
      <c r="AK441" s="734">
        <f t="shared" si="343"/>
        <v>270425.17276666494</v>
      </c>
      <c r="AL441" s="735">
        <f t="shared" si="344"/>
        <v>1.5707926289142971</v>
      </c>
      <c r="AM441" s="340" t="str">
        <f t="shared" si="345"/>
        <v>1+458.942591294983i</v>
      </c>
      <c r="AN441" s="734">
        <f t="shared" si="346"/>
        <v>458.94368075457123</v>
      </c>
      <c r="AO441" s="735">
        <f t="shared" si="347"/>
        <v>1.5686174084804814</v>
      </c>
      <c r="AP441" s="733" t="str">
        <f t="shared" si="348"/>
        <v>1+22.2594721669992i</v>
      </c>
      <c r="AQ441" s="734">
        <f t="shared" si="349"/>
        <v>22.281923192431393</v>
      </c>
      <c r="AR441" s="735">
        <f t="shared" si="350"/>
        <v>1.5259018179208264</v>
      </c>
      <c r="AS441" s="732" t="str">
        <f t="shared" si="351"/>
        <v>0.00131095858980771-5.12046580669588i</v>
      </c>
      <c r="AT441" s="337">
        <f t="shared" si="352"/>
        <v>5.1204659745138548</v>
      </c>
      <c r="AU441" s="730">
        <f t="shared" si="353"/>
        <v>-1.570540303493374</v>
      </c>
      <c r="AV441" s="732" t="str">
        <f t="shared" si="354"/>
        <v>-0.15643638529317+0.0443781061100925i</v>
      </c>
      <c r="AW441" s="337">
        <f t="shared" si="355"/>
        <v>-15.777096583043527</v>
      </c>
      <c r="AX441" s="730">
        <f t="shared" si="356"/>
        <v>164.16234246134024</v>
      </c>
      <c r="AY441" s="360">
        <f t="shared" si="357"/>
        <v>-15.837657538659755</v>
      </c>
      <c r="BB441" s="337">
        <f t="shared" si="358"/>
        <v>-25.813810308015764</v>
      </c>
      <c r="BC441" s="730">
        <f t="shared" si="359"/>
        <v>-89.98533094536576</v>
      </c>
      <c r="BD441" s="351"/>
      <c r="BE441" s="337">
        <f t="shared" si="320"/>
        <v>28.833121107557464</v>
      </c>
      <c r="BF441" s="730">
        <f t="shared" si="321"/>
        <v>-89.594693974013509</v>
      </c>
      <c r="BI441" s="351"/>
      <c r="BJ441" s="351"/>
      <c r="BL441" s="405">
        <f t="shared" si="322"/>
        <v>0</v>
      </c>
      <c r="BM441" s="405">
        <f t="shared" si="360"/>
        <v>0</v>
      </c>
      <c r="BN441" s="405">
        <f t="shared" si="323"/>
        <v>0</v>
      </c>
      <c r="BO441" s="405">
        <f t="shared" si="324"/>
        <v>0</v>
      </c>
    </row>
    <row r="442" spans="4:67" ht="13.5" thickBot="1" x14ac:dyDescent="0.25">
      <c r="D442" s="345">
        <v>45975.25</v>
      </c>
      <c r="E442" s="340" t="str">
        <f t="shared" si="311"/>
        <v>0.762619480375918i</v>
      </c>
      <c r="F442" s="728" t="str">
        <f t="shared" si="325"/>
        <v>0.005-0.0567500432892913i</v>
      </c>
      <c r="G442" s="337" t="str">
        <f t="shared" si="326"/>
        <v>0.005-0.0887628882217122i</v>
      </c>
      <c r="H442" s="338" t="str">
        <f t="shared" si="327"/>
        <v>0.0113425263837211-0.0875754858948426i</v>
      </c>
      <c r="I442" s="338" t="str">
        <f t="shared" si="328"/>
        <v>0.0213425263837211-0.0875754858948426i</v>
      </c>
      <c r="J442" s="337" t="str">
        <f t="shared" si="329"/>
        <v>0.00510567464730177-0.0346279440723303i</v>
      </c>
      <c r="K442" s="338" t="str">
        <f t="shared" si="312"/>
        <v>0.976514182082639-0.240725846078257i</v>
      </c>
      <c r="L442" s="732"/>
      <c r="M442" s="732" t="str">
        <f t="shared" si="313"/>
        <v>0.192667787626594-27.4714956200004i</v>
      </c>
      <c r="N442" s="337">
        <f t="shared" si="314"/>
        <v>0</v>
      </c>
      <c r="O442" s="730" t="str">
        <f t="shared" si="315"/>
        <v>-0.912507406179006-10.6288020211499i</v>
      </c>
      <c r="P442" s="731" t="str">
        <f t="shared" si="316"/>
        <v>-0.950297714874003-0.14693220808497i</v>
      </c>
      <c r="Q442" s="729" t="str">
        <f t="shared" si="317"/>
        <v>-0.941172640812212-0.040644187873471i</v>
      </c>
      <c r="R442" s="730"/>
      <c r="S442" s="405" t="str">
        <f t="shared" si="330"/>
        <v>38.8866769728978-8.68694314201929i</v>
      </c>
      <c r="T442" s="405" t="str">
        <f t="shared" si="331"/>
        <v>14.7234638799128-4.75594480126487i</v>
      </c>
      <c r="U442" s="405" t="str">
        <f t="shared" si="332"/>
        <v>-0.249502899342148-1.34335893272639i</v>
      </c>
      <c r="V442" s="731" t="str">
        <f t="shared" si="318"/>
        <v>6000</v>
      </c>
      <c r="W442" s="733" t="str">
        <f>IMSUM(COMPLEX(1,0),IMDIV(COMPLEX(0,2*PI()*D442),COMPLEX(2*PI()*'Stability Calculations'!EA_Pole1,0)))</f>
        <v>1+291759.725446847i</v>
      </c>
      <c r="X442" s="734">
        <f t="shared" si="333"/>
        <v>291759.72544856078</v>
      </c>
      <c r="Y442" s="735">
        <f t="shared" si="334"/>
        <v>1.5707928993170346</v>
      </c>
      <c r="Z442" s="340" t="str">
        <f>IMSUM(COMPLEX(1,0),IMDIV(COMPLEX(0,2*PI()*D442),COMPLEX(2*PI()*'Stability Calculations'!EA_Zero1,0)))</f>
        <v>1+2888.71015293908i</v>
      </c>
      <c r="AA442" s="734">
        <f t="shared" si="335"/>
        <v>2888.7103260267072</v>
      </c>
      <c r="AB442" s="735">
        <f t="shared" si="336"/>
        <v>1.5704501515446603</v>
      </c>
      <c r="AC442" s="733" t="str">
        <f>IMSUM(COMPLEX(1,0),IMDIV(COMPLEX(0,2*PI()*D442),COMPLEX(2*PI()*'Stability Calculations'!EA_Pole2,0)))</f>
        <v>1+29.0992949909293i</v>
      </c>
      <c r="AD442" s="734">
        <f t="shared" si="337"/>
        <v>29.116472467816617</v>
      </c>
      <c r="AE442" s="735">
        <f t="shared" si="338"/>
        <v>1.5364447514118098</v>
      </c>
      <c r="AF442" s="732" t="str">
        <f t="shared" si="339"/>
        <v>0.0693743751680676-2.03910666245266i</v>
      </c>
      <c r="AG442" s="337">
        <f t="shared" si="340"/>
        <v>2.0402864467492763</v>
      </c>
      <c r="AH442" s="730">
        <f t="shared" si="341"/>
        <v>-1.5367874991841843</v>
      </c>
      <c r="AI442" s="731" t="str">
        <f t="shared" si="319"/>
        <v>10000</v>
      </c>
      <c r="AJ442" s="733" t="str">
        <f t="shared" si="342"/>
        <v>1+272000.370258714i</v>
      </c>
      <c r="AK442" s="734">
        <f t="shared" si="343"/>
        <v>272000.37026055221</v>
      </c>
      <c r="AL442" s="735">
        <f t="shared" si="344"/>
        <v>1.570792650329313</v>
      </c>
      <c r="AM442" s="340" t="str">
        <f t="shared" si="345"/>
        <v>1+461.615882439665i</v>
      </c>
      <c r="AN442" s="734">
        <f t="shared" si="346"/>
        <v>461.61696559003394</v>
      </c>
      <c r="AO442" s="735">
        <f t="shared" si="347"/>
        <v>1.56863002690411</v>
      </c>
      <c r="AP442" s="733" t="str">
        <f t="shared" si="348"/>
        <v>1+22.3891311939843i</v>
      </c>
      <c r="AQ442" s="734">
        <f t="shared" si="349"/>
        <v>22.411452331820019</v>
      </c>
      <c r="AR442" s="735">
        <f t="shared" si="350"/>
        <v>1.5261614629957549</v>
      </c>
      <c r="AS442" s="732" t="str">
        <f t="shared" si="351"/>
        <v>0.00129581861684556-5.09081237699498i</v>
      </c>
      <c r="AT442" s="337">
        <f t="shared" si="352"/>
        <v>5.0908125419142243</v>
      </c>
      <c r="AU442" s="730">
        <f t="shared" si="353"/>
        <v>-1.5705417861650524</v>
      </c>
      <c r="AV442" s="732" t="str">
        <f t="shared" si="354"/>
        <v>-0.154530909713537+0.0441308354161425i</v>
      </c>
      <c r="AW442" s="337">
        <f t="shared" si="355"/>
        <v>-15.87920443118681</v>
      </c>
      <c r="AX442" s="730">
        <f t="shared" si="356"/>
        <v>164.06175256799258</v>
      </c>
      <c r="AY442" s="360">
        <f t="shared" si="357"/>
        <v>-15.938247432007415</v>
      </c>
      <c r="BB442" s="337">
        <f t="shared" si="358"/>
        <v>-25.864257892335672</v>
      </c>
      <c r="BC442" s="730">
        <f t="shared" si="359"/>
        <v>-89.98541589619532</v>
      </c>
      <c r="BD442" s="351"/>
      <c r="BE442" s="337">
        <f t="shared" si="320"/>
        <v>28.777859696596472</v>
      </c>
      <c r="BF442" s="730">
        <f t="shared" si="321"/>
        <v>-89.598170036200585</v>
      </c>
      <c r="BI442" s="351"/>
      <c r="BJ442" s="351"/>
      <c r="BL442" s="405">
        <f t="shared" si="322"/>
        <v>0</v>
      </c>
      <c r="BM442" s="405">
        <f t="shared" si="360"/>
        <v>0</v>
      </c>
      <c r="BN442" s="405">
        <f t="shared" si="323"/>
        <v>0</v>
      </c>
      <c r="BO442" s="405">
        <f t="shared" si="324"/>
        <v>0</v>
      </c>
    </row>
    <row r="443" spans="4:67" ht="13.5" thickBot="1" x14ac:dyDescent="0.25">
      <c r="D443" s="345">
        <v>46241.5</v>
      </c>
      <c r="E443" s="340" t="str">
        <f t="shared" si="311"/>
        <v>0.767035931328334i</v>
      </c>
      <c r="F443" s="728" t="str">
        <f t="shared" si="325"/>
        <v>0.005-0.05642328704164i</v>
      </c>
      <c r="G443" s="337" t="str">
        <f t="shared" si="326"/>
        <v>0.005-0.0882518079369242i</v>
      </c>
      <c r="H443" s="338" t="str">
        <f t="shared" si="327"/>
        <v>0.0112698427877022-0.087076493033079i</v>
      </c>
      <c r="I443" s="338" t="str">
        <f t="shared" si="328"/>
        <v>0.0212698427877022-0.087076493033079i</v>
      </c>
      <c r="J443" s="337" t="str">
        <f t="shared" si="329"/>
        <v>0.00509436481617755-0.0344294667719902i</v>
      </c>
      <c r="K443" s="338" t="str">
        <f t="shared" si="312"/>
        <v>0.976241374197222-0.242119927818287i</v>
      </c>
      <c r="L443" s="732"/>
      <c r="M443" s="732" t="str">
        <f t="shared" si="313"/>
        <v>0.189826808065759-27.2984663943676i</v>
      </c>
      <c r="N443" s="337">
        <f t="shared" si="314"/>
        <v>0</v>
      </c>
      <c r="O443" s="730" t="str">
        <f t="shared" si="315"/>
        <v>-0.907519773126913-10.5608501181658i</v>
      </c>
      <c r="P443" s="731" t="str">
        <f t="shared" si="316"/>
        <v>-0.938904594638993-0.145603982515805i</v>
      </c>
      <c r="Q443" s="729" t="str">
        <f t="shared" si="317"/>
        <v>-0.929829396907724-0.0399954813341477i</v>
      </c>
      <c r="R443" s="730"/>
      <c r="S443" s="405" t="str">
        <f t="shared" si="330"/>
        <v>38.8709789658712-8.74621682918312i</v>
      </c>
      <c r="T443" s="405" t="str">
        <f t="shared" si="331"/>
        <v>14.7138739312668-4.77817152379951i</v>
      </c>
      <c r="U443" s="405" t="str">
        <f t="shared" si="332"/>
        <v>-0.250243373399536-1.33508178275145i</v>
      </c>
      <c r="V443" s="731" t="str">
        <f t="shared" si="318"/>
        <v>6000</v>
      </c>
      <c r="W443" s="733" t="str">
        <f>IMSUM(COMPLEX(1,0),IMDIV(COMPLEX(0,2*PI()*D443),COMPLEX(2*PI()*'Stability Calculations'!EA_Pole1,0)))</f>
        <v>1+293449.352515764i</v>
      </c>
      <c r="X443" s="734">
        <f t="shared" si="333"/>
        <v>293449.35251746792</v>
      </c>
      <c r="Y443" s="735">
        <f t="shared" si="334"/>
        <v>1.5707929190518179</v>
      </c>
      <c r="Z443" s="340" t="str">
        <f>IMSUM(COMPLEX(1,0),IMDIV(COMPLEX(0,2*PI()*D443),COMPLEX(2*PI()*'Stability Calculations'!EA_Zero1,0)))</f>
        <v>1+2905.43913381945i</v>
      </c>
      <c r="AA443" s="734">
        <f t="shared" si="335"/>
        <v>2905.4393059104705</v>
      </c>
      <c r="AB443" s="735">
        <f t="shared" si="336"/>
        <v>1.5704521447575335</v>
      </c>
      <c r="AC443" s="733" t="str">
        <f>IMSUM(COMPLEX(1,0),IMDIV(COMPLEX(0,2*PI()*D443),COMPLEX(2*PI()*'Stability Calculations'!EA_Pole2,0)))</f>
        <v>1+29.2678136458868i</v>
      </c>
      <c r="AD443" s="734">
        <f t="shared" si="337"/>
        <v>29.284892275887877</v>
      </c>
      <c r="AE443" s="735">
        <f t="shared" si="338"/>
        <v>1.5366423872036685</v>
      </c>
      <c r="AF443" s="732" t="str">
        <f t="shared" si="339"/>
        <v>0.0685787143214436-2.0273930491239i</v>
      </c>
      <c r="AG443" s="337">
        <f t="shared" si="340"/>
        <v>2.028552591305901</v>
      </c>
      <c r="AH443" s="730">
        <f t="shared" si="341"/>
        <v>-1.536983161497953</v>
      </c>
      <c r="AI443" s="731" t="str">
        <f t="shared" si="319"/>
        <v>10000</v>
      </c>
      <c r="AJ443" s="733" t="str">
        <f t="shared" si="342"/>
        <v>1+273575.567752614i</v>
      </c>
      <c r="AK443" s="734">
        <f t="shared" si="343"/>
        <v>273575.56775444158</v>
      </c>
      <c r="AL443" s="735">
        <f t="shared" si="344"/>
        <v>1.5707926714977214</v>
      </c>
      <c r="AM443" s="340" t="str">
        <f t="shared" si="345"/>
        <v>1+464.289173584348i</v>
      </c>
      <c r="AN443" s="734">
        <f t="shared" si="346"/>
        <v>464.29025049815215</v>
      </c>
      <c r="AO443" s="735">
        <f t="shared" si="347"/>
        <v>1.56864250001932</v>
      </c>
      <c r="AP443" s="733" t="str">
        <f t="shared" si="348"/>
        <v>1+22.5187902209694i</v>
      </c>
      <c r="AQ443" s="734">
        <f t="shared" si="349"/>
        <v>22.540982964725099</v>
      </c>
      <c r="AR443" s="735">
        <f t="shared" si="350"/>
        <v>1.5264181240129082</v>
      </c>
      <c r="AS443" s="732" t="str">
        <f t="shared" si="351"/>
        <v>0.00128093940972985-5.06150042514977i</v>
      </c>
      <c r="AT443" s="337">
        <f t="shared" si="352"/>
        <v>5.0615005872366616</v>
      </c>
      <c r="AU443" s="730">
        <f t="shared" si="353"/>
        <v>-1.5705432517628333</v>
      </c>
      <c r="AV443" s="732" t="str">
        <f t="shared" si="354"/>
        <v>-0.152658308930649+0.0438859460358472i</v>
      </c>
      <c r="AW443" s="337">
        <f t="shared" si="355"/>
        <v>-15.980735310210108</v>
      </c>
      <c r="AX443" s="730">
        <f t="shared" si="356"/>
        <v>163.96120686362687</v>
      </c>
      <c r="AY443" s="360">
        <f t="shared" si="357"/>
        <v>-16.03879313637313</v>
      </c>
      <c r="BB443" s="337">
        <f t="shared" si="358"/>
        <v>-25.91441416856998</v>
      </c>
      <c r="BC443" s="730">
        <f t="shared" si="359"/>
        <v>-89.985499868762631</v>
      </c>
      <c r="BD443" s="351"/>
      <c r="BE443" s="337">
        <f t="shared" si="320"/>
        <v>28.72297498497575</v>
      </c>
      <c r="BF443" s="730">
        <f t="shared" si="321"/>
        <v>-89.601585690482537</v>
      </c>
      <c r="BI443" s="351"/>
      <c r="BJ443" s="351"/>
      <c r="BL443" s="405">
        <f t="shared" si="322"/>
        <v>0</v>
      </c>
      <c r="BM443" s="405">
        <f t="shared" si="360"/>
        <v>0</v>
      </c>
      <c r="BN443" s="405">
        <f t="shared" si="323"/>
        <v>0</v>
      </c>
      <c r="BO443" s="405">
        <f t="shared" si="324"/>
        <v>0</v>
      </c>
    </row>
    <row r="444" spans="4:67" ht="13.5" thickBot="1" x14ac:dyDescent="0.25">
      <c r="D444" s="345">
        <v>46507.75</v>
      </c>
      <c r="E444" s="340" t="str">
        <f t="shared" si="311"/>
        <v>0.771452382280751i</v>
      </c>
      <c r="F444" s="728" t="str">
        <f t="shared" si="325"/>
        <v>0.005-0.0561002720565064i</v>
      </c>
      <c r="G444" s="337" t="str">
        <f t="shared" si="326"/>
        <v>0.005-0.087746579370433i</v>
      </c>
      <c r="H444" s="338" t="str">
        <f t="shared" si="327"/>
        <v>0.0111983953810497-0.086583124702512i</v>
      </c>
      <c r="I444" s="338" t="str">
        <f t="shared" si="328"/>
        <v>0.0211983953810497-0.086583124702512i</v>
      </c>
      <c r="J444" s="337" t="str">
        <f t="shared" si="329"/>
        <v>0.00508324664632598-0.0342332597262001i</v>
      </c>
      <c r="K444" s="338" t="str">
        <f t="shared" si="312"/>
        <v>0.975966990999306-0.243514009558318i</v>
      </c>
      <c r="L444" s="732"/>
      <c r="M444" s="732" t="str">
        <f t="shared" si="313"/>
        <v>0.187049842846453-27.1276864200356i</v>
      </c>
      <c r="N444" s="337">
        <f t="shared" si="314"/>
        <v>0</v>
      </c>
      <c r="O444" s="730" t="str">
        <f t="shared" si="315"/>
        <v>-0.902615422942184-10.4937806184618i</v>
      </c>
      <c r="P444" s="731" t="str">
        <f t="shared" si="316"/>
        <v>-0.927718314501645-0.144300046869137i</v>
      </c>
      <c r="Q444" s="729" t="str">
        <f t="shared" si="317"/>
        <v>-0.918692160272224-0.0393622406845193i</v>
      </c>
      <c r="R444" s="730"/>
      <c r="S444" s="405" t="str">
        <f t="shared" si="330"/>
        <v>38.8551772425123-8.80540839281183i</v>
      </c>
      <c r="T444" s="405" t="str">
        <f t="shared" si="331"/>
        <v>14.7042356769207-4.8003994563554i</v>
      </c>
      <c r="U444" s="405" t="str">
        <f t="shared" si="332"/>
        <v>-0.250969739865194-1.3268954423692i</v>
      </c>
      <c r="V444" s="731" t="str">
        <f t="shared" si="318"/>
        <v>6000</v>
      </c>
      <c r="W444" s="733" t="str">
        <f>IMSUM(COMPLEX(1,0),IMDIV(COMPLEX(0,2*PI()*D444),COMPLEX(2*PI()*'Stability Calculations'!EA_Pole1,0)))</f>
        <v>1+295138.979584681i</v>
      </c>
      <c r="X444" s="734">
        <f t="shared" si="333"/>
        <v>295138.97958637512</v>
      </c>
      <c r="Y444" s="735">
        <f t="shared" si="334"/>
        <v>1.5707929385606436</v>
      </c>
      <c r="Z444" s="340" t="str">
        <f>IMSUM(COMPLEX(1,0),IMDIV(COMPLEX(0,2*PI()*D444),COMPLEX(2*PI()*'Stability Calculations'!EA_Zero1,0)))</f>
        <v>1+2922.16811469981i</v>
      </c>
      <c r="AA444" s="734">
        <f t="shared" si="335"/>
        <v>2922.1682858056347</v>
      </c>
      <c r="AB444" s="735">
        <f t="shared" si="336"/>
        <v>1.5704541151487106</v>
      </c>
      <c r="AC444" s="733" t="str">
        <f>IMSUM(COMPLEX(1,0),IMDIV(COMPLEX(0,2*PI()*D444),COMPLEX(2*PI()*'Stability Calculations'!EA_Pole2,0)))</f>
        <v>1+29.4363323008443i</v>
      </c>
      <c r="AD444" s="734">
        <f t="shared" si="337"/>
        <v>29.453313214742568</v>
      </c>
      <c r="AE444" s="735">
        <f t="shared" si="338"/>
        <v>1.5368377627476526</v>
      </c>
      <c r="AF444" s="732" t="str">
        <f t="shared" si="339"/>
        <v>0.0677966584408236-2.01581309102545i</v>
      </c>
      <c r="AG444" s="337">
        <f t="shared" si="340"/>
        <v>2.0169528514185253</v>
      </c>
      <c r="AH444" s="730">
        <f t="shared" si="341"/>
        <v>-1.5371765861595856</v>
      </c>
      <c r="AI444" s="731" t="str">
        <f t="shared" si="319"/>
        <v>10000</v>
      </c>
      <c r="AJ444" s="733" t="str">
        <f t="shared" si="342"/>
        <v>1+275150.765246512i</v>
      </c>
      <c r="AK444" s="734">
        <f t="shared" si="343"/>
        <v>275150.7652483292</v>
      </c>
      <c r="AL444" s="735">
        <f t="shared" si="344"/>
        <v>1.5707926924237579</v>
      </c>
      <c r="AM444" s="340" t="str">
        <f t="shared" si="345"/>
        <v>1+466.96246472903i</v>
      </c>
      <c r="AN444" s="734">
        <f t="shared" si="346"/>
        <v>466.9635354776758</v>
      </c>
      <c r="AO444" s="735">
        <f t="shared" si="347"/>
        <v>1.5686548303217041</v>
      </c>
      <c r="AP444" s="733" t="str">
        <f t="shared" si="348"/>
        <v>1+22.6484492479545i</v>
      </c>
      <c r="AQ444" s="734">
        <f t="shared" si="349"/>
        <v>22.670515065546496</v>
      </c>
      <c r="AR444" s="735">
        <f t="shared" si="350"/>
        <v>1.5266718520880449</v>
      </c>
      <c r="AS444" s="732" t="str">
        <f t="shared" si="351"/>
        <v>0.00126631501420305-5.03252408643091i</v>
      </c>
      <c r="AT444" s="337">
        <f t="shared" si="352"/>
        <v>5.0325242457499373</v>
      </c>
      <c r="AU444" s="730">
        <f t="shared" si="353"/>
        <v>-1.5705447005799538</v>
      </c>
      <c r="AV444" s="732" t="str">
        <f t="shared" si="354"/>
        <v>-0.150817831584228+0.0436434060484391i</v>
      </c>
      <c r="AW444" s="337">
        <f t="shared" si="355"/>
        <v>-16.081695946985437</v>
      </c>
      <c r="AX444" s="730">
        <f t="shared" si="356"/>
        <v>163.86070450230014</v>
      </c>
      <c r="AY444" s="360">
        <f t="shared" si="357"/>
        <v>-16.139295497699862</v>
      </c>
      <c r="BB444" s="337">
        <f t="shared" si="358"/>
        <v>-25.964282481711969</v>
      </c>
      <c r="BC444" s="730">
        <f t="shared" si="359"/>
        <v>-89.985582879868929</v>
      </c>
      <c r="BD444" s="351"/>
      <c r="BE444" s="337">
        <f t="shared" si="320"/>
        <v>28.668461605201916</v>
      </c>
      <c r="BF444" s="730">
        <f t="shared" si="321"/>
        <v>-89.604942472811956</v>
      </c>
      <c r="BI444" s="351"/>
      <c r="BJ444" s="351"/>
      <c r="BL444" s="405">
        <f t="shared" si="322"/>
        <v>0</v>
      </c>
      <c r="BM444" s="405">
        <f t="shared" si="360"/>
        <v>0</v>
      </c>
      <c r="BN444" s="405">
        <f t="shared" si="323"/>
        <v>0</v>
      </c>
      <c r="BO444" s="405">
        <f t="shared" si="324"/>
        <v>0</v>
      </c>
    </row>
    <row r="445" spans="4:67" ht="13.5" thickBot="1" x14ac:dyDescent="0.25">
      <c r="D445" s="345">
        <v>46774</v>
      </c>
      <c r="E445" s="340" t="str">
        <f t="shared" si="311"/>
        <v>0.775868833233167i</v>
      </c>
      <c r="F445" s="728" t="str">
        <f t="shared" si="325"/>
        <v>0.005-0.0557809344451188i</v>
      </c>
      <c r="G445" s="337" t="str">
        <f t="shared" si="326"/>
        <v>0.005-0.0872471025936474i</v>
      </c>
      <c r="H445" s="338" t="str">
        <f t="shared" si="327"/>
        <v>0.011128156336065-0.0860952868415334i</v>
      </c>
      <c r="I445" s="338" t="str">
        <f t="shared" si="328"/>
        <v>0.021128156336065-0.0860952868415334i</v>
      </c>
      <c r="J445" s="337" t="str">
        <f t="shared" si="329"/>
        <v>0.00507231578264474-0.0340392842832933i</v>
      </c>
      <c r="K445" s="338" t="str">
        <f t="shared" si="312"/>
        <v>0.975691032488889-0.244908091298348i</v>
      </c>
      <c r="L445" s="732"/>
      <c r="M445" s="732" t="str">
        <f t="shared" si="313"/>
        <v>0.184334963903911-26.9591107865193i</v>
      </c>
      <c r="N445" s="337">
        <f t="shared" si="314"/>
        <v>0</v>
      </c>
      <c r="O445" s="730" t="str">
        <f t="shared" si="315"/>
        <v>-0.89779245391973-10.4275758238554i</v>
      </c>
      <c r="P445" s="731" t="str">
        <f t="shared" si="316"/>
        <v>-0.916733830940426-0.143019753368206i</v>
      </c>
      <c r="Q445" s="729" t="str">
        <f t="shared" si="317"/>
        <v>-0.907755906401228-0.0387439951296519i</v>
      </c>
      <c r="R445" s="730"/>
      <c r="S445" s="405" t="str">
        <f t="shared" si="330"/>
        <v>38.8392719870841-8.86451864793184i</v>
      </c>
      <c r="T445" s="405" t="str">
        <f t="shared" si="331"/>
        <v>14.6945490821995-4.82262808492532i</v>
      </c>
      <c r="U445" s="405" t="str">
        <f t="shared" si="332"/>
        <v>-0.251682308826983-1.3187983775187i</v>
      </c>
      <c r="V445" s="731" t="str">
        <f t="shared" si="318"/>
        <v>6000</v>
      </c>
      <c r="W445" s="733" t="str">
        <f>IMSUM(COMPLEX(1,0),IMDIV(COMPLEX(0,2*PI()*D445),COMPLEX(2*PI()*'Stability Calculations'!EA_Pole1,0)))</f>
        <v>1+296828.606653598i</v>
      </c>
      <c r="X445" s="734">
        <f t="shared" si="333"/>
        <v>296828.60665528255</v>
      </c>
      <c r="Y445" s="735">
        <f t="shared" si="334"/>
        <v>1.5707929578473707</v>
      </c>
      <c r="Z445" s="340" t="str">
        <f>IMSUM(COMPLEX(1,0),IMDIV(COMPLEX(0,2*PI()*D445),COMPLEX(2*PI()*'Stability Calculations'!EA_Zero1,0)))</f>
        <v>1+2938.89709558018i</v>
      </c>
      <c r="AA445" s="734">
        <f t="shared" si="335"/>
        <v>2938.8972657120248</v>
      </c>
      <c r="AB445" s="735">
        <f t="shared" si="336"/>
        <v>1.5704560631079132</v>
      </c>
      <c r="AC445" s="733" t="str">
        <f>IMSUM(COMPLEX(1,0),IMDIV(COMPLEX(0,2*PI()*D445),COMPLEX(2*PI()*'Stability Calculations'!EA_Pole2,0)))</f>
        <v>1+29.6048509558018i</v>
      </c>
      <c r="AD445" s="734">
        <f t="shared" si="337"/>
        <v>29.621735265092742</v>
      </c>
      <c r="AE445" s="735">
        <f t="shared" si="338"/>
        <v>1.5370309165823919</v>
      </c>
      <c r="AF445" s="732" t="str">
        <f t="shared" si="339"/>
        <v>0.067027899227466-2.00436451616818i</v>
      </c>
      <c r="AG445" s="337">
        <f t="shared" si="340"/>
        <v>2.0054849420898053</v>
      </c>
      <c r="AH445" s="730">
        <f t="shared" si="341"/>
        <v>-1.5373678113218494</v>
      </c>
      <c r="AI445" s="731" t="str">
        <f t="shared" si="319"/>
        <v>10000</v>
      </c>
      <c r="AJ445" s="733" t="str">
        <f t="shared" si="342"/>
        <v>1+276725.962740412i</v>
      </c>
      <c r="AK445" s="734">
        <f t="shared" si="343"/>
        <v>276725.96274221886</v>
      </c>
      <c r="AL445" s="735">
        <f t="shared" si="344"/>
        <v>1.5707927131115613</v>
      </c>
      <c r="AM445" s="340" t="str">
        <f t="shared" si="345"/>
        <v>1+469.635755873713i</v>
      </c>
      <c r="AN445" s="734">
        <f t="shared" si="346"/>
        <v>469.63682052738773</v>
      </c>
      <c r="AO445" s="735">
        <f t="shared" si="347"/>
        <v>1.5686670202500326</v>
      </c>
      <c r="AP445" s="733" t="str">
        <f t="shared" si="348"/>
        <v>1+22.7781082749397i</v>
      </c>
      <c r="AQ445" s="734">
        <f t="shared" si="349"/>
        <v>22.800048609265648</v>
      </c>
      <c r="AR445" s="735">
        <f t="shared" si="350"/>
        <v>1.5269226971768408</v>
      </c>
      <c r="AS445" s="732" t="str">
        <f t="shared" si="351"/>
        <v>0.00125193964498988-5.0038776296433i</v>
      </c>
      <c r="AT445" s="337">
        <f t="shared" si="352"/>
        <v>5.003877786257128</v>
      </c>
      <c r="AU445" s="730">
        <f t="shared" si="353"/>
        <v>-1.5705461329029735</v>
      </c>
      <c r="AV445" s="732" t="str">
        <f t="shared" si="354"/>
        <v>-0.149008747666943+0.0434031840033935i</v>
      </c>
      <c r="AW445" s="337">
        <f t="shared" si="355"/>
        <v>-16.182092953001487</v>
      </c>
      <c r="AX445" s="730">
        <f t="shared" si="356"/>
        <v>163.76024465783391</v>
      </c>
      <c r="AY445" s="360">
        <f t="shared" si="357"/>
        <v>-16.239755342166092</v>
      </c>
      <c r="BB445" s="337">
        <f t="shared" si="358"/>
        <v>-26.013866119469654</v>
      </c>
      <c r="BC445" s="730">
        <f t="shared" si="359"/>
        <v>-89.985664945932854</v>
      </c>
      <c r="BD445" s="351"/>
      <c r="BE445" s="337">
        <f t="shared" si="320"/>
        <v>28.614314307018699</v>
      </c>
      <c r="BF445" s="730">
        <f t="shared" si="321"/>
        <v>-89.608241868848523</v>
      </c>
      <c r="BI445" s="351"/>
      <c r="BJ445" s="351"/>
      <c r="BL445" s="405">
        <f t="shared" si="322"/>
        <v>0</v>
      </c>
      <c r="BM445" s="405">
        <f t="shared" si="360"/>
        <v>0</v>
      </c>
      <c r="BN445" s="405">
        <f t="shared" si="323"/>
        <v>0</v>
      </c>
      <c r="BO445" s="405">
        <f t="shared" si="324"/>
        <v>0</v>
      </c>
    </row>
    <row r="446" spans="4:67" ht="13.5" thickBot="1" x14ac:dyDescent="0.25">
      <c r="D446" s="345">
        <v>47046.25</v>
      </c>
      <c r="E446" s="340" t="str">
        <f t="shared" si="311"/>
        <v>0.78038480984085i</v>
      </c>
      <c r="F446" s="728" t="str">
        <f t="shared" si="325"/>
        <v>0.005-0.0554581380606527i</v>
      </c>
      <c r="G446" s="337" t="str">
        <f t="shared" si="326"/>
        <v>0.005-0.0867422159410212i</v>
      </c>
      <c r="H446" s="338" t="str">
        <f t="shared" si="327"/>
        <v>0.011057555776591-0.0856020784479859i</v>
      </c>
      <c r="I446" s="338" t="str">
        <f t="shared" si="328"/>
        <v>0.021057555776591-0.0856020784479859i</v>
      </c>
      <c r="J446" s="337" t="str">
        <f t="shared" si="329"/>
        <v>0.00506132786616053-0.0338432058116684i</v>
      </c>
      <c r="K446" s="338" t="str">
        <f t="shared" si="312"/>
        <v>0.975407226232639-0.246333588964915i</v>
      </c>
      <c r="L446" s="732"/>
      <c r="M446" s="732" t="str">
        <f t="shared" si="313"/>
        <v>0.181621172161655-26.7889701628986i</v>
      </c>
      <c r="N446" s="337">
        <f t="shared" si="314"/>
        <v>0</v>
      </c>
      <c r="O446" s="730" t="str">
        <f t="shared" si="315"/>
        <v>-0.892943025637952-10.3607553101306i</v>
      </c>
      <c r="P446" s="731" t="str">
        <f t="shared" si="316"/>
        <v>-0.905705386405876-0.141734403900446i</v>
      </c>
      <c r="Q446" s="729" t="str">
        <f t="shared" si="317"/>
        <v>-0.896775956149496-0.0381268507991402i</v>
      </c>
      <c r="R446" s="730"/>
      <c r="S446" s="405" t="str">
        <f t="shared" si="330"/>
        <v>38.8229014316002-8.92487771311976i</v>
      </c>
      <c r="T446" s="405" t="str">
        <f t="shared" si="331"/>
        <v>14.6845941778328-4.84535783364731i</v>
      </c>
      <c r="U446" s="405" t="str">
        <f t="shared" si="332"/>
        <v>-0.252396982206449-1.31060959729078i</v>
      </c>
      <c r="V446" s="731" t="str">
        <f t="shared" si="318"/>
        <v>6000</v>
      </c>
      <c r="W446" s="733" t="str">
        <f>IMSUM(COMPLEX(1,0),IMDIV(COMPLEX(0,2*PI()*D446),COMPLEX(2*PI()*'Stability Calculations'!EA_Pole1,0)))</f>
        <v>1+298556.309825477i</v>
      </c>
      <c r="X446" s="734">
        <f t="shared" si="333"/>
        <v>298556.30982715171</v>
      </c>
      <c r="Y446" s="735">
        <f t="shared" si="334"/>
        <v>1.5707929773429941</v>
      </c>
      <c r="Z446" s="340" t="str">
        <f>IMSUM(COMPLEX(1,0),IMDIV(COMPLEX(0,2*PI()*D446),COMPLEX(2*PI()*'Stability Calculations'!EA_Zero1,0)))</f>
        <v>1+2956.00306757898i</v>
      </c>
      <c r="AA446" s="734">
        <f t="shared" si="335"/>
        <v>2956.0032367262961</v>
      </c>
      <c r="AB446" s="735">
        <f t="shared" si="336"/>
        <v>1.5704580321656318</v>
      </c>
      <c r="AC446" s="733" t="str">
        <f>IMSUM(COMPLEX(1,0),IMDIV(COMPLEX(0,2*PI()*D446),COMPLEX(2*PI()*'Stability Calculations'!EA_Pole2,0)))</f>
        <v>1+29.7771672142513i</v>
      </c>
      <c r="AD446" s="734">
        <f t="shared" si="337"/>
        <v>29.793953871641179</v>
      </c>
      <c r="AE446" s="735">
        <f t="shared" si="338"/>
        <v>1.5372261650443964</v>
      </c>
      <c r="AF446" s="732" t="str">
        <f t="shared" si="339"/>
        <v>0.0662552532710238-1.99279148954891i</v>
      </c>
      <c r="AG446" s="337">
        <f t="shared" si="340"/>
        <v>1.9938925947514252</v>
      </c>
      <c r="AH446" s="730">
        <f t="shared" si="341"/>
        <v>-1.5375611102217583</v>
      </c>
      <c r="AI446" s="731" t="str">
        <f t="shared" si="319"/>
        <v>10000</v>
      </c>
      <c r="AJ446" s="733" t="str">
        <f t="shared" si="342"/>
        <v>1+278336.657642624i</v>
      </c>
      <c r="AK446" s="734">
        <f t="shared" si="343"/>
        <v>278336.65764442034</v>
      </c>
      <c r="AL446" s="735">
        <f t="shared" si="344"/>
        <v>1.570792734023436</v>
      </c>
      <c r="AM446" s="340" t="str">
        <f t="shared" si="345"/>
        <v>1+472.369290199121i</v>
      </c>
      <c r="AN446" s="734">
        <f t="shared" si="346"/>
        <v>472.37034869180917</v>
      </c>
      <c r="AO446" s="735">
        <f t="shared" si="347"/>
        <v>1.5686793422091641</v>
      </c>
      <c r="AP446" s="733" t="str">
        <f t="shared" si="348"/>
        <v>1+22.9106891954907i</v>
      </c>
      <c r="AQ446" s="734">
        <f t="shared" si="349"/>
        <v>22.932502685323602</v>
      </c>
      <c r="AR446" s="735">
        <f t="shared" si="350"/>
        <v>1.527176264805306</v>
      </c>
      <c r="AS446" s="732" t="str">
        <f t="shared" si="351"/>
        <v>0.00123749197491118-4.97492090056085i</v>
      </c>
      <c r="AT446" s="337">
        <f t="shared" si="352"/>
        <v>4.9749210544714737</v>
      </c>
      <c r="AU446" s="730">
        <f t="shared" si="353"/>
        <v>-1.5705475807396079</v>
      </c>
      <c r="AV446" s="732" t="str">
        <f t="shared" si="354"/>
        <v>-0.147190619318114+0.0431599131096923i</v>
      </c>
      <c r="AW446" s="337">
        <f t="shared" si="355"/>
        <v>-16.284176370466856</v>
      </c>
      <c r="AX446" s="730">
        <f t="shared" si="356"/>
        <v>163.65756405376976</v>
      </c>
      <c r="AY446" s="360">
        <f t="shared" si="357"/>
        <v>-16.342435946230239</v>
      </c>
      <c r="BB446" s="337">
        <f t="shared" si="358"/>
        <v>-26.064276131046299</v>
      </c>
      <c r="BC446" s="730">
        <f t="shared" si="359"/>
        <v>-89.985747900861426</v>
      </c>
      <c r="BD446" s="351"/>
      <c r="BE446" s="337">
        <f t="shared" si="320"/>
        <v>28.559319986534575</v>
      </c>
      <c r="BF446" s="730">
        <f t="shared" si="321"/>
        <v>-89.611557773989418</v>
      </c>
      <c r="BI446" s="351"/>
      <c r="BJ446" s="351"/>
      <c r="BL446" s="405">
        <f t="shared" si="322"/>
        <v>0</v>
      </c>
      <c r="BM446" s="405">
        <f t="shared" si="360"/>
        <v>0</v>
      </c>
      <c r="BN446" s="405">
        <f t="shared" si="323"/>
        <v>0</v>
      </c>
      <c r="BO446" s="405">
        <f t="shared" si="324"/>
        <v>0</v>
      </c>
    </row>
    <row r="447" spans="4:67" ht="13.5" thickBot="1" x14ac:dyDescent="0.25">
      <c r="D447" s="345">
        <v>47318.5</v>
      </c>
      <c r="E447" s="340" t="str">
        <f t="shared" si="311"/>
        <v>0.784900786448532i</v>
      </c>
      <c r="F447" s="728" t="str">
        <f t="shared" si="325"/>
        <v>0.005-0.0551390561352535i</v>
      </c>
      <c r="G447" s="337" t="str">
        <f t="shared" si="326"/>
        <v>0.005-0.0862431390833452i</v>
      </c>
      <c r="H447" s="338" t="str">
        <f t="shared" si="327"/>
        <v>0.0109881622650309-0.085114460255042i</v>
      </c>
      <c r="I447" s="338" t="str">
        <f t="shared" si="328"/>
        <v>0.0209881622650309-0.085114460255042i</v>
      </c>
      <c r="J447" s="337" t="str">
        <f t="shared" si="329"/>
        <v>0.00505052697131479-0.0336493816805324i</v>
      </c>
      <c r="K447" s="338" t="str">
        <f t="shared" si="312"/>
        <v>0.975121772863889-0.247759086631481i</v>
      </c>
      <c r="L447" s="732"/>
      <c r="M447" s="732" t="str">
        <f t="shared" si="313"/>
        <v>0.178968446423219-26.6210432194938i</v>
      </c>
      <c r="N447" s="337">
        <f t="shared" si="314"/>
        <v>0</v>
      </c>
      <c r="O447" s="730" t="str">
        <f t="shared" si="315"/>
        <v>-0.888174834885772-10.2948030085736i</v>
      </c>
      <c r="P447" s="731" t="str">
        <f t="shared" si="316"/>
        <v>-0.89487775906102-0.140472474347057i</v>
      </c>
      <c r="Q447" s="729" t="str">
        <f t="shared" si="317"/>
        <v>-0.885996010712162-0.0375244442613214i</v>
      </c>
      <c r="R447" s="730"/>
      <c r="S447" s="405" t="str">
        <f t="shared" si="330"/>
        <v>38.8064229976958-8.98515341626552i</v>
      </c>
      <c r="T447" s="405" t="str">
        <f t="shared" si="331"/>
        <v>14.6745886644434-4.868087250654i</v>
      </c>
      <c r="U447" s="405" t="str">
        <f t="shared" si="332"/>
        <v>-0.253097857396378-1.30251102626937i</v>
      </c>
      <c r="V447" s="731" t="str">
        <f t="shared" si="318"/>
        <v>6000</v>
      </c>
      <c r="W447" s="733" t="str">
        <f>IMSUM(COMPLEX(1,0),IMDIV(COMPLEX(0,2*PI()*D447),COMPLEX(2*PI()*'Stability Calculations'!EA_Pole1,0)))</f>
        <v>1+300284.012997355i</v>
      </c>
      <c r="X447" s="734">
        <f t="shared" si="333"/>
        <v>300284.01299902005</v>
      </c>
      <c r="Y447" s="735">
        <f t="shared" si="334"/>
        <v>1.5707929966142786</v>
      </c>
      <c r="Z447" s="340" t="str">
        <f>IMSUM(COMPLEX(1,0),IMDIV(COMPLEX(0,2*PI()*D447),COMPLEX(2*PI()*'Stability Calculations'!EA_Zero1,0)))</f>
        <v>1+2973.10903957777i</v>
      </c>
      <c r="AA447" s="734">
        <f t="shared" si="335"/>
        <v>2973.1092077518865</v>
      </c>
      <c r="AB447" s="735">
        <f t="shared" si="336"/>
        <v>1.5704599785651552</v>
      </c>
      <c r="AC447" s="733" t="str">
        <f>IMSUM(COMPLEX(1,0),IMDIV(COMPLEX(0,2*PI()*D447),COMPLEX(2*PI()*'Stability Calculations'!EA_Pole2,0)))</f>
        <v>1+29.9494834727008i</v>
      </c>
      <c r="AD447" s="734">
        <f t="shared" si="337"/>
        <v>29.966173600938411</v>
      </c>
      <c r="AE447" s="735">
        <f t="shared" si="338"/>
        <v>1.5374191692740515</v>
      </c>
      <c r="AF447" s="732" t="str">
        <f t="shared" si="339"/>
        <v>0.0654958855119654-1.98135119186675i</v>
      </c>
      <c r="AG447" s="337">
        <f t="shared" si="340"/>
        <v>1.9824334179313028</v>
      </c>
      <c r="AH447" s="730">
        <f t="shared" si="341"/>
        <v>-1.537752187323175</v>
      </c>
      <c r="AI447" s="731" t="str">
        <f t="shared" si="319"/>
        <v>10000</v>
      </c>
      <c r="AJ447" s="733" t="str">
        <f t="shared" si="342"/>
        <v>1+279947.352544836i</v>
      </c>
      <c r="AK447" s="734">
        <f t="shared" si="343"/>
        <v>279947.35254662199</v>
      </c>
      <c r="AL447" s="735">
        <f t="shared" si="344"/>
        <v>1.5707927546946752</v>
      </c>
      <c r="AM447" s="340" t="str">
        <f t="shared" si="345"/>
        <v>1+475.102824524528i</v>
      </c>
      <c r="AN447" s="734">
        <f t="shared" si="346"/>
        <v>475.1038769271247</v>
      </c>
      <c r="AO447" s="735">
        <f t="shared" si="347"/>
        <v>1.5686915223785758</v>
      </c>
      <c r="AP447" s="733" t="str">
        <f t="shared" si="348"/>
        <v>1+23.0432701160417i</v>
      </c>
      <c r="AQ447" s="734">
        <f t="shared" si="349"/>
        <v>23.064958218927266</v>
      </c>
      <c r="AR447" s="735">
        <f t="shared" si="350"/>
        <v>1.5274269201153421</v>
      </c>
      <c r="AS447" s="732" t="str">
        <f t="shared" si="351"/>
        <v>0.00122329296348239-4.94629738018269i</v>
      </c>
      <c r="AT447" s="337">
        <f t="shared" si="352"/>
        <v>4.9462975314519673</v>
      </c>
      <c r="AU447" s="730">
        <f t="shared" si="353"/>
        <v>-1.5705490119158028</v>
      </c>
      <c r="AV447" s="732" t="str">
        <f t="shared" si="354"/>
        <v>-0.145403836742238+0.0429190007821111i</v>
      </c>
      <c r="AW447" s="337">
        <f t="shared" si="355"/>
        <v>-16.385684091309216</v>
      </c>
      <c r="AX447" s="730">
        <f t="shared" si="356"/>
        <v>163.55492621809469</v>
      </c>
      <c r="AY447" s="360">
        <f t="shared" si="357"/>
        <v>-16.445073781905307</v>
      </c>
      <c r="BB447" s="337">
        <f t="shared" si="358"/>
        <v>-26.11439526705054</v>
      </c>
      <c r="BC447" s="730">
        <f t="shared" si="359"/>
        <v>-89.98582990121713</v>
      </c>
      <c r="BD447" s="351"/>
      <c r="BE447" s="337">
        <f t="shared" si="320"/>
        <v>28.50469769070699</v>
      </c>
      <c r="BF447" s="730">
        <f t="shared" si="321"/>
        <v>-89.614816666547355</v>
      </c>
      <c r="BI447" s="351"/>
      <c r="BJ447" s="351"/>
      <c r="BL447" s="405">
        <f t="shared" si="322"/>
        <v>0</v>
      </c>
      <c r="BM447" s="405">
        <f t="shared" si="360"/>
        <v>0</v>
      </c>
      <c r="BN447" s="405">
        <f t="shared" si="323"/>
        <v>0</v>
      </c>
      <c r="BO447" s="405">
        <f t="shared" si="324"/>
        <v>0</v>
      </c>
    </row>
    <row r="448" spans="4:67" ht="13.5" thickBot="1" x14ac:dyDescent="0.25">
      <c r="D448" s="345">
        <v>47590.75</v>
      </c>
      <c r="E448" s="340" t="str">
        <f t="shared" si="311"/>
        <v>0.789416763056214i</v>
      </c>
      <c r="F448" s="728" t="str">
        <f t="shared" si="325"/>
        <v>0.005-0.0548236249215653i</v>
      </c>
      <c r="G448" s="337" t="str">
        <f t="shared" si="326"/>
        <v>0.005-0.0857497723132178i</v>
      </c>
      <c r="H448" s="338" t="str">
        <f t="shared" si="327"/>
        <v>0.010919948486646-0.0846323382412114i</v>
      </c>
      <c r="I448" s="338" t="str">
        <f t="shared" si="328"/>
        <v>0.020919948486646-0.0846323382412114i</v>
      </c>
      <c r="J448" s="337" t="str">
        <f t="shared" si="329"/>
        <v>0.00503990882652607-0.0334577733133777i</v>
      </c>
      <c r="K448" s="338" t="str">
        <f t="shared" si="312"/>
        <v>0.974834672382639-0.249184584298047i</v>
      </c>
      <c r="L448" s="732"/>
      <c r="M448" s="732" t="str">
        <f t="shared" si="313"/>
        <v>0.176374948841852-26.4552857465746i</v>
      </c>
      <c r="N448" s="337">
        <f t="shared" si="314"/>
        <v>0</v>
      </c>
      <c r="O448" s="730" t="str">
        <f t="shared" si="315"/>
        <v>-0.883486015707701-10.2297015046811i</v>
      </c>
      <c r="P448" s="731" t="str">
        <f t="shared" si="316"/>
        <v>-0.884246039788077-0.139233341198939i</v>
      </c>
      <c r="Q448" s="729" t="str">
        <f t="shared" si="317"/>
        <v>-0.875411179631-0.0369363261521277i</v>
      </c>
      <c r="R448" s="730"/>
      <c r="S448" s="405" t="str">
        <f t="shared" si="330"/>
        <v>38.7898368653447-9.04534655790055i</v>
      </c>
      <c r="T448" s="405" t="str">
        <f t="shared" si="331"/>
        <v>14.6645325128607-4.89081581378613i</v>
      </c>
      <c r="U448" s="405" t="str">
        <f t="shared" si="332"/>
        <v>-0.253785238606629-1.29450113252189i</v>
      </c>
      <c r="V448" s="731" t="str">
        <f t="shared" si="318"/>
        <v>6000</v>
      </c>
      <c r="W448" s="733" t="str">
        <f>IMSUM(COMPLEX(1,0),IMDIV(COMPLEX(0,2*PI()*D448),COMPLEX(2*PI()*'Stability Calculations'!EA_Pole1,0)))</f>
        <v>1+302011.716169234i</v>
      </c>
      <c r="X448" s="734">
        <f t="shared" si="333"/>
        <v>302011.71617088962</v>
      </c>
      <c r="Y448" s="735">
        <f t="shared" si="334"/>
        <v>1.5707930156650747</v>
      </c>
      <c r="Z448" s="340" t="str">
        <f>IMSUM(COMPLEX(1,0),IMDIV(COMPLEX(0,2*PI()*D448),COMPLEX(2*PI()*'Stability Calculations'!EA_Zero1,0)))</f>
        <v>1+2990.21501157657i</v>
      </c>
      <c r="AA448" s="734">
        <f t="shared" si="335"/>
        <v>2990.215178788621</v>
      </c>
      <c r="AB448" s="735">
        <f t="shared" si="336"/>
        <v>1.5704619026953424</v>
      </c>
      <c r="AC448" s="733" t="str">
        <f>IMSUM(COMPLEX(1,0),IMDIV(COMPLEX(0,2*PI()*D448),COMPLEX(2*PI()*'Stability Calculations'!EA_Pole2,0)))</f>
        <v>1+30.1217997311503i</v>
      </c>
      <c r="AD448" s="734">
        <f t="shared" si="337"/>
        <v>30.138394433737286</v>
      </c>
      <c r="AE448" s="735">
        <f t="shared" si="338"/>
        <v>1.5376099677297297</v>
      </c>
      <c r="AF448" s="732" t="str">
        <f t="shared" si="339"/>
        <v>0.0647494935406146-1.97004135527405i</v>
      </c>
      <c r="AG448" s="337">
        <f t="shared" si="340"/>
        <v>1.9711051312407926</v>
      </c>
      <c r="AH448" s="730">
        <f t="shared" si="341"/>
        <v>-1.5379410806994618</v>
      </c>
      <c r="AI448" s="731" t="str">
        <f t="shared" si="319"/>
        <v>10000</v>
      </c>
      <c r="AJ448" s="733" t="str">
        <f t="shared" si="342"/>
        <v>1+281558.047447049i</v>
      </c>
      <c r="AK448" s="734">
        <f t="shared" si="343"/>
        <v>281558.04744882486</v>
      </c>
      <c r="AL448" s="735">
        <f t="shared" si="344"/>
        <v>1.5707927751294086</v>
      </c>
      <c r="AM448" s="340" t="str">
        <f t="shared" si="345"/>
        <v>1+477.836358849936i</v>
      </c>
      <c r="AN448" s="734">
        <f t="shared" si="346"/>
        <v>477.83740523211952</v>
      </c>
      <c r="AO448" s="735">
        <f t="shared" si="347"/>
        <v>1.5687035631916415</v>
      </c>
      <c r="AP448" s="733" t="str">
        <f t="shared" si="348"/>
        <v>1+23.1758510365927i</v>
      </c>
      <c r="AQ448" s="734">
        <f t="shared" si="349"/>
        <v>23.197415185109204</v>
      </c>
      <c r="AR448" s="735">
        <f t="shared" si="350"/>
        <v>1.5276747129630905</v>
      </c>
      <c r="AS448" s="732" t="str">
        <f t="shared" si="351"/>
        <v>0.00120933693705472-4.91800134999966i</v>
      </c>
      <c r="AT448" s="337">
        <f t="shared" si="352"/>
        <v>4.9180014986876834</v>
      </c>
      <c r="AU448" s="730">
        <f t="shared" si="353"/>
        <v>-1.5705504267174841</v>
      </c>
      <c r="AV448" s="732" t="str">
        <f t="shared" si="354"/>
        <v>-0.143647684101722+0.042680414890322i</v>
      </c>
      <c r="AW448" s="337">
        <f t="shared" si="355"/>
        <v>-16.486622826776014</v>
      </c>
      <c r="AX448" s="730">
        <f t="shared" si="356"/>
        <v>163.4523303279739</v>
      </c>
      <c r="AY448" s="360">
        <f t="shared" si="357"/>
        <v>-16.547669672026103</v>
      </c>
      <c r="BB448" s="337">
        <f t="shared" si="358"/>
        <v>-26.164226865050182</v>
      </c>
      <c r="BC448" s="730">
        <f t="shared" si="359"/>
        <v>-89.985910963382324</v>
      </c>
      <c r="BD448" s="351"/>
      <c r="BE448" s="337">
        <f t="shared" si="320"/>
        <v>28.450442164596769</v>
      </c>
      <c r="BF448" s="730">
        <f t="shared" si="321"/>
        <v>-89.618019984409287</v>
      </c>
      <c r="BI448" s="351"/>
      <c r="BJ448" s="351"/>
      <c r="BL448" s="405">
        <f t="shared" si="322"/>
        <v>0</v>
      </c>
      <c r="BM448" s="405">
        <f t="shared" si="360"/>
        <v>0</v>
      </c>
      <c r="BN448" s="405">
        <f t="shared" si="323"/>
        <v>0</v>
      </c>
      <c r="BO448" s="405">
        <f t="shared" si="324"/>
        <v>0</v>
      </c>
    </row>
    <row r="449" spans="4:67" ht="13.5" thickBot="1" x14ac:dyDescent="0.25">
      <c r="D449" s="345">
        <v>47863</v>
      </c>
      <c r="E449" s="340" t="str">
        <f t="shared" si="311"/>
        <v>0.793932739663897i</v>
      </c>
      <c r="F449" s="728" t="str">
        <f t="shared" si="325"/>
        <v>0.005-0.0545117821226416i</v>
      </c>
      <c r="G449" s="337" t="str">
        <f t="shared" si="326"/>
        <v>0.005-0.085262018191824i</v>
      </c>
      <c r="H449" s="338" t="str">
        <f t="shared" si="327"/>
        <v>0.0108528878937375-0.0841556204706874i</v>
      </c>
      <c r="I449" s="338" t="str">
        <f t="shared" si="328"/>
        <v>0.0208528878937375-0.0841556204706874i</v>
      </c>
      <c r="J449" s="337" t="str">
        <f t="shared" si="329"/>
        <v>0.00502946928119305-0.0332683430080976i</v>
      </c>
      <c r="K449" s="338" t="str">
        <f t="shared" si="312"/>
        <v>0.974545924788889-0.250610081964614i</v>
      </c>
      <c r="L449" s="732"/>
      <c r="M449" s="732" t="str">
        <f t="shared" si="313"/>
        <v>0.173838910299152-26.2916547303454i</v>
      </c>
      <c r="N449" s="337">
        <f t="shared" si="314"/>
        <v>0</v>
      </c>
      <c r="O449" s="730" t="str">
        <f t="shared" si="315"/>
        <v>-0.878874754800186-10.1654338574316i</v>
      </c>
      <c r="P449" s="731" t="str">
        <f t="shared" si="316"/>
        <v>-0.873805470360377-0.138016402313992i</v>
      </c>
      <c r="Q449" s="729" t="str">
        <f t="shared" si="317"/>
        <v>-0.865016722812376-0.0363620637396761i</v>
      </c>
      <c r="R449" s="730"/>
      <c r="S449" s="405" t="str">
        <f t="shared" si="330"/>
        <v>38.7731432091817-9.10545791596446i</v>
      </c>
      <c r="T449" s="405" t="str">
        <f t="shared" si="331"/>
        <v>14.6544256964257-4.91354300960711i</v>
      </c>
      <c r="U449" s="405" t="str">
        <f t="shared" si="332"/>
        <v>-0.254459421452483-1.28657841856862i</v>
      </c>
      <c r="V449" s="731" t="str">
        <f t="shared" si="318"/>
        <v>6000</v>
      </c>
      <c r="W449" s="733" t="str">
        <f>IMSUM(COMPLEX(1,0),IMDIV(COMPLEX(0,2*PI()*D449),COMPLEX(2*PI()*'Stability Calculations'!EA_Pole1,0)))</f>
        <v>1+303739.419341112i</v>
      </c>
      <c r="X449" s="734">
        <f t="shared" si="333"/>
        <v>303739.41934275819</v>
      </c>
      <c r="Y449" s="735">
        <f t="shared" si="334"/>
        <v>1.5707930344991448</v>
      </c>
      <c r="Z449" s="340" t="str">
        <f>IMSUM(COMPLEX(1,0),IMDIV(COMPLEX(0,2*PI()*D449),COMPLEX(2*PI()*'Stability Calculations'!EA_Zero1,0)))</f>
        <v>1+3007.32098357537i</v>
      </c>
      <c r="AA449" s="734">
        <f t="shared" si="335"/>
        <v>3007.3211498363012</v>
      </c>
      <c r="AB449" s="735">
        <f t="shared" si="336"/>
        <v>1.5704638049362043</v>
      </c>
      <c r="AC449" s="733" t="str">
        <f>IMSUM(COMPLEX(1,0),IMDIV(COMPLEX(0,2*PI()*D449),COMPLEX(2*PI()*'Stability Calculations'!EA_Pole2,0)))</f>
        <v>1+30.2941159895999i</v>
      </c>
      <c r="AD449" s="734">
        <f t="shared" si="337"/>
        <v>30.310616351228031</v>
      </c>
      <c r="AE449" s="735">
        <f t="shared" si="338"/>
        <v>1.5377985979963862</v>
      </c>
      <c r="AF449" s="732" t="str">
        <f t="shared" si="339"/>
        <v>0.0640157835046206-1.95885976323979i</v>
      </c>
      <c r="AG449" s="337">
        <f t="shared" si="340"/>
        <v>1.959905506032767</v>
      </c>
      <c r="AH449" s="730">
        <f t="shared" si="341"/>
        <v>-1.5381278275593266</v>
      </c>
      <c r="AI449" s="731" t="str">
        <f t="shared" si="319"/>
        <v>10000</v>
      </c>
      <c r="AJ449" s="733" t="str">
        <f t="shared" si="342"/>
        <v>1+283168.742349261i</v>
      </c>
      <c r="AK449" s="734">
        <f t="shared" si="343"/>
        <v>283168.74235102668</v>
      </c>
      <c r="AL449" s="735">
        <f t="shared" si="344"/>
        <v>1.5707927953316718</v>
      </c>
      <c r="AM449" s="340" t="str">
        <f t="shared" si="345"/>
        <v>1+480.569893175344i</v>
      </c>
      <c r="AN449" s="734">
        <f t="shared" si="346"/>
        <v>480.57093360560367</v>
      </c>
      <c r="AO449" s="735">
        <f t="shared" si="347"/>
        <v>1.5687154670263699</v>
      </c>
      <c r="AP449" s="733" t="str">
        <f t="shared" si="348"/>
        <v>1+23.3084319571437i</v>
      </c>
      <c r="AQ449" s="734">
        <f t="shared" si="349"/>
        <v>23.329873559468719</v>
      </c>
      <c r="AR449" s="735">
        <f t="shared" si="350"/>
        <v>1.5279196920738591</v>
      </c>
      <c r="AS449" s="732" t="str">
        <f t="shared" si="351"/>
        <v>0.00119561838288073-4.8900272216125i</v>
      </c>
      <c r="AT449" s="337">
        <f t="shared" si="352"/>
        <v>4.8900273677776669</v>
      </c>
      <c r="AU449" s="730">
        <f t="shared" si="353"/>
        <v>-1.5705518254240716</v>
      </c>
      <c r="AV449" s="732" t="str">
        <f t="shared" si="354"/>
        <v>-0.141921465886462+0.0424441237968114i</v>
      </c>
      <c r="AW449" s="337">
        <f t="shared" si="355"/>
        <v>-16.5869991731102</v>
      </c>
      <c r="AX449" s="730">
        <f t="shared" si="356"/>
        <v>163.34977557979229</v>
      </c>
      <c r="AY449" s="360">
        <f t="shared" si="357"/>
        <v>-16.650224420207707</v>
      </c>
      <c r="BB449" s="337">
        <f t="shared" si="358"/>
        <v>-26.213774205496662</v>
      </c>
      <c r="BC449" s="730">
        <f t="shared" si="359"/>
        <v>-89.985991103366558</v>
      </c>
      <c r="BD449" s="351"/>
      <c r="BE449" s="337">
        <f t="shared" si="320"/>
        <v>28.396548267061252</v>
      </c>
      <c r="BF449" s="730">
        <f t="shared" si="321"/>
        <v>-89.621169118688996</v>
      </c>
      <c r="BI449" s="351"/>
      <c r="BJ449" s="351"/>
      <c r="BL449" s="405">
        <f t="shared" si="322"/>
        <v>0</v>
      </c>
      <c r="BM449" s="405">
        <f t="shared" si="360"/>
        <v>0</v>
      </c>
      <c r="BN449" s="405">
        <f t="shared" si="323"/>
        <v>0</v>
      </c>
      <c r="BO449" s="405">
        <f t="shared" si="324"/>
        <v>0</v>
      </c>
    </row>
    <row r="450" spans="4:67" ht="13.5" thickBot="1" x14ac:dyDescent="0.25">
      <c r="D450" s="345">
        <v>48141.75</v>
      </c>
      <c r="E450" s="340" t="str">
        <f t="shared" si="311"/>
        <v>0.79855653573145i</v>
      </c>
      <c r="F450" s="728" t="str">
        <f t="shared" si="325"/>
        <v>0.005-0.0541961484103919i</v>
      </c>
      <c r="G450" s="337" t="str">
        <f t="shared" si="326"/>
        <v>0.005-0.0847683346931772i</v>
      </c>
      <c r="H450" s="338" t="str">
        <f t="shared" si="327"/>
        <v>0.0107853940881148-0.0836730264508919i</v>
      </c>
      <c r="I450" s="338" t="str">
        <f t="shared" si="328"/>
        <v>0.0207853940881148-0.0836730264508919i</v>
      </c>
      <c r="J450" s="337" t="str">
        <f t="shared" si="329"/>
        <v>0.00501896132513139-0.0330766082360933i</v>
      </c>
      <c r="K450" s="338" t="str">
        <f t="shared" si="312"/>
        <v>0.97424857674375-0.252069613551594i</v>
      </c>
      <c r="L450" s="732"/>
      <c r="M450" s="732" t="str">
        <f t="shared" si="313"/>
        <v>0.171300078137469-26.1262765138334i</v>
      </c>
      <c r="N450" s="337">
        <f t="shared" si="314"/>
        <v>0</v>
      </c>
      <c r="O450" s="730" t="str">
        <f t="shared" si="315"/>
        <v>-0.874231917203763-10.1004785577019i</v>
      </c>
      <c r="P450" s="731" t="str">
        <f t="shared" si="316"/>
        <v>-0.863308864448749-0.136792796967984i</v>
      </c>
      <c r="Q450" s="729" t="str">
        <f t="shared" si="317"/>
        <v>-0.854566545276711-0.0357880113909654i</v>
      </c>
      <c r="R450" s="730"/>
      <c r="S450" s="405" t="str">
        <f t="shared" si="330"/>
        <v>38.7559397618596-9.16692049318313i</v>
      </c>
      <c r="T450" s="405" t="str">
        <f t="shared" si="331"/>
        <v>14.6440250595708-4.93681087587269i</v>
      </c>
      <c r="U450" s="405" t="str">
        <f t="shared" si="332"/>
        <v>-0.255136325696246-1.27855534699177i</v>
      </c>
      <c r="V450" s="731" t="str">
        <f t="shared" si="318"/>
        <v>6000</v>
      </c>
      <c r="W450" s="733" t="str">
        <f>IMSUM(COMPLEX(1,0),IMDIV(COMPLEX(0,2*PI()*D450),COMPLEX(2*PI()*'Stability Calculations'!EA_Pole1,0)))</f>
        <v>1+305508.371624532i</v>
      </c>
      <c r="X450" s="734">
        <f t="shared" si="333"/>
        <v>305508.37162616861</v>
      </c>
      <c r="Y450" s="735">
        <f t="shared" si="334"/>
        <v>1.5707930535621708</v>
      </c>
      <c r="Z450" s="340" t="str">
        <f>IMSUM(COMPLEX(1,0),IMDIV(COMPLEX(0,2*PI()*D450),COMPLEX(2*PI()*'Stability Calculations'!EA_Zero1,0)))</f>
        <v>1+3024.83536261913i</v>
      </c>
      <c r="AA450" s="734">
        <f t="shared" si="335"/>
        <v>3024.8355279173784</v>
      </c>
      <c r="AB450" s="735">
        <f t="shared" si="336"/>
        <v>1.5704657303016374</v>
      </c>
      <c r="AC450" s="733" t="str">
        <f>IMSUM(COMPLEX(1,0),IMDIV(COMPLEX(0,2*PI()*D450),COMPLEX(2*PI()*'Stability Calculations'!EA_Pole2,0)))</f>
        <v>1+30.470546318499i</v>
      </c>
      <c r="AD450" s="734">
        <f t="shared" si="337"/>
        <v>30.486951191416189</v>
      </c>
      <c r="AE450" s="735">
        <f t="shared" si="338"/>
        <v>1.5379895237367103</v>
      </c>
      <c r="AF450" s="732" t="str">
        <f t="shared" si="339"/>
        <v>0.0632773975836726-1.94754182087297i</v>
      </c>
      <c r="AG450" s="337">
        <f t="shared" si="340"/>
        <v>1.948569519697505</v>
      </c>
      <c r="AH450" s="730">
        <f t="shared" si="341"/>
        <v>-1.5383168469972439</v>
      </c>
      <c r="AI450" s="731" t="str">
        <f t="shared" si="319"/>
        <v>10000</v>
      </c>
      <c r="AJ450" s="733" t="str">
        <f t="shared" si="342"/>
        <v>1+284817.892777146i</v>
      </c>
      <c r="AK450" s="734">
        <f t="shared" si="343"/>
        <v>284817.8927789015</v>
      </c>
      <c r="AL450" s="735">
        <f t="shared" si="344"/>
        <v>1.5707928157795239</v>
      </c>
      <c r="AM450" s="340" t="str">
        <f t="shared" si="345"/>
        <v>1+483.368690946537i</v>
      </c>
      <c r="AN450" s="734">
        <f t="shared" si="346"/>
        <v>483.36972535251812</v>
      </c>
      <c r="AO450" s="735">
        <f t="shared" si="347"/>
        <v>1.5687275155705258</v>
      </c>
      <c r="AP450" s="733" t="str">
        <f t="shared" si="348"/>
        <v>1+23.444178262391i</v>
      </c>
      <c r="AQ450" s="734">
        <f t="shared" si="349"/>
        <v>23.465495826825535</v>
      </c>
      <c r="AR450" s="735">
        <f t="shared" si="350"/>
        <v>1.5281676545142033</v>
      </c>
      <c r="AS450" s="732" t="str">
        <f t="shared" si="351"/>
        <v>0.00118181274719464-4.86171302600342i</v>
      </c>
      <c r="AT450" s="337">
        <f t="shared" si="352"/>
        <v>4.861713169644287</v>
      </c>
      <c r="AU450" s="730">
        <f t="shared" si="353"/>
        <v>-1.5705532411340204</v>
      </c>
      <c r="AV450" s="732" t="str">
        <f t="shared" si="354"/>
        <v>-0.140184343278962+0.0422045363326827i</v>
      </c>
      <c r="AW450" s="337">
        <f t="shared" si="355"/>
        <v>-16.68919609684438</v>
      </c>
      <c r="AX450" s="730">
        <f t="shared" si="356"/>
        <v>163.2448141326521</v>
      </c>
      <c r="AY450" s="360">
        <f t="shared" si="357"/>
        <v>-16.755185867347905</v>
      </c>
      <c r="BB450" s="337">
        <f t="shared" si="358"/>
        <v>-26.264213343071674</v>
      </c>
      <c r="BC450" s="730">
        <f t="shared" si="359"/>
        <v>-89.986072217571646</v>
      </c>
      <c r="BD450" s="351"/>
      <c r="BE450" s="337">
        <f t="shared" si="320"/>
        <v>28.341737076006638</v>
      </c>
      <c r="BF450" s="730">
        <f t="shared" si="321"/>
        <v>-89.624338705032187</v>
      </c>
      <c r="BI450" s="351"/>
      <c r="BJ450" s="351"/>
      <c r="BL450" s="405">
        <f t="shared" si="322"/>
        <v>0</v>
      </c>
      <c r="BM450" s="405">
        <f t="shared" si="360"/>
        <v>0</v>
      </c>
      <c r="BN450" s="405">
        <f t="shared" si="323"/>
        <v>0</v>
      </c>
      <c r="BO450" s="405">
        <f t="shared" si="324"/>
        <v>0</v>
      </c>
    </row>
    <row r="451" spans="4:67" ht="13.5" thickBot="1" x14ac:dyDescent="0.25">
      <c r="D451" s="345">
        <v>48420.5</v>
      </c>
      <c r="E451" s="340" t="str">
        <f t="shared" si="311"/>
        <v>0.803180331799003i</v>
      </c>
      <c r="F451" s="728" t="str">
        <f t="shared" si="325"/>
        <v>0.005-0.0538841488158114i</v>
      </c>
      <c r="G451" s="337" t="str">
        <f t="shared" si="326"/>
        <v>0.005-0.0842803353272944i</v>
      </c>
      <c r="H451" s="338" t="str">
        <f t="shared" si="327"/>
        <v>0.0107190552188858-0.083195909205977i</v>
      </c>
      <c r="I451" s="338" t="str">
        <f t="shared" si="328"/>
        <v>0.0207190552188858-0.083195909205977i</v>
      </c>
      <c r="J451" s="337" t="str">
        <f t="shared" si="329"/>
        <v>0.00500863216342841-0.0328870794823628i</v>
      </c>
      <c r="K451" s="338" t="str">
        <f t="shared" si="312"/>
        <v>0.973949501997222-0.253529145138574i</v>
      </c>
      <c r="L451" s="732"/>
      <c r="M451" s="732" t="str">
        <f t="shared" si="313"/>
        <v>0.16881793572439-25.9630399109824i</v>
      </c>
      <c r="N451" s="337">
        <f t="shared" si="314"/>
        <v>0</v>
      </c>
      <c r="O451" s="730" t="str">
        <f t="shared" si="315"/>
        <v>-0.869666699900278-10.0363629150213i</v>
      </c>
      <c r="P451" s="731" t="str">
        <f t="shared" si="316"/>
        <v>-0.853003010213603-0.135591245628738i</v>
      </c>
      <c r="Q451" s="729" t="str">
        <f t="shared" si="317"/>
        <v>-0.8443063432146-0.0352276164785252i</v>
      </c>
      <c r="R451" s="730"/>
      <c r="S451" s="405" t="str">
        <f t="shared" si="330"/>
        <v>38.7386239493273-9.22829891561898i</v>
      </c>
      <c r="T451" s="405" t="str">
        <f t="shared" si="331"/>
        <v>14.633571260917-4.96007624639553i</v>
      </c>
      <c r="U451" s="405" t="str">
        <f t="shared" si="332"/>
        <v>-0.255799994654575-1.27062059715743i</v>
      </c>
      <c r="V451" s="731" t="str">
        <f t="shared" si="318"/>
        <v>6000</v>
      </c>
      <c r="W451" s="733" t="str">
        <f>IMSUM(COMPLEX(1,0),IMDIV(COMPLEX(0,2*PI()*D451),COMPLEX(2*PI()*'Stability Calculations'!EA_Pole1,0)))</f>
        <v>1+307277.323907952i</v>
      </c>
      <c r="X451" s="734">
        <f t="shared" si="333"/>
        <v>307277.32390957919</v>
      </c>
      <c r="Y451" s="735">
        <f t="shared" si="334"/>
        <v>1.5707930724057106</v>
      </c>
      <c r="Z451" s="340" t="str">
        <f>IMSUM(COMPLEX(1,0),IMDIV(COMPLEX(0,2*PI()*D451),COMPLEX(2*PI()*'Stability Calculations'!EA_Zero1,0)))</f>
        <v>1+3042.34974166289i</v>
      </c>
      <c r="AA451" s="734">
        <f t="shared" si="335"/>
        <v>3042.3499060095396</v>
      </c>
      <c r="AB451" s="735">
        <f t="shared" si="336"/>
        <v>1.5704676334989573</v>
      </c>
      <c r="AC451" s="733" t="str">
        <f>IMSUM(COMPLEX(1,0),IMDIV(COMPLEX(0,2*PI()*D451),COMPLEX(2*PI()*'Stability Calculations'!EA_Pole2,0)))</f>
        <v>1+30.6469766473981i</v>
      </c>
      <c r="AD451" s="734">
        <f t="shared" si="337"/>
        <v>30.663287130152312</v>
      </c>
      <c r="AE451" s="735">
        <f t="shared" si="338"/>
        <v>1.5381782535633972</v>
      </c>
      <c r="AF451" s="732" t="str">
        <f t="shared" si="339"/>
        <v>0.0625517091875964-1.93635377579168i</v>
      </c>
      <c r="AG451" s="337">
        <f t="shared" si="340"/>
        <v>1.9373638433048619</v>
      </c>
      <c r="AH451" s="730">
        <f t="shared" si="341"/>
        <v>-1.5385036924701505</v>
      </c>
      <c r="AI451" s="731" t="str">
        <f t="shared" si="319"/>
        <v>10000</v>
      </c>
      <c r="AJ451" s="733" t="str">
        <f t="shared" si="342"/>
        <v>1+286467.04320503i</v>
      </c>
      <c r="AK451" s="734">
        <f t="shared" si="343"/>
        <v>286467.04320677539</v>
      </c>
      <c r="AL451" s="735">
        <f t="shared" si="344"/>
        <v>1.570792835991945</v>
      </c>
      <c r="AM451" s="340" t="str">
        <f t="shared" si="345"/>
        <v>1+486.16748871773i</v>
      </c>
      <c r="AN451" s="734">
        <f t="shared" si="346"/>
        <v>486.16851716879421</v>
      </c>
      <c r="AO451" s="735">
        <f t="shared" si="347"/>
        <v>1.5687394253917279</v>
      </c>
      <c r="AP451" s="733" t="str">
        <f t="shared" si="348"/>
        <v>1+23.5799245676384i</v>
      </c>
      <c r="AQ451" s="734">
        <f t="shared" si="349"/>
        <v>23.601119520385407</v>
      </c>
      <c r="AR451" s="735">
        <f t="shared" si="350"/>
        <v>1.5284127671400844</v>
      </c>
      <c r="AS451" s="732" t="str">
        <f t="shared" si="351"/>
        <v>0.0011682448558197-4.83372483201081i</v>
      </c>
      <c r="AT451" s="337">
        <f t="shared" si="352"/>
        <v>4.8337249731851699</v>
      </c>
      <c r="AU451" s="730">
        <f t="shared" si="353"/>
        <v>-1.5705546405438844</v>
      </c>
      <c r="AV451" s="732" t="str">
        <f t="shared" si="354"/>
        <v>-0.13847718824348+0.0419672889854772i</v>
      </c>
      <c r="AW451" s="337">
        <f t="shared" si="355"/>
        <v>-16.790817093528702</v>
      </c>
      <c r="AX451" s="730">
        <f t="shared" si="356"/>
        <v>163.13989416980641</v>
      </c>
      <c r="AY451" s="360">
        <f t="shared" si="357"/>
        <v>-16.860105830193589</v>
      </c>
      <c r="BB451" s="337">
        <f t="shared" si="358"/>
        <v>-26.314361269820921</v>
      </c>
      <c r="BC451" s="730">
        <f t="shared" si="359"/>
        <v>-89.98615239785066</v>
      </c>
      <c r="BD451" s="351"/>
      <c r="BE451" s="337">
        <f t="shared" si="320"/>
        <v>28.28729443108406</v>
      </c>
      <c r="BF451" s="730">
        <f t="shared" si="321"/>
        <v>-89.627454298726789</v>
      </c>
      <c r="BI451" s="351"/>
      <c r="BJ451" s="351"/>
      <c r="BL451" s="405">
        <f t="shared" si="322"/>
        <v>0</v>
      </c>
      <c r="BM451" s="405">
        <f t="shared" si="360"/>
        <v>0</v>
      </c>
      <c r="BN451" s="405">
        <f t="shared" si="323"/>
        <v>0</v>
      </c>
      <c r="BO451" s="405">
        <f t="shared" si="324"/>
        <v>0</v>
      </c>
    </row>
    <row r="452" spans="4:67" ht="13.5" thickBot="1" x14ac:dyDescent="0.25">
      <c r="D452" s="345">
        <v>48699.25</v>
      </c>
      <c r="E452" s="340" t="str">
        <f t="shared" si="311"/>
        <v>0.807804127866557i</v>
      </c>
      <c r="F452" s="728" t="str">
        <f t="shared" si="325"/>
        <v>0.005-0.0535757209348396i</v>
      </c>
      <c r="G452" s="337" t="str">
        <f t="shared" si="326"/>
        <v>0.005-0.0837979224878258i</v>
      </c>
      <c r="H452" s="338" t="str">
        <f t="shared" si="327"/>
        <v>0.0106538451260023-0.0827241764846841i</v>
      </c>
      <c r="I452" s="338" t="str">
        <f t="shared" si="328"/>
        <v>0.0206538451260023-0.0827241764846841i</v>
      </c>
      <c r="J452" s="337" t="str">
        <f t="shared" si="329"/>
        <v>0.00499847770906257-0.0326997189702469i</v>
      </c>
      <c r="K452" s="338" t="str">
        <f t="shared" si="312"/>
        <v>0.973648700549306-0.254988676725555i</v>
      </c>
      <c r="L452" s="732"/>
      <c r="M452" s="732" t="str">
        <f t="shared" si="313"/>
        <v>0.166390788725738-25.8019023886458i</v>
      </c>
      <c r="N452" s="337">
        <f t="shared" si="314"/>
        <v>0</v>
      </c>
      <c r="O452" s="730" t="str">
        <f t="shared" si="315"/>
        <v>-0.865177316887319-9.97307018464242i</v>
      </c>
      <c r="P452" s="731" t="str">
        <f t="shared" si="316"/>
        <v>-0.84288325635802-0.134411165971623i</v>
      </c>
      <c r="Q452" s="729" t="str">
        <f t="shared" si="317"/>
        <v>-0.834231483189146-0.0346804641251985i</v>
      </c>
      <c r="R452" s="730"/>
      <c r="S452" s="405" t="str">
        <f t="shared" si="330"/>
        <v>38.7211959428475-9.28959394860675i</v>
      </c>
      <c r="T452" s="405" t="str">
        <f t="shared" si="331"/>
        <v>14.6230642795658-4.98333859694127i</v>
      </c>
      <c r="U452" s="405" t="str">
        <f t="shared" si="332"/>
        <v>-0.256450719474237-1.26277266783191i</v>
      </c>
      <c r="V452" s="731" t="str">
        <f t="shared" si="318"/>
        <v>6000</v>
      </c>
      <c r="W452" s="733" t="str">
        <f>IMSUM(COMPLEX(1,0),IMDIV(COMPLEX(0,2*PI()*D452),COMPLEX(2*PI()*'Stability Calculations'!EA_Pole1,0)))</f>
        <v>1+309046.276191372i</v>
      </c>
      <c r="X452" s="734">
        <f t="shared" si="333"/>
        <v>309046.27619298984</v>
      </c>
      <c r="Y452" s="735">
        <f t="shared" si="334"/>
        <v>1.5707930910335333</v>
      </c>
      <c r="Z452" s="340" t="str">
        <f>IMSUM(COMPLEX(1,0),IMDIV(COMPLEX(0,2*PI()*D452),COMPLEX(2*PI()*'Stability Calculations'!EA_Zero1,0)))</f>
        <v>1+3059.86412070665i</v>
      </c>
      <c r="AA452" s="734">
        <f t="shared" si="335"/>
        <v>3059.8642841125948</v>
      </c>
      <c r="AB452" s="735">
        <f t="shared" si="336"/>
        <v>1.5704695149088292</v>
      </c>
      <c r="AC452" s="733" t="str">
        <f>IMSUM(COMPLEX(1,0),IMDIV(COMPLEX(0,2*PI()*D452),COMPLEX(2*PI()*'Stability Calculations'!EA_Pole2,0)))</f>
        <v>1+30.8234069762973i</v>
      </c>
      <c r="AD452" s="734">
        <f t="shared" si="337"/>
        <v>30.839624148592552</v>
      </c>
      <c r="AE452" s="735">
        <f t="shared" si="338"/>
        <v>1.5383648251307445</v>
      </c>
      <c r="AF452" s="732" t="str">
        <f t="shared" si="339"/>
        <v>0.0618384289431996-1.9252934068239i</v>
      </c>
      <c r="AG452" s="337">
        <f t="shared" si="340"/>
        <v>1.9262862439559039</v>
      </c>
      <c r="AH452" s="730">
        <f t="shared" si="341"/>
        <v>-1.5386884012554485</v>
      </c>
      <c r="AI452" s="731" t="str">
        <f t="shared" si="319"/>
        <v>10000</v>
      </c>
      <c r="AJ452" s="733" t="str">
        <f t="shared" si="342"/>
        <v>1+288116.193632915i</v>
      </c>
      <c r="AK452" s="734">
        <f t="shared" si="343"/>
        <v>288116.19363465038</v>
      </c>
      <c r="AL452" s="735">
        <f t="shared" si="344"/>
        <v>1.570792855972978</v>
      </c>
      <c r="AM452" s="340" t="str">
        <f t="shared" si="345"/>
        <v>1+488.966286488923i</v>
      </c>
      <c r="AN452" s="734">
        <f t="shared" si="346"/>
        <v>488.96730905324074</v>
      </c>
      <c r="AO452" s="735">
        <f t="shared" si="347"/>
        <v>1.568751198872075</v>
      </c>
      <c r="AP452" s="733" t="str">
        <f t="shared" si="348"/>
        <v>1+23.7156708728857i</v>
      </c>
      <c r="AQ452" s="734">
        <f t="shared" si="349"/>
        <v>23.736744615701603</v>
      </c>
      <c r="AR452" s="735">
        <f t="shared" si="350"/>
        <v>1.5286550787709134</v>
      </c>
      <c r="AS452" s="732" t="str">
        <f t="shared" si="351"/>
        <v>0.00115490928105926-4.80605704162671i</v>
      </c>
      <c r="AT452" s="337">
        <f t="shared" si="352"/>
        <v>4.8060571803907131</v>
      </c>
      <c r="AU452" s="730">
        <f t="shared" si="353"/>
        <v>-1.5705560239335643</v>
      </c>
      <c r="AV452" s="732" t="str">
        <f t="shared" si="354"/>
        <v>-0.136799316077587+0.041732349364187i</v>
      </c>
      <c r="AW452" s="337">
        <f t="shared" si="355"/>
        <v>-16.891868885402346</v>
      </c>
      <c r="AX452" s="730">
        <f t="shared" si="356"/>
        <v>163.03501488777434</v>
      </c>
      <c r="AY452" s="360">
        <f t="shared" si="357"/>
        <v>-16.964985112225662</v>
      </c>
      <c r="BB452" s="337">
        <f t="shared" si="358"/>
        <v>-26.364221329067551</v>
      </c>
      <c r="BC452" s="730">
        <f t="shared" si="359"/>
        <v>-89.986231660240747</v>
      </c>
      <c r="BD452" s="351"/>
      <c r="BE452" s="337">
        <f t="shared" si="320"/>
        <v>28.233215163615995</v>
      </c>
      <c r="BF452" s="730">
        <f t="shared" si="321"/>
        <v>-89.630517252259978</v>
      </c>
      <c r="BI452" s="351"/>
      <c r="BJ452" s="351"/>
      <c r="BL452" s="405">
        <f t="shared" si="322"/>
        <v>0</v>
      </c>
      <c r="BM452" s="405">
        <f t="shared" si="360"/>
        <v>0</v>
      </c>
      <c r="BN452" s="405">
        <f t="shared" si="323"/>
        <v>0</v>
      </c>
      <c r="BO452" s="405">
        <f t="shared" si="324"/>
        <v>0</v>
      </c>
    </row>
    <row r="453" spans="4:67" ht="13.5" thickBot="1" x14ac:dyDescent="0.25">
      <c r="D453" s="345">
        <v>48978</v>
      </c>
      <c r="E453" s="340" t="str">
        <f t="shared" si="311"/>
        <v>0.81242792393411i</v>
      </c>
      <c r="F453" s="728" t="str">
        <f t="shared" si="325"/>
        <v>0.005-0.0532708037840662i</v>
      </c>
      <c r="G453" s="337" t="str">
        <f t="shared" si="326"/>
        <v>0.005-0.0833210007904625i</v>
      </c>
      <c r="H453" s="338" t="str">
        <f t="shared" si="327"/>
        <v>0.0105897383847718-0.0822577380857309i</v>
      </c>
      <c r="I453" s="338" t="str">
        <f t="shared" si="328"/>
        <v>0.0205897383847718-0.0822577380857309i</v>
      </c>
      <c r="J453" s="337" t="str">
        <f t="shared" si="329"/>
        <v>0.004988493990841-0.0325144897799855i</v>
      </c>
      <c r="K453" s="338" t="str">
        <f t="shared" si="312"/>
        <v>0.9733461724-0.256448208312535i</v>
      </c>
      <c r="L453" s="732"/>
      <c r="M453" s="732" t="str">
        <f t="shared" si="313"/>
        <v>0.164017005777783-25.6428225574072i</v>
      </c>
      <c r="N453" s="337">
        <f t="shared" si="314"/>
        <v>0</v>
      </c>
      <c r="O453" s="730" t="str">
        <f t="shared" si="315"/>
        <v>-0.860762032656246-9.91058407430919i</v>
      </c>
      <c r="P453" s="731" t="str">
        <f t="shared" si="316"/>
        <v>-0.832945094125079-0.133251995493933i</v>
      </c>
      <c r="Q453" s="729" t="str">
        <f t="shared" si="317"/>
        <v>-0.824337473798517-0.0341461547508404i</v>
      </c>
      <c r="R453" s="730"/>
      <c r="S453" s="405" t="str">
        <f t="shared" si="330"/>
        <v>38.7036559086122-9.35080633524928i</v>
      </c>
      <c r="T453" s="405" t="str">
        <f t="shared" si="331"/>
        <v>14.612504097076-5.00659741183714i</v>
      </c>
      <c r="U453" s="405" t="str">
        <f t="shared" si="332"/>
        <v>-0.257088783069159-1.25501009158318i</v>
      </c>
      <c r="V453" s="731" t="str">
        <f t="shared" si="318"/>
        <v>6000</v>
      </c>
      <c r="W453" s="733" t="str">
        <f>IMSUM(COMPLEX(1,0),IMDIV(COMPLEX(0,2*PI()*D453),COMPLEX(2*PI()*'Stability Calculations'!EA_Pole1,0)))</f>
        <v>1+310815.228474792i</v>
      </c>
      <c r="X453" s="734">
        <f t="shared" si="333"/>
        <v>310815.22847640066</v>
      </c>
      <c r="Y453" s="735">
        <f t="shared" si="334"/>
        <v>1.5707931094493215</v>
      </c>
      <c r="Z453" s="340" t="str">
        <f>IMSUM(COMPLEX(1,0),IMDIV(COMPLEX(0,2*PI()*D453),COMPLEX(2*PI()*'Stability Calculations'!EA_Zero1,0)))</f>
        <v>1+3077.37849975042i</v>
      </c>
      <c r="AA453" s="734">
        <f t="shared" si="335"/>
        <v>3077.3786622263669</v>
      </c>
      <c r="AB453" s="735">
        <f t="shared" si="336"/>
        <v>1.5704713749032515</v>
      </c>
      <c r="AC453" s="733" t="str">
        <f>IMSUM(COMPLEX(1,0),IMDIV(COMPLEX(0,2*PI()*D453),COMPLEX(2*PI()*'Stability Calculations'!EA_Pole2,0)))</f>
        <v>1+30.9998373051965i</v>
      </c>
      <c r="AD453" s="734">
        <f t="shared" si="337"/>
        <v>31.015962228321285</v>
      </c>
      <c r="AE453" s="735">
        <f t="shared" si="338"/>
        <v>1.5385492752373386</v>
      </c>
      <c r="AF453" s="732" t="str">
        <f t="shared" si="339"/>
        <v>0.0611372756711568-1.91435854309898i</v>
      </c>
      <c r="AG453" s="337">
        <f t="shared" si="340"/>
        <v>1.9153345394506258</v>
      </c>
      <c r="AH453" s="730">
        <f t="shared" si="341"/>
        <v>-1.5388710097834088</v>
      </c>
      <c r="AI453" s="731" t="str">
        <f t="shared" si="319"/>
        <v>10000</v>
      </c>
      <c r="AJ453" s="733" t="str">
        <f t="shared" si="342"/>
        <v>1+289765.344060801i</v>
      </c>
      <c r="AK453" s="734">
        <f t="shared" si="343"/>
        <v>289765.34406252654</v>
      </c>
      <c r="AL453" s="735">
        <f t="shared" si="344"/>
        <v>1.5707928757265737</v>
      </c>
      <c r="AM453" s="340" t="str">
        <f t="shared" si="345"/>
        <v>1+491.765084260117i</v>
      </c>
      <c r="AN453" s="734">
        <f t="shared" si="346"/>
        <v>491.76610100469514</v>
      </c>
      <c r="AO453" s="735">
        <f t="shared" si="347"/>
        <v>1.5687628383394367</v>
      </c>
      <c r="AP453" s="733" t="str">
        <f t="shared" si="348"/>
        <v>1+23.8514171781331i</v>
      </c>
      <c r="AQ453" s="734">
        <f t="shared" si="349"/>
        <v>23.872371088883121</v>
      </c>
      <c r="AR453" s="735">
        <f t="shared" si="350"/>
        <v>1.528894637118001</v>
      </c>
      <c r="AS453" s="732" t="str">
        <f t="shared" si="351"/>
        <v>0.00114180074922995-4.77870418428364i</v>
      </c>
      <c r="AT453" s="337">
        <f t="shared" si="352"/>
        <v>4.7787043206918458</v>
      </c>
      <c r="AU453" s="730">
        <f t="shared" si="353"/>
        <v>-1.5705573915765885</v>
      </c>
      <c r="AV453" s="732" t="str">
        <f t="shared" si="354"/>
        <v>-0.135150061532136+0.0414996855928175i</v>
      </c>
      <c r="AW453" s="337">
        <f t="shared" si="355"/>
        <v>-16.992358079474471</v>
      </c>
      <c r="AX453" s="730">
        <f t="shared" si="356"/>
        <v>162.93017550186767</v>
      </c>
      <c r="AY453" s="360">
        <f t="shared" si="357"/>
        <v>-17.069824498132334</v>
      </c>
      <c r="BB453" s="337">
        <f t="shared" si="358"/>
        <v>-26.413796806887166</v>
      </c>
      <c r="BC453" s="730">
        <f t="shared" si="359"/>
        <v>-89.98631002041391</v>
      </c>
      <c r="BD453" s="351"/>
      <c r="BE453" s="337">
        <f t="shared" si="320"/>
        <v>28.179494216059361</v>
      </c>
      <c r="BF453" s="730">
        <f t="shared" si="321"/>
        <v>-89.633528874354241</v>
      </c>
      <c r="BI453" s="351"/>
      <c r="BJ453" s="351"/>
      <c r="BL453" s="405">
        <f t="shared" si="322"/>
        <v>0</v>
      </c>
      <c r="BM453" s="405">
        <f t="shared" si="360"/>
        <v>0</v>
      </c>
      <c r="BN453" s="405">
        <f t="shared" si="323"/>
        <v>0</v>
      </c>
      <c r="BO453" s="405">
        <f t="shared" si="324"/>
        <v>0</v>
      </c>
    </row>
    <row r="454" spans="4:67" ht="13.5" thickBot="1" x14ac:dyDescent="0.25">
      <c r="D454" s="345">
        <v>49263.25</v>
      </c>
      <c r="E454" s="340" t="str">
        <f t="shared" si="311"/>
        <v>0.817159539461535i</v>
      </c>
      <c r="F454" s="728" t="str">
        <f t="shared" si="325"/>
        <v>0.005-0.0529623487637537i</v>
      </c>
      <c r="G454" s="337" t="str">
        <f t="shared" si="326"/>
        <v>0.005-0.0828385455022813i</v>
      </c>
      <c r="H454" s="338" t="str">
        <f t="shared" si="327"/>
        <v>0.0105252532422408-0.0817858120257668i</v>
      </c>
      <c r="I454" s="338" t="str">
        <f t="shared" si="328"/>
        <v>0.0205252532422408-0.0817858120257668i</v>
      </c>
      <c r="J454" s="337" t="str">
        <f t="shared" si="329"/>
        <v>0.00497845019721806-0.0323271101493276i</v>
      </c>
      <c r="K454" s="338" t="str">
        <f t="shared" si="312"/>
        <v>0.973034802215972-0.257941773819929i</v>
      </c>
      <c r="L454" s="732"/>
      <c r="M454" s="732" t="str">
        <f t="shared" si="313"/>
        <v>0.161641476300215-25.4821214427733i</v>
      </c>
      <c r="N454" s="337">
        <f t="shared" si="314"/>
        <v>0</v>
      </c>
      <c r="O454" s="730" t="str">
        <f t="shared" si="315"/>
        <v>-0.856318742404995-9.84745940263859i</v>
      </c>
      <c r="P454" s="731" t="str">
        <f t="shared" si="316"/>
        <v>-0.822958622679509-0.132086874331366i</v>
      </c>
      <c r="Q454" s="729" t="str">
        <f t="shared" si="317"/>
        <v>-0.814395435255459-0.0336122803049801i</v>
      </c>
      <c r="R454" s="730"/>
      <c r="S454" s="405" t="str">
        <f t="shared" si="330"/>
        <v>38.6855910606782-9.41336128892723i</v>
      </c>
      <c r="T454" s="405" t="str">
        <f t="shared" si="331"/>
        <v>14.6016425749936-5.03039439520204i</v>
      </c>
      <c r="U454" s="405" t="str">
        <f t="shared" si="332"/>
        <v>-0.257728904566972-1.24715336982371i</v>
      </c>
      <c r="V454" s="731" t="str">
        <f t="shared" si="318"/>
        <v>6000</v>
      </c>
      <c r="W454" s="733" t="str">
        <f>IMSUM(COMPLEX(1,0),IMDIV(COMPLEX(0,2*PI()*D454),COMPLEX(2*PI()*'Stability Calculations'!EA_Pole1,0)))</f>
        <v>1+312625.429869754i</v>
      </c>
      <c r="X454" s="734">
        <f t="shared" si="333"/>
        <v>312625.42987135338</v>
      </c>
      <c r="Y454" s="735">
        <f t="shared" si="334"/>
        <v>1.5707931280787832</v>
      </c>
      <c r="Z454" s="340" t="str">
        <f>IMSUM(COMPLEX(1,0),IMDIV(COMPLEX(0,2*PI()*D454),COMPLEX(2*PI()*'Stability Calculations'!EA_Zero1,0)))</f>
        <v>1+3095.30128583915i</v>
      </c>
      <c r="AA454" s="734">
        <f t="shared" si="335"/>
        <v>3095.3014473743092</v>
      </c>
      <c r="AB454" s="735">
        <f t="shared" si="336"/>
        <v>1.5704732564786779</v>
      </c>
      <c r="AC454" s="733" t="str">
        <f>IMSUM(COMPLEX(1,0),IMDIV(COMPLEX(0,2*PI()*D454),COMPLEX(2*PI()*'Stability Calculations'!EA_Pole2,0)))</f>
        <v>1+31.1803817045454i</v>
      </c>
      <c r="AD454" s="734">
        <f t="shared" si="337"/>
        <v>31.196413307320274</v>
      </c>
      <c r="AE454" s="735">
        <f t="shared" si="338"/>
        <v>1.5387358677009044</v>
      </c>
      <c r="AF454" s="732" t="str">
        <f t="shared" si="339"/>
        <v>0.0604320420316008-1.90329641167156i</v>
      </c>
      <c r="AG454" s="337">
        <f t="shared" si="340"/>
        <v>1.9042555664579128</v>
      </c>
      <c r="AH454" s="730">
        <f t="shared" si="341"/>
        <v>-1.5390557393010098</v>
      </c>
      <c r="AI454" s="731" t="str">
        <f t="shared" si="319"/>
        <v>10000</v>
      </c>
      <c r="AJ454" s="733" t="str">
        <f t="shared" si="342"/>
        <v>1+291452.950014358i</v>
      </c>
      <c r="AK454" s="734">
        <f t="shared" si="343"/>
        <v>291452.95001607353</v>
      </c>
      <c r="AL454" s="735">
        <f t="shared" si="344"/>
        <v>1.5707928957093649</v>
      </c>
      <c r="AM454" s="340" t="str">
        <f t="shared" si="345"/>
        <v>1+494.629145477096i</v>
      </c>
      <c r="AN454" s="734">
        <f t="shared" si="346"/>
        <v>494.63015633440932</v>
      </c>
      <c r="AO454" s="735">
        <f t="shared" si="347"/>
        <v>1.5687746128568862</v>
      </c>
      <c r="AP454" s="733" t="str">
        <f t="shared" si="348"/>
        <v>1+23.9903288680768i</v>
      </c>
      <c r="AQ454" s="734">
        <f t="shared" si="349"/>
        <v>24.011161554545399</v>
      </c>
      <c r="AR454" s="735">
        <f t="shared" si="350"/>
        <v>1.5291369798906753</v>
      </c>
      <c r="AS454" s="732" t="str">
        <f t="shared" si="351"/>
        <v>0.00112861624777752-4.75103395923201i</v>
      </c>
      <c r="AT454" s="337">
        <f t="shared" si="352"/>
        <v>4.7510340932843684</v>
      </c>
      <c r="AU454" s="730">
        <f t="shared" si="353"/>
        <v>-1.5705587750879981</v>
      </c>
      <c r="AV454" s="732" t="str">
        <f t="shared" si="354"/>
        <v>-0.133491301075666+0.0412639198272554i</v>
      </c>
      <c r="AW454" s="337">
        <f t="shared" si="355"/>
        <v>-17.09461486517786</v>
      </c>
      <c r="AX454" s="730">
        <f t="shared" si="356"/>
        <v>162.82293193366442</v>
      </c>
      <c r="AY454" s="360">
        <f t="shared" si="357"/>
        <v>-17.177068066335579</v>
      </c>
      <c r="BB454" s="337">
        <f t="shared" si="358"/>
        <v>-26.464237061697364</v>
      </c>
      <c r="BC454" s="730">
        <f t="shared" si="359"/>
        <v>-89.986389289778586</v>
      </c>
      <c r="BD454" s="351"/>
      <c r="BE454" s="337">
        <f t="shared" si="320"/>
        <v>28.124886369945369</v>
      </c>
      <c r="BF454" s="730">
        <f t="shared" si="321"/>
        <v>-89.63655890303761</v>
      </c>
      <c r="BI454" s="351"/>
      <c r="BJ454" s="351"/>
      <c r="BL454" s="405">
        <f t="shared" si="322"/>
        <v>0</v>
      </c>
      <c r="BM454" s="405">
        <f t="shared" si="360"/>
        <v>0</v>
      </c>
      <c r="BN454" s="405">
        <f t="shared" si="323"/>
        <v>0</v>
      </c>
      <c r="BO454" s="405">
        <f t="shared" si="324"/>
        <v>0</v>
      </c>
    </row>
    <row r="455" spans="4:67" ht="13.5" thickBot="1" x14ac:dyDescent="0.25">
      <c r="D455" s="345">
        <v>49548.5</v>
      </c>
      <c r="E455" s="340" t="str">
        <f t="shared" si="311"/>
        <v>0.82189115498896i</v>
      </c>
      <c r="F455" s="728" t="str">
        <f t="shared" si="325"/>
        <v>0.005-0.0526574452856491i</v>
      </c>
      <c r="G455" s="337" t="str">
        <f t="shared" si="326"/>
        <v>0.005-0.0823616451903745i</v>
      </c>
      <c r="H455" s="338" t="str">
        <f t="shared" si="327"/>
        <v>0.0104618718919941-0.0813192452939921i</v>
      </c>
      <c r="I455" s="338" t="str">
        <f t="shared" si="328"/>
        <v>0.0204618718919941-0.0813192452939921i</v>
      </c>
      <c r="J455" s="337" t="str">
        <f t="shared" si="329"/>
        <v>0.00496857713584268-0.0321418868175221i</v>
      </c>
      <c r="K455" s="338" t="str">
        <f t="shared" si="312"/>
        <v>0.972721623863889-0.259435339327323i</v>
      </c>
      <c r="L455" s="732"/>
      <c r="M455" s="732" t="str">
        <f t="shared" si="313"/>
        <v>0.159318562237711-25.3234909096401i</v>
      </c>
      <c r="N455" s="337">
        <f t="shared" si="314"/>
        <v>0</v>
      </c>
      <c r="O455" s="730" t="str">
        <f t="shared" si="315"/>
        <v>-0.851949524522978-9.78514627343823i</v>
      </c>
      <c r="P455" s="731" t="str">
        <f t="shared" si="316"/>
        <v>-0.813153192076553-0.130942517128733i</v>
      </c>
      <c r="Q455" s="729" t="str">
        <f t="shared" si="317"/>
        <v>-0.804633696831323-0.0330910543943508i</v>
      </c>
      <c r="R455" s="730"/>
      <c r="S455" s="405" t="str">
        <f t="shared" si="330"/>
        <v>38.6674092360972-9.47583120270751i</v>
      </c>
      <c r="T455" s="405" t="str">
        <f t="shared" si="331"/>
        <v>14.5907253102244-5.0541866099448i</v>
      </c>
      <c r="U455" s="405" t="str">
        <f t="shared" si="332"/>
        <v>-0.258356341688868-1.23938302335088i</v>
      </c>
      <c r="V455" s="731" t="str">
        <f t="shared" si="318"/>
        <v>6000</v>
      </c>
      <c r="W455" s="733" t="str">
        <f>IMSUM(COMPLEX(1,0),IMDIV(COMPLEX(0,2*PI()*D455),COMPLEX(2*PI()*'Stability Calculations'!EA_Pole1,0)))</f>
        <v>1+314435.631264716i</v>
      </c>
      <c r="X455" s="734">
        <f t="shared" si="333"/>
        <v>314435.63126630615</v>
      </c>
      <c r="Y455" s="735">
        <f t="shared" si="334"/>
        <v>1.5707931464937457</v>
      </c>
      <c r="Z455" s="340" t="str">
        <f>IMSUM(COMPLEX(1,0),IMDIV(COMPLEX(0,2*PI()*D455),COMPLEX(2*PI()*'Stability Calculations'!EA_Zero1,0)))</f>
        <v>1+3113.22407192788i</v>
      </c>
      <c r="AA455" s="734">
        <f t="shared" si="335"/>
        <v>3113.224232533084</v>
      </c>
      <c r="AB455" s="735">
        <f t="shared" si="336"/>
        <v>1.5704751163897013</v>
      </c>
      <c r="AC455" s="733" t="str">
        <f>IMSUM(COMPLEX(1,0),IMDIV(COMPLEX(0,2*PI()*D455),COMPLEX(2*PI()*'Stability Calculations'!EA_Pole2,0)))</f>
        <v>1+31.3609261038942i</v>
      </c>
      <c r="AD455" s="734">
        <f t="shared" si="337"/>
        <v>31.376865459983616</v>
      </c>
      <c r="AE455" s="735">
        <f t="shared" si="338"/>
        <v>1.5389203139391259</v>
      </c>
      <c r="AF455" s="732" t="str">
        <f t="shared" si="339"/>
        <v>0.0597389368616831-1.8923612625685i</v>
      </c>
      <c r="AG455" s="337">
        <f t="shared" si="340"/>
        <v>1.8933039609759472</v>
      </c>
      <c r="AH455" s="730">
        <f t="shared" si="341"/>
        <v>-1.5392383440431703</v>
      </c>
      <c r="AI455" s="731" t="str">
        <f t="shared" si="319"/>
        <v>10000</v>
      </c>
      <c r="AJ455" s="733" t="str">
        <f t="shared" si="342"/>
        <v>1+293140.555967916i</v>
      </c>
      <c r="AK455" s="734">
        <f t="shared" si="343"/>
        <v>293140.55596962158</v>
      </c>
      <c r="AL455" s="735">
        <f t="shared" si="344"/>
        <v>1.5707929154620748</v>
      </c>
      <c r="AM455" s="340" t="str">
        <f t="shared" si="345"/>
        <v>1+497.493206694075i</v>
      </c>
      <c r="AN455" s="734">
        <f t="shared" si="346"/>
        <v>497.4942117319091</v>
      </c>
      <c r="AO455" s="735">
        <f t="shared" si="347"/>
        <v>1.5687862518034323</v>
      </c>
      <c r="AP455" s="733" t="str">
        <f t="shared" si="348"/>
        <v>1+24.1292405580205i</v>
      </c>
      <c r="AQ455" s="734">
        <f t="shared" si="349"/>
        <v>24.149953414174973</v>
      </c>
      <c r="AR455" s="735">
        <f t="shared" si="350"/>
        <v>1.5293765371477632</v>
      </c>
      <c r="AS455" s="732" t="str">
        <f t="shared" si="351"/>
        <v>0.0011156587991694-4.72368232829997i</v>
      </c>
      <c r="AT455" s="337">
        <f t="shared" si="352"/>
        <v>4.7236824600504193</v>
      </c>
      <c r="AU455" s="730">
        <f t="shared" si="353"/>
        <v>-1.5705601426696982</v>
      </c>
      <c r="AV455" s="732" t="str">
        <f t="shared" si="354"/>
        <v>-0.131861158491345+0.0410304713706743i</v>
      </c>
      <c r="AW455" s="337">
        <f t="shared" si="355"/>
        <v>-17.196296149905937</v>
      </c>
      <c r="AX455" s="730">
        <f t="shared" si="356"/>
        <v>162.71572853930016</v>
      </c>
      <c r="AY455" s="360">
        <f t="shared" si="357"/>
        <v>-17.284271460699841</v>
      </c>
      <c r="BB455" s="337">
        <f t="shared" si="358"/>
        <v>-26.514386092817375</v>
      </c>
      <c r="BC455" s="730">
        <f t="shared" si="359"/>
        <v>-89.986467646438143</v>
      </c>
      <c r="BD455" s="351"/>
      <c r="BE455" s="337">
        <f t="shared" si="320"/>
        <v>28.070643376352749</v>
      </c>
      <c r="BF455" s="730">
        <f t="shared" si="321"/>
        <v>-89.639537818282449</v>
      </c>
      <c r="BI455" s="351"/>
      <c r="BJ455" s="351"/>
      <c r="BL455" s="405">
        <f t="shared" si="322"/>
        <v>0</v>
      </c>
      <c r="BM455" s="405">
        <f t="shared" si="360"/>
        <v>0</v>
      </c>
      <c r="BN455" s="405">
        <f t="shared" si="323"/>
        <v>0</v>
      </c>
      <c r="BO455" s="405">
        <f t="shared" si="324"/>
        <v>0</v>
      </c>
    </row>
    <row r="456" spans="4:67" ht="13.5" thickBot="1" x14ac:dyDescent="0.25">
      <c r="D456" s="345">
        <v>49833.75</v>
      </c>
      <c r="E456" s="340" t="str">
        <f t="shared" si="311"/>
        <v>0.826622770516384i</v>
      </c>
      <c r="F456" s="728" t="str">
        <f t="shared" si="325"/>
        <v>0.005-0.0523560323623245i</v>
      </c>
      <c r="G456" s="337" t="str">
        <f t="shared" si="326"/>
        <v>0.005-0.0818902044641484i</v>
      </c>
      <c r="H456" s="338" t="str">
        <f t="shared" si="327"/>
        <v>0.0103995693230095-0.0808579475360271i</v>
      </c>
      <c r="I456" s="338" t="str">
        <f t="shared" si="328"/>
        <v>0.0203995693230095-0.0808579475360271i</v>
      </c>
      <c r="J456" s="337" t="str">
        <f t="shared" si="329"/>
        <v>0.00495887090285966-0.0319587828532855i</v>
      </c>
      <c r="K456" s="338" t="str">
        <f t="shared" si="312"/>
        <v>0.97240663734375-0.260928904834717i</v>
      </c>
      <c r="L456" s="732"/>
      <c r="M456" s="732" t="str">
        <f t="shared" si="313"/>
        <v>0.157046702575964-25.1668900770107i</v>
      </c>
      <c r="N456" s="337">
        <f t="shared" si="314"/>
        <v>0</v>
      </c>
      <c r="O456" s="730" t="str">
        <f t="shared" si="315"/>
        <v>-0.847652672653583-9.72362860103454i</v>
      </c>
      <c r="P456" s="731" t="str">
        <f t="shared" si="316"/>
        <v>-0.803524400739897-0.129818380383806i</v>
      </c>
      <c r="Q456" s="729" t="str">
        <f t="shared" si="317"/>
        <v>-0.795047874013361-0.0325820943734601i</v>
      </c>
      <c r="R456" s="730"/>
      <c r="S456" s="405" t="str">
        <f t="shared" si="330"/>
        <v>38.649110597633-9.53821680446124i</v>
      </c>
      <c r="T456" s="405" t="str">
        <f t="shared" si="331"/>
        <v>14.5797522905541-5.07797352978626i</v>
      </c>
      <c r="U456" s="405" t="str">
        <f t="shared" si="332"/>
        <v>-0.25897137260287-1.23169758354132i</v>
      </c>
      <c r="V456" s="731" t="str">
        <f t="shared" si="318"/>
        <v>6000</v>
      </c>
      <c r="W456" s="733" t="str">
        <f>IMSUM(COMPLEX(1,0),IMDIV(COMPLEX(0,2*PI()*D456),COMPLEX(2*PI()*'Stability Calculations'!EA_Pole1,0)))</f>
        <v>1+316245.832659678i</v>
      </c>
      <c r="X456" s="734">
        <f t="shared" si="333"/>
        <v>316245.8326612591</v>
      </c>
      <c r="Y456" s="735">
        <f t="shared" si="334"/>
        <v>1.5707931646978925</v>
      </c>
      <c r="Z456" s="340" t="str">
        <f>IMSUM(COMPLEX(1,0),IMDIV(COMPLEX(0,2*PI()*D456),COMPLEX(2*PI()*'Stability Calculations'!EA_Zero1,0)))</f>
        <v>1+3131.14685801661i</v>
      </c>
      <c r="AA456" s="734">
        <f t="shared" si="335"/>
        <v>3131.1470177025044</v>
      </c>
      <c r="AB456" s="735">
        <f t="shared" si="336"/>
        <v>1.5704769550083448</v>
      </c>
      <c r="AC456" s="733" t="str">
        <f>IMSUM(COMPLEX(1,0),IMDIV(COMPLEX(0,2*PI()*D456),COMPLEX(2*PI()*'Stability Calculations'!EA_Pole2,0)))</f>
        <v>1+31.541470503243i</v>
      </c>
      <c r="AD456" s="734">
        <f t="shared" si="337"/>
        <v>31.557318667893</v>
      </c>
      <c r="AE456" s="735">
        <f t="shared" si="338"/>
        <v>1.5391026507574199</v>
      </c>
      <c r="AF456" s="732" t="str">
        <f t="shared" si="339"/>
        <v>0.0590576837288594-1.88155092400108i</v>
      </c>
      <c r="AG456" s="337">
        <f t="shared" si="340"/>
        <v>1.8824775402688703</v>
      </c>
      <c r="AH456" s="730">
        <f t="shared" si="341"/>
        <v>-1.5394188604469676</v>
      </c>
      <c r="AI456" s="731" t="str">
        <f t="shared" si="319"/>
        <v>10000</v>
      </c>
      <c r="AJ456" s="733" t="str">
        <f t="shared" si="342"/>
        <v>1+294828.161921474i</v>
      </c>
      <c r="AK456" s="734">
        <f t="shared" si="343"/>
        <v>294828.16192316992</v>
      </c>
      <c r="AL456" s="735">
        <f t="shared" si="344"/>
        <v>1.5707929349886545</v>
      </c>
      <c r="AM456" s="340" t="str">
        <f t="shared" si="345"/>
        <v>1+500.357267911054i</v>
      </c>
      <c r="AN456" s="734">
        <f t="shared" si="346"/>
        <v>500.35826719603051</v>
      </c>
      <c r="AO456" s="735">
        <f t="shared" si="347"/>
        <v>1.5687977575070993</v>
      </c>
      <c r="AP456" s="733" t="str">
        <f t="shared" si="348"/>
        <v>1+24.2681522479642i</v>
      </c>
      <c r="AQ456" s="734">
        <f t="shared" si="349"/>
        <v>24.288746643875427</v>
      </c>
      <c r="AR456" s="735">
        <f t="shared" si="350"/>
        <v>1.5296133566133614</v>
      </c>
      <c r="AS456" s="732" t="str">
        <f t="shared" si="351"/>
        <v>0.00110292321968201-4.69664382055958i</v>
      </c>
      <c r="AT456" s="337">
        <f t="shared" si="352"/>
        <v>4.6966439500605235</v>
      </c>
      <c r="AU456" s="730">
        <f t="shared" si="353"/>
        <v>-1.5705614945952353</v>
      </c>
      <c r="AV456" s="732" t="str">
        <f t="shared" si="354"/>
        <v>-0.130258979948895+0.0407993076936358i</v>
      </c>
      <c r="AW456" s="337">
        <f t="shared" si="355"/>
        <v>-17.297408655875234</v>
      </c>
      <c r="AX456" s="730">
        <f t="shared" si="356"/>
        <v>162.60856453557543</v>
      </c>
      <c r="AY456" s="360">
        <f t="shared" si="357"/>
        <v>-17.391435464424575</v>
      </c>
      <c r="BB456" s="337">
        <f t="shared" si="358"/>
        <v>-26.564247243791172</v>
      </c>
      <c r="BC456" s="730">
        <f t="shared" si="359"/>
        <v>-89.986545106065634</v>
      </c>
      <c r="BD456" s="351"/>
      <c r="BE456" s="337">
        <f t="shared" si="320"/>
        <v>28.016760156495828</v>
      </c>
      <c r="BF456" s="730">
        <f t="shared" si="321"/>
        <v>-89.642466891100312</v>
      </c>
      <c r="BI456" s="351"/>
      <c r="BJ456" s="351"/>
      <c r="BL456" s="405">
        <f t="shared" si="322"/>
        <v>0</v>
      </c>
      <c r="BM456" s="405">
        <f t="shared" si="360"/>
        <v>0</v>
      </c>
      <c r="BN456" s="405">
        <f t="shared" si="323"/>
        <v>0</v>
      </c>
      <c r="BO456" s="405">
        <f t="shared" si="324"/>
        <v>0</v>
      </c>
    </row>
    <row r="457" spans="4:67" ht="13.5" thickBot="1" x14ac:dyDescent="0.25">
      <c r="D457" s="345">
        <v>50119</v>
      </c>
      <c r="E457" s="340" t="str">
        <f t="shared" si="311"/>
        <v>0.831354386043809i</v>
      </c>
      <c r="F457" s="728" t="str">
        <f t="shared" si="325"/>
        <v>0.005-0.0520580503947801i</v>
      </c>
      <c r="G457" s="337" t="str">
        <f t="shared" si="326"/>
        <v>0.005-0.0814241301046563i</v>
      </c>
      <c r="H457" s="338" t="str">
        <f t="shared" si="327"/>
        <v>0.0103383212276357-0.080401830407609i</v>
      </c>
      <c r="I457" s="338" t="str">
        <f t="shared" si="328"/>
        <v>0.0203383212276357-0.080401830407609i</v>
      </c>
      <c r="J457" s="337" t="str">
        <f t="shared" si="329"/>
        <v>0.00494932770506379-0.0317777621632098i</v>
      </c>
      <c r="K457" s="338" t="str">
        <f t="shared" si="312"/>
        <v>0.972089842655556-0.262422470342111i</v>
      </c>
      <c r="L457" s="732"/>
      <c r="M457" s="732" t="str">
        <f t="shared" si="313"/>
        <v>0.154824393932574-25.0122791562803i</v>
      </c>
      <c r="N457" s="337">
        <f t="shared" si="314"/>
        <v>0</v>
      </c>
      <c r="O457" s="730" t="str">
        <f t="shared" si="315"/>
        <v>-0.843426528741509-9.66289073163683i</v>
      </c>
      <c r="P457" s="731" t="str">
        <f t="shared" si="316"/>
        <v>-0.794067981525775-0.12871393896242i</v>
      </c>
      <c r="Q457" s="729" t="str">
        <f t="shared" si="317"/>
        <v>-0.78563371623836-0.0320850316460519i</v>
      </c>
      <c r="R457" s="730"/>
      <c r="S457" s="405" t="str">
        <f t="shared" si="330"/>
        <v>38.6306953032518-9.60051880022239i</v>
      </c>
      <c r="T457" s="405" t="str">
        <f t="shared" si="331"/>
        <v>14.5687235061725-5.10175463683167i</v>
      </c>
      <c r="U457" s="405" t="str">
        <f t="shared" si="332"/>
        <v>-0.259574267608354-1.22409561485877i</v>
      </c>
      <c r="V457" s="731" t="str">
        <f t="shared" si="318"/>
        <v>6000</v>
      </c>
      <c r="W457" s="733" t="str">
        <f>IMSUM(COMPLEX(1,0),IMDIV(COMPLEX(0,2*PI()*D457),COMPLEX(2*PI()*'Stability Calculations'!EA_Pole1,0)))</f>
        <v>1+318056.034054639i</v>
      </c>
      <c r="X457" s="734">
        <f t="shared" si="333"/>
        <v>318056.03405621107</v>
      </c>
      <c r="Y457" s="735">
        <f t="shared" si="334"/>
        <v>1.5707931826948234</v>
      </c>
      <c r="Z457" s="340" t="str">
        <f>IMSUM(COMPLEX(1,0),IMDIV(COMPLEX(0,2*PI()*D457),COMPLEX(2*PI()*'Stability Calculations'!EA_Zero1,0)))</f>
        <v>1+3149.06964410534i</v>
      </c>
      <c r="AA457" s="734">
        <f t="shared" si="335"/>
        <v>3149.0698028823899</v>
      </c>
      <c r="AB457" s="735">
        <f t="shared" si="336"/>
        <v>1.5704787726981626</v>
      </c>
      <c r="AC457" s="733" t="str">
        <f>IMSUM(COMPLEX(1,0),IMDIV(COMPLEX(0,2*PI()*D457),COMPLEX(2*PI()*'Stability Calculations'!EA_Pole2,0)))</f>
        <v>1+31.7220149025919i</v>
      </c>
      <c r="AD457" s="734">
        <f t="shared" si="337"/>
        <v>31.737772913048936</v>
      </c>
      <c r="AE457" s="735">
        <f t="shared" si="338"/>
        <v>1.5392829141247006</v>
      </c>
      <c r="AF457" s="732" t="str">
        <f t="shared" si="339"/>
        <v>0.0583880140289347-1.87086327337633i</v>
      </c>
      <c r="AG457" s="337">
        <f t="shared" si="340"/>
        <v>1.8717741711677294</v>
      </c>
      <c r="AH457" s="730">
        <f t="shared" si="341"/>
        <v>-1.5395973241213612</v>
      </c>
      <c r="AI457" s="731" t="str">
        <f t="shared" si="319"/>
        <v>10000</v>
      </c>
      <c r="AJ457" s="733" t="str">
        <f t="shared" si="342"/>
        <v>1+296515.767875031i</v>
      </c>
      <c r="AK457" s="734">
        <f t="shared" si="343"/>
        <v>296515.76787671726</v>
      </c>
      <c r="AL457" s="735">
        <f t="shared" si="344"/>
        <v>1.5707929542929646</v>
      </c>
      <c r="AM457" s="340" t="str">
        <f t="shared" si="345"/>
        <v>1+503.221329128033i</v>
      </c>
      <c r="AN457" s="734">
        <f t="shared" si="346"/>
        <v>503.22232272563593</v>
      </c>
      <c r="AO457" s="735">
        <f t="shared" si="347"/>
        <v>1.5688091322429123</v>
      </c>
      <c r="AP457" s="733" t="str">
        <f t="shared" si="348"/>
        <v>1+24.4070639379079i</v>
      </c>
      <c r="AQ457" s="734">
        <f t="shared" si="349"/>
        <v>24.427541220293215</v>
      </c>
      <c r="AR457" s="735">
        <f t="shared" si="350"/>
        <v>1.5298474849281589</v>
      </c>
      <c r="AS457" s="732" t="str">
        <f t="shared" si="351"/>
        <v>0.00109040447268534-4.66991308963291i</v>
      </c>
      <c r="AT457" s="337">
        <f t="shared" si="352"/>
        <v>4.6699132169352682</v>
      </c>
      <c r="AU457" s="730">
        <f t="shared" si="353"/>
        <v>-1.5705628311319282</v>
      </c>
      <c r="AV457" s="732" t="str">
        <f t="shared" si="354"/>
        <v>-0.128684130193638+0.0405703968001177i</v>
      </c>
      <c r="AW457" s="337">
        <f t="shared" si="355"/>
        <v>-17.397958990100161</v>
      </c>
      <c r="AX457" s="730">
        <f t="shared" si="356"/>
        <v>162.50143915763439</v>
      </c>
      <c r="AY457" s="360">
        <f t="shared" si="357"/>
        <v>-17.498560842365606</v>
      </c>
      <c r="BB457" s="337">
        <f t="shared" si="358"/>
        <v>-26.613823800910442</v>
      </c>
      <c r="BC457" s="730">
        <f t="shared" si="359"/>
        <v>-89.986621683977305</v>
      </c>
      <c r="BD457" s="351"/>
      <c r="BE457" s="337">
        <f t="shared" si="320"/>
        <v>27.963231739975761</v>
      </c>
      <c r="BF457" s="730">
        <f t="shared" si="321"/>
        <v>-89.645347351610965</v>
      </c>
      <c r="BI457" s="351"/>
      <c r="BJ457" s="351"/>
      <c r="BL457" s="405">
        <f t="shared" si="322"/>
        <v>0</v>
      </c>
      <c r="BM457" s="405">
        <f t="shared" si="360"/>
        <v>0</v>
      </c>
      <c r="BN457" s="405">
        <f t="shared" si="323"/>
        <v>0</v>
      </c>
      <c r="BO457" s="405">
        <f t="shared" si="324"/>
        <v>0</v>
      </c>
    </row>
    <row r="458" spans="4:67" ht="13.5" thickBot="1" x14ac:dyDescent="0.25">
      <c r="D458" s="345">
        <v>50410.75</v>
      </c>
      <c r="E458" s="340" t="str">
        <f t="shared" si="311"/>
        <v>0.836193821031105i</v>
      </c>
      <c r="F458" s="728" t="str">
        <f t="shared" si="325"/>
        <v>0.005-0.0517567667161467i</v>
      </c>
      <c r="G458" s="337" t="str">
        <f t="shared" si="326"/>
        <v>0.005-0.0809528915303834i</v>
      </c>
      <c r="H458" s="338" t="str">
        <f t="shared" si="327"/>
        <v>0.0102767436366799-0.0799405887441151i</v>
      </c>
      <c r="I458" s="338" t="str">
        <f t="shared" si="328"/>
        <v>0.0202767436366799-0.0799405887441151i</v>
      </c>
      <c r="J458" s="337" t="str">
        <f t="shared" si="329"/>
        <v>0.00493973185469138-0.0315947348052686i</v>
      </c>
      <c r="K458" s="338" t="str">
        <f t="shared" si="312"/>
        <v>0.971763958715972-0.263950069769919i</v>
      </c>
      <c r="L458" s="732"/>
      <c r="M458" s="732" t="str">
        <f t="shared" si="313"/>
        <v>0.152601193817873-24.8561631915754i</v>
      </c>
      <c r="N458" s="337">
        <f t="shared" si="314"/>
        <v>0</v>
      </c>
      <c r="O458" s="730" t="str">
        <f t="shared" si="315"/>
        <v>-0.839175547456852-9.60155960761161i</v>
      </c>
      <c r="P458" s="731" t="str">
        <f t="shared" si="316"/>
        <v>-0.784570075336138-0.127604175352476i</v>
      </c>
      <c r="Q458" s="729" t="str">
        <f t="shared" si="317"/>
        <v>-0.77617831986157-0.0315885792763605i</v>
      </c>
      <c r="R458" s="730"/>
      <c r="S458" s="405" t="str">
        <f t="shared" si="330"/>
        <v>38.6117398652623-9.66415470159361i</v>
      </c>
      <c r="T458" s="405" t="str">
        <f t="shared" si="331"/>
        <v>14.5573857155321-5.12607110040486i</v>
      </c>
      <c r="U458" s="405" t="str">
        <f t="shared" si="332"/>
        <v>-0.260178620691766-1.21640530323706i</v>
      </c>
      <c r="V458" s="731" t="str">
        <f t="shared" si="318"/>
        <v>6000</v>
      </c>
      <c r="W458" s="733" t="str">
        <f>IMSUM(COMPLEX(1,0),IMDIV(COMPLEX(0,2*PI()*D458),COMPLEX(2*PI()*'Stability Calculations'!EA_Pole1,0)))</f>
        <v>1+319907.484561142i</v>
      </c>
      <c r="X458" s="734">
        <f t="shared" si="333"/>
        <v>319907.48456270492</v>
      </c>
      <c r="Y458" s="735">
        <f t="shared" si="334"/>
        <v>1.5707932008911643</v>
      </c>
      <c r="Z458" s="340" t="str">
        <f>IMSUM(COMPLEX(1,0),IMDIV(COMPLEX(0,2*PI()*D458),COMPLEX(2*PI()*'Stability Calculations'!EA_Zero1,0)))</f>
        <v>1+3167.40083723903i</v>
      </c>
      <c r="AA458" s="734">
        <f t="shared" si="335"/>
        <v>3167.4009950971645</v>
      </c>
      <c r="AB458" s="735">
        <f t="shared" si="336"/>
        <v>1.5704806105284179</v>
      </c>
      <c r="AC458" s="733" t="str">
        <f>IMSUM(COMPLEX(1,0),IMDIV(COMPLEX(0,2*PI()*D458),COMPLEX(2*PI()*'Stability Calculations'!EA_Pole2,0)))</f>
        <v>1+31.9066733723903i</v>
      </c>
      <c r="AD458" s="734">
        <f t="shared" si="337"/>
        <v>31.922340228943117</v>
      </c>
      <c r="AE458" s="735">
        <f t="shared" si="338"/>
        <v>1.5394651769358583</v>
      </c>
      <c r="AF458" s="732" t="str">
        <f t="shared" si="339"/>
        <v>0.057714794876521-1.86005683402223i</v>
      </c>
      <c r="AG458" s="337">
        <f t="shared" si="340"/>
        <v>1.8609520206981267</v>
      </c>
      <c r="AH458" s="730">
        <f t="shared" si="341"/>
        <v>-1.5397777672986048</v>
      </c>
      <c r="AI458" s="731" t="str">
        <f t="shared" si="319"/>
        <v>10000</v>
      </c>
      <c r="AJ458" s="733" t="str">
        <f t="shared" si="342"/>
        <v>1+298241.829354261i</v>
      </c>
      <c r="AK458" s="734">
        <f t="shared" si="343"/>
        <v>298241.82935593749</v>
      </c>
      <c r="AL458" s="735">
        <f t="shared" si="344"/>
        <v>1.5707929738111714</v>
      </c>
      <c r="AM458" s="340" t="str">
        <f t="shared" si="345"/>
        <v>1+506.150653790797i</v>
      </c>
      <c r="AN458" s="734">
        <f t="shared" si="346"/>
        <v>506.1516416380087</v>
      </c>
      <c r="AO458" s="735">
        <f t="shared" si="347"/>
        <v>1.5688206330140269</v>
      </c>
      <c r="AP458" s="733" t="str">
        <f t="shared" si="348"/>
        <v>1+24.5491410125479i</v>
      </c>
      <c r="AQ458" s="734">
        <f t="shared" si="349"/>
        <v>24.569499882048092</v>
      </c>
      <c r="AR458" s="735">
        <f t="shared" si="350"/>
        <v>1.5300842120071256</v>
      </c>
      <c r="AS458" s="732" t="str">
        <f t="shared" si="351"/>
        <v>0.00107781966015537-4.64288617579756i</v>
      </c>
      <c r="AT458" s="337">
        <f t="shared" si="352"/>
        <v>4.6428863009024148</v>
      </c>
      <c r="AU458" s="730">
        <f t="shared" si="353"/>
        <v>-1.5705641824777665</v>
      </c>
      <c r="AV458" s="732" t="str">
        <f t="shared" si="354"/>
        <v>-0.127101020970864+0.0403385672785411i</v>
      </c>
      <c r="AW458" s="337">
        <f t="shared" si="355"/>
        <v>-17.500225803142641</v>
      </c>
      <c r="AX458" s="730">
        <f t="shared" si="356"/>
        <v>162.39191188814118</v>
      </c>
      <c r="AY458" s="360">
        <f t="shared" si="357"/>
        <v>-17.60808811185882</v>
      </c>
      <c r="BB458" s="337">
        <f t="shared" si="358"/>
        <v>-26.66423903180376</v>
      </c>
      <c r="BC458" s="730">
        <f t="shared" si="359"/>
        <v>-89.986699110390504</v>
      </c>
      <c r="BD458" s="351"/>
      <c r="BE458" s="337">
        <f t="shared" si="320"/>
        <v>27.908845522412058</v>
      </c>
      <c r="BF458" s="730">
        <f t="shared" si="321"/>
        <v>-89.648244403701156</v>
      </c>
      <c r="BI458" s="351"/>
      <c r="BJ458" s="351"/>
      <c r="BL458" s="405">
        <f t="shared" si="322"/>
        <v>0</v>
      </c>
      <c r="BM458" s="405">
        <f t="shared" si="360"/>
        <v>0</v>
      </c>
      <c r="BN458" s="405">
        <f t="shared" si="323"/>
        <v>0</v>
      </c>
      <c r="BO458" s="405">
        <f t="shared" si="324"/>
        <v>0</v>
      </c>
    </row>
    <row r="459" spans="4:67" ht="13.5" thickBot="1" x14ac:dyDescent="0.25">
      <c r="D459" s="345">
        <v>50702.5</v>
      </c>
      <c r="E459" s="340" t="str">
        <f t="shared" si="311"/>
        <v>0.841033256018401i</v>
      </c>
      <c r="F459" s="728" t="str">
        <f t="shared" si="325"/>
        <v>0.005-0.051458950302963i</v>
      </c>
      <c r="G459" s="337" t="str">
        <f t="shared" si="326"/>
        <v>0.005-0.0804870761148914i</v>
      </c>
      <c r="H459" s="338" t="str">
        <f t="shared" si="327"/>
        <v>0.0102162198398968-0.0794845857647402i</v>
      </c>
      <c r="I459" s="338" t="str">
        <f t="shared" si="328"/>
        <v>0.0202162198398968-0.0794845857647402i</v>
      </c>
      <c r="J459" s="337" t="str">
        <f t="shared" si="329"/>
        <v>0.00493029886621994-0.0314138129543108i</v>
      </c>
      <c r="K459" s="338" t="str">
        <f t="shared" si="312"/>
        <v>0.971436183263889-0.265477669197727i</v>
      </c>
      <c r="L459" s="732"/>
      <c r="M459" s="732" t="str">
        <f t="shared" si="313"/>
        <v>0.150426821305624-24.7020480080421i</v>
      </c>
      <c r="N459" s="337">
        <f t="shared" si="314"/>
        <v>0</v>
      </c>
      <c r="O459" s="730" t="str">
        <f t="shared" si="315"/>
        <v>-0.834995172583008-9.54101242720112i</v>
      </c>
      <c r="P459" s="731" t="str">
        <f t="shared" si="316"/>
        <v>-0.775243866526508-0.126513959315167i</v>
      </c>
      <c r="Q459" s="729" t="str">
        <f t="shared" si="317"/>
        <v>-0.766893914800678-0.0311038350431566i</v>
      </c>
      <c r="R459" s="730"/>
      <c r="S459" s="405" t="str">
        <f t="shared" si="330"/>
        <v>38.5926627139445-9.72770456986952i</v>
      </c>
      <c r="T459" s="405" t="str">
        <f t="shared" si="331"/>
        <v>14.545989576464-5.15038041322915i</v>
      </c>
      <c r="U459" s="405" t="str">
        <f t="shared" si="332"/>
        <v>-0.260770826374345-1.20879937458412i</v>
      </c>
      <c r="V459" s="731" t="str">
        <f t="shared" si="318"/>
        <v>6000</v>
      </c>
      <c r="W459" s="733" t="str">
        <f>IMSUM(COMPLEX(1,0),IMDIV(COMPLEX(0,2*PI()*D459),COMPLEX(2*PI()*'Stability Calculations'!EA_Pole1,0)))</f>
        <v>1+321758.935067646i</v>
      </c>
      <c r="X459" s="734">
        <f t="shared" si="333"/>
        <v>321758.93506919988</v>
      </c>
      <c r="Y459" s="735">
        <f t="shared" si="334"/>
        <v>1.5707932188780962</v>
      </c>
      <c r="Z459" s="340" t="str">
        <f>IMSUM(COMPLEX(1,0),IMDIV(COMPLEX(0,2*PI()*D459),COMPLEX(2*PI()*'Stability Calculations'!EA_Zero1,0)))</f>
        <v>1+3185.73203037273i</v>
      </c>
      <c r="AA459" s="734">
        <f t="shared" si="335"/>
        <v>3185.7321873225251</v>
      </c>
      <c r="AB459" s="735">
        <f t="shared" si="336"/>
        <v>1.5704824272083584</v>
      </c>
      <c r="AC459" s="733" t="str">
        <f>IMSUM(COMPLEX(1,0),IMDIV(COMPLEX(0,2*PI()*D459),COMPLEX(2*PI()*'Stability Calculations'!EA_Pole2,0)))</f>
        <v>1+32.0913318421889i</v>
      </c>
      <c r="AD459" s="734">
        <f t="shared" si="337"/>
        <v>32.106908593097018</v>
      </c>
      <c r="AE459" s="735">
        <f t="shared" si="338"/>
        <v>1.5396453442569669</v>
      </c>
      <c r="AF459" s="732" t="str">
        <f t="shared" si="339"/>
        <v>0.0570531486446609-1.8493743978794i</v>
      </c>
      <c r="AG459" s="337">
        <f t="shared" si="340"/>
        <v>1.8502542326129301</v>
      </c>
      <c r="AH459" s="730">
        <f t="shared" si="341"/>
        <v>-1.5399561359267047</v>
      </c>
      <c r="AI459" s="731" t="str">
        <f t="shared" si="319"/>
        <v>10000</v>
      </c>
      <c r="AJ459" s="733" t="str">
        <f t="shared" si="342"/>
        <v>1+299967.890833491i</v>
      </c>
      <c r="AK459" s="734">
        <f t="shared" si="343"/>
        <v>299967.89083515789</v>
      </c>
      <c r="AL459" s="735">
        <f t="shared" si="344"/>
        <v>1.5707929931047566</v>
      </c>
      <c r="AM459" s="340" t="str">
        <f t="shared" si="345"/>
        <v>1+509.079978453562i</v>
      </c>
      <c r="AN459" s="734">
        <f t="shared" si="346"/>
        <v>509.08096061655959</v>
      </c>
      <c r="AO459" s="735">
        <f t="shared" si="347"/>
        <v>1.5688320014312358</v>
      </c>
      <c r="AP459" s="733" t="str">
        <f t="shared" si="348"/>
        <v>1+24.691218087188i</v>
      </c>
      <c r="AQ459" s="734">
        <f t="shared" si="349"/>
        <v>24.711459904851431</v>
      </c>
      <c r="AR459" s="735">
        <f t="shared" si="350"/>
        <v>1.5303182192450813</v>
      </c>
      <c r="AS459" s="732" t="str">
        <f t="shared" si="351"/>
        <v>0.00106545146682828-4.61617029596817i</v>
      </c>
      <c r="AT459" s="337">
        <f t="shared" si="352"/>
        <v>4.6161704189258099</v>
      </c>
      <c r="AU459" s="730">
        <f t="shared" si="353"/>
        <v>-1.5705655182719009</v>
      </c>
      <c r="AV459" s="732" t="str">
        <f t="shared" si="354"/>
        <v>-0.125545212796364+0.0401090283479635i</v>
      </c>
      <c r="AW459" s="337">
        <f t="shared" si="355"/>
        <v>-17.601918154990429</v>
      </c>
      <c r="AX459" s="730">
        <f t="shared" si="356"/>
        <v>162.28242346287928</v>
      </c>
      <c r="AY459" s="360">
        <f t="shared" si="357"/>
        <v>-17.717576537120721</v>
      </c>
      <c r="BB459" s="337">
        <f t="shared" si="358"/>
        <v>-26.71436332705996</v>
      </c>
      <c r="BC459" s="730">
        <f t="shared" si="359"/>
        <v>-89.986775645756708</v>
      </c>
      <c r="BD459" s="351"/>
      <c r="BE459" s="337">
        <f t="shared" si="320"/>
        <v>27.854820278589703</v>
      </c>
      <c r="BF459" s="730">
        <f t="shared" si="321"/>
        <v>-89.651093081582175</v>
      </c>
      <c r="BI459" s="351"/>
      <c r="BJ459" s="351"/>
      <c r="BL459" s="405">
        <f t="shared" si="322"/>
        <v>0</v>
      </c>
      <c r="BM459" s="405">
        <f t="shared" si="360"/>
        <v>0</v>
      </c>
      <c r="BN459" s="405">
        <f t="shared" si="323"/>
        <v>0</v>
      </c>
      <c r="BO459" s="405">
        <f t="shared" si="324"/>
        <v>0</v>
      </c>
    </row>
    <row r="460" spans="4:67" ht="13.5" thickBot="1" x14ac:dyDescent="0.25">
      <c r="D460" s="345">
        <v>50994.25</v>
      </c>
      <c r="E460" s="340" t="str">
        <f t="shared" si="311"/>
        <v>0.845872691005697i</v>
      </c>
      <c r="F460" s="728" t="str">
        <f t="shared" si="325"/>
        <v>0.005-0.0511645416441263i</v>
      </c>
      <c r="G460" s="337" t="str">
        <f t="shared" si="326"/>
        <v>0.005-0.0800265907767102i</v>
      </c>
      <c r="H460" s="338" t="str">
        <f t="shared" si="327"/>
        <v>0.010156725962734-0.0790337331182101i</v>
      </c>
      <c r="I460" s="338" t="str">
        <f t="shared" si="328"/>
        <v>0.020156725962734-0.0790337331182101i</v>
      </c>
      <c r="J460" s="337" t="str">
        <f t="shared" si="329"/>
        <v>0.00492102501652333-0.0312349605616787i</v>
      </c>
      <c r="K460" s="338" t="str">
        <f t="shared" si="312"/>
        <v>0.971106516299306-0.267005268625536i</v>
      </c>
      <c r="L460" s="732"/>
      <c r="M460" s="732" t="str">
        <f t="shared" si="313"/>
        <v>0.148299838953602-24.5498943461432i</v>
      </c>
      <c r="N460" s="337">
        <f t="shared" si="314"/>
        <v>0</v>
      </c>
      <c r="O460" s="730" t="str">
        <f t="shared" si="315"/>
        <v>-0.830883776581888-9.48123375072646i</v>
      </c>
      <c r="P460" s="731" t="str">
        <f t="shared" si="316"/>
        <v>-0.766085194477726-0.125442783851395i</v>
      </c>
      <c r="Q460" s="729" t="str">
        <f t="shared" si="317"/>
        <v>-0.757776356711907-0.0306304463441299i</v>
      </c>
      <c r="R460" s="730"/>
      <c r="S460" s="405" t="str">
        <f t="shared" si="330"/>
        <v>38.5734640038573-9.79116909334666i</v>
      </c>
      <c r="T460" s="405" t="str">
        <f t="shared" si="331"/>
        <v>14.5345350858601-5.17468204692028i</v>
      </c>
      <c r="U460" s="405" t="str">
        <f t="shared" si="332"/>
        <v>-0.261351150005068-1.20127639446798i</v>
      </c>
      <c r="V460" s="731" t="str">
        <f t="shared" si="318"/>
        <v>6000</v>
      </c>
      <c r="W460" s="733" t="str">
        <f>IMSUM(COMPLEX(1,0),IMDIV(COMPLEX(0,2*PI()*D460),COMPLEX(2*PI()*'Stability Calculations'!EA_Pole1,0)))</f>
        <v>1+323610.385574149i</v>
      </c>
      <c r="X460" s="734">
        <f t="shared" si="333"/>
        <v>323610.38557569409</v>
      </c>
      <c r="Y460" s="735">
        <f t="shared" si="334"/>
        <v>1.5707932366592132</v>
      </c>
      <c r="Z460" s="340" t="str">
        <f>IMSUM(COMPLEX(1,0),IMDIV(COMPLEX(0,2*PI()*D460),COMPLEX(2*PI()*'Stability Calculations'!EA_Zero1,0)))</f>
        <v>1+3204.06322350643i</v>
      </c>
      <c r="AA460" s="734">
        <f t="shared" si="335"/>
        <v>3204.0633795582785</v>
      </c>
      <c r="AB460" s="735">
        <f t="shared" si="336"/>
        <v>1.5704842231010012</v>
      </c>
      <c r="AC460" s="733" t="str">
        <f>IMSUM(COMPLEX(1,0),IMDIV(COMPLEX(0,2*PI()*D460),COMPLEX(2*PI()*'Stability Calculations'!EA_Pole2,0)))</f>
        <v>1+32.2759903119874i</v>
      </c>
      <c r="AD460" s="734">
        <f t="shared" si="337"/>
        <v>32.291477987535721</v>
      </c>
      <c r="AE460" s="735">
        <f t="shared" si="338"/>
        <v>1.5398234520079985</v>
      </c>
      <c r="AF460" s="732" t="str">
        <f t="shared" si="339"/>
        <v>0.0564028116715298-1.83881384476286i</v>
      </c>
      <c r="AG460" s="337">
        <f t="shared" si="340"/>
        <v>1.839678676523709</v>
      </c>
      <c r="AH460" s="730">
        <f t="shared" si="341"/>
        <v>-1.5401324655662101</v>
      </c>
      <c r="AI460" s="731" t="str">
        <f t="shared" si="319"/>
        <v>10000</v>
      </c>
      <c r="AJ460" s="733" t="str">
        <f t="shared" si="342"/>
        <v>1+301693.952312722i</v>
      </c>
      <c r="AK460" s="734">
        <f t="shared" si="343"/>
        <v>301693.95231437933</v>
      </c>
      <c r="AL460" s="735">
        <f t="shared" si="344"/>
        <v>1.5707930121775755</v>
      </c>
      <c r="AM460" s="340" t="str">
        <f t="shared" si="345"/>
        <v>1+512.009303116327i</v>
      </c>
      <c r="AN460" s="734">
        <f t="shared" si="346"/>
        <v>512.01027966015181</v>
      </c>
      <c r="AO460" s="735">
        <f t="shared" si="347"/>
        <v>1.56884323976621</v>
      </c>
      <c r="AP460" s="733" t="str">
        <f t="shared" si="348"/>
        <v>1+24.833295161828i</v>
      </c>
      <c r="AQ460" s="734">
        <f t="shared" si="349"/>
        <v>24.85342126538055</v>
      </c>
      <c r="AR460" s="735">
        <f t="shared" si="350"/>
        <v>1.5305495532229174</v>
      </c>
      <c r="AS460" s="732" t="str">
        <f t="shared" si="351"/>
        <v>0.00105329494959691-4.58976011165159i</v>
      </c>
      <c r="AT460" s="337">
        <f t="shared" si="352"/>
        <v>4.5897602325108737</v>
      </c>
      <c r="AU460" s="730">
        <f t="shared" si="353"/>
        <v>-1.5705668387812568</v>
      </c>
      <c r="AV460" s="732" t="str">
        <f t="shared" si="354"/>
        <v>-0.124016082276058+0.0398817474539257i</v>
      </c>
      <c r="AW460" s="337">
        <f t="shared" si="355"/>
        <v>-17.703042757570657</v>
      </c>
      <c r="AX460" s="730">
        <f t="shared" si="356"/>
        <v>162.17297311970827</v>
      </c>
      <c r="AY460" s="360">
        <f t="shared" si="357"/>
        <v>-17.827026880291726</v>
      </c>
      <c r="BB460" s="337">
        <f t="shared" si="358"/>
        <v>-26.764200025277741</v>
      </c>
      <c r="BC460" s="730">
        <f t="shared" si="359"/>
        <v>-89.986851305369598</v>
      </c>
      <c r="BD460" s="351"/>
      <c r="BE460" s="337">
        <f t="shared" si="320"/>
        <v>27.801151022508044</v>
      </c>
      <c r="BF460" s="730">
        <f t="shared" si="321"/>
        <v>-89.653894578782442</v>
      </c>
      <c r="BI460" s="351"/>
      <c r="BJ460" s="351"/>
      <c r="BL460" s="405">
        <f t="shared" si="322"/>
        <v>0</v>
      </c>
      <c r="BM460" s="405">
        <f t="shared" si="360"/>
        <v>0</v>
      </c>
      <c r="BN460" s="405">
        <f t="shared" si="323"/>
        <v>0</v>
      </c>
      <c r="BO460" s="405">
        <f t="shared" si="324"/>
        <v>0</v>
      </c>
    </row>
    <row r="461" spans="4:67" ht="13.5" thickBot="1" x14ac:dyDescent="0.25">
      <c r="D461" s="345">
        <v>51286</v>
      </c>
      <c r="E461" s="340" t="str">
        <f t="shared" ref="E461:E524" si="361">COMPLEX(0,2*PI()*D461*L)</f>
        <v>0.850712125992992i</v>
      </c>
      <c r="F461" s="728" t="str">
        <f t="shared" si="325"/>
        <v>0.005-0.0508734825826928i</v>
      </c>
      <c r="G461" s="337" t="str">
        <f t="shared" si="326"/>
        <v>0.005-0.079571344552417i</v>
      </c>
      <c r="H461" s="338" t="str">
        <f t="shared" si="327"/>
        <v>0.0100982388019958-0.0785879444199354i</v>
      </c>
      <c r="I461" s="338" t="str">
        <f t="shared" si="328"/>
        <v>0.0200982388019958-0.0785879444199354i</v>
      </c>
      <c r="J461" s="337" t="str">
        <f t="shared" si="329"/>
        <v>0.00491190668796175-0.0310581423962923i</v>
      </c>
      <c r="K461" s="338" t="str">
        <f t="shared" ref="K461:K524" si="362">IMSUM(COMPLEX(1,0),COMPLEX(0,2*PI()*D461/(Fsw*PI()*(-2)/PI())),IMPRODUCT(COMPLEX(0,2*PI()*D461/(Fsw*PI())),COMPLEX(0,2*PI()*D461/(Fsw*PI()))))</f>
        <v>0.970774957822222-0.268532868053344i</v>
      </c>
      <c r="L461" s="732"/>
      <c r="M461" s="732" t="str">
        <f t="shared" ref="M461:M524" si="363">IF(Vin&gt;=Vout,IMDIV(COMPLEX(Vin,0),IMSUM(E461,J461)),IMDIV(IMSUM(COMPLEX(Vout,0),IMPRODUCT(J461,COMPLEX($B$4,0))),IMSUM(E461,IMPRODUCT(J461,COMPLEX((1-$B$11)^2,0)))))</f>
        <v>0.146218862016896-24.3996639884985i</v>
      </c>
      <c r="N461" s="337">
        <f t="shared" ref="N461:N524" si="364">IF(Vin&gt;=Vout,0,IMSUB(IMPRODUCT(M461,COMPLEX(1-$B$11,0)),COMPLEX($B$4/(1-$B$11),0)))</f>
        <v>0</v>
      </c>
      <c r="O461" s="730" t="str">
        <f t="shared" ref="O461:O524" si="365">IMDIV(IF(Vin&gt;=Vout,M461,N461),IMPRODUCT(I461,IMSUM(IMDIV(COMPLEX(1,0),F461),IMDIV(COMPLEX(1,0),I461))))</f>
        <v>-0.826839778012382-9.42220855025833i</v>
      </c>
      <c r="P461" s="731" t="str">
        <f t="shared" ref="P461:P524" si="366">IF(Vin&gt;=Vout,IMDIV(IMPRODUCT(COMPLEX(Vin,0),J461),IMSUM(J461,E461)),IMPRODUCT(N461,J461))</f>
        <v>-0.757090025170225-0.12439015896667i</v>
      </c>
      <c r="Q461" s="729" t="str">
        <f t="shared" ref="Q461:Q524" si="367">IF(Vin&gt;=Vout,IMDIV(IMPRODUCT(P461,H461),IMSUM(COMPLEX($B$15,0),H461)),IMPRODUCT(O461,H461))</f>
        <v>-0.748821627390101-0.0301680734640861i</v>
      </c>
      <c r="R461" s="730"/>
      <c r="S461" s="405" t="str">
        <f t="shared" si="330"/>
        <v>38.5541438850433-9.85454893890894i</v>
      </c>
      <c r="T461" s="405" t="str">
        <f t="shared" si="331"/>
        <v>14.52302224297-5.19897548128953i</v>
      </c>
      <c r="U461" s="405" t="str">
        <f t="shared" si="332"/>
        <v>-0.261919849427982-1.19383496077579i</v>
      </c>
      <c r="V461" s="731" t="str">
        <f t="shared" ref="V461:V524" si="368">COMPLEX(AEA,0)</f>
        <v>6000</v>
      </c>
      <c r="W461" s="733" t="str">
        <f>IMSUM(COMPLEX(1,0),IMDIV(COMPLEX(0,2*PI()*D461),COMPLEX(2*PI()*'Stability Calculations'!EA_Pole1,0)))</f>
        <v>1+325461.836080652i</v>
      </c>
      <c r="X461" s="734">
        <f t="shared" si="333"/>
        <v>325461.8360821883</v>
      </c>
      <c r="Y461" s="735">
        <f t="shared" si="334"/>
        <v>1.5707932542380278</v>
      </c>
      <c r="Z461" s="340" t="str">
        <f>IMSUM(COMPLEX(1,0),IMDIV(COMPLEX(0,2*PI()*D461),COMPLEX(2*PI()*'Stability Calculations'!EA_Zero1,0)))</f>
        <v>1+3222.39441664012i</v>
      </c>
      <c r="AA461" s="734">
        <f t="shared" si="335"/>
        <v>3222.3945718042387</v>
      </c>
      <c r="AB461" s="735">
        <f t="shared" si="336"/>
        <v>1.5704859985611042</v>
      </c>
      <c r="AC461" s="733" t="str">
        <f>IMSUM(COMPLEX(1,0),IMDIV(COMPLEX(0,2*PI()*D461),COMPLEX(2*PI()*'Stability Calculations'!EA_Pole2,0)))</f>
        <v>1+32.4606487817858i</v>
      </c>
      <c r="AD461" s="734">
        <f t="shared" si="337"/>
        <v>32.476048394693152</v>
      </c>
      <c r="AE461" s="735">
        <f t="shared" si="338"/>
        <v>1.539999535292883</v>
      </c>
      <c r="AF461" s="732" t="str">
        <f t="shared" si="339"/>
        <v>0.0557635277590508-1.82837310250205i</v>
      </c>
      <c r="AG461" s="337">
        <f t="shared" si="340"/>
        <v>1.8292232704022506</v>
      </c>
      <c r="AH461" s="730">
        <f t="shared" si="341"/>
        <v>-1.5403067909698067</v>
      </c>
      <c r="AI461" s="731" t="str">
        <f t="shared" ref="AI461:AI524" si="369">COMPLEX(AIL,0)</f>
        <v>10000</v>
      </c>
      <c r="AJ461" s="733" t="str">
        <f t="shared" si="342"/>
        <v>1+303420.013791952i</v>
      </c>
      <c r="AK461" s="734">
        <f t="shared" si="343"/>
        <v>303420.01379359985</v>
      </c>
      <c r="AL461" s="735">
        <f t="shared" si="344"/>
        <v>1.570793031033396</v>
      </c>
      <c r="AM461" s="340" t="str">
        <f t="shared" si="345"/>
        <v>1+514.938627779091i</v>
      </c>
      <c r="AN461" s="734">
        <f t="shared" si="346"/>
        <v>514.93959876767417</v>
      </c>
      <c r="AO461" s="735">
        <f t="shared" si="347"/>
        <v>1.5688543502389298</v>
      </c>
      <c r="AP461" s="733" t="str">
        <f t="shared" si="348"/>
        <v>1+24.975372236468i</v>
      </c>
      <c r="AQ461" s="734">
        <f t="shared" si="349"/>
        <v>24.995383940842689</v>
      </c>
      <c r="AR461" s="735">
        <f t="shared" si="350"/>
        <v>1.5307782594644501</v>
      </c>
      <c r="AS461" s="732" t="str">
        <f t="shared" si="351"/>
        <v>0.00104134530555192-4.56365040583065i</v>
      </c>
      <c r="AT461" s="337">
        <f t="shared" si="352"/>
        <v>4.5636505246390531</v>
      </c>
      <c r="AU461" s="730">
        <f t="shared" si="353"/>
        <v>-1.5705681442666846</v>
      </c>
      <c r="AV461" s="732" t="str">
        <f t="shared" si="354"/>
        <v>-0.122513023717328+0.0396566925901788i</v>
      </c>
      <c r="AW461" s="337">
        <f t="shared" si="355"/>
        <v>-17.803606207869517</v>
      </c>
      <c r="AX461" s="730">
        <f t="shared" si="356"/>
        <v>162.06356011436353</v>
      </c>
      <c r="AY461" s="360">
        <f t="shared" si="357"/>
        <v>-17.936439885636474</v>
      </c>
      <c r="BB461" s="337">
        <f t="shared" si="358"/>
        <v>-26.813752407916063</v>
      </c>
      <c r="BC461" s="730">
        <f t="shared" si="359"/>
        <v>-89.986926104174827</v>
      </c>
      <c r="BD461" s="351"/>
      <c r="BE461" s="337">
        <f t="shared" ref="BE461:BE524" si="370">20*LOG10(IMABS(M461))</f>
        <v>27.747832873744557</v>
      </c>
      <c r="BF461" s="730">
        <f t="shared" ref="BF461:BF524" si="371">180/PI()*IMARGUMENT(IMPRODUCT(COMPLEX(1,0),M461))</f>
        <v>-89.65665005067045</v>
      </c>
      <c r="BI461" s="351"/>
      <c r="BJ461" s="351"/>
      <c r="BL461" s="405">
        <f t="shared" ref="BL461:BL524" si="372">SUM((AW462&lt;0)*(AW461&gt;0))*D461</f>
        <v>0</v>
      </c>
      <c r="BM461" s="405">
        <f t="shared" si="360"/>
        <v>0</v>
      </c>
      <c r="BN461" s="405">
        <f t="shared" ref="BN461:BN524" si="373">SUM((BB462&lt;0)*(BB461&gt;0))*D461</f>
        <v>0</v>
      </c>
      <c r="BO461" s="405">
        <f t="shared" ref="BO461:BO524" si="374">IF(BN461&gt;0,BC461,0)</f>
        <v>0</v>
      </c>
    </row>
    <row r="462" spans="4:67" ht="13.5" thickBot="1" x14ac:dyDescent="0.25">
      <c r="D462" s="345">
        <v>51584.75</v>
      </c>
      <c r="E462" s="340" t="str">
        <f t="shared" si="361"/>
        <v>0.855667674244765i</v>
      </c>
      <c r="F462" s="728" t="str">
        <f t="shared" ref="F462:F525" si="375">IMSUM(COMPLEX($B$8,0),IMDIV(COMPLEX(1,0),COMPLEX(0,2*PI()*D462*$B$6)))</f>
        <v>0.005-0.0505788518454773i</v>
      </c>
      <c r="G462" s="337" t="str">
        <f t="shared" ref="G462:G525" si="376">IMSUM(COMPLEX($B$9,0),IMDIV(COMPLEX(1,0),COMPLEX(0,2*PI()*D462*$B$7)))</f>
        <v>0.005-0.0791105118608746i</v>
      </c>
      <c r="H462" s="338" t="str">
        <f t="shared" ref="H462:H525" si="377">IMDIV(COMPLEX(1,0),IMSUM(IMDIV(COMPLEX(1,0),COMPLEX($B$5,0)), IMDIV(COMPLEX(1,0),G462)))</f>
        <v>0.0100393680324501-0.0781366192798834i</v>
      </c>
      <c r="I462" s="338" t="str">
        <f t="shared" ref="I462:I525" si="378">IMSUM(H462,COMPLEX($B$15,0))</f>
        <v>0.0200393680324501-0.0781366192798834i</v>
      </c>
      <c r="J462" s="337" t="str">
        <f t="shared" ref="J462:J525" si="379">IMDIV(COMPLEX(1,0),IMSUM(IMDIV(COMPLEX(1,0),F462),IMDIV(COMPLEX(1,0),IMSUM(COMPLEX($B$15,0),H462))))</f>
        <v>0.00490272707330722-0.0308791538647409i</v>
      </c>
      <c r="K462" s="338" t="str">
        <f t="shared" si="362"/>
        <v>0.970433484082639-0.270097119395444i</v>
      </c>
      <c r="L462" s="732"/>
      <c r="M462" s="732" t="str">
        <f t="shared" si="363"/>
        <v>0.144134236771023-24.2477833468881i</v>
      </c>
      <c r="N462" s="337">
        <f t="shared" si="364"/>
        <v>0</v>
      </c>
      <c r="O462" s="730" t="str">
        <f t="shared" si="365"/>
        <v>-0.822766988533038-9.36253268027977i</v>
      </c>
      <c r="P462" s="731" t="str">
        <f t="shared" si="366"/>
        <v>-0.748044382022651-0.123331007156905i</v>
      </c>
      <c r="Q462" s="729" t="str">
        <f t="shared" si="367"/>
        <v>-0.73981671213732-0.0297056803541079i</v>
      </c>
      <c r="R462" s="730"/>
      <c r="S462" s="405" t="str">
        <f t="shared" ref="S462:S525" si="380">IMDIV(IMPRODUCT(COMPLEX($B$34,0),M462),IMSUM(COMPLEX(1,0),IMPRODUCT(M462,COMPLEX($B$29,0),K462,COMPLEX($B$34,0))))</f>
        <v>38.5342345548424-9.91936239117256i</v>
      </c>
      <c r="T462" s="405" t="str">
        <f t="shared" ref="T462:T525" si="381">IMDIV(IMPRODUCT(COMPLEX($B$34,0),O462),IMSUM(COMPLEX(1,0),IMPRODUCT(M462,COMPLEX($B$29,0),K462,COMPLEX($B$34,0))))</f>
        <v>14.5111727032356-5.22384275977515i</v>
      </c>
      <c r="U462" s="405" t="str">
        <f t="shared" ref="U462:U525" si="382">IMDIV(IMPRODUCT(COMPLEX($B$34,0),Q462),IMSUM(COMPLEX(1,0),IMPRODUCT(M462,COMPLEX($B$29,0),K462,COMPLEX($B$34,0))))</f>
        <v>-0.2624904095483-1.18629805682639i</v>
      </c>
      <c r="V462" s="731" t="str">
        <f t="shared" si="368"/>
        <v>6000</v>
      </c>
      <c r="W462" s="733" t="str">
        <f>IMSUM(COMPLEX(1,0),IMDIV(COMPLEX(0,2*PI()*D462),COMPLEX(2*PI()*'Stability Calculations'!EA_Pole1,0)))</f>
        <v>1+327357.708707277i</v>
      </c>
      <c r="X462" s="734">
        <f t="shared" ref="X462:X525" si="383">IMABS(W462)</f>
        <v>327357.70870880439</v>
      </c>
      <c r="Y462" s="735">
        <f t="shared" ref="Y462:Y525" si="384">IMARGUMENT(W462)</f>
        <v>1.5707932720325575</v>
      </c>
      <c r="Z462" s="340" t="str">
        <f>IMSUM(COMPLEX(1,0),IMDIV(COMPLEX(0,2*PI()*D462),COMPLEX(2*PI()*'Stability Calculations'!EA_Zero1,0)))</f>
        <v>1+3241.16543274532i</v>
      </c>
      <c r="AA462" s="734">
        <f t="shared" ref="AA462:AA525" si="385">IMABS(Z462)</f>
        <v>3241.1655870108143</v>
      </c>
      <c r="AB462" s="735">
        <f t="shared" ref="AB462:AB525" si="386">IMARGUMENT(Z462)</f>
        <v>1.5704877958084291</v>
      </c>
      <c r="AC462" s="733" t="str">
        <f>IMSUM(COMPLEX(1,0),IMDIV(COMPLEX(0,2*PI()*D462),COMPLEX(2*PI()*'Stability Calculations'!EA_Pole2,0)))</f>
        <v>1+32.6497377889917i</v>
      </c>
      <c r="AD462" s="734">
        <f t="shared" ref="AD462:AD525" si="387">IMABS(AC462)</f>
        <v>32.665048257884344</v>
      </c>
      <c r="AE462" s="735">
        <f t="shared" ref="AE462:AE525" si="388">IMARGUMENT(AC462)</f>
        <v>1.5401777812958442</v>
      </c>
      <c r="AF462" s="732" t="str">
        <f t="shared" ref="AF462:AF525" si="389">IMPRODUCT(V462,IMDIV(Z462,IMPRODUCT(W462,AC462)))</f>
        <v>0.0551200994151389-1.81780389581231i</v>
      </c>
      <c r="AG462" s="337">
        <f t="shared" ref="AG462:AG525" si="390">IMABS(AF462)</f>
        <v>1.818639389485982</v>
      </c>
      <c r="AH462" s="730">
        <f t="shared" ref="AH462:AH525" si="391">IMARGUMENT(AF462)</f>
        <v>-1.5404832575199725</v>
      </c>
      <c r="AI462" s="731" t="str">
        <f t="shared" si="369"/>
        <v>10000</v>
      </c>
      <c r="AJ462" s="733" t="str">
        <f t="shared" ref="AJ462:AJ525" si="392">IMSUM(COMPLEX(1,0),IMDIV(COMPLEX(0,2*PI()*D462),COMPLEX(2*PI()*IL_Pole1,0)))</f>
        <v>1+305187.488914214i</v>
      </c>
      <c r="AK462" s="734">
        <f t="shared" ref="AK462:AK525" si="393">IMABS(AJ462)</f>
        <v>305187.48891585233</v>
      </c>
      <c r="AL462" s="735">
        <f t="shared" ref="AL462:AL525" si="394">IMARGUMENT(AJ462)</f>
        <v>1.570793050120602</v>
      </c>
      <c r="AM462" s="340" t="str">
        <f t="shared" ref="AM462:AM525" si="395">IMSUM(COMPLEX(1,0),IMDIV(COMPLEX(0,2*PI()*D462),COMPLEX(2*PI()*IL_Zero1,0)))</f>
        <v>1+517.938236152702i</v>
      </c>
      <c r="AN462" s="734">
        <f t="shared" ref="AN462:AN525" si="396">IMABS(AM462)</f>
        <v>517.93920151787313</v>
      </c>
      <c r="AO462" s="735">
        <f t="shared" ref="AO462:AO525" si="397">IMARGUMENT(AM462)</f>
        <v>1.5688655970521856</v>
      </c>
      <c r="AP462" s="733" t="str">
        <f t="shared" ref="AP462:AP525" si="398">IMSUM(COMPLEX(1,0),IMDIV(COMPLEX(0,2*PI()*D462),COMPLEX(2*PI()*IL_Pole2,0)))</f>
        <v>1+25.1208581869349i</v>
      </c>
      <c r="AQ462" s="734">
        <f t="shared" ref="AQ462:AQ525" si="399">IMABS(AP462)</f>
        <v>25.14075408670341</v>
      </c>
      <c r="AR462" s="735">
        <f t="shared" ref="AR462:AR525" si="400">IMARGUMENT(AP462)</f>
        <v>1.5310097764970674</v>
      </c>
      <c r="AS462" s="732" t="str">
        <f t="shared" ref="AS462:AS525" si="401">_xlfn.SWITCH(IMONLIM_select,0,COMPLEX(1,0),1,IMPRODUCT(gm_IL,IMDIV(COMPLEX(1,0),IMSUM(COMPLEX(1/20000000,0),COMPLEX(0,2*PI()*D462*CISET),COMPLEX(1/RISET,0)))),2,IMPRODUCT(gm_IL,IMDIV(COMPLEX(1,0),IMSUM(COMPLEX(1/20000000,0),COMPLEX(0,2*PI()*D462*CcIL)))),3,IMPRODUCT(AI462,IMDIV(AM462,IMPRODUCT(AJ462,AP462))))</f>
        <v>0.0010293184553685-4.53722029968499i</v>
      </c>
      <c r="AT462" s="337">
        <f t="shared" ref="AT462:AT525" si="402">IMABS(AS462)</f>
        <v>4.5372204164411096</v>
      </c>
      <c r="AU462" s="730">
        <f t="shared" ref="AU462:AU525" si="403">IMARGUMENT(AS462)</f>
        <v>-1.5705694657721285</v>
      </c>
      <c r="AV462" s="732" t="str">
        <f t="shared" ref="AV462:AV525" si="404">IMPRODUCT(T462,AS462,COMPLEX($B$15,0),IMPRODUCT(COMPLEX(0.1,0),AF462))</f>
        <v>-0.121000305127899+0.039428511871734i</v>
      </c>
      <c r="AW462" s="337">
        <f t="shared" ref="AW462:AW525" si="405">20*LOG10(IMABS(AV462))</f>
        <v>-17.9060077550443</v>
      </c>
      <c r="AX462" s="730">
        <f t="shared" ref="AX462:AX525" si="406">(180/PI())*IMARGUMENT(AV462)</f>
        <v>161.95155988010467</v>
      </c>
      <c r="AY462" s="360">
        <f t="shared" ref="AY462:AY525" si="407">IF(AX462&gt;0,AX462-180,AX462+180)</f>
        <v>-18.048440119895332</v>
      </c>
      <c r="BB462" s="337">
        <f t="shared" ref="BB462:BB525" si="408">20*LOG10(IMPRODUCT(COMPLEX($B$15,0),IMABS(AS462)))</f>
        <v>-26.864202447217028</v>
      </c>
      <c r="BC462" s="730">
        <f t="shared" ref="BC462:BC525" si="409">(180/PI())*IMARGUMENT(AS462)</f>
        <v>-89.987001820859376</v>
      </c>
      <c r="BD462" s="351"/>
      <c r="BE462" s="337">
        <f t="shared" si="370"/>
        <v>27.693594309400083</v>
      </c>
      <c r="BF462" s="730">
        <f t="shared" si="371"/>
        <v>-89.659425108317905</v>
      </c>
      <c r="BI462" s="351"/>
      <c r="BJ462" s="351"/>
      <c r="BL462" s="405">
        <f t="shared" si="372"/>
        <v>0</v>
      </c>
      <c r="BM462" s="405">
        <f t="shared" si="360"/>
        <v>0</v>
      </c>
      <c r="BN462" s="405">
        <f t="shared" si="373"/>
        <v>0</v>
      </c>
      <c r="BO462" s="405">
        <f t="shared" si="374"/>
        <v>0</v>
      </c>
    </row>
    <row r="463" spans="4:67" ht="13.5" thickBot="1" x14ac:dyDescent="0.25">
      <c r="D463" s="345">
        <v>51883.5</v>
      </c>
      <c r="E463" s="340" t="str">
        <f t="shared" si="361"/>
        <v>0.860623222496537i</v>
      </c>
      <c r="F463" s="728" t="str">
        <f t="shared" si="375"/>
        <v>0.005-0.0502876141304266i</v>
      </c>
      <c r="G463" s="337" t="str">
        <f t="shared" si="376"/>
        <v>0.005-0.0786549862040008i</v>
      </c>
      <c r="H463" s="338" t="str">
        <f t="shared" si="377"/>
        <v>0.00998150568473354-0.0776904267582044i</v>
      </c>
      <c r="I463" s="338" t="str">
        <f t="shared" si="378"/>
        <v>0.0199815056847335-0.0776904267582044i</v>
      </c>
      <c r="J463" s="337" t="str">
        <f t="shared" si="379"/>
        <v>0.00489370317825455-0.0307022261046122i</v>
      </c>
      <c r="K463" s="338" t="str">
        <f t="shared" si="362"/>
        <v>0.970090026975-0.271661370737543i</v>
      </c>
      <c r="L463" s="732"/>
      <c r="M463" s="732" t="str">
        <f t="shared" si="363"/>
        <v>0.142095071762502-24.0978415003868i</v>
      </c>
      <c r="N463" s="337">
        <f t="shared" si="364"/>
        <v>0</v>
      </c>
      <c r="O463" s="730" t="str">
        <f t="shared" si="365"/>
        <v>-0.818761654674628-9.30361624690173i</v>
      </c>
      <c r="P463" s="731" t="str">
        <f t="shared" si="366"/>
        <v>-0.739162007273685-0.122290318561121i</v>
      </c>
      <c r="Q463" s="729" t="str">
        <f t="shared" si="367"/>
        <v>-0.730974390726939-0.0292541560921037i</v>
      </c>
      <c r="R463" s="730"/>
      <c r="S463" s="405" t="str">
        <f t="shared" si="380"/>
        <v>38.5141982247068-9.98408840237591i</v>
      </c>
      <c r="T463" s="405" t="str">
        <f t="shared" si="381"/>
        <v>14.499261983228-5.24870036213638i</v>
      </c>
      <c r="U463" s="405" t="str">
        <f t="shared" si="382"/>
        <v>-0.263049305150287-1.17884378365812i</v>
      </c>
      <c r="V463" s="731" t="str">
        <f t="shared" si="368"/>
        <v>6000</v>
      </c>
      <c r="W463" s="733" t="str">
        <f>IMSUM(COMPLEX(1,0),IMDIV(COMPLEX(0,2*PI()*D463),COMPLEX(2*PI()*'Stability Calculations'!EA_Pole1,0)))</f>
        <v>1+329253.581333903i</v>
      </c>
      <c r="X463" s="734">
        <f t="shared" si="383"/>
        <v>329253.58133542165</v>
      </c>
      <c r="Y463" s="735">
        <f t="shared" si="384"/>
        <v>1.5707932896221619</v>
      </c>
      <c r="Z463" s="340" t="str">
        <f>IMSUM(COMPLEX(1,0),IMDIV(COMPLEX(0,2*PI()*D463),COMPLEX(2*PI()*'Stability Calculations'!EA_Zero1,0)))</f>
        <v>1+3259.93644885052i</v>
      </c>
      <c r="AA463" s="734">
        <f t="shared" si="385"/>
        <v>3259.9366022277395</v>
      </c>
      <c r="AB463" s="735">
        <f t="shared" si="386"/>
        <v>1.5704895723583228</v>
      </c>
      <c r="AC463" s="733" t="str">
        <f>IMSUM(COMPLEX(1,0),IMDIV(COMPLEX(0,2*PI()*D463),COMPLEX(2*PI()*'Stability Calculations'!EA_Pole2,0)))</f>
        <v>1+32.8388267961975i</v>
      </c>
      <c r="AD463" s="734">
        <f t="shared" si="387"/>
        <v>32.854049146956896</v>
      </c>
      <c r="AE463" s="735">
        <f t="shared" si="388"/>
        <v>1.54035397649759</v>
      </c>
      <c r="AF463" s="732" t="str">
        <f t="shared" si="389"/>
        <v>0.0544877400704783-1.80735606899512i</v>
      </c>
      <c r="AG463" s="337">
        <f t="shared" si="390"/>
        <v>1.808177224154613</v>
      </c>
      <c r="AH463" s="730">
        <f t="shared" si="391"/>
        <v>-1.5406576937614296</v>
      </c>
      <c r="AI463" s="731" t="str">
        <f t="shared" si="369"/>
        <v>10000</v>
      </c>
      <c r="AJ463" s="733" t="str">
        <f t="shared" si="392"/>
        <v>1+306954.964036476i</v>
      </c>
      <c r="AK463" s="734">
        <f t="shared" si="393"/>
        <v>306954.96403810487</v>
      </c>
      <c r="AL463" s="735">
        <f t="shared" si="394"/>
        <v>1.5707930689879961</v>
      </c>
      <c r="AM463" s="340" t="str">
        <f t="shared" si="395"/>
        <v>1+520.937844526313i</v>
      </c>
      <c r="AN463" s="734">
        <f t="shared" si="396"/>
        <v>520.93880433283243</v>
      </c>
      <c r="AO463" s="735">
        <f t="shared" si="397"/>
        <v>1.5688767143455362</v>
      </c>
      <c r="AP463" s="733" t="str">
        <f t="shared" si="398"/>
        <v>1+25.2663441374018i</v>
      </c>
      <c r="AQ463" s="734">
        <f t="shared" si="399"/>
        <v>25.286125564617809</v>
      </c>
      <c r="AR463" s="735">
        <f t="shared" si="400"/>
        <v>1.5312386315307556</v>
      </c>
      <c r="AS463" s="732" t="str">
        <f t="shared" si="401"/>
        <v>0.0010174987616082-4.51109456749249i</v>
      </c>
      <c r="AT463" s="337">
        <f t="shared" si="402"/>
        <v>4.511094682243324</v>
      </c>
      <c r="AU463" s="730">
        <f t="shared" si="403"/>
        <v>-1.570570772058872</v>
      </c>
      <c r="AV463" s="732" t="str">
        <f t="shared" si="404"/>
        <v>-0.11951369346873+0.0392025990806147i</v>
      </c>
      <c r="AW463" s="337">
        <f t="shared" si="405"/>
        <v>-18.007834541842602</v>
      </c>
      <c r="AX463" s="730">
        <f t="shared" si="406"/>
        <v>161.83959727259801</v>
      </c>
      <c r="AY463" s="360">
        <f t="shared" si="407"/>
        <v>-18.160402727401987</v>
      </c>
      <c r="BB463" s="337">
        <f t="shared" si="408"/>
        <v>-26.914361150157177</v>
      </c>
      <c r="BC463" s="730">
        <f t="shared" si="409"/>
        <v>-89.987076665576609</v>
      </c>
      <c r="BD463" s="351"/>
      <c r="BE463" s="337">
        <f t="shared" si="370"/>
        <v>27.639713871579744</v>
      </c>
      <c r="BF463" s="730">
        <f t="shared" si="371"/>
        <v>-89.662154241295994</v>
      </c>
      <c r="BI463" s="351"/>
      <c r="BJ463" s="351"/>
      <c r="BL463" s="405">
        <f t="shared" si="372"/>
        <v>0</v>
      </c>
      <c r="BM463" s="405">
        <f t="shared" si="360"/>
        <v>0</v>
      </c>
      <c r="BN463" s="405">
        <f t="shared" si="373"/>
        <v>0</v>
      </c>
      <c r="BO463" s="405">
        <f t="shared" si="374"/>
        <v>0</v>
      </c>
    </row>
    <row r="464" spans="4:67" ht="13.5" thickBot="1" x14ac:dyDescent="0.25">
      <c r="D464" s="345">
        <v>52182.25</v>
      </c>
      <c r="E464" s="340" t="str">
        <f t="shared" si="361"/>
        <v>0.86557877074831i</v>
      </c>
      <c r="F464" s="728" t="str">
        <f t="shared" si="375"/>
        <v>0.005-0.0499997111610938i</v>
      </c>
      <c r="G464" s="337" t="str">
        <f t="shared" si="376"/>
        <v>0.005-0.0782046764314545i</v>
      </c>
      <c r="H464" s="338" t="str">
        <f t="shared" si="377"/>
        <v>0.00992462888933553-0.0772492801642104i</v>
      </c>
      <c r="I464" s="338" t="str">
        <f t="shared" si="378"/>
        <v>0.0199246288893355-0.0772492801642104i</v>
      </c>
      <c r="J464" s="337" t="str">
        <f t="shared" si="379"/>
        <v>0.00488483143948277-0.0305273238044901i</v>
      </c>
      <c r="K464" s="338" t="str">
        <f t="shared" si="362"/>
        <v>0.969744586499306-0.273225622079643i</v>
      </c>
      <c r="L464" s="732"/>
      <c r="M464" s="732" t="str">
        <f t="shared" si="363"/>
        <v>0.140100037320139-23.9498005878894i</v>
      </c>
      <c r="N464" s="337">
        <f t="shared" si="364"/>
        <v>0</v>
      </c>
      <c r="O464" s="730" t="str">
        <f t="shared" si="365"/>
        <v>-0.814822218754952-9.24544436782866i</v>
      </c>
      <c r="P464" s="731" t="str">
        <f t="shared" si="366"/>
        <v>-0.730438952532494-0.121267618085358i</v>
      </c>
      <c r="Q464" s="729" t="str">
        <f t="shared" si="367"/>
        <v>-0.722290730344945-0.0288131744070721i</v>
      </c>
      <c r="R464" s="730"/>
      <c r="S464" s="405" t="str">
        <f t="shared" si="380"/>
        <v>38.4940350420954-10.0487276224743i</v>
      </c>
      <c r="T464" s="405" t="str">
        <f t="shared" si="381"/>
        <v>14.487290089425-5.27354775508832i</v>
      </c>
      <c r="U464" s="405" t="str">
        <f t="shared" si="382"/>
        <v>-0.263596790242469-1.17147073533762i</v>
      </c>
      <c r="V464" s="731" t="str">
        <f t="shared" si="368"/>
        <v>6000</v>
      </c>
      <c r="W464" s="733" t="str">
        <f>IMSUM(COMPLEX(1,0),IMDIV(COMPLEX(0,2*PI()*D464),COMPLEX(2*PI()*'Stability Calculations'!EA_Pole1,0)))</f>
        <v>1+331149.453960528i</v>
      </c>
      <c r="X464" s="734">
        <f t="shared" si="383"/>
        <v>331149.45396203786</v>
      </c>
      <c r="Y464" s="735">
        <f t="shared" si="384"/>
        <v>1.5707933070103612</v>
      </c>
      <c r="Z464" s="340" t="str">
        <f>IMSUM(COMPLEX(1,0),IMDIV(COMPLEX(0,2*PI()*D464),COMPLEX(2*PI()*'Stability Calculations'!EA_Zero1,0)))</f>
        <v>1+3278.70746495572i</v>
      </c>
      <c r="AA464" s="734">
        <f t="shared" si="385"/>
        <v>3278.7076174548356</v>
      </c>
      <c r="AB464" s="735">
        <f t="shared" si="386"/>
        <v>1.5704913285662714</v>
      </c>
      <c r="AC464" s="733" t="str">
        <f>IMSUM(COMPLEX(1,0),IMDIV(COMPLEX(0,2*PI()*D464),COMPLEX(2*PI()*'Stability Calculations'!EA_Pole2,0)))</f>
        <v>1+33.0279158034034i</v>
      </c>
      <c r="AD464" s="734">
        <f t="shared" si="387"/>
        <v>33.043051044307397</v>
      </c>
      <c r="AE464" s="735">
        <f t="shared" si="388"/>
        <v>1.5405281560780244</v>
      </c>
      <c r="AF464" s="732" t="str">
        <f t="shared" si="389"/>
        <v>0.0538661973545078-1.79702754494614i</v>
      </c>
      <c r="AG464" s="337">
        <f t="shared" si="390"/>
        <v>1.7978346877598579</v>
      </c>
      <c r="AH464" s="730">
        <f t="shared" si="391"/>
        <v>-1.540830134522114</v>
      </c>
      <c r="AI464" s="731" t="str">
        <f t="shared" si="369"/>
        <v>10000</v>
      </c>
      <c r="AJ464" s="733" t="str">
        <f t="shared" si="392"/>
        <v>1+308722.439158739i</v>
      </c>
      <c r="AK464" s="734">
        <f t="shared" si="393"/>
        <v>308722.43916035857</v>
      </c>
      <c r="AL464" s="735">
        <f t="shared" si="394"/>
        <v>1.5707930876393539</v>
      </c>
      <c r="AM464" s="340" t="str">
        <f t="shared" si="395"/>
        <v>1+523.937452899924i</v>
      </c>
      <c r="AN464" s="734">
        <f t="shared" si="396"/>
        <v>523.93840721143943</v>
      </c>
      <c r="AO464" s="735">
        <f t="shared" si="397"/>
        <v>1.5688877043435239</v>
      </c>
      <c r="AP464" s="733" t="str">
        <f t="shared" si="398"/>
        <v>1+25.4118300878687i</v>
      </c>
      <c r="AQ464" s="734">
        <f t="shared" si="399"/>
        <v>25.431498351743041</v>
      </c>
      <c r="AR464" s="735">
        <f t="shared" si="400"/>
        <v>1.5314648701912834</v>
      </c>
      <c r="AS464" s="732" t="str">
        <f t="shared" si="401"/>
        <v>0.00100588149389038-4.48526798151571i</v>
      </c>
      <c r="AT464" s="337">
        <f t="shared" si="402"/>
        <v>4.4852680943069156</v>
      </c>
      <c r="AU464" s="730">
        <f t="shared" si="403"/>
        <v>-1.5705720633883014</v>
      </c>
      <c r="AV464" s="732" t="str">
        <f t="shared" si="404"/>
        <v>-0.118052592253357+0.0389789215794735i</v>
      </c>
      <c r="AW464" s="337">
        <f t="shared" si="405"/>
        <v>-18.109093293797468</v>
      </c>
      <c r="AX464" s="730">
        <f t="shared" si="406"/>
        <v>161.72767154771989</v>
      </c>
      <c r="AY464" s="360">
        <f t="shared" si="407"/>
        <v>-18.272328452280107</v>
      </c>
      <c r="BB464" s="337">
        <f t="shared" si="408"/>
        <v>-26.96423186221557</v>
      </c>
      <c r="BC464" s="730">
        <f t="shared" si="409"/>
        <v>-89.987150653302862</v>
      </c>
      <c r="BD464" s="351"/>
      <c r="BE464" s="337">
        <f t="shared" si="370"/>
        <v>27.586186644922563</v>
      </c>
      <c r="BF464" s="730">
        <f t="shared" si="371"/>
        <v>-89.664838575205991</v>
      </c>
      <c r="BI464" s="351"/>
      <c r="BJ464" s="351"/>
      <c r="BL464" s="405">
        <f t="shared" si="372"/>
        <v>0</v>
      </c>
      <c r="BM464" s="405">
        <f t="shared" si="360"/>
        <v>0</v>
      </c>
      <c r="BN464" s="405">
        <f t="shared" si="373"/>
        <v>0</v>
      </c>
      <c r="BO464" s="405">
        <f t="shared" si="374"/>
        <v>0</v>
      </c>
    </row>
    <row r="465" spans="4:67" ht="13.5" thickBot="1" x14ac:dyDescent="0.25">
      <c r="D465" s="345">
        <v>52481</v>
      </c>
      <c r="E465" s="340" t="str">
        <f t="shared" si="361"/>
        <v>0.870534319000082i</v>
      </c>
      <c r="F465" s="728" t="str">
        <f t="shared" si="375"/>
        <v>0.005-0.0497150859879955i</v>
      </c>
      <c r="G465" s="337" t="str">
        <f t="shared" si="376"/>
        <v>0.005-0.077759493468403i</v>
      </c>
      <c r="H465" s="338" t="str">
        <f t="shared" si="377"/>
        <v>0.00986871542052242-0.0768130947401967i</v>
      </c>
      <c r="I465" s="338" t="str">
        <f t="shared" si="378"/>
        <v>0.0198687154205224-0.0768130947401967i</v>
      </c>
      <c r="J465" s="337" t="str">
        <f t="shared" si="379"/>
        <v>0.0048761083947072-0.0303544124544751i</v>
      </c>
      <c r="K465" s="338" t="str">
        <f t="shared" si="362"/>
        <v>0.969397162655555-0.274789873421743i</v>
      </c>
      <c r="L465" s="732"/>
      <c r="M465" s="732" t="str">
        <f t="shared" si="363"/>
        <v>0.138147852237528-23.8036237480673i</v>
      </c>
      <c r="N465" s="337">
        <f t="shared" si="364"/>
        <v>0</v>
      </c>
      <c r="O465" s="730" t="str">
        <f t="shared" si="365"/>
        <v>-0.81094716728163-9.18800255551793i</v>
      </c>
      <c r="P465" s="731" t="str">
        <f t="shared" si="366"/>
        <v>-0.721871389257968-0.120262446468921i</v>
      </c>
      <c r="Q465" s="729" t="str">
        <f t="shared" si="367"/>
        <v>-0.713761917585152-0.0283824209137414i</v>
      </c>
      <c r="R465" s="730"/>
      <c r="S465" s="405" t="str">
        <f t="shared" si="380"/>
        <v>38.4737451502084-10.1132806803191i</v>
      </c>
      <c r="T465" s="405" t="str">
        <f t="shared" si="381"/>
        <v>14.4752570306346-5.29838441339534i</v>
      </c>
      <c r="U465" s="405" t="str">
        <f t="shared" si="382"/>
        <v>-0.264133111641869-1.16417753764717i</v>
      </c>
      <c r="V465" s="731" t="str">
        <f t="shared" si="368"/>
        <v>6000</v>
      </c>
      <c r="W465" s="733" t="str">
        <f>IMSUM(COMPLEX(1,0),IMDIV(COMPLEX(0,2*PI()*D465),COMPLEX(2*PI()*'Stability Calculations'!EA_Pole1,0)))</f>
        <v>1+333045.326587153i</v>
      </c>
      <c r="X465" s="734">
        <f t="shared" si="383"/>
        <v>333045.32658865437</v>
      </c>
      <c r="Y465" s="735">
        <f t="shared" si="384"/>
        <v>1.5707933242005945</v>
      </c>
      <c r="Z465" s="340" t="str">
        <f>IMSUM(COMPLEX(1,0),IMDIV(COMPLEX(0,2*PI()*D465),COMPLEX(2*PI()*'Stability Calculations'!EA_Zero1,0)))</f>
        <v>1+3297.47848106092i</v>
      </c>
      <c r="AA465" s="734">
        <f t="shared" si="385"/>
        <v>3297.4786326919284</v>
      </c>
      <c r="AB465" s="735">
        <f t="shared" si="386"/>
        <v>1.5704930647796667</v>
      </c>
      <c r="AC465" s="733" t="str">
        <f>IMSUM(COMPLEX(1,0),IMDIV(COMPLEX(0,2*PI()*D465),COMPLEX(2*PI()*'Stability Calculations'!EA_Pole2,0)))</f>
        <v>1+33.2170048106092i</v>
      </c>
      <c r="AD465" s="734">
        <f t="shared" si="387"/>
        <v>33.232053932732391</v>
      </c>
      <c r="AE465" s="735">
        <f t="shared" si="388"/>
        <v>1.5407003544172213</v>
      </c>
      <c r="AF465" s="732" t="str">
        <f t="shared" si="389"/>
        <v>0.0532552260462125-1.78681629364169i</v>
      </c>
      <c r="AG465" s="337">
        <f t="shared" si="390"/>
        <v>1.7876097410577789</v>
      </c>
      <c r="AH465" s="730">
        <f t="shared" si="391"/>
        <v>-1.5410006138381491</v>
      </c>
      <c r="AI465" s="731" t="str">
        <f t="shared" si="369"/>
        <v>10000</v>
      </c>
      <c r="AJ465" s="733" t="str">
        <f t="shared" si="392"/>
        <v>1+310489.914281001i</v>
      </c>
      <c r="AK465" s="734">
        <f t="shared" si="393"/>
        <v>310489.9142826114</v>
      </c>
      <c r="AL465" s="735">
        <f t="shared" si="394"/>
        <v>1.5707931060783644</v>
      </c>
      <c r="AM465" s="340" t="str">
        <f t="shared" si="395"/>
        <v>1+526.937061273535i</v>
      </c>
      <c r="AN465" s="734">
        <f t="shared" si="396"/>
        <v>526.93801015260726</v>
      </c>
      <c r="AO465" s="735">
        <f t="shared" si="397"/>
        <v>1.568898569220039</v>
      </c>
      <c r="AP465" s="733" t="str">
        <f t="shared" si="398"/>
        <v>1+25.5573160383356i</v>
      </c>
      <c r="AQ465" s="734">
        <f t="shared" si="399"/>
        <v>25.576872425755386</v>
      </c>
      <c r="AR465" s="735">
        <f t="shared" si="400"/>
        <v>1.5316885370681927</v>
      </c>
      <c r="AS465" s="732" t="str">
        <f t="shared" si="401"/>
        <v>0.000994462056089423-4.45973543305359i</v>
      </c>
      <c r="AT465" s="337">
        <f t="shared" si="402"/>
        <v>4.4597355439295354</v>
      </c>
      <c r="AU465" s="730">
        <f t="shared" si="403"/>
        <v>-1.5705733400158521</v>
      </c>
      <c r="AV465" s="732" t="str">
        <f t="shared" si="404"/>
        <v>-0.116616421943377+0.0387574472942664i</v>
      </c>
      <c r="AW465" s="337">
        <f t="shared" si="405"/>
        <v>-18.209790621220602</v>
      </c>
      <c r="AX465" s="730">
        <f t="shared" si="406"/>
        <v>161.61578197885805</v>
      </c>
      <c r="AY465" s="360">
        <f t="shared" si="407"/>
        <v>-18.384218021141947</v>
      </c>
      <c r="BB465" s="337">
        <f t="shared" si="408"/>
        <v>-27.013817871574723</v>
      </c>
      <c r="BC465" s="730">
        <f t="shared" si="409"/>
        <v>-89.98722379867354</v>
      </c>
      <c r="BD465" s="351"/>
      <c r="BE465" s="337">
        <f t="shared" si="370"/>
        <v>27.533007817477618</v>
      </c>
      <c r="BF465" s="730">
        <f t="shared" si="371"/>
        <v>-89.667479199842845</v>
      </c>
      <c r="BI465" s="351"/>
      <c r="BJ465" s="351"/>
      <c r="BL465" s="405">
        <f t="shared" si="372"/>
        <v>0</v>
      </c>
      <c r="BM465" s="405">
        <f t="shared" si="360"/>
        <v>0</v>
      </c>
      <c r="BN465" s="405">
        <f t="shared" si="373"/>
        <v>0</v>
      </c>
      <c r="BO465" s="405">
        <f t="shared" si="374"/>
        <v>0</v>
      </c>
    </row>
    <row r="466" spans="4:67" ht="13.5" thickBot="1" x14ac:dyDescent="0.25">
      <c r="D466" s="345">
        <v>52786.5</v>
      </c>
      <c r="E466" s="340" t="str">
        <f t="shared" si="361"/>
        <v>0.875601833614029i</v>
      </c>
      <c r="F466" s="728" t="str">
        <f t="shared" si="375"/>
        <v>0.005-0.0494273616878557i</v>
      </c>
      <c r="G466" s="337" t="str">
        <f t="shared" si="376"/>
        <v>0.005-0.0773094631527996i</v>
      </c>
      <c r="H466" s="338" t="str">
        <f t="shared" si="377"/>
        <v>0.00981251234968468-0.0763720983143016i</v>
      </c>
      <c r="I466" s="338" t="str">
        <f t="shared" si="378"/>
        <v>0.0198125123496847-0.0763720983143016i</v>
      </c>
      <c r="J466" s="337" t="str">
        <f t="shared" si="379"/>
        <v>0.00486733852638338-0.0301796181138132i</v>
      </c>
      <c r="K466" s="338" t="str">
        <f t="shared" si="362"/>
        <v>0.969039837975-0.276389467681196i</v>
      </c>
      <c r="L466" s="732"/>
      <c r="M466" s="732" t="str">
        <f t="shared" si="363"/>
        <v>0.136194585356541-23.6560344975256i</v>
      </c>
      <c r="N466" s="337">
        <f t="shared" si="364"/>
        <v>0</v>
      </c>
      <c r="O466" s="730" t="str">
        <f t="shared" si="365"/>
        <v>-0.807049613069212-9.13000319533982i</v>
      </c>
      <c r="P466" s="731" t="str">
        <f t="shared" si="366"/>
        <v>-0.713267182070122-0.11925222866649i</v>
      </c>
      <c r="Q466" s="729" t="str">
        <f t="shared" si="367"/>
        <v>-0.70519668593943-0.0279521967130914i</v>
      </c>
      <c r="R466" s="730"/>
      <c r="S466" s="405" t="str">
        <f t="shared" si="380"/>
        <v>38.4528659345817-10.1792037884511i</v>
      </c>
      <c r="T466" s="405" t="str">
        <f t="shared" si="381"/>
        <v>14.4628888532026-5.3237705944364i</v>
      </c>
      <c r="U466" s="405" t="str">
        <f t="shared" si="382"/>
        <v>-0.264670255756917-1.1568007341104i</v>
      </c>
      <c r="V466" s="731" t="str">
        <f t="shared" si="368"/>
        <v>6000</v>
      </c>
      <c r="W466" s="733" t="str">
        <f>IMSUM(COMPLEX(1,0),IMDIV(COMPLEX(0,2*PI()*D466),COMPLEX(2*PI()*'Stability Calculations'!EA_Pole1,0)))</f>
        <v>1+334984.034829609i</v>
      </c>
      <c r="X466" s="734">
        <f t="shared" si="383"/>
        <v>334984.0348311016</v>
      </c>
      <c r="Y466" s="735">
        <f t="shared" si="384"/>
        <v>1.5707933415780027</v>
      </c>
      <c r="Z466" s="340" t="str">
        <f>IMSUM(COMPLEX(1,0),IMDIV(COMPLEX(0,2*PI()*D466),COMPLEX(2*PI()*'Stability Calculations'!EA_Zero1,0)))</f>
        <v>1+3316.67361217435i</v>
      </c>
      <c r="AA466" s="734">
        <f t="shared" si="385"/>
        <v>3316.6737629278</v>
      </c>
      <c r="AB466" s="735">
        <f t="shared" si="386"/>
        <v>1.5704948198977371</v>
      </c>
      <c r="AC466" s="733" t="str">
        <f>IMSUM(COMPLEX(1,0),IMDIV(COMPLEX(0,2*PI()*D466),COMPLEX(2*PI()*'Stability Calculations'!EA_Pole2,0)))</f>
        <v>1+33.4103661217435i</v>
      </c>
      <c r="AD466" s="734">
        <f t="shared" si="387"/>
        <v>33.425328186705151</v>
      </c>
      <c r="AE466" s="735">
        <f t="shared" si="388"/>
        <v>1.5408744295440842</v>
      </c>
      <c r="AF466" s="732" t="str">
        <f t="shared" si="389"/>
        <v>0.0526411344819125-1.77649353785112i</v>
      </c>
      <c r="AG466" s="337">
        <f t="shared" si="390"/>
        <v>1.777273298923475</v>
      </c>
      <c r="AH466" s="730">
        <f t="shared" si="391"/>
        <v>-1.5411729512243497</v>
      </c>
      <c r="AI466" s="731" t="str">
        <f t="shared" si="369"/>
        <v>10000</v>
      </c>
      <c r="AJ466" s="733" t="str">
        <f t="shared" si="392"/>
        <v>1+312297.323987616i</v>
      </c>
      <c r="AK466" s="734">
        <f t="shared" si="393"/>
        <v>312297.32398921699</v>
      </c>
      <c r="AL466" s="735">
        <f t="shared" si="394"/>
        <v>1.5707931247181475</v>
      </c>
      <c r="AM466" s="340" t="str">
        <f t="shared" si="395"/>
        <v>1+530.004443225461i</v>
      </c>
      <c r="AN466" s="734">
        <f t="shared" si="396"/>
        <v>530.00538661293899</v>
      </c>
      <c r="AO466" s="735">
        <f t="shared" si="397"/>
        <v>1.5689095523986769</v>
      </c>
      <c r="AP466" s="733" t="str">
        <f t="shared" si="398"/>
        <v>1+25.7060891190641i</v>
      </c>
      <c r="AQ466" s="734">
        <f t="shared" si="399"/>
        <v>25.725532410375216</v>
      </c>
      <c r="AR466" s="735">
        <f t="shared" si="400"/>
        <v>1.5319146433098041</v>
      </c>
      <c r="AS466" s="732" t="str">
        <f t="shared" si="401"/>
        <v>0.000982984538020719-4.43392487466305i</v>
      </c>
      <c r="AT466" s="337">
        <f t="shared" si="402"/>
        <v>4.4339249836250438</v>
      </c>
      <c r="AU466" s="730">
        <f t="shared" si="403"/>
        <v>-1.5705746305438992</v>
      </c>
      <c r="AV466" s="732" t="str">
        <f t="shared" si="404"/>
        <v>-0.115172998117084+0.0385332145963685i</v>
      </c>
      <c r="AW466" s="337">
        <f t="shared" si="405"/>
        <v>-18.312189292737692</v>
      </c>
      <c r="AX466" s="730">
        <f t="shared" si="406"/>
        <v>161.50140101251989</v>
      </c>
      <c r="AY466" s="360">
        <f t="shared" si="407"/>
        <v>-18.498598987480108</v>
      </c>
      <c r="BB466" s="337">
        <f t="shared" si="408"/>
        <v>-27.06423317739992</v>
      </c>
      <c r="BC466" s="730">
        <f t="shared" si="409"/>
        <v>-89.987297740483982</v>
      </c>
      <c r="BD466" s="351"/>
      <c r="BE466" s="337">
        <f t="shared" si="370"/>
        <v>27.478982847388302</v>
      </c>
      <c r="BF466" s="730">
        <f t="shared" si="371"/>
        <v>-89.670135384771285</v>
      </c>
      <c r="BI466" s="351"/>
      <c r="BJ466" s="351"/>
      <c r="BL466" s="405">
        <f t="shared" si="372"/>
        <v>0</v>
      </c>
      <c r="BM466" s="405">
        <f t="shared" si="360"/>
        <v>0</v>
      </c>
      <c r="BN466" s="405">
        <f t="shared" si="373"/>
        <v>0</v>
      </c>
      <c r="BO466" s="405">
        <f t="shared" si="374"/>
        <v>0</v>
      </c>
    </row>
    <row r="467" spans="4:67" ht="13.5" thickBot="1" x14ac:dyDescent="0.25">
      <c r="D467" s="345">
        <v>53092</v>
      </c>
      <c r="E467" s="340" t="str">
        <f t="shared" si="361"/>
        <v>0.880669348227975i</v>
      </c>
      <c r="F467" s="728" t="str">
        <f t="shared" si="375"/>
        <v>0.005-0.0491429486125214i</v>
      </c>
      <c r="G467" s="337" t="str">
        <f t="shared" si="376"/>
        <v>0.005-0.0768646119324052i</v>
      </c>
      <c r="H467" s="338" t="str">
        <f t="shared" si="377"/>
        <v>0.00975727158877893-0.0759361164722258i</v>
      </c>
      <c r="I467" s="338" t="str">
        <f t="shared" si="378"/>
        <v>0.0197572715887789-0.0759361164722258i</v>
      </c>
      <c r="J467" s="337" t="str">
        <f t="shared" si="379"/>
        <v>0.00485871713319494-0.0300068351868612i</v>
      </c>
      <c r="K467" s="338" t="str">
        <f t="shared" si="362"/>
        <v>0.968680439288889-0.277989061940649i</v>
      </c>
      <c r="L467" s="732"/>
      <c r="M467" s="732" t="str">
        <f t="shared" si="363"/>
        <v>0.134283562400927-23.5103196009627i</v>
      </c>
      <c r="N467" s="337">
        <f t="shared" si="364"/>
        <v>0</v>
      </c>
      <c r="O467" s="730" t="str">
        <f t="shared" si="365"/>
        <v>-0.803216319620631-9.07273783077753i</v>
      </c>
      <c r="P467" s="731" t="str">
        <f t="shared" si="366"/>
        <v>-0.704817839611175-0.118259417377355i</v>
      </c>
      <c r="Q467" s="729" t="str">
        <f t="shared" si="367"/>
        <v>-0.696785676414968-0.0275320390695808i</v>
      </c>
      <c r="R467" s="730"/>
      <c r="S467" s="405" t="str">
        <f t="shared" si="380"/>
        <v>38.4318545091519-10.2450380617268i</v>
      </c>
      <c r="T467" s="405" t="str">
        <f t="shared" si="381"/>
        <v>14.4504567414492-5.34914446419663i</v>
      </c>
      <c r="U467" s="405" t="str">
        <f t="shared" si="382"/>
        <v>-0.265196226051774-1.14950462150033i</v>
      </c>
      <c r="V467" s="731" t="str">
        <f t="shared" si="368"/>
        <v>6000</v>
      </c>
      <c r="W467" s="733" t="str">
        <f>IMSUM(COMPLEX(1,0),IMDIV(COMPLEX(0,2*PI()*D467),COMPLEX(2*PI()*'Stability Calculations'!EA_Pole1,0)))</f>
        <v>1+336922.743072067i</v>
      </c>
      <c r="X467" s="734">
        <f t="shared" si="383"/>
        <v>336922.74307355093</v>
      </c>
      <c r="Y467" s="735">
        <f t="shared" si="384"/>
        <v>1.5707933587554259</v>
      </c>
      <c r="Z467" s="340" t="str">
        <f>IMSUM(COMPLEX(1,0),IMDIV(COMPLEX(0,2*PI()*D467),COMPLEX(2*PI()*'Stability Calculations'!EA_Zero1,0)))</f>
        <v>1+3335.86874328779i</v>
      </c>
      <c r="AA467" s="734">
        <f t="shared" si="385"/>
        <v>3335.8688931737797</v>
      </c>
      <c r="AB467" s="735">
        <f t="shared" si="386"/>
        <v>1.5704965548173397</v>
      </c>
      <c r="AC467" s="733" t="str">
        <f>IMSUM(COMPLEX(1,0),IMDIV(COMPLEX(0,2*PI()*D467),COMPLEX(2*PI()*'Stability Calculations'!EA_Pole2,0)))</f>
        <v>1+33.6037274328779i</v>
      </c>
      <c r="AD467" s="734">
        <f t="shared" si="387"/>
        <v>33.618603441891381</v>
      </c>
      <c r="AE467" s="735">
        <f t="shared" si="388"/>
        <v>1.5410465031405851</v>
      </c>
      <c r="AF467" s="732" t="str">
        <f t="shared" si="389"/>
        <v>0.0520376006308796-1.76628926550835i</v>
      </c>
      <c r="AG467" s="337">
        <f t="shared" si="390"/>
        <v>1.7670556531500208</v>
      </c>
      <c r="AH467" s="730">
        <f t="shared" si="391"/>
        <v>-1.5413433070786715</v>
      </c>
      <c r="AI467" s="731" t="str">
        <f t="shared" si="369"/>
        <v>10000</v>
      </c>
      <c r="AJ467" s="733" t="str">
        <f t="shared" si="392"/>
        <v>1+314104.733694231i</v>
      </c>
      <c r="AK467" s="734">
        <f t="shared" si="393"/>
        <v>314104.73369582288</v>
      </c>
      <c r="AL467" s="735">
        <f t="shared" si="394"/>
        <v>1.5707931431434177</v>
      </c>
      <c r="AM467" s="340" t="str">
        <f t="shared" si="395"/>
        <v>1+533.071825177389i</v>
      </c>
      <c r="AN467" s="734">
        <f t="shared" si="396"/>
        <v>533.07276313647162</v>
      </c>
      <c r="AO467" s="735">
        <f t="shared" si="397"/>
        <v>1.568920409179771</v>
      </c>
      <c r="AP467" s="733" t="str">
        <f t="shared" si="398"/>
        <v>1+25.8548621997926i</v>
      </c>
      <c r="AQ467" s="734">
        <f t="shared" si="399"/>
        <v>25.8741936950751</v>
      </c>
      <c r="AR467" s="735">
        <f t="shared" si="400"/>
        <v>1.5321381513566008</v>
      </c>
      <c r="AS467" s="732" t="str">
        <f t="shared" si="401"/>
        <v>0.000971704579865292-4.40841135252781i</v>
      </c>
      <c r="AT467" s="337">
        <f t="shared" si="402"/>
        <v>4.4084114596196518</v>
      </c>
      <c r="AU467" s="730">
        <f t="shared" si="403"/>
        <v>-1.5705759062201308</v>
      </c>
      <c r="AV467" s="732" t="str">
        <f t="shared" si="404"/>
        <v>-0.113754470566266+0.0383112197220726i</v>
      </c>
      <c r="AW467" s="337">
        <f t="shared" si="405"/>
        <v>-18.414014506717635</v>
      </c>
      <c r="AX467" s="730">
        <f t="shared" si="406"/>
        <v>161.38705637161132</v>
      </c>
      <c r="AY467" s="360">
        <f t="shared" si="407"/>
        <v>-18.612943628388678</v>
      </c>
      <c r="BB467" s="337">
        <f t="shared" si="408"/>
        <v>-27.114357546724168</v>
      </c>
      <c r="BC467" s="730">
        <f t="shared" si="409"/>
        <v>-89.987370831348073</v>
      </c>
      <c r="BD467" s="351"/>
      <c r="BE467" s="337">
        <f t="shared" si="370"/>
        <v>27.425312339031205</v>
      </c>
      <c r="BF467" s="730">
        <f t="shared" si="371"/>
        <v>-89.672748059191321</v>
      </c>
      <c r="BI467" s="351"/>
      <c r="BJ467" s="351"/>
      <c r="BL467" s="405">
        <f t="shared" si="372"/>
        <v>0</v>
      </c>
      <c r="BM467" s="405">
        <f t="shared" si="360"/>
        <v>0</v>
      </c>
      <c r="BN467" s="405">
        <f t="shared" si="373"/>
        <v>0</v>
      </c>
      <c r="BO467" s="405">
        <f t="shared" si="374"/>
        <v>0</v>
      </c>
    </row>
    <row r="468" spans="4:67" ht="13.5" thickBot="1" x14ac:dyDescent="0.25">
      <c r="D468" s="345">
        <v>53397.5</v>
      </c>
      <c r="E468" s="340" t="str">
        <f t="shared" si="361"/>
        <v>0.885736862841922i</v>
      </c>
      <c r="F468" s="728" t="str">
        <f t="shared" si="375"/>
        <v>0.005-0.0488617899290415i</v>
      </c>
      <c r="G468" s="337" t="str">
        <f t="shared" si="376"/>
        <v>0.005-0.0764248509146543i</v>
      </c>
      <c r="H468" s="338" t="str">
        <f t="shared" si="377"/>
        <v>0.00970297132206915-0.0755050645097773i</v>
      </c>
      <c r="I468" s="338" t="str">
        <f t="shared" si="378"/>
        <v>0.0197029713220691-0.0755050645097773i</v>
      </c>
      <c r="J468" s="337" t="str">
        <f t="shared" si="379"/>
        <v>0.00485024081882899-0.0298360292269287i</v>
      </c>
      <c r="K468" s="338" t="str">
        <f t="shared" si="362"/>
        <v>0.968318966597222-0.279588656200102i</v>
      </c>
      <c r="L468" s="732"/>
      <c r="M468" s="732" t="str">
        <f t="shared" si="363"/>
        <v>0.132413557262581-23.3664426729088i</v>
      </c>
      <c r="N468" s="337">
        <f t="shared" si="364"/>
        <v>0</v>
      </c>
      <c r="O468" s="730" t="str">
        <f t="shared" si="365"/>
        <v>-0.799445802398224-9.01619216644076i</v>
      </c>
      <c r="P468" s="731" t="str">
        <f t="shared" si="366"/>
        <v>-0.69651962887786-0.117283568807498i</v>
      </c>
      <c r="Q468" s="729" t="str">
        <f t="shared" si="367"/>
        <v>-0.688525170853878-0.0271216471430911i</v>
      </c>
      <c r="R468" s="730"/>
      <c r="S468" s="405" t="str">
        <f t="shared" si="380"/>
        <v>38.4107110142667-10.3107841077529i</v>
      </c>
      <c r="T468" s="405" t="str">
        <f t="shared" si="381"/>
        <v>14.4379607119711-5.37450548571357i</v>
      </c>
      <c r="U468" s="405" t="str">
        <f t="shared" si="382"/>
        <v>-0.265711264669539-1.1422878275452i</v>
      </c>
      <c r="V468" s="731" t="str">
        <f t="shared" si="368"/>
        <v>6000</v>
      </c>
      <c r="W468" s="733" t="str">
        <f>IMSUM(COMPLEX(1,0),IMDIV(COMPLEX(0,2*PI()*D468),COMPLEX(2*PI()*'Stability Calculations'!EA_Pole1,0)))</f>
        <v>1+338861.451314523i</v>
      </c>
      <c r="X468" s="734">
        <f t="shared" si="383"/>
        <v>338861.45131599851</v>
      </c>
      <c r="Y468" s="735">
        <f t="shared" si="384"/>
        <v>1.5707933757362968</v>
      </c>
      <c r="Z468" s="340" t="str">
        <f>IMSUM(COMPLEX(1,0),IMDIV(COMPLEX(0,2*PI()*D468),COMPLEX(2*PI()*'Stability Calculations'!EA_Zero1,0)))</f>
        <v>1+3355.06387440122i</v>
      </c>
      <c r="AA468" s="734">
        <f t="shared" si="385"/>
        <v>3355.0640234296761</v>
      </c>
      <c r="AB468" s="735">
        <f t="shared" si="386"/>
        <v>1.5704982698851557</v>
      </c>
      <c r="AC468" s="733" t="str">
        <f>IMSUM(COMPLEX(1,0),IMDIV(COMPLEX(0,2*PI()*D468),COMPLEX(2*PI()*'Stability Calculations'!EA_Pole2,0)))</f>
        <v>1+33.7970887440122i</v>
      </c>
      <c r="AD468" s="734">
        <f t="shared" si="387"/>
        <v>33.811879681121489</v>
      </c>
      <c r="AE468" s="735">
        <f t="shared" si="388"/>
        <v>1.5412166095200266</v>
      </c>
      <c r="AF468" s="732" t="str">
        <f t="shared" si="389"/>
        <v>0.0514443839259998-1.75620145011409i</v>
      </c>
      <c r="AG468" s="337">
        <f t="shared" si="390"/>
        <v>1.7569547683478817</v>
      </c>
      <c r="AH468" s="730">
        <f t="shared" si="391"/>
        <v>-1.5415117153711679</v>
      </c>
      <c r="AI468" s="731" t="str">
        <f t="shared" si="369"/>
        <v>10000</v>
      </c>
      <c r="AJ468" s="733" t="str">
        <f t="shared" si="392"/>
        <v>1+315912.143400845i</v>
      </c>
      <c r="AK468" s="734">
        <f t="shared" si="393"/>
        <v>315912.14340242773</v>
      </c>
      <c r="AL468" s="735">
        <f t="shared" si="394"/>
        <v>1.570793161357857</v>
      </c>
      <c r="AM468" s="340" t="str">
        <f t="shared" si="395"/>
        <v>1+536.139207129315i</v>
      </c>
      <c r="AN468" s="734">
        <f t="shared" si="396"/>
        <v>536.14013972211637</v>
      </c>
      <c r="AO468" s="735">
        <f t="shared" si="397"/>
        <v>1.5689311417327638</v>
      </c>
      <c r="AP468" s="733" t="str">
        <f t="shared" si="398"/>
        <v>1+26.0036352805211i</v>
      </c>
      <c r="AQ468" s="734">
        <f t="shared" si="399"/>
        <v>26.022856257574066</v>
      </c>
      <c r="AR468" s="735">
        <f t="shared" si="400"/>
        <v>1.5323591057147179</v>
      </c>
      <c r="AS468" s="732" t="str">
        <f t="shared" si="401"/>
        <v>0.000960617673429737-4.38318976840023i</v>
      </c>
      <c r="AT468" s="337">
        <f t="shared" si="402"/>
        <v>4.383189873664473</v>
      </c>
      <c r="AU468" s="730">
        <f t="shared" si="403"/>
        <v>-1.5705771672994591</v>
      </c>
      <c r="AV468" s="732" t="str">
        <f t="shared" si="404"/>
        <v>-0.112360270894708+0.0380914301374621i</v>
      </c>
      <c r="AW468" s="337">
        <f t="shared" si="405"/>
        <v>-18.515272974791706</v>
      </c>
      <c r="AX468" s="730">
        <f t="shared" si="406"/>
        <v>161.2727473327854</v>
      </c>
      <c r="AY468" s="360">
        <f t="shared" si="407"/>
        <v>-18.7272526672146</v>
      </c>
      <c r="BB468" s="337">
        <f t="shared" si="408"/>
        <v>-27.164194318161236</v>
      </c>
      <c r="BC468" s="730">
        <f t="shared" si="409"/>
        <v>-89.98744308587122</v>
      </c>
      <c r="BD468" s="351"/>
      <c r="BE468" s="337">
        <f t="shared" si="370"/>
        <v>27.371991463642352</v>
      </c>
      <c r="BF468" s="730">
        <f t="shared" si="371"/>
        <v>-89.675318281072052</v>
      </c>
      <c r="BI468" s="351"/>
      <c r="BJ468" s="351"/>
      <c r="BL468" s="405">
        <f t="shared" si="372"/>
        <v>0</v>
      </c>
      <c r="BM468" s="405">
        <f t="shared" si="360"/>
        <v>0</v>
      </c>
      <c r="BN468" s="405">
        <f t="shared" si="373"/>
        <v>0</v>
      </c>
      <c r="BO468" s="405">
        <f t="shared" si="374"/>
        <v>0</v>
      </c>
    </row>
    <row r="469" spans="4:67" ht="13.5" thickBot="1" x14ac:dyDescent="0.25">
      <c r="D469" s="345">
        <v>53703</v>
      </c>
      <c r="E469" s="340" t="str">
        <f t="shared" si="361"/>
        <v>0.890804377455868i</v>
      </c>
      <c r="F469" s="728" t="str">
        <f t="shared" si="375"/>
        <v>0.005-0.0485838300976852i</v>
      </c>
      <c r="G469" s="337" t="str">
        <f t="shared" si="376"/>
        <v>0.005-0.075990093229713i</v>
      </c>
      <c r="H469" s="338" t="str">
        <f t="shared" si="377"/>
        <v>0.00964959034774628-0.0750788596120033i</v>
      </c>
      <c r="I469" s="338" t="str">
        <f t="shared" si="378"/>
        <v>0.0196495903477463-0.0750788596120033i</v>
      </c>
      <c r="J469" s="337" t="str">
        <f t="shared" si="379"/>
        <v>0.00484190628321765-0.029667166568793i</v>
      </c>
      <c r="K469" s="338" t="str">
        <f t="shared" si="362"/>
        <v>0.9679554199-0.281188250459554i</v>
      </c>
      <c r="L469" s="732"/>
      <c r="M469" s="732" t="str">
        <f t="shared" si="363"/>
        <v>0.130583388209796-23.2243682825765i</v>
      </c>
      <c r="N469" s="337">
        <f t="shared" si="364"/>
        <v>0</v>
      </c>
      <c r="O469" s="730" t="str">
        <f t="shared" si="365"/>
        <v>-0.795736618986128-8.96035228365404i</v>
      </c>
      <c r="P469" s="731" t="str">
        <f t="shared" si="366"/>
        <v>-0.688368929766332-0.116324253840305i</v>
      </c>
      <c r="Q469" s="729" t="str">
        <f t="shared" si="367"/>
        <v>-0.68041156357647-0.0267207310037642i</v>
      </c>
      <c r="R469" s="730"/>
      <c r="S469" s="405" t="str">
        <f t="shared" si="380"/>
        <v>38.3894355862949-10.3764425134403i</v>
      </c>
      <c r="T469" s="405" t="str">
        <f t="shared" si="381"/>
        <v>14.4254007836632-5.39985312988827i</v>
      </c>
      <c r="U469" s="405" t="str">
        <f t="shared" si="382"/>
        <v>-0.266215606899911-1.13514901092495i</v>
      </c>
      <c r="V469" s="731" t="str">
        <f t="shared" si="368"/>
        <v>6000</v>
      </c>
      <c r="W469" s="733" t="str">
        <f>IMSUM(COMPLEX(1,0),IMDIV(COMPLEX(0,2*PI()*D469),COMPLEX(2*PI()*'Stability Calculations'!EA_Pole1,0)))</f>
        <v>1+340800.15955698i</v>
      </c>
      <c r="X469" s="734">
        <f t="shared" si="383"/>
        <v>340800.15955844714</v>
      </c>
      <c r="Y469" s="735">
        <f t="shared" si="384"/>
        <v>1.5707933925239699</v>
      </c>
      <c r="Z469" s="340" t="str">
        <f>IMSUM(COMPLEX(1,0),IMDIV(COMPLEX(0,2*PI()*D469),COMPLEX(2*PI()*'Stability Calculations'!EA_Zero1,0)))</f>
        <v>1+3374.25900551465i</v>
      </c>
      <c r="AA469" s="734">
        <f t="shared" si="385"/>
        <v>3374.2591536953291</v>
      </c>
      <c r="AB469" s="735">
        <f t="shared" si="386"/>
        <v>1.5704999654399772</v>
      </c>
      <c r="AC469" s="733" t="str">
        <f>IMSUM(COMPLEX(1,0),IMDIV(COMPLEX(0,2*PI()*D469),COMPLEX(2*PI()*'Stability Calculations'!EA_Pole2,0)))</f>
        <v>1+33.9904500551465i</v>
      </c>
      <c r="AD469" s="734">
        <f t="shared" si="387"/>
        <v>34.005156887616451</v>
      </c>
      <c r="AE469" s="735">
        <f t="shared" si="388"/>
        <v>1.5413847822160578</v>
      </c>
      <c r="AF469" s="732" t="str">
        <f t="shared" si="389"/>
        <v>0.0508612506112944-1.74622811108114i</v>
      </c>
      <c r="AG469" s="337">
        <f t="shared" si="390"/>
        <v>1.7469686553409454</v>
      </c>
      <c r="AH469" s="730">
        <f t="shared" si="391"/>
        <v>-1.5416782093000505</v>
      </c>
      <c r="AI469" s="731" t="str">
        <f t="shared" si="369"/>
        <v>10000</v>
      </c>
      <c r="AJ469" s="733" t="str">
        <f t="shared" si="392"/>
        <v>1+317719.55310746i</v>
      </c>
      <c r="AK469" s="734">
        <f t="shared" si="393"/>
        <v>317719.55310903367</v>
      </c>
      <c r="AL469" s="735">
        <f t="shared" si="394"/>
        <v>1.5707931793650636</v>
      </c>
      <c r="AM469" s="340" t="str">
        <f t="shared" si="395"/>
        <v>1+539.206589081241i</v>
      </c>
      <c r="AN469" s="734">
        <f t="shared" si="396"/>
        <v>539.20751636881528</v>
      </c>
      <c r="AO469" s="735">
        <f t="shared" si="397"/>
        <v>1.5689417521777331</v>
      </c>
      <c r="AP469" s="733" t="str">
        <f t="shared" si="398"/>
        <v>1+26.1524083612495i</v>
      </c>
      <c r="AQ469" s="734">
        <f t="shared" si="399"/>
        <v>26.171520076097085</v>
      </c>
      <c r="AR469" s="735">
        <f t="shared" si="400"/>
        <v>1.5325775498800553</v>
      </c>
      <c r="AS469" s="732" t="str">
        <f t="shared" si="401"/>
        <v>0.000949719438383585-4.35825514004225i</v>
      </c>
      <c r="AT469" s="337">
        <f t="shared" si="402"/>
        <v>4.3582552435202446</v>
      </c>
      <c r="AU469" s="730">
        <f t="shared" si="403"/>
        <v>-1.570578414030996</v>
      </c>
      <c r="AV469" s="732" t="str">
        <f t="shared" si="404"/>
        <v>-0.11098984684455+0.0378738138818442i</v>
      </c>
      <c r="AW469" s="337">
        <f t="shared" si="405"/>
        <v>-18.61597129371798</v>
      </c>
      <c r="AX469" s="730">
        <f t="shared" si="406"/>
        <v>161.15847318976387</v>
      </c>
      <c r="AY469" s="360">
        <f t="shared" si="407"/>
        <v>-18.841526810236132</v>
      </c>
      <c r="BB469" s="337">
        <f t="shared" si="408"/>
        <v>-27.21374677318444</v>
      </c>
      <c r="BC469" s="730">
        <f t="shared" si="409"/>
        <v>-89.987514518326464</v>
      </c>
      <c r="BD469" s="351"/>
      <c r="BE469" s="337">
        <f t="shared" si="370"/>
        <v>27.319015493271117</v>
      </c>
      <c r="BF469" s="730">
        <f t="shared" si="371"/>
        <v>-89.677847074942079</v>
      </c>
      <c r="BI469" s="351"/>
      <c r="BJ469" s="351"/>
      <c r="BL469" s="405">
        <f t="shared" si="372"/>
        <v>0</v>
      </c>
      <c r="BM469" s="405">
        <f t="shared" si="360"/>
        <v>0</v>
      </c>
      <c r="BN469" s="405">
        <f t="shared" si="373"/>
        <v>0</v>
      </c>
      <c r="BO469" s="405">
        <f t="shared" si="374"/>
        <v>0</v>
      </c>
    </row>
    <row r="470" spans="4:67" ht="13.5" thickBot="1" x14ac:dyDescent="0.25">
      <c r="D470" s="345">
        <v>54015.75</v>
      </c>
      <c r="E470" s="340" t="str">
        <f t="shared" si="361"/>
        <v>0.895992152236594i</v>
      </c>
      <c r="F470" s="728" t="str">
        <f t="shared" si="375"/>
        <v>0.005-0.0483025307939998i</v>
      </c>
      <c r="G470" s="337" t="str">
        <f t="shared" si="376"/>
        <v>0.005-0.0755501122675382i</v>
      </c>
      <c r="H470" s="338" t="str">
        <f t="shared" si="377"/>
        <v>0.00959587332063311-0.0746474766320541i</v>
      </c>
      <c r="I470" s="338" t="str">
        <f t="shared" si="378"/>
        <v>0.0195958733206331-0.0746474766320541i</v>
      </c>
      <c r="J470" s="337" t="str">
        <f t="shared" si="379"/>
        <v>0.00483351747361454-0.0294962752057272i</v>
      </c>
      <c r="K470" s="338" t="str">
        <f t="shared" si="362"/>
        <v>0.96758109724375-0.282825805630238i</v>
      </c>
      <c r="L470" s="732"/>
      <c r="M470" s="732" t="str">
        <f t="shared" si="363"/>
        <v>0.128749862477342-23.080753429341i</v>
      </c>
      <c r="N470" s="337">
        <f t="shared" si="364"/>
        <v>0</v>
      </c>
      <c r="O470" s="730" t="str">
        <f t="shared" si="365"/>
        <v>-0.792001481922753-8.90390418639343i</v>
      </c>
      <c r="P470" s="731" t="str">
        <f t="shared" si="366"/>
        <v>-0.680173940397363-0.11535886638124i</v>
      </c>
      <c r="Q470" s="729" t="str">
        <f t="shared" si="367"/>
        <v>-0.672253925578136-0.0263198245173057i</v>
      </c>
      <c r="R470" s="730"/>
      <c r="S470" s="405" t="str">
        <f t="shared" si="380"/>
        <v>38.3675187302974-10.4435689041729i</v>
      </c>
      <c r="T470" s="405" t="str">
        <f t="shared" si="381"/>
        <v>14.4124766189457-5.42578791220468i</v>
      </c>
      <c r="U470" s="405" t="str">
        <f t="shared" si="382"/>
        <v>-0.26672107651479-1.12792018509292i</v>
      </c>
      <c r="V470" s="731" t="str">
        <f t="shared" si="368"/>
        <v>6000</v>
      </c>
      <c r="W470" s="733" t="str">
        <f>IMSUM(COMPLEX(1,0),IMDIV(COMPLEX(0,2*PI()*D470),COMPLEX(2*PI()*'Stability Calculations'!EA_Pole1,0)))</f>
        <v>1+342784.876423849i</v>
      </c>
      <c r="X470" s="734">
        <f t="shared" si="383"/>
        <v>342784.87642530765</v>
      </c>
      <c r="Y470" s="735">
        <f t="shared" si="384"/>
        <v>1.5707934095133338</v>
      </c>
      <c r="Z470" s="340" t="str">
        <f>IMSUM(COMPLEX(1,0),IMDIV(COMPLEX(0,2*PI()*D470),COMPLEX(2*PI()*'Stability Calculations'!EA_Zero1,0)))</f>
        <v>1+3393.90966756286i</v>
      </c>
      <c r="AA470" s="734">
        <f t="shared" si="385"/>
        <v>3393.9098148855755</v>
      </c>
      <c r="AB470" s="735">
        <f t="shared" si="386"/>
        <v>1.5705016813655799</v>
      </c>
      <c r="AC470" s="733" t="str">
        <f>IMSUM(COMPLEX(1,0),IMDIV(COMPLEX(0,2*PI()*D470),COMPLEX(2*PI()*'Stability Calculations'!EA_Pole2,0)))</f>
        <v>1+34.1884001371671i</v>
      </c>
      <c r="AD470" s="734">
        <f t="shared" si="387"/>
        <v>34.203021853910037</v>
      </c>
      <c r="AE470" s="735">
        <f t="shared" si="388"/>
        <v>1.5415549770711301</v>
      </c>
      <c r="AF470" s="732" t="str">
        <f t="shared" si="389"/>
        <v>0.0502744866415781-1.7361346515144i</v>
      </c>
      <c r="AG470" s="337">
        <f t="shared" si="390"/>
        <v>1.73686241602382</v>
      </c>
      <c r="AH470" s="730">
        <f t="shared" si="391"/>
        <v>-1.5418467052188838</v>
      </c>
      <c r="AI470" s="731" t="str">
        <f t="shared" si="369"/>
        <v>10000</v>
      </c>
      <c r="AJ470" s="733" t="str">
        <f t="shared" si="392"/>
        <v>1+319569.855515787i</v>
      </c>
      <c r="AK470" s="734">
        <f t="shared" si="393"/>
        <v>319569.85551735165</v>
      </c>
      <c r="AL470" s="735">
        <f t="shared" si="394"/>
        <v>1.5707931975886129</v>
      </c>
      <c r="AM470" s="340" t="str">
        <f t="shared" si="395"/>
        <v>1+542.346764876545i</v>
      </c>
      <c r="AN470" s="734">
        <f t="shared" si="396"/>
        <v>542.34768679515389</v>
      </c>
      <c r="AO470" s="735">
        <f t="shared" si="397"/>
        <v>1.568952490099415</v>
      </c>
      <c r="AP470" s="733" t="str">
        <f t="shared" si="398"/>
        <v>1+26.3047120633701i</v>
      </c>
      <c r="AQ470" s="734">
        <f t="shared" si="399"/>
        <v>26.323713201917556</v>
      </c>
      <c r="AR470" s="735">
        <f t="shared" si="400"/>
        <v>1.532798622198257</v>
      </c>
      <c r="AS470" s="732" t="str">
        <f t="shared" si="401"/>
        <v>0.000938753567982154-4.33302094137391i</v>
      </c>
      <c r="AT470" s="337">
        <f t="shared" si="402"/>
        <v>4.3330210430648846</v>
      </c>
      <c r="AU470" s="730">
        <f t="shared" si="403"/>
        <v>-1.5705796757410486</v>
      </c>
      <c r="AV470" s="732" t="str">
        <f t="shared" si="404"/>
        <v>-0.109610968897357+0.0376532517744565i</v>
      </c>
      <c r="AW470" s="337">
        <f t="shared" si="405"/>
        <v>-18.718485866500568</v>
      </c>
      <c r="AX470" s="730">
        <f t="shared" si="406"/>
        <v>161.0415225677533</v>
      </c>
      <c r="AY470" s="360">
        <f t="shared" si="407"/>
        <v>-18.958477432246696</v>
      </c>
      <c r="BB470" s="337">
        <f t="shared" si="408"/>
        <v>-27.26418403669183</v>
      </c>
      <c r="BC470" s="730">
        <f t="shared" si="409"/>
        <v>-89.987586808987444</v>
      </c>
      <c r="BD470" s="351"/>
      <c r="BE470" s="337">
        <f t="shared" si="370"/>
        <v>27.265134765442664</v>
      </c>
      <c r="BF470" s="730">
        <f t="shared" si="371"/>
        <v>-89.680394002617518</v>
      </c>
      <c r="BI470" s="351"/>
      <c r="BJ470" s="351"/>
      <c r="BL470" s="405">
        <f t="shared" si="372"/>
        <v>0</v>
      </c>
      <c r="BM470" s="405">
        <f t="shared" si="360"/>
        <v>0</v>
      </c>
      <c r="BN470" s="405">
        <f t="shared" si="373"/>
        <v>0</v>
      </c>
      <c r="BO470" s="405">
        <f t="shared" si="374"/>
        <v>0</v>
      </c>
    </row>
    <row r="471" spans="4:67" ht="13.5" thickBot="1" x14ac:dyDescent="0.25">
      <c r="D471" s="345">
        <v>54328.5</v>
      </c>
      <c r="E471" s="340" t="str">
        <f t="shared" si="361"/>
        <v>0.90117992701732i</v>
      </c>
      <c r="F471" s="728" t="str">
        <f t="shared" si="375"/>
        <v>0.005-0.0480244701719353i</v>
      </c>
      <c r="G471" s="337" t="str">
        <f t="shared" si="376"/>
        <v>0.005-0.0751151969355914i</v>
      </c>
      <c r="H471" s="338" t="str">
        <f t="shared" si="377"/>
        <v>0.00954307665199169-0.0742210037022242i</v>
      </c>
      <c r="I471" s="338" t="str">
        <f t="shared" si="378"/>
        <v>0.0195430766519917-0.0742210037022242i</v>
      </c>
      <c r="J471" s="337" t="str">
        <f t="shared" si="379"/>
        <v>0.00482527054782198-0.0293273514877203i</v>
      </c>
      <c r="K471" s="338" t="str">
        <f t="shared" si="362"/>
        <v>0.967204600975-0.284463360800922i</v>
      </c>
      <c r="L471" s="732"/>
      <c r="M471" s="732" t="str">
        <f t="shared" si="363"/>
        <v>0.126955713984189-22.9389554675387i</v>
      </c>
      <c r="N471" s="337">
        <f t="shared" si="364"/>
        <v>0</v>
      </c>
      <c r="O471" s="730" t="str">
        <f t="shared" si="365"/>
        <v>-0.788327694241999-8.84816740244334i</v>
      </c>
      <c r="P471" s="731" t="str">
        <f t="shared" si="366"/>
        <v>-0.672126214090106-0.114409941062703i</v>
      </c>
      <c r="Q471" s="729" t="str">
        <f t="shared" si="367"/>
        <v>-0.664242937147686-0.0259282670382695i</v>
      </c>
      <c r="R471" s="730"/>
      <c r="S471" s="405" t="str">
        <f t="shared" si="380"/>
        <v>38.3454638820704-10.5106046262294i</v>
      </c>
      <c r="T471" s="405" t="str">
        <f t="shared" si="381"/>
        <v>14.3994855337852-5.45170757685467i</v>
      </c>
      <c r="U471" s="405" t="str">
        <f t="shared" si="382"/>
        <v>-0.267215814047017-1.12077033240336i</v>
      </c>
      <c r="V471" s="731" t="str">
        <f t="shared" si="368"/>
        <v>6000</v>
      </c>
      <c r="W471" s="733" t="str">
        <f>IMSUM(COMPLEX(1,0),IMDIV(COMPLEX(0,2*PI()*D471),COMPLEX(2*PI()*'Stability Calculations'!EA_Pole1,0)))</f>
        <v>1+344769.593290717i</v>
      </c>
      <c r="X471" s="734">
        <f t="shared" si="383"/>
        <v>344769.59329216724</v>
      </c>
      <c r="Y471" s="735">
        <f t="shared" si="384"/>
        <v>1.5707934263070942</v>
      </c>
      <c r="Z471" s="340" t="str">
        <f>IMSUM(COMPLEX(1,0),IMDIV(COMPLEX(0,2*PI()*D471),COMPLEX(2*PI()*'Stability Calculations'!EA_Zero1,0)))</f>
        <v>1+3413.56032961106i</v>
      </c>
      <c r="AA471" s="734">
        <f t="shared" si="385"/>
        <v>3413.5604760856904</v>
      </c>
      <c r="AB471" s="735">
        <f t="shared" si="386"/>
        <v>1.570503377535228</v>
      </c>
      <c r="AC471" s="733" t="str">
        <f>IMSUM(COMPLEX(1,0),IMDIV(COMPLEX(0,2*PI()*D471),COMPLEX(2*PI()*'Stability Calculations'!EA_Pole2,0)))</f>
        <v>1+34.3863502191875i</v>
      </c>
      <c r="AD471" s="734">
        <f t="shared" si="387"/>
        <v>34.400887799541103</v>
      </c>
      <c r="AE471" s="735">
        <f t="shared" si="388"/>
        <v>1.5417232140881885</v>
      </c>
      <c r="AF471" s="732" t="str">
        <f t="shared" si="389"/>
        <v>0.0496978154385154-1.72615710740588i</v>
      </c>
      <c r="AG471" s="337">
        <f t="shared" si="390"/>
        <v>1.7268723844879783</v>
      </c>
      <c r="AH471" s="730">
        <f t="shared" si="391"/>
        <v>-1.5420132628600545</v>
      </c>
      <c r="AI471" s="731" t="str">
        <f t="shared" si="369"/>
        <v>10000</v>
      </c>
      <c r="AJ471" s="733" t="str">
        <f t="shared" si="392"/>
        <v>1+321420.157924113i</v>
      </c>
      <c r="AK471" s="734">
        <f t="shared" si="393"/>
        <v>321420.15792566858</v>
      </c>
      <c r="AL471" s="735">
        <f t="shared" si="394"/>
        <v>1.570793215602349</v>
      </c>
      <c r="AM471" s="340" t="str">
        <f t="shared" si="395"/>
        <v>1+545.486940671847i</v>
      </c>
      <c r="AN471" s="734">
        <f t="shared" si="396"/>
        <v>545.48785728330483</v>
      </c>
      <c r="AO471" s="735">
        <f t="shared" si="397"/>
        <v>1.568963104392664</v>
      </c>
      <c r="AP471" s="733" t="str">
        <f t="shared" si="398"/>
        <v>1+26.4570157654907i</v>
      </c>
      <c r="AQ471" s="734">
        <f t="shared" si="399"/>
        <v>26.475907599465277</v>
      </c>
      <c r="AR471" s="735">
        <f t="shared" si="400"/>
        <v>1.533017152897961</v>
      </c>
      <c r="AS471" s="732" t="str">
        <f t="shared" si="401"/>
        <v>0.000927976531881677-4.30807727141623i</v>
      </c>
      <c r="AT471" s="337">
        <f t="shared" si="402"/>
        <v>4.3080773713610991</v>
      </c>
      <c r="AU471" s="730">
        <f t="shared" si="403"/>
        <v>-1.5705809229246628</v>
      </c>
      <c r="AV471" s="732" t="str">
        <f t="shared" si="404"/>
        <v>-0.108255886612686+0.037434901382233i</v>
      </c>
      <c r="AW471" s="337">
        <f t="shared" si="405"/>
        <v>-18.820427021794849</v>
      </c>
      <c r="AX471" s="730">
        <f t="shared" si="406"/>
        <v>160.92460707224885</v>
      </c>
      <c r="AY471" s="360">
        <f t="shared" si="407"/>
        <v>-19.075392927751153</v>
      </c>
      <c r="BB471" s="337">
        <f t="shared" si="408"/>
        <v>-27.314330110947033</v>
      </c>
      <c r="BC471" s="730">
        <f t="shared" si="409"/>
        <v>-89.987658267344827</v>
      </c>
      <c r="BD471" s="351"/>
      <c r="BE471" s="337">
        <f t="shared" si="370"/>
        <v>27.211605791123738</v>
      </c>
      <c r="BF471" s="730">
        <f t="shared" si="371"/>
        <v>-89.682899583703318</v>
      </c>
      <c r="BI471" s="351"/>
      <c r="BJ471" s="351"/>
      <c r="BL471" s="405">
        <f t="shared" si="372"/>
        <v>0</v>
      </c>
      <c r="BM471" s="405">
        <f t="shared" si="360"/>
        <v>0</v>
      </c>
      <c r="BN471" s="405">
        <f t="shared" si="373"/>
        <v>0</v>
      </c>
      <c r="BO471" s="405">
        <f t="shared" si="374"/>
        <v>0</v>
      </c>
    </row>
    <row r="472" spans="4:67" ht="13.5" thickBot="1" x14ac:dyDescent="0.25">
      <c r="D472" s="345">
        <v>54641.25</v>
      </c>
      <c r="E472" s="340" t="str">
        <f t="shared" si="361"/>
        <v>0.906367701798046i</v>
      </c>
      <c r="F472" s="728" t="str">
        <f t="shared" si="375"/>
        <v>0.005-0.047749592619788i</v>
      </c>
      <c r="G472" s="337" t="str">
        <f t="shared" si="376"/>
        <v>0.005-0.0746852602514634i</v>
      </c>
      <c r="H472" s="338" t="str">
        <f t="shared" si="377"/>
        <v>0.00949117946203914-0.0737993577880474i</v>
      </c>
      <c r="I472" s="338" t="str">
        <f t="shared" si="378"/>
        <v>0.0194911794620391-0.0737993577880474i</v>
      </c>
      <c r="J472" s="337" t="str">
        <f t="shared" si="379"/>
        <v>0.00481716225783255-0.0291603616989925i</v>
      </c>
      <c r="K472" s="338" t="str">
        <f t="shared" si="362"/>
        <v>0.96682593109375-0.286100915971605i</v>
      </c>
      <c r="L472" s="732"/>
      <c r="M472" s="732" t="str">
        <f t="shared" si="363"/>
        <v>0.125199807216661-22.7989392906307i</v>
      </c>
      <c r="N472" s="337">
        <f t="shared" si="364"/>
        <v>0</v>
      </c>
      <c r="O472" s="730" t="str">
        <f t="shared" si="365"/>
        <v>-0.784713836480427-8.79312814527048i</v>
      </c>
      <c r="P472" s="731" t="str">
        <f t="shared" si="366"/>
        <v>-0.664222208282151-0.113477061532524i</v>
      </c>
      <c r="Q472" s="729" t="str">
        <f t="shared" si="367"/>
        <v>-0.656375069917347-0.0255457800798188i</v>
      </c>
      <c r="R472" s="730"/>
      <c r="S472" s="405" t="str">
        <f t="shared" si="380"/>
        <v>38.3232711759694-10.5775502454564i</v>
      </c>
      <c r="T472" s="405" t="str">
        <f t="shared" si="381"/>
        <v>14.3864275555789-5.47761158038289i</v>
      </c>
      <c r="U472" s="405" t="str">
        <f t="shared" si="382"/>
        <v>-0.267700051097005-1.11369810899875i</v>
      </c>
      <c r="V472" s="731" t="str">
        <f t="shared" si="368"/>
        <v>6000</v>
      </c>
      <c r="W472" s="733" t="str">
        <f>IMSUM(COMPLEX(1,0),IMDIV(COMPLEX(0,2*PI()*D472),COMPLEX(2*PI()*'Stability Calculations'!EA_Pole1,0)))</f>
        <v>1+346754.310157586i</v>
      </c>
      <c r="X472" s="734">
        <f t="shared" si="383"/>
        <v>346754.31015902798</v>
      </c>
      <c r="Y472" s="735">
        <f t="shared" si="384"/>
        <v>1.5707934429086097</v>
      </c>
      <c r="Z472" s="340" t="str">
        <f>IMSUM(COMPLEX(1,0),IMDIV(COMPLEX(0,2*PI()*D472),COMPLEX(2*PI()*'Stability Calculations'!EA_Zero1,0)))</f>
        <v>1+3433.21099165927i</v>
      </c>
      <c r="AA472" s="734">
        <f t="shared" si="385"/>
        <v>3433.2111372955242</v>
      </c>
      <c r="AB472" s="735">
        <f t="shared" si="386"/>
        <v>1.5705050542881531</v>
      </c>
      <c r="AC472" s="733" t="str">
        <f>IMSUM(COMPLEX(1,0),IMDIV(COMPLEX(0,2*PI()*D472),COMPLEX(2*PI()*'Stability Calculations'!EA_Pole2,0)))</f>
        <v>1+34.5843003012081i</v>
      </c>
      <c r="AD472" s="734">
        <f t="shared" si="387"/>
        <v>34.598754707707947</v>
      </c>
      <c r="AE472" s="735">
        <f t="shared" si="388"/>
        <v>1.5418895268476818</v>
      </c>
      <c r="AF472" s="732" t="str">
        <f t="shared" si="389"/>
        <v>0.0491310069155837-1.71629349501332i</v>
      </c>
      <c r="AG472" s="337">
        <f t="shared" si="390"/>
        <v>1.7169965686819457</v>
      </c>
      <c r="AH472" s="730">
        <f t="shared" si="391"/>
        <v>-1.5421779154681383</v>
      </c>
      <c r="AI472" s="731" t="str">
        <f t="shared" si="369"/>
        <v>10000</v>
      </c>
      <c r="AJ472" s="733" t="str">
        <f t="shared" si="392"/>
        <v>1+323270.46033244i</v>
      </c>
      <c r="AK472" s="734">
        <f t="shared" si="393"/>
        <v>323270.46033398673</v>
      </c>
      <c r="AL472" s="735">
        <f t="shared" si="394"/>
        <v>1.5707932334098749</v>
      </c>
      <c r="AM472" s="340" t="str">
        <f t="shared" si="395"/>
        <v>1+548.627116467151i</v>
      </c>
      <c r="AN472" s="734">
        <f t="shared" si="396"/>
        <v>548.62802783221071</v>
      </c>
      <c r="AO472" s="735">
        <f t="shared" si="397"/>
        <v>1.5689735971803063</v>
      </c>
      <c r="AP472" s="733" t="str">
        <f t="shared" si="398"/>
        <v>1+26.6093194676113i</v>
      </c>
      <c r="AQ472" s="734">
        <f t="shared" si="399"/>
        <v>26.628103246934391</v>
      </c>
      <c r="AR472" s="735">
        <f t="shared" si="400"/>
        <v>1.5332331855387553</v>
      </c>
      <c r="AS472" s="732" t="str">
        <f t="shared" si="401"/>
        <v>0.000917384019157199-4.28341914147455i</v>
      </c>
      <c r="AT472" s="337">
        <f t="shared" si="402"/>
        <v>4.2834192397130604</v>
      </c>
      <c r="AU472" s="730">
        <f t="shared" si="403"/>
        <v>-1.5705821558312736</v>
      </c>
      <c r="AV472" s="732" t="str">
        <f t="shared" si="404"/>
        <v>-0.106924056533253+0.0372187302129791i</v>
      </c>
      <c r="AW472" s="337">
        <f t="shared" si="405"/>
        <v>-18.921801479986346</v>
      </c>
      <c r="AX472" s="730">
        <f t="shared" si="406"/>
        <v>160.80772599798675</v>
      </c>
      <c r="AY472" s="360">
        <f t="shared" si="407"/>
        <v>-19.192274002013249</v>
      </c>
      <c r="BB472" s="337">
        <f t="shared" si="408"/>
        <v>-27.364188338902782</v>
      </c>
      <c r="BC472" s="730">
        <f t="shared" si="409"/>
        <v>-89.987728907690155</v>
      </c>
      <c r="BD472" s="351"/>
      <c r="BE472" s="337">
        <f t="shared" si="370"/>
        <v>27.158423807858085</v>
      </c>
      <c r="BF472" s="730">
        <f t="shared" si="371"/>
        <v>-89.685364816700869</v>
      </c>
      <c r="BI472" s="351"/>
      <c r="BJ472" s="351"/>
      <c r="BL472" s="405">
        <f t="shared" si="372"/>
        <v>0</v>
      </c>
      <c r="BM472" s="405">
        <f t="shared" si="360"/>
        <v>0</v>
      </c>
      <c r="BN472" s="405">
        <f t="shared" si="373"/>
        <v>0</v>
      </c>
      <c r="BO472" s="405">
        <f t="shared" si="374"/>
        <v>0</v>
      </c>
    </row>
    <row r="473" spans="4:67" ht="13.5" thickBot="1" x14ac:dyDescent="0.25">
      <c r="D473" s="345">
        <v>54954</v>
      </c>
      <c r="E473" s="340" t="str">
        <f t="shared" si="361"/>
        <v>0.911555476578772i</v>
      </c>
      <c r="F473" s="728" t="str">
        <f t="shared" si="375"/>
        <v>0.005-0.0474778437918256i</v>
      </c>
      <c r="G473" s="337" t="str">
        <f t="shared" si="376"/>
        <v>0.005-0.0742602172128558i</v>
      </c>
      <c r="H473" s="338" t="str">
        <f t="shared" si="377"/>
        <v>0.00944016145903771-0.0733824577095513i</v>
      </c>
      <c r="I473" s="338" t="str">
        <f t="shared" si="378"/>
        <v>0.0194401614590377-0.0733824577095513i</v>
      </c>
      <c r="J473" s="337" t="str">
        <f t="shared" si="379"/>
        <v>0.00480918944772988-0.0289952728890787i</v>
      </c>
      <c r="K473" s="338" t="str">
        <f t="shared" si="362"/>
        <v>0.9664450876-0.287738471142289i</v>
      </c>
      <c r="L473" s="732"/>
      <c r="M473" s="732" t="str">
        <f t="shared" si="363"/>
        <v>0.123481047518628-22.6606707085119i</v>
      </c>
      <c r="N473" s="337">
        <f t="shared" si="364"/>
        <v>0</v>
      </c>
      <c r="O473" s="730" t="str">
        <f t="shared" si="365"/>
        <v>-0.781158529497457-8.73877298974866i</v>
      </c>
      <c r="P473" s="731" t="str">
        <f t="shared" si="366"/>
        <v>-0.656458487292132-0.112559825119289i</v>
      </c>
      <c r="Q473" s="729" t="str">
        <f t="shared" si="367"/>
        <v>-0.648646901997158-0.0251720952218028i</v>
      </c>
      <c r="R473" s="730"/>
      <c r="S473" s="405" t="str">
        <f t="shared" si="380"/>
        <v>38.3009407426362-10.6444063073045i</v>
      </c>
      <c r="T473" s="405" t="str">
        <f t="shared" si="381"/>
        <v>14.3733027140124-5.5034993870527i</v>
      </c>
      <c r="U473" s="405" t="str">
        <f t="shared" si="382"/>
        <v>-0.268174012705033-1.10670220136108i</v>
      </c>
      <c r="V473" s="731" t="str">
        <f t="shared" si="368"/>
        <v>6000</v>
      </c>
      <c r="W473" s="733" t="str">
        <f>IMSUM(COMPLEX(1,0),IMDIV(COMPLEX(0,2*PI()*D473),COMPLEX(2*PI()*'Stability Calculations'!EA_Pole1,0)))</f>
        <v>1+348739.027024454i</v>
      </c>
      <c r="X473" s="734">
        <f t="shared" si="383"/>
        <v>348739.02702588768</v>
      </c>
      <c r="Y473" s="735">
        <f t="shared" si="384"/>
        <v>1.5707934593211628</v>
      </c>
      <c r="Z473" s="340" t="str">
        <f>IMSUM(COMPLEX(1,0),IMDIV(COMPLEX(0,2*PI()*D473),COMPLEX(2*PI()*'Stability Calculations'!EA_Zero1,0)))</f>
        <v>1+3452.86165370747i</v>
      </c>
      <c r="AA473" s="734">
        <f t="shared" si="385"/>
        <v>3452.8617985148908</v>
      </c>
      <c r="AB473" s="735">
        <f t="shared" si="386"/>
        <v>1.5705067119558638</v>
      </c>
      <c r="AC473" s="733" t="str">
        <f>IMSUM(COMPLEX(1,0),IMDIV(COMPLEX(0,2*PI()*D473),COMPLEX(2*PI()*'Stability Calculations'!EA_Pole2,0)))</f>
        <v>1+34.7822503832286i</v>
      </c>
      <c r="AD473" s="734">
        <f t="shared" si="387"/>
        <v>34.796622561990212</v>
      </c>
      <c r="AE473" s="735">
        <f t="shared" si="388"/>
        <v>1.5420539481666811</v>
      </c>
      <c r="AF473" s="732" t="str">
        <f t="shared" si="389"/>
        <v>0.0485738375039506-1.70654187556601i</v>
      </c>
      <c r="AG473" s="337">
        <f t="shared" si="390"/>
        <v>1.7072330218075726</v>
      </c>
      <c r="AH473" s="730">
        <f t="shared" si="391"/>
        <v>-1.5423406955319801</v>
      </c>
      <c r="AI473" s="731" t="str">
        <f t="shared" si="369"/>
        <v>10000</v>
      </c>
      <c r="AJ473" s="733" t="str">
        <f t="shared" si="392"/>
        <v>1+325120.762740766i</v>
      </c>
      <c r="AK473" s="734">
        <f t="shared" si="393"/>
        <v>325120.76274230389</v>
      </c>
      <c r="AL473" s="735">
        <f t="shared" si="394"/>
        <v>1.5707932510147109</v>
      </c>
      <c r="AM473" s="340" t="str">
        <f t="shared" si="395"/>
        <v>1+551.767292262454i</v>
      </c>
      <c r="AN473" s="734">
        <f t="shared" si="396"/>
        <v>551.76819844083116</v>
      </c>
      <c r="AO473" s="735">
        <f t="shared" si="397"/>
        <v>1.5689839705368427</v>
      </c>
      <c r="AP473" s="733" t="str">
        <f t="shared" si="398"/>
        <v>1+26.7616231697318i</v>
      </c>
      <c r="AQ473" s="734">
        <f t="shared" si="399"/>
        <v>26.780300123014413</v>
      </c>
      <c r="AR473" s="735">
        <f t="shared" si="400"/>
        <v>1.5334467626909476</v>
      </c>
      <c r="AS473" s="732" t="str">
        <f t="shared" si="401"/>
        <v>0.000906971841203714-4.25904167641928i</v>
      </c>
      <c r="AT473" s="337">
        <f t="shared" si="402"/>
        <v>4.2590417729900558</v>
      </c>
      <c r="AU473" s="730">
        <f t="shared" si="403"/>
        <v>-1.5705833747046376</v>
      </c>
      <c r="AV473" s="732" t="str">
        <f t="shared" si="404"/>
        <v>-0.10561495063799+0.0370047063582697i</v>
      </c>
      <c r="AW473" s="337">
        <f t="shared" si="405"/>
        <v>-19.022615846420326</v>
      </c>
      <c r="AX473" s="730">
        <f t="shared" si="406"/>
        <v>160.69087865642379</v>
      </c>
      <c r="AY473" s="360">
        <f t="shared" si="407"/>
        <v>-19.309121343576209</v>
      </c>
      <c r="BB473" s="337">
        <f t="shared" si="408"/>
        <v>-27.413762006272819</v>
      </c>
      <c r="BC473" s="730">
        <f t="shared" si="409"/>
        <v>-89.987798743989671</v>
      </c>
      <c r="BD473" s="351"/>
      <c r="BE473" s="337">
        <f t="shared" si="370"/>
        <v>27.105584151986051</v>
      </c>
      <c r="BF473" s="730">
        <f t="shared" si="371"/>
        <v>-89.687790668716943</v>
      </c>
      <c r="BI473" s="351"/>
      <c r="BJ473" s="351"/>
      <c r="BL473" s="405">
        <f t="shared" si="372"/>
        <v>0</v>
      </c>
      <c r="BM473" s="405">
        <f t="shared" si="360"/>
        <v>0</v>
      </c>
      <c r="BN473" s="405">
        <f t="shared" si="373"/>
        <v>0</v>
      </c>
      <c r="BO473" s="405">
        <f t="shared" si="374"/>
        <v>0</v>
      </c>
    </row>
    <row r="474" spans="4:67" ht="13.5" thickBot="1" x14ac:dyDescent="0.25">
      <c r="D474" s="345">
        <v>55274</v>
      </c>
      <c r="E474" s="340" t="str">
        <f t="shared" si="361"/>
        <v>0.916863511526277i</v>
      </c>
      <c r="F474" s="728" t="str">
        <f t="shared" si="375"/>
        <v>0.005-0.0472029783937473i</v>
      </c>
      <c r="G474" s="337" t="str">
        <f t="shared" si="376"/>
        <v>0.005-0.0738302995389383i</v>
      </c>
      <c r="H474" s="338" t="str">
        <f t="shared" si="377"/>
        <v>0.0093888502099715-0.0729607226322343i</v>
      </c>
      <c r="I474" s="338" t="str">
        <f t="shared" si="378"/>
        <v>0.0193888502099715-0.0729607226322343i</v>
      </c>
      <c r="J474" s="337" t="str">
        <f t="shared" si="379"/>
        <v>0.00480116884509658-0.0288282910826667i</v>
      </c>
      <c r="K474" s="338" t="str">
        <f t="shared" si="362"/>
        <v>0.966053165822222-0.289413987224204i</v>
      </c>
      <c r="L474" s="732"/>
      <c r="M474" s="732" t="str">
        <f t="shared" si="363"/>
        <v>0.121759792453226-22.520970959561i</v>
      </c>
      <c r="N474" s="337">
        <f t="shared" si="364"/>
        <v>0</v>
      </c>
      <c r="O474" s="730" t="str">
        <f t="shared" si="365"/>
        <v>-0.777580010147332-8.683852239444i</v>
      </c>
      <c r="P474" s="731" t="str">
        <f t="shared" si="366"/>
        <v>-0.648656516964396-0.111637110871376i</v>
      </c>
      <c r="Q474" s="729" t="str">
        <f t="shared" si="367"/>
        <v>-0.640880716862922-0.024798588476936i</v>
      </c>
      <c r="R474" s="730"/>
      <c r="S474" s="405" t="str">
        <f t="shared" si="380"/>
        <v>38.2779502365857-10.7127200424848i</v>
      </c>
      <c r="T474" s="405" t="str">
        <f t="shared" si="381"/>
        <v>14.3598044465197-5.52996999541252i</v>
      </c>
      <c r="U474" s="405" t="str">
        <f t="shared" si="382"/>
        <v>-0.268648554007014-1.09962176922822i</v>
      </c>
      <c r="V474" s="731" t="str">
        <f t="shared" si="368"/>
        <v>6000</v>
      </c>
      <c r="W474" s="733" t="str">
        <f>IMSUM(COMPLEX(1,0),IMDIV(COMPLEX(0,2*PI()*D474),COMPLEX(2*PI()*'Stability Calculations'!EA_Pole1,0)))</f>
        <v>1+350769.752515735i</v>
      </c>
      <c r="X474" s="734">
        <f t="shared" si="383"/>
        <v>350769.75251716049</v>
      </c>
      <c r="Y474" s="735">
        <f t="shared" si="384"/>
        <v>1.5707934759219442</v>
      </c>
      <c r="Z474" s="340" t="str">
        <f>IMSUM(COMPLEX(1,0),IMDIV(COMPLEX(0,2*PI()*D474),COMPLEX(2*PI()*'Stability Calculations'!EA_Zero1,0)))</f>
        <v>1+3472.96784669044i</v>
      </c>
      <c r="AA474" s="734">
        <f t="shared" si="385"/>
        <v>3472.9679906595211</v>
      </c>
      <c r="AB474" s="735">
        <f t="shared" si="386"/>
        <v>1.5705083886346523</v>
      </c>
      <c r="AC474" s="733" t="str">
        <f>IMSUM(COMPLEX(1,0),IMDIV(COMPLEX(0,2*PI()*D474),COMPLEX(2*PI()*'Stability Calculations'!EA_Pole2,0)))</f>
        <v>1+34.9847892361352i</v>
      </c>
      <c r="AD474" s="734">
        <f t="shared" si="387"/>
        <v>34.999078243530946</v>
      </c>
      <c r="AE474" s="735">
        <f t="shared" si="388"/>
        <v>1.5422202567441978</v>
      </c>
      <c r="AF474" s="732" t="str">
        <f t="shared" si="389"/>
        <v>0.0480135023834753-1.69667814030013i</v>
      </c>
      <c r="AG474" s="337">
        <f t="shared" si="390"/>
        <v>1.697357360187723</v>
      </c>
      <c r="AH474" s="730">
        <f t="shared" si="391"/>
        <v>-1.5425053440314898</v>
      </c>
      <c r="AI474" s="731" t="str">
        <f t="shared" si="369"/>
        <v>10000</v>
      </c>
      <c r="AJ474" s="733" t="str">
        <f t="shared" si="392"/>
        <v>1+327013.957850804i</v>
      </c>
      <c r="AK474" s="734">
        <f t="shared" si="393"/>
        <v>327013.95785233303</v>
      </c>
      <c r="AL474" s="735">
        <f t="shared" si="394"/>
        <v>1.5707932688214494</v>
      </c>
      <c r="AM474" s="340" t="str">
        <f t="shared" si="395"/>
        <v>1+554.980261901132i</v>
      </c>
      <c r="AN474" s="734">
        <f t="shared" si="396"/>
        <v>554.98116283334264</v>
      </c>
      <c r="AO474" s="735">
        <f t="shared" si="397"/>
        <v>1.5689944628613284</v>
      </c>
      <c r="AP474" s="733" t="str">
        <f t="shared" si="398"/>
        <v>1+26.9174574932444i</v>
      </c>
      <c r="AQ474" s="734">
        <f t="shared" si="399"/>
        <v>26.936026394043701</v>
      </c>
      <c r="AR474" s="735">
        <f t="shared" si="400"/>
        <v>1.5336627927352426</v>
      </c>
      <c r="AS474" s="732" t="str">
        <f t="shared" si="401"/>
        <v>0.000896500702758116-4.23438463669148i</v>
      </c>
      <c r="AT474" s="337">
        <f t="shared" si="402"/>
        <v>4.2343847315947034</v>
      </c>
      <c r="AU474" s="730">
        <f t="shared" si="403"/>
        <v>-1.5705846075567351</v>
      </c>
      <c r="AV474" s="732" t="str">
        <f t="shared" si="404"/>
        <v>-0.104298483119002+0.0367879109964559i</v>
      </c>
      <c r="AW474" s="337">
        <f t="shared" si="405"/>
        <v>-19.125194290380247</v>
      </c>
      <c r="AX474" s="730">
        <f t="shared" si="406"/>
        <v>160.5713568370804</v>
      </c>
      <c r="AY474" s="360">
        <f t="shared" si="407"/>
        <v>-19.428643162919599</v>
      </c>
      <c r="BB474" s="337">
        <f t="shared" si="408"/>
        <v>-27.46419369998495</v>
      </c>
      <c r="BC474" s="730">
        <f t="shared" si="409"/>
        <v>-89.987869381211624</v>
      </c>
      <c r="BD474" s="351"/>
      <c r="BE474" s="337">
        <f t="shared" si="370"/>
        <v>27.051869155223308</v>
      </c>
      <c r="BF474" s="730">
        <f t="shared" si="371"/>
        <v>-89.690232971646765</v>
      </c>
      <c r="BI474" s="351"/>
      <c r="BJ474" s="351"/>
      <c r="BL474" s="405">
        <f t="shared" si="372"/>
        <v>0</v>
      </c>
      <c r="BM474" s="405">
        <f t="shared" ref="BM474:BM537" si="410">IF(BL474&gt;0,AY474,0)</f>
        <v>0</v>
      </c>
      <c r="BN474" s="405">
        <f t="shared" si="373"/>
        <v>0</v>
      </c>
      <c r="BO474" s="405">
        <f t="shared" si="374"/>
        <v>0</v>
      </c>
    </row>
    <row r="475" spans="4:67" ht="13.5" thickBot="1" x14ac:dyDescent="0.25">
      <c r="D475" s="345">
        <v>55594</v>
      </c>
      <c r="E475" s="340" t="str">
        <f t="shared" si="361"/>
        <v>0.922171546473783i</v>
      </c>
      <c r="F475" s="728" t="str">
        <f t="shared" si="375"/>
        <v>0.005-0.046931277255387i</v>
      </c>
      <c r="G475" s="337" t="str">
        <f t="shared" si="376"/>
        <v>0.005-0.0734053310917595i</v>
      </c>
      <c r="H475" s="338" t="str">
        <f t="shared" si="377"/>
        <v>0.00933841820365629-0.0725437897529563i</v>
      </c>
      <c r="I475" s="338" t="str">
        <f t="shared" si="378"/>
        <v>0.0193384182036563-0.0725437897529563i</v>
      </c>
      <c r="J475" s="337" t="str">
        <f t="shared" si="379"/>
        <v>0.00479328367389414-0.0286632319814398i</v>
      </c>
      <c r="K475" s="338" t="str">
        <f t="shared" si="362"/>
        <v>0.965658968488889-0.291089503306118i</v>
      </c>
      <c r="L475" s="732"/>
      <c r="M475" s="732" t="str">
        <f t="shared" si="363"/>
        <v>0.120075231638257-22.3830311603932i</v>
      </c>
      <c r="N475" s="337">
        <f t="shared" si="364"/>
        <v>0</v>
      </c>
      <c r="O475" s="730" t="str">
        <f t="shared" si="365"/>
        <v>-0.77405998997786-8.62962034767796i</v>
      </c>
      <c r="P475" s="731" t="str">
        <f t="shared" si="366"/>
        <v>-0.640994459950696-0.110729962053049i</v>
      </c>
      <c r="Q475" s="729" t="str">
        <f t="shared" si="367"/>
        <v>-0.633253860050917-0.0244337585762686i</v>
      </c>
      <c r="R475" s="730"/>
      <c r="S475" s="405" t="str">
        <f t="shared" si="380"/>
        <v>38.2548158093052-10.7809411122536i</v>
      </c>
      <c r="T475" s="405" t="str">
        <f t="shared" si="381"/>
        <v>14.3462362497365-5.55642253638434i</v>
      </c>
      <c r="U475" s="405" t="str">
        <f t="shared" si="382"/>
        <v>-0.269112794509564-1.0926185436081i</v>
      </c>
      <c r="V475" s="731" t="str">
        <f t="shared" si="368"/>
        <v>6000</v>
      </c>
      <c r="W475" s="733" t="str">
        <f>IMSUM(COMPLEX(1,0),IMDIV(COMPLEX(0,2*PI()*D475),COMPLEX(2*PI()*'Stability Calculations'!EA_Pole1,0)))</f>
        <v>1+352800.478007015i</v>
      </c>
      <c r="X475" s="734">
        <f t="shared" si="383"/>
        <v>352800.47800843231</v>
      </c>
      <c r="Y475" s="735">
        <f t="shared" si="384"/>
        <v>1.5707934923316169</v>
      </c>
      <c r="Z475" s="340" t="str">
        <f>IMSUM(COMPLEX(1,0),IMDIV(COMPLEX(0,2*PI()*D475),COMPLEX(2*PI()*'Stability Calculations'!EA_Zero1,0)))</f>
        <v>1+3493.07403967342i</v>
      </c>
      <c r="AA475" s="734">
        <f t="shared" si="385"/>
        <v>3493.074182813813</v>
      </c>
      <c r="AB475" s="735">
        <f t="shared" si="386"/>
        <v>1.5705100460114596</v>
      </c>
      <c r="AC475" s="733" t="str">
        <f>IMSUM(COMPLEX(1,0),IMDIV(COMPLEX(0,2*PI()*D475),COMPLEX(2*PI()*'Stability Calculations'!EA_Pole2,0)))</f>
        <v>1+35.1873280890419i</v>
      </c>
      <c r="AD475" s="734">
        <f t="shared" si="387"/>
        <v>35.201534881960427</v>
      </c>
      <c r="AE475" s="735">
        <f t="shared" si="388"/>
        <v>1.542384652325796</v>
      </c>
      <c r="AF475" s="732" t="str">
        <f t="shared" si="389"/>
        <v>0.0474628048724026-1.68692768279273i</v>
      </c>
      <c r="AG475" s="337">
        <f t="shared" si="390"/>
        <v>1.6875952491100481</v>
      </c>
      <c r="AH475" s="730">
        <f t="shared" si="391"/>
        <v>-1.5426680986459531</v>
      </c>
      <c r="AI475" s="731" t="str">
        <f t="shared" si="369"/>
        <v>10000</v>
      </c>
      <c r="AJ475" s="733" t="str">
        <f t="shared" si="392"/>
        <v>1+328907.152960843i</v>
      </c>
      <c r="AK475" s="734">
        <f t="shared" si="393"/>
        <v>328907.15296236321</v>
      </c>
      <c r="AL475" s="735">
        <f t="shared" si="394"/>
        <v>1.5707932864231959</v>
      </c>
      <c r="AM475" s="340" t="str">
        <f t="shared" si="395"/>
        <v>1+558.193231539812i</v>
      </c>
      <c r="AN475" s="734">
        <f t="shared" si="396"/>
        <v>558.19412728624991</v>
      </c>
      <c r="AO475" s="735">
        <f t="shared" si="397"/>
        <v>1.5690048343982113</v>
      </c>
      <c r="AP475" s="733" t="str">
        <f t="shared" si="398"/>
        <v>1+27.0732918167571i</v>
      </c>
      <c r="AQ475" s="734">
        <f t="shared" si="399"/>
        <v>27.091753907698312</v>
      </c>
      <c r="AR475" s="735">
        <f t="shared" si="400"/>
        <v>1.5338763392424382</v>
      </c>
      <c r="AS475" s="732" t="str">
        <f t="shared" si="401"/>
        <v>0.000886209859555421-4.21001144959732i</v>
      </c>
      <c r="AT475" s="337">
        <f t="shared" si="402"/>
        <v>4.2100115428711646</v>
      </c>
      <c r="AU475" s="730">
        <f t="shared" si="403"/>
        <v>-1.5705858262161985</v>
      </c>
      <c r="AV475" s="732" t="str">
        <f t="shared" si="404"/>
        <v>-0.103004734424243+0.0365732978979896i</v>
      </c>
      <c r="AW475" s="337">
        <f t="shared" si="405"/>
        <v>-19.227200007102724</v>
      </c>
      <c r="AX475" s="730">
        <f t="shared" si="406"/>
        <v>160.45186892572639</v>
      </c>
      <c r="AY475" s="360">
        <f t="shared" si="407"/>
        <v>-19.548131074273613</v>
      </c>
      <c r="BB475" s="337">
        <f t="shared" si="408"/>
        <v>-27.514334268567499</v>
      </c>
      <c r="BC475" s="730">
        <f t="shared" si="409"/>
        <v>-89.987939205255543</v>
      </c>
      <c r="BD475" s="351"/>
      <c r="BE475" s="337">
        <f t="shared" si="370"/>
        <v>26.998502968101224</v>
      </c>
      <c r="BF475" s="730">
        <f t="shared" si="371"/>
        <v>-89.692635999484779</v>
      </c>
      <c r="BI475" s="351"/>
      <c r="BJ475" s="351"/>
      <c r="BL475" s="405">
        <f t="shared" si="372"/>
        <v>0</v>
      </c>
      <c r="BM475" s="405">
        <f t="shared" si="410"/>
        <v>0</v>
      </c>
      <c r="BN475" s="405">
        <f t="shared" si="373"/>
        <v>0</v>
      </c>
      <c r="BO475" s="405">
        <f t="shared" si="374"/>
        <v>0</v>
      </c>
    </row>
    <row r="476" spans="4:67" ht="13.5" thickBot="1" x14ac:dyDescent="0.25">
      <c r="D476" s="345">
        <v>55914</v>
      </c>
      <c r="E476" s="340" t="str">
        <f t="shared" si="361"/>
        <v>0.927479581421288i</v>
      </c>
      <c r="F476" s="728" t="str">
        <f t="shared" si="375"/>
        <v>0.005-0.0466626860488606i</v>
      </c>
      <c r="G476" s="337" t="str">
        <f t="shared" si="376"/>
        <v>0.005-0.0729852268969359i</v>
      </c>
      <c r="H476" s="338" t="str">
        <f t="shared" si="377"/>
        <v>0.00928884548962522-0.072131577813589i</v>
      </c>
      <c r="I476" s="338" t="str">
        <f t="shared" si="378"/>
        <v>0.0192888454896252-0.072131577813589i</v>
      </c>
      <c r="J476" s="337" t="str">
        <f t="shared" si="379"/>
        <v>0.00478553083306726-0.0285000626392764i</v>
      </c>
      <c r="K476" s="338" t="str">
        <f t="shared" si="362"/>
        <v>0.9652624956-0.292765019388033i</v>
      </c>
      <c r="L476" s="732"/>
      <c r="M476" s="732" t="str">
        <f t="shared" si="363"/>
        <v>0.118426314209876-22.2468174740157i</v>
      </c>
      <c r="N476" s="337">
        <f t="shared" si="364"/>
        <v>0</v>
      </c>
      <c r="O476" s="730" t="str">
        <f t="shared" si="365"/>
        <v>-0.770597114084385-8.57606403240265i</v>
      </c>
      <c r="P476" s="731" t="str">
        <f t="shared" si="366"/>
        <v>-0.633468958755899-0.109837988332642i</v>
      </c>
      <c r="Q476" s="729" t="str">
        <f t="shared" si="367"/>
        <v>-0.625762987615056-0.0240773480086159i</v>
      </c>
      <c r="R476" s="730"/>
      <c r="S476" s="405" t="str">
        <f t="shared" si="380"/>
        <v>38.2315375896307-10.8490700380592i</v>
      </c>
      <c r="T476" s="405" t="str">
        <f t="shared" si="381"/>
        <v>14.3325981625541-5.58285645982865i</v>
      </c>
      <c r="U476" s="405" t="str">
        <f t="shared" si="382"/>
        <v>-0.269566955357378-1.08569121067928i</v>
      </c>
      <c r="V476" s="731" t="str">
        <f t="shared" si="368"/>
        <v>6000</v>
      </c>
      <c r="W476" s="733" t="str">
        <f>IMSUM(COMPLEX(1,0),IMDIV(COMPLEX(0,2*PI()*D476),COMPLEX(2*PI()*'Stability Calculations'!EA_Pole1,0)))</f>
        <v>1+354831.203498295i</v>
      </c>
      <c r="X476" s="734">
        <f t="shared" si="383"/>
        <v>354831.20349970413</v>
      </c>
      <c r="Y476" s="735">
        <f t="shared" si="384"/>
        <v>1.5707935085534619</v>
      </c>
      <c r="Z476" s="340" t="str">
        <f>IMSUM(COMPLEX(1,0),IMDIV(COMPLEX(0,2*PI()*D476),COMPLEX(2*PI()*'Stability Calculations'!EA_Zero1,0)))</f>
        <v>1+3513.18023265639i</v>
      </c>
      <c r="AA476" s="734">
        <f t="shared" si="385"/>
        <v>3513.18037497758</v>
      </c>
      <c r="AB476" s="735">
        <f t="shared" si="386"/>
        <v>1.5705116844176858</v>
      </c>
      <c r="AC476" s="733" t="str">
        <f>IMSUM(COMPLEX(1,0),IMDIV(COMPLEX(0,2*PI()*D476),COMPLEX(2*PI()*'Stability Calculations'!EA_Pole2,0)))</f>
        <v>1+35.3898669419485i</v>
      </c>
      <c r="AD476" s="734">
        <f t="shared" si="387"/>
        <v>35.403992460862646</v>
      </c>
      <c r="AE476" s="735">
        <f t="shared" si="388"/>
        <v>1.5425471677208891</v>
      </c>
      <c r="AF476" s="732" t="str">
        <f t="shared" si="389"/>
        <v>0.0469215252704963-1.67728856436056i</v>
      </c>
      <c r="AG476" s="337">
        <f t="shared" si="390"/>
        <v>1.6779447421379581</v>
      </c>
      <c r="AH476" s="730">
        <f t="shared" si="391"/>
        <v>-1.5428289918566651</v>
      </c>
      <c r="AI476" s="731" t="str">
        <f t="shared" si="369"/>
        <v>10000</v>
      </c>
      <c r="AJ476" s="733" t="str">
        <f t="shared" si="392"/>
        <v>1+330800.34807088i</v>
      </c>
      <c r="AK476" s="734">
        <f t="shared" si="393"/>
        <v>330800.34807239147</v>
      </c>
      <c r="AL476" s="735">
        <f t="shared" si="394"/>
        <v>1.5707933038234705</v>
      </c>
      <c r="AM476" s="340" t="str">
        <f t="shared" si="395"/>
        <v>1+561.406201178491i</v>
      </c>
      <c r="AN476" s="734">
        <f t="shared" si="396"/>
        <v>561.40709179851319</v>
      </c>
      <c r="AO476" s="735">
        <f t="shared" si="397"/>
        <v>1.569015087221312</v>
      </c>
      <c r="AP476" s="733" t="str">
        <f t="shared" si="398"/>
        <v>1+27.2291261402697i</v>
      </c>
      <c r="AQ476" s="734">
        <f t="shared" si="399"/>
        <v>27.247482642672122</v>
      </c>
      <c r="AR476" s="735">
        <f t="shared" si="400"/>
        <v>1.5340874447756945</v>
      </c>
      <c r="AS476" s="732" t="str">
        <f t="shared" si="401"/>
        <v>0.000876095196056781-4.1859172416082i</v>
      </c>
      <c r="AT476" s="337">
        <f t="shared" si="402"/>
        <v>4.1859173332897521</v>
      </c>
      <c r="AU476" s="730">
        <f t="shared" si="403"/>
        <v>-1.570587030926704</v>
      </c>
      <c r="AV476" s="732" t="str">
        <f t="shared" si="404"/>
        <v>-0.101733185789531+0.0363608347084908i</v>
      </c>
      <c r="AW476" s="337">
        <f t="shared" si="405"/>
        <v>-19.328639714926435</v>
      </c>
      <c r="AX476" s="730">
        <f t="shared" si="406"/>
        <v>160.3324142361636</v>
      </c>
      <c r="AY476" s="360">
        <f t="shared" si="407"/>
        <v>-19.667585763836399</v>
      </c>
      <c r="BB476" s="337">
        <f t="shared" si="408"/>
        <v>-27.564187053872125</v>
      </c>
      <c r="BC476" s="730">
        <f t="shared" si="409"/>
        <v>-89.98800823008304</v>
      </c>
      <c r="BD476" s="351"/>
      <c r="BE476" s="337">
        <f t="shared" si="370"/>
        <v>26.945480898536388</v>
      </c>
      <c r="BF476" s="730">
        <f t="shared" si="371"/>
        <v>-89.695000693758331</v>
      </c>
      <c r="BI476" s="351"/>
      <c r="BJ476" s="351"/>
      <c r="BL476" s="405">
        <f t="shared" si="372"/>
        <v>0</v>
      </c>
      <c r="BM476" s="405">
        <f t="shared" si="410"/>
        <v>0</v>
      </c>
      <c r="BN476" s="405">
        <f t="shared" si="373"/>
        <v>0</v>
      </c>
      <c r="BO476" s="405">
        <f t="shared" si="374"/>
        <v>0</v>
      </c>
    </row>
    <row r="477" spans="4:67" ht="13.5" thickBot="1" x14ac:dyDescent="0.25">
      <c r="D477" s="345">
        <v>56234</v>
      </c>
      <c r="E477" s="340" t="str">
        <f t="shared" si="361"/>
        <v>0.932787616368793i</v>
      </c>
      <c r="F477" s="728" t="str">
        <f t="shared" si="375"/>
        <v>0.005-0.0463971516828964i</v>
      </c>
      <c r="G477" s="337" t="str">
        <f t="shared" si="376"/>
        <v>0.005-0.0725699039142739i</v>
      </c>
      <c r="H477" s="338" t="str">
        <f t="shared" si="377"/>
        <v>0.00924011267941245-0.0717240073722222i</v>
      </c>
      <c r="I477" s="338" t="str">
        <f t="shared" si="378"/>
        <v>0.0192401126794125-0.0717240073722222i</v>
      </c>
      <c r="J477" s="337" t="str">
        <f t="shared" si="379"/>
        <v>0.00477790730948463-0.0283387508579121i</v>
      </c>
      <c r="K477" s="338" t="str">
        <f t="shared" si="362"/>
        <v>0.964863747155555-0.294440535469947i</v>
      </c>
      <c r="L477" s="732"/>
      <c r="M477" s="732" t="str">
        <f t="shared" si="363"/>
        <v>0.116812026878531-22.1122969419241i</v>
      </c>
      <c r="N477" s="337">
        <f t="shared" si="364"/>
        <v>0</v>
      </c>
      <c r="O477" s="730" t="str">
        <f t="shared" si="365"/>
        <v>-0.767190066073193-8.52317035781356i</v>
      </c>
      <c r="P477" s="731" t="str">
        <f t="shared" si="366"/>
        <v>-0.626076756896299-0.108960812115232i</v>
      </c>
      <c r="Q477" s="729" t="str">
        <f t="shared" si="367"/>
        <v>-0.618404856235567-0.0237291085370955i</v>
      </c>
      <c r="R477" s="730"/>
      <c r="S477" s="405" t="str">
        <f t="shared" si="380"/>
        <v>38.2081157029615-10.9171073212822i</v>
      </c>
      <c r="T477" s="405" t="str">
        <f t="shared" si="381"/>
        <v>14.3188902261463-5.60927122316782i</v>
      </c>
      <c r="U477" s="405" t="str">
        <f t="shared" si="382"/>
        <v>-0.270011251429554-1.07883848629361i</v>
      </c>
      <c r="V477" s="731" t="str">
        <f t="shared" si="368"/>
        <v>6000</v>
      </c>
      <c r="W477" s="733" t="str">
        <f>IMSUM(COMPLEX(1,0),IMDIV(COMPLEX(0,2*PI()*D477),COMPLEX(2*PI()*'Stability Calculations'!EA_Pole1,0)))</f>
        <v>1+356861.928989576i</v>
      </c>
      <c r="X477" s="734">
        <f t="shared" si="383"/>
        <v>356861.92899097712</v>
      </c>
      <c r="Y477" s="735">
        <f t="shared" si="384"/>
        <v>1.5707935245906861</v>
      </c>
      <c r="Z477" s="340" t="str">
        <f>IMSUM(COMPLEX(1,0),IMDIV(COMPLEX(0,2*PI()*D477),COMPLEX(2*PI()*'Stability Calculations'!EA_Zero1,0)))</f>
        <v>1+3533.28642563937i</v>
      </c>
      <c r="AA477" s="734">
        <f t="shared" si="385"/>
        <v>3533.2865671506797</v>
      </c>
      <c r="AB477" s="735">
        <f t="shared" si="386"/>
        <v>1.5705133041771879</v>
      </c>
      <c r="AC477" s="733" t="str">
        <f>IMSUM(COMPLEX(1,0),IMDIV(COMPLEX(0,2*PI()*D477),COMPLEX(2*PI()*'Stability Calculations'!EA_Pole2,0)))</f>
        <v>1+35.5924057948552i</v>
      </c>
      <c r="AD477" s="734">
        <f t="shared" si="387"/>
        <v>35.606450964195275</v>
      </c>
      <c r="AE477" s="735">
        <f t="shared" si="388"/>
        <v>1.5427078349930756</v>
      </c>
      <c r="AF477" s="732" t="str">
        <f t="shared" si="389"/>
        <v>0.0463894501007925-1.66775889027391i</v>
      </c>
      <c r="AG477" s="337">
        <f t="shared" si="390"/>
        <v>1.668403937051312</v>
      </c>
      <c r="AH477" s="730">
        <f t="shared" si="391"/>
        <v>-1.542988055406574</v>
      </c>
      <c r="AI477" s="731" t="str">
        <f t="shared" si="369"/>
        <v>10000</v>
      </c>
      <c r="AJ477" s="733" t="str">
        <f t="shared" si="392"/>
        <v>1+332693.543180919i</v>
      </c>
      <c r="AK477" s="734">
        <f t="shared" si="393"/>
        <v>332693.54318242188</v>
      </c>
      <c r="AL477" s="735">
        <f t="shared" si="394"/>
        <v>1.5707933210257121</v>
      </c>
      <c r="AM477" s="340" t="str">
        <f t="shared" si="395"/>
        <v>1+564.619170817171i</v>
      </c>
      <c r="AN477" s="734">
        <f t="shared" si="396"/>
        <v>564.62005636912136</v>
      </c>
      <c r="AO477" s="735">
        <f t="shared" si="397"/>
        <v>1.5690252233572468</v>
      </c>
      <c r="AP477" s="733" t="str">
        <f t="shared" si="398"/>
        <v>1+27.3849604637824i</v>
      </c>
      <c r="AQ477" s="734">
        <f t="shared" si="399"/>
        <v>27.403212578143552</v>
      </c>
      <c r="AR477" s="735">
        <f t="shared" si="400"/>
        <v>1.5342961509315245</v>
      </c>
      <c r="AS477" s="732" t="str">
        <f t="shared" si="401"/>
        <v>0.000866152713486705-4.16209725012686i</v>
      </c>
      <c r="AT477" s="337">
        <f t="shared" si="402"/>
        <v>4.1620973402521582</v>
      </c>
      <c r="AU477" s="730">
        <f t="shared" si="403"/>
        <v>-1.570588221926382</v>
      </c>
      <c r="AV477" s="732" t="str">
        <f t="shared" si="404"/>
        <v>-0.10048333318336+0.0361504896648747i</v>
      </c>
      <c r="AW477" s="337">
        <f t="shared" si="405"/>
        <v>-19.42952001723209</v>
      </c>
      <c r="AX477" s="730">
        <f t="shared" si="406"/>
        <v>160.2129920985478</v>
      </c>
      <c r="AY477" s="360">
        <f t="shared" si="407"/>
        <v>-19.787007901452199</v>
      </c>
      <c r="BB477" s="337">
        <f t="shared" si="408"/>
        <v>-27.613755340536684</v>
      </c>
      <c r="BC477" s="730">
        <f t="shared" si="409"/>
        <v>-89.988076469337997</v>
      </c>
      <c r="BD477" s="351"/>
      <c r="BE477" s="337">
        <f t="shared" si="370"/>
        <v>26.89279835112794</v>
      </c>
      <c r="BF477" s="730">
        <f t="shared" si="371"/>
        <v>-89.697327966562668</v>
      </c>
      <c r="BI477" s="351"/>
      <c r="BJ477" s="351"/>
      <c r="BL477" s="405">
        <f t="shared" si="372"/>
        <v>0</v>
      </c>
      <c r="BM477" s="405">
        <f t="shared" si="410"/>
        <v>0</v>
      </c>
      <c r="BN477" s="405">
        <f t="shared" si="373"/>
        <v>0</v>
      </c>
      <c r="BO477" s="405">
        <f t="shared" si="374"/>
        <v>0</v>
      </c>
    </row>
    <row r="478" spans="4:67" ht="13.5" thickBot="1" x14ac:dyDescent="0.25">
      <c r="D478" s="345">
        <v>56561.5</v>
      </c>
      <c r="E478" s="340" t="str">
        <f t="shared" si="361"/>
        <v>0.938220058385381i</v>
      </c>
      <c r="F478" s="728" t="str">
        <f t="shared" si="375"/>
        <v>0.005-0.0461285048617168i</v>
      </c>
      <c r="G478" s="337" t="str">
        <f t="shared" si="376"/>
        <v>0.005-0.0721497127324286i</v>
      </c>
      <c r="H478" s="338" t="str">
        <f t="shared" si="377"/>
        <v>0.00919108769407728-0.0713116094032429i</v>
      </c>
      <c r="I478" s="338" t="str">
        <f t="shared" si="378"/>
        <v>0.0191910876940773-0.0713116094032429i</v>
      </c>
      <c r="J478" s="337" t="str">
        <f t="shared" si="379"/>
        <v>0.00477023595352972-0.0281755488707363i</v>
      </c>
      <c r="K478" s="338" t="str">
        <f t="shared" si="362"/>
        <v>0.964453296863889-0.296155321460032i</v>
      </c>
      <c r="L478" s="732"/>
      <c r="M478" s="732" t="str">
        <f t="shared" si="363"/>
        <v>0.115194742122537-21.9763432280535i</v>
      </c>
      <c r="N478" s="337">
        <f t="shared" si="364"/>
        <v>0</v>
      </c>
      <c r="O478" s="730" t="str">
        <f t="shared" si="365"/>
        <v>-0.763759636657671-8.46970995903238i</v>
      </c>
      <c r="P478" s="731" t="str">
        <f t="shared" si="366"/>
        <v>-0.618646026521567-0.108078017679896i</v>
      </c>
      <c r="Q478" s="729" t="str">
        <f t="shared" si="367"/>
        <v>-0.611008430154991-0.0233809180895719i</v>
      </c>
      <c r="R478" s="730"/>
      <c r="S478" s="405" t="str">
        <f t="shared" si="380"/>
        <v>38.1839962359809-10.9866448414649i</v>
      </c>
      <c r="T478" s="405" t="str">
        <f t="shared" si="381"/>
        <v>14.3047887312395-5.63628468508502i</v>
      </c>
      <c r="U478" s="405" t="str">
        <f t="shared" si="382"/>
        <v>-0.270455964274192-1.07190109340746i</v>
      </c>
      <c r="V478" s="731" t="str">
        <f t="shared" si="368"/>
        <v>6000</v>
      </c>
      <c r="W478" s="733" t="str">
        <f>IMSUM(COMPLEX(1,0),IMDIV(COMPLEX(0,2*PI()*D478),COMPLEX(2*PI()*'Stability Calculations'!EA_Pole1,0)))</f>
        <v>1+358940.249609558i</v>
      </c>
      <c r="X478" s="734">
        <f t="shared" si="383"/>
        <v>358940.24961095105</v>
      </c>
      <c r="Y478" s="735">
        <f t="shared" si="384"/>
        <v>1.5707935408158902</v>
      </c>
      <c r="Z478" s="340" t="str">
        <f>IMSUM(COMPLEX(1,0),IMDIV(COMPLEX(0,2*PI()*D478),COMPLEX(2*PI()*'Stability Calculations'!EA_Zero1,0)))</f>
        <v>1+3553.86385752038i</v>
      </c>
      <c r="AA478" s="734">
        <f t="shared" si="385"/>
        <v>3553.8639982123168</v>
      </c>
      <c r="AB478" s="735">
        <f t="shared" si="386"/>
        <v>1.5705149429226666</v>
      </c>
      <c r="AC478" s="733" t="str">
        <f>IMSUM(COMPLEX(1,0),IMDIV(COMPLEX(0,2*PI()*D478),COMPLEX(2*PI()*'Stability Calculations'!EA_Pole2,0)))</f>
        <v>1+35.7996916521269i</v>
      </c>
      <c r="AD478" s="734">
        <f t="shared" si="387"/>
        <v>35.813655529523437</v>
      </c>
      <c r="AE478" s="735">
        <f t="shared" si="388"/>
        <v>1.5428703869992664</v>
      </c>
      <c r="AF478" s="732" t="str">
        <f t="shared" si="389"/>
        <v>0.0458542185157979-1.65811725415032i</v>
      </c>
      <c r="AG478" s="337">
        <f t="shared" si="390"/>
        <v>1.6587511681583502</v>
      </c>
      <c r="AH478" s="730">
        <f t="shared" si="391"/>
        <v>-1.5431489848924898</v>
      </c>
      <c r="AI478" s="731" t="str">
        <f t="shared" si="369"/>
        <v>10000</v>
      </c>
      <c r="AJ478" s="733" t="str">
        <f t="shared" si="392"/>
        <v>1+334631.110051349i</v>
      </c>
      <c r="AK478" s="734">
        <f t="shared" si="393"/>
        <v>334631.11005284323</v>
      </c>
      <c r="AL478" s="735">
        <f t="shared" si="394"/>
        <v>1.5707933384295893</v>
      </c>
      <c r="AM478" s="340" t="str">
        <f t="shared" si="395"/>
        <v>1+567.907444431757i</v>
      </c>
      <c r="AN478" s="734">
        <f t="shared" si="396"/>
        <v>567.90832485622991</v>
      </c>
      <c r="AO478" s="735">
        <f t="shared" si="397"/>
        <v>1.5690354783040457</v>
      </c>
      <c r="AP478" s="733" t="str">
        <f t="shared" si="398"/>
        <v>1+27.5444471542524i</v>
      </c>
      <c r="AQ478" s="734">
        <f t="shared" si="399"/>
        <v>27.562593655775633</v>
      </c>
      <c r="AR478" s="735">
        <f t="shared" si="400"/>
        <v>1.5345073066692672</v>
      </c>
      <c r="AS478" s="732" t="str">
        <f t="shared" si="401"/>
        <v>0.000856151431024627-4.13799805310458i</v>
      </c>
      <c r="AT478" s="337">
        <f t="shared" si="402"/>
        <v>4.1379981416734068</v>
      </c>
      <c r="AU478" s="730">
        <f t="shared" si="403"/>
        <v>-1.5705894268863367</v>
      </c>
      <c r="AV478" s="732" t="str">
        <f t="shared" si="404"/>
        <v>-0.0992261408656804+0.035937375315821i</v>
      </c>
      <c r="AW478" s="337">
        <f t="shared" si="405"/>
        <v>-19.532192248715777</v>
      </c>
      <c r="AX478" s="730">
        <f t="shared" si="406"/>
        <v>160.09080402756197</v>
      </c>
      <c r="AY478" s="360">
        <f t="shared" si="407"/>
        <v>-19.909195972438027</v>
      </c>
      <c r="BB478" s="337">
        <f t="shared" si="408"/>
        <v>-27.664194174136302</v>
      </c>
      <c r="BC478" s="730">
        <f t="shared" si="409"/>
        <v>-89.988145508457876</v>
      </c>
      <c r="BD478" s="351"/>
      <c r="BE478" s="337">
        <f t="shared" si="370"/>
        <v>26.83922791150944</v>
      </c>
      <c r="BF478" s="730">
        <f t="shared" si="371"/>
        <v>-89.699671959556113</v>
      </c>
      <c r="BI478" s="351"/>
      <c r="BJ478" s="351"/>
      <c r="BL478" s="405">
        <f t="shared" si="372"/>
        <v>0</v>
      </c>
      <c r="BM478" s="405">
        <f t="shared" si="410"/>
        <v>0</v>
      </c>
      <c r="BN478" s="405">
        <f t="shared" si="373"/>
        <v>0</v>
      </c>
      <c r="BO478" s="405">
        <f t="shared" si="374"/>
        <v>0</v>
      </c>
    </row>
    <row r="479" spans="4:67" ht="13.5" thickBot="1" x14ac:dyDescent="0.25">
      <c r="D479" s="345">
        <v>56889</v>
      </c>
      <c r="E479" s="340" t="str">
        <f t="shared" si="361"/>
        <v>0.943652500401968i</v>
      </c>
      <c r="F479" s="728" t="str">
        <f t="shared" si="375"/>
        <v>0.005-0.0458629511458452i</v>
      </c>
      <c r="G479" s="337" t="str">
        <f t="shared" si="376"/>
        <v>0.005-0.0717343594845274i</v>
      </c>
      <c r="H479" s="338" t="str">
        <f t="shared" si="377"/>
        <v>0.00914290307499529-0.0709039102948933i</v>
      </c>
      <c r="I479" s="338" t="str">
        <f t="shared" si="378"/>
        <v>0.0191429030749953-0.0709039102948933i</v>
      </c>
      <c r="J479" s="337" t="str">
        <f t="shared" si="379"/>
        <v>0.00476269393096269-0.0280142266060681i</v>
      </c>
      <c r="K479" s="338" t="str">
        <f t="shared" si="362"/>
        <v>0.9640404631-0.297870107450116i</v>
      </c>
      <c r="L479" s="732"/>
      <c r="M479" s="732" t="str">
        <f t="shared" si="363"/>
        <v>0.113611695932975-21.8420958085936i</v>
      </c>
      <c r="N479" s="337">
        <f t="shared" si="364"/>
        <v>0</v>
      </c>
      <c r="O479" s="730" t="str">
        <f t="shared" si="365"/>
        <v>-0.760385010762929-8.41691727234617i</v>
      </c>
      <c r="P479" s="731" t="str">
        <f t="shared" si="366"/>
        <v>-0.611348323798685-0.10720996094206i</v>
      </c>
      <c r="Q479" s="729" t="str">
        <f t="shared" si="367"/>
        <v>-0.603744473691056-0.0230407882185987i</v>
      </c>
      <c r="R479" s="730"/>
      <c r="S479" s="405" t="str">
        <f t="shared" si="380"/>
        <v>38.1597265440672-11.056087373491i</v>
      </c>
      <c r="T479" s="405" t="str">
        <f t="shared" si="381"/>
        <v>14.290614168923-5.66327695167483i</v>
      </c>
      <c r="U479" s="405" t="str">
        <f t="shared" si="382"/>
        <v>-0.270890780728072-1.06503921734827i</v>
      </c>
      <c r="V479" s="731" t="str">
        <f t="shared" si="368"/>
        <v>6000</v>
      </c>
      <c r="W479" s="733" t="str">
        <f>IMSUM(COMPLEX(1,0),IMDIV(COMPLEX(0,2*PI()*D479),COMPLEX(2*PI()*'Stability Calculations'!EA_Pole1,0)))</f>
        <v>1+361018.57022954i</v>
      </c>
      <c r="X479" s="734">
        <f t="shared" si="383"/>
        <v>361018.57023092493</v>
      </c>
      <c r="Y479" s="735">
        <f t="shared" si="384"/>
        <v>1.5707935568542828</v>
      </c>
      <c r="Z479" s="340" t="str">
        <f>IMSUM(COMPLEX(1,0),IMDIV(COMPLEX(0,2*PI()*D479),COMPLEX(2*PI()*'Stability Calculations'!EA_Zero1,0)))</f>
        <v>1+3574.44128940139i</v>
      </c>
      <c r="AA479" s="734">
        <f t="shared" si="385"/>
        <v>3574.4414292833881</v>
      </c>
      <c r="AB479" s="735">
        <f t="shared" si="386"/>
        <v>1.5705165628002058</v>
      </c>
      <c r="AC479" s="733" t="str">
        <f>IMSUM(COMPLEX(1,0),IMDIV(COMPLEX(0,2*PI()*D479),COMPLEX(2*PI()*'Stability Calculations'!EA_Pole2,0)))</f>
        <v>1+36.0069775093985i</v>
      </c>
      <c r="AD479" s="734">
        <f t="shared" si="387"/>
        <v>36.020861030274247</v>
      </c>
      <c r="AE479" s="735">
        <f t="shared" si="388"/>
        <v>1.5430310688894664</v>
      </c>
      <c r="AF479" s="732" t="str">
        <f t="shared" si="389"/>
        <v>0.045328194501958-1.64858637272852i</v>
      </c>
      <c r="AG479" s="337">
        <f t="shared" si="390"/>
        <v>1.6492094086449378</v>
      </c>
      <c r="AH479" s="730">
        <f t="shared" si="391"/>
        <v>-1.5433080629435434</v>
      </c>
      <c r="AI479" s="731" t="str">
        <f t="shared" si="369"/>
        <v>10000</v>
      </c>
      <c r="AJ479" s="733" t="str">
        <f t="shared" si="392"/>
        <v>1+336568.676921778i</v>
      </c>
      <c r="AK479" s="734">
        <f t="shared" si="393"/>
        <v>336568.67692326359</v>
      </c>
      <c r="AL479" s="735">
        <f t="shared" si="394"/>
        <v>1.5707933556330846</v>
      </c>
      <c r="AM479" s="340" t="str">
        <f t="shared" si="395"/>
        <v>1+571.195718046342i</v>
      </c>
      <c r="AN479" s="734">
        <f t="shared" si="396"/>
        <v>571.19659340237331</v>
      </c>
      <c r="AO479" s="735">
        <f t="shared" si="397"/>
        <v>1.5690456151793468</v>
      </c>
      <c r="AP479" s="733" t="str">
        <f t="shared" si="398"/>
        <v>1+27.7039338447223i</v>
      </c>
      <c r="AQ479" s="734">
        <f t="shared" si="399"/>
        <v>27.721975948203077</v>
      </c>
      <c r="AR479" s="735">
        <f t="shared" si="400"/>
        <v>1.5347160344157409</v>
      </c>
      <c r="AS479" s="732" t="str">
        <f t="shared" si="401"/>
        <v>0.000846322377781947-4.1141763257519i</v>
      </c>
      <c r="AT479" s="337">
        <f t="shared" si="402"/>
        <v>4.114176412799889</v>
      </c>
      <c r="AU479" s="730">
        <f t="shared" si="403"/>
        <v>-1.5705906179728057</v>
      </c>
      <c r="AV479" s="732" t="str">
        <f t="shared" si="404"/>
        <v>-0.097990650386309+0.03572641409206i</v>
      </c>
      <c r="AW479" s="337">
        <f t="shared" si="405"/>
        <v>-19.634292182847048</v>
      </c>
      <c r="AX479" s="730">
        <f t="shared" si="406"/>
        <v>159.96864868312801</v>
      </c>
      <c r="AY479" s="360">
        <f t="shared" si="407"/>
        <v>-20.031351316871991</v>
      </c>
      <c r="BB479" s="337">
        <f t="shared" si="408"/>
        <v>-27.714341800405347</v>
      </c>
      <c r="BC479" s="730">
        <f t="shared" si="409"/>
        <v>-89.988213752685596</v>
      </c>
      <c r="BD479" s="351"/>
      <c r="BE479" s="337">
        <f t="shared" si="370"/>
        <v>26.786003654883658</v>
      </c>
      <c r="BF479" s="730">
        <f t="shared" si="371"/>
        <v>-89.701978599839492</v>
      </c>
      <c r="BI479" s="351"/>
      <c r="BJ479" s="351"/>
      <c r="BL479" s="405">
        <f t="shared" si="372"/>
        <v>0</v>
      </c>
      <c r="BM479" s="405">
        <f t="shared" si="410"/>
        <v>0</v>
      </c>
      <c r="BN479" s="405">
        <f t="shared" si="373"/>
        <v>0</v>
      </c>
      <c r="BO479" s="405">
        <f t="shared" si="374"/>
        <v>0</v>
      </c>
    </row>
    <row r="480" spans="4:67" ht="13.5" thickBot="1" x14ac:dyDescent="0.25">
      <c r="D480" s="345">
        <v>57216.5</v>
      </c>
      <c r="E480" s="340" t="str">
        <f t="shared" si="361"/>
        <v>0.949084942418556i</v>
      </c>
      <c r="F480" s="728" t="str">
        <f t="shared" si="375"/>
        <v>0.005-0.0456004374216526i</v>
      </c>
      <c r="G480" s="337" t="str">
        <f t="shared" si="376"/>
        <v>0.005-0.0713237610954054i</v>
      </c>
      <c r="H480" s="338" t="str">
        <f t="shared" si="377"/>
        <v>0.00909553974603814-0.0705008304738308i</v>
      </c>
      <c r="I480" s="338" t="str">
        <f t="shared" si="378"/>
        <v>0.0190955397460381-0.0705008304738308i</v>
      </c>
      <c r="J480" s="337" t="str">
        <f t="shared" si="379"/>
        <v>0.00475527827883958-0.0278547518460246i</v>
      </c>
      <c r="K480" s="338" t="str">
        <f t="shared" si="362"/>
        <v>0.963625245863889-0.299584893440201i</v>
      </c>
      <c r="L480" s="732"/>
      <c r="M480" s="732" t="str">
        <f t="shared" si="363"/>
        <v>0.112061914162922-21.7095220272626i</v>
      </c>
      <c r="N480" s="337">
        <f t="shared" si="364"/>
        <v>0</v>
      </c>
      <c r="O480" s="730" t="str">
        <f t="shared" si="365"/>
        <v>-0.75706489423306-8.36477948468485i</v>
      </c>
      <c r="P480" s="731" t="str">
        <f t="shared" si="366"/>
        <v>-0.604180463178901-0.10635627535063i</v>
      </c>
      <c r="Q480" s="729" t="str">
        <f t="shared" si="367"/>
        <v>-0.59660981423657-0.0227084805037826i</v>
      </c>
      <c r="R480" s="730"/>
      <c r="S480" s="405" t="str">
        <f t="shared" si="380"/>
        <v>38.135306751401-11.1254353929434i</v>
      </c>
      <c r="T480" s="405" t="str">
        <f t="shared" si="381"/>
        <v>14.2763665904332-5.69024746457609i</v>
      </c>
      <c r="U480" s="405" t="str">
        <f t="shared" si="382"/>
        <v>-0.271315912101925-1.05825157275324i</v>
      </c>
      <c r="V480" s="731" t="str">
        <f t="shared" si="368"/>
        <v>6000</v>
      </c>
      <c r="W480" s="733" t="str">
        <f>IMSUM(COMPLEX(1,0),IMDIV(COMPLEX(0,2*PI()*D480),COMPLEX(2*PI()*'Stability Calculations'!EA_Pole1,0)))</f>
        <v>1+363096.890849523i</v>
      </c>
      <c r="X480" s="734">
        <f t="shared" si="383"/>
        <v>363096.89085090009</v>
      </c>
      <c r="Y480" s="735">
        <f t="shared" si="384"/>
        <v>1.5707935727090721</v>
      </c>
      <c r="Z480" s="340" t="str">
        <f>IMSUM(COMPLEX(1,0),IMDIV(COMPLEX(0,2*PI()*D480),COMPLEX(2*PI()*'Stability Calculations'!EA_Zero1,0)))</f>
        <v>1+3595.01872128241i</v>
      </c>
      <c r="AA480" s="734">
        <f t="shared" si="385"/>
        <v>3595.0188603637416</v>
      </c>
      <c r="AB480" s="735">
        <f t="shared" si="386"/>
        <v>1.5705181641337989</v>
      </c>
      <c r="AC480" s="733" t="str">
        <f>IMSUM(COMPLEX(1,0),IMDIV(COMPLEX(0,2*PI()*D480),COMPLEX(2*PI()*'Stability Calculations'!EA_Pole2,0)))</f>
        <v>1+36.2142633666703i</v>
      </c>
      <c r="AD480" s="734">
        <f t="shared" si="387"/>
        <v>36.22806745039761</v>
      </c>
      <c r="AE480" s="735">
        <f t="shared" si="388"/>
        <v>1.5431899127436901</v>
      </c>
      <c r="AF480" s="732" t="str">
        <f t="shared" si="389"/>
        <v>0.0448111681203957-1.63916434996801i</v>
      </c>
      <c r="AG480" s="337">
        <f t="shared" si="390"/>
        <v>1.6397767552305293</v>
      </c>
      <c r="AH480" s="730">
        <f t="shared" si="391"/>
        <v>-1.5434653213189635</v>
      </c>
      <c r="AI480" s="731" t="str">
        <f t="shared" si="369"/>
        <v>10000</v>
      </c>
      <c r="AJ480" s="733" t="str">
        <f t="shared" si="392"/>
        <v>1+338506.243792209i</v>
      </c>
      <c r="AK480" s="734">
        <f t="shared" si="393"/>
        <v>338506.24379368615</v>
      </c>
      <c r="AL480" s="735">
        <f t="shared" si="394"/>
        <v>1.5707933726396386</v>
      </c>
      <c r="AM480" s="340" t="str">
        <f t="shared" si="395"/>
        <v>1+574.483991660929i</v>
      </c>
      <c r="AN480" s="734">
        <f t="shared" si="396"/>
        <v>574.48486200654088</v>
      </c>
      <c r="AO480" s="735">
        <f t="shared" si="397"/>
        <v>1.5690556360106205</v>
      </c>
      <c r="AP480" s="733" t="str">
        <f t="shared" si="398"/>
        <v>1+27.8634205351924i</v>
      </c>
      <c r="AQ480" s="734">
        <f t="shared" si="399"/>
        <v>27.881359434593239</v>
      </c>
      <c r="AR480" s="735">
        <f t="shared" si="400"/>
        <v>1.5349223757913575</v>
      </c>
      <c r="AS480" s="732" t="str">
        <f t="shared" si="401"/>
        <v>0.000836661621793158-4.09062730346587i</v>
      </c>
      <c r="AT480" s="337">
        <f t="shared" si="402"/>
        <v>4.0906273890276443</v>
      </c>
      <c r="AU480" s="730">
        <f t="shared" si="403"/>
        <v>-1.5705917954240192</v>
      </c>
      <c r="AV480" s="732" t="str">
        <f t="shared" si="404"/>
        <v>-0.0967763661772945+0.0355175737917852i</v>
      </c>
      <c r="AW480" s="337">
        <f t="shared" si="405"/>
        <v>-19.735826541110775</v>
      </c>
      <c r="AX480" s="730">
        <f t="shared" si="406"/>
        <v>159.84652539747427</v>
      </c>
      <c r="AY480" s="360">
        <f t="shared" si="407"/>
        <v>-20.153474602525733</v>
      </c>
      <c r="BB480" s="337">
        <f t="shared" si="408"/>
        <v>-27.764201562606992</v>
      </c>
      <c r="BC480" s="730">
        <f t="shared" si="409"/>
        <v>-89.988281215670696</v>
      </c>
      <c r="BD480" s="351"/>
      <c r="BE480" s="337">
        <f t="shared" si="370"/>
        <v>26.733120952461981</v>
      </c>
      <c r="BF480" s="730">
        <f t="shared" si="371"/>
        <v>-89.704248776538165</v>
      </c>
      <c r="BI480" s="351"/>
      <c r="BJ480" s="351"/>
      <c r="BL480" s="405">
        <f t="shared" si="372"/>
        <v>0</v>
      </c>
      <c r="BM480" s="405">
        <f t="shared" si="410"/>
        <v>0</v>
      </c>
      <c r="BN480" s="405">
        <f t="shared" si="373"/>
        <v>0</v>
      </c>
      <c r="BO480" s="405">
        <f t="shared" si="374"/>
        <v>0</v>
      </c>
    </row>
    <row r="481" spans="4:67" ht="13.5" thickBot="1" x14ac:dyDescent="0.25">
      <c r="D481" s="345">
        <v>57544</v>
      </c>
      <c r="E481" s="340" t="str">
        <f t="shared" si="361"/>
        <v>0.954517384435143i</v>
      </c>
      <c r="F481" s="728" t="str">
        <f t="shared" si="375"/>
        <v>0.005-0.0453409117846515i</v>
      </c>
      <c r="G481" s="337" t="str">
        <f t="shared" si="376"/>
        <v>0.005-0.0709178363811219i</v>
      </c>
      <c r="H481" s="338" t="str">
        <f t="shared" si="377"/>
        <v>0.00904897916869571-0.0701022921470095i</v>
      </c>
      <c r="I481" s="338" t="str">
        <f t="shared" si="378"/>
        <v>0.0190489791686957-0.0701022921470095i</v>
      </c>
      <c r="J481" s="337" t="str">
        <f t="shared" si="379"/>
        <v>0.00474798611824516-0.0276970931042392i</v>
      </c>
      <c r="K481" s="338" t="str">
        <f t="shared" si="362"/>
        <v>0.963207645155556-0.301299679430285i</v>
      </c>
      <c r="L481" s="732"/>
      <c r="M481" s="732" t="str">
        <f t="shared" si="363"/>
        <v>0.110544457289571-21.5785900713636i</v>
      </c>
      <c r="N481" s="337">
        <f t="shared" si="364"/>
        <v>0</v>
      </c>
      <c r="O481" s="730" t="str">
        <f t="shared" si="365"/>
        <v>-0.753798029724435-8.31328411528048i</v>
      </c>
      <c r="P481" s="731" t="str">
        <f t="shared" si="366"/>
        <v>-0.597139354716109-0.105516606235844i</v>
      </c>
      <c r="Q481" s="729" t="str">
        <f t="shared" si="367"/>
        <v>-0.589601374418865-0.0223837650830398i</v>
      </c>
      <c r="R481" s="730"/>
      <c r="S481" s="405" t="str">
        <f t="shared" si="380"/>
        <v>38.110736979006-11.1946893556272i</v>
      </c>
      <c r="T481" s="405" t="str">
        <f t="shared" si="381"/>
        <v>14.2620460492966-5.71719567284586i</v>
      </c>
      <c r="U481" s="405" t="str">
        <f t="shared" si="382"/>
        <v>-0.271731563716393-1.05153690330883i</v>
      </c>
      <c r="V481" s="731" t="str">
        <f t="shared" si="368"/>
        <v>6000</v>
      </c>
      <c r="W481" s="733" t="str">
        <f>IMSUM(COMPLEX(1,0),IMDIV(COMPLEX(0,2*PI()*D481),COMPLEX(2*PI()*'Stability Calculations'!EA_Pole1,0)))</f>
        <v>1+365175.211469505i</v>
      </c>
      <c r="X481" s="734">
        <f t="shared" si="383"/>
        <v>365175.2114708742</v>
      </c>
      <c r="Y481" s="735">
        <f t="shared" si="384"/>
        <v>1.5707935883833928</v>
      </c>
      <c r="Z481" s="340" t="str">
        <f>IMSUM(COMPLEX(1,0),IMDIV(COMPLEX(0,2*PI()*D481),COMPLEX(2*PI()*'Stability Calculations'!EA_Zero1,0)))</f>
        <v>1+3615.59615316342i</v>
      </c>
      <c r="AA481" s="734">
        <f t="shared" si="385"/>
        <v>3615.5962914531979</v>
      </c>
      <c r="AB481" s="735">
        <f t="shared" si="386"/>
        <v>1.5705197472400627</v>
      </c>
      <c r="AC481" s="733" t="str">
        <f>IMSUM(COMPLEX(1,0),IMDIV(COMPLEX(0,2*PI()*D481),COMPLEX(2*PI()*'Stability Calculations'!EA_Pole2,0)))</f>
        <v>1+36.4215492239419i</v>
      </c>
      <c r="AD481" s="734">
        <f t="shared" si="387"/>
        <v>36.435274774207791</v>
      </c>
      <c r="AE481" s="735">
        <f t="shared" si="388"/>
        <v>1.5433469499125714</v>
      </c>
      <c r="AF481" s="732" t="str">
        <f t="shared" si="389"/>
        <v>0.0443029353802507-1.62984933282863i</v>
      </c>
      <c r="AG481" s="337">
        <f t="shared" si="390"/>
        <v>1.6304513478804687</v>
      </c>
      <c r="AH481" s="730">
        <f t="shared" si="391"/>
        <v>-1.5436207910559014</v>
      </c>
      <c r="AI481" s="731" t="str">
        <f t="shared" si="369"/>
        <v>10000</v>
      </c>
      <c r="AJ481" s="733" t="str">
        <f t="shared" si="392"/>
        <v>1+340443.810662638i</v>
      </c>
      <c r="AK481" s="734">
        <f t="shared" si="393"/>
        <v>340443.81066410663</v>
      </c>
      <c r="AL481" s="735">
        <f t="shared" si="394"/>
        <v>1.5707933894526138</v>
      </c>
      <c r="AM481" s="340" t="str">
        <f t="shared" si="395"/>
        <v>1+577.772265275514i</v>
      </c>
      <c r="AN481" s="734">
        <f t="shared" si="396"/>
        <v>577.77313066773786</v>
      </c>
      <c r="AO481" s="735">
        <f t="shared" si="397"/>
        <v>1.5690655427791822</v>
      </c>
      <c r="AP481" s="733" t="str">
        <f t="shared" si="398"/>
        <v>1+28.0229072256623i</v>
      </c>
      <c r="AQ481" s="734">
        <f t="shared" si="399"/>
        <v>28.040744094586298</v>
      </c>
      <c r="AR481" s="735">
        <f t="shared" si="400"/>
        <v>1.5351263714710637</v>
      </c>
      <c r="AS481" s="732" t="str">
        <f t="shared" si="401"/>
        <v>0.000827165342663345-4.06734633011063i</v>
      </c>
      <c r="AT481" s="337">
        <f t="shared" si="402"/>
        <v>4.0673464142198306</v>
      </c>
      <c r="AU481" s="730">
        <f t="shared" si="403"/>
        <v>-1.5705929594727839</v>
      </c>
      <c r="AV481" s="732" t="str">
        <f t="shared" si="404"/>
        <v>-0.0955828067460362+0.0353108228109837i</v>
      </c>
      <c r="AW481" s="337">
        <f t="shared" si="405"/>
        <v>-19.836801930000075</v>
      </c>
      <c r="AX481" s="730">
        <f t="shared" si="406"/>
        <v>159.72443351885249</v>
      </c>
      <c r="AY481" s="360">
        <f t="shared" si="407"/>
        <v>-20.275566481147507</v>
      </c>
      <c r="BB481" s="337">
        <f t="shared" si="408"/>
        <v>-27.813776746758307</v>
      </c>
      <c r="BC481" s="730">
        <f t="shared" si="409"/>
        <v>-89.988347910752069</v>
      </c>
      <c r="BD481" s="351"/>
      <c r="BE481" s="337">
        <f t="shared" si="370"/>
        <v>26.680575270233074</v>
      </c>
      <c r="BF481" s="730">
        <f t="shared" si="371"/>
        <v>-89.706483351137038</v>
      </c>
      <c r="BI481" s="351"/>
      <c r="BJ481" s="351"/>
      <c r="BL481" s="405">
        <f t="shared" si="372"/>
        <v>0</v>
      </c>
      <c r="BM481" s="405">
        <f t="shared" si="410"/>
        <v>0</v>
      </c>
      <c r="BN481" s="405">
        <f t="shared" si="373"/>
        <v>0</v>
      </c>
      <c r="BO481" s="405">
        <f t="shared" si="374"/>
        <v>0</v>
      </c>
    </row>
    <row r="482" spans="4:67" ht="13.5" thickBot="1" x14ac:dyDescent="0.25">
      <c r="D482" s="345">
        <v>57879</v>
      </c>
      <c r="E482" s="340" t="str">
        <f t="shared" si="361"/>
        <v>0.960074233520813i</v>
      </c>
      <c r="F482" s="728" t="str">
        <f t="shared" si="375"/>
        <v>0.005-0.0450784814481243i</v>
      </c>
      <c r="G482" s="337" t="str">
        <f t="shared" si="376"/>
        <v>0.005-0.0705073684188614i</v>
      </c>
      <c r="H482" s="338" t="str">
        <f t="shared" si="377"/>
        <v>0.00900216407419932-0.0696992463934527i</v>
      </c>
      <c r="I482" s="338" t="str">
        <f t="shared" si="378"/>
        <v>0.0190021640741993-0.0696992463934527i</v>
      </c>
      <c r="J482" s="337" t="str">
        <f t="shared" si="379"/>
        <v>0.00474065181140162-0.0275376706540403i</v>
      </c>
      <c r="K482" s="338" t="str">
        <f t="shared" si="362"/>
        <v>0.9627780151-0.303053735328539i</v>
      </c>
      <c r="L482" s="732"/>
      <c r="M482" s="732" t="str">
        <f t="shared" si="363"/>
        <v>0.109024748558985-21.4463260187317i</v>
      </c>
      <c r="N482" s="337">
        <f t="shared" si="364"/>
        <v>0</v>
      </c>
      <c r="O482" s="730" t="str">
        <f t="shared" si="365"/>
        <v>-0.750510173270193-8.2612614427567i</v>
      </c>
      <c r="P482" s="731" t="str">
        <f t="shared" si="366"/>
        <v>-0.590065014271264-0.104671851907567i</v>
      </c>
      <c r="Q482" s="729" t="str">
        <f t="shared" si="367"/>
        <v>-0.582559912538562-0.0220592374800006i</v>
      </c>
      <c r="R482" s="730"/>
      <c r="S482" s="405" t="str">
        <f t="shared" si="380"/>
        <v>38.0854494920439-11.2654324295266i</v>
      </c>
      <c r="T482" s="405" t="str">
        <f t="shared" si="381"/>
        <v>14.2473221268583-5.74473737218611i</v>
      </c>
      <c r="U482" s="405" t="str">
        <f t="shared" si="382"/>
        <v>-0.272147134165725-1.04474268375438i</v>
      </c>
      <c r="V482" s="731" t="str">
        <f t="shared" si="368"/>
        <v>6000</v>
      </c>
      <c r="W482" s="733" t="str">
        <f>IMSUM(COMPLEX(1,0),IMDIV(COMPLEX(0,2*PI()*D482),COMPLEX(2*PI()*'Stability Calculations'!EA_Pole1,0)))</f>
        <v>1+367301.12721819i</v>
      </c>
      <c r="X482" s="734">
        <f t="shared" si="383"/>
        <v>367301.12721955124</v>
      </c>
      <c r="Y482" s="735">
        <f t="shared" si="384"/>
        <v>1.5707936042331458</v>
      </c>
      <c r="Z482" s="340" t="str">
        <f>IMSUM(COMPLEX(1,0),IMDIV(COMPLEX(0,2*PI()*D482),COMPLEX(2*PI()*'Stability Calculations'!EA_Zero1,0)))</f>
        <v>1+3636.64482394247i</v>
      </c>
      <c r="AA482" s="734">
        <f t="shared" si="385"/>
        <v>3636.6449614318353</v>
      </c>
      <c r="AB482" s="735">
        <f t="shared" si="386"/>
        <v>1.5705213480649938</v>
      </c>
      <c r="AC482" s="733" t="str">
        <f>IMSUM(COMPLEX(1,0),IMDIV(COMPLEX(0,2*PI()*D482),COMPLEX(2*PI()*'Stability Calculations'!EA_Pole2,0)))</f>
        <v>1+36.6335820855786i</v>
      </c>
      <c r="AD482" s="734">
        <f t="shared" si="387"/>
        <v>36.647228222893283</v>
      </c>
      <c r="AE482" s="735">
        <f t="shared" si="388"/>
        <v>1.5435057460720385</v>
      </c>
      <c r="AF482" s="732" t="str">
        <f t="shared" si="389"/>
        <v>0.0437919551032617-1.62042981612652i</v>
      </c>
      <c r="AG482" s="337">
        <f t="shared" si="390"/>
        <v>1.6210214447451317</v>
      </c>
      <c r="AH482" s="730">
        <f t="shared" si="391"/>
        <v>-1.5437780022401906</v>
      </c>
      <c r="AI482" s="731" t="str">
        <f t="shared" si="369"/>
        <v>10000</v>
      </c>
      <c r="AJ482" s="733" t="str">
        <f t="shared" si="392"/>
        <v>1+342425.74929346i</v>
      </c>
      <c r="AK482" s="734">
        <f t="shared" si="393"/>
        <v>342425.74929492013</v>
      </c>
      <c r="AL482" s="735">
        <f t="shared" si="394"/>
        <v>1.5707934064537656</v>
      </c>
      <c r="AM482" s="340" t="str">
        <f t="shared" si="395"/>
        <v>1+581.135842866007i</v>
      </c>
      <c r="AN482" s="734">
        <f t="shared" si="396"/>
        <v>581.13670324940279</v>
      </c>
      <c r="AO482" s="735">
        <f t="shared" si="397"/>
        <v>1.5690755604280249</v>
      </c>
      <c r="AP482" s="733" t="str">
        <f t="shared" si="398"/>
        <v>1+28.1860462830896i</v>
      </c>
      <c r="AQ482" s="734">
        <f t="shared" si="399"/>
        <v>28.20377997844383</v>
      </c>
      <c r="AR482" s="735">
        <f t="shared" si="400"/>
        <v>1.5353326533601006</v>
      </c>
      <c r="AS482" s="732" t="str">
        <f t="shared" si="401"/>
        <v>0.000817617891646193-4.04380478812032i</v>
      </c>
      <c r="AT482" s="337">
        <f t="shared" si="402"/>
        <v>4.0438048707775014</v>
      </c>
      <c r="AU482" s="730">
        <f t="shared" si="403"/>
        <v>-1.57059413654998</v>
      </c>
      <c r="AV482" s="732" t="str">
        <f t="shared" si="404"/>
        <v>-0.0943828683186961+0.0351014663790443i</v>
      </c>
      <c r="AW482" s="337">
        <f t="shared" si="405"/>
        <v>-19.939518184721187</v>
      </c>
      <c r="AX482" s="730">
        <f t="shared" si="406"/>
        <v>159.59957747402123</v>
      </c>
      <c r="AY482" s="360">
        <f t="shared" si="407"/>
        <v>-20.400422525978769</v>
      </c>
      <c r="BB482" s="337">
        <f t="shared" si="408"/>
        <v>-27.864196179272355</v>
      </c>
      <c r="BC482" s="730">
        <f t="shared" si="409"/>
        <v>-89.98841535230757</v>
      </c>
      <c r="BD482" s="351"/>
      <c r="BE482" s="337">
        <f t="shared" si="370"/>
        <v>26.627170307229136</v>
      </c>
      <c r="BF482" s="730">
        <f t="shared" si="371"/>
        <v>-89.708733135022314</v>
      </c>
      <c r="BI482" s="351"/>
      <c r="BJ482" s="351"/>
      <c r="BL482" s="405">
        <f t="shared" si="372"/>
        <v>0</v>
      </c>
      <c r="BM482" s="405">
        <f t="shared" si="410"/>
        <v>0</v>
      </c>
      <c r="BN482" s="405">
        <f t="shared" si="373"/>
        <v>0</v>
      </c>
      <c r="BO482" s="405">
        <f t="shared" si="374"/>
        <v>0</v>
      </c>
    </row>
    <row r="483" spans="4:67" ht="13.5" thickBot="1" x14ac:dyDescent="0.25">
      <c r="D483" s="345">
        <v>58214</v>
      </c>
      <c r="E483" s="340" t="str">
        <f t="shared" si="361"/>
        <v>0.965631082606482i</v>
      </c>
      <c r="F483" s="728" t="str">
        <f t="shared" si="375"/>
        <v>0.005-0.0448190714902942i</v>
      </c>
      <c r="G483" s="337" t="str">
        <f t="shared" si="376"/>
        <v>0.005-0.0701016246386656i</v>
      </c>
      <c r="H483" s="338" t="str">
        <f t="shared" si="377"/>
        <v>0.00895615132588219-0.0693007933576447i</v>
      </c>
      <c r="I483" s="338" t="str">
        <f t="shared" si="378"/>
        <v>0.0189561513258822-0.0693007933576447i</v>
      </c>
      <c r="J483" s="337" t="str">
        <f t="shared" si="379"/>
        <v>0.00473344088046016-0.0273800839616209i</v>
      </c>
      <c r="K483" s="338" t="str">
        <f t="shared" si="362"/>
        <v>0.962345891155555-0.304807791226794i</v>
      </c>
      <c r="L483" s="732"/>
      <c r="M483" s="732" t="str">
        <f t="shared" si="363"/>
        <v>0.107536978270923-21.3157151007104i</v>
      </c>
      <c r="N483" s="337">
        <f t="shared" si="364"/>
        <v>0</v>
      </c>
      <c r="O483" s="730" t="str">
        <f t="shared" si="365"/>
        <v>-0.747275487098425-8.20988555035076i</v>
      </c>
      <c r="P483" s="731" t="str">
        <f t="shared" si="366"/>
        <v>-0.583117049230333-0.103841048747982i</v>
      </c>
      <c r="Q483" s="729" t="str">
        <f t="shared" si="367"/>
        <v>-0.575644294359349-0.0217421932444745i</v>
      </c>
      <c r="R483" s="730"/>
      <c r="S483" s="405" t="str">
        <f t="shared" si="380"/>
        <v>38.06000532405-11.3360779930191i</v>
      </c>
      <c r="T483" s="405" t="str">
        <f t="shared" si="381"/>
        <v>14.2325219821315-5.77225459037342i</v>
      </c>
      <c r="U483" s="405" t="str">
        <f t="shared" si="382"/>
        <v>-0.272553201954271-1.03802225044474i</v>
      </c>
      <c r="V483" s="731" t="str">
        <f t="shared" si="368"/>
        <v>6000</v>
      </c>
      <c r="W483" s="733" t="str">
        <f>IMSUM(COMPLEX(1,0),IMDIV(COMPLEX(0,2*PI()*D483),COMPLEX(2*PI()*'Stability Calculations'!EA_Pole1,0)))</f>
        <v>1+369427.042966874i</v>
      </c>
      <c r="X483" s="734">
        <f t="shared" si="383"/>
        <v>369427.04296822753</v>
      </c>
      <c r="Y483" s="735">
        <f t="shared" si="384"/>
        <v>1.5707936199004799</v>
      </c>
      <c r="Z483" s="340" t="str">
        <f>IMSUM(COMPLEX(1,0),IMDIV(COMPLEX(0,2*PI()*D483),COMPLEX(2*PI()*'Stability Calculations'!EA_Zero1,0)))</f>
        <v>1+3657.69349472152i</v>
      </c>
      <c r="AA483" s="734">
        <f t="shared" si="385"/>
        <v>3657.6936314196851</v>
      </c>
      <c r="AB483" s="735">
        <f t="shared" si="386"/>
        <v>1.5705229304656176</v>
      </c>
      <c r="AC483" s="733" t="str">
        <f>IMSUM(COMPLEX(1,0),IMDIV(COMPLEX(0,2*PI()*D483),COMPLEX(2*PI()*'Stability Calculations'!EA_Pole2,0)))</f>
        <v>1+36.8456149472152i</v>
      </c>
      <c r="AD483" s="734">
        <f t="shared" si="387"/>
        <v>36.859182585055358</v>
      </c>
      <c r="AE483" s="735">
        <f t="shared" si="388"/>
        <v>1.5436627159584262</v>
      </c>
      <c r="AF483" s="732" t="str">
        <f t="shared" si="389"/>
        <v>0.0432897622683601-1.6111184725879i</v>
      </c>
      <c r="AG483" s="337">
        <f t="shared" si="390"/>
        <v>1.61169995229609</v>
      </c>
      <c r="AH483" s="730">
        <f t="shared" si="391"/>
        <v>-1.5439334053932887</v>
      </c>
      <c r="AI483" s="731" t="str">
        <f t="shared" si="369"/>
        <v>10000</v>
      </c>
      <c r="AJ483" s="733" t="str">
        <f t="shared" si="392"/>
        <v>1+344407.687924281i</v>
      </c>
      <c r="AK483" s="734">
        <f t="shared" si="393"/>
        <v>344407.68792573275</v>
      </c>
      <c r="AL483" s="735">
        <f t="shared" si="394"/>
        <v>1.5707934232592466</v>
      </c>
      <c r="AM483" s="340" t="str">
        <f t="shared" si="395"/>
        <v>1+584.499420456499i</v>
      </c>
      <c r="AN483" s="734">
        <f t="shared" si="396"/>
        <v>584.50027588871433</v>
      </c>
      <c r="AO483" s="735">
        <f t="shared" si="397"/>
        <v>1.5690854627814925</v>
      </c>
      <c r="AP483" s="733" t="str">
        <f t="shared" si="398"/>
        <v>1+28.3491853405169i</v>
      </c>
      <c r="AQ483" s="734">
        <f t="shared" si="399"/>
        <v>28.366817048639387</v>
      </c>
      <c r="AR483" s="735">
        <f t="shared" si="400"/>
        <v>1.5355365640650269</v>
      </c>
      <c r="AS483" s="732" t="str">
        <f t="shared" si="401"/>
        <v>0.000808234792033658-4.0205341917996i</v>
      </c>
      <c r="AT483" s="337">
        <f t="shared" si="402"/>
        <v>4.0205342730379936</v>
      </c>
      <c r="AU483" s="730">
        <f t="shared" si="403"/>
        <v>-1.5705953000798907</v>
      </c>
      <c r="AV483" s="732" t="str">
        <f t="shared" si="404"/>
        <v>-0.0932036386853069+0.0348942310250651i</v>
      </c>
      <c r="AW483" s="337">
        <f t="shared" si="405"/>
        <v>-20.041663201498523</v>
      </c>
      <c r="AX483" s="730">
        <f t="shared" si="406"/>
        <v>159.47475296111273</v>
      </c>
      <c r="AY483" s="360">
        <f t="shared" si="407"/>
        <v>-20.525247038887272</v>
      </c>
      <c r="BB483" s="337">
        <f t="shared" si="408"/>
        <v>-27.914324627789973</v>
      </c>
      <c r="BC483" s="730">
        <f t="shared" si="409"/>
        <v>-89.988482017660786</v>
      </c>
      <c r="BD483" s="351"/>
      <c r="BE483" s="337">
        <f t="shared" si="370"/>
        <v>26.574108672904686</v>
      </c>
      <c r="BF483" s="730">
        <f t="shared" si="371"/>
        <v>-89.710947406855112</v>
      </c>
      <c r="BI483" s="351"/>
      <c r="BJ483" s="351"/>
      <c r="BL483" s="405">
        <f t="shared" si="372"/>
        <v>0</v>
      </c>
      <c r="BM483" s="405">
        <f t="shared" si="410"/>
        <v>0</v>
      </c>
      <c r="BN483" s="405">
        <f t="shared" si="373"/>
        <v>0</v>
      </c>
      <c r="BO483" s="405">
        <f t="shared" si="374"/>
        <v>0</v>
      </c>
    </row>
    <row r="484" spans="4:67" ht="13.5" thickBot="1" x14ac:dyDescent="0.25">
      <c r="D484" s="345">
        <v>58549</v>
      </c>
      <c r="E484" s="340" t="str">
        <f t="shared" si="361"/>
        <v>0.971187931692152i</v>
      </c>
      <c r="F484" s="728" t="str">
        <f t="shared" si="375"/>
        <v>0.005-0.04456263006603i</v>
      </c>
      <c r="G484" s="337" t="str">
        <f t="shared" si="376"/>
        <v>0.005-0.0697005239494317i</v>
      </c>
      <c r="H484" s="338" t="str">
        <f t="shared" si="377"/>
        <v>0.00891092271286763-0.0689068552440784i</v>
      </c>
      <c r="I484" s="338" t="str">
        <f t="shared" si="378"/>
        <v>0.0189109227128676-0.0689068552440784i</v>
      </c>
      <c r="J484" s="337" t="str">
        <f t="shared" si="379"/>
        <v>0.00472635049890665-0.0272243015709625i</v>
      </c>
      <c r="K484" s="338" t="str">
        <f t="shared" si="362"/>
        <v>0.961911273322222-0.306561847125048i</v>
      </c>
      <c r="L484" s="732"/>
      <c r="M484" s="732" t="str">
        <f t="shared" si="363"/>
        <v>0.106080244000042-21.1867258328779i</v>
      </c>
      <c r="N484" s="337">
        <f t="shared" si="364"/>
        <v>0</v>
      </c>
      <c r="O484" s="730" t="str">
        <f t="shared" si="365"/>
        <v>-0.744092737101258-8.15914408990828i</v>
      </c>
      <c r="P484" s="731" t="str">
        <f t="shared" si="366"/>
        <v>-0.576292440961417-0.103023852763799i</v>
      </c>
      <c r="Q484" s="729" t="str">
        <f t="shared" si="367"/>
        <v>-0.568851513590405-0.0214324118647167i</v>
      </c>
      <c r="R484" s="730"/>
      <c r="S484" s="405" t="str">
        <f t="shared" si="380"/>
        <v>38.0344045952094-11.4066264730528i</v>
      </c>
      <c r="T484" s="405" t="str">
        <f t="shared" si="381"/>
        <v>14.2176456795328-5.79974676052936i</v>
      </c>
      <c r="U484" s="405" t="str">
        <f t="shared" si="382"/>
        <v>-0.272949968670857-1.03137434788844i</v>
      </c>
      <c r="V484" s="731" t="str">
        <f t="shared" si="368"/>
        <v>6000</v>
      </c>
      <c r="W484" s="733" t="str">
        <f>IMSUM(COMPLEX(1,0),IMDIV(COMPLEX(0,2*PI()*D484),COMPLEX(2*PI()*'Stability Calculations'!EA_Pole1,0)))</f>
        <v>1+371552.958715559i</v>
      </c>
      <c r="X484" s="734">
        <f t="shared" si="383"/>
        <v>371552.95871690474</v>
      </c>
      <c r="Y484" s="735">
        <f t="shared" si="384"/>
        <v>1.5707936353885263</v>
      </c>
      <c r="Z484" s="340" t="str">
        <f>IMSUM(COMPLEX(1,0),IMDIV(COMPLEX(0,2*PI()*D484),COMPLEX(2*PI()*'Stability Calculations'!EA_Zero1,0)))</f>
        <v>1+3678.74216550058i</v>
      </c>
      <c r="AA484" s="734">
        <f t="shared" si="385"/>
        <v>3678.7423014165988</v>
      </c>
      <c r="AB484" s="735">
        <f t="shared" si="386"/>
        <v>1.5705244947581893</v>
      </c>
      <c r="AC484" s="733" t="str">
        <f>IMSUM(COMPLEX(1,0),IMDIV(COMPLEX(0,2*PI()*D484),COMPLEX(2*PI()*'Stability Calculations'!EA_Pole2,0)))</f>
        <v>1+37.057647808852i</v>
      </c>
      <c r="AD484" s="734">
        <f t="shared" si="387"/>
        <v>37.07113784502593</v>
      </c>
      <c r="AE484" s="735">
        <f t="shared" si="388"/>
        <v>1.5438178908892333</v>
      </c>
      <c r="AF484" s="732" t="str">
        <f t="shared" si="389"/>
        <v>0.0427961565801224-1.60191345081354i</v>
      </c>
      <c r="AG484" s="337">
        <f t="shared" si="390"/>
        <v>1.6024850123840078</v>
      </c>
      <c r="AH484" s="730">
        <f t="shared" si="391"/>
        <v>-1.5440870315195703</v>
      </c>
      <c r="AI484" s="731" t="str">
        <f t="shared" si="369"/>
        <v>10000</v>
      </c>
      <c r="AJ484" s="733" t="str">
        <f t="shared" si="392"/>
        <v>1+346389.626555103i</v>
      </c>
      <c r="AK484" s="734">
        <f t="shared" si="393"/>
        <v>346389.62655654643</v>
      </c>
      <c r="AL484" s="735">
        <f t="shared" si="394"/>
        <v>1.5707934398724159</v>
      </c>
      <c r="AM484" s="340" t="str">
        <f t="shared" si="395"/>
        <v>1+587.862998046993i</v>
      </c>
      <c r="AN484" s="734">
        <f t="shared" si="396"/>
        <v>587.86384858468614</v>
      </c>
      <c r="AO484" s="735">
        <f t="shared" si="397"/>
        <v>1.5690952518186352</v>
      </c>
      <c r="AP484" s="733" t="str">
        <f t="shared" si="398"/>
        <v>1+28.5123243979443i</v>
      </c>
      <c r="AQ484" s="734">
        <f t="shared" si="399"/>
        <v>28.529855284834692</v>
      </c>
      <c r="AR484" s="735">
        <f t="shared" si="400"/>
        <v>1.5357381442202245</v>
      </c>
      <c r="AS484" s="732" t="str">
        <f t="shared" si="401"/>
        <v>0.000799012293127977-3.99752989033714i</v>
      </c>
      <c r="AT484" s="337">
        <f t="shared" si="402"/>
        <v>3.9975299701890301</v>
      </c>
      <c r="AU484" s="730">
        <f t="shared" si="403"/>
        <v>-1.5705964502950562</v>
      </c>
      <c r="AV484" s="732" t="str">
        <f t="shared" si="404"/>
        <v>-0.0920446451763326+0.0346890847854859i</v>
      </c>
      <c r="AW484" s="337">
        <f t="shared" si="405"/>
        <v>-20.143243694565001</v>
      </c>
      <c r="AX484" s="730">
        <f t="shared" si="406"/>
        <v>159.3499593317612</v>
      </c>
      <c r="AY484" s="360">
        <f t="shared" si="407"/>
        <v>-20.650040668238802</v>
      </c>
      <c r="BB484" s="337">
        <f t="shared" si="408"/>
        <v>-27.964165431739989</v>
      </c>
      <c r="BC484" s="730">
        <f t="shared" si="409"/>
        <v>-89.988547920135304</v>
      </c>
      <c r="BD484" s="351"/>
      <c r="BE484" s="337">
        <f t="shared" si="370"/>
        <v>26.521385805629812</v>
      </c>
      <c r="BF484" s="730">
        <f t="shared" si="371"/>
        <v>-89.713127005572076</v>
      </c>
      <c r="BI484" s="351"/>
      <c r="BJ484" s="351"/>
      <c r="BL484" s="405">
        <f t="shared" si="372"/>
        <v>0</v>
      </c>
      <c r="BM484" s="405">
        <f t="shared" si="410"/>
        <v>0</v>
      </c>
      <c r="BN484" s="405">
        <f t="shared" si="373"/>
        <v>0</v>
      </c>
      <c r="BO484" s="405">
        <f t="shared" si="374"/>
        <v>0</v>
      </c>
    </row>
    <row r="485" spans="4:67" ht="13.5" thickBot="1" x14ac:dyDescent="0.25">
      <c r="D485" s="345">
        <v>58884</v>
      </c>
      <c r="E485" s="340" t="str">
        <f t="shared" si="361"/>
        <v>0.976744780777822i</v>
      </c>
      <c r="F485" s="728" t="str">
        <f t="shared" si="375"/>
        <v>0.005-0.0443091065100196i</v>
      </c>
      <c r="G485" s="337" t="str">
        <f t="shared" si="376"/>
        <v>0.005-0.0693039871054154i</v>
      </c>
      <c r="H485" s="338" t="str">
        <f t="shared" si="377"/>
        <v>0.00886646053747638-0.0685173559984958i</v>
      </c>
      <c r="I485" s="338" t="str">
        <f t="shared" si="378"/>
        <v>0.0188664605374764-0.0685173559984958i</v>
      </c>
      <c r="J485" s="337" t="str">
        <f t="shared" si="379"/>
        <v>0.00471937792036557-0.0270702927400762i</v>
      </c>
      <c r="K485" s="338" t="str">
        <f t="shared" si="362"/>
        <v>0.9614741616-0.308315903023302i</v>
      </c>
      <c r="L485" s="732"/>
      <c r="M485" s="732" t="str">
        <f t="shared" si="363"/>
        <v>0.10465367519172-21.059327539776i</v>
      </c>
      <c r="N485" s="337">
        <f t="shared" si="364"/>
        <v>0</v>
      </c>
      <c r="O485" s="730" t="str">
        <f t="shared" si="365"/>
        <v>-0.74096072428214-8.10902503176872i</v>
      </c>
      <c r="P485" s="731" t="str">
        <f t="shared" si="366"/>
        <v>-0.569588261166901-0.10221993103273i</v>
      </c>
      <c r="Q485" s="729" t="str">
        <f t="shared" si="367"/>
        <v>-0.56217865392408-0.0211296807150429i</v>
      </c>
      <c r="R485" s="730"/>
      <c r="S485" s="405" t="str">
        <f t="shared" si="380"/>
        <v>38.0086474228453-11.4770782771132i</v>
      </c>
      <c r="T485" s="405" t="str">
        <f t="shared" si="381"/>
        <v>14.2026932857834-5.82721332304133i</v>
      </c>
      <c r="U485" s="405" t="str">
        <f t="shared" si="382"/>
        <v>-0.273337630189723-1.02479774897167i</v>
      </c>
      <c r="V485" s="731" t="str">
        <f t="shared" si="368"/>
        <v>6000</v>
      </c>
      <c r="W485" s="733" t="str">
        <f>IMSUM(COMPLEX(1,0),IMDIV(COMPLEX(0,2*PI()*D485),COMPLEX(2*PI()*'Stability Calculations'!EA_Pole1,0)))</f>
        <v>1+373678.874464243i</v>
      </c>
      <c r="X485" s="734">
        <f t="shared" si="383"/>
        <v>373678.87446558103</v>
      </c>
      <c r="Y485" s="735">
        <f t="shared" si="384"/>
        <v>1.570793650700345</v>
      </c>
      <c r="Z485" s="340" t="str">
        <f>IMSUM(COMPLEX(1,0),IMDIV(COMPLEX(0,2*PI()*D485),COMPLEX(2*PI()*'Stability Calculations'!EA_Zero1,0)))</f>
        <v>1+3699.79083627963i</v>
      </c>
      <c r="AA485" s="734">
        <f t="shared" si="385"/>
        <v>3699.790971422402</v>
      </c>
      <c r="AB485" s="735">
        <f t="shared" si="386"/>
        <v>1.5705260412517674</v>
      </c>
      <c r="AC485" s="733" t="str">
        <f>IMSUM(COMPLEX(1,0),IMDIV(COMPLEX(0,2*PI()*D485),COMPLEX(2*PI()*'Stability Calculations'!EA_Pole2,0)))</f>
        <v>1+37.2696806704886i</v>
      </c>
      <c r="AD485" s="734">
        <f t="shared" si="387"/>
        <v>37.283093987492393</v>
      </c>
      <c r="AE485" s="735">
        <f t="shared" si="388"/>
        <v>1.5439713014701424</v>
      </c>
      <c r="AF485" s="732" t="str">
        <f t="shared" si="389"/>
        <v>0.0423109434161777-1.59281294138356i</v>
      </c>
      <c r="AG485" s="337">
        <f t="shared" si="390"/>
        <v>1.5933748090677584</v>
      </c>
      <c r="AH485" s="730">
        <f t="shared" si="391"/>
        <v>-1.5442389109187202</v>
      </c>
      <c r="AI485" s="731" t="str">
        <f t="shared" si="369"/>
        <v>10000</v>
      </c>
      <c r="AJ485" s="733" t="str">
        <f t="shared" si="392"/>
        <v>1+348371.565185924i</v>
      </c>
      <c r="AK485" s="734">
        <f t="shared" si="393"/>
        <v>348371.56518735923</v>
      </c>
      <c r="AL485" s="735">
        <f t="shared" si="394"/>
        <v>1.5707934562965553</v>
      </c>
      <c r="AM485" s="340" t="str">
        <f t="shared" si="395"/>
        <v>1+591.226575637485i</v>
      </c>
      <c r="AN485" s="734">
        <f t="shared" si="396"/>
        <v>591.22742133634722</v>
      </c>
      <c r="AO485" s="735">
        <f t="shared" si="397"/>
        <v>1.5691049294734665</v>
      </c>
      <c r="AP485" s="733" t="str">
        <f t="shared" si="398"/>
        <v>1+28.6754634553716i</v>
      </c>
      <c r="AQ485" s="734">
        <f t="shared" si="399"/>
        <v>28.692894667153261</v>
      </c>
      <c r="AR485" s="735">
        <f t="shared" si="400"/>
        <v>1.5359374335372693</v>
      </c>
      <c r="AS485" s="732" t="str">
        <f t="shared" si="401"/>
        <v>0.000789946750618427-3.97478733875822i</v>
      </c>
      <c r="AT485" s="337">
        <f t="shared" si="402"/>
        <v>3.9747874172549813</v>
      </c>
      <c r="AU485" s="730">
        <f t="shared" si="403"/>
        <v>-1.5705975874227256</v>
      </c>
      <c r="AV485" s="732" t="str">
        <f t="shared" si="404"/>
        <v>-0.090905428541719+0.0344859962983116i</v>
      </c>
      <c r="AW485" s="337">
        <f t="shared" si="405"/>
        <v>-20.244266263366526</v>
      </c>
      <c r="AX485" s="730">
        <f t="shared" si="406"/>
        <v>159.22519595327725</v>
      </c>
      <c r="AY485" s="360">
        <f t="shared" si="407"/>
        <v>-20.77480404672275</v>
      </c>
      <c r="BB485" s="337">
        <f t="shared" si="408"/>
        <v>-28.013721873392612</v>
      </c>
      <c r="BC485" s="730">
        <f t="shared" si="409"/>
        <v>-89.988613072751519</v>
      </c>
      <c r="BD485" s="351"/>
      <c r="BE485" s="337">
        <f t="shared" si="370"/>
        <v>26.468997236555786</v>
      </c>
      <c r="BF485" s="730">
        <f t="shared" si="371"/>
        <v>-89.715272744186763</v>
      </c>
      <c r="BI485" s="351"/>
      <c r="BJ485" s="351"/>
      <c r="BL485" s="405">
        <f t="shared" si="372"/>
        <v>0</v>
      </c>
      <c r="BM485" s="405">
        <f t="shared" si="410"/>
        <v>0</v>
      </c>
      <c r="BN485" s="405">
        <f t="shared" si="373"/>
        <v>0</v>
      </c>
      <c r="BO485" s="405">
        <f t="shared" si="374"/>
        <v>0</v>
      </c>
    </row>
    <row r="486" spans="4:67" ht="13.5" thickBot="1" x14ac:dyDescent="0.25">
      <c r="D486" s="345">
        <v>59227</v>
      </c>
      <c r="E486" s="340" t="str">
        <f t="shared" si="361"/>
        <v>0.982434330737179i</v>
      </c>
      <c r="F486" s="728" t="str">
        <f t="shared" si="375"/>
        <v>0.005-0.0440525001728265i</v>
      </c>
      <c r="G486" s="337" t="str">
        <f t="shared" si="376"/>
        <v>0.005-0.0689026284754464i</v>
      </c>
      <c r="H486" s="338" t="str">
        <f t="shared" si="377"/>
        <v>0.0088217127277688-0.0681230767671443i</v>
      </c>
      <c r="I486" s="338" t="str">
        <f t="shared" si="378"/>
        <v>0.0188217127277688-0.0681230767671443i</v>
      </c>
      <c r="J486" s="337" t="str">
        <f t="shared" si="379"/>
        <v>0.00471235810204463-0.0269144123057391i</v>
      </c>
      <c r="K486" s="338" t="str">
        <f t="shared" si="362"/>
        <v>0.961024027455556-0.310111846823604i</v>
      </c>
      <c r="L486" s="732"/>
      <c r="M486" s="732" t="str">
        <f t="shared" si="363"/>
        <v>0.103223416584381-20.9305041041188i</v>
      </c>
      <c r="N486" s="337">
        <f t="shared" si="364"/>
        <v>0</v>
      </c>
      <c r="O486" s="730" t="str">
        <f t="shared" si="365"/>
        <v>-0.737805269682114-8.05834173584371i</v>
      </c>
      <c r="P486" s="731" t="str">
        <f t="shared" si="366"/>
        <v>-0.562845791521756-0.101410228188482i</v>
      </c>
      <c r="Q486" s="729" t="str">
        <f t="shared" si="367"/>
        <v>-0.555467738824935-0.0208268108300453i</v>
      </c>
      <c r="R486" s="730"/>
      <c r="S486" s="405" t="str">
        <f t="shared" si="380"/>
        <v>37.9821131814142-11.5491127514041i</v>
      </c>
      <c r="T486" s="405" t="str">
        <f t="shared" si="381"/>
        <v>14.1873050534976-5.85530869422034i</v>
      </c>
      <c r="U486" s="405" t="str">
        <f t="shared" si="382"/>
        <v>-0.27372531410852-1.01813672251113i</v>
      </c>
      <c r="V486" s="731" t="str">
        <f t="shared" si="368"/>
        <v>6000</v>
      </c>
      <c r="W486" s="733" t="str">
        <f>IMSUM(COMPLEX(1,0),IMDIV(COMPLEX(0,2*PI()*D486),COMPLEX(2*PI()*'Stability Calculations'!EA_Pole1,0)))</f>
        <v>1+375855.558350208i</v>
      </c>
      <c r="X486" s="734">
        <f t="shared" si="383"/>
        <v>375855.55835153826</v>
      </c>
      <c r="Y486" s="735">
        <f t="shared" si="384"/>
        <v>1.5707936661983515</v>
      </c>
      <c r="Z486" s="340" t="str">
        <f>IMSUM(COMPLEX(1,0),IMDIV(COMPLEX(0,2*PI()*D486),COMPLEX(2*PI()*'Stability Calculations'!EA_Zero1,0)))</f>
        <v>1+3721.34216188325i</v>
      </c>
      <c r="AA486" s="734">
        <f t="shared" si="385"/>
        <v>3721.3422962433733</v>
      </c>
      <c r="AB486" s="735">
        <f t="shared" si="386"/>
        <v>1.5705276065503104</v>
      </c>
      <c r="AC486" s="733" t="str">
        <f>IMSUM(COMPLEX(1,0),IMDIV(COMPLEX(0,2*PI()*D486),COMPLEX(2*PI()*'Stability Calculations'!EA_Pole2,0)))</f>
        <v>1+37.4867770034479i</v>
      </c>
      <c r="AD486" s="734">
        <f t="shared" si="387"/>
        <v>37.500112667913818</v>
      </c>
      <c r="AE486" s="735">
        <f t="shared" si="388"/>
        <v>1.5441265787702831</v>
      </c>
      <c r="AF486" s="732" t="str">
        <f t="shared" si="389"/>
        <v>0.0418226411204347-1.5836015454071i</v>
      </c>
      <c r="AG486" s="337">
        <f t="shared" si="390"/>
        <v>1.5841537134779706</v>
      </c>
      <c r="AH486" s="730">
        <f t="shared" si="391"/>
        <v>-1.544392638418324</v>
      </c>
      <c r="AI486" s="731" t="str">
        <f t="shared" si="369"/>
        <v>10000</v>
      </c>
      <c r="AJ486" s="733" t="str">
        <f t="shared" si="392"/>
        <v>1+350400.833694496i</v>
      </c>
      <c r="AK486" s="734">
        <f t="shared" si="393"/>
        <v>350400.83369592298</v>
      </c>
      <c r="AL486" s="735">
        <f t="shared" si="394"/>
        <v>1.5707934729204083</v>
      </c>
      <c r="AM486" s="340" t="str">
        <f t="shared" si="395"/>
        <v>1+594.670477468943i</v>
      </c>
      <c r="AN486" s="734">
        <f t="shared" si="396"/>
        <v>594.67131827013532</v>
      </c>
      <c r="AO486" s="735">
        <f t="shared" si="397"/>
        <v>1.5691147248064121</v>
      </c>
      <c r="AP486" s="733" t="str">
        <f t="shared" si="398"/>
        <v>1+28.8424983708867i</v>
      </c>
      <c r="AQ486" s="734">
        <f t="shared" si="399"/>
        <v>28.859828694477763</v>
      </c>
      <c r="AR486" s="735">
        <f t="shared" si="400"/>
        <v>1.5361391489818643</v>
      </c>
      <c r="AS486" s="732" t="str">
        <f t="shared" si="401"/>
        <v>0.000780823643030583-3.95176824357478i</v>
      </c>
      <c r="AT486" s="337">
        <f t="shared" si="402"/>
        <v>3.951768320715634</v>
      </c>
      <c r="AU486" s="730">
        <f t="shared" si="403"/>
        <v>-1.5705987383775752</v>
      </c>
      <c r="AV486" s="732" t="str">
        <f t="shared" si="404"/>
        <v>-0.0897590316717029+0.0342801578520628i</v>
      </c>
      <c r="AW486" s="337">
        <f t="shared" si="405"/>
        <v>-20.347130017041792</v>
      </c>
      <c r="AX486" s="730">
        <f t="shared" si="406"/>
        <v>159.09748384919962</v>
      </c>
      <c r="AY486" s="360">
        <f t="shared" si="407"/>
        <v>-20.902516150800381</v>
      </c>
      <c r="BB486" s="337">
        <f t="shared" si="408"/>
        <v>-28.064170492134242</v>
      </c>
      <c r="BC486" s="730">
        <f t="shared" si="409"/>
        <v>-89.988679017606813</v>
      </c>
      <c r="BD486" s="351"/>
      <c r="BE486" s="337">
        <f t="shared" si="370"/>
        <v>26.415699393293835</v>
      </c>
      <c r="BF486" s="730">
        <f t="shared" si="371"/>
        <v>-89.717435464535328</v>
      </c>
      <c r="BI486" s="351"/>
      <c r="BJ486" s="351"/>
      <c r="BL486" s="405">
        <f t="shared" si="372"/>
        <v>0</v>
      </c>
      <c r="BM486" s="405">
        <f t="shared" si="410"/>
        <v>0</v>
      </c>
      <c r="BN486" s="405">
        <f t="shared" si="373"/>
        <v>0</v>
      </c>
      <c r="BO486" s="405">
        <f t="shared" si="374"/>
        <v>0</v>
      </c>
    </row>
    <row r="487" spans="4:67" ht="13.5" thickBot="1" x14ac:dyDescent="0.25">
      <c r="D487" s="345">
        <v>59570</v>
      </c>
      <c r="E487" s="340" t="str">
        <f t="shared" si="361"/>
        <v>0.988123880696536i</v>
      </c>
      <c r="F487" s="728" t="str">
        <f t="shared" si="375"/>
        <v>0.005-0.0437988488792343i</v>
      </c>
      <c r="G487" s="337" t="str">
        <f t="shared" si="376"/>
        <v>0.005-0.0685058918367513i</v>
      </c>
      <c r="H487" s="338" t="str">
        <f t="shared" si="377"/>
        <v>0.0087777324244151-0.0677332949631719i</v>
      </c>
      <c r="I487" s="338" t="str">
        <f t="shared" si="378"/>
        <v>0.0187777324244151-0.0677332949631719i</v>
      </c>
      <c r="J487" s="337" t="str">
        <f t="shared" si="379"/>
        <v>0.00470545619919179-0.0267603281321208i</v>
      </c>
      <c r="K487" s="338" t="str">
        <f t="shared" si="362"/>
        <v>0.960571278888889-0.311907790623907i</v>
      </c>
      <c r="L487" s="732"/>
      <c r="M487" s="732" t="str">
        <f t="shared" si="363"/>
        <v>0.101823030973357-20.8032859398918i</v>
      </c>
      <c r="N487" s="337">
        <f t="shared" si="364"/>
        <v>0</v>
      </c>
      <c r="O487" s="730" t="str">
        <f t="shared" si="365"/>
        <v>-0.73470056826615-8.00828637935727i</v>
      </c>
      <c r="P487" s="731" t="str">
        <f t="shared" si="366"/>
        <v>-0.556223634165524-0.100613768509677i</v>
      </c>
      <c r="Q487" s="729" t="str">
        <f t="shared" si="367"/>
        <v>-0.548876628482863-0.0205309047161048i</v>
      </c>
      <c r="R487" s="730"/>
      <c r="S487" s="405" t="str">
        <f t="shared" si="380"/>
        <v>37.9554151756321-11.6210466814489i</v>
      </c>
      <c r="T487" s="405" t="str">
        <f t="shared" si="381"/>
        <v>14.1718372012334-5.88337605526196i</v>
      </c>
      <c r="U487" s="405" t="str">
        <f t="shared" si="382"/>
        <v>-0.274103850815523-1.01154793008649i</v>
      </c>
      <c r="V487" s="731" t="str">
        <f t="shared" si="368"/>
        <v>6000</v>
      </c>
      <c r="W487" s="733" t="str">
        <f>IMSUM(COMPLEX(1,0),IMDIV(COMPLEX(0,2*PI()*D487),COMPLEX(2*PI()*'Stability Calculations'!EA_Pole1,0)))</f>
        <v>1+378032.242236175i</v>
      </c>
      <c r="X487" s="734">
        <f t="shared" si="383"/>
        <v>378032.24223749764</v>
      </c>
      <c r="Y487" s="735">
        <f t="shared" si="384"/>
        <v>1.5707936815178851</v>
      </c>
      <c r="Z487" s="340" t="str">
        <f>IMSUM(COMPLEX(1,0),IMDIV(COMPLEX(0,2*PI()*D487),COMPLEX(2*PI()*'Stability Calculations'!EA_Zero1,0)))</f>
        <v>1+3742.89348748688i</v>
      </c>
      <c r="AA487" s="734">
        <f t="shared" si="385"/>
        <v>3742.8936210733668</v>
      </c>
      <c r="AB487" s="735">
        <f t="shared" si="386"/>
        <v>1.5705291538230903</v>
      </c>
      <c r="AC487" s="733" t="str">
        <f>IMSUM(COMPLEX(1,0),IMDIV(COMPLEX(0,2*PI()*D487),COMPLEX(2*PI()*'Stability Calculations'!EA_Pole2,0)))</f>
        <v>1+37.7038733364073i</v>
      </c>
      <c r="AD487" s="734">
        <f t="shared" si="387"/>
        <v>37.717132242097165</v>
      </c>
      <c r="AE487" s="735">
        <f t="shared" si="388"/>
        <v>1.5442800691824803</v>
      </c>
      <c r="AF487" s="732" t="str">
        <f t="shared" si="389"/>
        <v>0.0413427414458192-1.57449600375301i</v>
      </c>
      <c r="AG487" s="337">
        <f t="shared" si="390"/>
        <v>1.575038694161021</v>
      </c>
      <c r="AH487" s="730">
        <f t="shared" si="391"/>
        <v>-1.5445445968772753</v>
      </c>
      <c r="AI487" s="731" t="str">
        <f t="shared" si="369"/>
        <v>10000</v>
      </c>
      <c r="AJ487" s="733" t="str">
        <f t="shared" si="392"/>
        <v>1+352430.102203068i</v>
      </c>
      <c r="AK487" s="734">
        <f t="shared" si="393"/>
        <v>352430.10220448673</v>
      </c>
      <c r="AL487" s="735">
        <f t="shared" si="394"/>
        <v>1.570793489352823</v>
      </c>
      <c r="AM487" s="340" t="str">
        <f t="shared" si="395"/>
        <v>1+598.114379300403i</v>
      </c>
      <c r="AN487" s="734">
        <f t="shared" si="396"/>
        <v>598.11521526032629</v>
      </c>
      <c r="AO487" s="735">
        <f t="shared" si="397"/>
        <v>1.569124407337956</v>
      </c>
      <c r="AP487" s="733" t="str">
        <f t="shared" si="398"/>
        <v>1+29.0095332864018i</v>
      </c>
      <c r="AQ487" s="734">
        <f t="shared" si="399"/>
        <v>29.026763882576617</v>
      </c>
      <c r="AR487" s="735">
        <f t="shared" si="400"/>
        <v>1.5363385442719151</v>
      </c>
      <c r="AS487" s="732" t="str">
        <f t="shared" si="401"/>
        <v>0.000771857671992309-3.92901423312285i</v>
      </c>
      <c r="AT487" s="337">
        <f t="shared" si="402"/>
        <v>3.929014308938847</v>
      </c>
      <c r="AU487" s="730">
        <f t="shared" si="403"/>
        <v>-1.5705998760781861</v>
      </c>
      <c r="AV487" s="732" t="str">
        <f t="shared" si="404"/>
        <v>-0.0886324342944662+0.0340764119494399i</v>
      </c>
      <c r="AW487" s="337">
        <f t="shared" si="405"/>
        <v>-20.449422525658207</v>
      </c>
      <c r="AX487" s="730">
        <f t="shared" si="406"/>
        <v>158.96980216419593</v>
      </c>
      <c r="AY487" s="360">
        <f t="shared" si="407"/>
        <v>-21.030197835804074</v>
      </c>
      <c r="BB487" s="337">
        <f t="shared" si="408"/>
        <v>-28.114327790870682</v>
      </c>
      <c r="BC487" s="730">
        <f t="shared" si="409"/>
        <v>-89.988744203050175</v>
      </c>
      <c r="BD487" s="351"/>
      <c r="BE487" s="337">
        <f t="shared" si="370"/>
        <v>26.362742810965713</v>
      </c>
      <c r="BF487" s="730">
        <f t="shared" si="371"/>
        <v>-89.719564334145645</v>
      </c>
      <c r="BI487" s="351"/>
      <c r="BJ487" s="351"/>
      <c r="BL487" s="405">
        <f t="shared" si="372"/>
        <v>0</v>
      </c>
      <c r="BM487" s="405">
        <f t="shared" si="410"/>
        <v>0</v>
      </c>
      <c r="BN487" s="405">
        <f t="shared" si="373"/>
        <v>0</v>
      </c>
      <c r="BO487" s="405">
        <f t="shared" si="374"/>
        <v>0</v>
      </c>
    </row>
    <row r="488" spans="4:67" ht="13.5" thickBot="1" x14ac:dyDescent="0.25">
      <c r="D488" s="345">
        <v>59913</v>
      </c>
      <c r="E488" s="340" t="str">
        <f t="shared" si="361"/>
        <v>0.993813430655894i</v>
      </c>
      <c r="F488" s="728" t="str">
        <f t="shared" si="375"/>
        <v>0.005-0.0435481018766543i</v>
      </c>
      <c r="G488" s="337" t="str">
        <f t="shared" si="376"/>
        <v>0.005-0.0681136978070745i</v>
      </c>
      <c r="H488" s="338" t="str">
        <f t="shared" si="377"/>
        <v>0.00873450219310764-0.0673479343157415i</v>
      </c>
      <c r="I488" s="338" t="str">
        <f t="shared" si="378"/>
        <v>0.0187345021931076-0.0673479343157415i</v>
      </c>
      <c r="J488" s="337" t="str">
        <f t="shared" si="379"/>
        <v>0.00469866950771524-0.026608009418974i</v>
      </c>
      <c r="K488" s="338" t="str">
        <f t="shared" si="362"/>
        <v>0.9601159159-0.313703734424209i</v>
      </c>
      <c r="L488" s="732"/>
      <c r="M488" s="732" t="str">
        <f t="shared" si="363"/>
        <v>0.10045167923218-20.677642589287i</v>
      </c>
      <c r="N488" s="337">
        <f t="shared" si="364"/>
        <v>0</v>
      </c>
      <c r="O488" s="730" t="str">
        <f t="shared" si="365"/>
        <v>-0.731645439878308-7.95884702157018i</v>
      </c>
      <c r="P488" s="731" t="str">
        <f t="shared" si="366"/>
        <v>-0.549718919535719-0.0998302279528784i</v>
      </c>
      <c r="Q488" s="729" t="str">
        <f t="shared" si="367"/>
        <v>-0.542402465136936-0.0202417577371779i</v>
      </c>
      <c r="R488" s="730"/>
      <c r="S488" s="405" t="str">
        <f t="shared" si="380"/>
        <v>37.9285535229862-11.6928804444796i</v>
      </c>
      <c r="T488" s="405" t="str">
        <f t="shared" si="381"/>
        <v>14.1562898078233-5.91141482789811i</v>
      </c>
      <c r="U488" s="405" t="str">
        <f t="shared" si="382"/>
        <v>-0.274473433169679-1.00503014191053i</v>
      </c>
      <c r="V488" s="731" t="str">
        <f t="shared" si="368"/>
        <v>6000</v>
      </c>
      <c r="W488" s="733" t="str">
        <f>IMSUM(COMPLEX(1,0),IMDIV(COMPLEX(0,2*PI()*D488),COMPLEX(2*PI()*'Stability Calculations'!EA_Pole1,0)))</f>
        <v>1+380208.926122142i</v>
      </c>
      <c r="X488" s="734">
        <f t="shared" si="383"/>
        <v>380208.92612345709</v>
      </c>
      <c r="Y488" s="735">
        <f t="shared" si="384"/>
        <v>1.5707936966620111</v>
      </c>
      <c r="Z488" s="340" t="str">
        <f>IMSUM(COMPLEX(1,0),IMDIV(COMPLEX(0,2*PI()*D488),COMPLEX(2*PI()*'Stability Calculations'!EA_Zero1,0)))</f>
        <v>1+3764.44481309051i</v>
      </c>
      <c r="AA488" s="734">
        <f t="shared" si="385"/>
        <v>3764.4449459122179</v>
      </c>
      <c r="AB488" s="735">
        <f t="shared" si="386"/>
        <v>1.5705306833796975</v>
      </c>
      <c r="AC488" s="733" t="str">
        <f>IMSUM(COMPLEX(1,0),IMDIV(COMPLEX(0,2*PI()*D488),COMPLEX(2*PI()*'Stability Calculations'!EA_Pole2,0)))</f>
        <v>1+37.9209696693666i</v>
      </c>
      <c r="AD488" s="734">
        <f t="shared" si="387"/>
        <v>37.934152694702711</v>
      </c>
      <c r="AE488" s="735">
        <f t="shared" si="388"/>
        <v>1.5444318033676789</v>
      </c>
      <c r="AF488" s="732" t="str">
        <f t="shared" si="389"/>
        <v>0.0408710527487815-1.56549450343728i</v>
      </c>
      <c r="AG488" s="337">
        <f t="shared" si="390"/>
        <v>1.5660279318215016</v>
      </c>
      <c r="AH488" s="730">
        <f t="shared" si="391"/>
        <v>-1.5446948166499923</v>
      </c>
      <c r="AI488" s="731" t="str">
        <f t="shared" si="369"/>
        <v>10000</v>
      </c>
      <c r="AJ488" s="733" t="str">
        <f t="shared" si="392"/>
        <v>1+354459.370711641i</v>
      </c>
      <c r="AK488" s="734">
        <f t="shared" si="393"/>
        <v>354459.37071305152</v>
      </c>
      <c r="AL488" s="735">
        <f t="shared" si="394"/>
        <v>1.5707935055970876</v>
      </c>
      <c r="AM488" s="340" t="str">
        <f t="shared" si="395"/>
        <v>1+601.558281131863i</v>
      </c>
      <c r="AN488" s="734">
        <f t="shared" si="396"/>
        <v>601.55911230594927</v>
      </c>
      <c r="AO488" s="735">
        <f t="shared" si="397"/>
        <v>1.5691339790054442</v>
      </c>
      <c r="AP488" s="733" t="str">
        <f t="shared" si="398"/>
        <v>1+29.176568201917i</v>
      </c>
      <c r="AQ488" s="734">
        <f t="shared" si="399"/>
        <v>29.193700211537319</v>
      </c>
      <c r="AR488" s="735">
        <f t="shared" si="400"/>
        <v>1.5365356591929697</v>
      </c>
      <c r="AS488" s="732" t="str">
        <f t="shared" si="401"/>
        <v>0.000763045249417322-3.90652075459844i</v>
      </c>
      <c r="AT488" s="337">
        <f t="shared" si="402"/>
        <v>3.9065208291197449</v>
      </c>
      <c r="AU488" s="730">
        <f t="shared" si="403"/>
        <v>-1.5706010007521987</v>
      </c>
      <c r="AV488" s="732" t="str">
        <f t="shared" si="404"/>
        <v>-0.0875251842812677+0.0338747268052014i</v>
      </c>
      <c r="AW488" s="337">
        <f t="shared" si="405"/>
        <v>-20.551150515661249</v>
      </c>
      <c r="AX488" s="730">
        <f t="shared" si="406"/>
        <v>158.84215026747094</v>
      </c>
      <c r="AY488" s="360">
        <f t="shared" si="407"/>
        <v>-21.157849732529058</v>
      </c>
      <c r="BB488" s="337">
        <f t="shared" si="408"/>
        <v>-28.164197114800093</v>
      </c>
      <c r="BC488" s="730">
        <f t="shared" si="409"/>
        <v>-89.988808642124411</v>
      </c>
      <c r="BD488" s="351"/>
      <c r="BE488" s="337">
        <f t="shared" si="370"/>
        <v>26.310122978852554</v>
      </c>
      <c r="BF488" s="730">
        <f t="shared" si="371"/>
        <v>-89.7216601474518</v>
      </c>
      <c r="BI488" s="351"/>
      <c r="BJ488" s="351"/>
      <c r="BL488" s="405">
        <f t="shared" si="372"/>
        <v>0</v>
      </c>
      <c r="BM488" s="405">
        <f t="shared" si="410"/>
        <v>0</v>
      </c>
      <c r="BN488" s="405">
        <f t="shared" si="373"/>
        <v>0</v>
      </c>
      <c r="BO488" s="405">
        <f t="shared" si="374"/>
        <v>0</v>
      </c>
    </row>
    <row r="489" spans="4:67" ht="13.5" thickBot="1" x14ac:dyDescent="0.25">
      <c r="D489" s="345">
        <v>60256</v>
      </c>
      <c r="E489" s="340" t="str">
        <f t="shared" si="361"/>
        <v>0.999502980615251i</v>
      </c>
      <c r="F489" s="728" t="str">
        <f t="shared" si="375"/>
        <v>0.005-0.0433002095681092i</v>
      </c>
      <c r="G489" s="337" t="str">
        <f t="shared" si="376"/>
        <v>0.005-0.0677259688116581i</v>
      </c>
      <c r="H489" s="338" t="str">
        <f t="shared" si="377"/>
        <v>0.00869200509127336-0.0669669202634065i</v>
      </c>
      <c r="I489" s="338" t="str">
        <f t="shared" si="378"/>
        <v>0.0186920050912734-0.0669669202634065i</v>
      </c>
      <c r="J489" s="337" t="str">
        <f t="shared" si="379"/>
        <v>0.00469199540024353-0.0264574260656685i</v>
      </c>
      <c r="K489" s="338" t="str">
        <f t="shared" si="362"/>
        <v>0.959657938488889-0.315499678224511i</v>
      </c>
      <c r="L489" s="732"/>
      <c r="M489" s="732" t="str">
        <f t="shared" si="363"/>
        <v>0.0991085517111834-20.5535443737667i</v>
      </c>
      <c r="N489" s="337">
        <f t="shared" si="364"/>
        <v>0</v>
      </c>
      <c r="O489" s="730" t="str">
        <f t="shared" si="365"/>
        <v>-0.728638737976165-7.9100120283883i</v>
      </c>
      <c r="P489" s="731" t="str">
        <f t="shared" si="366"/>
        <v>-0.543328863787615-0.0990592928397886i</v>
      </c>
      <c r="Q489" s="729" t="str">
        <f t="shared" si="367"/>
        <v>-0.536042476407854-0.0199591725559056i</v>
      </c>
      <c r="R489" s="730"/>
      <c r="S489" s="405" t="str">
        <f t="shared" si="380"/>
        <v>37.9015283383973-11.7646143984875i</v>
      </c>
      <c r="T489" s="405" t="str">
        <f t="shared" si="381"/>
        <v>14.1406629544412-5.93942444100808i</v>
      </c>
      <c r="U489" s="405" t="str">
        <f t="shared" si="382"/>
        <v>-0.274834248557533-0.998582156022246i</v>
      </c>
      <c r="V489" s="731" t="str">
        <f t="shared" si="368"/>
        <v>6000</v>
      </c>
      <c r="W489" s="733" t="str">
        <f>IMSUM(COMPLEX(1,0),IMDIV(COMPLEX(0,2*PI()*D489),COMPLEX(2*PI()*'Stability Calculations'!EA_Pole1,0)))</f>
        <v>1+382385.610008107i</v>
      </c>
      <c r="X489" s="734">
        <f t="shared" si="383"/>
        <v>382385.61000941455</v>
      </c>
      <c r="Y489" s="735">
        <f t="shared" si="384"/>
        <v>1.5707937116337247</v>
      </c>
      <c r="Z489" s="340" t="str">
        <f>IMSUM(COMPLEX(1,0),IMDIV(COMPLEX(0,2*PI()*D489),COMPLEX(2*PI()*'Stability Calculations'!EA_Zero1,0)))</f>
        <v>1+3785.99613869413i</v>
      </c>
      <c r="AA489" s="734">
        <f t="shared" si="385"/>
        <v>3785.9962707597665</v>
      </c>
      <c r="AB489" s="735">
        <f t="shared" si="386"/>
        <v>1.5705321955226736</v>
      </c>
      <c r="AC489" s="733" t="str">
        <f>IMSUM(COMPLEX(1,0),IMDIV(COMPLEX(0,2*PI()*D489),COMPLEX(2*PI()*'Stability Calculations'!EA_Pole2,0)))</f>
        <v>1+38.1380660023259i</v>
      </c>
      <c r="AD489" s="734">
        <f t="shared" si="387"/>
        <v>38.15117401074005</v>
      </c>
      <c r="AE489" s="735">
        <f t="shared" si="388"/>
        <v>1.5445818112894971</v>
      </c>
      <c r="AF489" s="732" t="str">
        <f t="shared" si="389"/>
        <v>0.0404073888171986-1.55659527261424i</v>
      </c>
      <c r="AG489" s="337">
        <f t="shared" si="390"/>
        <v>1.55711964851646</v>
      </c>
      <c r="AH489" s="730">
        <f t="shared" si="391"/>
        <v>-1.5448433274005482</v>
      </c>
      <c r="AI489" s="731" t="str">
        <f t="shared" si="369"/>
        <v>10000</v>
      </c>
      <c r="AJ489" s="733" t="str">
        <f t="shared" si="392"/>
        <v>1+356488.639220213i</v>
      </c>
      <c r="AK489" s="734">
        <f t="shared" si="393"/>
        <v>356488.63922161557</v>
      </c>
      <c r="AL489" s="735">
        <f t="shared" si="394"/>
        <v>1.5707935216564153</v>
      </c>
      <c r="AM489" s="340" t="str">
        <f t="shared" si="395"/>
        <v>1+605.002182963322i</v>
      </c>
      <c r="AN489" s="734">
        <f t="shared" si="396"/>
        <v>605.00300940605655</v>
      </c>
      <c r="AO489" s="735">
        <f t="shared" si="397"/>
        <v>1.56914344170211</v>
      </c>
      <c r="AP489" s="733" t="str">
        <f t="shared" si="398"/>
        <v>1+29.343603117432i</v>
      </c>
      <c r="AQ489" s="734">
        <f t="shared" si="399"/>
        <v>29.36063766189973</v>
      </c>
      <c r="AR489" s="735">
        <f t="shared" si="400"/>
        <v>1.53673053262645</v>
      </c>
      <c r="AS489" s="732" t="str">
        <f t="shared" si="401"/>
        <v>0.000754382889051543-3.88428335886265i</v>
      </c>
      <c r="AT489" s="337">
        <f t="shared" si="402"/>
        <v>3.8842834321185751</v>
      </c>
      <c r="AU489" s="730">
        <f t="shared" si="403"/>
        <v>-1.5706021126220697</v>
      </c>
      <c r="AV489" s="732" t="str">
        <f t="shared" si="404"/>
        <v>-0.0864368423465421+0.0336750712403875i</v>
      </c>
      <c r="AW489" s="337">
        <f t="shared" si="405"/>
        <v>-20.652320598474205</v>
      </c>
      <c r="AX489" s="730">
        <f t="shared" si="406"/>
        <v>158.7145275436414</v>
      </c>
      <c r="AY489" s="360">
        <f t="shared" si="407"/>
        <v>-21.285472456358605</v>
      </c>
      <c r="BB489" s="337">
        <f t="shared" si="408"/>
        <v>-28.213781751830602</v>
      </c>
      <c r="BC489" s="730">
        <f t="shared" si="409"/>
        <v>-89.988872347575395</v>
      </c>
      <c r="BD489" s="351"/>
      <c r="BE489" s="337">
        <f t="shared" si="370"/>
        <v>26.257835477473144</v>
      </c>
      <c r="BF489" s="730">
        <f t="shared" si="371"/>
        <v>-89.723723674464722</v>
      </c>
      <c r="BI489" s="351"/>
      <c r="BJ489" s="351"/>
      <c r="BL489" s="405">
        <f t="shared" si="372"/>
        <v>0</v>
      </c>
      <c r="BM489" s="405">
        <f t="shared" si="410"/>
        <v>0</v>
      </c>
      <c r="BN489" s="405">
        <f t="shared" si="373"/>
        <v>0</v>
      </c>
      <c r="BO489" s="405">
        <f t="shared" si="374"/>
        <v>0</v>
      </c>
    </row>
    <row r="490" spans="4:67" ht="13.5" thickBot="1" x14ac:dyDescent="0.25">
      <c r="D490" s="345">
        <v>60607</v>
      </c>
      <c r="E490" s="340" t="str">
        <f t="shared" si="361"/>
        <v>1.0053252314483i</v>
      </c>
      <c r="F490" s="728" t="str">
        <f t="shared" si="375"/>
        <v>0.005-0.0430494402913194i</v>
      </c>
      <c r="G490" s="337" t="str">
        <f t="shared" si="376"/>
        <v>0.005-0.0673337399428327i</v>
      </c>
      <c r="H490" s="338" t="str">
        <f t="shared" si="377"/>
        <v>0.00864925860342059-0.0665814433841301i</v>
      </c>
      <c r="I490" s="338" t="str">
        <f t="shared" si="378"/>
        <v>0.0186492586034206-0.0665814433841301i</v>
      </c>
      <c r="J490" s="337" t="str">
        <f t="shared" si="379"/>
        <v>0.00468527951850515-0.0263050964175172i</v>
      </c>
      <c r="K490" s="338" t="str">
        <f t="shared" si="362"/>
        <v>0.959186572788889-0.317337509926861i</v>
      </c>
      <c r="L490" s="732"/>
      <c r="M490" s="732" t="str">
        <f t="shared" si="363"/>
        <v>0.0977625018506462-20.4281211792683i</v>
      </c>
      <c r="N490" s="337">
        <f t="shared" si="364"/>
        <v>0</v>
      </c>
      <c r="O490" s="730" t="str">
        <f t="shared" si="365"/>
        <v>-0.725610880674617-7.86065187297171i</v>
      </c>
      <c r="P490" s="731" t="str">
        <f t="shared" si="366"/>
        <v>-0.536905652601778-0.0982831097999658i</v>
      </c>
      <c r="Q490" s="729" t="str">
        <f t="shared" si="367"/>
        <v>-0.529649543795031-0.0196765910702483i</v>
      </c>
      <c r="R490" s="730"/>
      <c r="S490" s="405" t="str">
        <f t="shared" si="380"/>
        <v>37.8737036484919-11.8379184734319i</v>
      </c>
      <c r="T490" s="405" t="str">
        <f t="shared" si="381"/>
        <v>14.1245894519187-5.96805656338191i</v>
      </c>
      <c r="U490" s="405" t="str">
        <f t="shared" si="382"/>
        <v>-0.275194593351308-0.992054817493534i</v>
      </c>
      <c r="V490" s="731" t="str">
        <f t="shared" si="368"/>
        <v>6000</v>
      </c>
      <c r="W490" s="733" t="str">
        <f>IMSUM(COMPLEX(1,0),IMDIV(COMPLEX(0,2*PI()*D490),COMPLEX(2*PI()*'Stability Calculations'!EA_Pole1,0)))</f>
        <v>1+384613.062031355i</v>
      </c>
      <c r="X490" s="734">
        <f t="shared" si="383"/>
        <v>384613.06203265494</v>
      </c>
      <c r="Y490" s="735">
        <f t="shared" si="384"/>
        <v>1.5707937267791958</v>
      </c>
      <c r="Z490" s="340" t="str">
        <f>IMSUM(COMPLEX(1,0),IMDIV(COMPLEX(0,2*PI()*D490),COMPLEX(2*PI()*'Stability Calculations'!EA_Zero1,0)))</f>
        <v>1+3808.05011912233i</v>
      </c>
      <c r="AA490" s="734">
        <f t="shared" si="385"/>
        <v>3808.0502504231213</v>
      </c>
      <c r="AB490" s="735">
        <f t="shared" si="386"/>
        <v>1.5705337252151559</v>
      </c>
      <c r="AC490" s="733" t="str">
        <f>IMSUM(COMPLEX(1,0),IMDIV(COMPLEX(0,2*PI()*D490),COMPLEX(2*PI()*'Stability Calculations'!EA_Pole2,0)))</f>
        <v>1+38.3602258066079i</v>
      </c>
      <c r="AD490" s="734">
        <f t="shared" si="387"/>
        <v>38.373257927024476</v>
      </c>
      <c r="AE490" s="735">
        <f t="shared" si="388"/>
        <v>1.544733561361618</v>
      </c>
      <c r="AF490" s="732" t="str">
        <f t="shared" si="389"/>
        <v>0.0399410294943482-1.5475925481778i</v>
      </c>
      <c r="AG490" s="337">
        <f t="shared" si="390"/>
        <v>1.5481078712455809</v>
      </c>
      <c r="AH490" s="730">
        <f t="shared" si="391"/>
        <v>-1.5449935629256581</v>
      </c>
      <c r="AI490" s="731" t="str">
        <f t="shared" si="369"/>
        <v>10000</v>
      </c>
      <c r="AJ490" s="733" t="str">
        <f t="shared" si="392"/>
        <v>1+358565.237606536i</v>
      </c>
      <c r="AK490" s="734">
        <f t="shared" si="393"/>
        <v>358565.23760793044</v>
      </c>
      <c r="AL490" s="735">
        <f t="shared" si="394"/>
        <v>1.5707935379021232</v>
      </c>
      <c r="AM490" s="340" t="str">
        <f t="shared" si="395"/>
        <v>1+608.526409035748i</v>
      </c>
      <c r="AN490" s="734">
        <f t="shared" si="396"/>
        <v>608.52723069222009</v>
      </c>
      <c r="AO490" s="735">
        <f t="shared" si="397"/>
        <v>1.5691530142204668</v>
      </c>
      <c r="AP490" s="733" t="str">
        <f t="shared" si="398"/>
        <v>1+29.514533891035i</v>
      </c>
      <c r="AQ490" s="734">
        <f t="shared" si="399"/>
        <v>29.531469838209098</v>
      </c>
      <c r="AR490" s="735">
        <f t="shared" si="400"/>
        <v>1.5369276703396124</v>
      </c>
      <c r="AS490" s="732" t="str">
        <f t="shared" si="401"/>
        <v>0.000745670310138018-3.86178788215202i</v>
      </c>
      <c r="AT490" s="337">
        <f t="shared" si="402"/>
        <v>3.8617879541425366</v>
      </c>
      <c r="AU490" s="730">
        <f t="shared" si="403"/>
        <v>-1.5706032373959897</v>
      </c>
      <c r="AV490" s="732" t="str">
        <f t="shared" si="404"/>
        <v>-0.0853422457811646+0.033472828216345i</v>
      </c>
      <c r="AW490" s="337">
        <f t="shared" si="405"/>
        <v>-20.755279535602462</v>
      </c>
      <c r="AX490" s="730">
        <f t="shared" si="406"/>
        <v>158.58395777166547</v>
      </c>
      <c r="AY490" s="360">
        <f t="shared" si="407"/>
        <v>-21.416042228334533</v>
      </c>
      <c r="BB490" s="337">
        <f t="shared" si="408"/>
        <v>-28.264231529175156</v>
      </c>
      <c r="BC490" s="730">
        <f t="shared" si="409"/>
        <v>-89.98893679237392</v>
      </c>
      <c r="BD490" s="351"/>
      <c r="BE490" s="337">
        <f t="shared" si="370"/>
        <v>26.204667972643296</v>
      </c>
      <c r="BF490" s="730">
        <f t="shared" si="371"/>
        <v>-89.725802684457562</v>
      </c>
      <c r="BI490" s="351"/>
      <c r="BJ490" s="351"/>
      <c r="BL490" s="405">
        <f t="shared" si="372"/>
        <v>0</v>
      </c>
      <c r="BM490" s="405">
        <f t="shared" si="410"/>
        <v>0</v>
      </c>
      <c r="BN490" s="405">
        <f t="shared" si="373"/>
        <v>0</v>
      </c>
      <c r="BO490" s="405">
        <f t="shared" si="374"/>
        <v>0</v>
      </c>
    </row>
    <row r="491" spans="4:67" ht="13.5" thickBot="1" x14ac:dyDescent="0.25">
      <c r="D491" s="345">
        <v>60958</v>
      </c>
      <c r="E491" s="340" t="str">
        <f t="shared" si="361"/>
        <v>1.01114748228134i</v>
      </c>
      <c r="F491" s="728" t="str">
        <f t="shared" si="375"/>
        <v>0.005-0.0428015589050821i</v>
      </c>
      <c r="G491" s="337" t="str">
        <f t="shared" si="376"/>
        <v>0.005-0.0669460280310256i</v>
      </c>
      <c r="H491" s="338" t="str">
        <f t="shared" si="377"/>
        <v>0.00860724545078369-0.0662003655191239i</v>
      </c>
      <c r="I491" s="338" t="str">
        <f t="shared" si="378"/>
        <v>0.0186072454507837-0.0662003655191239i</v>
      </c>
      <c r="J491" s="337" t="str">
        <f t="shared" si="379"/>
        <v>0.00467867620183448-0.0261545224049198i</v>
      </c>
      <c r="K491" s="338" t="str">
        <f t="shared" si="362"/>
        <v>0.958712469288889-0.319175341629211i</v>
      </c>
      <c r="L491" s="732"/>
      <c r="M491" s="732" t="str">
        <f t="shared" si="363"/>
        <v>0.0964443819265137-20.304255545618i</v>
      </c>
      <c r="N491" s="337">
        <f t="shared" si="364"/>
        <v>0</v>
      </c>
      <c r="O491" s="730" t="str">
        <f t="shared" si="365"/>
        <v>-0.722631408811493-7.81190089358295i</v>
      </c>
      <c r="P491" s="731" t="str">
        <f t="shared" si="366"/>
        <v>-0.530596874548563-0.0975194939651743i</v>
      </c>
      <c r="Q491" s="729" t="str">
        <f t="shared" si="367"/>
        <v>-0.523370560460448-0.0194004850293448i</v>
      </c>
      <c r="R491" s="730"/>
      <c r="S491" s="405" t="str">
        <f t="shared" si="380"/>
        <v>37.8457079452075-11.9111187281863i</v>
      </c>
      <c r="T491" s="405" t="str">
        <f t="shared" si="381"/>
        <v>14.1084329189237-5.99665696215589i</v>
      </c>
      <c r="U491" s="405" t="str">
        <f t="shared" si="382"/>
        <v>-0.275546137728426-0.985598114492214i</v>
      </c>
      <c r="V491" s="731" t="str">
        <f t="shared" si="368"/>
        <v>6000</v>
      </c>
      <c r="W491" s="733" t="str">
        <f>IMSUM(COMPLEX(1,0),IMDIV(COMPLEX(0,2*PI()*D491),COMPLEX(2*PI()*'Stability Calculations'!EA_Pole1,0)))</f>
        <v>1+386840.514054604i</v>
      </c>
      <c r="X491" s="734">
        <f t="shared" si="383"/>
        <v>386840.51405589655</v>
      </c>
      <c r="Y491" s="735">
        <f t="shared" si="384"/>
        <v>1.5707937417502498</v>
      </c>
      <c r="Z491" s="340" t="str">
        <f>IMSUM(COMPLEX(1,0),IMDIV(COMPLEX(0,2*PI()*D491),COMPLEX(2*PI()*'Stability Calculations'!EA_Zero1,0)))</f>
        <v>1+3830.10409955053i</v>
      </c>
      <c r="AA491" s="734">
        <f t="shared" si="385"/>
        <v>3830.1042300952822</v>
      </c>
      <c r="AB491" s="735">
        <f t="shared" si="386"/>
        <v>1.5705352372915082</v>
      </c>
      <c r="AC491" s="733" t="str">
        <f>IMSUM(COMPLEX(1,0),IMDIV(COMPLEX(0,2*PI()*D491),COMPLEX(2*PI()*'Stability Calculations'!EA_Pole2,0)))</f>
        <v>1+38.5823856108899i</v>
      </c>
      <c r="AD491" s="734">
        <f t="shared" si="387"/>
        <v>38.595342716802037</v>
      </c>
      <c r="AE491" s="735">
        <f t="shared" si="388"/>
        <v>1.5448835650408079</v>
      </c>
      <c r="AF491" s="732" t="str">
        <f t="shared" si="389"/>
        <v>0.0394826957236374-1.53869329223845i</v>
      </c>
      <c r="AG491" s="337">
        <f t="shared" si="390"/>
        <v>1.5391997696339503</v>
      </c>
      <c r="AH491" s="730">
        <f t="shared" si="391"/>
        <v>-1.5451420694995495</v>
      </c>
      <c r="AI491" s="731" t="str">
        <f t="shared" si="369"/>
        <v>10000</v>
      </c>
      <c r="AJ491" s="733" t="str">
        <f t="shared" si="392"/>
        <v>1+360641.835992859i</v>
      </c>
      <c r="AK491" s="734">
        <f t="shared" si="393"/>
        <v>360641.83599424537</v>
      </c>
      <c r="AL491" s="735">
        <f t="shared" si="394"/>
        <v>1.5707935539607432</v>
      </c>
      <c r="AM491" s="340" t="str">
        <f t="shared" si="395"/>
        <v>1+612.050635108175i</v>
      </c>
      <c r="AN491" s="734">
        <f t="shared" si="396"/>
        <v>612.05145203350378</v>
      </c>
      <c r="AO491" s="735">
        <f t="shared" si="397"/>
        <v>1.5691624765007934</v>
      </c>
      <c r="AP491" s="733" t="str">
        <f t="shared" si="398"/>
        <v>1+29.6854646646379i</v>
      </c>
      <c r="AQ491" s="734">
        <f t="shared" si="399"/>
        <v>29.70230314900623</v>
      </c>
      <c r="AR491" s="735">
        <f t="shared" si="400"/>
        <v>1.5371225403783348</v>
      </c>
      <c r="AS491" s="732" t="str">
        <f t="shared" si="401"/>
        <v>0.000737107800228508-3.8395514661536i</v>
      </c>
      <c r="AT491" s="337">
        <f t="shared" si="402"/>
        <v>3.8395515369076856</v>
      </c>
      <c r="AU491" s="730">
        <f t="shared" si="403"/>
        <v>-1.570604349216872</v>
      </c>
      <c r="AV491" s="732" t="str">
        <f t="shared" si="404"/>
        <v>-0.0842665581605064+0.0332726463759361i</v>
      </c>
      <c r="AW491" s="337">
        <f t="shared" si="405"/>
        <v>-20.857667887864679</v>
      </c>
      <c r="AX491" s="730">
        <f t="shared" si="406"/>
        <v>158.45341729303522</v>
      </c>
      <c r="AY491" s="360">
        <f t="shared" si="407"/>
        <v>-21.546582706964784</v>
      </c>
      <c r="BB491" s="337">
        <f t="shared" si="408"/>
        <v>-28.314389973171529</v>
      </c>
      <c r="BC491" s="730">
        <f t="shared" si="409"/>
        <v>-89.989000495018047</v>
      </c>
      <c r="BD491" s="351"/>
      <c r="BE491" s="337">
        <f t="shared" si="370"/>
        <v>26.151839399603286</v>
      </c>
      <c r="BF491" s="730">
        <f t="shared" si="371"/>
        <v>-89.727849441612904</v>
      </c>
      <c r="BI491" s="351"/>
      <c r="BJ491" s="351"/>
      <c r="BL491" s="405">
        <f t="shared" si="372"/>
        <v>0</v>
      </c>
      <c r="BM491" s="405">
        <f t="shared" si="410"/>
        <v>0</v>
      </c>
      <c r="BN491" s="405">
        <f t="shared" si="373"/>
        <v>0</v>
      </c>
      <c r="BO491" s="405">
        <f t="shared" si="374"/>
        <v>0</v>
      </c>
    </row>
    <row r="492" spans="4:67" ht="13.5" thickBot="1" x14ac:dyDescent="0.25">
      <c r="D492" s="345">
        <v>61309</v>
      </c>
      <c r="E492" s="340" t="str">
        <f t="shared" si="361"/>
        <v>1.01696973311439i</v>
      </c>
      <c r="F492" s="728" t="str">
        <f t="shared" si="375"/>
        <v>0.005-0.0425565158090327i</v>
      </c>
      <c r="G492" s="337" t="str">
        <f t="shared" si="376"/>
        <v>0.005-0.0665627554961793i</v>
      </c>
      <c r="H492" s="338" t="str">
        <f t="shared" si="377"/>
        <v>0.00856594897098617-0.065823612021885i</v>
      </c>
      <c r="I492" s="338" t="str">
        <f t="shared" si="378"/>
        <v>0.0185659489709862-0.065823612021885i</v>
      </c>
      <c r="J492" s="337" t="str">
        <f t="shared" si="379"/>
        <v>0.00467218286762537-0.0260056739202294i</v>
      </c>
      <c r="K492" s="338" t="str">
        <f t="shared" si="362"/>
        <v>0.958235627988889-0.321013173331561i</v>
      </c>
      <c r="L492" s="732"/>
      <c r="M492" s="732" t="str">
        <f t="shared" si="363"/>
        <v>0.0951534123157953-20.1819180426388i</v>
      </c>
      <c r="N492" s="337">
        <f t="shared" si="364"/>
        <v>0</v>
      </c>
      <c r="O492" s="730" t="str">
        <f t="shared" si="365"/>
        <v>-0.719699195782948-7.76374755681238i</v>
      </c>
      <c r="P492" s="731" t="str">
        <f t="shared" si="366"/>
        <v>-0.52439980555884-0.0967681403277179i</v>
      </c>
      <c r="Q492" s="729" t="str">
        <f t="shared" si="367"/>
        <v>-0.517202813601011-0.0191306647595937i</v>
      </c>
      <c r="R492" s="730"/>
      <c r="S492" s="405" t="str">
        <f t="shared" si="380"/>
        <v>37.8175413442071-11.9842154870097i</v>
      </c>
      <c r="T492" s="405" t="str">
        <f t="shared" si="381"/>
        <v>14.0921934497778-6.02522504730972i</v>
      </c>
      <c r="U492" s="405" t="str">
        <f t="shared" si="382"/>
        <v>-0.275889065878596-0.979210844469482i</v>
      </c>
      <c r="V492" s="731" t="str">
        <f t="shared" si="368"/>
        <v>6000</v>
      </c>
      <c r="W492" s="733" t="str">
        <f>IMSUM(COMPLEX(1,0),IMDIV(COMPLEX(0,2*PI()*D492),COMPLEX(2*PI()*'Stability Calculations'!EA_Pole1,0)))</f>
        <v>1+389067.966077852i</v>
      </c>
      <c r="X492" s="734">
        <f t="shared" si="383"/>
        <v>389067.96607913717</v>
      </c>
      <c r="Y492" s="735">
        <f t="shared" si="384"/>
        <v>1.5707937565498824</v>
      </c>
      <c r="Z492" s="340" t="str">
        <f>IMSUM(COMPLEX(1,0),IMDIV(COMPLEX(0,2*PI()*D492),COMPLEX(2*PI()*'Stability Calculations'!EA_Zero1,0)))</f>
        <v>1+3852.15807997873i</v>
      </c>
      <c r="AA492" s="734">
        <f t="shared" si="385"/>
        <v>3852.1582097761011</v>
      </c>
      <c r="AB492" s="735">
        <f t="shared" si="386"/>
        <v>1.5705367320542929</v>
      </c>
      <c r="AC492" s="733" t="str">
        <f>IMSUM(COMPLEX(1,0),IMDIV(COMPLEX(0,2*PI()*D492),COMPLEX(2*PI()*'Stability Calculations'!EA_Pole2,0)))</f>
        <v>1+38.8045454151719i</v>
      </c>
      <c r="AD492" s="734">
        <f t="shared" si="387"/>
        <v>38.817428365080268</v>
      </c>
      <c r="AE492" s="735">
        <f t="shared" si="388"/>
        <v>1.5450318522951032</v>
      </c>
      <c r="AF492" s="732" t="str">
        <f t="shared" si="389"/>
        <v>0.0390322044478118-1.52989573241192i</v>
      </c>
      <c r="AG492" s="337">
        <f t="shared" si="390"/>
        <v>1.5303935654060563</v>
      </c>
      <c r="AH492" s="730">
        <f t="shared" si="391"/>
        <v>-1.5452888767906929</v>
      </c>
      <c r="AI492" s="731" t="str">
        <f t="shared" si="369"/>
        <v>10000</v>
      </c>
      <c r="AJ492" s="733" t="str">
        <f t="shared" si="392"/>
        <v>1+362718.434379183i</v>
      </c>
      <c r="AK492" s="734">
        <f t="shared" si="393"/>
        <v>362718.43438056152</v>
      </c>
      <c r="AL492" s="735">
        <f t="shared" si="394"/>
        <v>1.5707935698354889</v>
      </c>
      <c r="AM492" s="340" t="str">
        <f t="shared" si="395"/>
        <v>1+615.574861180601i</v>
      </c>
      <c r="AN492" s="734">
        <f t="shared" si="396"/>
        <v>615.57567342895879</v>
      </c>
      <c r="AO492" s="735">
        <f t="shared" si="397"/>
        <v>1.5691718304364535</v>
      </c>
      <c r="AP492" s="733" t="str">
        <f t="shared" si="398"/>
        <v>1+29.8563954382408i</v>
      </c>
      <c r="AQ492" s="734">
        <f t="shared" si="399"/>
        <v>29.873137574828089</v>
      </c>
      <c r="AR492" s="735">
        <f t="shared" si="400"/>
        <v>1.5373151816318913</v>
      </c>
      <c r="AS492" s="732" t="str">
        <f t="shared" si="401"/>
        <v>0.000728691932541056-3.81756966142455i</v>
      </c>
      <c r="AT492" s="337">
        <f t="shared" si="402"/>
        <v>3.8175697309703573</v>
      </c>
      <c r="AU492" s="730">
        <f t="shared" si="403"/>
        <v>-1.570605448307189</v>
      </c>
      <c r="AV492" s="732" t="str">
        <f t="shared" si="404"/>
        <v>-0.0832093477260404+0.0330744941940831i</v>
      </c>
      <c r="AW492" s="337">
        <f t="shared" si="405"/>
        <v>-20.959492382943381</v>
      </c>
      <c r="AX492" s="730">
        <f t="shared" si="406"/>
        <v>158.32290549571644</v>
      </c>
      <c r="AY492" s="360">
        <f t="shared" si="407"/>
        <v>-21.677094504283559</v>
      </c>
      <c r="BB492" s="337">
        <f t="shared" si="408"/>
        <v>-28.364260429247121</v>
      </c>
      <c r="BC492" s="730">
        <f t="shared" si="409"/>
        <v>-89.989063468254514</v>
      </c>
      <c r="BD492" s="351"/>
      <c r="BE492" s="337">
        <f t="shared" si="370"/>
        <v>26.09934530315504</v>
      </c>
      <c r="BF492" s="730">
        <f t="shared" si="371"/>
        <v>-89.729864697501085</v>
      </c>
      <c r="BI492" s="351"/>
      <c r="BJ492" s="351"/>
      <c r="BL492" s="405">
        <f t="shared" si="372"/>
        <v>0</v>
      </c>
      <c r="BM492" s="405">
        <f t="shared" si="410"/>
        <v>0</v>
      </c>
      <c r="BN492" s="405">
        <f t="shared" si="373"/>
        <v>0</v>
      </c>
      <c r="BO492" s="405">
        <f t="shared" si="374"/>
        <v>0</v>
      </c>
    </row>
    <row r="493" spans="4:67" ht="13.5" thickBot="1" x14ac:dyDescent="0.25">
      <c r="D493" s="345">
        <v>61660</v>
      </c>
      <c r="E493" s="340" t="str">
        <f t="shared" si="361"/>
        <v>1.02279198394743i</v>
      </c>
      <c r="F493" s="728" t="str">
        <f t="shared" si="375"/>
        <v>0.005-0.0423142625322087i</v>
      </c>
      <c r="G493" s="337" t="str">
        <f t="shared" si="376"/>
        <v>0.005-0.0661838465247369i</v>
      </c>
      <c r="H493" s="338" t="str">
        <f t="shared" si="377"/>
        <v>0.00852535297175597-0.0654511099201455i</v>
      </c>
      <c r="I493" s="338" t="str">
        <f t="shared" si="378"/>
        <v>0.018525352971756-0.0654511099201455i</v>
      </c>
      <c r="J493" s="337" t="str">
        <f t="shared" si="379"/>
        <v>0.00466579700655619-0.0258585215397697i</v>
      </c>
      <c r="K493" s="338" t="str">
        <f t="shared" si="362"/>
        <v>0.957756048888889-0.322851005033911i</v>
      </c>
      <c r="L493" s="732"/>
      <c r="M493" s="732" t="str">
        <f t="shared" si="363"/>
        <v>0.0938888406233111-20.0610799896597i</v>
      </c>
      <c r="N493" s="337">
        <f t="shared" si="364"/>
        <v>0</v>
      </c>
      <c r="O493" s="730" t="str">
        <f t="shared" si="365"/>
        <v>-0.716813147090878-7.71618062403597i</v>
      </c>
      <c r="P493" s="731" t="str">
        <f t="shared" si="366"/>
        <v>-0.518311802752129-0.0960287535716404i</v>
      </c>
      <c r="Q493" s="729" t="str">
        <f t="shared" si="367"/>
        <v>-0.511143671281221-0.0188669473312809i</v>
      </c>
      <c r="R493" s="730"/>
      <c r="S493" s="405" t="str">
        <f t="shared" si="380"/>
        <v>37.7892039589045-12.0572090551672i</v>
      </c>
      <c r="T493" s="405" t="str">
        <f t="shared" si="381"/>
        <v>14.0758711411883-6.05376023584376i</v>
      </c>
      <c r="U493" s="405" t="str">
        <f t="shared" si="382"/>
        <v>-0.276223556762832-0.972891832100669i</v>
      </c>
      <c r="V493" s="731" t="str">
        <f t="shared" si="368"/>
        <v>6000</v>
      </c>
      <c r="W493" s="733" t="str">
        <f>IMSUM(COMPLEX(1,0),IMDIV(COMPLEX(0,2*PI()*D493),COMPLEX(2*PI()*'Stability Calculations'!EA_Pole1,0)))</f>
        <v>1+391295.4181011i</v>
      </c>
      <c r="X493" s="734">
        <f t="shared" si="383"/>
        <v>391295.41810237785</v>
      </c>
      <c r="Y493" s="735">
        <f t="shared" si="384"/>
        <v>1.5707937711810209</v>
      </c>
      <c r="Z493" s="340" t="str">
        <f>IMSUM(COMPLEX(1,0),IMDIV(COMPLEX(0,2*PI()*D493),COMPLEX(2*PI()*'Stability Calculations'!EA_Zero1,0)))</f>
        <v>1+3874.21206040693i</v>
      </c>
      <c r="AA493" s="734">
        <f t="shared" si="385"/>
        <v>3874.2121894654292</v>
      </c>
      <c r="AB493" s="735">
        <f t="shared" si="386"/>
        <v>1.5705382097991825</v>
      </c>
      <c r="AC493" s="733" t="str">
        <f>IMSUM(COMPLEX(1,0),IMDIV(COMPLEX(0,2*PI()*D493),COMPLEX(2*PI()*'Stability Calculations'!EA_Pole2,0)))</f>
        <v>1+39.0267052194539i</v>
      </c>
      <c r="AD493" s="734">
        <f t="shared" si="387"/>
        <v>39.039514857207827</v>
      </c>
      <c r="AE493" s="735">
        <f t="shared" si="388"/>
        <v>1.5451784524109224</v>
      </c>
      <c r="AF493" s="732" t="str">
        <f t="shared" si="389"/>
        <v>0.0385893777981404-1.52119813653823i</v>
      </c>
      <c r="AG493" s="337">
        <f t="shared" si="390"/>
        <v>1.5216875207105538</v>
      </c>
      <c r="AH493" s="730">
        <f t="shared" si="391"/>
        <v>-1.5454340137927609</v>
      </c>
      <c r="AI493" s="731" t="str">
        <f t="shared" si="369"/>
        <v>10000</v>
      </c>
      <c r="AJ493" s="733" t="str">
        <f t="shared" si="392"/>
        <v>1+364795.032765506i</v>
      </c>
      <c r="AK493" s="734">
        <f t="shared" si="393"/>
        <v>364795.03276687663</v>
      </c>
      <c r="AL493" s="735">
        <f t="shared" si="394"/>
        <v>1.5707935855295005</v>
      </c>
      <c r="AM493" s="340" t="str">
        <f t="shared" si="395"/>
        <v>1+619.099087253027i</v>
      </c>
      <c r="AN493" s="734">
        <f t="shared" si="396"/>
        <v>619.0998948776612</v>
      </c>
      <c r="AO493" s="735">
        <f t="shared" si="397"/>
        <v>1.5691810778776989</v>
      </c>
      <c r="AP493" s="733" t="str">
        <f t="shared" si="398"/>
        <v>1+30.0273262118438i</v>
      </c>
      <c r="AQ493" s="734">
        <f t="shared" si="399"/>
        <v>30.043973096654206</v>
      </c>
      <c r="AR493" s="735">
        <f t="shared" si="400"/>
        <v>1.5375056321056995</v>
      </c>
      <c r="AS493" s="732" t="str">
        <f t="shared" si="401"/>
        <v>0.000720419377550215-3.79583811983602i</v>
      </c>
      <c r="AT493" s="337">
        <f t="shared" si="402"/>
        <v>3.7958381882009049</v>
      </c>
      <c r="AU493" s="730">
        <f t="shared" si="403"/>
        <v>-1.5706065348843472</v>
      </c>
      <c r="AV493" s="732" t="str">
        <f t="shared" si="404"/>
        <v>-0.0821701949837033+0.0328783407541476i</v>
      </c>
      <c r="AW493" s="337">
        <f t="shared" si="405"/>
        <v>-21.060759633516128</v>
      </c>
      <c r="AX493" s="730">
        <f t="shared" si="406"/>
        <v>158.19242178280501</v>
      </c>
      <c r="AY493" s="360">
        <f t="shared" si="407"/>
        <v>-21.807578217194987</v>
      </c>
      <c r="BB493" s="337">
        <f t="shared" si="408"/>
        <v>-28.413846185533885</v>
      </c>
      <c r="BC493" s="730">
        <f t="shared" si="409"/>
        <v>-89.989125724539804</v>
      </c>
      <c r="BD493" s="351"/>
      <c r="BE493" s="337">
        <f t="shared" si="370"/>
        <v>26.04718131768205</v>
      </c>
      <c r="BF493" s="730">
        <f t="shared" si="371"/>
        <v>-89.731849180716665</v>
      </c>
      <c r="BI493" s="351"/>
      <c r="BJ493" s="351"/>
      <c r="BL493" s="405">
        <f t="shared" si="372"/>
        <v>0</v>
      </c>
      <c r="BM493" s="405">
        <f t="shared" si="410"/>
        <v>0</v>
      </c>
      <c r="BN493" s="405">
        <f t="shared" si="373"/>
        <v>0</v>
      </c>
      <c r="BO493" s="405">
        <f t="shared" si="374"/>
        <v>0</v>
      </c>
    </row>
    <row r="494" spans="4:67" ht="13.5" thickBot="1" x14ac:dyDescent="0.25">
      <c r="D494" s="345">
        <v>62019</v>
      </c>
      <c r="E494" s="340" t="str">
        <f t="shared" si="361"/>
        <v>1.02874693565416i</v>
      </c>
      <c r="F494" s="728" t="str">
        <f t="shared" si="375"/>
        <v>0.005-0.0420693243640818i</v>
      </c>
      <c r="G494" s="337" t="str">
        <f t="shared" si="376"/>
        <v>0.005-0.0658007381079226i</v>
      </c>
      <c r="H494" s="338" t="str">
        <f t="shared" si="377"/>
        <v>0.00848453991697094-0.0650744412351401i</v>
      </c>
      <c r="I494" s="338" t="str">
        <f t="shared" si="378"/>
        <v>0.0184845399169709-0.0650744412351401i</v>
      </c>
      <c r="J494" s="337" t="str">
        <f t="shared" si="379"/>
        <v>0.00465937423287339-0.0257097398182882i</v>
      </c>
      <c r="K494" s="338" t="str">
        <f t="shared" si="362"/>
        <v>0.9572627071-0.324730724638309i</v>
      </c>
      <c r="L494" s="732"/>
      <c r="M494" s="732" t="str">
        <f t="shared" si="363"/>
        <v>0.0926219971701096-19.9390097620324i</v>
      </c>
      <c r="N494" s="337">
        <f t="shared" si="364"/>
        <v>0</v>
      </c>
      <c r="O494" s="730" t="str">
        <f t="shared" si="365"/>
        <v>-0.713907965813596-7.66812473387118i</v>
      </c>
      <c r="P494" s="731" t="str">
        <f t="shared" si="366"/>
        <v>-0.512195192669149-0.0952845957629184i</v>
      </c>
      <c r="Q494" s="729" t="str">
        <f t="shared" si="367"/>
        <v>-0.505056113011013-0.0186033484242064i</v>
      </c>
      <c r="R494" s="730"/>
      <c r="S494" s="405" t="str">
        <f t="shared" si="380"/>
        <v>37.7600441558191-12.131759847825i</v>
      </c>
      <c r="T494" s="405" t="str">
        <f t="shared" si="381"/>
        <v>14.0590912243466-6.08291116870578i</v>
      </c>
      <c r="U494" s="405" t="str">
        <f t="shared" si="382"/>
        <v>-0.276557124697218-0.966498208320488i</v>
      </c>
      <c r="V494" s="731" t="str">
        <f t="shared" si="368"/>
        <v>6000</v>
      </c>
      <c r="W494" s="733" t="str">
        <f>IMSUM(COMPLEX(1,0),IMDIV(COMPLEX(0,2*PI()*D494),COMPLEX(2*PI()*'Stability Calculations'!EA_Pole1,0)))</f>
        <v>1+393573.638261631i</v>
      </c>
      <c r="X494" s="734">
        <f t="shared" si="383"/>
        <v>393573.6382629014</v>
      </c>
      <c r="Y494" s="735">
        <f t="shared" si="384"/>
        <v>1.5707937859743162</v>
      </c>
      <c r="Z494" s="340" t="str">
        <f>IMSUM(COMPLEX(1,0),IMDIV(COMPLEX(0,2*PI()*D494),COMPLEX(2*PI()*'Stability Calculations'!EA_Zero1,0)))</f>
        <v>1+3896.76869565971i</v>
      </c>
      <c r="AA494" s="734">
        <f t="shared" si="385"/>
        <v>3896.768823971147</v>
      </c>
      <c r="AB494" s="735">
        <f t="shared" si="386"/>
        <v>1.5705397039219091</v>
      </c>
      <c r="AC494" s="733" t="str">
        <f>IMSUM(COMPLEX(1,0),IMDIV(COMPLEX(0,2*PI()*D494),COMPLEX(2*PI()*'Stability Calculations'!EA_Pole2,0)))</f>
        <v>1+39.2539284950587i</v>
      </c>
      <c r="AD494" s="734">
        <f t="shared" si="387"/>
        <v>39.266664007720109</v>
      </c>
      <c r="AE494" s="735">
        <f t="shared" si="388"/>
        <v>1.5453266784144988</v>
      </c>
      <c r="AF494" s="732" t="str">
        <f t="shared" si="389"/>
        <v>0.0381442067491654-1.51240394787835i</v>
      </c>
      <c r="AG494" s="337">
        <f t="shared" si="390"/>
        <v>1.5128848872490406</v>
      </c>
      <c r="AH494" s="730">
        <f t="shared" si="391"/>
        <v>-1.5455807604669061</v>
      </c>
      <c r="AI494" s="731" t="str">
        <f t="shared" si="369"/>
        <v>10000</v>
      </c>
      <c r="AJ494" s="733" t="str">
        <f t="shared" si="392"/>
        <v>1+366918.961029581i</v>
      </c>
      <c r="AK494" s="734">
        <f t="shared" si="393"/>
        <v>366918.96103094373</v>
      </c>
      <c r="AL494" s="735">
        <f t="shared" si="394"/>
        <v>1.5707936013974486</v>
      </c>
      <c r="AM494" s="340" t="str">
        <f t="shared" si="395"/>
        <v>1+622.703637566422i</v>
      </c>
      <c r="AN494" s="734">
        <f t="shared" si="396"/>
        <v>622.70444051608774</v>
      </c>
      <c r="AO494" s="735">
        <f t="shared" si="397"/>
        <v>1.5691904278085493</v>
      </c>
      <c r="AP494" s="733" t="str">
        <f t="shared" si="398"/>
        <v>1+30.2021528435346i</v>
      </c>
      <c r="AQ494" s="734">
        <f t="shared" si="399"/>
        <v>30.218703419971959</v>
      </c>
      <c r="AR494" s="735">
        <f t="shared" si="400"/>
        <v>1.5376981957969043</v>
      </c>
      <c r="AS494" s="732" t="str">
        <f t="shared" si="401"/>
        <v>0.000712103151891094-3.77386572770296i</v>
      </c>
      <c r="AT494" s="337">
        <f t="shared" si="402"/>
        <v>3.7738657948875032</v>
      </c>
      <c r="AU494" s="730">
        <f t="shared" si="403"/>
        <v>-1.5706076335040324</v>
      </c>
      <c r="AV494" s="732" t="str">
        <f t="shared" si="404"/>
        <v>-0.0811256127647191+0.0326797525736401i</v>
      </c>
      <c r="AW494" s="337">
        <f t="shared" si="405"/>
        <v>-21.163765303876989</v>
      </c>
      <c r="AX494" s="730">
        <f t="shared" si="406"/>
        <v>158.0589925272572</v>
      </c>
      <c r="AY494" s="360">
        <f t="shared" si="407"/>
        <v>-21.941007472742797</v>
      </c>
      <c r="BB494" s="337">
        <f t="shared" si="408"/>
        <v>-28.464270962998526</v>
      </c>
      <c r="BC494" s="730">
        <f t="shared" si="409"/>
        <v>-89.989188670811046</v>
      </c>
      <c r="BD494" s="351"/>
      <c r="BE494" s="337">
        <f t="shared" si="370"/>
        <v>25.994165433063067</v>
      </c>
      <c r="BF494" s="730">
        <f t="shared" si="371"/>
        <v>-89.733847797835608</v>
      </c>
      <c r="BI494" s="351"/>
      <c r="BJ494" s="351"/>
      <c r="BL494" s="405">
        <f t="shared" si="372"/>
        <v>0</v>
      </c>
      <c r="BM494" s="405">
        <f t="shared" si="410"/>
        <v>0</v>
      </c>
      <c r="BN494" s="405">
        <f t="shared" si="373"/>
        <v>0</v>
      </c>
      <c r="BO494" s="405">
        <f t="shared" si="374"/>
        <v>0</v>
      </c>
    </row>
    <row r="495" spans="4:67" ht="13.5" thickBot="1" x14ac:dyDescent="0.25">
      <c r="D495" s="345">
        <v>62378</v>
      </c>
      <c r="E495" s="340" t="str">
        <f t="shared" si="361"/>
        <v>1.0347018873609i</v>
      </c>
      <c r="F495" s="728" t="str">
        <f t="shared" si="375"/>
        <v>0.005-0.0418272055490076i</v>
      </c>
      <c r="G495" s="337" t="str">
        <f t="shared" si="376"/>
        <v>0.005-0.0654220394484475i</v>
      </c>
      <c r="H495" s="338" t="str">
        <f t="shared" si="377"/>
        <v>0.00844442681177612-0.0647020706998186i</v>
      </c>
      <c r="I495" s="338" t="str">
        <f t="shared" si="378"/>
        <v>0.0184444268117761-0.0647020706998186i</v>
      </c>
      <c r="J495" s="337" t="str">
        <f t="shared" si="379"/>
        <v>0.00465305880149004-0.0255626722433617i</v>
      </c>
      <c r="K495" s="338" t="str">
        <f t="shared" si="362"/>
        <v>0.956766501288889-0.326610444242707i</v>
      </c>
      <c r="L495" s="732"/>
      <c r="M495" s="732" t="str">
        <f t="shared" si="363"/>
        <v>0.0913812589292646-19.8184497223204i</v>
      </c>
      <c r="N495" s="337">
        <f t="shared" si="364"/>
        <v>0</v>
      </c>
      <c r="O495" s="730" t="str">
        <f t="shared" si="365"/>
        <v>-0.711048859380077-7.62065940506315i</v>
      </c>
      <c r="P495" s="731" t="str">
        <f t="shared" si="366"/>
        <v>-0.506187332252067-0.0945523610835254i</v>
      </c>
      <c r="Q495" s="729" t="str">
        <f t="shared" si="367"/>
        <v>-0.499076843658267-0.0183457670328934i</v>
      </c>
      <c r="R495" s="730"/>
      <c r="S495" s="405" t="str">
        <f t="shared" si="380"/>
        <v>37.7307059280132-12.2062032795864i</v>
      </c>
      <c r="T495" s="405" t="str">
        <f t="shared" si="381"/>
        <v>14.0422248609704-6.11202647631677i</v>
      </c>
      <c r="U495" s="405" t="str">
        <f t="shared" si="382"/>
        <v>-0.276882229076845-0.960173585988156i</v>
      </c>
      <c r="V495" s="731" t="str">
        <f t="shared" si="368"/>
        <v>6000</v>
      </c>
      <c r="W495" s="733" t="str">
        <f>IMSUM(COMPLEX(1,0),IMDIV(COMPLEX(0,2*PI()*D495),COMPLEX(2*PI()*'Stability Calculations'!EA_Pole1,0)))</f>
        <v>1+395851.858422161i</v>
      </c>
      <c r="X495" s="734">
        <f t="shared" si="383"/>
        <v>395851.85842342407</v>
      </c>
      <c r="Y495" s="735">
        <f t="shared" si="384"/>
        <v>1.5707938005973339</v>
      </c>
      <c r="Z495" s="340" t="str">
        <f>IMSUM(COMPLEX(1,0),IMDIV(COMPLEX(0,2*PI()*D495),COMPLEX(2*PI()*'Stability Calculations'!EA_Zero1,0)))</f>
        <v>1+3919.32533091248i</v>
      </c>
      <c r="AA495" s="734">
        <f t="shared" si="385"/>
        <v>3919.3254584854549</v>
      </c>
      <c r="AB495" s="735">
        <f t="shared" si="386"/>
        <v>1.5705411808465843</v>
      </c>
      <c r="AC495" s="733" t="str">
        <f>IMSUM(COMPLEX(1,0),IMDIV(COMPLEX(0,2*PI()*D495),COMPLEX(2*PI()*'Stability Calculations'!EA_Pole2,0)))</f>
        <v>1+39.4811517706633i</v>
      </c>
      <c r="AD495" s="734">
        <f t="shared" si="387"/>
        <v>39.493814011034061</v>
      </c>
      <c r="AE495" s="735">
        <f t="shared" si="388"/>
        <v>1.5454731993675457</v>
      </c>
      <c r="AF495" s="732" t="str">
        <f t="shared" si="389"/>
        <v>0.0377066931813342-1.50371079049681i</v>
      </c>
      <c r="AG495" s="337">
        <f t="shared" si="390"/>
        <v>1.5041834782257155</v>
      </c>
      <c r="AH495" s="730">
        <f t="shared" si="391"/>
        <v>-1.5457258191182952</v>
      </c>
      <c r="AI495" s="731" t="str">
        <f t="shared" si="369"/>
        <v>10000</v>
      </c>
      <c r="AJ495" s="733" t="str">
        <f t="shared" si="392"/>
        <v>1+369042.889293654i</v>
      </c>
      <c r="AK495" s="734">
        <f t="shared" si="393"/>
        <v>369042.88929500885</v>
      </c>
      <c r="AL495" s="735">
        <f t="shared" si="394"/>
        <v>1.5707936170827492</v>
      </c>
      <c r="AM495" s="340" t="str">
        <f t="shared" si="395"/>
        <v>1+626.308187879814i</v>
      </c>
      <c r="AN495" s="734">
        <f t="shared" si="396"/>
        <v>626.30898620832227</v>
      </c>
      <c r="AO495" s="735">
        <f t="shared" si="397"/>
        <v>1.5691996701175919</v>
      </c>
      <c r="AP495" s="733" t="str">
        <f t="shared" si="398"/>
        <v>1+30.3769794752253i</v>
      </c>
      <c r="AQ495" s="734">
        <f t="shared" si="399"/>
        <v>30.393434850938768</v>
      </c>
      <c r="AR495" s="735">
        <f t="shared" si="400"/>
        <v>1.5378885454031763</v>
      </c>
      <c r="AS495" s="732" t="str">
        <f t="shared" si="401"/>
        <v>0.000703930098120835-3.75214624806911i</v>
      </c>
      <c r="AT495" s="337">
        <f t="shared" si="402"/>
        <v>3.7521463141003282</v>
      </c>
      <c r="AU495" s="730">
        <f t="shared" si="403"/>
        <v>-1.5706087194780911</v>
      </c>
      <c r="AV495" s="732" t="str">
        <f t="shared" si="404"/>
        <v>-0.0800990705943021+0.032483191753666i</v>
      </c>
      <c r="AW495" s="337">
        <f t="shared" si="405"/>
        <v>-21.266201674461986</v>
      </c>
      <c r="AX495" s="730">
        <f t="shared" si="406"/>
        <v>157.92559143452681</v>
      </c>
      <c r="AY495" s="360">
        <f t="shared" si="407"/>
        <v>-22.074408565473192</v>
      </c>
      <c r="BB495" s="337">
        <f t="shared" si="408"/>
        <v>-28.514404694945547</v>
      </c>
      <c r="BC495" s="730">
        <f t="shared" si="409"/>
        <v>-89.989250892541278</v>
      </c>
      <c r="BD495" s="351"/>
      <c r="BE495" s="337">
        <f t="shared" si="370"/>
        <v>25.941485917350956</v>
      </c>
      <c r="BF495" s="730">
        <f t="shared" si="371"/>
        <v>-89.735815695375479</v>
      </c>
      <c r="BI495" s="351"/>
      <c r="BJ495" s="351"/>
      <c r="BL495" s="405">
        <f t="shared" si="372"/>
        <v>0</v>
      </c>
      <c r="BM495" s="405">
        <f t="shared" si="410"/>
        <v>0</v>
      </c>
      <c r="BN495" s="405">
        <f t="shared" si="373"/>
        <v>0</v>
      </c>
      <c r="BO495" s="405">
        <f t="shared" si="374"/>
        <v>0</v>
      </c>
    </row>
    <row r="496" spans="4:67" ht="13.5" thickBot="1" x14ac:dyDescent="0.25">
      <c r="D496" s="345">
        <v>62737</v>
      </c>
      <c r="E496" s="340" t="str">
        <f t="shared" si="361"/>
        <v>1.04065683906763i</v>
      </c>
      <c r="F496" s="728" t="str">
        <f t="shared" si="375"/>
        <v>0.005-0.0415878576874251i</v>
      </c>
      <c r="G496" s="337" t="str">
        <f t="shared" si="376"/>
        <v>0.005-0.0650476748444342i</v>
      </c>
      <c r="H496" s="338" t="str">
        <f t="shared" si="377"/>
        <v>0.00840499775654716-0.0643339253748366i</v>
      </c>
      <c r="I496" s="338" t="str">
        <f t="shared" si="378"/>
        <v>0.0184049977565472-0.0643339253748366i</v>
      </c>
      <c r="J496" s="337" t="str">
        <f t="shared" si="379"/>
        <v>0.00464684824965903-0.0254172894300237i</v>
      </c>
      <c r="K496" s="338" t="str">
        <f t="shared" si="362"/>
        <v>0.956267431455556-0.328490163847105i</v>
      </c>
      <c r="L496" s="732"/>
      <c r="M496" s="732" t="str">
        <f t="shared" si="363"/>
        <v>0.0901659020643637-19.6993714634883i</v>
      </c>
      <c r="N496" s="337">
        <f t="shared" si="364"/>
        <v>0</v>
      </c>
      <c r="O496" s="730" t="str">
        <f t="shared" si="365"/>
        <v>-0.708234754027391-7.57377350930997i</v>
      </c>
      <c r="P496" s="731" t="str">
        <f t="shared" si="366"/>
        <v>-0.500285638812844-0.0938317626339826i</v>
      </c>
      <c r="Q496" s="729" t="str">
        <f t="shared" si="367"/>
        <v>-0.49320329127257-0.0180940275408821i</v>
      </c>
      <c r="R496" s="730"/>
      <c r="S496" s="405" t="str">
        <f t="shared" si="380"/>
        <v>37.7011893903666-12.2805396185424i</v>
      </c>
      <c r="T496" s="405" t="str">
        <f t="shared" si="381"/>
        <v>14.0252721620123-6.14110555647843i</v>
      </c>
      <c r="U496" s="405" t="str">
        <f t="shared" si="382"/>
        <v>-0.277199045532801-0.953916791057591i</v>
      </c>
      <c r="V496" s="731" t="str">
        <f t="shared" si="368"/>
        <v>6000</v>
      </c>
      <c r="W496" s="733" t="str">
        <f>IMSUM(COMPLEX(1,0),IMDIV(COMPLEX(0,2*PI()*D496),COMPLEX(2*PI()*'Stability Calculations'!EA_Pole1,0)))</f>
        <v>1+398130.078582691i</v>
      </c>
      <c r="X496" s="734">
        <f t="shared" si="383"/>
        <v>398130.07858394686</v>
      </c>
      <c r="Y496" s="735">
        <f t="shared" si="384"/>
        <v>1.5707938150529968</v>
      </c>
      <c r="Z496" s="340" t="str">
        <f>IMSUM(COMPLEX(1,0),IMDIV(COMPLEX(0,2*PI()*D496),COMPLEX(2*PI()*'Stability Calculations'!EA_Zero1,0)))</f>
        <v>1+3941.88196616526i</v>
      </c>
      <c r="AA496" s="734">
        <f t="shared" si="385"/>
        <v>3941.8820930082243</v>
      </c>
      <c r="AB496" s="735">
        <f t="shared" si="386"/>
        <v>1.5705426408684455</v>
      </c>
      <c r="AC496" s="733" t="str">
        <f>IMSUM(COMPLEX(1,0),IMDIV(COMPLEX(0,2*PI()*D496),COMPLEX(2*PI()*'Stability Calculations'!EA_Pole2,0)))</f>
        <v>1+39.708375046268i</v>
      </c>
      <c r="AD496" s="734">
        <f t="shared" si="387"/>
        <v>39.720964852519373</v>
      </c>
      <c r="AE496" s="735">
        <f t="shared" si="388"/>
        <v>1.5456180445155496</v>
      </c>
      <c r="AF496" s="732" t="str">
        <f t="shared" si="389"/>
        <v>0.0372766625091564-1.49511693439615i</v>
      </c>
      <c r="AG496" s="337">
        <f t="shared" si="390"/>
        <v>1.4955815581525345</v>
      </c>
      <c r="AH496" s="730">
        <f t="shared" si="391"/>
        <v>-1.5458692187001009</v>
      </c>
      <c r="AI496" s="731" t="str">
        <f t="shared" si="369"/>
        <v>10000</v>
      </c>
      <c r="AJ496" s="733" t="str">
        <f t="shared" si="392"/>
        <v>1+371166.817557729i</v>
      </c>
      <c r="AK496" s="734">
        <f t="shared" si="393"/>
        <v>371166.81755907612</v>
      </c>
      <c r="AL496" s="735">
        <f t="shared" si="394"/>
        <v>1.5707936325885379</v>
      </c>
      <c r="AM496" s="340" t="str">
        <f t="shared" si="395"/>
        <v>1+629.912738193208i</v>
      </c>
      <c r="AN496" s="734">
        <f t="shared" si="396"/>
        <v>629.91353195344607</v>
      </c>
      <c r="AO496" s="735">
        <f t="shared" si="397"/>
        <v>1.5692088066523531</v>
      </c>
      <c r="AP496" s="733" t="str">
        <f t="shared" si="398"/>
        <v>1+30.5518061069161i</v>
      </c>
      <c r="AQ496" s="734">
        <f t="shared" si="399"/>
        <v>30.568167370560435</v>
      </c>
      <c r="AR496" s="735">
        <f t="shared" si="400"/>
        <v>1.5380767188787901</v>
      </c>
      <c r="AS496" s="732" t="str">
        <f t="shared" si="401"/>
        <v>0.000695896948543382-3.73067533921073i</v>
      </c>
      <c r="AT496" s="337">
        <f t="shared" si="402"/>
        <v>3.7306754041148711</v>
      </c>
      <c r="AU496" s="730">
        <f t="shared" si="403"/>
        <v>-1.5706097930236091</v>
      </c>
      <c r="AV496" s="732" t="str">
        <f t="shared" si="404"/>
        <v>-0.0790901567991107+0.0322886271033485i</v>
      </c>
      <c r="AW496" s="337">
        <f t="shared" si="405"/>
        <v>-21.368075463960139</v>
      </c>
      <c r="AX496" s="730">
        <f t="shared" si="406"/>
        <v>157.79221791245371</v>
      </c>
      <c r="AY496" s="360">
        <f t="shared" si="407"/>
        <v>-22.207782087546292</v>
      </c>
      <c r="BB496" s="337">
        <f t="shared" si="408"/>
        <v>-28.564250721859906</v>
      </c>
      <c r="BC496" s="730">
        <f t="shared" si="409"/>
        <v>-89.989312402168579</v>
      </c>
      <c r="BD496" s="351"/>
      <c r="BE496" s="337">
        <f t="shared" si="370"/>
        <v>25.889138374850948</v>
      </c>
      <c r="BF496" s="730">
        <f t="shared" si="371"/>
        <v>-89.737753583769418</v>
      </c>
      <c r="BI496" s="351"/>
      <c r="BJ496" s="351"/>
      <c r="BL496" s="405">
        <f t="shared" si="372"/>
        <v>0</v>
      </c>
      <c r="BM496" s="405">
        <f t="shared" si="410"/>
        <v>0</v>
      </c>
      <c r="BN496" s="405">
        <f t="shared" si="373"/>
        <v>0</v>
      </c>
      <c r="BO496" s="405">
        <f t="shared" si="374"/>
        <v>0</v>
      </c>
    </row>
    <row r="497" spans="4:67" ht="13.5" thickBot="1" x14ac:dyDescent="0.25">
      <c r="D497" s="345">
        <v>63096</v>
      </c>
      <c r="E497" s="340" t="str">
        <f t="shared" si="361"/>
        <v>1.04661179077436i</v>
      </c>
      <c r="F497" s="728" t="str">
        <f t="shared" si="375"/>
        <v>0.005-0.0413512334812982i</v>
      </c>
      <c r="G497" s="337" t="str">
        <f t="shared" si="376"/>
        <v>0.005-0.0646775703169024i</v>
      </c>
      <c r="H497" s="338" t="str">
        <f t="shared" si="377"/>
        <v>0.00836623730014735-0.0639699339571321i</v>
      </c>
      <c r="I497" s="338" t="str">
        <f t="shared" si="378"/>
        <v>0.0183662373001474-0.0639699339571321i</v>
      </c>
      <c r="J497" s="337" t="str">
        <f t="shared" si="379"/>
        <v>0.0046407401844925-0.0252735626606031i</v>
      </c>
      <c r="K497" s="338" t="str">
        <f t="shared" si="362"/>
        <v>0.9557654976-0.330369883451503i</v>
      </c>
      <c r="L497" s="732"/>
      <c r="M497" s="732" t="str">
        <f t="shared" si="363"/>
        <v>0.0889752278615221-19.5817472983661i</v>
      </c>
      <c r="N497" s="337">
        <f t="shared" si="364"/>
        <v>0</v>
      </c>
      <c r="O497" s="730" t="str">
        <f t="shared" si="365"/>
        <v>-0.705464606593182-7.52745620130124i</v>
      </c>
      <c r="P497" s="731" t="str">
        <f t="shared" si="366"/>
        <v>-0.49448760643399-0.0931225225667046i</v>
      </c>
      <c r="Q497" s="729" t="str">
        <f t="shared" si="367"/>
        <v>-0.487432960368058-0.0178479605536923i</v>
      </c>
      <c r="R497" s="730"/>
      <c r="S497" s="405" t="str">
        <f t="shared" si="380"/>
        <v>37.6714946558463-12.354769114059i</v>
      </c>
      <c r="T497" s="405" t="str">
        <f t="shared" si="381"/>
        <v>14.0082332408633-6.17014781388058i</v>
      </c>
      <c r="U497" s="405" t="str">
        <f t="shared" si="382"/>
        <v>-0.277507744710808-0.947726676062042i</v>
      </c>
      <c r="V497" s="731" t="str">
        <f t="shared" si="368"/>
        <v>6000</v>
      </c>
      <c r="W497" s="733" t="str">
        <f>IMSUM(COMPLEX(1,0),IMDIV(COMPLEX(0,2*PI()*D497),COMPLEX(2*PI()*'Stability Calculations'!EA_Pole1,0)))</f>
        <v>1+400408.298743221i</v>
      </c>
      <c r="X497" s="734">
        <f t="shared" si="383"/>
        <v>400408.29874446971</v>
      </c>
      <c r="Y497" s="735">
        <f t="shared" si="384"/>
        <v>1.5707938293441617</v>
      </c>
      <c r="Z497" s="340" t="str">
        <f>IMSUM(COMPLEX(1,0),IMDIV(COMPLEX(0,2*PI()*D497),COMPLEX(2*PI()*'Stability Calculations'!EA_Zero1,0)))</f>
        <v>1+3964.43860141803i</v>
      </c>
      <c r="AA497" s="734">
        <f t="shared" si="385"/>
        <v>3964.4387275392901</v>
      </c>
      <c r="AB497" s="735">
        <f t="shared" si="386"/>
        <v>1.5705440842760106</v>
      </c>
      <c r="AC497" s="733" t="str">
        <f>IMSUM(COMPLEX(1,0),IMDIV(COMPLEX(0,2*PI()*D497),COMPLEX(2*PI()*'Stability Calculations'!EA_Pole2,0)))</f>
        <v>1+39.9355983218726i</v>
      </c>
      <c r="AD497" s="734">
        <f t="shared" si="387"/>
        <v>39.948116517877949</v>
      </c>
      <c r="AE497" s="735">
        <f t="shared" si="388"/>
        <v>1.5457612424391025</v>
      </c>
      <c r="AF497" s="732" t="str">
        <f t="shared" si="389"/>
        <v>0.036853945093441-1.48662068882797i</v>
      </c>
      <c r="AG497" s="337">
        <f t="shared" si="390"/>
        <v>1.4870774309767123</v>
      </c>
      <c r="AH497" s="730">
        <f t="shared" si="391"/>
        <v>-1.5460109875072536</v>
      </c>
      <c r="AI497" s="731" t="str">
        <f t="shared" si="369"/>
        <v>10000</v>
      </c>
      <c r="AJ497" s="733" t="str">
        <f t="shared" si="392"/>
        <v>1+373290.745821803i</v>
      </c>
      <c r="AK497" s="734">
        <f t="shared" si="393"/>
        <v>373290.74582314247</v>
      </c>
      <c r="AL497" s="735">
        <f t="shared" si="394"/>
        <v>1.5707936479178786</v>
      </c>
      <c r="AM497" s="340" t="str">
        <f t="shared" si="395"/>
        <v>1+633.517288506601i</v>
      </c>
      <c r="AN497" s="734">
        <f t="shared" si="396"/>
        <v>633.51807775055306</v>
      </c>
      <c r="AO497" s="735">
        <f t="shared" si="397"/>
        <v>1.5692178392183127</v>
      </c>
      <c r="AP497" s="733" t="str">
        <f t="shared" si="398"/>
        <v>1+30.7266327386068i</v>
      </c>
      <c r="AQ497" s="734">
        <f t="shared" si="399"/>
        <v>30.742900960274117</v>
      </c>
      <c r="AR497" s="735">
        <f t="shared" si="400"/>
        <v>1.53826275331576</v>
      </c>
      <c r="AS497" s="732" t="str">
        <f t="shared" si="401"/>
        <v>0.000688000528159192-3.7094487582172i</v>
      </c>
      <c r="AT497" s="337">
        <f t="shared" si="402"/>
        <v>3.7094488220197692</v>
      </c>
      <c r="AU497" s="730">
        <f t="shared" si="403"/>
        <v>-1.5706108543527322</v>
      </c>
      <c r="AV497" s="732" t="str">
        <f t="shared" si="404"/>
        <v>-0.0780984713937493+0.0320960280400256i</v>
      </c>
      <c r="AW497" s="337">
        <f t="shared" si="405"/>
        <v>-21.469393276309404</v>
      </c>
      <c r="AX497" s="730">
        <f t="shared" si="406"/>
        <v>157.65887138371318</v>
      </c>
      <c r="AY497" s="360">
        <f t="shared" si="407"/>
        <v>-22.341128616286824</v>
      </c>
      <c r="BB497" s="337">
        <f t="shared" si="408"/>
        <v>-28.61381232704381</v>
      </c>
      <c r="BC497" s="730">
        <f t="shared" si="409"/>
        <v>-89.98937321184799</v>
      </c>
      <c r="BD497" s="351"/>
      <c r="BE497" s="337">
        <f t="shared" si="370"/>
        <v>25.837118497699791</v>
      </c>
      <c r="BF497" s="730">
        <f t="shared" si="371"/>
        <v>-89.739662151865019</v>
      </c>
      <c r="BI497" s="351"/>
      <c r="BJ497" s="351"/>
      <c r="BL497" s="405">
        <f t="shared" si="372"/>
        <v>0</v>
      </c>
      <c r="BM497" s="405">
        <f t="shared" si="410"/>
        <v>0</v>
      </c>
      <c r="BN497" s="405">
        <f t="shared" si="373"/>
        <v>0</v>
      </c>
      <c r="BO497" s="405">
        <f t="shared" si="374"/>
        <v>0</v>
      </c>
    </row>
    <row r="498" spans="4:67" ht="13.5" thickBot="1" x14ac:dyDescent="0.25">
      <c r="D498" s="345">
        <v>63463.25</v>
      </c>
      <c r="E498" s="340" t="str">
        <f t="shared" si="361"/>
        <v>1.05270359025708i</v>
      </c>
      <c r="F498" s="728" t="str">
        <f t="shared" si="375"/>
        <v>0.005-0.041111941599839i</v>
      </c>
      <c r="G498" s="337" t="str">
        <f t="shared" si="376"/>
        <v>0.005-0.0643032932715433i</v>
      </c>
      <c r="H498" s="338" t="str">
        <f t="shared" si="377"/>
        <v>0.00832726227562594-0.0636018033496201i</v>
      </c>
      <c r="I498" s="338" t="str">
        <f t="shared" si="378"/>
        <v>0.0183272622756259-0.0636018033496201i</v>
      </c>
      <c r="J498" s="337" t="str">
        <f t="shared" si="379"/>
        <v>0.0046345953752437-0.0251282172813665i</v>
      </c>
      <c r="K498" s="338" t="str">
        <f t="shared" si="362"/>
        <v>0.955249065549305-0.332292799954887i</v>
      </c>
      <c r="L498" s="732"/>
      <c r="M498" s="732" t="str">
        <f t="shared" si="363"/>
        <v>0.0877820281030019-19.4628965346869i</v>
      </c>
      <c r="N498" s="337">
        <f t="shared" si="364"/>
        <v>0</v>
      </c>
      <c r="O498" s="730" t="str">
        <f t="shared" si="365"/>
        <v>-0.702675227903494-7.48065181509294i</v>
      </c>
      <c r="P498" s="731" t="str">
        <f t="shared" si="366"/>
        <v>-0.488661058866891-0.0924084561440777i</v>
      </c>
      <c r="Q498" s="729" t="str">
        <f t="shared" si="367"/>
        <v>-0.481634306587856-0.0176019379931489i</v>
      </c>
      <c r="R498" s="730"/>
      <c r="S498" s="405" t="str">
        <f t="shared" si="380"/>
        <v>37.6409332508471-12.4305941268451i</v>
      </c>
      <c r="T498" s="405" t="str">
        <f t="shared" si="381"/>
        <v>13.990713660407-6.1998187614507i</v>
      </c>
      <c r="U498" s="405" t="str">
        <f t="shared" si="382"/>
        <v>-0.27781531159568-0.941462135837999i</v>
      </c>
      <c r="V498" s="731" t="str">
        <f t="shared" si="368"/>
        <v>6000</v>
      </c>
      <c r="W498" s="733" t="str">
        <f>IMSUM(COMPLEX(1,0),IMDIV(COMPLEX(0,2*PI()*D498),COMPLEX(2*PI()*'Stability Calculations'!EA_Pole1,0)))</f>
        <v>1+402738.873545324i</v>
      </c>
      <c r="X498" s="734">
        <f t="shared" si="383"/>
        <v>402738.87354656553</v>
      </c>
      <c r="Y498" s="735">
        <f t="shared" si="384"/>
        <v>1.5707938437964435</v>
      </c>
      <c r="Z498" s="340" t="str">
        <f>IMSUM(COMPLEX(1,0),IMDIV(COMPLEX(0,2*PI()*D498),COMPLEX(2*PI()*'Stability Calculations'!EA_Zero1,0)))</f>
        <v>1+3987.51359945865i</v>
      </c>
      <c r="AA498" s="734">
        <f t="shared" si="385"/>
        <v>3987.51372485007</v>
      </c>
      <c r="AB498" s="735">
        <f t="shared" si="386"/>
        <v>1.5705455439563951</v>
      </c>
      <c r="AC498" s="733" t="str">
        <f>IMSUM(COMPLEX(1,0),IMDIV(COMPLEX(0,2*PI()*D498),COMPLEX(2*PI()*'Stability Calculations'!EA_Pole2,0)))</f>
        <v>1+40.1680433022788i</v>
      </c>
      <c r="AD498" s="734">
        <f t="shared" si="387"/>
        <v>40.18048908032037</v>
      </c>
      <c r="AE498" s="735">
        <f t="shared" si="388"/>
        <v>1.5459060558046831</v>
      </c>
      <c r="AF498" s="732" t="str">
        <f t="shared" si="389"/>
        <v>0.0364289088352285-1.4780284734079i</v>
      </c>
      <c r="AG498" s="337">
        <f t="shared" si="390"/>
        <v>1.4784773361818613</v>
      </c>
      <c r="AH498" s="730">
        <f t="shared" si="391"/>
        <v>-1.5461543556447317</v>
      </c>
      <c r="AI498" s="731" t="str">
        <f t="shared" si="369"/>
        <v>10000</v>
      </c>
      <c r="AJ498" s="733" t="str">
        <f t="shared" si="392"/>
        <v>1+375463.483022308i</v>
      </c>
      <c r="AK498" s="734">
        <f t="shared" si="393"/>
        <v>375463.48302363971</v>
      </c>
      <c r="AL498" s="735">
        <f t="shared" si="394"/>
        <v>1.5707936634200408</v>
      </c>
      <c r="AM498" s="340" t="str">
        <f t="shared" si="395"/>
        <v>1+637.204673193492i</v>
      </c>
      <c r="AN498" s="734">
        <f t="shared" si="396"/>
        <v>637.20545787024218</v>
      </c>
      <c r="AO498" s="735">
        <f t="shared" si="397"/>
        <v>1.5692269736166915</v>
      </c>
      <c r="AP498" s="733" t="str">
        <f t="shared" si="398"/>
        <v>1+30.9054769739506i</v>
      </c>
      <c r="AQ498" s="734">
        <f t="shared" si="399"/>
        <v>30.92165110383646</v>
      </c>
      <c r="AR498" s="735">
        <f t="shared" si="400"/>
        <v>1.5384508873754648</v>
      </c>
      <c r="AS498" s="732" t="str">
        <f t="shared" si="401"/>
        <v>0.000680060905983344-3.6879828710535i</v>
      </c>
      <c r="AT498" s="337">
        <f t="shared" si="402"/>
        <v>3.6879829337548258</v>
      </c>
      <c r="AU498" s="730">
        <f t="shared" si="403"/>
        <v>-1.570611927647164</v>
      </c>
      <c r="AV498" s="732" t="str">
        <f t="shared" si="404"/>
        <v>-0.077101418165438+0.0319010055509276i</v>
      </c>
      <c r="AW498" s="337">
        <f t="shared" si="405"/>
        <v>-21.572470901964607</v>
      </c>
      <c r="AX498" s="730">
        <f t="shared" si="406"/>
        <v>157.52248782901205</v>
      </c>
      <c r="AY498" s="360">
        <f t="shared" si="407"/>
        <v>-22.47751217098795</v>
      </c>
      <c r="BB498" s="337">
        <f t="shared" si="408"/>
        <v>-28.664221946474747</v>
      </c>
      <c r="BC498" s="730">
        <f t="shared" si="409"/>
        <v>-89.989434707089117</v>
      </c>
      <c r="BD498" s="351"/>
      <c r="BE498" s="337">
        <f t="shared" si="370"/>
        <v>25.784237822403959</v>
      </c>
      <c r="BF498" s="730">
        <f t="shared" si="371"/>
        <v>-89.741584937523811</v>
      </c>
      <c r="BI498" s="351"/>
      <c r="BJ498" s="351"/>
      <c r="BL498" s="405">
        <f t="shared" si="372"/>
        <v>0</v>
      </c>
      <c r="BM498" s="405">
        <f t="shared" si="410"/>
        <v>0</v>
      </c>
      <c r="BN498" s="405">
        <f t="shared" si="373"/>
        <v>0</v>
      </c>
      <c r="BO498" s="405">
        <f t="shared" si="374"/>
        <v>0</v>
      </c>
    </row>
    <row r="499" spans="4:67" ht="13.5" thickBot="1" x14ac:dyDescent="0.25">
      <c r="D499" s="345">
        <v>63830.5</v>
      </c>
      <c r="E499" s="340" t="str">
        <f t="shared" si="361"/>
        <v>1.05879538973981i</v>
      </c>
      <c r="F499" s="728" t="str">
        <f t="shared" si="375"/>
        <v>0.005-0.0408754032591941i</v>
      </c>
      <c r="G499" s="337" t="str">
        <f t="shared" si="376"/>
        <v>0.005-0.0639333230464319i</v>
      </c>
      <c r="H499" s="338" t="str">
        <f t="shared" si="377"/>
        <v>0.00828895559468962-0.0632378738587223i</v>
      </c>
      <c r="I499" s="338" t="str">
        <f t="shared" si="378"/>
        <v>0.0182889555946896-0.0632378738587223i</v>
      </c>
      <c r="J499" s="337" t="str">
        <f t="shared" si="379"/>
        <v>0.00462855296512617-0.0249845461956046i</v>
      </c>
      <c r="K499" s="338" t="str">
        <f t="shared" si="362"/>
        <v>0.954729636330556-0.334215716458272i</v>
      </c>
      <c r="L499" s="732"/>
      <c r="M499" s="732" t="str">
        <f t="shared" si="363"/>
        <v>0.0866132553453722-19.3455110582857i</v>
      </c>
      <c r="N499" s="337">
        <f t="shared" si="364"/>
        <v>0</v>
      </c>
      <c r="O499" s="730" t="str">
        <f t="shared" si="365"/>
        <v>-0.69992973592225-7.43442035802948i</v>
      </c>
      <c r="P499" s="731" t="str">
        <f t="shared" si="366"/>
        <v>-0.48293792067347-0.0917057154500374i</v>
      </c>
      <c r="Q499" s="729" t="str">
        <f t="shared" si="367"/>
        <v>-0.475938623314247-0.0173615118697429i</v>
      </c>
      <c r="R499" s="730"/>
      <c r="S499" s="405" t="str">
        <f t="shared" si="380"/>
        <v>37.6101855983355-12.5063077990926i</v>
      </c>
      <c r="T499" s="405" t="str">
        <f t="shared" si="381"/>
        <v>13.9731040970695-6.22944993539978i</v>
      </c>
      <c r="U499" s="405" t="str">
        <f t="shared" si="382"/>
        <v>-0.278114729843451-0.935265028199144i</v>
      </c>
      <c r="V499" s="731" t="str">
        <f t="shared" si="368"/>
        <v>6000</v>
      </c>
      <c r="W499" s="733" t="str">
        <f>IMSUM(COMPLEX(1,0),IMDIV(COMPLEX(0,2*PI()*D499),COMPLEX(2*PI()*'Stability Calculations'!EA_Pole1,0)))</f>
        <v>1+405069.448347426i</v>
      </c>
      <c r="X499" s="734">
        <f t="shared" si="383"/>
        <v>405069.44834866043</v>
      </c>
      <c r="Y499" s="735">
        <f t="shared" si="384"/>
        <v>1.5707938580824226</v>
      </c>
      <c r="Z499" s="340" t="str">
        <f>IMSUM(COMPLEX(1,0),IMDIV(COMPLEX(0,2*PI()*D499),COMPLEX(2*PI()*'Stability Calculations'!EA_Zero1,0)))</f>
        <v>1+4010.58859749927i</v>
      </c>
      <c r="AA499" s="734">
        <f t="shared" si="385"/>
        <v>4010.5887221692478</v>
      </c>
      <c r="AB499" s="735">
        <f t="shared" si="386"/>
        <v>1.5705469868401827</v>
      </c>
      <c r="AC499" s="733" t="str">
        <f>IMSUM(COMPLEX(1,0),IMDIV(COMPLEX(0,2*PI()*D499),COMPLEX(2*PI()*'Stability Calculations'!EA_Pole2,0)))</f>
        <v>1+40.400488282685i</v>
      </c>
      <c r="AD499" s="734">
        <f t="shared" si="387"/>
        <v>40.412862475694148</v>
      </c>
      <c r="AE499" s="735">
        <f t="shared" si="388"/>
        <v>1.5460492038235736</v>
      </c>
      <c r="AF499" s="732" t="str">
        <f t="shared" si="389"/>
        <v>0.0360111818248698-1.46953494801905i</v>
      </c>
      <c r="AG499" s="337">
        <f t="shared" si="390"/>
        <v>1.4699761115969796</v>
      </c>
      <c r="AH499" s="730">
        <f t="shared" si="391"/>
        <v>-1.5462960750658137</v>
      </c>
      <c r="AI499" s="731" t="str">
        <f t="shared" si="369"/>
        <v>10000</v>
      </c>
      <c r="AJ499" s="733" t="str">
        <f t="shared" si="392"/>
        <v>1+377636.220222813i</v>
      </c>
      <c r="AK499" s="734">
        <f t="shared" si="393"/>
        <v>377636.22022413707</v>
      </c>
      <c r="AL499" s="735">
        <f t="shared" si="394"/>
        <v>1.5707936787438188</v>
      </c>
      <c r="AM499" s="340" t="str">
        <f t="shared" si="395"/>
        <v>1+640.892057880383i</v>
      </c>
      <c r="AN499" s="734">
        <f t="shared" si="396"/>
        <v>640.89283804248612</v>
      </c>
      <c r="AO499" s="735">
        <f t="shared" si="397"/>
        <v>1.5692360029054568</v>
      </c>
      <c r="AP499" s="733" t="str">
        <f t="shared" si="398"/>
        <v>1+31.0843212092945i</v>
      </c>
      <c r="AQ499" s="734">
        <f t="shared" si="399"/>
        <v>31.100402329272139</v>
      </c>
      <c r="AR499" s="735">
        <f t="shared" si="400"/>
        <v>1.5386368588205523</v>
      </c>
      <c r="AS499" s="732" t="str">
        <f t="shared" si="401"/>
        <v>0.000672257931485433-3.66676399264773i</v>
      </c>
      <c r="AT499" s="337">
        <f t="shared" si="402"/>
        <v>3.6667640542730107</v>
      </c>
      <c r="AU499" s="730">
        <f t="shared" si="403"/>
        <v>-1.5706129885911559</v>
      </c>
      <c r="AV499" s="732" t="str">
        <f t="shared" si="404"/>
        <v>-0.0761215832400713+0.0317079771728501i</v>
      </c>
      <c r="AW499" s="337">
        <f t="shared" si="405"/>
        <v>-21.674980327802306</v>
      </c>
      <c r="AX499" s="730">
        <f t="shared" si="406"/>
        <v>157.38613134617196</v>
      </c>
      <c r="AY499" s="360">
        <f t="shared" si="407"/>
        <v>-22.613868653828035</v>
      </c>
      <c r="BB499" s="337">
        <f t="shared" si="408"/>
        <v>-28.714340694837645</v>
      </c>
      <c r="BC499" s="730">
        <f t="shared" si="409"/>
        <v>-89.989495494702155</v>
      </c>
      <c r="BD499" s="351"/>
      <c r="BE499" s="337">
        <f t="shared" si="370"/>
        <v>25.731691196785917</v>
      </c>
      <c r="BF499" s="730">
        <f t="shared" si="371"/>
        <v>-89.743478432376946</v>
      </c>
      <c r="BI499" s="351"/>
      <c r="BJ499" s="351"/>
      <c r="BL499" s="405">
        <f t="shared" si="372"/>
        <v>0</v>
      </c>
      <c r="BM499" s="405">
        <f t="shared" si="410"/>
        <v>0</v>
      </c>
      <c r="BN499" s="405">
        <f t="shared" si="373"/>
        <v>0</v>
      </c>
      <c r="BO499" s="405">
        <f t="shared" si="374"/>
        <v>0</v>
      </c>
    </row>
    <row r="500" spans="4:67" ht="13.5" thickBot="1" x14ac:dyDescent="0.25">
      <c r="D500" s="345">
        <v>64197.75</v>
      </c>
      <c r="E500" s="340" t="str">
        <f t="shared" si="361"/>
        <v>1.06488718922253i</v>
      </c>
      <c r="F500" s="728" t="str">
        <f t="shared" si="375"/>
        <v>0.005-0.0406415712036012i</v>
      </c>
      <c r="G500" s="337" t="str">
        <f t="shared" si="376"/>
        <v>0.005-0.0635675857287097i</v>
      </c>
      <c r="H500" s="338" t="str">
        <f t="shared" si="377"/>
        <v>0.00825130207689752-0.0628780741755392i</v>
      </c>
      <c r="I500" s="338" t="str">
        <f t="shared" si="378"/>
        <v>0.0182513020768975-0.0628780741755392i</v>
      </c>
      <c r="J500" s="337" t="str">
        <f t="shared" si="379"/>
        <v>0.00462261060431665-0.0248425207069831i</v>
      </c>
      <c r="K500" s="338" t="str">
        <f t="shared" si="362"/>
        <v>0.95420720994375-0.336138632961657i</v>
      </c>
      <c r="L500" s="732"/>
      <c r="M500" s="732" t="str">
        <f t="shared" si="363"/>
        <v>0.0854682365825401-19.2295634207409i</v>
      </c>
      <c r="N500" s="337">
        <f t="shared" si="364"/>
        <v>0</v>
      </c>
      <c r="O500" s="730" t="str">
        <f t="shared" si="365"/>
        <v>-0.697227106694492-7.38875108120746i</v>
      </c>
      <c r="P500" s="731" t="str">
        <f t="shared" si="366"/>
        <v>-0.477315741089243-0.0910140302221876i</v>
      </c>
      <c r="Q500" s="729" t="str">
        <f t="shared" si="367"/>
        <v>-0.470343470022298-0.017126519410113i</v>
      </c>
      <c r="R500" s="730"/>
      <c r="S500" s="405" t="str">
        <f t="shared" si="380"/>
        <v>37.5792518138567-12.5819103399892i</v>
      </c>
      <c r="T500" s="405" t="str">
        <f t="shared" si="381"/>
        <v>13.9554046799164-6.25904071962129i</v>
      </c>
      <c r="U500" s="405" t="str">
        <f t="shared" si="382"/>
        <v>-0.27840616701673-0.929134206302651i</v>
      </c>
      <c r="V500" s="731" t="str">
        <f t="shared" si="368"/>
        <v>6000</v>
      </c>
      <c r="W500" s="733" t="str">
        <f>IMSUM(COMPLEX(1,0),IMDIV(COMPLEX(0,2*PI()*D500),COMPLEX(2*PI()*'Stability Calculations'!EA_Pole1,0)))</f>
        <v>1+407400.023149528i</v>
      </c>
      <c r="X500" s="734">
        <f t="shared" si="383"/>
        <v>407400.02315075533</v>
      </c>
      <c r="Y500" s="735">
        <f t="shared" si="384"/>
        <v>1.5707938722049526</v>
      </c>
      <c r="Z500" s="340" t="str">
        <f>IMSUM(COMPLEX(1,0),IMDIV(COMPLEX(0,2*PI()*D500),COMPLEX(2*PI()*'Stability Calculations'!EA_Zero1,0)))</f>
        <v>1+4033.66359553988i</v>
      </c>
      <c r="AA500" s="734">
        <f t="shared" si="385"/>
        <v>4033.6637194966702</v>
      </c>
      <c r="AB500" s="735">
        <f t="shared" si="386"/>
        <v>1.5705484132156338</v>
      </c>
      <c r="AC500" s="733" t="str">
        <f>IMSUM(COMPLEX(1,0),IMDIV(COMPLEX(0,2*PI()*D500),COMPLEX(2*PI()*'Stability Calculations'!EA_Pole2,0)))</f>
        <v>1+40.6329332630911i</v>
      </c>
      <c r="AD500" s="734">
        <f t="shared" si="387"/>
        <v>40.645236689713279</v>
      </c>
      <c r="AE500" s="735">
        <f t="shared" si="388"/>
        <v>1.5461907150528811</v>
      </c>
      <c r="AF500" s="732" t="str">
        <f t="shared" si="389"/>
        <v>0.0356005974576301-1.46113842306145i</v>
      </c>
      <c r="AG500" s="337">
        <f t="shared" si="390"/>
        <v>1.4615720625018256</v>
      </c>
      <c r="AH500" s="730">
        <f t="shared" si="391"/>
        <v>-1.5464361740422001</v>
      </c>
      <c r="AI500" s="731" t="str">
        <f t="shared" si="369"/>
        <v>10000</v>
      </c>
      <c r="AJ500" s="733" t="str">
        <f t="shared" si="392"/>
        <v>1+379808.957423317i</v>
      </c>
      <c r="AK500" s="734">
        <f t="shared" si="393"/>
        <v>379808.9574246335</v>
      </c>
      <c r="AL500" s="735">
        <f t="shared" si="394"/>
        <v>1.5707936938922742</v>
      </c>
      <c r="AM500" s="340" t="str">
        <f t="shared" si="395"/>
        <v>1+644.579442567273i</v>
      </c>
      <c r="AN500" s="734">
        <f t="shared" si="396"/>
        <v>644.58021826638185</v>
      </c>
      <c r="AO500" s="735">
        <f t="shared" si="397"/>
        <v>1.5692449288884749</v>
      </c>
      <c r="AP500" s="733" t="str">
        <f t="shared" si="398"/>
        <v>1+31.2631654446382i</v>
      </c>
      <c r="AQ500" s="734">
        <f t="shared" si="399"/>
        <v>31.279154618033076</v>
      </c>
      <c r="AR500" s="735">
        <f t="shared" si="400"/>
        <v>1.5388207047143989</v>
      </c>
      <c r="AS500" s="732" t="str">
        <f t="shared" si="401"/>
        <v>0.000664588486796748-3.6457878838815i</v>
      </c>
      <c r="AT500" s="337">
        <f t="shared" si="402"/>
        <v>3.6457879444552175</v>
      </c>
      <c r="AU500" s="730">
        <f t="shared" si="403"/>
        <v>-1.5706140373966644</v>
      </c>
      <c r="AV500" s="732" t="str">
        <f t="shared" si="404"/>
        <v>-0.0751585738579926+0.0315169120530973i</v>
      </c>
      <c r="AW500" s="337">
        <f t="shared" si="405"/>
        <v>-21.776928267614124</v>
      </c>
      <c r="AX500" s="730">
        <f t="shared" si="406"/>
        <v>157.24980136280234</v>
      </c>
      <c r="AY500" s="360">
        <f t="shared" si="407"/>
        <v>-22.750198637197656</v>
      </c>
      <c r="BB500" s="337">
        <f t="shared" si="408"/>
        <v>-28.764171909623162</v>
      </c>
      <c r="BC500" s="730">
        <f t="shared" si="409"/>
        <v>-89.989555586831315</v>
      </c>
      <c r="BD500" s="351"/>
      <c r="BE500" s="337">
        <f t="shared" si="370"/>
        <v>25.679474279285625</v>
      </c>
      <c r="BF500" s="730">
        <f t="shared" si="371"/>
        <v>-89.745343308853393</v>
      </c>
      <c r="BI500" s="351"/>
      <c r="BJ500" s="351"/>
      <c r="BL500" s="405">
        <f t="shared" si="372"/>
        <v>0</v>
      </c>
      <c r="BM500" s="405">
        <f t="shared" si="410"/>
        <v>0</v>
      </c>
      <c r="BN500" s="405">
        <f t="shared" si="373"/>
        <v>0</v>
      </c>
      <c r="BO500" s="405">
        <f t="shared" si="374"/>
        <v>0</v>
      </c>
    </row>
    <row r="501" spans="4:67" ht="13.5" thickBot="1" x14ac:dyDescent="0.25">
      <c r="D501" s="345">
        <v>64565</v>
      </c>
      <c r="E501" s="340" t="str">
        <f t="shared" si="361"/>
        <v>1.07097898870525i</v>
      </c>
      <c r="F501" s="728" t="str">
        <f t="shared" si="375"/>
        <v>0.005-0.040410399252474i</v>
      </c>
      <c r="G501" s="337" t="str">
        <f t="shared" si="376"/>
        <v>0.005-0.0632060090872033i</v>
      </c>
      <c r="H501" s="338" t="str">
        <f t="shared" si="377"/>
        <v>0.00821428696999236-0.0625223345914547i</v>
      </c>
      <c r="I501" s="338" t="str">
        <f t="shared" si="378"/>
        <v>0.0182142869699924-0.0625223345914547i</v>
      </c>
      <c r="J501" s="337" t="str">
        <f t="shared" si="379"/>
        <v>0.00461676600963835-0.0247021127706938i</v>
      </c>
      <c r="K501" s="338" t="str">
        <f t="shared" si="362"/>
        <v>0.953681786388889-0.338061549465042i</v>
      </c>
      <c r="L501" s="732"/>
      <c r="M501" s="732" t="str">
        <f t="shared" si="363"/>
        <v>0.0843463220282514-19.1150268660036i</v>
      </c>
      <c r="N501" s="337">
        <f t="shared" si="364"/>
        <v>0</v>
      </c>
      <c r="O501" s="730" t="str">
        <f t="shared" si="365"/>
        <v>-0.694566345452635-7.34363350778117i</v>
      </c>
      <c r="P501" s="731" t="str">
        <f t="shared" si="366"/>
        <v>-0.471792142026284-0.0903331386668244i</v>
      </c>
      <c r="Q501" s="729" t="str">
        <f t="shared" si="367"/>
        <v>-0.464846478571757-0.0168968035890128i</v>
      </c>
      <c r="R501" s="730"/>
      <c r="S501" s="405" t="str">
        <f t="shared" si="380"/>
        <v>37.5481320114015-12.6574019402312i</v>
      </c>
      <c r="T501" s="405" t="str">
        <f t="shared" si="381"/>
        <v>13.9376155405241-6.2885905047795i</v>
      </c>
      <c r="U501" s="405" t="str">
        <f t="shared" si="382"/>
        <v>-0.278689785921178-0.923068549274733i</v>
      </c>
      <c r="V501" s="731" t="str">
        <f t="shared" si="368"/>
        <v>6000</v>
      </c>
      <c r="W501" s="733" t="str">
        <f>IMSUM(COMPLEX(1,0),IMDIV(COMPLEX(0,2*PI()*D501),COMPLEX(2*PI()*'Stability Calculations'!EA_Pole1,0)))</f>
        <v>1+409730.597951631i</v>
      </c>
      <c r="X501" s="734">
        <f t="shared" si="383"/>
        <v>409730.59795285127</v>
      </c>
      <c r="Y501" s="735">
        <f t="shared" si="384"/>
        <v>1.5707938861668229</v>
      </c>
      <c r="Z501" s="340" t="str">
        <f>IMSUM(COMPLEX(1,0),IMDIV(COMPLEX(0,2*PI()*D501),COMPLEX(2*PI()*'Stability Calculations'!EA_Zero1,0)))</f>
        <v>1+4056.7385935805i</v>
      </c>
      <c r="AA501" s="734">
        <f t="shared" si="385"/>
        <v>4056.7387168322157</v>
      </c>
      <c r="AB501" s="735">
        <f t="shared" si="386"/>
        <v>1.5705498233644493</v>
      </c>
      <c r="AC501" s="733" t="str">
        <f>IMSUM(COMPLEX(1,0),IMDIV(COMPLEX(0,2*PI()*D501),COMPLEX(2*PI()*'Stability Calculations'!EA_Pole2,0)))</f>
        <v>1+40.8653782434973i</v>
      </c>
      <c r="AD501" s="734">
        <f t="shared" si="387"/>
        <v>40.8776117084169</v>
      </c>
      <c r="AE501" s="735">
        <f t="shared" si="388"/>
        <v>1.5463306174006293</v>
      </c>
      <c r="AF501" s="732" t="str">
        <f t="shared" si="389"/>
        <v>0.0351969938478473-1.45283724726187i</v>
      </c>
      <c r="AG501" s="337">
        <f t="shared" si="390"/>
        <v>1.4532635326764973</v>
      </c>
      <c r="AH501" s="730">
        <f t="shared" si="391"/>
        <v>-1.5465746802030029</v>
      </c>
      <c r="AI501" s="731" t="str">
        <f t="shared" si="369"/>
        <v>10000</v>
      </c>
      <c r="AJ501" s="733" t="str">
        <f t="shared" si="392"/>
        <v>1+381981.694623823i</v>
      </c>
      <c r="AK501" s="734">
        <f t="shared" si="393"/>
        <v>381981.69462513196</v>
      </c>
      <c r="AL501" s="735">
        <f t="shared" si="394"/>
        <v>1.570793708868399</v>
      </c>
      <c r="AM501" s="340" t="str">
        <f t="shared" si="395"/>
        <v>1+648.266827254164i</v>
      </c>
      <c r="AN501" s="734">
        <f t="shared" si="396"/>
        <v>648.26759854105012</v>
      </c>
      <c r="AO501" s="735">
        <f t="shared" si="397"/>
        <v>1.5692537533285698</v>
      </c>
      <c r="AP501" s="733" t="str">
        <f t="shared" si="398"/>
        <v>1+31.4420096799821i</v>
      </c>
      <c r="AQ501" s="734">
        <f t="shared" si="399"/>
        <v>31.457907951993377</v>
      </c>
      <c r="AR501" s="735">
        <f t="shared" si="400"/>
        <v>1.539002461278542</v>
      </c>
      <c r="AS501" s="732" t="str">
        <f t="shared" si="401"/>
        <v>0.000657049542468874-3.62505040208593i</v>
      </c>
      <c r="AT501" s="337">
        <f t="shared" si="402"/>
        <v>3.6250504616318748</v>
      </c>
      <c r="AU501" s="730">
        <f t="shared" si="403"/>
        <v>-1.5706150742708227</v>
      </c>
      <c r="AV501" s="732" t="str">
        <f t="shared" si="404"/>
        <v>-0.0742120084069736+0.031327779946413i</v>
      </c>
      <c r="AW501" s="337">
        <f t="shared" si="405"/>
        <v>-21.878321320602613</v>
      </c>
      <c r="AX501" s="730">
        <f t="shared" si="406"/>
        <v>157.11349732108991</v>
      </c>
      <c r="AY501" s="360">
        <f t="shared" si="407"/>
        <v>-22.886502678910091</v>
      </c>
      <c r="BB501" s="337">
        <f t="shared" si="408"/>
        <v>-28.813718871207413</v>
      </c>
      <c r="BC501" s="730">
        <f t="shared" si="409"/>
        <v>-89.989614995344468</v>
      </c>
      <c r="BD501" s="351"/>
      <c r="BE501" s="337">
        <f t="shared" si="370"/>
        <v>25.627582814581036</v>
      </c>
      <c r="BF501" s="730">
        <f t="shared" si="371"/>
        <v>-89.747180219071979</v>
      </c>
      <c r="BI501" s="351"/>
      <c r="BJ501" s="351"/>
      <c r="BL501" s="405">
        <f t="shared" si="372"/>
        <v>0</v>
      </c>
      <c r="BM501" s="405">
        <f t="shared" si="410"/>
        <v>0</v>
      </c>
      <c r="BN501" s="405">
        <f t="shared" si="373"/>
        <v>0</v>
      </c>
      <c r="BO501" s="405">
        <f t="shared" si="374"/>
        <v>0</v>
      </c>
    </row>
    <row r="502" spans="4:67" ht="13.5" thickBot="1" x14ac:dyDescent="0.25">
      <c r="D502" s="345">
        <v>64941</v>
      </c>
      <c r="E502" s="340" t="str">
        <f t="shared" si="361"/>
        <v>1.07721592976857i</v>
      </c>
      <c r="F502" s="728" t="str">
        <f t="shared" si="375"/>
        <v>0.005-0.0401764282615912i</v>
      </c>
      <c r="G502" s="337" t="str">
        <f t="shared" si="376"/>
        <v>0.005-0.0628400544604375i</v>
      </c>
      <c r="H502" s="338" t="str">
        <f t="shared" si="377"/>
        <v>0.00817703638862573-0.0621622544460133i</v>
      </c>
      <c r="I502" s="338" t="str">
        <f t="shared" si="378"/>
        <v>0.0181770363886257-0.0621622544460133i</v>
      </c>
      <c r="J502" s="337" t="str">
        <f t="shared" si="379"/>
        <v>0.00461088113454394-0.024560006712282i</v>
      </c>
      <c r="K502" s="338" t="str">
        <f t="shared" si="362"/>
        <v>0.9531407391-0.340030280861291i</v>
      </c>
      <c r="L502" s="732"/>
      <c r="M502" s="732" t="str">
        <f t="shared" si="363"/>
        <v>0.083220958357967-18.9991960715768i</v>
      </c>
      <c r="N502" s="337">
        <f t="shared" si="364"/>
        <v>0</v>
      </c>
      <c r="O502" s="730" t="str">
        <f t="shared" si="365"/>
        <v>-0.69188455663057-7.2980018884352i</v>
      </c>
      <c r="P502" s="731" t="str">
        <f t="shared" si="366"/>
        <v>-0.466236661098996-0.089646942033809i</v>
      </c>
      <c r="Q502" s="729" t="str">
        <f t="shared" si="367"/>
        <v>-0.459317815532691-0.0166669231494572i</v>
      </c>
      <c r="R502" s="730"/>
      <c r="S502" s="405" t="str">
        <f t="shared" si="380"/>
        <v>37.5160781556175-12.7345774262877i</v>
      </c>
      <c r="T502" s="405" t="str">
        <f t="shared" si="381"/>
        <v>13.919309747612-6.31880122986715i</v>
      </c>
      <c r="U502" s="405" t="str">
        <f t="shared" si="382"/>
        <v>-0.278972227534008-0.916924741833054i</v>
      </c>
      <c r="V502" s="731" t="str">
        <f t="shared" si="368"/>
        <v>6000</v>
      </c>
      <c r="W502" s="733" t="str">
        <f>IMSUM(COMPLEX(1,0),IMDIV(COMPLEX(0,2*PI()*D502),COMPLEX(2*PI()*'Stability Calculations'!EA_Pole1,0)))</f>
        <v>1+412116.700403885i</v>
      </c>
      <c r="X502" s="734">
        <f t="shared" si="383"/>
        <v>412116.70040509821</v>
      </c>
      <c r="Y502" s="735">
        <f t="shared" si="384"/>
        <v>1.5707939002977442</v>
      </c>
      <c r="Z502" s="340" t="str">
        <f>IMSUM(COMPLEX(1,0),IMDIV(COMPLEX(0,2*PI()*D502),COMPLEX(2*PI()*'Stability Calculations'!EA_Zero1,0)))</f>
        <v>1+4080.36337033549i</v>
      </c>
      <c r="AA502" s="734">
        <f t="shared" si="385"/>
        <v>4080.3634928735942</v>
      </c>
      <c r="AB502" s="735">
        <f t="shared" si="386"/>
        <v>1.5705512505874075</v>
      </c>
      <c r="AC502" s="733" t="str">
        <f>IMSUM(COMPLEX(1,0),IMDIV(COMPLEX(0,2*PI()*D502),COMPLEX(2*PI()*'Stability Calculations'!EA_Pole2,0)))</f>
        <v>1+41.1033613956626i</v>
      </c>
      <c r="AD502" s="734">
        <f t="shared" si="387"/>
        <v>41.115524051414532</v>
      </c>
      <c r="AE502" s="735">
        <f t="shared" si="388"/>
        <v>1.5464722146672789</v>
      </c>
      <c r="AF502" s="732" t="str">
        <f t="shared" si="389"/>
        <v>0.0347908420478059-1.4444353885192i</v>
      </c>
      <c r="AG502" s="337">
        <f t="shared" si="390"/>
        <v>1.4448543159422711</v>
      </c>
      <c r="AH502" s="730">
        <f t="shared" si="391"/>
        <v>-1.5467148643776156</v>
      </c>
      <c r="AI502" s="731" t="str">
        <f t="shared" si="369"/>
        <v>10000</v>
      </c>
      <c r="AJ502" s="733" t="str">
        <f t="shared" si="392"/>
        <v>1+384206.198878117i</v>
      </c>
      <c r="AK502" s="734">
        <f t="shared" si="393"/>
        <v>384206.19887941837</v>
      </c>
      <c r="AL502" s="735">
        <f t="shared" si="394"/>
        <v>1.5707937240258552</v>
      </c>
      <c r="AM502" s="340" t="str">
        <f t="shared" si="395"/>
        <v>1+652.042066579611i</v>
      </c>
      <c r="AN502" s="734">
        <f t="shared" si="396"/>
        <v>652.0428334008509</v>
      </c>
      <c r="AO502" s="735">
        <f t="shared" si="397"/>
        <v>1.5692626846156028</v>
      </c>
      <c r="AP502" s="733" t="str">
        <f t="shared" si="398"/>
        <v>1+31.6251150101094i</v>
      </c>
      <c r="AQ502" s="734">
        <f t="shared" si="399"/>
        <v>31.640921279296638</v>
      </c>
      <c r="AR502" s="735">
        <f t="shared" si="400"/>
        <v>1.5391864206984984</v>
      </c>
      <c r="AS502" s="732" t="str">
        <f t="shared" si="401"/>
        <v>0.000649463104798994-3.60406182996041i</v>
      </c>
      <c r="AT502" s="337">
        <f t="shared" si="402"/>
        <v>3.6040618884780411</v>
      </c>
      <c r="AU502" s="730">
        <f t="shared" si="403"/>
        <v>-1.5706161236994973</v>
      </c>
      <c r="AV502" s="732" t="str">
        <f t="shared" si="404"/>
        <v>-0.0732595394357112+0.0311361133135357i</v>
      </c>
      <c r="AW502" s="337">
        <f t="shared" si="405"/>
        <v>-21.981562035680358</v>
      </c>
      <c r="AX502" s="730">
        <f t="shared" si="406"/>
        <v>156.97397204438892</v>
      </c>
      <c r="AY502" s="360">
        <f t="shared" si="407"/>
        <v>-23.026027955611085</v>
      </c>
      <c r="BB502" s="337">
        <f t="shared" si="408"/>
        <v>-28.864155199621241</v>
      </c>
      <c r="BC502" s="730">
        <f t="shared" si="409"/>
        <v>-89.989675123178429</v>
      </c>
      <c r="BD502" s="351"/>
      <c r="BE502" s="337">
        <f t="shared" si="370"/>
        <v>25.574787818686726</v>
      </c>
      <c r="BF502" s="730">
        <f t="shared" si="371"/>
        <v>-89.749032581783837</v>
      </c>
      <c r="BI502" s="351"/>
      <c r="BJ502" s="351"/>
      <c r="BL502" s="405">
        <f t="shared" si="372"/>
        <v>0</v>
      </c>
      <c r="BM502" s="405">
        <f t="shared" si="410"/>
        <v>0</v>
      </c>
      <c r="BN502" s="405">
        <f t="shared" si="373"/>
        <v>0</v>
      </c>
      <c r="BO502" s="405">
        <f t="shared" si="374"/>
        <v>0</v>
      </c>
    </row>
    <row r="503" spans="4:67" ht="13.5" thickBot="1" x14ac:dyDescent="0.25">
      <c r="D503" s="345">
        <v>65317</v>
      </c>
      <c r="E503" s="340" t="str">
        <f t="shared" si="361"/>
        <v>1.08345287083189i</v>
      </c>
      <c r="F503" s="728" t="str">
        <f t="shared" si="375"/>
        <v>0.005-0.0399451509979942i</v>
      </c>
      <c r="G503" s="337" t="str">
        <f t="shared" si="376"/>
        <v>0.005-0.0624783130994269i</v>
      </c>
      <c r="H503" s="338" t="str">
        <f t="shared" si="377"/>
        <v>0.00814042501979115-0.0618062872424177i</v>
      </c>
      <c r="I503" s="338" t="str">
        <f t="shared" si="378"/>
        <v>0.0181404250197911-0.0618062872424177i</v>
      </c>
      <c r="J503" s="337" t="str">
        <f t="shared" si="379"/>
        <v>0.00460509410063741-0.0244195387223811i</v>
      </c>
      <c r="K503" s="338" t="str">
        <f t="shared" si="362"/>
        <v>0.952596550122222-0.341999012257541i</v>
      </c>
      <c r="L503" s="732"/>
      <c r="M503" s="732" t="str">
        <f t="shared" si="363"/>
        <v>0.0821185049855292-18.8847897702327i</v>
      </c>
      <c r="N503" s="337">
        <f t="shared" si="364"/>
        <v>0</v>
      </c>
      <c r="O503" s="730" t="str">
        <f t="shared" si="365"/>
        <v>-0.689244633836544-7.25292718614075i</v>
      </c>
      <c r="P503" s="731" t="str">
        <f t="shared" si="366"/>
        <v>-0.460779691615362-0.0889715299749946i</v>
      </c>
      <c r="Q503" s="729" t="str">
        <f t="shared" si="367"/>
        <v>-0.453887245276997-0.0164422581135872i</v>
      </c>
      <c r="R503" s="730"/>
      <c r="S503" s="405" t="str">
        <f t="shared" si="380"/>
        <v>37.4838295495977-12.8116369693809i</v>
      </c>
      <c r="T503" s="405" t="str">
        <f t="shared" si="381"/>
        <v>13.9009101931653-6.34896770727546i</v>
      </c>
      <c r="U503" s="405" t="str">
        <f t="shared" si="382"/>
        <v>-0.27924680467439-0.910846943903986i</v>
      </c>
      <c r="V503" s="731" t="str">
        <f t="shared" si="368"/>
        <v>6000</v>
      </c>
      <c r="W503" s="733" t="str">
        <f>IMSUM(COMPLEX(1,0),IMDIV(COMPLEX(0,2*PI()*D503),COMPLEX(2*PI()*'Stability Calculations'!EA_Pole1,0)))</f>
        <v>1+414502.80285614i</v>
      </c>
      <c r="X503" s="734">
        <f t="shared" si="383"/>
        <v>414502.80285734625</v>
      </c>
      <c r="Y503" s="735">
        <f t="shared" si="384"/>
        <v>1.570793914265975</v>
      </c>
      <c r="Z503" s="340" t="str">
        <f>IMSUM(COMPLEX(1,0),IMDIV(COMPLEX(0,2*PI()*D503),COMPLEX(2*PI()*'Stability Calculations'!EA_Zero1,0)))</f>
        <v>1+4103.98814709049i</v>
      </c>
      <c r="AA503" s="734">
        <f t="shared" si="385"/>
        <v>4103.9882689231999</v>
      </c>
      <c r="AB503" s="735">
        <f t="shared" si="386"/>
        <v>1.5705526613786311</v>
      </c>
      <c r="AC503" s="733" t="str">
        <f>IMSUM(COMPLEX(1,0),IMDIV(COMPLEX(0,2*PI()*D503),COMPLEX(2*PI()*'Stability Calculations'!EA_Pole2,0)))</f>
        <v>1+41.341344547828i</v>
      </c>
      <c r="AD503" s="734">
        <f t="shared" si="387"/>
        <v>41.353437209284408</v>
      </c>
      <c r="AE503" s="735">
        <f t="shared" si="388"/>
        <v>1.5466121826717607</v>
      </c>
      <c r="AF503" s="732" t="str">
        <f t="shared" si="389"/>
        <v>0.0343916786596439-1.4361300920266i</v>
      </c>
      <c r="AG503" s="337">
        <f t="shared" si="390"/>
        <v>1.43654182980704</v>
      </c>
      <c r="AH503" s="730">
        <f t="shared" si="391"/>
        <v>-1.5468534355591044</v>
      </c>
      <c r="AI503" s="731" t="str">
        <f t="shared" si="369"/>
        <v>10000</v>
      </c>
      <c r="AJ503" s="733" t="str">
        <f t="shared" si="392"/>
        <v>1+386430.703132413i</v>
      </c>
      <c r="AK503" s="734">
        <f t="shared" si="393"/>
        <v>386430.70313370693</v>
      </c>
      <c r="AL503" s="735">
        <f t="shared" si="394"/>
        <v>1.5707937390088023</v>
      </c>
      <c r="AM503" s="340" t="str">
        <f t="shared" si="395"/>
        <v>1+655.81730590506i</v>
      </c>
      <c r="AN503" s="734">
        <f t="shared" si="396"/>
        <v>655.81806831206711</v>
      </c>
      <c r="AO503" s="735">
        <f t="shared" si="397"/>
        <v>1.5692715130762331</v>
      </c>
      <c r="AP503" s="733" t="str">
        <f t="shared" si="398"/>
        <v>1+31.8082203402368i</v>
      </c>
      <c r="AQ503" s="734">
        <f t="shared" si="399"/>
        <v>31.823935665047056</v>
      </c>
      <c r="AR503" s="735">
        <f t="shared" si="400"/>
        <v>1.5393682642818962</v>
      </c>
      <c r="AS503" s="732" t="str">
        <f t="shared" si="401"/>
        <v>0.000642007304584647-3.58331490097082i</v>
      </c>
      <c r="AT503" s="337">
        <f t="shared" si="402"/>
        <v>3.5833149584836796</v>
      </c>
      <c r="AU503" s="730">
        <f t="shared" si="403"/>
        <v>-1.5706171610460138</v>
      </c>
      <c r="AV503" s="732" t="str">
        <f t="shared" si="404"/>
        <v>-0.0723235319391253+0.0309464106303279i</v>
      </c>
      <c r="AW503" s="337">
        <f t="shared" si="405"/>
        <v>-22.084234750558306</v>
      </c>
      <c r="AX503" s="730">
        <f t="shared" si="406"/>
        <v>156.83447282205344</v>
      </c>
      <c r="AY503" s="360">
        <f t="shared" si="407"/>
        <v>-23.165527177946558</v>
      </c>
      <c r="BB503" s="337">
        <f t="shared" si="408"/>
        <v>-28.914300349544604</v>
      </c>
      <c r="BC503" s="730">
        <f t="shared" si="409"/>
        <v>-89.989734558755714</v>
      </c>
      <c r="BD503" s="351"/>
      <c r="BE503" s="337">
        <f t="shared" si="370"/>
        <v>25.522325208438197</v>
      </c>
      <c r="BF503" s="730">
        <f t="shared" si="371"/>
        <v>-89.750856951121875</v>
      </c>
      <c r="BI503" s="351"/>
      <c r="BJ503" s="351"/>
      <c r="BL503" s="405">
        <f t="shared" si="372"/>
        <v>0</v>
      </c>
      <c r="BM503" s="405">
        <f t="shared" si="410"/>
        <v>0</v>
      </c>
      <c r="BN503" s="405">
        <f t="shared" si="373"/>
        <v>0</v>
      </c>
      <c r="BO503" s="405">
        <f t="shared" si="374"/>
        <v>0</v>
      </c>
    </row>
    <row r="504" spans="4:67" ht="13.5" thickBot="1" x14ac:dyDescent="0.25">
      <c r="D504" s="345">
        <v>65693</v>
      </c>
      <c r="E504" s="340" t="str">
        <f t="shared" si="361"/>
        <v>1.08968981189521i</v>
      </c>
      <c r="F504" s="728" t="str">
        <f t="shared" si="375"/>
        <v>0.005-0.0397165212082868i</v>
      </c>
      <c r="G504" s="337" t="str">
        <f t="shared" si="376"/>
        <v>0.005-0.0621207126591153i</v>
      </c>
      <c r="H504" s="338" t="str">
        <f t="shared" si="377"/>
        <v>0.00810443833418912-0.0614543630970546i</v>
      </c>
      <c r="I504" s="338" t="str">
        <f t="shared" si="378"/>
        <v>0.0181044383341891-0.0614543630970546i</v>
      </c>
      <c r="J504" s="337" t="str">
        <f t="shared" si="379"/>
        <v>0.0045994026603234-0.0242806807079064i</v>
      </c>
      <c r="K504" s="338" t="str">
        <f t="shared" si="362"/>
        <v>0.952049219455555-0.34396774365379i</v>
      </c>
      <c r="L504" s="732"/>
      <c r="M504" s="732" t="str">
        <f t="shared" si="363"/>
        <v>0.081038334109884-18.771781362323i</v>
      </c>
      <c r="N504" s="337">
        <f t="shared" si="364"/>
        <v>0</v>
      </c>
      <c r="O504" s="730" t="str">
        <f t="shared" si="365"/>
        <v>-0.686645598250782-7.20839898799565i</v>
      </c>
      <c r="P504" s="731" t="str">
        <f t="shared" si="366"/>
        <v>-0.4554189016477-0.0883066470525004i</v>
      </c>
      <c r="Q504" s="729" t="str">
        <f t="shared" si="367"/>
        <v>-0.448552445665193-0.0162226571725438i</v>
      </c>
      <c r="R504" s="730"/>
      <c r="S504" s="405" t="str">
        <f t="shared" si="380"/>
        <v>37.4513863114201-12.8885807169259i</v>
      </c>
      <c r="T504" s="405" t="str">
        <f t="shared" si="381"/>
        <v>13.8824170263358-6.37908930397479i</v>
      </c>
      <c r="U504" s="405" t="str">
        <f t="shared" si="382"/>
        <v>-0.27951367759557-0.904834032493523i</v>
      </c>
      <c r="V504" s="731" t="str">
        <f t="shared" si="368"/>
        <v>6000</v>
      </c>
      <c r="W504" s="733" t="str">
        <f>IMSUM(COMPLEX(1,0),IMDIV(COMPLEX(0,2*PI()*D504),COMPLEX(2*PI()*'Stability Calculations'!EA_Pole1,0)))</f>
        <v>1+416888.905308395i</v>
      </c>
      <c r="X504" s="734">
        <f t="shared" si="383"/>
        <v>416888.90530959429</v>
      </c>
      <c r="Y504" s="735">
        <f t="shared" si="384"/>
        <v>1.5707939280743088</v>
      </c>
      <c r="Z504" s="340" t="str">
        <f>IMSUM(COMPLEX(1,0),IMDIV(COMPLEX(0,2*PI()*D504),COMPLEX(2*PI()*'Stability Calculations'!EA_Zero1,0)))</f>
        <v>1+4127.61292384549i</v>
      </c>
      <c r="AA504" s="734">
        <f t="shared" si="385"/>
        <v>4127.613044980877</v>
      </c>
      <c r="AB504" s="735">
        <f t="shared" si="386"/>
        <v>1.5705540560202662</v>
      </c>
      <c r="AC504" s="733" t="str">
        <f>IMSUM(COMPLEX(1,0),IMDIV(COMPLEX(0,2*PI()*D504),COMPLEX(2*PI()*'Stability Calculations'!EA_Pole2,0)))</f>
        <v>1+41.5793276999934i</v>
      </c>
      <c r="AD504" s="734">
        <f t="shared" si="387"/>
        <v>41.5913511680426</v>
      </c>
      <c r="AE504" s="735">
        <f t="shared" si="388"/>
        <v>1.5467505493680245</v>
      </c>
      <c r="AF504" s="732" t="str">
        <f t="shared" si="389"/>
        <v>0.0339993443014297-1.42791970356819i</v>
      </c>
      <c r="AG504" s="337">
        <f t="shared" si="390"/>
        <v>1.4283244152681824</v>
      </c>
      <c r="AH504" s="730">
        <f t="shared" si="391"/>
        <v>-1.5469904214220671</v>
      </c>
      <c r="AI504" s="731" t="str">
        <f t="shared" si="369"/>
        <v>10000</v>
      </c>
      <c r="AJ504" s="733" t="str">
        <f t="shared" si="392"/>
        <v>1+388655.207386708i</v>
      </c>
      <c r="AK504" s="734">
        <f t="shared" si="393"/>
        <v>388655.20738799457</v>
      </c>
      <c r="AL504" s="735">
        <f t="shared" si="394"/>
        <v>1.5707937538202368</v>
      </c>
      <c r="AM504" s="340" t="str">
        <f t="shared" si="395"/>
        <v>1+659.592545230509i</v>
      </c>
      <c r="AN504" s="734">
        <f t="shared" si="396"/>
        <v>659.5933032738136</v>
      </c>
      <c r="AO504" s="735">
        <f t="shared" si="397"/>
        <v>1.5692802404760651</v>
      </c>
      <c r="AP504" s="733" t="str">
        <f t="shared" si="398"/>
        <v>1+31.9913256703642i</v>
      </c>
      <c r="AQ504" s="734">
        <f t="shared" si="399"/>
        <v>32.006951091088062</v>
      </c>
      <c r="AR504" s="735">
        <f t="shared" si="400"/>
        <v>1.5395480283116012</v>
      </c>
      <c r="AS504" s="732" t="str">
        <f t="shared" si="401"/>
        <v>0.000634679159539196-3.56280546591675i</v>
      </c>
      <c r="AT504" s="337">
        <f t="shared" si="402"/>
        <v>3.5628055224477104</v>
      </c>
      <c r="AU504" s="730">
        <f t="shared" si="403"/>
        <v>-1.5706181865178321</v>
      </c>
      <c r="AV504" s="732" t="str">
        <f t="shared" si="404"/>
        <v>-0.0714036102722767+0.0307586413265491i</v>
      </c>
      <c r="AW504" s="337">
        <f t="shared" si="405"/>
        <v>-22.186346190959139</v>
      </c>
      <c r="AX504" s="730">
        <f t="shared" si="406"/>
        <v>156.69499910046252</v>
      </c>
      <c r="AY504" s="360">
        <f t="shared" si="407"/>
        <v>-23.305000899537475</v>
      </c>
      <c r="BB504" s="337">
        <f t="shared" si="408"/>
        <v>-28.964157663745517</v>
      </c>
      <c r="BC504" s="730">
        <f t="shared" si="409"/>
        <v>-89.98979331396292</v>
      </c>
      <c r="BD504" s="351"/>
      <c r="BE504" s="337">
        <f t="shared" si="370"/>
        <v>25.470190683169797</v>
      </c>
      <c r="BF504" s="730">
        <f t="shared" si="371"/>
        <v>-89.752653965569721</v>
      </c>
      <c r="BI504" s="351"/>
      <c r="BJ504" s="351"/>
      <c r="BL504" s="405">
        <f t="shared" si="372"/>
        <v>0</v>
      </c>
      <c r="BM504" s="405">
        <f t="shared" si="410"/>
        <v>0</v>
      </c>
      <c r="BN504" s="405">
        <f t="shared" si="373"/>
        <v>0</v>
      </c>
      <c r="BO504" s="405">
        <f t="shared" si="374"/>
        <v>0</v>
      </c>
    </row>
    <row r="505" spans="4:67" ht="13.5" thickBot="1" x14ac:dyDescent="0.25">
      <c r="D505" s="345">
        <v>66069</v>
      </c>
      <c r="E505" s="340" t="str">
        <f t="shared" si="361"/>
        <v>1.09592675295853i</v>
      </c>
      <c r="F505" s="728" t="str">
        <f t="shared" si="375"/>
        <v>0.005-0.0394904936919886i</v>
      </c>
      <c r="G505" s="337" t="str">
        <f t="shared" si="376"/>
        <v>0.005-0.0617671824413153i</v>
      </c>
      <c r="H505" s="338" t="str">
        <f t="shared" si="377"/>
        <v>0.00806906221264995-0.0611064136964103i</v>
      </c>
      <c r="I505" s="338" t="str">
        <f t="shared" si="378"/>
        <v>0.01806906221265-0.0611064136964103i</v>
      </c>
      <c r="J505" s="337" t="str">
        <f t="shared" si="379"/>
        <v>0.00459380462979695-0.0241434052139909i</v>
      </c>
      <c r="K505" s="338" t="str">
        <f t="shared" si="362"/>
        <v>0.9514987471-0.34593647505004i</v>
      </c>
      <c r="L505" s="732"/>
      <c r="M505" s="732" t="str">
        <f t="shared" si="363"/>
        <v>0.0799798394810977-18.6601449167225i</v>
      </c>
      <c r="N505" s="337">
        <f t="shared" si="364"/>
        <v>0</v>
      </c>
      <c r="O505" s="730" t="str">
        <f t="shared" si="365"/>
        <v>-0.684086498983086-7.16440714366591i</v>
      </c>
      <c r="P505" s="731" t="str">
        <f t="shared" si="366"/>
        <v>-0.450152028319325-0.0876520457846639i</v>
      </c>
      <c r="Q505" s="729" t="str">
        <f t="shared" si="367"/>
        <v>-0.443311163329494-0.0160079743480044i</v>
      </c>
      <c r="R505" s="730"/>
      <c r="S505" s="405" t="str">
        <f t="shared" si="380"/>
        <v>37.4187485579867-12.9654087979977i</v>
      </c>
      <c r="T505" s="405" t="str">
        <f t="shared" si="381"/>
        <v>13.863830398881-6.4091653936194i</v>
      </c>
      <c r="U505" s="405" t="str">
        <f t="shared" si="382"/>
        <v>-0.279773001997025-0.898884910063169i</v>
      </c>
      <c r="V505" s="731" t="str">
        <f t="shared" si="368"/>
        <v>6000</v>
      </c>
      <c r="W505" s="733" t="str">
        <f>IMSUM(COMPLEX(1,0),IMDIV(COMPLEX(0,2*PI()*D505),COMPLEX(2*PI()*'Stability Calculations'!EA_Pole1,0)))</f>
        <v>1+419275.007760648i</v>
      </c>
      <c r="X505" s="734">
        <f t="shared" si="383"/>
        <v>419275.00776184053</v>
      </c>
      <c r="Y505" s="735">
        <f t="shared" si="384"/>
        <v>1.5707939417254757</v>
      </c>
      <c r="Z505" s="340" t="str">
        <f>IMSUM(COMPLEX(1,0),IMDIV(COMPLEX(0,2*PI()*D505),COMPLEX(2*PI()*'Stability Calculations'!EA_Zero1,0)))</f>
        <v>1+4151.23770060048i</v>
      </c>
      <c r="AA505" s="734">
        <f t="shared" si="385"/>
        <v>4151.237821046484</v>
      </c>
      <c r="AB505" s="735">
        <f t="shared" si="386"/>
        <v>1.5705554347880351</v>
      </c>
      <c r="AC505" s="733" t="str">
        <f>IMSUM(COMPLEX(1,0),IMDIV(COMPLEX(0,2*PI()*D505),COMPLEX(2*PI()*'Stability Calculations'!EA_Pole2,0)))</f>
        <v>1+41.8173108521587i</v>
      </c>
      <c r="AD505" s="734">
        <f t="shared" si="387"/>
        <v>41.829265914023274</v>
      </c>
      <c r="AE505" s="735">
        <f t="shared" si="388"/>
        <v>1.5468873420742877</v>
      </c>
      <c r="AF505" s="732" t="str">
        <f t="shared" si="389"/>
        <v>0.0336136841083032-1.41980260647677i</v>
      </c>
      <c r="AG505" s="337">
        <f t="shared" si="390"/>
        <v>1.4202004510341355</v>
      </c>
      <c r="AH505" s="730">
        <f t="shared" si="391"/>
        <v>-1.5471258490117281</v>
      </c>
      <c r="AI505" s="731" t="str">
        <f t="shared" si="369"/>
        <v>10000</v>
      </c>
      <c r="AJ505" s="733" t="str">
        <f t="shared" si="392"/>
        <v>1+390879.711641003i</v>
      </c>
      <c r="AK505" s="734">
        <f t="shared" si="393"/>
        <v>390879.7116422822</v>
      </c>
      <c r="AL505" s="735">
        <f t="shared" si="394"/>
        <v>1.570793768463087</v>
      </c>
      <c r="AM505" s="340" t="str">
        <f t="shared" si="395"/>
        <v>1+663.367784555957i</v>
      </c>
      <c r="AN505" s="734">
        <f t="shared" si="396"/>
        <v>663.36853828522692</v>
      </c>
      <c r="AO505" s="735">
        <f t="shared" si="397"/>
        <v>1.56928886854051</v>
      </c>
      <c r="AP505" s="733" t="str">
        <f t="shared" si="398"/>
        <v>1+32.1744310004915i</v>
      </c>
      <c r="AQ505" s="734">
        <f t="shared" si="399"/>
        <v>32.189967539675905</v>
      </c>
      <c r="AR505" s="735">
        <f t="shared" si="400"/>
        <v>1.5397257482458782</v>
      </c>
      <c r="AS505" s="732" t="str">
        <f t="shared" si="401"/>
        <v>0.00062747577199511-3.54252947005051i</v>
      </c>
      <c r="AT505" s="337">
        <f t="shared" si="402"/>
        <v>3.5425295256217968</v>
      </c>
      <c r="AU505" s="730">
        <f t="shared" si="403"/>
        <v>-1.5706192003176893</v>
      </c>
      <c r="AV505" s="732" t="str">
        <f t="shared" si="404"/>
        <v>-0.070499409457185+0.0305727754396819i</v>
      </c>
      <c r="AW505" s="337">
        <f t="shared" si="405"/>
        <v>-22.287902967801962</v>
      </c>
      <c r="AX505" s="730">
        <f t="shared" si="406"/>
        <v>156.55555034038701</v>
      </c>
      <c r="AY505" s="360">
        <f t="shared" si="407"/>
        <v>-23.444449659612985</v>
      </c>
      <c r="BB505" s="337">
        <f t="shared" si="408"/>
        <v>-29.013730427757189</v>
      </c>
      <c r="BC505" s="730">
        <f t="shared" si="409"/>
        <v>-89.989851400416001</v>
      </c>
      <c r="BD505" s="351"/>
      <c r="BE505" s="337">
        <f t="shared" si="370"/>
        <v>25.418380027220842</v>
      </c>
      <c r="BF505" s="730">
        <f t="shared" si="371"/>
        <v>-89.754424244424257</v>
      </c>
      <c r="BI505" s="351"/>
      <c r="BJ505" s="351"/>
      <c r="BL505" s="405">
        <f t="shared" si="372"/>
        <v>0</v>
      </c>
      <c r="BM505" s="405">
        <f t="shared" si="410"/>
        <v>0</v>
      </c>
      <c r="BN505" s="405">
        <f t="shared" si="373"/>
        <v>0</v>
      </c>
      <c r="BO505" s="405">
        <f t="shared" si="374"/>
        <v>0</v>
      </c>
    </row>
    <row r="506" spans="4:67" ht="13.5" thickBot="1" x14ac:dyDescent="0.25">
      <c r="D506" s="345">
        <v>66453.75</v>
      </c>
      <c r="E506" s="340" t="str">
        <f t="shared" si="361"/>
        <v>1.10230883560244i</v>
      </c>
      <c r="F506" s="728" t="str">
        <f t="shared" si="375"/>
        <v>0.005-0.0392618539621314i</v>
      </c>
      <c r="G506" s="337" t="str">
        <f t="shared" si="376"/>
        <v>0.005-0.0614095664535902i</v>
      </c>
      <c r="H506" s="338" t="str">
        <f t="shared" si="377"/>
        <v>0.00803348057246418-0.060754411972278i</v>
      </c>
      <c r="I506" s="338" t="str">
        <f t="shared" si="378"/>
        <v>0.0180334805724642-0.060754411972278i</v>
      </c>
      <c r="J506" s="337" t="str">
        <f t="shared" si="379"/>
        <v>0.00458817080817952-0.0240045453436169i</v>
      </c>
      <c r="K506" s="338" t="str">
        <f t="shared" si="362"/>
        <v>0.95093221234375-0.347951021339155i</v>
      </c>
      <c r="L506" s="732"/>
      <c r="M506" s="732" t="str">
        <f t="shared" si="363"/>
        <v>0.0789185403336677-18.5473044009281i</v>
      </c>
      <c r="N506" s="337">
        <f t="shared" si="364"/>
        <v>0</v>
      </c>
      <c r="O506" s="730" t="str">
        <f t="shared" si="365"/>
        <v>-0.681508223726388-7.11993645228259i</v>
      </c>
      <c r="P506" s="731" t="str">
        <f t="shared" si="366"/>
        <v>-0.44485751775096-0.0869926043026492i</v>
      </c>
      <c r="Q506" s="729" t="str">
        <f t="shared" si="367"/>
        <v>-0.438042435513696-0.0157932397798232i</v>
      </c>
      <c r="R506" s="730"/>
      <c r="S506" s="405" t="str">
        <f t="shared" si="380"/>
        <v>37.3851500453631-13.0439051471348i</v>
      </c>
      <c r="T506" s="405" t="str">
        <f t="shared" si="381"/>
        <v>13.8447146495373-6.43989363779798i</v>
      </c>
      <c r="U506" s="405" t="str">
        <f t="shared" si="382"/>
        <v>-0.280030704960063-0.892862257884606i</v>
      </c>
      <c r="V506" s="731" t="str">
        <f t="shared" si="368"/>
        <v>6000</v>
      </c>
      <c r="W506" s="733" t="str">
        <f>IMSUM(COMPLEX(1,0),IMDIV(COMPLEX(0,2*PI()*D506),COMPLEX(2*PI()*'Stability Calculations'!EA_Pole1,0)))</f>
        <v>1+421716.637863055i</v>
      </c>
      <c r="X506" s="734">
        <f t="shared" si="383"/>
        <v>421716.63786424068</v>
      </c>
      <c r="Y506" s="735">
        <f t="shared" si="384"/>
        <v>1.5707939555344097</v>
      </c>
      <c r="Z506" s="340" t="str">
        <f>IMSUM(COMPLEX(1,0),IMDIV(COMPLEX(0,2*PI()*D506),COMPLEX(2*PI()*'Stability Calculations'!EA_Zero1,0)))</f>
        <v>1+4175.41225606985i</v>
      </c>
      <c r="AA506" s="734">
        <f t="shared" si="385"/>
        <v>4175.4123758185024</v>
      </c>
      <c r="AB506" s="735">
        <f t="shared" si="386"/>
        <v>1.5705568294903067</v>
      </c>
      <c r="AC506" s="733" t="str">
        <f>IMSUM(COMPLEX(1,0),IMDIV(COMPLEX(0,2*PI()*D506),COMPLEX(2*PI()*'Stability Calculations'!EA_Pole2,0)))</f>
        <v>1+42.0608321760831i</v>
      </c>
      <c r="AD506" s="734">
        <f t="shared" si="387"/>
        <v>42.072718040847178</v>
      </c>
      <c r="AE506" s="735">
        <f t="shared" si="388"/>
        <v>1.5470257166125716</v>
      </c>
      <c r="AF506" s="732" t="str">
        <f t="shared" si="389"/>
        <v>0.0332258010794297-1.41159153907906i</v>
      </c>
      <c r="AG506" s="337">
        <f t="shared" si="390"/>
        <v>1.4119825165549889</v>
      </c>
      <c r="AH506" s="730">
        <f t="shared" si="391"/>
        <v>-1.5472628426566748</v>
      </c>
      <c r="AI506" s="731" t="str">
        <f t="shared" si="369"/>
        <v>10000</v>
      </c>
      <c r="AJ506" s="733" t="str">
        <f t="shared" si="392"/>
        <v>1+393155.982949087i</v>
      </c>
      <c r="AK506" s="734">
        <f t="shared" si="393"/>
        <v>393155.98295035877</v>
      </c>
      <c r="AL506" s="735">
        <f t="shared" si="394"/>
        <v>1.5707937832751655</v>
      </c>
      <c r="AM506" s="340" t="str">
        <f t="shared" si="395"/>
        <v>1+667.230878519962i</v>
      </c>
      <c r="AN506" s="734">
        <f t="shared" si="396"/>
        <v>667.23162788533955</v>
      </c>
      <c r="AO506" s="735">
        <f t="shared" si="397"/>
        <v>1.5692975963202414</v>
      </c>
      <c r="AP506" s="733" t="str">
        <f t="shared" si="398"/>
        <v>1+32.3617974254024i</v>
      </c>
      <c r="AQ506" s="734">
        <f t="shared" si="399"/>
        <v>32.377244055088774</v>
      </c>
      <c r="AR506" s="735">
        <f t="shared" si="400"/>
        <v>1.5399055240975579</v>
      </c>
      <c r="AS506" s="732" t="str">
        <f t="shared" si="401"/>
        <v>0.000620230961509539-3.52201914326205i</v>
      </c>
      <c r="AT506" s="337">
        <f t="shared" si="402"/>
        <v>3.5220191978736843</v>
      </c>
      <c r="AU506" s="730">
        <f t="shared" si="403"/>
        <v>-1.5706202258340927</v>
      </c>
      <c r="AV506" s="732" t="str">
        <f t="shared" si="404"/>
        <v>-0.0695900706736748+0.0303845239566845i</v>
      </c>
      <c r="AW506" s="337">
        <f t="shared" si="405"/>
        <v>-22.391255704000695</v>
      </c>
      <c r="AX506" s="730">
        <f t="shared" si="406"/>
        <v>156.41288172142697</v>
      </c>
      <c r="AY506" s="360">
        <f t="shared" si="407"/>
        <v>-23.58711827857303</v>
      </c>
      <c r="BB506" s="337">
        <f t="shared" si="408"/>
        <v>-29.064165622071712</v>
      </c>
      <c r="BC506" s="730">
        <f t="shared" si="409"/>
        <v>-89.989910158177736</v>
      </c>
      <c r="BD506" s="351"/>
      <c r="BE506" s="337">
        <f t="shared" si="370"/>
        <v>25.365694622460349</v>
      </c>
      <c r="BF506" s="730">
        <f t="shared" si="371"/>
        <v>-89.756208670506567</v>
      </c>
      <c r="BI506" s="351"/>
      <c r="BJ506" s="351"/>
      <c r="BL506" s="405">
        <f t="shared" si="372"/>
        <v>0</v>
      </c>
      <c r="BM506" s="405">
        <f t="shared" si="410"/>
        <v>0</v>
      </c>
      <c r="BN506" s="405">
        <f t="shared" si="373"/>
        <v>0</v>
      </c>
      <c r="BO506" s="405">
        <f t="shared" si="374"/>
        <v>0</v>
      </c>
    </row>
    <row r="507" spans="4:67" ht="13.5" thickBot="1" x14ac:dyDescent="0.25">
      <c r="D507" s="345">
        <v>66838.5</v>
      </c>
      <c r="E507" s="340" t="str">
        <f t="shared" si="361"/>
        <v>1.10869091824636i</v>
      </c>
      <c r="F507" s="728" t="str">
        <f t="shared" si="375"/>
        <v>0.005-0.0390358465216303i</v>
      </c>
      <c r="G507" s="337" t="str">
        <f t="shared" si="376"/>
        <v>0.005-0.0610560676363961i</v>
      </c>
      <c r="H507" s="338" t="str">
        <f t="shared" si="377"/>
        <v>0.00799850958850016-0.0604064322634567i</v>
      </c>
      <c r="I507" s="338" t="str">
        <f t="shared" si="378"/>
        <v>0.0179985095885002-0.0604064322634567i</v>
      </c>
      <c r="J507" s="337" t="str">
        <f t="shared" si="379"/>
        <v>0.0045826303633471-0.0238672863108299i</v>
      </c>
      <c r="K507" s="338" t="str">
        <f t="shared" si="362"/>
        <v>0.950362387975-0.349965567628269i</v>
      </c>
      <c r="L507" s="732"/>
      <c r="M507" s="732" t="str">
        <f t="shared" si="363"/>
        <v>0.0778787190167063-18.4358475625521i</v>
      </c>
      <c r="N507" s="337">
        <f t="shared" si="364"/>
        <v>0</v>
      </c>
      <c r="O507" s="730" t="str">
        <f t="shared" si="365"/>
        <v>-0.678969836181731-7.07600667102442i</v>
      </c>
      <c r="P507" s="731" t="str">
        <f t="shared" si="366"/>
        <v>-0.439656762775822-0.0863434284984824i</v>
      </c>
      <c r="Q507" s="729" t="str">
        <f t="shared" si="367"/>
        <v>-0.432867064414005-0.015583361788238i</v>
      </c>
      <c r="R507" s="730"/>
      <c r="S507" s="405" t="str">
        <f t="shared" si="380"/>
        <v>37.3513481033287-13.1222806003541i</v>
      </c>
      <c r="T507" s="405" t="str">
        <f t="shared" si="381"/>
        <v>13.8255013687741-6.470572926016i</v>
      </c>
      <c r="U507" s="405" t="str">
        <f t="shared" si="382"/>
        <v>-0.28028081989718-0.886904151533004i</v>
      </c>
      <c r="V507" s="731" t="str">
        <f t="shared" si="368"/>
        <v>6000</v>
      </c>
      <c r="W507" s="733" t="str">
        <f>IMSUM(COMPLEX(1,0),IMDIV(COMPLEX(0,2*PI()*D507),COMPLEX(2*PI()*'Stability Calculations'!EA_Pole1,0)))</f>
        <v>1+424158.267965462i</v>
      </c>
      <c r="X507" s="734">
        <f t="shared" si="383"/>
        <v>424158.26796664076</v>
      </c>
      <c r="Y507" s="735">
        <f t="shared" si="384"/>
        <v>1.5707939691843642</v>
      </c>
      <c r="Z507" s="340" t="str">
        <f>IMSUM(COMPLEX(1,0),IMDIV(COMPLEX(0,2*PI()*D507),COMPLEX(2*PI()*'Stability Calculations'!EA_Zero1,0)))</f>
        <v>1+4199.58681153923i</v>
      </c>
      <c r="AA507" s="734">
        <f t="shared" si="385"/>
        <v>4199.5869305985607</v>
      </c>
      <c r="AB507" s="735">
        <f t="shared" si="386"/>
        <v>1.5705582081356151</v>
      </c>
      <c r="AC507" s="733" t="str">
        <f>IMSUM(COMPLEX(1,0),IMDIV(COMPLEX(0,2*PI()*D507),COMPLEX(2*PI()*'Stability Calculations'!EA_Pole2,0)))</f>
        <v>1+42.3043535000077i</v>
      </c>
      <c r="AD507" s="734">
        <f t="shared" si="387"/>
        <v>42.316170963989805</v>
      </c>
      <c r="AE507" s="735">
        <f t="shared" si="388"/>
        <v>1.5471624989637469</v>
      </c>
      <c r="AF507" s="732" t="str">
        <f t="shared" si="389"/>
        <v>0.0328445922091681-1.4034748465039i</v>
      </c>
      <c r="AG507" s="337">
        <f t="shared" si="390"/>
        <v>1.4038591140162646</v>
      </c>
      <c r="AH507" s="730">
        <f t="shared" si="391"/>
        <v>-1.547398260012496</v>
      </c>
      <c r="AI507" s="731" t="str">
        <f t="shared" si="369"/>
        <v>10000</v>
      </c>
      <c r="AJ507" s="733" t="str">
        <f t="shared" si="392"/>
        <v>1+395432.254257173i</v>
      </c>
      <c r="AK507" s="734">
        <f t="shared" si="393"/>
        <v>395432.25425843743</v>
      </c>
      <c r="AL507" s="735">
        <f t="shared" si="394"/>
        <v>1.5707937979167153</v>
      </c>
      <c r="AM507" s="340" t="str">
        <f t="shared" si="395"/>
        <v>1+671.093972483969i</v>
      </c>
      <c r="AN507" s="734">
        <f t="shared" si="396"/>
        <v>671.09471753569483</v>
      </c>
      <c r="AO507" s="735">
        <f t="shared" si="397"/>
        <v>1.5693062236187905</v>
      </c>
      <c r="AP507" s="733" t="str">
        <f t="shared" si="398"/>
        <v>1+32.5491638503134i</v>
      </c>
      <c r="AQ507" s="734">
        <f t="shared" si="399"/>
        <v>32.564521604877733</v>
      </c>
      <c r="AR507" s="735">
        <f t="shared" si="400"/>
        <v>1.5400832321842755</v>
      </c>
      <c r="AS507" s="732" t="str">
        <f t="shared" si="401"/>
        <v>0.000613110902931597-3.50174494826893i</v>
      </c>
      <c r="AT507" s="337">
        <f t="shared" si="402"/>
        <v>3.5017450019428811</v>
      </c>
      <c r="AU507" s="730">
        <f t="shared" si="403"/>
        <v>-1.570621239543905</v>
      </c>
      <c r="AV507" s="732" t="str">
        <f t="shared" si="404"/>
        <v>-0.0686964523887508+0.0301982039227152i</v>
      </c>
      <c r="AW507" s="337">
        <f t="shared" si="405"/>
        <v>-22.494041309311132</v>
      </c>
      <c r="AX507" s="730">
        <f t="shared" si="406"/>
        <v>156.27023814144019</v>
      </c>
      <c r="AY507" s="360">
        <f t="shared" si="407"/>
        <v>-23.729761858559812</v>
      </c>
      <c r="BB507" s="337">
        <f t="shared" si="408"/>
        <v>-29.11430965095219</v>
      </c>
      <c r="BC507" s="730">
        <f t="shared" si="409"/>
        <v>-89.989968239471636</v>
      </c>
      <c r="BD507" s="351"/>
      <c r="BE507" s="337">
        <f t="shared" si="370"/>
        <v>25.313339668001653</v>
      </c>
      <c r="BF507" s="730">
        <f t="shared" si="371"/>
        <v>-89.757966355665801</v>
      </c>
      <c r="BI507" s="351"/>
      <c r="BJ507" s="351"/>
      <c r="BL507" s="405">
        <f t="shared" si="372"/>
        <v>0</v>
      </c>
      <c r="BM507" s="405">
        <f t="shared" si="410"/>
        <v>0</v>
      </c>
      <c r="BN507" s="405">
        <f t="shared" si="373"/>
        <v>0</v>
      </c>
      <c r="BO507" s="405">
        <f t="shared" si="374"/>
        <v>0</v>
      </c>
    </row>
    <row r="508" spans="4:67" ht="13.5" thickBot="1" x14ac:dyDescent="0.25">
      <c r="D508" s="345">
        <v>67223.25</v>
      </c>
      <c r="E508" s="340" t="str">
        <f t="shared" si="361"/>
        <v>1.11507300089027i</v>
      </c>
      <c r="F508" s="728" t="str">
        <f t="shared" si="375"/>
        <v>0.005-0.0388124261730277i</v>
      </c>
      <c r="G508" s="337" t="str">
        <f t="shared" si="376"/>
        <v>0.005-0.0607066152962744i</v>
      </c>
      <c r="H508" s="338" t="str">
        <f t="shared" si="377"/>
        <v>0.00796413537814202-0.06006240620019i</v>
      </c>
      <c r="I508" s="338" t="str">
        <f t="shared" si="378"/>
        <v>0.017964135378142-0.06006240620019i</v>
      </c>
      <c r="J508" s="337" t="str">
        <f t="shared" si="379"/>
        <v>0.00457718114909624-0.0237316006587969i</v>
      </c>
      <c r="K508" s="338" t="str">
        <f t="shared" si="362"/>
        <v>0.94978927399375-0.351980113917383i</v>
      </c>
      <c r="L508" s="732"/>
      <c r="M508" s="732" t="str">
        <f t="shared" si="363"/>
        <v>0.0768597904145601-18.3257486562631i</v>
      </c>
      <c r="N508" s="337">
        <f t="shared" si="364"/>
        <v>0</v>
      </c>
      <c r="O508" s="730" t="str">
        <f t="shared" si="365"/>
        <v>-0.676470402285816-7.03260772481016i</v>
      </c>
      <c r="P508" s="731" t="str">
        <f t="shared" si="366"/>
        <v>-0.434547547700112-0.0857042771453605i</v>
      </c>
      <c r="Q508" s="729" t="str">
        <f t="shared" si="367"/>
        <v>-0.427782843677254-0.0153781998972588i</v>
      </c>
      <c r="R508" s="730"/>
      <c r="S508" s="405" t="str">
        <f t="shared" si="380"/>
        <v>37.317342854115-13.2005352392711i</v>
      </c>
      <c r="T508" s="405" t="str">
        <f t="shared" si="381"/>
        <v>13.8061907274492-6.50120260779114i</v>
      </c>
      <c r="U508" s="405" t="str">
        <f t="shared" si="382"/>
        <v>-0.280523499809033-0.88100949323853i</v>
      </c>
      <c r="V508" s="731" t="str">
        <f t="shared" si="368"/>
        <v>6000</v>
      </c>
      <c r="W508" s="733" t="str">
        <f>IMSUM(COMPLEX(1,0),IMDIV(COMPLEX(0,2*PI()*D508),COMPLEX(2*PI()*'Stability Calculations'!EA_Pole1,0)))</f>
        <v>1+426599.898067869i</v>
      </c>
      <c r="X508" s="734">
        <f t="shared" si="383"/>
        <v>426599.89806904114</v>
      </c>
      <c r="Y508" s="735">
        <f t="shared" si="384"/>
        <v>1.5707939826780684</v>
      </c>
      <c r="Z508" s="340" t="str">
        <f>IMSUM(COMPLEX(1,0),IMDIV(COMPLEX(0,2*PI()*D508),COMPLEX(2*PI()*'Stability Calculations'!EA_Zero1,0)))</f>
        <v>1+4223.7613670086i</v>
      </c>
      <c r="AA508" s="734">
        <f t="shared" si="385"/>
        <v>4223.761485386498</v>
      </c>
      <c r="AB508" s="735">
        <f t="shared" si="386"/>
        <v>1.5705595709996647</v>
      </c>
      <c r="AC508" s="733" t="str">
        <f>IMSUM(COMPLEX(1,0),IMDIV(COMPLEX(0,2*PI()*D508),COMPLEX(2*PI()*'Stability Calculations'!EA_Pole2,0)))</f>
        <v>1+42.5478748239322i</v>
      </c>
      <c r="AD508" s="734">
        <f t="shared" si="387"/>
        <v>42.559624669785364</v>
      </c>
      <c r="AE508" s="735">
        <f t="shared" si="388"/>
        <v>1.5472977164460018</v>
      </c>
      <c r="AF508" s="732" t="str">
        <f t="shared" si="389"/>
        <v>0.0324699052793576-1.39545091187555i</v>
      </c>
      <c r="AG508" s="337">
        <f t="shared" si="390"/>
        <v>1.3958286220747711</v>
      </c>
      <c r="AH508" s="730">
        <f t="shared" si="391"/>
        <v>-1.5475321281244052</v>
      </c>
      <c r="AI508" s="731" t="str">
        <f t="shared" si="369"/>
        <v>10000</v>
      </c>
      <c r="AJ508" s="733" t="str">
        <f t="shared" si="392"/>
        <v>1+397708.525565258i</v>
      </c>
      <c r="AK508" s="734">
        <f t="shared" si="393"/>
        <v>397708.52556651516</v>
      </c>
      <c r="AL508" s="735">
        <f t="shared" si="394"/>
        <v>1.5707938123906642</v>
      </c>
      <c r="AM508" s="340" t="str">
        <f t="shared" si="395"/>
        <v>1+674.957066447974i</v>
      </c>
      <c r="AN508" s="734">
        <f t="shared" si="396"/>
        <v>674.95780723542623</v>
      </c>
      <c r="AO508" s="735">
        <f t="shared" si="397"/>
        <v>1.5693147521614541</v>
      </c>
      <c r="AP508" s="733" t="str">
        <f t="shared" si="398"/>
        <v>1+32.7365302752243i</v>
      </c>
      <c r="AQ508" s="734">
        <f t="shared" si="399"/>
        <v>32.751800171298626</v>
      </c>
      <c r="AR508" s="735">
        <f t="shared" si="400"/>
        <v>1.5402589079658642</v>
      </c>
      <c r="AS508" s="732" t="str">
        <f t="shared" si="401"/>
        <v>0.000606112748397161-3.48170283059462i</v>
      </c>
      <c r="AT508" s="337">
        <f t="shared" si="402"/>
        <v>3.481702883352233</v>
      </c>
      <c r="AU508" s="730">
        <f t="shared" si="403"/>
        <v>-1.5706222416498496</v>
      </c>
      <c r="AV508" s="732" t="str">
        <f t="shared" si="404"/>
        <v>-0.0678181959220741+0.0300137851191334i</v>
      </c>
      <c r="AW508" s="337">
        <f t="shared" si="405"/>
        <v>-22.596266510520465</v>
      </c>
      <c r="AX508" s="730">
        <f t="shared" si="406"/>
        <v>156.12761906705703</v>
      </c>
      <c r="AY508" s="360">
        <f t="shared" si="407"/>
        <v>-23.872380932942974</v>
      </c>
      <c r="BB508" s="337">
        <f t="shared" si="408"/>
        <v>-29.164165856942404</v>
      </c>
      <c r="BC508" s="730">
        <f t="shared" si="409"/>
        <v>-89.990025655912888</v>
      </c>
      <c r="BD508" s="351"/>
      <c r="BE508" s="337">
        <f t="shared" si="370"/>
        <v>25.261310908860324</v>
      </c>
      <c r="BF508" s="730">
        <f t="shared" si="371"/>
        <v>-89.759697905567663</v>
      </c>
      <c r="BI508" s="351"/>
      <c r="BJ508" s="351"/>
      <c r="BL508" s="405">
        <f t="shared" si="372"/>
        <v>0</v>
      </c>
      <c r="BM508" s="405">
        <f t="shared" si="410"/>
        <v>0</v>
      </c>
      <c r="BN508" s="405">
        <f t="shared" si="373"/>
        <v>0</v>
      </c>
      <c r="BO508" s="405">
        <f t="shared" si="374"/>
        <v>0</v>
      </c>
    </row>
    <row r="509" spans="4:67" ht="13.5" thickBot="1" x14ac:dyDescent="0.25">
      <c r="D509" s="345">
        <v>67608</v>
      </c>
      <c r="E509" s="340" t="str">
        <f t="shared" si="361"/>
        <v>1.12145508353419i</v>
      </c>
      <c r="F509" s="728" t="str">
        <f t="shared" si="375"/>
        <v>0.005-0.0385915487477221i</v>
      </c>
      <c r="G509" s="337" t="str">
        <f t="shared" si="376"/>
        <v>0.005-0.0603611403490011i</v>
      </c>
      <c r="H509" s="338" t="str">
        <f t="shared" si="377"/>
        <v>0.00793034445073211-0.0597222669496955i</v>
      </c>
      <c r="I509" s="338" t="str">
        <f t="shared" si="378"/>
        <v>0.0179303444507321-0.0597222669496955i</v>
      </c>
      <c r="J509" s="337" t="str">
        <f t="shared" si="379"/>
        <v>0.00457182108014588-0.0235974615544882i</v>
      </c>
      <c r="K509" s="338" t="str">
        <f t="shared" si="362"/>
        <v>0.9492128704-0.353994660206498i</v>
      </c>
      <c r="L509" s="732"/>
      <c r="M509" s="732" t="str">
        <f t="shared" si="363"/>
        <v>0.0758611893872787-18.2169825811757i</v>
      </c>
      <c r="N509" s="337">
        <f t="shared" si="364"/>
        <v>0</v>
      </c>
      <c r="O509" s="730" t="str">
        <f t="shared" si="365"/>
        <v>-0.674009014641487-6.98972979156105i</v>
      </c>
      <c r="P509" s="731" t="str">
        <f t="shared" si="366"/>
        <v>-0.42952772231327-0.0850749164813135i</v>
      </c>
      <c r="Q509" s="729" t="str">
        <f t="shared" si="367"/>
        <v>-0.422787632166855-0.015177618565703i</v>
      </c>
      <c r="R509" s="730"/>
      <c r="S509" s="405" t="str">
        <f t="shared" si="380"/>
        <v>37.28313441919-13.2786691273378i</v>
      </c>
      <c r="T509" s="405" t="str">
        <f t="shared" si="381"/>
        <v>13.7867828991357-6.53178203923674i</v>
      </c>
      <c r="U509" s="405" t="str">
        <f t="shared" si="382"/>
        <v>-0.280758893346916-0.875177210127933i</v>
      </c>
      <c r="V509" s="731" t="str">
        <f t="shared" si="368"/>
        <v>6000</v>
      </c>
      <c r="W509" s="733" t="str">
        <f>IMSUM(COMPLEX(1,0),IMDIV(COMPLEX(0,2*PI()*D509),COMPLEX(2*PI()*'Stability Calculations'!EA_Pole1,0)))</f>
        <v>1+429041.528170275i</v>
      </c>
      <c r="X509" s="734">
        <f t="shared" si="383"/>
        <v>429041.52817144035</v>
      </c>
      <c r="Y509" s="735">
        <f t="shared" si="384"/>
        <v>1.57079399601819</v>
      </c>
      <c r="Z509" s="340" t="str">
        <f>IMSUM(COMPLEX(1,0),IMDIV(COMPLEX(0,2*PI()*D509),COMPLEX(2*PI()*'Stability Calculations'!EA_Zero1,0)))</f>
        <v>1+4247.93592247797i</v>
      </c>
      <c r="AA509" s="734">
        <f t="shared" si="385"/>
        <v>4247.9360401821923</v>
      </c>
      <c r="AB509" s="735">
        <f t="shared" si="386"/>
        <v>1.570560918351884</v>
      </c>
      <c r="AC509" s="733" t="str">
        <f>IMSUM(COMPLEX(1,0),IMDIV(COMPLEX(0,2*PI()*D509),COMPLEX(2*PI()*'Stability Calculations'!EA_Pole2,0)))</f>
        <v>1+42.7913961478566i</v>
      </c>
      <c r="AD509" s="734">
        <f t="shared" si="387"/>
        <v>42.803079144879248</v>
      </c>
      <c r="AE509" s="735">
        <f t="shared" si="388"/>
        <v>1.5474313957562367</v>
      </c>
      <c r="AF509" s="732" t="str">
        <f t="shared" si="389"/>
        <v>0.032101592386008-1.38751815502331i</v>
      </c>
      <c r="AG509" s="337">
        <f t="shared" si="390"/>
        <v>1.3878894562439068</v>
      </c>
      <c r="AH509" s="730">
        <f t="shared" si="391"/>
        <v>-1.5476644734225424</v>
      </c>
      <c r="AI509" s="731" t="str">
        <f t="shared" si="369"/>
        <v>10000</v>
      </c>
      <c r="AJ509" s="733" t="str">
        <f t="shared" si="392"/>
        <v>1+399984.796873343i</v>
      </c>
      <c r="AK509" s="734">
        <f t="shared" si="393"/>
        <v>399984.79687459307</v>
      </c>
      <c r="AL509" s="735">
        <f t="shared" si="394"/>
        <v>1.5707938266998736</v>
      </c>
      <c r="AM509" s="340" t="str">
        <f t="shared" si="395"/>
        <v>1+678.820160411979i</v>
      </c>
      <c r="AN509" s="734">
        <f t="shared" si="396"/>
        <v>678.82089698369248</v>
      </c>
      <c r="AO509" s="735">
        <f t="shared" si="397"/>
        <v>1.5693231836342554</v>
      </c>
      <c r="AP509" s="733" t="str">
        <f t="shared" si="398"/>
        <v>1+32.9238967001351i</v>
      </c>
      <c r="AQ509" s="734">
        <f t="shared" si="399"/>
        <v>32.939079737010978</v>
      </c>
      <c r="AR509" s="735">
        <f t="shared" si="400"/>
        <v>1.5404325860962189</v>
      </c>
      <c r="AS509" s="732" t="str">
        <f t="shared" si="401"/>
        <v>0.000599233730845318-3.46188882805692i</v>
      </c>
      <c r="AT509" s="337">
        <f t="shared" si="402"/>
        <v>3.4618888799189347</v>
      </c>
      <c r="AU509" s="730">
        <f t="shared" si="403"/>
        <v>-1.5706232323500362</v>
      </c>
      <c r="AV509" s="732" t="str">
        <f t="shared" si="404"/>
        <v>-0.0669549527781156+0.0298312379331367i</v>
      </c>
      <c r="AW509" s="337">
        <f t="shared" si="405"/>
        <v>-22.697937919646961</v>
      </c>
      <c r="AX509" s="730">
        <f t="shared" si="406"/>
        <v>155.98502397910144</v>
      </c>
      <c r="AY509" s="360">
        <f t="shared" si="407"/>
        <v>-24.014976020898558</v>
      </c>
      <c r="BB509" s="337">
        <f t="shared" si="408"/>
        <v>-29.213737525356564</v>
      </c>
      <c r="BC509" s="730">
        <f t="shared" si="409"/>
        <v>-89.990082418852339</v>
      </c>
      <c r="BD509" s="351"/>
      <c r="BE509" s="337">
        <f t="shared" si="370"/>
        <v>25.209604173707053</v>
      </c>
      <c r="BF509" s="730">
        <f t="shared" si="371"/>
        <v>-89.761403907779567</v>
      </c>
      <c r="BI509" s="351"/>
      <c r="BJ509" s="351"/>
      <c r="BL509" s="405">
        <f t="shared" si="372"/>
        <v>0</v>
      </c>
      <c r="BM509" s="405">
        <f t="shared" si="410"/>
        <v>0</v>
      </c>
      <c r="BN509" s="405">
        <f t="shared" si="373"/>
        <v>0</v>
      </c>
      <c r="BO509" s="405">
        <f t="shared" si="374"/>
        <v>0</v>
      </c>
    </row>
    <row r="510" spans="4:67" ht="13.5" thickBot="1" x14ac:dyDescent="0.25">
      <c r="D510" s="345">
        <v>68001.75</v>
      </c>
      <c r="E510" s="340" t="str">
        <f t="shared" si="361"/>
        <v>1.127986454661i</v>
      </c>
      <c r="F510" s="728" t="str">
        <f t="shared" si="375"/>
        <v>0.005-0.0383680924055041i</v>
      </c>
      <c r="G510" s="337" t="str">
        <f t="shared" si="376"/>
        <v>0.005-0.060011631711173i</v>
      </c>
      <c r="H510" s="338" t="str">
        <f t="shared" si="377"/>
        <v>0.00789635332171638-0.0593781273133884i</v>
      </c>
      <c r="I510" s="338" t="str">
        <f t="shared" si="378"/>
        <v>0.0178963533217164-0.0593781273133884i</v>
      </c>
      <c r="J510" s="337" t="str">
        <f t="shared" si="379"/>
        <v>0.0045664258129743-0.0234617585666621i</v>
      </c>
      <c r="K510" s="338" t="str">
        <f t="shared" si="362"/>
        <v>0.94861957774375-0.356056330385416i</v>
      </c>
      <c r="L510" s="732"/>
      <c r="M510" s="732" t="str">
        <f t="shared" si="363"/>
        <v>0.0748597060742608-18.1070266961216i</v>
      </c>
      <c r="N510" s="337">
        <f t="shared" si="364"/>
        <v>0</v>
      </c>
      <c r="O510" s="730" t="str">
        <f t="shared" si="365"/>
        <v>-0.671528522519559-6.94637831080132i</v>
      </c>
      <c r="P510" s="731" t="str">
        <f t="shared" si="366"/>
        <v>-0.424480847410342-0.0844407344516701i</v>
      </c>
      <c r="Q510" s="729" t="str">
        <f t="shared" si="367"/>
        <v>-0.417765562185147-0.0149769513436565i</v>
      </c>
      <c r="R510" s="730"/>
      <c r="S510" s="405" t="str">
        <f t="shared" si="380"/>
        <v>37.2479155424073-13.3585057355539i</v>
      </c>
      <c r="T510" s="405" t="str">
        <f t="shared" si="381"/>
        <v>13.7668206468144-6.56302408666269i</v>
      </c>
      <c r="U510" s="405" t="str">
        <f t="shared" si="382"/>
        <v>-0.280992399834748-0.869271986114359i</v>
      </c>
      <c r="V510" s="731" t="str">
        <f t="shared" si="368"/>
        <v>6000</v>
      </c>
      <c r="W510" s="733" t="str">
        <f>IMSUM(COMPLEX(1,0),IMDIV(COMPLEX(0,2*PI()*D510),COMPLEX(2*PI()*'Stability Calculations'!EA_Pole1,0)))</f>
        <v>1+431540.272427124i</v>
      </c>
      <c r="X510" s="734">
        <f t="shared" si="383"/>
        <v>431540.27242828265</v>
      </c>
      <c r="Y510" s="735">
        <f t="shared" si="384"/>
        <v>1.5707940095140682</v>
      </c>
      <c r="Z510" s="340" t="str">
        <f>IMSUM(COMPLEX(1,0),IMDIV(COMPLEX(0,2*PI()*D510),COMPLEX(2*PI()*'Stability Calculations'!EA_Zero1,0)))</f>
        <v>1+4272.67596462499i</v>
      </c>
      <c r="AA510" s="734">
        <f t="shared" si="385"/>
        <v>4272.6760816476708</v>
      </c>
      <c r="AB510" s="735">
        <f t="shared" si="386"/>
        <v>1.5705622814354965</v>
      </c>
      <c r="AC510" s="733" t="str">
        <f>IMSUM(COMPLEX(1,0),IMDIV(COMPLEX(0,2*PI()*D510),COMPLEX(2*PI()*'Stability Calculations'!EA_Pole2,0)))</f>
        <v>1+43.0406138770191i</v>
      </c>
      <c r="AD510" s="734">
        <f t="shared" si="387"/>
        <v>43.052229244380001</v>
      </c>
      <c r="AE510" s="735">
        <f t="shared" si="388"/>
        <v>1.5475666367269976</v>
      </c>
      <c r="AF510" s="732" t="str">
        <f t="shared" si="389"/>
        <v>0.0317311134630971-1.37949262717645i</v>
      </c>
      <c r="AG510" s="337">
        <f t="shared" si="390"/>
        <v>1.3798575187300288</v>
      </c>
      <c r="AH510" s="730">
        <f t="shared" si="391"/>
        <v>-1.5477983648055693</v>
      </c>
      <c r="AI510" s="731" t="str">
        <f t="shared" si="369"/>
        <v>10000</v>
      </c>
      <c r="AJ510" s="733" t="str">
        <f t="shared" si="392"/>
        <v>1+402314.314293898i</v>
      </c>
      <c r="AK510" s="734">
        <f t="shared" si="393"/>
        <v>402314.31429514079</v>
      </c>
      <c r="AL510" s="735">
        <f t="shared" si="394"/>
        <v>1.5707938411761542</v>
      </c>
      <c r="AM510" s="340" t="str">
        <f t="shared" si="395"/>
        <v>1+682.773619147073i</v>
      </c>
      <c r="AN510" s="734">
        <f t="shared" si="396"/>
        <v>682.77435145382572</v>
      </c>
      <c r="AO510" s="735">
        <f t="shared" si="397"/>
        <v>1.5693317135513174</v>
      </c>
      <c r="AP510" s="733" t="str">
        <f t="shared" si="398"/>
        <v>1+33.1156459653949i</v>
      </c>
      <c r="AQ510" s="734">
        <f t="shared" si="399"/>
        <v>33.130741128223733</v>
      </c>
      <c r="AR510" s="735">
        <f t="shared" si="400"/>
        <v>1.540608293919302</v>
      </c>
      <c r="AS510" s="732" t="str">
        <f t="shared" si="401"/>
        <v>0.000592314345099793-3.44184348150226i</v>
      </c>
      <c r="AT510" s="337">
        <f t="shared" si="402"/>
        <v>3.4418435324685928</v>
      </c>
      <c r="AU510" s="730">
        <f t="shared" si="403"/>
        <v>-1.5706242346174237</v>
      </c>
      <c r="AV510" s="732" t="str">
        <f t="shared" si="404"/>
        <v>-0.0660867077188501+0.0296463281596921i</v>
      </c>
      <c r="AW510" s="337">
        <f t="shared" si="405"/>
        <v>-22.801421013959725</v>
      </c>
      <c r="AX510" s="730">
        <f t="shared" si="406"/>
        <v>155.83911764093975</v>
      </c>
      <c r="AY510" s="360">
        <f t="shared" si="407"/>
        <v>-24.160882359060253</v>
      </c>
      <c r="BB510" s="337">
        <f t="shared" si="408"/>
        <v>-29.264177535079394</v>
      </c>
      <c r="BC510" s="730">
        <f t="shared" si="409"/>
        <v>-89.990139844543592</v>
      </c>
      <c r="BD510" s="351"/>
      <c r="BE510" s="337">
        <f t="shared" si="370"/>
        <v>25.157017068415037</v>
      </c>
      <c r="BF510" s="730">
        <f t="shared" si="371"/>
        <v>-89.763123960179826</v>
      </c>
      <c r="BI510" s="351"/>
      <c r="BJ510" s="351"/>
      <c r="BL510" s="405">
        <f t="shared" si="372"/>
        <v>0</v>
      </c>
      <c r="BM510" s="405">
        <f t="shared" si="410"/>
        <v>0</v>
      </c>
      <c r="BN510" s="405">
        <f t="shared" si="373"/>
        <v>0</v>
      </c>
      <c r="BO510" s="405">
        <f t="shared" si="374"/>
        <v>0</v>
      </c>
    </row>
    <row r="511" spans="4:67" ht="13.5" thickBot="1" x14ac:dyDescent="0.25">
      <c r="D511" s="345">
        <v>68395.5</v>
      </c>
      <c r="E511" s="340" t="str">
        <f t="shared" si="361"/>
        <v>1.13451782578781i</v>
      </c>
      <c r="F511" s="728" t="str">
        <f t="shared" si="375"/>
        <v>0.005-0.0381472089207037i</v>
      </c>
      <c r="G511" s="337" t="str">
        <f t="shared" si="376"/>
        <v>0.005-0.0596661472862287i</v>
      </c>
      <c r="H511" s="338" t="str">
        <f t="shared" si="377"/>
        <v>0.00786294569501589-0.0590379215735082i</v>
      </c>
      <c r="I511" s="338" t="str">
        <f t="shared" si="378"/>
        <v>0.0178629456950159-0.0590379215735082i</v>
      </c>
      <c r="J511" s="337" t="str">
        <f t="shared" si="379"/>
        <v>0.00456111967800484-0.0233276203881351i</v>
      </c>
      <c r="K511" s="338" t="str">
        <f t="shared" si="362"/>
        <v>0.948022839775-0.358118000564335i</v>
      </c>
      <c r="L511" s="732"/>
      <c r="M511" s="732" t="str">
        <f t="shared" si="363"/>
        <v>0.0738783754347069-17.998415514016i</v>
      </c>
      <c r="N511" s="337">
        <f t="shared" si="364"/>
        <v>0</v>
      </c>
      <c r="O511" s="730" t="str">
        <f t="shared" si="365"/>
        <v>-0.669086036169039-6.90355246585137i</v>
      </c>
      <c r="P511" s="731" t="str">
        <f t="shared" si="366"/>
        <v>-0.419523236586912-0.0838163338709189i</v>
      </c>
      <c r="Q511" s="729" t="str">
        <f t="shared" si="367"/>
        <v>-0.412832376225222-0.0147808092124052i</v>
      </c>
      <c r="R511" s="730"/>
      <c r="S511" s="405" t="str">
        <f t="shared" si="380"/>
        <v>37.2124841184632-13.4382159558132i</v>
      </c>
      <c r="T511" s="405" t="str">
        <f t="shared" si="381"/>
        <v>13.7467569839683-6.59421216130219i</v>
      </c>
      <c r="U511" s="405" t="str">
        <f t="shared" si="382"/>
        <v>-0.281218576770508-0.863429892835329i</v>
      </c>
      <c r="V511" s="731" t="str">
        <f t="shared" si="368"/>
        <v>6000</v>
      </c>
      <c r="W511" s="733" t="str">
        <f>IMSUM(COMPLEX(1,0),IMDIV(COMPLEX(0,2*PI()*D511),COMPLEX(2*PI()*'Stability Calculations'!EA_Pole1,0)))</f>
        <v>1+434039.016683973i</v>
      </c>
      <c r="X511" s="734">
        <f t="shared" si="383"/>
        <v>434039.01668512501</v>
      </c>
      <c r="Y511" s="735">
        <f t="shared" si="384"/>
        <v>1.5707940228545558</v>
      </c>
      <c r="Z511" s="340" t="str">
        <f>IMSUM(COMPLEX(1,0),IMDIV(COMPLEX(0,2*PI()*D511),COMPLEX(2*PI()*'Stability Calculations'!EA_Zero1,0)))</f>
        <v>1+4297.41600677201i</v>
      </c>
      <c r="AA511" s="734">
        <f t="shared" si="385"/>
        <v>4297.4161231209964</v>
      </c>
      <c r="AB511" s="735">
        <f t="shared" si="386"/>
        <v>1.5705636288246805</v>
      </c>
      <c r="AC511" s="733" t="str">
        <f>IMSUM(COMPLEX(1,0),IMDIV(COMPLEX(0,2*PI()*D511),COMPLEX(2*PI()*'Stability Calculations'!EA_Pole2,0)))</f>
        <v>1+43.2898316061817i</v>
      </c>
      <c r="AD511" s="734">
        <f t="shared" si="387"/>
        <v>43.301380122249775</v>
      </c>
      <c r="AE511" s="735">
        <f t="shared" si="388"/>
        <v>1.5477003213799663</v>
      </c>
      <c r="AF511" s="732" t="str">
        <f t="shared" si="389"/>
        <v>0.0313670100487982-1.37155935730333i</v>
      </c>
      <c r="AG511" s="337">
        <f t="shared" si="390"/>
        <v>1.3719179858598416</v>
      </c>
      <c r="AH511" s="730">
        <f t="shared" si="391"/>
        <v>-1.5479307154098416</v>
      </c>
      <c r="AI511" s="731" t="str">
        <f t="shared" si="369"/>
        <v>10000</v>
      </c>
      <c r="AJ511" s="733" t="str">
        <f t="shared" si="392"/>
        <v>1+404643.831714453i</v>
      </c>
      <c r="AK511" s="734">
        <f t="shared" si="393"/>
        <v>404643.83171568863</v>
      </c>
      <c r="AL511" s="735">
        <f t="shared" si="394"/>
        <v>1.5707938554857561</v>
      </c>
      <c r="AM511" s="340" t="str">
        <f t="shared" si="395"/>
        <v>1+686.727077882167i</v>
      </c>
      <c r="AN511" s="734">
        <f t="shared" si="396"/>
        <v>686.72780597306519</v>
      </c>
      <c r="AO511" s="735">
        <f t="shared" si="397"/>
        <v>1.5693401452558458</v>
      </c>
      <c r="AP511" s="733" t="str">
        <f t="shared" si="398"/>
        <v>1+33.3073952306546i</v>
      </c>
      <c r="AQ511" s="734">
        <f t="shared" si="399"/>
        <v>33.322403530523317</v>
      </c>
      <c r="AR511" s="735">
        <f t="shared" si="400"/>
        <v>1.540781980489929</v>
      </c>
      <c r="AS511" s="732" t="str">
        <f t="shared" si="401"/>
        <v>0.00058551411886045-3.4220289353514i</v>
      </c>
      <c r="AT511" s="337">
        <f t="shared" si="402"/>
        <v>3.4220289854425578</v>
      </c>
      <c r="AU511" s="730">
        <f t="shared" si="403"/>
        <v>-1.5706252253447897</v>
      </c>
      <c r="AV511" s="732" t="str">
        <f t="shared" si="404"/>
        <v>-0.0652334792545038+0.029463317716741i</v>
      </c>
      <c r="AW511" s="337">
        <f t="shared" si="405"/>
        <v>-22.904337759723319</v>
      </c>
      <c r="AX511" s="730">
        <f t="shared" si="406"/>
        <v>155.69323536825971</v>
      </c>
      <c r="AY511" s="360">
        <f t="shared" si="407"/>
        <v>-24.306764631740293</v>
      </c>
      <c r="BB511" s="337">
        <f t="shared" si="408"/>
        <v>-29.314326323926153</v>
      </c>
      <c r="BC511" s="730">
        <f t="shared" si="409"/>
        <v>-89.990196609040311</v>
      </c>
      <c r="BD511" s="351"/>
      <c r="BE511" s="337">
        <f t="shared" si="370"/>
        <v>25.10475864792452</v>
      </c>
      <c r="BF511" s="730">
        <f t="shared" si="371"/>
        <v>-89.764818445624329</v>
      </c>
      <c r="BI511" s="351"/>
      <c r="BJ511" s="351"/>
      <c r="BL511" s="405">
        <f t="shared" si="372"/>
        <v>0</v>
      </c>
      <c r="BM511" s="405">
        <f t="shared" si="410"/>
        <v>0</v>
      </c>
      <c r="BN511" s="405">
        <f t="shared" si="373"/>
        <v>0</v>
      </c>
      <c r="BO511" s="405">
        <f t="shared" si="374"/>
        <v>0</v>
      </c>
    </row>
    <row r="512" spans="4:67" ht="13.5" thickBot="1" x14ac:dyDescent="0.25">
      <c r="D512" s="345">
        <v>68789.25</v>
      </c>
      <c r="E512" s="340" t="str">
        <f t="shared" si="361"/>
        <v>1.14104919691462i</v>
      </c>
      <c r="F512" s="728" t="str">
        <f t="shared" si="375"/>
        <v>0.005-0.0379288541121758i</v>
      </c>
      <c r="G512" s="337" t="str">
        <f t="shared" si="376"/>
        <v>0.005-0.0593246179703264i</v>
      </c>
      <c r="H512" s="338" t="str">
        <f t="shared" si="377"/>
        <v>0.00783010830161332-0.0587015828214769i</v>
      </c>
      <c r="I512" s="338" t="str">
        <f t="shared" si="378"/>
        <v>0.0178301083016133-0.0587015828214769i</v>
      </c>
      <c r="J512" s="337" t="str">
        <f t="shared" si="379"/>
        <v>0.00455590062517711-0.0231950201746955i</v>
      </c>
      <c r="K512" s="338" t="str">
        <f t="shared" si="362"/>
        <v>0.94742265649375-0.360179670743253i</v>
      </c>
      <c r="L512" s="732"/>
      <c r="M512" s="732" t="str">
        <f t="shared" si="363"/>
        <v>0.0729166515249006-17.8911240975171i</v>
      </c>
      <c r="N512" s="337">
        <f t="shared" si="364"/>
        <v>0</v>
      </c>
      <c r="O512" s="730" t="str">
        <f t="shared" si="365"/>
        <v>-0.66668066398069-6.86124250099261i</v>
      </c>
      <c r="P512" s="731" t="str">
        <f t="shared" si="366"/>
        <v>-0.414652783371622-0.0832014866641908i</v>
      </c>
      <c r="Q512" s="729" t="str">
        <f t="shared" si="367"/>
        <v>-0.407985976731815-0.0145890616542651i</v>
      </c>
      <c r="R512" s="730"/>
      <c r="S512" s="405" t="str">
        <f t="shared" si="380"/>
        <v>37.1768402758637-13.5177997999371i</v>
      </c>
      <c r="T512" s="405" t="str">
        <f t="shared" si="381"/>
        <v>13.7265921052667-6.62534559338665i</v>
      </c>
      <c r="U512" s="405" t="str">
        <f t="shared" si="382"/>
        <v>-0.281437570274784-0.857649856855776i</v>
      </c>
      <c r="V512" s="731" t="str">
        <f t="shared" si="368"/>
        <v>6000</v>
      </c>
      <c r="W512" s="733" t="str">
        <f>IMSUM(COMPLEX(1,0),IMDIV(COMPLEX(0,2*PI()*D512),COMPLEX(2*PI()*'Stability Calculations'!EA_Pole1,0)))</f>
        <v>1+436537.760940822i</v>
      </c>
      <c r="X512" s="734">
        <f t="shared" si="383"/>
        <v>436537.76094196737</v>
      </c>
      <c r="Y512" s="735">
        <f t="shared" si="384"/>
        <v>1.5707940360423216</v>
      </c>
      <c r="Z512" s="340" t="str">
        <f>IMSUM(COMPLEX(1,0),IMDIV(COMPLEX(0,2*PI()*D512),COMPLEX(2*PI()*'Stability Calculations'!EA_Zero1,0)))</f>
        <v>1+4322.15604891903i</v>
      </c>
      <c r="AA512" s="734">
        <f t="shared" si="385"/>
        <v>4322.1561646020336</v>
      </c>
      <c r="AB512" s="735">
        <f t="shared" si="386"/>
        <v>1.5705649607889407</v>
      </c>
      <c r="AC512" s="733" t="str">
        <f>IMSUM(COMPLEX(1,0),IMDIV(COMPLEX(0,2*PI()*D512),COMPLEX(2*PI()*'Stability Calculations'!EA_Pole2,0)))</f>
        <v>1+43.5390493353442i</v>
      </c>
      <c r="AD512" s="734">
        <f t="shared" si="387"/>
        <v>43.5505317651293</v>
      </c>
      <c r="AE512" s="735">
        <f t="shared" si="388"/>
        <v>1.5478324764213032</v>
      </c>
      <c r="AF512" s="732" t="str">
        <f t="shared" si="389"/>
        <v>0.0310091367165838-1.36371676448886i</v>
      </c>
      <c r="AG512" s="337">
        <f t="shared" si="390"/>
        <v>1.3640692725473558</v>
      </c>
      <c r="AH512" s="730">
        <f t="shared" si="391"/>
        <v>-1.5480615516746841</v>
      </c>
      <c r="AI512" s="731" t="str">
        <f t="shared" si="369"/>
        <v>10000</v>
      </c>
      <c r="AJ512" s="733" t="str">
        <f t="shared" si="392"/>
        <v>1+406973.349135008i</v>
      </c>
      <c r="AK512" s="734">
        <f t="shared" si="393"/>
        <v>406973.34913623665</v>
      </c>
      <c r="AL512" s="735">
        <f t="shared" si="394"/>
        <v>1.5707938696315416</v>
      </c>
      <c r="AM512" s="340" t="str">
        <f t="shared" si="395"/>
        <v>1+690.680536617261i</v>
      </c>
      <c r="AN512" s="734">
        <f t="shared" si="396"/>
        <v>690.68126054056779</v>
      </c>
      <c r="AO512" s="735">
        <f t="shared" si="397"/>
        <v>1.5693484804343425</v>
      </c>
      <c r="AP512" s="733" t="str">
        <f t="shared" si="398"/>
        <v>1+33.4991444959143i</v>
      </c>
      <c r="AQ512" s="734">
        <f t="shared" si="399"/>
        <v>33.514066926563018</v>
      </c>
      <c r="AR512" s="735">
        <f t="shared" si="400"/>
        <v>1.5409536804755155</v>
      </c>
      <c r="AS512" s="732" t="str">
        <f t="shared" si="401"/>
        <v>0.000578830331672466-3.4024412262969i</v>
      </c>
      <c r="AT512" s="337">
        <f t="shared" si="402"/>
        <v>3.4024412755328055</v>
      </c>
      <c r="AU512" s="730">
        <f t="shared" si="403"/>
        <v>-1.5706262047302995</v>
      </c>
      <c r="AV512" s="732" t="str">
        <f t="shared" si="404"/>
        <v>-0.0643949247822981+0.0292821767428335i</v>
      </c>
      <c r="AW512" s="337">
        <f t="shared" si="405"/>
        <v>-23.006694887366997</v>
      </c>
      <c r="AX512" s="730">
        <f t="shared" si="406"/>
        <v>155.54737664842526</v>
      </c>
      <c r="AY512" s="360">
        <f t="shared" si="407"/>
        <v>-24.452623351574744</v>
      </c>
      <c r="BB512" s="337">
        <f t="shared" si="408"/>
        <v>-29.36418723539273</v>
      </c>
      <c r="BC512" s="730">
        <f t="shared" si="409"/>
        <v>-89.990252723696528</v>
      </c>
      <c r="BD512" s="351"/>
      <c r="BE512" s="337">
        <f t="shared" si="370"/>
        <v>25.052824699193287</v>
      </c>
      <c r="BF512" s="730">
        <f t="shared" si="371"/>
        <v>-89.766487939246844</v>
      </c>
      <c r="BI512" s="351"/>
      <c r="BJ512" s="351"/>
      <c r="BL512" s="405">
        <f t="shared" si="372"/>
        <v>0</v>
      </c>
      <c r="BM512" s="405">
        <f t="shared" si="410"/>
        <v>0</v>
      </c>
      <c r="BN512" s="405">
        <f t="shared" si="373"/>
        <v>0</v>
      </c>
      <c r="BO512" s="405">
        <f t="shared" si="374"/>
        <v>0</v>
      </c>
    </row>
    <row r="513" spans="4:67" ht="13.5" thickBot="1" x14ac:dyDescent="0.25">
      <c r="D513" s="345">
        <v>69183</v>
      </c>
      <c r="E513" s="340" t="str">
        <f t="shared" si="361"/>
        <v>1.14758056804144i</v>
      </c>
      <c r="F513" s="728" t="str">
        <f t="shared" si="375"/>
        <v>0.005-0.0377129848045906i</v>
      </c>
      <c r="G513" s="337" t="str">
        <f t="shared" si="376"/>
        <v>0.005-0.0589869762328212i</v>
      </c>
      <c r="H513" s="338" t="str">
        <f t="shared" si="377"/>
        <v>0.00779782824724342-0.0583690456538429i</v>
      </c>
      <c r="I513" s="338" t="str">
        <f t="shared" si="378"/>
        <v>0.0177978282472434-0.0583690456538429i</v>
      </c>
      <c r="J513" s="337" t="str">
        <f t="shared" si="379"/>
        <v>0.0045507666626405-0.0230639316921228i</v>
      </c>
      <c r="K513" s="338" t="str">
        <f t="shared" si="362"/>
        <v>0.9468190279-0.362241340922171i</v>
      </c>
      <c r="L513" s="732"/>
      <c r="M513" s="732" t="str">
        <f t="shared" si="363"/>
        <v>0.0719740069411567-17.7851281311555i</v>
      </c>
      <c r="N513" s="337">
        <f t="shared" si="364"/>
        <v>0</v>
      </c>
      <c r="O513" s="730" t="str">
        <f t="shared" si="365"/>
        <v>-0.664311539816106-6.81943890454448i</v>
      </c>
      <c r="P513" s="731" t="str">
        <f t="shared" si="366"/>
        <v>-0.409867443441257-0.0825959717697513i</v>
      </c>
      <c r="Q513" s="729" t="str">
        <f t="shared" si="367"/>
        <v>-0.403224328043096-0.0144015827243068i</v>
      </c>
      <c r="R513" s="730"/>
      <c r="S513" s="405" t="str">
        <f t="shared" si="380"/>
        <v>37.1409841428025-13.5972572617304i</v>
      </c>
      <c r="T513" s="405" t="str">
        <f t="shared" si="381"/>
        <v>13.706326208224-6.65642371966942i</v>
      </c>
      <c r="U513" s="405" t="str">
        <f t="shared" si="382"/>
        <v>-0.281649522312285-0.851930829101149i</v>
      </c>
      <c r="V513" s="731" t="str">
        <f t="shared" si="368"/>
        <v>6000</v>
      </c>
      <c r="W513" s="733" t="str">
        <f>IMSUM(COMPLEX(1,0),IMDIV(COMPLEX(0,2*PI()*D513),COMPLEX(2*PI()*'Stability Calculations'!EA_Pole1,0)))</f>
        <v>1+439036.505197671i</v>
      </c>
      <c r="X513" s="734">
        <f t="shared" si="383"/>
        <v>439036.50519880984</v>
      </c>
      <c r="Y513" s="735">
        <f t="shared" si="384"/>
        <v>1.5707940490799728</v>
      </c>
      <c r="Z513" s="340" t="str">
        <f>IMSUM(COMPLEX(1,0),IMDIV(COMPLEX(0,2*PI()*D513),COMPLEX(2*PI()*'Stability Calculations'!EA_Zero1,0)))</f>
        <v>1+4346.89609106605i</v>
      </c>
      <c r="AA513" s="734">
        <f t="shared" si="385"/>
        <v>4346.8962060906515</v>
      </c>
      <c r="AB513" s="735">
        <f t="shared" si="386"/>
        <v>1.5705662775916469</v>
      </c>
      <c r="AC513" s="733" t="str">
        <f>IMSUM(COMPLEX(1,0),IMDIV(COMPLEX(0,2*PI()*D513),COMPLEX(2*PI()*'Stability Calculations'!EA_Pole2,0)))</f>
        <v>1+43.7882670645067i</v>
      </c>
      <c r="AD513" s="734">
        <f t="shared" si="387"/>
        <v>43.799684159963554</v>
      </c>
      <c r="AE513" s="735">
        <f t="shared" si="388"/>
        <v>1.547963127949719</v>
      </c>
      <c r="AF513" s="732" t="str">
        <f t="shared" si="389"/>
        <v>0.0306573521621961-1.3559633037144i</v>
      </c>
      <c r="AG513" s="337">
        <f t="shared" si="390"/>
        <v>1.3563098297445417</v>
      </c>
      <c r="AH513" s="730">
        <f t="shared" si="391"/>
        <v>-1.5481908994380449</v>
      </c>
      <c r="AI513" s="731" t="str">
        <f t="shared" si="369"/>
        <v>10000</v>
      </c>
      <c r="AJ513" s="733" t="str">
        <f t="shared" si="392"/>
        <v>1+409302.866555563i</v>
      </c>
      <c r="AK513" s="734">
        <f t="shared" si="393"/>
        <v>409302.86655678466</v>
      </c>
      <c r="AL513" s="735">
        <f t="shared" si="394"/>
        <v>1.5707938836163076</v>
      </c>
      <c r="AM513" s="340" t="str">
        <f t="shared" si="395"/>
        <v>1+694.633995352355i</v>
      </c>
      <c r="AN513" s="734">
        <f t="shared" si="396"/>
        <v>694.6347151555093</v>
      </c>
      <c r="AO513" s="735">
        <f t="shared" si="397"/>
        <v>1.5693567207349157</v>
      </c>
      <c r="AP513" s="733" t="str">
        <f t="shared" si="398"/>
        <v>1+33.690893761174i</v>
      </c>
      <c r="AQ513" s="734">
        <f t="shared" si="399"/>
        <v>33.705731299390521</v>
      </c>
      <c r="AR513" s="735">
        <f t="shared" si="400"/>
        <v>1.54112342775542</v>
      </c>
      <c r="AS513" s="732" t="str">
        <f t="shared" si="401"/>
        <v>0.000572260340276425-3.38307648125883i</v>
      </c>
      <c r="AT513" s="337">
        <f t="shared" si="402"/>
        <v>3.3830765296588439</v>
      </c>
      <c r="AU513" s="730">
        <f t="shared" si="403"/>
        <v>-1.5706271729676071</v>
      </c>
      <c r="AV513" s="732" t="str">
        <f t="shared" si="404"/>
        <v>-0.0635707114284852+0.0291028759799813i</v>
      </c>
      <c r="AW513" s="337">
        <f t="shared" si="405"/>
        <v>-23.108499012531777</v>
      </c>
      <c r="AX513" s="730">
        <f t="shared" si="406"/>
        <v>155.40154098283131</v>
      </c>
      <c r="AY513" s="360">
        <f t="shared" si="407"/>
        <v>-24.598459017168693</v>
      </c>
      <c r="BB513" s="337">
        <f t="shared" si="408"/>
        <v>-29.413763555723644</v>
      </c>
      <c r="BC513" s="730">
        <f t="shared" si="409"/>
        <v>-89.990308199607824</v>
      </c>
      <c r="BD513" s="351"/>
      <c r="BE513" s="337">
        <f t="shared" si="370"/>
        <v>25.001211091593163</v>
      </c>
      <c r="BF513" s="730">
        <f t="shared" si="371"/>
        <v>-89.768132999089673</v>
      </c>
      <c r="BI513" s="351"/>
      <c r="BJ513" s="351"/>
      <c r="BL513" s="405">
        <f t="shared" si="372"/>
        <v>0</v>
      </c>
      <c r="BM513" s="405">
        <f t="shared" si="410"/>
        <v>0</v>
      </c>
      <c r="BN513" s="405">
        <f t="shared" si="373"/>
        <v>0</v>
      </c>
      <c r="BO513" s="405">
        <f t="shared" si="374"/>
        <v>0</v>
      </c>
    </row>
    <row r="514" spans="4:67" ht="13.5" thickBot="1" x14ac:dyDescent="0.25">
      <c r="D514" s="345">
        <v>69586</v>
      </c>
      <c r="E514" s="340" t="str">
        <f t="shared" si="361"/>
        <v>1.15426537455345i</v>
      </c>
      <c r="F514" s="728" t="str">
        <f t="shared" si="375"/>
        <v>0.005-0.0374945740197165i</v>
      </c>
      <c r="G514" s="337" t="str">
        <f t="shared" si="376"/>
        <v>0.005-0.0586453593641721i</v>
      </c>
      <c r="H514" s="338" t="str">
        <f t="shared" si="377"/>
        <v>0.0077653539235164-0.0580325663751499i</v>
      </c>
      <c r="I514" s="338" t="str">
        <f t="shared" si="378"/>
        <v>0.0177653539235164-0.0580325663751499i</v>
      </c>
      <c r="J514" s="337" t="str">
        <f t="shared" si="379"/>
        <v>0.00454559818520928-0.0229313023326687i</v>
      </c>
      <c r="K514" s="338" t="str">
        <f t="shared" si="362"/>
        <v>0.946197651155556-0.364351443987832i</v>
      </c>
      <c r="L514" s="732"/>
      <c r="M514" s="732" t="str">
        <f t="shared" si="363"/>
        <v>0.0710284428576951-17.6779588136864i</v>
      </c>
      <c r="N514" s="337">
        <f t="shared" si="364"/>
        <v>0</v>
      </c>
      <c r="O514" s="730" t="str">
        <f t="shared" si="365"/>
        <v>-0.661923417279014-6.77716792842622i</v>
      </c>
      <c r="P514" s="731" t="str">
        <f t="shared" si="366"/>
        <v>-0.405055751420156-0.0819856721990857i</v>
      </c>
      <c r="Q514" s="729" t="str">
        <f t="shared" si="367"/>
        <v>-0.398436517247366-0.0142139929148237i</v>
      </c>
      <c r="R514" s="730"/>
      <c r="S514" s="405" t="str">
        <f t="shared" si="380"/>
        <v>37.1040659790225-13.678450447674i</v>
      </c>
      <c r="T514" s="405" t="str">
        <f t="shared" si="381"/>
        <v>13.6854798266179-6.68817397982807i</v>
      </c>
      <c r="U514" s="405" t="str">
        <f t="shared" si="382"/>
        <v>-0.281859305946091-0.846139554469397i</v>
      </c>
      <c r="V514" s="731" t="str">
        <f t="shared" si="368"/>
        <v>6000</v>
      </c>
      <c r="W514" s="733" t="str">
        <f>IMSUM(COMPLEX(1,0),IMDIV(COMPLEX(0,2*PI()*D514),COMPLEX(2*PI()*'Stability Calculations'!EA_Pole1,0)))</f>
        <v>1+441593.950113253i</v>
      </c>
      <c r="X514" s="734">
        <f t="shared" si="383"/>
        <v>441593.95011438534</v>
      </c>
      <c r="Y514" s="735">
        <f t="shared" si="384"/>
        <v>1.5707940622711192</v>
      </c>
      <c r="Z514" s="340" t="str">
        <f>IMSUM(COMPLEX(1,0),IMDIV(COMPLEX(0,2*PI()*D514),COMPLEX(2*PI()*'Stability Calculations'!EA_Zero1,0)))</f>
        <v>1+4372.21732785399i</v>
      </c>
      <c r="AA514" s="734">
        <f t="shared" si="385"/>
        <v>4372.217442212439</v>
      </c>
      <c r="AB514" s="735">
        <f t="shared" si="386"/>
        <v>1.5705676098973644</v>
      </c>
      <c r="AC514" s="733" t="str">
        <f>IMSUM(COMPLEX(1,0),IMDIV(COMPLEX(0,2*PI()*D514),COMPLEX(2*PI()*'Stability Calculations'!EA_Pole2,0)))</f>
        <v>1+44.0433394323861i</v>
      </c>
      <c r="AD514" s="734">
        <f t="shared" si="387"/>
        <v>44.054690424021551</v>
      </c>
      <c r="AE514" s="735">
        <f t="shared" si="388"/>
        <v>1.5480953184610506</v>
      </c>
      <c r="AF514" s="732" t="str">
        <f t="shared" si="389"/>
        <v>0.0303034651896188-1.34811841982339i</v>
      </c>
      <c r="AG514" s="337">
        <f t="shared" si="390"/>
        <v>1.3484589626197796</v>
      </c>
      <c r="AH514" s="730">
        <f t="shared" si="391"/>
        <v>-1.5483217708348054</v>
      </c>
      <c r="AI514" s="731" t="str">
        <f t="shared" si="369"/>
        <v>10000</v>
      </c>
      <c r="AJ514" s="733" t="str">
        <f t="shared" si="392"/>
        <v>1+411687.109147268i</v>
      </c>
      <c r="AK514" s="734">
        <f t="shared" si="393"/>
        <v>411687.1091484825</v>
      </c>
      <c r="AL514" s="735">
        <f t="shared" si="394"/>
        <v>1.5707938977657194</v>
      </c>
      <c r="AM514" s="340" t="str">
        <f t="shared" si="395"/>
        <v>1+698.680328991067i</v>
      </c>
      <c r="AN514" s="734">
        <f t="shared" si="396"/>
        <v>698.68104462556141</v>
      </c>
      <c r="AO514" s="735">
        <f t="shared" si="397"/>
        <v>1.569365058050576</v>
      </c>
      <c r="AP514" s="733" t="str">
        <f t="shared" si="398"/>
        <v>1+33.8871476123478i</v>
      </c>
      <c r="AQ514" s="734">
        <f t="shared" si="399"/>
        <v>33.901899258021665</v>
      </c>
      <c r="AR514" s="735">
        <f t="shared" si="400"/>
        <v>1.5412951752485451</v>
      </c>
      <c r="AS514" s="732" t="str">
        <f t="shared" si="401"/>
        <v>0.000565651163078853-3.3634837507584i</v>
      </c>
      <c r="AT514" s="337">
        <f t="shared" si="402"/>
        <v>3.3634837983223638</v>
      </c>
      <c r="AU514" s="730">
        <f t="shared" si="403"/>
        <v>-1.5706281526041879</v>
      </c>
      <c r="AV514" s="732" t="str">
        <f t="shared" si="404"/>
        <v>-0.0627416485023976+0.0289212387205504i</v>
      </c>
      <c r="AW514" s="337">
        <f t="shared" si="405"/>
        <v>-23.212128871328915</v>
      </c>
      <c r="AX514" s="730">
        <f t="shared" si="406"/>
        <v>155.25230270351037</v>
      </c>
      <c r="AY514" s="360">
        <f t="shared" si="407"/>
        <v>-24.747697296489633</v>
      </c>
      <c r="BB514" s="337">
        <f t="shared" si="408"/>
        <v>-29.464213198875214</v>
      </c>
      <c r="BC514" s="730">
        <f t="shared" si="409"/>
        <v>-89.990364328649363</v>
      </c>
      <c r="BD514" s="351"/>
      <c r="BE514" s="337">
        <f t="shared" si="370"/>
        <v>24.948712464990056</v>
      </c>
      <c r="BF514" s="730">
        <f t="shared" si="371"/>
        <v>-89.769791968363322</v>
      </c>
      <c r="BI514" s="351"/>
      <c r="BJ514" s="351"/>
      <c r="BL514" s="405">
        <f t="shared" si="372"/>
        <v>0</v>
      </c>
      <c r="BM514" s="405">
        <f t="shared" si="410"/>
        <v>0</v>
      </c>
      <c r="BN514" s="405">
        <f t="shared" si="373"/>
        <v>0</v>
      </c>
      <c r="BO514" s="405">
        <f t="shared" si="374"/>
        <v>0</v>
      </c>
    </row>
    <row r="515" spans="4:67" ht="13.5" thickBot="1" x14ac:dyDescent="0.25">
      <c r="D515" s="345">
        <v>69989</v>
      </c>
      <c r="E515" s="340" t="str">
        <f t="shared" si="361"/>
        <v>1.16095018106547i</v>
      </c>
      <c r="F515" s="728" t="str">
        <f t="shared" si="375"/>
        <v>0.005-0.0372786784742744i</v>
      </c>
      <c r="G515" s="337" t="str">
        <f t="shared" si="376"/>
        <v>0.005-0.0583076765879676i</v>
      </c>
      <c r="H515" s="338" t="str">
        <f t="shared" si="377"/>
        <v>0.00773343724933863-0.0576999354084415i</v>
      </c>
      <c r="I515" s="338" t="str">
        <f t="shared" si="378"/>
        <v>0.0177334372493386-0.0576999354084415i</v>
      </c>
      <c r="J515" s="337" t="str">
        <f t="shared" si="379"/>
        <v>0.00454051479920304-0.0228002028411625i</v>
      </c>
      <c r="K515" s="338" t="str">
        <f t="shared" si="362"/>
        <v>0.945572665322222-0.366461547053493i</v>
      </c>
      <c r="L515" s="732"/>
      <c r="M515" s="732" t="str">
        <f t="shared" si="363"/>
        <v>0.0701018034042569-17.5720968979209i</v>
      </c>
      <c r="N515" s="337">
        <f t="shared" si="364"/>
        <v>0</v>
      </c>
      <c r="O515" s="730" t="str">
        <f t="shared" si="365"/>
        <v>-0.659571507954901-6.73540797996671i</v>
      </c>
      <c r="P515" s="731" t="str">
        <f t="shared" si="366"/>
        <v>-0.400329075341352-0.0813847013551882i</v>
      </c>
      <c r="Q515" s="729" t="str">
        <f t="shared" si="367"/>
        <v>-0.393733360261803-0.014030621555521i</v>
      </c>
      <c r="R515" s="730"/>
      <c r="S515" s="405" t="str">
        <f t="shared" si="380"/>
        <v>37.0669257045921-13.7595111745367i</v>
      </c>
      <c r="T515" s="405" t="str">
        <f t="shared" si="381"/>
        <v>13.6645280523322-6.71986491952214i</v>
      </c>
      <c r="U515" s="405" t="str">
        <f t="shared" si="382"/>
        <v>-0.282062001575342-0.840410039685564i</v>
      </c>
      <c r="V515" s="731" t="str">
        <f t="shared" si="368"/>
        <v>6000</v>
      </c>
      <c r="W515" s="733" t="str">
        <f>IMSUM(COMPLEX(1,0),IMDIV(COMPLEX(0,2*PI()*D515),COMPLEX(2*PI()*'Stability Calculations'!EA_Pole1,0)))</f>
        <v>1+444151.395028834i</v>
      </c>
      <c r="X515" s="734">
        <f t="shared" si="383"/>
        <v>444151.39502995973</v>
      </c>
      <c r="Y515" s="735">
        <f t="shared" si="384"/>
        <v>1.5707940753103551</v>
      </c>
      <c r="Z515" s="340" t="str">
        <f>IMSUM(COMPLEX(1,0),IMDIV(COMPLEX(0,2*PI()*D515),COMPLEX(2*PI()*'Stability Calculations'!EA_Zero1,0)))</f>
        <v>1+4397.53856464192i</v>
      </c>
      <c r="AA515" s="734">
        <f t="shared" si="385"/>
        <v>4397.5386783418871</v>
      </c>
      <c r="AB515" s="735">
        <f t="shared" si="386"/>
        <v>1.5705689268601233</v>
      </c>
      <c r="AC515" s="733" t="str">
        <f>IMSUM(COMPLEX(1,0),IMDIV(COMPLEX(0,2*PI()*D515),COMPLEX(2*PI()*'Stability Calculations'!EA_Pole2,0)))</f>
        <v>1+44.2984118002654i</v>
      </c>
      <c r="AD515" s="734">
        <f t="shared" si="387"/>
        <v>44.309697449044869</v>
      </c>
      <c r="AE515" s="735">
        <f t="shared" si="388"/>
        <v>1.5482259874337181</v>
      </c>
      <c r="AF515" s="732" t="str">
        <f t="shared" si="389"/>
        <v>0.0299556695429206-1.34036374085707i</v>
      </c>
      <c r="AG515" s="337">
        <f t="shared" si="390"/>
        <v>1.3406984373609614</v>
      </c>
      <c r="AH515" s="730">
        <f t="shared" si="391"/>
        <v>-1.5484511358839499</v>
      </c>
      <c r="AI515" s="731" t="str">
        <f t="shared" si="369"/>
        <v>10000</v>
      </c>
      <c r="AJ515" s="733" t="str">
        <f t="shared" si="392"/>
        <v>1+414071.351738972i</v>
      </c>
      <c r="AK515" s="734">
        <f t="shared" si="393"/>
        <v>414071.35174017958</v>
      </c>
      <c r="AL515" s="735">
        <f t="shared" si="394"/>
        <v>1.5707939117521852</v>
      </c>
      <c r="AM515" s="340" t="str">
        <f t="shared" si="395"/>
        <v>1+702.726662629779i</v>
      </c>
      <c r="AN515" s="734">
        <f t="shared" si="396"/>
        <v>702.72737414361995</v>
      </c>
      <c r="AO515" s="735">
        <f t="shared" si="397"/>
        <v>1.5693732993531098</v>
      </c>
      <c r="AP515" s="733" t="str">
        <f t="shared" si="398"/>
        <v>1+34.0834014635215i</v>
      </c>
      <c r="AQ515" s="734">
        <f t="shared" si="399"/>
        <v>34.098068205157603</v>
      </c>
      <c r="AR515" s="735">
        <f t="shared" si="400"/>
        <v>1.541464946592163</v>
      </c>
      <c r="AS515" s="732" t="str">
        <f t="shared" si="401"/>
        <v>0.000559155824739356-3.34411665199226i</v>
      </c>
      <c r="AT515" s="337">
        <f t="shared" si="402"/>
        <v>3.3441166987393189</v>
      </c>
      <c r="AU515" s="730">
        <f t="shared" si="403"/>
        <v>-1.5706291209591805</v>
      </c>
      <c r="AV515" s="732" t="str">
        <f t="shared" si="404"/>
        <v>-0.0619269326378761+0.0287414690052973i</v>
      </c>
      <c r="AW515" s="337">
        <f t="shared" si="405"/>
        <v>-23.315193106032375</v>
      </c>
      <c r="AX515" s="730">
        <f t="shared" si="406"/>
        <v>155.10308756095066</v>
      </c>
      <c r="AY515" s="360">
        <f t="shared" si="407"/>
        <v>-24.896912439049345</v>
      </c>
      <c r="BB515" s="337">
        <f t="shared" si="408"/>
        <v>-29.51437151022137</v>
      </c>
      <c r="BC515" s="730">
        <f t="shared" si="409"/>
        <v>-89.990419811303511</v>
      </c>
      <c r="BD515" s="351"/>
      <c r="BE515" s="337">
        <f t="shared" si="370"/>
        <v>24.896540906794222</v>
      </c>
      <c r="BF515" s="730">
        <f t="shared" si="371"/>
        <v>-89.771426473066896</v>
      </c>
      <c r="BI515" s="351"/>
      <c r="BJ515" s="351"/>
      <c r="BL515" s="405">
        <f t="shared" si="372"/>
        <v>0</v>
      </c>
      <c r="BM515" s="405">
        <f t="shared" si="410"/>
        <v>0</v>
      </c>
      <c r="BN515" s="405">
        <f t="shared" si="373"/>
        <v>0</v>
      </c>
      <c r="BO515" s="405">
        <f t="shared" si="374"/>
        <v>0</v>
      </c>
    </row>
    <row r="516" spans="4:67" ht="13.5" thickBot="1" x14ac:dyDescent="0.25">
      <c r="D516" s="345">
        <v>70392</v>
      </c>
      <c r="E516" s="340" t="str">
        <f t="shared" si="361"/>
        <v>1.16763498757748i</v>
      </c>
      <c r="F516" s="728" t="str">
        <f t="shared" si="375"/>
        <v>0.005-0.0370652549684054i</v>
      </c>
      <c r="G516" s="337" t="str">
        <f t="shared" si="376"/>
        <v>0.005-0.0579738603351982i</v>
      </c>
      <c r="H516" s="338" t="str">
        <f t="shared" si="377"/>
        <v>0.00770206553895511-0.0573710872600081i</v>
      </c>
      <c r="I516" s="338" t="str">
        <f t="shared" si="378"/>
        <v>0.0177020655389551-0.0573710872600081i</v>
      </c>
      <c r="J516" s="337" t="str">
        <f t="shared" si="379"/>
        <v>0.00453551454589739-0.022670606965141i</v>
      </c>
      <c r="K516" s="338" t="str">
        <f t="shared" si="362"/>
        <v>0.9449440704-0.368571650119154i</v>
      </c>
      <c r="L516" s="732"/>
      <c r="M516" s="732" t="str">
        <f t="shared" si="363"/>
        <v>0.069193578662388-17.4675182129434i</v>
      </c>
      <c r="N516" s="337">
        <f t="shared" si="364"/>
        <v>0</v>
      </c>
      <c r="O516" s="730" t="str">
        <f t="shared" si="365"/>
        <v>-0.657254960579362-6.6941496062479i</v>
      </c>
      <c r="P516" s="731" t="str">
        <f t="shared" si="366"/>
        <v>-0.395685411579576-0.0807928433618989i</v>
      </c>
      <c r="Q516" s="729" t="str">
        <f t="shared" si="367"/>
        <v>-0.389112861973783-0.01385134729942i</v>
      </c>
      <c r="R516" s="730"/>
      <c r="S516" s="405" t="str">
        <f t="shared" si="380"/>
        <v>37.0295634567284-13.8404393799025i</v>
      </c>
      <c r="T516" s="405" t="str">
        <f t="shared" si="381"/>
        <v>13.6434711062-6.75149584782587i</v>
      </c>
      <c r="U516" s="405" t="str">
        <f t="shared" si="382"/>
        <v>-0.282257748782406-0.834741234869136i</v>
      </c>
      <c r="V516" s="731" t="str">
        <f t="shared" si="368"/>
        <v>6000</v>
      </c>
      <c r="W516" s="733" t="str">
        <f>IMSUM(COMPLEX(1,0),IMDIV(COMPLEX(0,2*PI()*D516),COMPLEX(2*PI()*'Stability Calculations'!EA_Pole1,0)))</f>
        <v>1+446708.839944415i</v>
      </c>
      <c r="X516" s="734">
        <f t="shared" si="383"/>
        <v>446708.8399455343</v>
      </c>
      <c r="Y516" s="735">
        <f t="shared" si="384"/>
        <v>1.5707940882002895</v>
      </c>
      <c r="Z516" s="340" t="str">
        <f>IMSUM(COMPLEX(1,0),IMDIV(COMPLEX(0,2*PI()*D516),COMPLEX(2*PI()*'Stability Calculations'!EA_Zero1,0)))</f>
        <v>1+4422.85980142985i</v>
      </c>
      <c r="AA516" s="734">
        <f t="shared" si="385"/>
        <v>4422.8599144788768</v>
      </c>
      <c r="AB516" s="735">
        <f t="shared" si="386"/>
        <v>1.570570228743442</v>
      </c>
      <c r="AC516" s="733" t="str">
        <f>IMSUM(COMPLEX(1,0),IMDIV(COMPLEX(0,2*PI()*D516),COMPLEX(2*PI()*'Stability Calculations'!EA_Pole2,0)))</f>
        <v>1+44.5534841681447i</v>
      </c>
      <c r="AD516" s="734">
        <f t="shared" si="387"/>
        <v>44.564705221970449</v>
      </c>
      <c r="AE516" s="735">
        <f t="shared" si="388"/>
        <v>1.548355160982827</v>
      </c>
      <c r="AF516" s="732" t="str">
        <f t="shared" si="389"/>
        <v>0.0296138262462194-1.33269772064284i</v>
      </c>
      <c r="AG516" s="337">
        <f t="shared" si="390"/>
        <v>1.3330267039003993</v>
      </c>
      <c r="AH516" s="730">
        <f t="shared" si="391"/>
        <v>-1.5485790204396745</v>
      </c>
      <c r="AI516" s="731" t="str">
        <f t="shared" si="369"/>
        <v>10000</v>
      </c>
      <c r="AJ516" s="733" t="str">
        <f t="shared" si="392"/>
        <v>1+416455.594330676i</v>
      </c>
      <c r="AK516" s="734">
        <f t="shared" si="393"/>
        <v>416455.59433187667</v>
      </c>
      <c r="AL516" s="735">
        <f t="shared" si="394"/>
        <v>1.5707939255785037</v>
      </c>
      <c r="AM516" s="340" t="str">
        <f t="shared" si="395"/>
        <v>1+706.77299626849i</v>
      </c>
      <c r="AN516" s="734">
        <f t="shared" si="396"/>
        <v>706.77370370885967</v>
      </c>
      <c r="AO516" s="735">
        <f t="shared" si="397"/>
        <v>1.5693814462915612</v>
      </c>
      <c r="AP516" s="733" t="str">
        <f t="shared" si="398"/>
        <v>1+34.2796553146952i</v>
      </c>
      <c r="AQ516" s="734">
        <f t="shared" si="399"/>
        <v>34.294238123835186</v>
      </c>
      <c r="AR516" s="735">
        <f t="shared" si="400"/>
        <v>1.5416327756883168</v>
      </c>
      <c r="AS516" s="732" t="str">
        <f t="shared" si="401"/>
        <v>0.000552771725787596-3.32497130968003i</v>
      </c>
      <c r="AT516" s="337">
        <f t="shared" si="402"/>
        <v>3.3249713556287848</v>
      </c>
      <c r="AU516" s="730">
        <f t="shared" si="403"/>
        <v>-1.5706300782263494</v>
      </c>
      <c r="AV516" s="732" t="str">
        <f t="shared" si="404"/>
        <v>-0.061126236497189+0.0285635373360185i</v>
      </c>
      <c r="AW516" s="337">
        <f t="shared" si="405"/>
        <v>-23.417698452855568</v>
      </c>
      <c r="AX516" s="730">
        <f t="shared" si="406"/>
        <v>154.95389506395048</v>
      </c>
      <c r="AY516" s="360">
        <f t="shared" si="407"/>
        <v>-25.046104936049517</v>
      </c>
      <c r="BB516" s="337">
        <f t="shared" si="408"/>
        <v>-29.56424183516306</v>
      </c>
      <c r="BC516" s="730">
        <f t="shared" si="409"/>
        <v>-89.990474658672156</v>
      </c>
      <c r="BD516" s="351"/>
      <c r="BE516" s="337">
        <f t="shared" si="370"/>
        <v>24.844692242615519</v>
      </c>
      <c r="BF516" s="730">
        <f t="shared" si="371"/>
        <v>-89.773037059868287</v>
      </c>
      <c r="BI516" s="351"/>
      <c r="BJ516" s="351"/>
      <c r="BL516" s="405">
        <f t="shared" si="372"/>
        <v>0</v>
      </c>
      <c r="BM516" s="405">
        <f t="shared" si="410"/>
        <v>0</v>
      </c>
      <c r="BN516" s="405">
        <f t="shared" si="373"/>
        <v>0</v>
      </c>
      <c r="BO516" s="405">
        <f t="shared" si="374"/>
        <v>0</v>
      </c>
    </row>
    <row r="517" spans="4:67" ht="13.5" thickBot="1" x14ac:dyDescent="0.25">
      <c r="D517" s="345">
        <v>70795</v>
      </c>
      <c r="E517" s="340" t="str">
        <f t="shared" si="361"/>
        <v>1.1743197940895i</v>
      </c>
      <c r="F517" s="728" t="str">
        <f t="shared" si="375"/>
        <v>0.005-0.0368542612859099i</v>
      </c>
      <c r="G517" s="337" t="str">
        <f t="shared" si="376"/>
        <v>0.005-0.0576438445753974i</v>
      </c>
      <c r="H517" s="338" t="str">
        <f t="shared" si="377"/>
        <v>0.00767122646503287-0.0570459579105162i</v>
      </c>
      <c r="I517" s="338" t="str">
        <f t="shared" si="378"/>
        <v>0.0176712264650329-0.0570459579105162i</v>
      </c>
      <c r="J517" s="337" t="str">
        <f t="shared" si="379"/>
        <v>0.0045305955222065-0.0225424890488433i</v>
      </c>
      <c r="K517" s="338" t="str">
        <f t="shared" si="362"/>
        <v>0.944311866388889-0.370681753184816i</v>
      </c>
      <c r="L517" s="732"/>
      <c r="M517" s="732" t="str">
        <f t="shared" si="363"/>
        <v>0.0683032759420464-17.3641991884688i</v>
      </c>
      <c r="N517" s="337">
        <f t="shared" si="364"/>
        <v>0</v>
      </c>
      <c r="O517" s="730" t="str">
        <f t="shared" si="365"/>
        <v>-0.654972948225342-6.65338358995859i</v>
      </c>
      <c r="P517" s="731" t="str">
        <f t="shared" si="366"/>
        <v>-0.391122815531858-0.0802098889399024i</v>
      </c>
      <c r="Q517" s="729" t="str">
        <f t="shared" si="367"/>
        <v>-0.384573086049604-0.0136760530403163i</v>
      </c>
      <c r="R517" s="730"/>
      <c r="S517" s="405" t="str">
        <f t="shared" si="380"/>
        <v>36.9919793728268-13.9212349834652i</v>
      </c>
      <c r="T517" s="405" t="str">
        <f t="shared" si="381"/>
        <v>13.6223092120517-6.78306608028038i</v>
      </c>
      <c r="U517" s="405" t="str">
        <f t="shared" si="382"/>
        <v>-0.282446683177574-0.829132113983858i</v>
      </c>
      <c r="V517" s="731" t="str">
        <f t="shared" si="368"/>
        <v>6000</v>
      </c>
      <c r="W517" s="733" t="str">
        <f>IMSUM(COMPLEX(1,0),IMDIV(COMPLEX(0,2*PI()*D517),COMPLEX(2*PI()*'Stability Calculations'!EA_Pole1,0)))</f>
        <v>1+449266.284859997i</v>
      </c>
      <c r="X517" s="734">
        <f t="shared" si="383"/>
        <v>449266.28486110986</v>
      </c>
      <c r="Y517" s="735">
        <f t="shared" si="384"/>
        <v>1.5707941009434725</v>
      </c>
      <c r="Z517" s="340" t="str">
        <f>IMSUM(COMPLEX(1,0),IMDIV(COMPLEX(0,2*PI()*D517),COMPLEX(2*PI()*'Stability Calculations'!EA_Zero1,0)))</f>
        <v>1+4448.18103821779i</v>
      </c>
      <c r="AA517" s="734">
        <f t="shared" si="385"/>
        <v>4448.1811506232862</v>
      </c>
      <c r="AB517" s="735">
        <f t="shared" si="386"/>
        <v>1.5705715158048399</v>
      </c>
      <c r="AC517" s="733" t="str">
        <f>IMSUM(COMPLEX(1,0),IMDIV(COMPLEX(0,2*PI()*D517),COMPLEX(2*PI()*'Stability Calculations'!EA_Pole2,0)))</f>
        <v>1+44.8085565360241i</v>
      </c>
      <c r="AD517" s="734">
        <f t="shared" si="387"/>
        <v>44.819713730032547</v>
      </c>
      <c r="AE517" s="735">
        <f t="shared" si="388"/>
        <v>1.548482864629342</v>
      </c>
      <c r="AF517" s="732" t="str">
        <f t="shared" si="389"/>
        <v>0.0292778002639774-1.3251188481265i</v>
      </c>
      <c r="AG517" s="337">
        <f t="shared" si="390"/>
        <v>1.3254422474209879</v>
      </c>
      <c r="AH517" s="730">
        <f t="shared" si="391"/>
        <v>-1.5487054497679744</v>
      </c>
      <c r="AI517" s="731" t="str">
        <f t="shared" si="369"/>
        <v>10000</v>
      </c>
      <c r="AJ517" s="733" t="str">
        <f t="shared" si="392"/>
        <v>1+418839.836922381i</v>
      </c>
      <c r="AK517" s="734">
        <f t="shared" si="393"/>
        <v>418839.8369235748</v>
      </c>
      <c r="AL517" s="735">
        <f t="shared" si="394"/>
        <v>1.57079393924741</v>
      </c>
      <c r="AM517" s="340" t="str">
        <f t="shared" si="395"/>
        <v>1+710.819329907203i</v>
      </c>
      <c r="AN517" s="734">
        <f t="shared" si="396"/>
        <v>710.82003332047782</v>
      </c>
      <c r="AO517" s="735">
        <f t="shared" si="397"/>
        <v>1.5693895004774268</v>
      </c>
      <c r="AP517" s="733" t="str">
        <f t="shared" si="398"/>
        <v>1+34.475909165869i</v>
      </c>
      <c r="AQ517" s="734">
        <f t="shared" si="399"/>
        <v>34.490408997477111</v>
      </c>
      <c r="AR517" s="735">
        <f t="shared" si="400"/>
        <v>1.5417986956681953</v>
      </c>
      <c r="AS517" s="732" t="str">
        <f t="shared" si="401"/>
        <v>0.000546496340529343-3.30604393678133i</v>
      </c>
      <c r="AT517" s="337">
        <f t="shared" si="402"/>
        <v>3.3060439819498537</v>
      </c>
      <c r="AU517" s="730">
        <f t="shared" si="403"/>
        <v>-1.5706310245950463</v>
      </c>
      <c r="AV517" s="732" t="str">
        <f t="shared" si="404"/>
        <v>-0.0603392420397543+0.0283874148151365i</v>
      </c>
      <c r="AW517" s="337">
        <f t="shared" si="405"/>
        <v>-23.519651533159273</v>
      </c>
      <c r="AX517" s="730">
        <f t="shared" si="406"/>
        <v>154.80472473520192</v>
      </c>
      <c r="AY517" s="360">
        <f t="shared" si="407"/>
        <v>-25.195275264798084</v>
      </c>
      <c r="BB517" s="337">
        <f t="shared" si="408"/>
        <v>-29.613827461806448</v>
      </c>
      <c r="BC517" s="730">
        <f t="shared" si="409"/>
        <v>-89.990528881604348</v>
      </c>
      <c r="BD517" s="351"/>
      <c r="BE517" s="337">
        <f t="shared" si="370"/>
        <v>24.79316237932979</v>
      </c>
      <c r="BF517" s="730">
        <f t="shared" si="371"/>
        <v>-89.774624259277431</v>
      </c>
      <c r="BI517" s="351"/>
      <c r="BJ517" s="351"/>
      <c r="BL517" s="405">
        <f t="shared" si="372"/>
        <v>0</v>
      </c>
      <c r="BM517" s="405">
        <f t="shared" si="410"/>
        <v>0</v>
      </c>
      <c r="BN517" s="405">
        <f t="shared" si="373"/>
        <v>0</v>
      </c>
      <c r="BO517" s="405">
        <f t="shared" si="374"/>
        <v>0</v>
      </c>
    </row>
    <row r="518" spans="4:67" ht="13.5" thickBot="1" x14ac:dyDescent="0.25">
      <c r="D518" s="345">
        <v>71207.25</v>
      </c>
      <c r="E518" s="340" t="str">
        <f t="shared" si="361"/>
        <v>1.18115803598671i</v>
      </c>
      <c r="F518" s="728" t="str">
        <f t="shared" si="375"/>
        <v>0.005-0.0366408958039524i</v>
      </c>
      <c r="G518" s="337" t="str">
        <f t="shared" si="376"/>
        <v>0.005-0.0573101190779768i</v>
      </c>
      <c r="H518" s="338" t="str">
        <f t="shared" si="377"/>
        <v>0.00764021817194979-0.056717148484302i</v>
      </c>
      <c r="I518" s="338" t="str">
        <f t="shared" si="378"/>
        <v>0.0176402181719498-0.056717148484302i</v>
      </c>
      <c r="J518" s="337" t="str">
        <f t="shared" si="379"/>
        <v>0.0045256457127592-0.0224129335539212i</v>
      </c>
      <c r="K518" s="338" t="str">
        <f t="shared" si="362"/>
        <v>0.94366141719375-0.37284028913722i</v>
      </c>
      <c r="L518" s="732"/>
      <c r="M518" s="732" t="str">
        <f t="shared" si="363"/>
        <v>0.0674105856664902-17.2597880945365i</v>
      </c>
      <c r="N518" s="337">
        <f t="shared" si="364"/>
        <v>0</v>
      </c>
      <c r="O518" s="730" t="str">
        <f t="shared" si="365"/>
        <v>-0.652673452799287-6.61218194513023i</v>
      </c>
      <c r="P518" s="731" t="str">
        <f t="shared" si="366"/>
        <v>-0.386537407289591-0.0796225549705455i</v>
      </c>
      <c r="Q518" s="729" t="str">
        <f t="shared" si="367"/>
        <v>-0.380010672761598-0.0135007355192433i</v>
      </c>
      <c r="R518" s="730"/>
      <c r="S518" s="405" t="str">
        <f t="shared" si="380"/>
        <v>36.9533032383905-14.0037477725405i</v>
      </c>
      <c r="T518" s="405" t="str">
        <f t="shared" si="381"/>
        <v>13.6005532395823-6.81529743109613i</v>
      </c>
      <c r="U518" s="405" t="str">
        <f t="shared" si="382"/>
        <v>-0.282633042354532-0.823454956838345i</v>
      </c>
      <c r="V518" s="731" t="str">
        <f t="shared" si="368"/>
        <v>6000</v>
      </c>
      <c r="W518" s="733" t="str">
        <f>IMSUM(COMPLEX(1,0),IMDIV(COMPLEX(0,2*PI()*D518),COMPLEX(2*PI()*'Stability Calculations'!EA_Pole1,0)))</f>
        <v>1+451882.430434311i</v>
      </c>
      <c r="X518" s="734">
        <f t="shared" si="383"/>
        <v>451882.43043541751</v>
      </c>
      <c r="Y518" s="735">
        <f t="shared" si="384"/>
        <v>1.5707941138299024</v>
      </c>
      <c r="Z518" s="340" t="str">
        <f>IMSUM(COMPLEX(1,0),IMDIV(COMPLEX(0,2*PI()*D518),COMPLEX(2*PI()*'Stability Calculations'!EA_Zero1,0)))</f>
        <v>1+4474.08346964664i</v>
      </c>
      <c r="AA518" s="734">
        <f t="shared" si="385"/>
        <v>4474.0835814013717</v>
      </c>
      <c r="AB518" s="735">
        <f t="shared" si="386"/>
        <v>1.5705728173342144</v>
      </c>
      <c r="AC518" s="733" t="str">
        <f>IMSUM(COMPLEX(1,0),IMDIV(COMPLEX(0,2*PI()*D518),COMPLEX(2*PI()*'Stability Calculations'!EA_Pole2,0)))</f>
        <v>1+45.0694835426203i</v>
      </c>
      <c r="AD518" s="734">
        <f t="shared" si="387"/>
        <v>45.080576158679719</v>
      </c>
      <c r="AE518" s="735">
        <f t="shared" si="388"/>
        <v>1.5486120045445506</v>
      </c>
      <c r="AF518" s="732" t="str">
        <f t="shared" si="389"/>
        <v>0.0289399438614982-1.31745465028771i</v>
      </c>
      <c r="AG518" s="337">
        <f t="shared" si="390"/>
        <v>1.3177724674295708</v>
      </c>
      <c r="AH518" s="730">
        <f t="shared" si="391"/>
        <v>-1.5488333010402386</v>
      </c>
      <c r="AI518" s="731" t="str">
        <f t="shared" si="369"/>
        <v>10000</v>
      </c>
      <c r="AJ518" s="733" t="str">
        <f t="shared" si="392"/>
        <v>1+421278.804685235i</v>
      </c>
      <c r="AK518" s="734">
        <f t="shared" si="393"/>
        <v>421278.80468642188</v>
      </c>
      <c r="AL518" s="735">
        <f t="shared" si="394"/>
        <v>1.5707939530699693</v>
      </c>
      <c r="AM518" s="340" t="str">
        <f t="shared" si="395"/>
        <v>1+714.958538449533i</v>
      </c>
      <c r="AN518" s="734">
        <f t="shared" si="396"/>
        <v>714.95923779044369</v>
      </c>
      <c r="AO518" s="735">
        <f t="shared" si="397"/>
        <v>1.5693976452013245</v>
      </c>
      <c r="AP518" s="733" t="str">
        <f t="shared" si="398"/>
        <v>1+34.6766676029568i</v>
      </c>
      <c r="AQ518" s="734">
        <f t="shared" si="399"/>
        <v>34.691083523665753</v>
      </c>
      <c r="AR518" s="735">
        <f t="shared" si="400"/>
        <v>1.5419664823939185</v>
      </c>
      <c r="AS518" s="732" t="str">
        <f t="shared" si="401"/>
        <v>0.000540186843954588-3.28690379951862i</v>
      </c>
      <c r="AT518" s="337">
        <f t="shared" si="402"/>
        <v>3.2869038439071754</v>
      </c>
      <c r="AU518" s="730">
        <f t="shared" si="403"/>
        <v>-1.5706319816019614</v>
      </c>
      <c r="AV518" s="732" t="str">
        <f t="shared" si="404"/>
        <v>-0.0595480386704319+0.0282090921780685i</v>
      </c>
      <c r="AW518" s="337">
        <f t="shared" si="405"/>
        <v>-23.623380087263527</v>
      </c>
      <c r="AX518" s="730">
        <f t="shared" si="406"/>
        <v>154.65215297562901</v>
      </c>
      <c r="AY518" s="360">
        <f t="shared" si="407"/>
        <v>-25.347847024370992</v>
      </c>
      <c r="BB518" s="337">
        <f t="shared" si="408"/>
        <v>-29.664260014329411</v>
      </c>
      <c r="BC518" s="730">
        <f t="shared" si="409"/>
        <v>-89.990583714061557</v>
      </c>
      <c r="BD518" s="351"/>
      <c r="BE518" s="337">
        <f t="shared" si="370"/>
        <v>24.74077543503585</v>
      </c>
      <c r="BF518" s="730">
        <f t="shared" si="371"/>
        <v>-89.776224227468603</v>
      </c>
      <c r="BI518" s="351"/>
      <c r="BJ518" s="351"/>
      <c r="BL518" s="405">
        <f t="shared" si="372"/>
        <v>0</v>
      </c>
      <c r="BM518" s="405">
        <f t="shared" si="410"/>
        <v>0</v>
      </c>
      <c r="BN518" s="405">
        <f t="shared" si="373"/>
        <v>0</v>
      </c>
      <c r="BO518" s="405">
        <f t="shared" si="374"/>
        <v>0</v>
      </c>
    </row>
    <row r="519" spans="4:67" ht="13.5" thickBot="1" x14ac:dyDescent="0.25">
      <c r="D519" s="345">
        <v>71619.5</v>
      </c>
      <c r="E519" s="340" t="str">
        <f t="shared" si="361"/>
        <v>1.18799627788393i</v>
      </c>
      <c r="F519" s="728" t="str">
        <f t="shared" si="375"/>
        <v>0.005-0.036429986634031i</v>
      </c>
      <c r="G519" s="337" t="str">
        <f t="shared" si="376"/>
        <v>0.005-0.0569802355045101i</v>
      </c>
      <c r="H519" s="338" t="str">
        <f t="shared" si="377"/>
        <v>0.00760974224829373-0.0563920995566583i</v>
      </c>
      <c r="I519" s="338" t="str">
        <f t="shared" si="378"/>
        <v>0.0176097422482937-0.0563920995566583i</v>
      </c>
      <c r="J519" s="337" t="str">
        <f t="shared" si="379"/>
        <v>0.00452077704624234-0.0222848721736397i</v>
      </c>
      <c r="K519" s="338" t="str">
        <f t="shared" si="362"/>
        <v>0.943007191330555-0.374998825089624i</v>
      </c>
      <c r="L519" s="732"/>
      <c r="M519" s="732" t="str">
        <f t="shared" si="363"/>
        <v>0.0665356588397209-17.1566470990601i</v>
      </c>
      <c r="N519" s="337">
        <f t="shared" si="364"/>
        <v>0</v>
      </c>
      <c r="O519" s="730" t="str">
        <f t="shared" si="365"/>
        <v>-0.650408419887912-6.57147673051058i</v>
      </c>
      <c r="P519" s="731" t="str">
        <f t="shared" si="366"/>
        <v>-0.382032894651562-0.0790441150481434i</v>
      </c>
      <c r="Q519" s="729" t="str">
        <f t="shared" si="367"/>
        <v>-0.375528810452683-0.0133293477430377i</v>
      </c>
      <c r="R519" s="730"/>
      <c r="S519" s="405" t="str">
        <f t="shared" si="380"/>
        <v>36.9143952594594-14.0861215773204i</v>
      </c>
      <c r="T519" s="405" t="str">
        <f t="shared" si="381"/>
        <v>13.5786879294039-6.84746383891784i</v>
      </c>
      <c r="U519" s="405" t="str">
        <f t="shared" si="382"/>
        <v>-0.282812547302091-0.817838156432417i</v>
      </c>
      <c r="V519" s="731" t="str">
        <f t="shared" si="368"/>
        <v>6000</v>
      </c>
      <c r="W519" s="733" t="str">
        <f>IMSUM(COMPLEX(1,0),IMDIV(COMPLEX(0,2*PI()*D519),COMPLEX(2*PI()*'Stability Calculations'!EA_Pole1,0)))</f>
        <v>1+454498.576008624i</v>
      </c>
      <c r="X519" s="734">
        <f t="shared" si="383"/>
        <v>454498.57600972411</v>
      </c>
      <c r="Y519" s="735">
        <f t="shared" si="384"/>
        <v>1.570794126567981</v>
      </c>
      <c r="Z519" s="340" t="str">
        <f>IMSUM(COMPLEX(1,0),IMDIV(COMPLEX(0,2*PI()*D519),COMPLEX(2*PI()*'Stability Calculations'!EA_Zero1,0)))</f>
        <v>1+4499.98590107548i</v>
      </c>
      <c r="AA519" s="734">
        <f t="shared" si="385"/>
        <v>4499.9860121869378</v>
      </c>
      <c r="AB519" s="735">
        <f t="shared" si="386"/>
        <v>1.5705741038800871</v>
      </c>
      <c r="AC519" s="733" t="str">
        <f>IMSUM(COMPLEX(1,0),IMDIV(COMPLEX(0,2*PI()*D519),COMPLEX(2*PI()*'Stability Calculations'!EA_Pole2,0)))</f>
        <v>1+45.3304105492164i</v>
      </c>
      <c r="AD519" s="734">
        <f t="shared" si="387"/>
        <v>45.341439330490047</v>
      </c>
      <c r="AE519" s="735">
        <f t="shared" si="388"/>
        <v>1.5487396584989874</v>
      </c>
      <c r="AF519" s="732" t="str">
        <f t="shared" si="389"/>
        <v>0.0286079010874807-1.3098785561905i</v>
      </c>
      <c r="AG519" s="337">
        <f t="shared" si="390"/>
        <v>1.3101909189016461</v>
      </c>
      <c r="AH519" s="730">
        <f t="shared" si="391"/>
        <v>-1.5489596811868815</v>
      </c>
      <c r="AI519" s="731" t="str">
        <f t="shared" si="369"/>
        <v>10000</v>
      </c>
      <c r="AJ519" s="733" t="str">
        <f t="shared" si="392"/>
        <v>1+423717.772448089i</v>
      </c>
      <c r="AK519" s="734">
        <f t="shared" si="393"/>
        <v>423717.77244926896</v>
      </c>
      <c r="AL519" s="735">
        <f t="shared" si="394"/>
        <v>1.5707939667334005</v>
      </c>
      <c r="AM519" s="340" t="str">
        <f t="shared" si="395"/>
        <v>1+719.097746991862i</v>
      </c>
      <c r="AN519" s="734">
        <f t="shared" si="396"/>
        <v>719.09844230729072</v>
      </c>
      <c r="AO519" s="735">
        <f t="shared" si="397"/>
        <v>1.569405696161488</v>
      </c>
      <c r="AP519" s="733" t="str">
        <f t="shared" si="398"/>
        <v>1+34.8774260400445i</v>
      </c>
      <c r="AQ519" s="734">
        <f t="shared" si="399"/>
        <v>34.891759015257087</v>
      </c>
      <c r="AR519" s="735">
        <f t="shared" si="400"/>
        <v>1.5421323391164583</v>
      </c>
      <c r="AS519" s="732" t="str">
        <f t="shared" si="401"/>
        <v>0.00053398598803807-3.26798400785872i</v>
      </c>
      <c r="AT519" s="337">
        <f t="shared" si="402"/>
        <v>3.267984051485163</v>
      </c>
      <c r="AU519" s="730">
        <f t="shared" si="403"/>
        <v>-1.5706329275915953</v>
      </c>
      <c r="AV519" s="732" t="str">
        <f t="shared" si="404"/>
        <v>-0.0587705283764262+0.0280326033820176i</v>
      </c>
      <c r="AW519" s="337">
        <f t="shared" si="405"/>
        <v>-23.726544391573213</v>
      </c>
      <c r="AX519" s="730">
        <f t="shared" si="406"/>
        <v>154.49960344627667</v>
      </c>
      <c r="AY519" s="360">
        <f t="shared" si="407"/>
        <v>-25.500396553723334</v>
      </c>
      <c r="BB519" s="337">
        <f t="shared" si="408"/>
        <v>-29.714401431830943</v>
      </c>
      <c r="BC519" s="730">
        <f t="shared" si="409"/>
        <v>-89.990637915275045</v>
      </c>
      <c r="BD519" s="351"/>
      <c r="BE519" s="337">
        <f t="shared" si="370"/>
        <v>24.688713680965556</v>
      </c>
      <c r="BF519" s="730">
        <f t="shared" si="371"/>
        <v>-89.777800796095363</v>
      </c>
      <c r="BI519" s="351"/>
      <c r="BJ519" s="351"/>
      <c r="BL519" s="405">
        <f t="shared" si="372"/>
        <v>0</v>
      </c>
      <c r="BM519" s="405">
        <f t="shared" si="410"/>
        <v>0</v>
      </c>
      <c r="BN519" s="405">
        <f t="shared" si="373"/>
        <v>0</v>
      </c>
      <c r="BO519" s="405">
        <f t="shared" si="374"/>
        <v>0</v>
      </c>
    </row>
    <row r="520" spans="4:67" ht="13.5" thickBot="1" x14ac:dyDescent="0.25">
      <c r="D520" s="345">
        <v>72031.75</v>
      </c>
      <c r="E520" s="340" t="str">
        <f t="shared" si="361"/>
        <v>1.19483451978114i</v>
      </c>
      <c r="F520" s="728" t="str">
        <f t="shared" si="375"/>
        <v>0.005-0.0362214916024668i</v>
      </c>
      <c r="G520" s="337" t="str">
        <f t="shared" si="376"/>
        <v>0.005-0.0566541278910378i</v>
      </c>
      <c r="H520" s="338" t="str">
        <f t="shared" si="377"/>
        <v>0.00757978658537255-0.0560707471231936i</v>
      </c>
      <c r="I520" s="338" t="str">
        <f t="shared" si="378"/>
        <v>0.0175797865853725-0.0560707471231936i</v>
      </c>
      <c r="J520" s="337" t="str">
        <f t="shared" si="379"/>
        <v>0.00451598765420083-0.0221582792749546i</v>
      </c>
      <c r="K520" s="338" t="str">
        <f t="shared" si="362"/>
        <v>0.942349188799306-0.377157361042028i</v>
      </c>
      <c r="L520" s="732"/>
      <c r="M520" s="732" t="str">
        <f t="shared" si="363"/>
        <v>0.0656780195930675-17.0547528022239i</v>
      </c>
      <c r="N520" s="337">
        <f t="shared" si="364"/>
        <v>0</v>
      </c>
      <c r="O520" s="730" t="str">
        <f t="shared" si="365"/>
        <v>-0.648177038087953-6.53125879752633i</v>
      </c>
      <c r="P520" s="731" t="str">
        <f t="shared" si="366"/>
        <v>-0.377607374431358-0.0784743650006594i</v>
      </c>
      <c r="Q520" s="729" t="str">
        <f t="shared" si="367"/>
        <v>-0.371125604050478-0.0131617770253964i</v>
      </c>
      <c r="R520" s="730"/>
      <c r="S520" s="405" t="str">
        <f t="shared" si="380"/>
        <v>36.875255584487-14.16835625653i</v>
      </c>
      <c r="T520" s="405" t="str">
        <f t="shared" si="381"/>
        <v>13.556713530678-6.87956459105192i</v>
      </c>
      <c r="U520" s="405" t="str">
        <f t="shared" si="382"/>
        <v>-0.282985331140976-0.81228068760068i</v>
      </c>
      <c r="V520" s="731" t="str">
        <f t="shared" si="368"/>
        <v>6000</v>
      </c>
      <c r="W520" s="733" t="str">
        <f>IMSUM(COMPLEX(1,0),IMDIV(COMPLEX(0,2*PI()*D520),COMPLEX(2*PI()*'Stability Calculations'!EA_Pole1,0)))</f>
        <v>1+457114.721582937i</v>
      </c>
      <c r="X520" s="734">
        <f t="shared" si="383"/>
        <v>457114.72158403078</v>
      </c>
      <c r="Y520" s="735">
        <f t="shared" si="384"/>
        <v>1.5707941391602553</v>
      </c>
      <c r="Z520" s="340" t="str">
        <f>IMSUM(COMPLEX(1,0),IMDIV(COMPLEX(0,2*PI()*D520),COMPLEX(2*PI()*'Stability Calculations'!EA_Zero1,0)))</f>
        <v>1+4525.88833250433i</v>
      </c>
      <c r="AA520" s="734">
        <f t="shared" si="385"/>
        <v>4525.8884429798782</v>
      </c>
      <c r="AB520" s="735">
        <f t="shared" si="386"/>
        <v>1.5705753756997172</v>
      </c>
      <c r="AC520" s="733" t="str">
        <f>IMSUM(COMPLEX(1,0),IMDIV(COMPLEX(0,2*PI()*D520),COMPLEX(2*PI()*'Stability Calculations'!EA_Pole2,0)))</f>
        <v>1+45.5913375558125i</v>
      </c>
      <c r="AD520" s="734">
        <f t="shared" si="387"/>
        <v>45.602303232710071</v>
      </c>
      <c r="AE520" s="735">
        <f t="shared" si="388"/>
        <v>1.5488658519893737</v>
      </c>
      <c r="AF520" s="732" t="str">
        <f t="shared" si="389"/>
        <v>0.0282815393409381-1.30238905604511i</v>
      </c>
      <c r="AG520" s="337">
        <f t="shared" si="390"/>
        <v>1.3026960884157002</v>
      </c>
      <c r="AH520" s="730">
        <f t="shared" si="391"/>
        <v>-1.5490846154499118</v>
      </c>
      <c r="AI520" s="731" t="str">
        <f t="shared" si="369"/>
        <v>10000</v>
      </c>
      <c r="AJ520" s="733" t="str">
        <f t="shared" si="392"/>
        <v>1+426156.740210943i</v>
      </c>
      <c r="AK520" s="734">
        <f t="shared" si="393"/>
        <v>426156.74021211627</v>
      </c>
      <c r="AL520" s="735">
        <f t="shared" si="394"/>
        <v>1.5707939802404352</v>
      </c>
      <c r="AM520" s="340" t="str">
        <f t="shared" si="395"/>
        <v>1+723.236955534192i</v>
      </c>
      <c r="AN520" s="734">
        <f t="shared" si="396"/>
        <v>723.23764687021571</v>
      </c>
      <c r="AO520" s="735">
        <f t="shared" si="397"/>
        <v>1.56941365496779</v>
      </c>
      <c r="AP520" s="733" t="str">
        <f t="shared" si="398"/>
        <v>1+35.0781844771323i</v>
      </c>
      <c r="AQ520" s="734">
        <f t="shared" si="399"/>
        <v>35.092435455689383</v>
      </c>
      <c r="AR520" s="735">
        <f t="shared" si="400"/>
        <v>1.5422962989368378</v>
      </c>
      <c r="AS520" s="732" t="str">
        <f t="shared" si="401"/>
        <v>0.000527891292834496-3.24928077857558i</v>
      </c>
      <c r="AT520" s="337">
        <f t="shared" si="402"/>
        <v>3.2492808214572571</v>
      </c>
      <c r="AU520" s="730">
        <f t="shared" si="403"/>
        <v>-1.5706338627531091</v>
      </c>
      <c r="AV520" s="732" t="str">
        <f t="shared" si="404"/>
        <v>-0.0580063988981435+0.027857919350884i</v>
      </c>
      <c r="AW520" s="337">
        <f t="shared" si="405"/>
        <v>-23.829151177677026</v>
      </c>
      <c r="AX520" s="730">
        <f t="shared" si="406"/>
        <v>154.34707567913222</v>
      </c>
      <c r="AY520" s="360">
        <f t="shared" si="407"/>
        <v>-25.652924320867783</v>
      </c>
      <c r="BB520" s="337">
        <f t="shared" si="408"/>
        <v>-29.764255056332544</v>
      </c>
      <c r="BC520" s="730">
        <f t="shared" si="409"/>
        <v>-89.990691496082945</v>
      </c>
      <c r="BD520" s="351"/>
      <c r="BE520" s="337">
        <f t="shared" si="370"/>
        <v>24.636972985937948</v>
      </c>
      <c r="BF520" s="730">
        <f t="shared" si="371"/>
        <v>-89.77935448430172</v>
      </c>
      <c r="BI520" s="351"/>
      <c r="BJ520" s="351"/>
      <c r="BL520" s="405">
        <f t="shared" si="372"/>
        <v>0</v>
      </c>
      <c r="BM520" s="405">
        <f t="shared" si="410"/>
        <v>0</v>
      </c>
      <c r="BN520" s="405">
        <f t="shared" si="373"/>
        <v>0</v>
      </c>
      <c r="BO520" s="405">
        <f t="shared" si="374"/>
        <v>0</v>
      </c>
    </row>
    <row r="521" spans="4:67" ht="13.5" thickBot="1" x14ac:dyDescent="0.25">
      <c r="D521" s="345">
        <v>72444</v>
      </c>
      <c r="E521" s="340" t="str">
        <f t="shared" si="361"/>
        <v>1.20167276167836i</v>
      </c>
      <c r="F521" s="728" t="str">
        <f t="shared" si="375"/>
        <v>0.005-0.036015369495555i</v>
      </c>
      <c r="G521" s="337" t="str">
        <f t="shared" si="376"/>
        <v>0.005-0.0563317317750989i</v>
      </c>
      <c r="H521" s="338" t="str">
        <f t="shared" si="377"/>
        <v>0.00755033941656795-0.0557530286206374i</v>
      </c>
      <c r="I521" s="338" t="str">
        <f t="shared" si="378"/>
        <v>0.017550339416568-0.0557530286206374i</v>
      </c>
      <c r="J521" s="337" t="str">
        <f t="shared" si="379"/>
        <v>0.00451127572124899-0.0220331298072946i</v>
      </c>
      <c r="K521" s="338" t="str">
        <f t="shared" si="362"/>
        <v>0.9416874096-0.379315896994432i</v>
      </c>
      <c r="L521" s="732"/>
      <c r="M521" s="732" t="str">
        <f t="shared" si="363"/>
        <v>0.0648372080471877-16.9540823834099i</v>
      </c>
      <c r="N521" s="337">
        <f t="shared" si="364"/>
        <v>0</v>
      </c>
      <c r="O521" s="730" t="str">
        <f t="shared" si="365"/>
        <v>-0.645978519201239-6.49151922471486i</v>
      </c>
      <c r="P521" s="731" t="str">
        <f t="shared" si="366"/>
        <v>-0.373258999394741-0.0779131068535788i</v>
      </c>
      <c r="Q521" s="729" t="str">
        <f t="shared" si="367"/>
        <v>-0.366799214202728-0.0129979146064296i</v>
      </c>
      <c r="R521" s="730"/>
      <c r="S521" s="405" t="str">
        <f t="shared" si="380"/>
        <v>36.8358843626476-14.2504516511488i</v>
      </c>
      <c r="T521" s="405" t="str">
        <f t="shared" si="381"/>
        <v>13.5346302957333-6.91159898121905i</v>
      </c>
      <c r="U521" s="405" t="str">
        <f t="shared" si="382"/>
        <v>-0.283151523203724-0.806781548467176i</v>
      </c>
      <c r="V521" s="731" t="str">
        <f t="shared" si="368"/>
        <v>6000</v>
      </c>
      <c r="W521" s="733" t="str">
        <f>IMSUM(COMPLEX(1,0),IMDIV(COMPLEX(0,2*PI()*D521),COMPLEX(2*PI()*'Stability Calculations'!EA_Pole1,0)))</f>
        <v>1+459730.867157251i</v>
      </c>
      <c r="X521" s="734">
        <f t="shared" si="383"/>
        <v>459730.86715833854</v>
      </c>
      <c r="Y521" s="735">
        <f t="shared" si="384"/>
        <v>1.5707941516092143</v>
      </c>
      <c r="Z521" s="340" t="str">
        <f>IMSUM(COMPLEX(1,0),IMDIV(COMPLEX(0,2*PI()*D521),COMPLEX(2*PI()*'Stability Calculations'!EA_Zero1,0)))</f>
        <v>1+4551.79076393318i</v>
      </c>
      <c r="AA521" s="734">
        <f t="shared" si="385"/>
        <v>4551.7908737800553</v>
      </c>
      <c r="AB521" s="735">
        <f t="shared" si="386"/>
        <v>1.5705766330445083</v>
      </c>
      <c r="AC521" s="733" t="str">
        <f>IMSUM(COMPLEX(1,0),IMDIV(COMPLEX(0,2*PI()*D521),COMPLEX(2*PI()*'Stability Calculations'!EA_Pole2,0)))</f>
        <v>1+45.8522645624087i</v>
      </c>
      <c r="AD521" s="734">
        <f t="shared" si="387"/>
        <v>45.863167852876458</v>
      </c>
      <c r="AE521" s="735">
        <f t="shared" si="388"/>
        <v>1.548990609932529</v>
      </c>
      <c r="AF521" s="732" t="str">
        <f t="shared" si="389"/>
        <v>0.0279607297794047-1.29498467434622i</v>
      </c>
      <c r="AG521" s="337">
        <f t="shared" si="390"/>
        <v>1.2952864969578672</v>
      </c>
      <c r="AH521" s="730">
        <f t="shared" si="391"/>
        <v>-1.549208128497235</v>
      </c>
      <c r="AI521" s="731" t="str">
        <f t="shared" si="369"/>
        <v>10000</v>
      </c>
      <c r="AJ521" s="733" t="str">
        <f t="shared" si="392"/>
        <v>1+428595.707973797i</v>
      </c>
      <c r="AK521" s="734">
        <f t="shared" si="393"/>
        <v>428595.70797496353</v>
      </c>
      <c r="AL521" s="735">
        <f t="shared" si="394"/>
        <v>1.5707939935937436</v>
      </c>
      <c r="AM521" s="340" t="str">
        <f t="shared" si="395"/>
        <v>1+727.376164076522i</v>
      </c>
      <c r="AN521" s="734">
        <f t="shared" si="396"/>
        <v>727.37685147843092</v>
      </c>
      <c r="AO521" s="735">
        <f t="shared" si="397"/>
        <v>1.5694215231934598</v>
      </c>
      <c r="AP521" s="733" t="str">
        <f t="shared" si="398"/>
        <v>1+35.2789429142201i</v>
      </c>
      <c r="AQ521" s="734">
        <f t="shared" si="399"/>
        <v>35.29311282877724</v>
      </c>
      <c r="AR521" s="735">
        <f t="shared" si="400"/>
        <v>1.5424583942036409</v>
      </c>
      <c r="AS521" s="732" t="str">
        <f t="shared" si="401"/>
        <v>0.000521900348759132-3.23079041455843i</v>
      </c>
      <c r="AT521" s="337">
        <f t="shared" si="402"/>
        <v>3.2307904567121972</v>
      </c>
      <c r="AU521" s="730">
        <f t="shared" si="403"/>
        <v>-1.5706347872713584</v>
      </c>
      <c r="AV521" s="732" t="str">
        <f t="shared" si="404"/>
        <v>-0.057255346841846+0.0276850116044666i</v>
      </c>
      <c r="AW521" s="337">
        <f t="shared" si="405"/>
        <v>-23.931207062487548</v>
      </c>
      <c r="AX521" s="730">
        <f t="shared" si="406"/>
        <v>154.19456921994262</v>
      </c>
      <c r="AY521" s="360">
        <f t="shared" si="407"/>
        <v>-25.805430780057378</v>
      </c>
      <c r="BB521" s="337">
        <f t="shared" si="408"/>
        <v>-29.813824172638203</v>
      </c>
      <c r="BC521" s="730">
        <f t="shared" si="409"/>
        <v>-89.990744467076709</v>
      </c>
      <c r="BD521" s="351"/>
      <c r="BE521" s="337">
        <f t="shared" si="370"/>
        <v>24.585549298782908</v>
      </c>
      <c r="BF521" s="730">
        <f t="shared" si="371"/>
        <v>-89.780885795977568</v>
      </c>
      <c r="BI521" s="351"/>
      <c r="BJ521" s="351"/>
      <c r="BL521" s="405">
        <f t="shared" si="372"/>
        <v>0</v>
      </c>
      <c r="BM521" s="405">
        <f t="shared" si="410"/>
        <v>0</v>
      </c>
      <c r="BN521" s="405">
        <f t="shared" si="373"/>
        <v>0</v>
      </c>
      <c r="BO521" s="405">
        <f t="shared" si="374"/>
        <v>0</v>
      </c>
    </row>
    <row r="522" spans="4:67" ht="13.5" thickBot="1" x14ac:dyDescent="0.25">
      <c r="D522" s="345">
        <v>72865.75</v>
      </c>
      <c r="E522" s="340" t="str">
        <f t="shared" si="361"/>
        <v>1.20866858586308i</v>
      </c>
      <c r="F522" s="728" t="str">
        <f t="shared" si="375"/>
        <v>0.005-0.0358069110348276i</v>
      </c>
      <c r="G522" s="337" t="str">
        <f t="shared" si="376"/>
        <v>0.005-0.0560056813621663i</v>
      </c>
      <c r="H522" s="338" t="str">
        <f t="shared" si="377"/>
        <v>0.00752072794184023-0.055431685264322i</v>
      </c>
      <c r="I522" s="338" t="str">
        <f t="shared" si="378"/>
        <v>0.0175207279418402-0.055431685264322i</v>
      </c>
      <c r="J522" s="337" t="str">
        <f t="shared" si="379"/>
        <v>0.00450653352310225-0.0219065645414159i</v>
      </c>
      <c r="K522" s="338" t="str">
        <f t="shared" si="362"/>
        <v>0.941006471965972-0.381524174830517i</v>
      </c>
      <c r="L522" s="732"/>
      <c r="M522" s="732" t="str">
        <f t="shared" si="363"/>
        <v>0.0639939709933555-16.8523353879756i</v>
      </c>
      <c r="N522" s="337">
        <f t="shared" si="364"/>
        <v>0</v>
      </c>
      <c r="O522" s="730" t="str">
        <f t="shared" si="365"/>
        <v>-0.643762546235296-6.45134983246042i</v>
      </c>
      <c r="P522" s="731" t="str">
        <f t="shared" si="366"/>
        <v>-0.368888381874716-0.0773475024243018i</v>
      </c>
      <c r="Q522" s="729" t="str">
        <f t="shared" si="367"/>
        <v>-0.362450756412364-0.012834004099698i</v>
      </c>
      <c r="R522" s="730"/>
      <c r="S522" s="405" t="str">
        <f t="shared" si="380"/>
        <v>36.7953664041252-14.3342945540216i</v>
      </c>
      <c r="T522" s="405" t="str">
        <f t="shared" si="381"/>
        <v>13.5119258080024-6.9443021770875i</v>
      </c>
      <c r="U522" s="405" t="str">
        <f t="shared" si="382"/>
        <v>-0.283314854688344-0.801215026123862i</v>
      </c>
      <c r="V522" s="731" t="str">
        <f t="shared" si="368"/>
        <v>6000</v>
      </c>
      <c r="W522" s="733" t="str">
        <f>IMSUM(COMPLEX(1,0),IMDIV(COMPLEX(0,2*PI()*D522),COMPLEX(2*PI()*'Stability Calculations'!EA_Pole1,0)))</f>
        <v>1+462407.299894587i</v>
      </c>
      <c r="X522" s="734">
        <f t="shared" si="383"/>
        <v>462407.2998956684</v>
      </c>
      <c r="Y522" s="735">
        <f t="shared" si="384"/>
        <v>1.5707941641992798</v>
      </c>
      <c r="Z522" s="340" t="str">
        <f>IMSUM(COMPLEX(1,0),IMDIV(COMPLEX(0,2*PI()*D522),COMPLEX(2*PI()*'Stability Calculations'!EA_Zero1,0)))</f>
        <v>1+4578.29009796621i</v>
      </c>
      <c r="AA522" s="734">
        <f t="shared" si="385"/>
        <v>4578.2902071772869</v>
      </c>
      <c r="AB522" s="735">
        <f t="shared" si="386"/>
        <v>1.5705779046410577</v>
      </c>
      <c r="AC522" s="733" t="str">
        <f>IMSUM(COMPLEX(1,0),IMDIV(COMPLEX(0,2*PI()*D522),COMPLEX(2*PI()*'Stability Calculations'!EA_Pole2,0)))</f>
        <v>1+46.1192044412006i</v>
      </c>
      <c r="AD522" s="734">
        <f t="shared" si="387"/>
        <v>46.130044637841586</v>
      </c>
      <c r="AE522" s="735">
        <f t="shared" si="388"/>
        <v>1.5491167826730734</v>
      </c>
      <c r="AF522" s="732" t="str">
        <f t="shared" si="389"/>
        <v>0.0276381424277847-1.28749624367695i</v>
      </c>
      <c r="AG522" s="337">
        <f t="shared" si="390"/>
        <v>1.2877928577217359</v>
      </c>
      <c r="AH522" s="730">
        <f t="shared" si="391"/>
        <v>-1.5493330422312954</v>
      </c>
      <c r="AI522" s="731" t="str">
        <f t="shared" si="369"/>
        <v>10000</v>
      </c>
      <c r="AJ522" s="733" t="str">
        <f t="shared" si="392"/>
        <v>1+431090.87996648i</v>
      </c>
      <c r="AK522" s="734">
        <f t="shared" si="393"/>
        <v>431090.87996763986</v>
      </c>
      <c r="AL522" s="735">
        <f t="shared" si="394"/>
        <v>1.5707940070984092</v>
      </c>
      <c r="AM522" s="340" t="str">
        <f t="shared" si="395"/>
        <v>1+731.610757655i</v>
      </c>
      <c r="AN522" s="734">
        <f t="shared" si="396"/>
        <v>731.61144107820189</v>
      </c>
      <c r="AO522" s="735">
        <f t="shared" si="397"/>
        <v>1.5694294806041038</v>
      </c>
      <c r="AP522" s="733" t="str">
        <f t="shared" si="398"/>
        <v>1+35.4843276827872i</v>
      </c>
      <c r="AQ522" s="734">
        <f t="shared" si="399"/>
        <v>35.498415613931535</v>
      </c>
      <c r="AR522" s="735">
        <f t="shared" si="400"/>
        <v>1.5426223283035803</v>
      </c>
      <c r="AS522" s="732" t="str">
        <f t="shared" si="401"/>
        <v>0.000515876271349985-3.21209046586041i</v>
      </c>
      <c r="AT522" s="337">
        <f t="shared" si="402"/>
        <v>3.2120905072864425</v>
      </c>
      <c r="AU522" s="730">
        <f t="shared" si="403"/>
        <v>-1.5706357222688418</v>
      </c>
      <c r="AV522" s="732" t="str">
        <f t="shared" si="404"/>
        <v>-0.0565002128822972+0.0275099283925283i</v>
      </c>
      <c r="AW522" s="337">
        <f t="shared" si="405"/>
        <v>-24.035051442807202</v>
      </c>
      <c r="AX522" s="730">
        <f t="shared" si="406"/>
        <v>154.03856995139077</v>
      </c>
      <c r="AY522" s="360">
        <f t="shared" si="407"/>
        <v>-25.96143004860923</v>
      </c>
      <c r="BB522" s="337">
        <f t="shared" si="408"/>
        <v>-29.864244521532811</v>
      </c>
      <c r="BC522" s="730">
        <f t="shared" si="409"/>
        <v>-89.990798038486361</v>
      </c>
      <c r="BD522" s="351"/>
      <c r="BE522" s="337">
        <f t="shared" si="370"/>
        <v>24.533264497435425</v>
      </c>
      <c r="BF522" s="730">
        <f t="shared" si="371"/>
        <v>-89.782429749694003</v>
      </c>
      <c r="BI522" s="351"/>
      <c r="BJ522" s="351"/>
      <c r="BL522" s="405">
        <f t="shared" si="372"/>
        <v>0</v>
      </c>
      <c r="BM522" s="405">
        <f t="shared" si="410"/>
        <v>0</v>
      </c>
      <c r="BN522" s="405">
        <f t="shared" si="373"/>
        <v>0</v>
      </c>
      <c r="BO522" s="405">
        <f t="shared" si="374"/>
        <v>0</v>
      </c>
    </row>
    <row r="523" spans="4:67" ht="13.5" thickBot="1" x14ac:dyDescent="0.25">
      <c r="D523" s="345">
        <v>73287.5</v>
      </c>
      <c r="E523" s="340" t="str">
        <f t="shared" si="361"/>
        <v>1.2156644100478i</v>
      </c>
      <c r="F523" s="728" t="str">
        <f t="shared" si="375"/>
        <v>0.005-0.0356008518196962i</v>
      </c>
      <c r="G523" s="337" t="str">
        <f t="shared" si="376"/>
        <v>0.005-0.0556833836154224i</v>
      </c>
      <c r="H523" s="338" t="str">
        <f t="shared" si="377"/>
        <v>0.00749162479994732-0.0551140172287523i</v>
      </c>
      <c r="I523" s="338" t="str">
        <f t="shared" si="378"/>
        <v>0.0174916247999473-0.0551140172287523i</v>
      </c>
      <c r="J523" s="337" t="str">
        <f t="shared" si="379"/>
        <v>0.0045018687137471-0.0217814587540462i</v>
      </c>
      <c r="K523" s="338" t="str">
        <f t="shared" si="362"/>
        <v>0.940321581597222-0.383732452666603i</v>
      </c>
      <c r="L523" s="732"/>
      <c r="M523" s="732" t="str">
        <f t="shared" si="363"/>
        <v>0.0631674209113837-16.7518227870592i</v>
      </c>
      <c r="N523" s="337">
        <f t="shared" si="364"/>
        <v>0</v>
      </c>
      <c r="O523" s="730" t="str">
        <f t="shared" si="365"/>
        <v>-0.641579370348145-6.41166290897092i</v>
      </c>
      <c r="P523" s="731" t="str">
        <f t="shared" si="366"/>
        <v>-0.364594765655491-0.0767903854764781i</v>
      </c>
      <c r="Q523" s="729" t="str">
        <f t="shared" si="367"/>
        <v>-0.358178971952009-0.0126737563867693i</v>
      </c>
      <c r="R523" s="730"/>
      <c r="S523" s="405" t="str">
        <f t="shared" si="380"/>
        <v>36.7546064228149-14.417991287179i</v>
      </c>
      <c r="T523" s="405" t="str">
        <f t="shared" si="381"/>
        <v>13.489107954466-6.97693444167646i</v>
      </c>
      <c r="U523" s="405" t="str">
        <f t="shared" si="382"/>
        <v>-0.283471549341585-0.795707503293801i</v>
      </c>
      <c r="V523" s="731" t="str">
        <f t="shared" si="368"/>
        <v>6000</v>
      </c>
      <c r="W523" s="733" t="str">
        <f>IMSUM(COMPLEX(1,0),IMDIV(COMPLEX(0,2*PI()*D523),COMPLEX(2*PI()*'Stability Calculations'!EA_Pole1,0)))</f>
        <v>1+465083.732631923i</v>
      </c>
      <c r="X523" s="734">
        <f t="shared" si="383"/>
        <v>465083.73263299803</v>
      </c>
      <c r="Y523" s="735">
        <f t="shared" si="384"/>
        <v>1.5707941766444402</v>
      </c>
      <c r="Z523" s="340" t="str">
        <f>IMSUM(COMPLEX(1,0),IMDIV(COMPLEX(0,2*PI()*D523),COMPLEX(2*PI()*'Stability Calculations'!EA_Zero1,0)))</f>
        <v>1+4604.78943199924i</v>
      </c>
      <c r="AA523" s="734">
        <f t="shared" si="385"/>
        <v>4604.7895405818372</v>
      </c>
      <c r="AB523" s="735">
        <f t="shared" si="386"/>
        <v>1.5705791616022104</v>
      </c>
      <c r="AC523" s="733" t="str">
        <f>IMSUM(COMPLEX(1,0),IMDIV(COMPLEX(0,2*PI()*D523),COMPLEX(2*PI()*'Stability Calculations'!EA_Pole2,0)))</f>
        <v>1+46.3861443199924i</v>
      </c>
      <c r="AD523" s="734">
        <f t="shared" si="387"/>
        <v>46.396922148728393</v>
      </c>
      <c r="AE523" s="735">
        <f t="shared" si="388"/>
        <v>1.5492415039112439</v>
      </c>
      <c r="AF523" s="732" t="str">
        <f t="shared" si="389"/>
        <v>0.0273211047987607-1.28009388120523i</v>
      </c>
      <c r="AG523" s="337">
        <f t="shared" si="390"/>
        <v>1.280385405831578</v>
      </c>
      <c r="AH523" s="730">
        <f t="shared" si="391"/>
        <v>-1.5494565189534737</v>
      </c>
      <c r="AI523" s="731" t="str">
        <f t="shared" si="369"/>
        <v>10000</v>
      </c>
      <c r="AJ523" s="733" t="str">
        <f t="shared" si="392"/>
        <v>1+433586.051959164i</v>
      </c>
      <c r="AK523" s="734">
        <f t="shared" si="393"/>
        <v>433586.05196031719</v>
      </c>
      <c r="AL523" s="735">
        <f t="shared" si="394"/>
        <v>1.5707940204476434</v>
      </c>
      <c r="AM523" s="340" t="str">
        <f t="shared" si="395"/>
        <v>1+735.845351233478i</v>
      </c>
      <c r="AN523" s="734">
        <f t="shared" si="396"/>
        <v>735.84603072376535</v>
      </c>
      <c r="AO523" s="735">
        <f t="shared" si="397"/>
        <v>1.5694373464293694</v>
      </c>
      <c r="AP523" s="733" t="str">
        <f t="shared" si="398"/>
        <v>1+35.6897124513542i</v>
      </c>
      <c r="AQ523" s="734">
        <f t="shared" si="399"/>
        <v>35.703719342112613</v>
      </c>
      <c r="AR523" s="735">
        <f t="shared" si="400"/>
        <v>1.5427843770982621</v>
      </c>
      <c r="AS523" s="732" t="str">
        <f t="shared" si="401"/>
        <v>0.000509955895271637-3.19360574357226i</v>
      </c>
      <c r="AT523" s="337">
        <f t="shared" si="402"/>
        <v>3.1936057842872132</v>
      </c>
      <c r="AU523" s="730">
        <f t="shared" si="403"/>
        <v>-1.5706366465050037</v>
      </c>
      <c r="AV523" s="732" t="str">
        <f t="shared" si="404"/>
        <v>-0.0557581507465453+0.0273366458194779i</v>
      </c>
      <c r="AW523" s="337">
        <f t="shared" si="405"/>
        <v>-24.138332893080737</v>
      </c>
      <c r="AX523" s="730">
        <f t="shared" si="406"/>
        <v>153.88259206501087</v>
      </c>
      <c r="AY523" s="360">
        <f t="shared" si="407"/>
        <v>-26.117407934989131</v>
      </c>
      <c r="BB523" s="337">
        <f t="shared" si="408"/>
        <v>-29.914373875879619</v>
      </c>
      <c r="BC523" s="730">
        <f t="shared" si="409"/>
        <v>-89.990850993317707</v>
      </c>
      <c r="BD523" s="351"/>
      <c r="BE523" s="337">
        <f t="shared" si="370"/>
        <v>24.481303152447808</v>
      </c>
      <c r="BF523" s="730">
        <f t="shared" si="371"/>
        <v>-89.783951304079238</v>
      </c>
      <c r="BI523" s="351"/>
      <c r="BJ523" s="351"/>
      <c r="BL523" s="405">
        <f t="shared" si="372"/>
        <v>0</v>
      </c>
      <c r="BM523" s="405">
        <f t="shared" si="410"/>
        <v>0</v>
      </c>
      <c r="BN523" s="405">
        <f t="shared" si="373"/>
        <v>0</v>
      </c>
      <c r="BO523" s="405">
        <f t="shared" si="374"/>
        <v>0</v>
      </c>
    </row>
    <row r="524" spans="4:67" ht="13.5" thickBot="1" x14ac:dyDescent="0.25">
      <c r="D524" s="345">
        <v>73709.25</v>
      </c>
      <c r="E524" s="340" t="str">
        <f t="shared" si="361"/>
        <v>1.22266023423252i</v>
      </c>
      <c r="F524" s="728" t="str">
        <f t="shared" si="375"/>
        <v>0.005-0.0353971506661103i</v>
      </c>
      <c r="G524" s="337" t="str">
        <f t="shared" si="376"/>
        <v>0.005-0.055364774118788i</v>
      </c>
      <c r="H524" s="338" t="str">
        <f t="shared" si="377"/>
        <v>0.00746301842978146-0.0547999619494538i</v>
      </c>
      <c r="I524" s="338" t="str">
        <f t="shared" si="378"/>
        <v>0.0174630184297815-0.0547999619494538i</v>
      </c>
      <c r="J524" s="337" t="str">
        <f t="shared" si="379"/>
        <v>0.00449727951034905-0.0216577874097134i</v>
      </c>
      <c r="K524" s="338" t="str">
        <f t="shared" si="362"/>
        <v>0.93963273849375-0.385940730502689i</v>
      </c>
      <c r="L524" s="732"/>
      <c r="M524" s="732" t="str">
        <f t="shared" si="363"/>
        <v>0.0623571132520632-16.6525219124578i</v>
      </c>
      <c r="N524" s="337">
        <f t="shared" si="364"/>
        <v>0</v>
      </c>
      <c r="O524" s="730" t="str">
        <f t="shared" si="365"/>
        <v>-0.639428217957886-6.37244959431239i</v>
      </c>
      <c r="P524" s="731" t="str">
        <f t="shared" si="366"/>
        <v>-0.360376342047851-0.0762415626948315i</v>
      </c>
      <c r="Q524" s="729" t="str">
        <f t="shared" si="367"/>
        <v>-0.353982059868272-0.0125170667517076i</v>
      </c>
      <c r="R524" s="730"/>
      <c r="S524" s="405" t="str">
        <f t="shared" si="380"/>
        <v>36.7136045815857-14.5015416254514i</v>
      </c>
      <c r="T524" s="405" t="str">
        <f t="shared" si="381"/>
        <v>13.4661770154313-7.00949503860595i</v>
      </c>
      <c r="U524" s="405" t="str">
        <f t="shared" si="382"/>
        <v>-0.283621734155628-0.79025797870682i</v>
      </c>
      <c r="V524" s="731" t="str">
        <f t="shared" si="368"/>
        <v>6000</v>
      </c>
      <c r="W524" s="733" t="str">
        <f>IMSUM(COMPLEX(1,0),IMDIV(COMPLEX(0,2*PI()*D524),COMPLEX(2*PI()*'Stability Calculations'!EA_Pole1,0)))</f>
        <v>1+467760.165369259i</v>
      </c>
      <c r="X524" s="734">
        <f t="shared" si="383"/>
        <v>467760.165370328</v>
      </c>
      <c r="Y524" s="735">
        <f t="shared" si="384"/>
        <v>1.570794188947183</v>
      </c>
      <c r="Z524" s="340" t="str">
        <f>IMSUM(COMPLEX(1,0),IMDIV(COMPLEX(0,2*PI()*D524),COMPLEX(2*PI()*'Stability Calculations'!EA_Zero1,0)))</f>
        <v>1+4631.28876603227i</v>
      </c>
      <c r="AA524" s="734">
        <f t="shared" si="385"/>
        <v>4631.2888739935788</v>
      </c>
      <c r="AB524" s="735">
        <f t="shared" si="386"/>
        <v>1.5705804041791889</v>
      </c>
      <c r="AC524" s="733" t="str">
        <f>IMSUM(COMPLEX(1,0),IMDIV(COMPLEX(0,2*PI()*D524),COMPLEX(2*PI()*'Stability Calculations'!EA_Pole2,0)))</f>
        <v>1+46.6530841987842i</v>
      </c>
      <c r="AD524" s="734">
        <f t="shared" si="387"/>
        <v>46.663800373082012</v>
      </c>
      <c r="AE524" s="735">
        <f t="shared" si="388"/>
        <v>1.5493647985472949</v>
      </c>
      <c r="AF524" s="732" t="str">
        <f t="shared" si="389"/>
        <v>0.0270094903361923-1.27277611224729i</v>
      </c>
      <c r="AG524" s="337">
        <f t="shared" si="390"/>
        <v>1.2730626632163662</v>
      </c>
      <c r="AH524" s="730">
        <f t="shared" si="391"/>
        <v>-1.5495785833152891</v>
      </c>
      <c r="AI524" s="731" t="str">
        <f t="shared" si="369"/>
        <v>10000</v>
      </c>
      <c r="AJ524" s="733" t="str">
        <f t="shared" si="392"/>
        <v>1+436081.223951847i</v>
      </c>
      <c r="AK524" s="734">
        <f t="shared" si="393"/>
        <v>436081.22395299358</v>
      </c>
      <c r="AL524" s="735">
        <f t="shared" si="394"/>
        <v>1.570794033644114</v>
      </c>
      <c r="AM524" s="340" t="str">
        <f t="shared" si="395"/>
        <v>1+740.079944811957i</v>
      </c>
      <c r="AN524" s="734">
        <f t="shared" si="396"/>
        <v>740.08062041433652</v>
      </c>
      <c r="AO524" s="735">
        <f t="shared" si="397"/>
        <v>1.5694451222413541</v>
      </c>
      <c r="AP524" s="733" t="str">
        <f t="shared" si="398"/>
        <v>1+35.8950972199213i</v>
      </c>
      <c r="AQ524" s="734">
        <f t="shared" si="399"/>
        <v>35.909023997145916</v>
      </c>
      <c r="AR524" s="735">
        <f t="shared" si="400"/>
        <v>1.542944572915983</v>
      </c>
      <c r="AS524" s="732" t="str">
        <f t="shared" si="401"/>
        <v>0.000504136853892034-3.17533255324332i</v>
      </c>
      <c r="AT524" s="337">
        <f t="shared" si="402"/>
        <v>3.1753325932633749</v>
      </c>
      <c r="AU524" s="730">
        <f t="shared" si="403"/>
        <v>-1.5706375601645663</v>
      </c>
      <c r="AV524" s="732" t="str">
        <f t="shared" si="404"/>
        <v>-0.055028862468074+0.0271651352328961i</v>
      </c>
      <c r="AW524" s="337">
        <f t="shared" si="405"/>
        <v>-24.241058142462101</v>
      </c>
      <c r="AX524" s="730">
        <f t="shared" si="406"/>
        <v>153.72663511697652</v>
      </c>
      <c r="AY524" s="360">
        <f t="shared" si="407"/>
        <v>-26.273364883023476</v>
      </c>
      <c r="BB524" s="337">
        <f t="shared" si="408"/>
        <v>-29.964215575288733</v>
      </c>
      <c r="BC524" s="730">
        <f t="shared" si="409"/>
        <v>-89.990903342154567</v>
      </c>
      <c r="BD524" s="351"/>
      <c r="BE524" s="337">
        <f t="shared" si="370"/>
        <v>24.429661172664478</v>
      </c>
      <c r="BF524" s="730">
        <f t="shared" si="371"/>
        <v>-89.785450952621872</v>
      </c>
      <c r="BI524" s="351"/>
      <c r="BJ524" s="351"/>
      <c r="BL524" s="405">
        <f t="shared" si="372"/>
        <v>0</v>
      </c>
      <c r="BM524" s="405">
        <f t="shared" si="410"/>
        <v>0</v>
      </c>
      <c r="BN524" s="405">
        <f t="shared" si="373"/>
        <v>0</v>
      </c>
      <c r="BO524" s="405">
        <f t="shared" si="374"/>
        <v>0</v>
      </c>
    </row>
    <row r="525" spans="4:67" ht="13.5" thickBot="1" x14ac:dyDescent="0.25">
      <c r="D525" s="345">
        <v>74131</v>
      </c>
      <c r="E525" s="340" t="str">
        <f t="shared" ref="E525:E588" si="411">COMPLEX(0,2*PI()*D525*L)</f>
        <v>1.22965605841724i</v>
      </c>
      <c r="F525" s="728" t="str">
        <f t="shared" si="375"/>
        <v>0.005-0.0351957673272449i</v>
      </c>
      <c r="G525" s="337" t="str">
        <f t="shared" si="376"/>
        <v>0.005-0.0550497899221008i</v>
      </c>
      <c r="H525" s="338" t="str">
        <f t="shared" si="377"/>
        <v>0.00743489759682551-0.0544894582710163i</v>
      </c>
      <c r="I525" s="338" t="str">
        <f t="shared" si="378"/>
        <v>0.0174348975968255-0.0544894582710163i</v>
      </c>
      <c r="J525" s="337" t="str">
        <f t="shared" si="379"/>
        <v>0.00449276418071231-0.0215355260417452i</v>
      </c>
      <c r="K525" s="338" t="str">
        <f t="shared" ref="K525:K588" si="412">IMSUM(COMPLEX(1,0),COMPLEX(0,2*PI()*D525/(Fsw*PI()*(-2)/PI())),IMPRODUCT(COMPLEX(0,2*PI()*D525/(Fsw*PI())),COMPLEX(0,2*PI()*D525/(Fsw*PI()))))</f>
        <v>0.938939942655556-0.388149008338775i</v>
      </c>
      <c r="L525" s="732"/>
      <c r="M525" s="732" t="str">
        <f t="shared" ref="M525:M588" si="413">IF(Vin&gt;=Vout,IMDIV(COMPLEX(Vin,0),IMSUM(E525,J525)),IMDIV(IMSUM(COMPLEX(Vout,0),IMPRODUCT(J525,COMPLEX($B$4,0))),IMSUM(E525,IMPRODUCT(J525,COMPLEX((1-$B$11)^2,0)))))</f>
        <v>0.0615626183236177-16.5544106549937i</v>
      </c>
      <c r="N525" s="337">
        <f t="shared" ref="N525:N588" si="414">IF(Vin&gt;=Vout,0,IMSUB(IMPRODUCT(M525,COMPLEX(1-$B$11,0)),COMPLEX($B$4/(1-$B$11),0)))</f>
        <v>0</v>
      </c>
      <c r="O525" s="730" t="str">
        <f t="shared" ref="O525:O588" si="415">IMDIV(IF(Vin&gt;=Vout,M525,N525),IMPRODUCT(I525,IMSUM(IMDIV(COMPLEX(1,0),F525),IMDIV(COMPLEX(1,0),I525))))</f>
        <v>-0.637308337616571-6.3337012476689i</v>
      </c>
      <c r="P525" s="731" t="str">
        <f t="shared" ref="P525:P588" si="416">IF(Vin&gt;=Vout,IMDIV(IMPRODUCT(COMPLEX(Vin,0),J525),IMSUM(J525,E525)),IMPRODUCT(N525,J525))</f>
        <v>-0.356231355439887-0.0757008465936644i</v>
      </c>
      <c r="Q525" s="729" t="str">
        <f t="shared" ref="Q525:Q588" si="417">IF(Vin&gt;=Vout,IMDIV(IMPRODUCT(P525,H525),IMSUM(COMPLEX($B$15,0),H525)),IMPRODUCT(O525,H525))</f>
        <v>-0.349858272063721-0.0123638341169754i</v>
      </c>
      <c r="R525" s="730"/>
      <c r="S525" s="405" t="str">
        <f t="shared" si="380"/>
        <v>36.6723610446254-14.5849453260463i</v>
      </c>
      <c r="T525" s="405" t="str">
        <f t="shared" si="381"/>
        <v>13.4431332745688-7.04198323787973i</v>
      </c>
      <c r="U525" s="405" t="str">
        <f t="shared" si="382"/>
        <v>-0.283765532508747-0.784865473848527i</v>
      </c>
      <c r="V525" s="731" t="str">
        <f t="shared" ref="V525:V588" si="418">COMPLEX(AEA,0)</f>
        <v>6000</v>
      </c>
      <c r="W525" s="733" t="str">
        <f>IMSUM(COMPLEX(1,0),IMDIV(COMPLEX(0,2*PI()*D525),COMPLEX(2*PI()*'Stability Calculations'!EA_Pole1,0)))</f>
        <v>1+470436.598106595i</v>
      </c>
      <c r="X525" s="734">
        <f t="shared" si="383"/>
        <v>470436.59810765786</v>
      </c>
      <c r="Y525" s="735">
        <f t="shared" si="384"/>
        <v>1.5707942011099392</v>
      </c>
      <c r="Z525" s="340" t="str">
        <f>IMSUM(COMPLEX(1,0),IMDIV(COMPLEX(0,2*PI()*D525),COMPLEX(2*PI()*'Stability Calculations'!EA_Zero1,0)))</f>
        <v>1+4657.7881000653i</v>
      </c>
      <c r="AA525" s="734">
        <f t="shared" si="385"/>
        <v>4657.7882074123891</v>
      </c>
      <c r="AB525" s="735">
        <f t="shared" si="386"/>
        <v>1.5705816326174991</v>
      </c>
      <c r="AC525" s="733" t="str">
        <f>IMSUM(COMPLEX(1,0),IMDIV(COMPLEX(0,2*PI()*D525),COMPLEX(2*PI()*'Stability Calculations'!EA_Pole2,0)))</f>
        <v>1+46.9200240775761i</v>
      </c>
      <c r="AD525" s="734">
        <f t="shared" si="387"/>
        <v>46.930679298730816</v>
      </c>
      <c r="AE525" s="735">
        <f t="shared" si="388"/>
        <v>1.5494866909152589</v>
      </c>
      <c r="AF525" s="732" t="str">
        <f t="shared" si="389"/>
        <v>0.0267031760704302-1.2655414956023i</v>
      </c>
      <c r="AG525" s="337">
        <f t="shared" si="390"/>
        <v>1.2658231854029038</v>
      </c>
      <c r="AH525" s="730">
        <f t="shared" si="391"/>
        <v>-1.549699259407699</v>
      </c>
      <c r="AI525" s="731" t="str">
        <f t="shared" ref="AI525:AI588" si="419">COMPLEX(AIL,0)</f>
        <v>10000</v>
      </c>
      <c r="AJ525" s="733" t="str">
        <f t="shared" si="392"/>
        <v>1+438576.39594453i</v>
      </c>
      <c r="AK525" s="734">
        <f t="shared" si="393"/>
        <v>438576.39594567008</v>
      </c>
      <c r="AL525" s="735">
        <f t="shared" si="394"/>
        <v>1.5707940466904284</v>
      </c>
      <c r="AM525" s="340" t="str">
        <f t="shared" si="395"/>
        <v>1+744.314538390435i</v>
      </c>
      <c r="AN525" s="734">
        <f t="shared" si="396"/>
        <v>744.31521014914529</v>
      </c>
      <c r="AO525" s="735">
        <f t="shared" si="397"/>
        <v>1.5694528095763791</v>
      </c>
      <c r="AP525" s="733" t="str">
        <f t="shared" si="398"/>
        <v>1+36.1004819884884i</v>
      </c>
      <c r="AQ525" s="734">
        <f t="shared" si="399"/>
        <v>36.114329563224281</v>
      </c>
      <c r="AR525" s="735">
        <f t="shared" si="400"/>
        <v>1.5431029473502949</v>
      </c>
      <c r="AS525" s="732" t="str">
        <f t="shared" si="401"/>
        <v>0.000498416847708897-3.15726728449756i</v>
      </c>
      <c r="AT525" s="337">
        <f t="shared" si="402"/>
        <v>3.1572673238384406</v>
      </c>
      <c r="AU525" s="730">
        <f t="shared" si="403"/>
        <v>-1.570638463428049</v>
      </c>
      <c r="AV525" s="732" t="str">
        <f t="shared" si="404"/>
        <v>-0.0543120585383347+0.0269953685712172i</v>
      </c>
      <c r="AW525" s="337">
        <f t="shared" si="405"/>
        <v>-24.343233805559137</v>
      </c>
      <c r="AX525" s="730">
        <f t="shared" si="406"/>
        <v>153.57069867712286</v>
      </c>
      <c r="AY525" s="360">
        <f t="shared" si="407"/>
        <v>-26.429301322877137</v>
      </c>
      <c r="BB525" s="337">
        <f t="shared" si="408"/>
        <v>-30.013772902207375</v>
      </c>
      <c r="BC525" s="730">
        <f t="shared" si="409"/>
        <v>-89.990955095339913</v>
      </c>
      <c r="BD525" s="351"/>
      <c r="BE525" s="337">
        <f t="shared" ref="BE525:BE588" si="420">20*LOG10(IMABS(M525))</f>
        <v>24.37833454577703</v>
      </c>
      <c r="BF525" s="730">
        <f t="shared" ref="BF525:BF588" si="421">180/PI()*IMARGUMENT(IMPRODUCT(COMPLEX(1,0),M525))</f>
        <v>-89.786929174394061</v>
      </c>
      <c r="BI525" s="351"/>
      <c r="BJ525" s="351"/>
      <c r="BL525" s="405">
        <f t="shared" ref="BL525:BL588" si="422">SUM((AW526&lt;0)*(AW525&gt;0))*D525</f>
        <v>0</v>
      </c>
      <c r="BM525" s="405">
        <f t="shared" si="410"/>
        <v>0</v>
      </c>
      <c r="BN525" s="405">
        <f t="shared" ref="BN525:BN588" si="423">SUM((BB526&lt;0)*(BB525&gt;0))*D525</f>
        <v>0</v>
      </c>
      <c r="BO525" s="405">
        <f t="shared" ref="BO525:BO588" si="424">IF(BN525&gt;0,BC525,0)</f>
        <v>0</v>
      </c>
    </row>
    <row r="526" spans="4:67" ht="13.5" thickBot="1" x14ac:dyDescent="0.25">
      <c r="D526" s="345">
        <v>74562.75</v>
      </c>
      <c r="E526" s="340" t="str">
        <f t="shared" si="411"/>
        <v>1.23681775869407i</v>
      </c>
      <c r="F526" s="728" t="str">
        <f t="shared" ref="F526:F589" si="425">IMSUM(COMPLEX($B$8,0),IMDIV(COMPLEX(1,0),COMPLEX(0,2*PI()*D526*$B$6)))</f>
        <v>0.005-0.034991968881727i</v>
      </c>
      <c r="G526" s="337" t="str">
        <f t="shared" ref="G526:G589" si="426">IMSUM(COMPLEX($B$9,0),IMDIV(COMPLEX(1,0),COMPLEX(0,2*PI()*D526*$B$7)))</f>
        <v>0.005-0.0547310282509063i</v>
      </c>
      <c r="H526" s="338" t="str">
        <f t="shared" ref="H526:H589" si="427">IMDIV(COMPLEX(1,0),IMSUM(IMDIV(COMPLEX(1,0),COMPLEX($B$5,0)), IMDIV(COMPLEX(1,0),G526)))</f>
        <v>0.00740660154294004-0.054175208829724i</v>
      </c>
      <c r="I526" s="338" t="str">
        <f t="shared" ref="I526:I589" si="428">IMSUM(H526,COMPLEX($B$15,0))</f>
        <v>0.01740660154294-0.054175208829724i</v>
      </c>
      <c r="J526" s="337" t="str">
        <f t="shared" ref="J526:J589" si="429">IMDIV(COMPLEX(1,0),IMSUM(IMDIV(COMPLEX(1,0),F526),IMDIV(COMPLEX(1,0),IMSUM(COMPLEX($B$15,0),H526))))</f>
        <v>0.00448821655414973-0.0214118013240441i</v>
      </c>
      <c r="K526" s="338" t="str">
        <f t="shared" si="412"/>
        <v>0.93822662569375-0.390409646052421i</v>
      </c>
      <c r="L526" s="732"/>
      <c r="M526" s="732" t="str">
        <f t="shared" si="413"/>
        <v>0.0607652312767306-16.4551828557429i</v>
      </c>
      <c r="N526" s="337">
        <f t="shared" si="414"/>
        <v>0</v>
      </c>
      <c r="O526" s="730" t="str">
        <f t="shared" si="415"/>
        <v>-0.635169824347265-6.29450698691983i</v>
      </c>
      <c r="P526" s="731" t="str">
        <f t="shared" si="416"/>
        <v>-0.35206237854105-0.0751555171542129i</v>
      </c>
      <c r="Q526" s="729" t="str">
        <f t="shared" si="417"/>
        <v>-0.345710680297578-0.0122104472850148i</v>
      </c>
      <c r="R526" s="730"/>
      <c r="S526" s="405" t="str">
        <f t="shared" ref="S526:S589" si="430">IMDIV(IMPRODUCT(COMPLEX($B$34,0),M526),IMSUM(COMPLEX(1,0),IMPRODUCT(M526,COMPLEX($B$29,0),K526,COMPLEX($B$34,0))))</f>
        <v>36.6298894064218-14.6701744234221i</v>
      </c>
      <c r="T526" s="405" t="str">
        <f t="shared" ref="T526:T589" si="431">IMDIV(IMPRODUCT(COMPLEX($B$34,0),O526),IMSUM(COMPLEX(1,0),IMPRODUCT(M526,COMPLEX($B$29,0),K526,COMPLEX($B$34,0))))</f>
        <v>13.4194266040208-7.07516600754527i</v>
      </c>
      <c r="U526" s="405" t="str">
        <f t="shared" ref="U526:U589" si="432">IMDIV(IMPRODUCT(COMPLEX($B$34,0),Q526),IMSUM(COMPLEX(1,0),IMPRODUCT(M526,COMPLEX($B$29,0),K526,COMPLEX($B$34,0))))</f>
        <v>-0.28390625017302-0.779403174116027i</v>
      </c>
      <c r="V526" s="731" t="str">
        <f t="shared" si="418"/>
        <v>6000</v>
      </c>
      <c r="W526" s="733" t="str">
        <f>IMSUM(COMPLEX(1,0),IMDIV(COMPLEX(0,2*PI()*D526),COMPLEX(2*PI()*'Stability Calculations'!EA_Pole1,0)))</f>
        <v>1+473176.491015534i</v>
      </c>
      <c r="X526" s="734">
        <f t="shared" ref="X526:X589" si="433">IMABS(W526)</f>
        <v>473176.49101659073</v>
      </c>
      <c r="Y526" s="735">
        <f t="shared" ref="Y526:Y589" si="434">IMARGUMENT(W526)</f>
        <v>1.5707942134185582</v>
      </c>
      <c r="Z526" s="340" t="str">
        <f>IMSUM(COMPLEX(1,0),IMDIV(COMPLEX(0,2*PI()*D526),COMPLEX(2*PI()*'Stability Calculations'!EA_Zero1,0)))</f>
        <v>1+4684.91575262905i</v>
      </c>
      <c r="AA526" s="734">
        <f t="shared" ref="AA526:AA589" si="435">IMABS(Z526)</f>
        <v>4684.9158593545544</v>
      </c>
      <c r="AB526" s="735">
        <f t="shared" ref="AB526:AB589" si="436">IMARGUMENT(Z526)</f>
        <v>1.5705828757879599</v>
      </c>
      <c r="AC526" s="733" t="str">
        <f>IMSUM(COMPLEX(1,0),IMDIV(COMPLEX(0,2*PI()*D526),COMPLEX(2*PI()*'Stability Calculations'!EA_Pole2,0)))</f>
        <v>1+47.1932932955213i</v>
      </c>
      <c r="AD526" s="734">
        <f t="shared" ref="AD526:AD589" si="437">IMABS(AC526)</f>
        <v>47.203886832305415</v>
      </c>
      <c r="AE526" s="735">
        <f t="shared" ref="AE526:AE589" si="438">IMARGUMENT(AC526)</f>
        <v>1.5496100457324613</v>
      </c>
      <c r="AF526" s="732" t="str">
        <f t="shared" ref="AF526:AF589" si="439">IMPRODUCT(V526,IMDIV(Z526,IMPRODUCT(W526,AC526)))</f>
        <v>0.0263949643182491-1.25822000351709i</v>
      </c>
      <c r="AG526" s="337">
        <f t="shared" ref="AG526:AG589" si="440">IMABS(AF526)</f>
        <v>1.2584968301080093</v>
      </c>
      <c r="AH526" s="730">
        <f t="shared" ref="AH526:AH589" si="441">IMARGUMENT(AF526)</f>
        <v>-1.5498213833630599</v>
      </c>
      <c r="AI526" s="731" t="str">
        <f t="shared" si="419"/>
        <v>10000</v>
      </c>
      <c r="AJ526" s="733" t="str">
        <f t="shared" ref="AJ526:AJ589" si="442">IMSUM(COMPLEX(1,0),IMDIV(COMPLEX(0,2*PI()*D526),COMPLEX(2*PI()*IL_Pole1,0)))</f>
        <v>1+441130.730284402i</v>
      </c>
      <c r="AK526" s="734">
        <f t="shared" ref="AK526:AK589" si="443">IMABS(AJ526)</f>
        <v>441130.73028553545</v>
      </c>
      <c r="AL526" s="735">
        <f t="shared" ref="AL526:AL589" si="444">IMARGUMENT(AJ526)</f>
        <v>1.570794059893202</v>
      </c>
      <c r="AM526" s="340" t="str">
        <f t="shared" ref="AM526:AM589" si="445">IMSUM(COMPLEX(1,0),IMDIV(COMPLEX(0,2*PI()*D526),COMPLEX(2*PI()*IL_Zero1,0)))</f>
        <v>1+748.649537270122i</v>
      </c>
      <c r="AN526" s="734">
        <f t="shared" ref="AN526:AN589" si="446">IMABS(AM526)</f>
        <v>748.65020513906745</v>
      </c>
      <c r="AO526" s="735">
        <f t="shared" ref="AO526:AO589" si="447">IMARGUMENT(AM526)</f>
        <v>1.5694605891025786</v>
      </c>
      <c r="AP526" s="733" t="str">
        <f t="shared" ref="AP526:AP589" si="448">IMSUM(COMPLEX(1,0),IMDIV(COMPLEX(0,2*PI()*D526),COMPLEX(2*PI()*IL_Pole2,0)))</f>
        <v>1+36.3107365796652i</v>
      </c>
      <c r="AQ526" s="734">
        <f t="shared" ref="AQ526:AQ589" si="449">IMABS(AP526)</f>
        <v>36.324504001539189</v>
      </c>
      <c r="AR526" s="735">
        <f t="shared" ref="AR526:AR589" si="450">IMARGUMENT(AP526)</f>
        <v>1.5432632225180178</v>
      </c>
      <c r="AS526" s="732" t="str">
        <f t="shared" ref="AS526:AS589" si="451">_xlfn.SWITCH(IMONLIM_select,0,COMPLEX(1,0),1,IMPRODUCT(gm_IL,IMDIV(COMPLEX(1,0),IMSUM(COMPLEX(1/20000000,0),COMPLEX(0,2*PI()*D526*CISET),COMPLEX(1/RISET,0)))),2,IMPRODUCT(gm_IL,IMDIV(COMPLEX(1,0),IMSUM(COMPLEX(1/20000000,0),COMPLEX(0,2*PI()*D526*CcIL)))),3,IMPRODUCT(AI526,IMDIV(AM526,IMPRODUCT(AJ526,AP526))))</f>
        <v>0.00049266146868427-3.13898536647912i</v>
      </c>
      <c r="AT526" s="337">
        <f t="shared" ref="AT526:AT589" si="452">IMABS(AS526)</f>
        <v>3.138985405140549</v>
      </c>
      <c r="AU526" s="730">
        <f t="shared" ref="AU526:AU589" si="453">IMARGUMENT(AS526)</f>
        <v>-1.5706393775239953</v>
      </c>
      <c r="AV526" s="732" t="str">
        <f t="shared" ref="AV526:AV589" si="454">IMPRODUCT(T526,AS526,COMPLEX($B$15,0),IMPRODUCT(COMPLEX(0.1,0),AF526))</f>
        <v>-0.0535908968661213+0.0268233543658472i</v>
      </c>
      <c r="AW526" s="337">
        <f t="shared" ref="AW526:AW589" si="455">20*LOG10(IMABS(AV526))</f>
        <v>-24.447269629039738</v>
      </c>
      <c r="AX526" s="730">
        <f t="shared" ref="AX526:AX589" si="456">(180/PI())*IMARGUMENT(AV526)</f>
        <v>153.41108567882213</v>
      </c>
      <c r="AY526" s="360">
        <f t="shared" ref="AY526:AY589" si="457">IF(AX526&gt;0,AX526-180,AX526+180)</f>
        <v>-26.588914321177867</v>
      </c>
      <c r="BB526" s="337">
        <f t="shared" ref="BB526:BB589" si="458">20*LOG10(IMPRODUCT(COMPLEX($B$15,0),IMABS(AS526)))</f>
        <v>-30.064214071355373</v>
      </c>
      <c r="BC526" s="730">
        <f t="shared" ref="BC526:BC589" si="459">(180/PI())*IMARGUMENT(AS526)</f>
        <v>-89.991007469179706</v>
      </c>
      <c r="BD526" s="351"/>
      <c r="BE526" s="337">
        <f t="shared" si="420"/>
        <v>24.326113476217095</v>
      </c>
      <c r="BF526" s="730">
        <f t="shared" si="421"/>
        <v>-89.788420736597132</v>
      </c>
      <c r="BI526" s="351"/>
      <c r="BJ526" s="351"/>
      <c r="BL526" s="405">
        <f t="shared" si="422"/>
        <v>0</v>
      </c>
      <c r="BM526" s="405">
        <f t="shared" si="410"/>
        <v>0</v>
      </c>
      <c r="BN526" s="405">
        <f t="shared" si="423"/>
        <v>0</v>
      </c>
      <c r="BO526" s="405">
        <f t="shared" si="424"/>
        <v>0</v>
      </c>
    </row>
    <row r="527" spans="4:67" ht="13.5" thickBot="1" x14ac:dyDescent="0.25">
      <c r="D527" s="345">
        <v>74994.5</v>
      </c>
      <c r="E527" s="340" t="str">
        <f t="shared" si="411"/>
        <v>1.2439794589709i</v>
      </c>
      <c r="F527" s="728" t="str">
        <f t="shared" si="425"/>
        <v>0.005-0.034790517007727i</v>
      </c>
      <c r="G527" s="337" t="str">
        <f t="shared" si="426"/>
        <v>0.005-0.0544159368582398i</v>
      </c>
      <c r="H527" s="338" t="str">
        <f t="shared" si="427"/>
        <v>0.00737879149933821-0.0538645560642895i</v>
      </c>
      <c r="I527" s="338" t="str">
        <f t="shared" si="428"/>
        <v>0.0173787914993382-0.0538645560642895i</v>
      </c>
      <c r="J527" s="337" t="str">
        <f t="shared" si="429"/>
        <v>0.00448374282768052-0.0212895041067278i</v>
      </c>
      <c r="K527" s="338" t="str">
        <f t="shared" si="412"/>
        <v>0.937509166330555-0.392670283766066i</v>
      </c>
      <c r="L527" s="732"/>
      <c r="M527" s="732" t="str">
        <f t="shared" si="413"/>
        <v>0.0599835495800838-16.3571565871019i</v>
      </c>
      <c r="N527" s="337">
        <f t="shared" si="414"/>
        <v>0</v>
      </c>
      <c r="O527" s="730" t="str">
        <f t="shared" si="415"/>
        <v>-0.633062557849304-6.25578235387674i</v>
      </c>
      <c r="P527" s="731" t="str">
        <f t="shared" si="416"/>
        <v>-0.347966801525287-0.0746183035537867i</v>
      </c>
      <c r="Q527" s="729" t="str">
        <f t="shared" si="417"/>
        <v>-0.341636175946794-0.0120604800150194i</v>
      </c>
      <c r="R527" s="730"/>
      <c r="S527" s="405" t="str">
        <f t="shared" si="430"/>
        <v>36.587164828023-14.7552492772261i</v>
      </c>
      <c r="T527" s="405" t="str">
        <f t="shared" si="431"/>
        <v>13.3956023313103-7.10827137732999i</v>
      </c>
      <c r="U527" s="405" t="str">
        <f t="shared" si="432"/>
        <v>-0.284040525513586-0.773998625203822i</v>
      </c>
      <c r="V527" s="731" t="str">
        <f t="shared" si="418"/>
        <v>6000</v>
      </c>
      <c r="W527" s="733" t="str">
        <f>IMSUM(COMPLEX(1,0),IMDIV(COMPLEX(0,2*PI()*D527),COMPLEX(2*PI()*'Stability Calculations'!EA_Pole1,0)))</f>
        <v>1+475916.383924472i</v>
      </c>
      <c r="X527" s="734">
        <f t="shared" si="433"/>
        <v>475916.38392552256</v>
      </c>
      <c r="Y527" s="735">
        <f t="shared" si="434"/>
        <v>1.5707942255854537</v>
      </c>
      <c r="Z527" s="340" t="str">
        <f>IMSUM(COMPLEX(1,0),IMDIV(COMPLEX(0,2*PI()*D527),COMPLEX(2*PI()*'Stability Calculations'!EA_Zero1,0)))</f>
        <v>1+4712.04340519279i</v>
      </c>
      <c r="AA527" s="734">
        <f t="shared" si="435"/>
        <v>4712.0435113038657</v>
      </c>
      <c r="AB527" s="735">
        <f t="shared" si="436"/>
        <v>1.5705841046443356</v>
      </c>
      <c r="AC527" s="733" t="str">
        <f>IMSUM(COMPLEX(1,0),IMDIV(COMPLEX(0,2*PI()*D527),COMPLEX(2*PI()*'Stability Calculations'!EA_Pole2,0)))</f>
        <v>1+47.4665625134664i</v>
      </c>
      <c r="AD527" s="734">
        <f t="shared" si="437"/>
        <v>47.477095075887007</v>
      </c>
      <c r="AE527" s="735">
        <f t="shared" si="438"/>
        <v>1.549731980854155</v>
      </c>
      <c r="AF527" s="732" t="str">
        <f t="shared" si="439"/>
        <v>0.026092057286637-1.25098270063594i</v>
      </c>
      <c r="AG527" s="337">
        <f t="shared" si="440"/>
        <v>1.2512547753131009</v>
      </c>
      <c r="AH527" s="730">
        <f t="shared" si="441"/>
        <v>-1.549942101795273</v>
      </c>
      <c r="AI527" s="731" t="str">
        <f t="shared" si="419"/>
        <v>10000</v>
      </c>
      <c r="AJ527" s="733" t="str">
        <f t="shared" si="442"/>
        <v>1+443685.064624274i</v>
      </c>
      <c r="AK527" s="734">
        <f t="shared" si="443"/>
        <v>443685.06462540093</v>
      </c>
      <c r="AL527" s="735">
        <f t="shared" si="444"/>
        <v>1.5707940729439565</v>
      </c>
      <c r="AM527" s="340" t="str">
        <f t="shared" si="445"/>
        <v>1+752.984536149808i</v>
      </c>
      <c r="AN527" s="734">
        <f t="shared" si="446"/>
        <v>752.98520017377609</v>
      </c>
      <c r="AO527" s="735">
        <f t="shared" si="447"/>
        <v>1.5694682790540897</v>
      </c>
      <c r="AP527" s="733" t="str">
        <f t="shared" si="448"/>
        <v>1+36.520991170842i</v>
      </c>
      <c r="AQ527" s="734">
        <f t="shared" si="449"/>
        <v>36.534679362226782</v>
      </c>
      <c r="AR527" s="735">
        <f t="shared" si="450"/>
        <v>1.5434216536395831</v>
      </c>
      <c r="AS527" s="732" t="str">
        <f t="shared" si="451"/>
        <v>0.000487005205929712-3.1209139496981i</v>
      </c>
      <c r="AT527" s="337">
        <f t="shared" si="452"/>
        <v>3.1209139876956344</v>
      </c>
      <c r="AU527" s="730">
        <f t="shared" si="453"/>
        <v>-1.5706402810948785</v>
      </c>
      <c r="AV527" s="732" t="str">
        <f t="shared" si="454"/>
        <v>-0.0528822305248373+0.0266531100864241i</v>
      </c>
      <c r="AW527" s="337">
        <f t="shared" si="455"/>
        <v>-24.550743166833406</v>
      </c>
      <c r="AX527" s="730">
        <f t="shared" si="456"/>
        <v>153.25149330292075</v>
      </c>
      <c r="AY527" s="360">
        <f t="shared" si="457"/>
        <v>-26.74850669707925</v>
      </c>
      <c r="BB527" s="337">
        <f t="shared" si="458"/>
        <v>-30.114364006276212</v>
      </c>
      <c r="BC527" s="730">
        <f t="shared" si="459"/>
        <v>-89.991059239977801</v>
      </c>
      <c r="BD527" s="351"/>
      <c r="BE527" s="337">
        <f t="shared" si="420"/>
        <v>24.274214626364412</v>
      </c>
      <c r="BF527" s="730">
        <f t="shared" si="421"/>
        <v>-89.789890815848878</v>
      </c>
      <c r="BI527" s="351"/>
      <c r="BJ527" s="351"/>
      <c r="BL527" s="405">
        <f t="shared" si="422"/>
        <v>0</v>
      </c>
      <c r="BM527" s="405">
        <f t="shared" si="410"/>
        <v>0</v>
      </c>
      <c r="BN527" s="405">
        <f t="shared" si="423"/>
        <v>0</v>
      </c>
      <c r="BO527" s="405">
        <f t="shared" si="424"/>
        <v>0</v>
      </c>
    </row>
    <row r="528" spans="4:67" ht="13.5" thickBot="1" x14ac:dyDescent="0.25">
      <c r="D528" s="345">
        <v>75426.25</v>
      </c>
      <c r="E528" s="340" t="str">
        <f t="shared" si="411"/>
        <v>1.25114115924773i</v>
      </c>
      <c r="F528" s="728" t="str">
        <f t="shared" si="425"/>
        <v>0.005-0.0345913714089722i</v>
      </c>
      <c r="G528" s="337" t="str">
        <f t="shared" si="426"/>
        <v>0.005-0.0541044527165976i</v>
      </c>
      <c r="H528" s="338" t="str">
        <f t="shared" si="427"/>
        <v>0.00735145640639898-0.053557438700946i</v>
      </c>
      <c r="I528" s="338" t="str">
        <f t="shared" si="428"/>
        <v>0.017351456406399-0.053557438700946i</v>
      </c>
      <c r="J528" s="337" t="str">
        <f t="shared" si="429"/>
        <v>0.00447934129689536-0.0211686098903186i</v>
      </c>
      <c r="K528" s="338" t="str">
        <f t="shared" si="412"/>
        <v>0.936787564565972-0.394930921479712i</v>
      </c>
      <c r="L528" s="732"/>
      <c r="M528" s="732" t="str">
        <f t="shared" si="413"/>
        <v>0.0592171568387148-16.2603098391038i</v>
      </c>
      <c r="N528" s="337">
        <f t="shared" si="414"/>
        <v>0</v>
      </c>
      <c r="O528" s="730" t="str">
        <f t="shared" si="415"/>
        <v>-0.630985799221367-6.21751874832386i</v>
      </c>
      <c r="P528" s="731" t="str">
        <f t="shared" si="416"/>
        <v>-0.343942901823585-0.0740890222545442i</v>
      </c>
      <c r="Q528" s="729" t="str">
        <f t="shared" si="417"/>
        <v>-0.337633043831371-0.0119138347713054i</v>
      </c>
      <c r="R528" s="730"/>
      <c r="S528" s="405" t="str">
        <f t="shared" si="430"/>
        <v>36.544187490678-14.8401695723216i</v>
      </c>
      <c r="T528" s="405" t="str">
        <f t="shared" si="431"/>
        <v>13.3716607715692-7.14129858391556i</v>
      </c>
      <c r="U528" s="405" t="str">
        <f t="shared" si="432"/>
        <v>-0.284168479909863-0.768650847327896i</v>
      </c>
      <c r="V528" s="731" t="str">
        <f t="shared" si="418"/>
        <v>6000</v>
      </c>
      <c r="W528" s="733" t="str">
        <f>IMSUM(COMPLEX(1,0),IMDIV(COMPLEX(0,2*PI()*D528),COMPLEX(2*PI()*'Stability Calculations'!EA_Pole1,0)))</f>
        <v>1+478656.276833411i</v>
      </c>
      <c r="X528" s="734">
        <f t="shared" si="433"/>
        <v>478656.27683445555</v>
      </c>
      <c r="Y528" s="735">
        <f t="shared" si="434"/>
        <v>1.570794237613059</v>
      </c>
      <c r="Z528" s="340" t="str">
        <f>IMSUM(COMPLEX(1,0),IMDIV(COMPLEX(0,2*PI()*D528),COMPLEX(2*PI()*'Stability Calculations'!EA_Zero1,0)))</f>
        <v>1+4739.17105775654i</v>
      </c>
      <c r="AA528" s="734">
        <f t="shared" si="435"/>
        <v>4739.1711632602219</v>
      </c>
      <c r="AB528" s="735">
        <f t="shared" si="436"/>
        <v>1.5705853194324335</v>
      </c>
      <c r="AC528" s="733" t="str">
        <f>IMSUM(COMPLEX(1,0),IMDIV(COMPLEX(0,2*PI()*D528),COMPLEX(2*PI()*'Stability Calculations'!EA_Pole2,0)))</f>
        <v>1+47.7398317314116i</v>
      </c>
      <c r="AD528" s="734">
        <f t="shared" si="437"/>
        <v>47.750304017288663</v>
      </c>
      <c r="AE528" s="735">
        <f t="shared" si="438"/>
        <v>1.5498525206455436</v>
      </c>
      <c r="AF528" s="732" t="str">
        <f t="shared" si="439"/>
        <v>0.0257943339532012-1.2438281437629i</v>
      </c>
      <c r="AG528" s="337">
        <f t="shared" si="440"/>
        <v>1.2440955746568472</v>
      </c>
      <c r="AH528" s="730">
        <f t="shared" si="441"/>
        <v>-1.5500614388261689</v>
      </c>
      <c r="AI528" s="731" t="str">
        <f t="shared" si="419"/>
        <v>10000</v>
      </c>
      <c r="AJ528" s="733" t="str">
        <f t="shared" si="442"/>
        <v>1+446239.398964146i</v>
      </c>
      <c r="AK528" s="734">
        <f t="shared" si="443"/>
        <v>446239.39896526642</v>
      </c>
      <c r="AL528" s="735">
        <f t="shared" si="444"/>
        <v>1.5707940858453024</v>
      </c>
      <c r="AM528" s="340" t="str">
        <f t="shared" si="445"/>
        <v>1+757.319535029495i</v>
      </c>
      <c r="AN528" s="734">
        <f t="shared" si="446"/>
        <v>757.32019525250382</v>
      </c>
      <c r="AO528" s="735">
        <f t="shared" si="447"/>
        <v>1.5694758809691216</v>
      </c>
      <c r="AP528" s="733" t="str">
        <f t="shared" si="448"/>
        <v>1+36.7312457620188i</v>
      </c>
      <c r="AQ528" s="734">
        <f t="shared" si="449"/>
        <v>36.744855629459536</v>
      </c>
      <c r="AR528" s="735">
        <f t="shared" si="450"/>
        <v>1.5435782723501517</v>
      </c>
      <c r="AS528" s="732" t="str">
        <f t="shared" si="451"/>
        <v>0.000481445796533639-3.10304941934265i</v>
      </c>
      <c r="AT528" s="337">
        <f t="shared" si="452"/>
        <v>3.1030494566914033</v>
      </c>
      <c r="AU528" s="730">
        <f t="shared" si="453"/>
        <v>-1.5706411743214397</v>
      </c>
      <c r="AV528" s="732" t="str">
        <f t="shared" si="454"/>
        <v>-0.0521857746306924+0.0264846074577463i</v>
      </c>
      <c r="AW528" s="337">
        <f t="shared" si="455"/>
        <v>-24.653661159068903</v>
      </c>
      <c r="AX528" s="730">
        <f t="shared" si="456"/>
        <v>153.09192113031517</v>
      </c>
      <c r="AY528" s="360">
        <f t="shared" si="457"/>
        <v>-26.908078869684829</v>
      </c>
      <c r="BB528" s="337">
        <f t="shared" si="458"/>
        <v>-30.164226050695014</v>
      </c>
      <c r="BC528" s="730">
        <f t="shared" si="459"/>
        <v>-89.991110418089903</v>
      </c>
      <c r="BD528" s="351"/>
      <c r="BE528" s="337">
        <f t="shared" si="420"/>
        <v>24.22263393530222</v>
      </c>
      <c r="BF528" s="730">
        <f t="shared" si="421"/>
        <v>-89.791339882481807</v>
      </c>
      <c r="BI528" s="351"/>
      <c r="BJ528" s="351"/>
      <c r="BL528" s="405">
        <f t="shared" si="422"/>
        <v>0</v>
      </c>
      <c r="BM528" s="405">
        <f t="shared" si="410"/>
        <v>0</v>
      </c>
      <c r="BN528" s="405">
        <f t="shared" si="423"/>
        <v>0</v>
      </c>
      <c r="BO528" s="405">
        <f t="shared" si="424"/>
        <v>0</v>
      </c>
    </row>
    <row r="529" spans="4:67" ht="13.5" thickBot="1" x14ac:dyDescent="0.25">
      <c r="D529" s="345">
        <v>75858</v>
      </c>
      <c r="E529" s="340" t="str">
        <f t="shared" si="411"/>
        <v>1.25830285952456i</v>
      </c>
      <c r="F529" s="728" t="str">
        <f t="shared" si="425"/>
        <v>0.005-0.0343944927065832i</v>
      </c>
      <c r="G529" s="337" t="str">
        <f t="shared" si="426"/>
        <v>0.005-0.0537965142333738i</v>
      </c>
      <c r="H529" s="338" t="str">
        <f t="shared" si="427"/>
        <v>0.00732458551710885-0.0532537968471324i</v>
      </c>
      <c r="I529" s="338" t="str">
        <f t="shared" si="428"/>
        <v>0.0173245855171089-0.0532537968471324i</v>
      </c>
      <c r="J529" s="337" t="str">
        <f t="shared" si="429"/>
        <v>0.00447501030582953-0.0210490947322228i</v>
      </c>
      <c r="K529" s="338" t="str">
        <f t="shared" si="412"/>
        <v>0.9360618204-0.397191559193358i</v>
      </c>
      <c r="L529" s="732"/>
      <c r="M529" s="732" t="str">
        <f t="shared" si="413"/>
        <v>0.0584656505101602-16.1646211429942i</v>
      </c>
      <c r="N529" s="337">
        <f t="shared" si="414"/>
        <v>0</v>
      </c>
      <c r="O529" s="730" t="str">
        <f t="shared" si="415"/>
        <v>-0.628938830728849-6.17970778210408i</v>
      </c>
      <c r="P529" s="731" t="str">
        <f t="shared" si="416"/>
        <v>-0.339989007360807-0.0735674952208984i</v>
      </c>
      <c r="Q529" s="729" t="str">
        <f t="shared" si="417"/>
        <v>-0.333699619053519-0.0117704173998569i</v>
      </c>
      <c r="R529" s="730"/>
      <c r="S529" s="405" t="str">
        <f t="shared" si="430"/>
        <v>36.5009575776222-14.924934976016i</v>
      </c>
      <c r="T529" s="405" t="str">
        <f t="shared" si="431"/>
        <v>13.3476022435253-7.17424687037692i</v>
      </c>
      <c r="U529" s="405" t="str">
        <f t="shared" si="432"/>
        <v>-0.284290231285176-0.763358882995957i</v>
      </c>
      <c r="V529" s="731" t="str">
        <f t="shared" si="418"/>
        <v>6000</v>
      </c>
      <c r="W529" s="733" t="str">
        <f>IMSUM(COMPLEX(1,0),IMDIV(COMPLEX(0,2*PI()*D529),COMPLEX(2*PI()*'Stability Calculations'!EA_Pole1,0)))</f>
        <v>1+481396.169742349i</v>
      </c>
      <c r="X529" s="734">
        <f t="shared" si="433"/>
        <v>481396.16974338767</v>
      </c>
      <c r="Y529" s="735">
        <f t="shared" si="434"/>
        <v>1.570794249503753</v>
      </c>
      <c r="Z529" s="340" t="str">
        <f>IMSUM(COMPLEX(1,0),IMDIV(COMPLEX(0,2*PI()*D529),COMPLEX(2*PI()*'Stability Calculations'!EA_Zero1,0)))</f>
        <v>1+4766.29871032029i</v>
      </c>
      <c r="AA529" s="734">
        <f t="shared" si="435"/>
        <v>4766.2988152234921</v>
      </c>
      <c r="AB529" s="735">
        <f t="shared" si="436"/>
        <v>1.5705865203924649</v>
      </c>
      <c r="AC529" s="733" t="str">
        <f>IMSUM(COMPLEX(1,0),IMDIV(COMPLEX(0,2*PI()*D529),COMPLEX(2*PI()*'Stability Calculations'!EA_Pole2,0)))</f>
        <v>1+48.0131009493568i</v>
      </c>
      <c r="AD529" s="734">
        <f t="shared" si="437"/>
        <v>48.02351364460047</v>
      </c>
      <c r="AE529" s="735">
        <f t="shared" si="438"/>
        <v>1.5499716889175326</v>
      </c>
      <c r="AF529" s="732" t="str">
        <f t="shared" si="439"/>
        <v>0.0255016767267441-1.23675492248669i</v>
      </c>
      <c r="AG529" s="337">
        <f t="shared" si="440"/>
        <v>1.2370178146699966</v>
      </c>
      <c r="AH529" s="730">
        <f t="shared" si="441"/>
        <v>-1.5501794180288206</v>
      </c>
      <c r="AI529" s="731" t="str">
        <f t="shared" si="419"/>
        <v>10000</v>
      </c>
      <c r="AJ529" s="733" t="str">
        <f t="shared" si="442"/>
        <v>1+448793.733304018i</v>
      </c>
      <c r="AK529" s="734">
        <f t="shared" si="443"/>
        <v>448793.73330513207</v>
      </c>
      <c r="AL529" s="735">
        <f t="shared" si="444"/>
        <v>1.570794098599791</v>
      </c>
      <c r="AM529" s="340" t="str">
        <f t="shared" si="445"/>
        <v>1+761.654533909182i</v>
      </c>
      <c r="AN529" s="734">
        <f t="shared" si="446"/>
        <v>761.65519037449837</v>
      </c>
      <c r="AO529" s="735">
        <f t="shared" si="447"/>
        <v>1.5694833963508645</v>
      </c>
      <c r="AP529" s="733" t="str">
        <f t="shared" si="448"/>
        <v>1+36.9415003531957i</v>
      </c>
      <c r="AQ529" s="734">
        <f t="shared" si="449"/>
        <v>36.95503278777003</v>
      </c>
      <c r="AR529" s="735">
        <f t="shared" si="450"/>
        <v>1.5437331095655611</v>
      </c>
      <c r="AS529" s="732" t="str">
        <f t="shared" si="451"/>
        <v>0.000475981041798104-3.08538824289653i</v>
      </c>
      <c r="AT529" s="337">
        <f t="shared" si="452"/>
        <v>3.0853882796111884</v>
      </c>
      <c r="AU529" s="730">
        <f t="shared" si="453"/>
        <v>-1.5706420573803042</v>
      </c>
      <c r="AV529" s="732" t="str">
        <f t="shared" si="454"/>
        <v>-0.0515012523897198+0.0263178187914544i</v>
      </c>
      <c r="AW529" s="337">
        <f t="shared" si="455"/>
        <v>-24.756030231159446</v>
      </c>
      <c r="AX529" s="730">
        <f t="shared" si="456"/>
        <v>152.93236875552842</v>
      </c>
      <c r="AY529" s="360">
        <f t="shared" si="457"/>
        <v>-27.067631244471585</v>
      </c>
      <c r="BB529" s="337">
        <f t="shared" si="458"/>
        <v>-30.213803491080373</v>
      </c>
      <c r="BC529" s="730">
        <f t="shared" si="459"/>
        <v>-89.991161013635903</v>
      </c>
      <c r="BD529" s="351"/>
      <c r="BE529" s="337">
        <f t="shared" si="420"/>
        <v>24.171367420055674</v>
      </c>
      <c r="BF529" s="730">
        <f t="shared" si="421"/>
        <v>-89.792768393158795</v>
      </c>
      <c r="BI529" s="351"/>
      <c r="BJ529" s="351"/>
      <c r="BL529" s="405">
        <f t="shared" si="422"/>
        <v>0</v>
      </c>
      <c r="BM529" s="405">
        <f t="shared" si="410"/>
        <v>0</v>
      </c>
      <c r="BN529" s="405">
        <f t="shared" si="423"/>
        <v>0</v>
      </c>
      <c r="BO529" s="405">
        <f t="shared" si="424"/>
        <v>0</v>
      </c>
    </row>
    <row r="530" spans="4:67" ht="13.5" thickBot="1" x14ac:dyDescent="0.25">
      <c r="D530" s="345">
        <v>76299.75</v>
      </c>
      <c r="E530" s="340" t="str">
        <f t="shared" si="411"/>
        <v>1.2656304358935i</v>
      </c>
      <c r="F530" s="728" t="str">
        <f t="shared" si="425"/>
        <v>0.005-0.0341953601123987i</v>
      </c>
      <c r="G530" s="337" t="str">
        <f t="shared" si="426"/>
        <v>0.005-0.0534850504322131i</v>
      </c>
      <c r="H530" s="338" t="str">
        <f t="shared" si="427"/>
        <v>0.00729756181968623-0.0529466583060582i</v>
      </c>
      <c r="I530" s="338" t="str">
        <f t="shared" si="428"/>
        <v>0.0172975618196862-0.0529466583060582i</v>
      </c>
      <c r="J530" s="337" t="str">
        <f t="shared" si="429"/>
        <v>0.00447065033356359-0.020928214352973i</v>
      </c>
      <c r="K530" s="338" t="str">
        <f t="shared" si="412"/>
        <v>0.93531497944375-0.399504556784563i</v>
      </c>
      <c r="L530" s="732"/>
      <c r="M530" s="732" t="str">
        <f t="shared" si="413"/>
        <v>0.0577117398203945-16.0678929023185i</v>
      </c>
      <c r="N530" s="337">
        <f t="shared" si="414"/>
        <v>0</v>
      </c>
      <c r="O530" s="730" t="str">
        <f t="shared" si="415"/>
        <v>-0.626874557223978-6.14148100839596i</v>
      </c>
      <c r="P530" s="731" t="str">
        <f t="shared" si="416"/>
        <v>-0.336014297851456-0.0730417344250584i</v>
      </c>
      <c r="Q530" s="729" t="str">
        <f t="shared" si="417"/>
        <v>-0.329745552279216-0.0116269243410994i</v>
      </c>
      <c r="R530" s="730"/>
      <c r="S530" s="405" t="str">
        <f t="shared" si="430"/>
        <v>36.4564651674988-15.0115029987899i</v>
      </c>
      <c r="T530" s="405" t="str">
        <f t="shared" si="431"/>
        <v>13.3228657553908-7.20787582420343i</v>
      </c>
      <c r="U530" s="405" t="str">
        <f t="shared" si="432"/>
        <v>-0.284408501911251-0.758001140223906i</v>
      </c>
      <c r="V530" s="731" t="str">
        <f t="shared" si="418"/>
        <v>6000</v>
      </c>
      <c r="W530" s="733" t="str">
        <f>IMSUM(COMPLEX(1,0),IMDIV(COMPLEX(0,2*PI()*D530),COMPLEX(2*PI()*'Stability Calculations'!EA_Pole1,0)))</f>
        <v>1+484199.522822891i</v>
      </c>
      <c r="X530" s="734">
        <f t="shared" si="433"/>
        <v>484199.52282392356</v>
      </c>
      <c r="Y530" s="735">
        <f t="shared" si="434"/>
        <v>1.570794261530573</v>
      </c>
      <c r="Z530" s="340" t="str">
        <f>IMSUM(COMPLEX(1,0),IMDIV(COMPLEX(0,2*PI()*D530),COMPLEX(2*PI()*'Stability Calculations'!EA_Zero1,0)))</f>
        <v>1+4794.05468141476i</v>
      </c>
      <c r="AA530" s="734">
        <f t="shared" si="435"/>
        <v>4794.0547857106067</v>
      </c>
      <c r="AB530" s="735">
        <f t="shared" si="436"/>
        <v>1.5705877351012363</v>
      </c>
      <c r="AC530" s="733" t="str">
        <f>IMSUM(COMPLEX(1,0),IMDIV(COMPLEX(0,2*PI()*D530),COMPLEX(2*PI()*'Stability Calculations'!EA_Pole2,0)))</f>
        <v>1+48.2926995064553i</v>
      </c>
      <c r="AD530" s="734">
        <f t="shared" si="437"/>
        <v>48.303051928638915</v>
      </c>
      <c r="AE530" s="735">
        <f t="shared" si="438"/>
        <v>1.5500922220444118</v>
      </c>
      <c r="AF530" s="732" t="str">
        <f t="shared" si="439"/>
        <v>0.0252073654083566-1.22960061998713i</v>
      </c>
      <c r="AG530" s="337">
        <f t="shared" si="440"/>
        <v>1.2298589740061929</v>
      </c>
      <c r="AH530" s="730">
        <f t="shared" si="441"/>
        <v>-1.5502987484737485</v>
      </c>
      <c r="AI530" s="731" t="str">
        <f t="shared" si="419"/>
        <v>10000</v>
      </c>
      <c r="AJ530" s="733" t="str">
        <f t="shared" si="442"/>
        <v>1+451407.229991079i</v>
      </c>
      <c r="AK530" s="734">
        <f t="shared" si="443"/>
        <v>451407.22999218671</v>
      </c>
      <c r="AL530" s="735">
        <f t="shared" si="444"/>
        <v>1.5707941115002944</v>
      </c>
      <c r="AM530" s="340" t="str">
        <f t="shared" si="445"/>
        <v>1+766.089938090078i</v>
      </c>
      <c r="AN530" s="734">
        <f t="shared" si="446"/>
        <v>766.09059075468326</v>
      </c>
      <c r="AO530" s="735">
        <f t="shared" si="447"/>
        <v>1.5694909977697802</v>
      </c>
      <c r="AP530" s="733" t="str">
        <f t="shared" si="448"/>
        <v>1+37.1566247669823i</v>
      </c>
      <c r="AQ530" s="734">
        <f t="shared" si="449"/>
        <v>37.170078881733922</v>
      </c>
      <c r="AR530" s="735">
        <f t="shared" si="450"/>
        <v>1.5438897206969415</v>
      </c>
      <c r="AS530" s="732" t="str">
        <f t="shared" si="451"/>
        <v>0.000470485455262089-3.067524879098i</v>
      </c>
      <c r="AT530" s="337">
        <f t="shared" si="452"/>
        <v>3.0675249151786463</v>
      </c>
      <c r="AU530" s="730">
        <f t="shared" si="453"/>
        <v>-1.5706429505485364</v>
      </c>
      <c r="AV530" s="732" t="str">
        <f t="shared" si="454"/>
        <v>-0.05081294650964+0.0261489127312137i</v>
      </c>
      <c r="AW530" s="337">
        <f t="shared" si="455"/>
        <v>-24.860208984397634</v>
      </c>
      <c r="AX530" s="730">
        <f t="shared" si="456"/>
        <v>152.76914098214476</v>
      </c>
      <c r="AY530" s="360">
        <f t="shared" si="457"/>
        <v>-27.230859017855238</v>
      </c>
      <c r="BB530" s="337">
        <f t="shared" si="458"/>
        <v>-30.264238022838008</v>
      </c>
      <c r="BC530" s="730">
        <f t="shared" si="459"/>
        <v>-89.99121218840601</v>
      </c>
      <c r="BD530" s="351"/>
      <c r="BE530" s="337">
        <f t="shared" si="420"/>
        <v>24.119234593439344</v>
      </c>
      <c r="BF530" s="730">
        <f t="shared" si="421"/>
        <v>-89.794209177205147</v>
      </c>
      <c r="BI530" s="351"/>
      <c r="BJ530" s="351"/>
      <c r="BL530" s="405">
        <f t="shared" si="422"/>
        <v>0</v>
      </c>
      <c r="BM530" s="405">
        <f t="shared" si="410"/>
        <v>0</v>
      </c>
      <c r="BN530" s="405">
        <f t="shared" si="423"/>
        <v>0</v>
      </c>
      <c r="BO530" s="405">
        <f t="shared" si="424"/>
        <v>0</v>
      </c>
    </row>
    <row r="531" spans="4:67" ht="13.5" thickBot="1" x14ac:dyDescent="0.25">
      <c r="D531" s="345">
        <v>76741.5</v>
      </c>
      <c r="E531" s="340" t="str">
        <f t="shared" si="411"/>
        <v>1.27295801226243i</v>
      </c>
      <c r="F531" s="728" t="str">
        <f t="shared" si="425"/>
        <v>0.005-0.0339985200671864i</v>
      </c>
      <c r="G531" s="337" t="str">
        <f t="shared" si="426"/>
        <v>0.005-0.0531771724127787i</v>
      </c>
      <c r="H531" s="338" t="str">
        <f t="shared" si="427"/>
        <v>0.00727100227365506-0.052643035547635i</v>
      </c>
      <c r="I531" s="338" t="str">
        <f t="shared" si="428"/>
        <v>0.0172710022736551-0.052643035547635i</v>
      </c>
      <c r="J531" s="337" t="str">
        <f t="shared" si="429"/>
        <v>0.00446636084750695-0.0208087286624962i</v>
      </c>
      <c r="K531" s="338" t="str">
        <f t="shared" si="412"/>
        <v>0.934563801975-0.401817554375769i</v>
      </c>
      <c r="L531" s="732"/>
      <c r="M531" s="732" t="str">
        <f t="shared" si="413"/>
        <v>0.0569726025969028-15.9723331728459i</v>
      </c>
      <c r="N531" s="337">
        <f t="shared" si="414"/>
        <v>0</v>
      </c>
      <c r="O531" s="730" t="str">
        <f t="shared" si="415"/>
        <v>-0.624840014460255-6.10371097042748i</v>
      </c>
      <c r="P531" s="731" t="str">
        <f t="shared" si="416"/>
        <v>-0.332109486899118-0.0725237309551705i</v>
      </c>
      <c r="Q531" s="729" t="str">
        <f t="shared" si="417"/>
        <v>-0.325861086754515-0.0114866212508953i</v>
      </c>
      <c r="R531" s="730"/>
      <c r="S531" s="405" t="str">
        <f t="shared" si="430"/>
        <v>36.4117087410728-15.0979081128998i</v>
      </c>
      <c r="T531" s="405" t="str">
        <f t="shared" si="431"/>
        <v>13.2980075043555-7.24142057648895i</v>
      </c>
      <c r="U531" s="405" t="str">
        <f t="shared" si="432"/>
        <v>-0.284520518024231-0.752699867240646i</v>
      </c>
      <c r="V531" s="731" t="str">
        <f t="shared" si="418"/>
        <v>6000</v>
      </c>
      <c r="W531" s="733" t="str">
        <f>IMSUM(COMPLEX(1,0),IMDIV(COMPLEX(0,2*PI()*D531),COMPLEX(2*PI()*'Stability Calculations'!EA_Pole1,0)))</f>
        <v>1+487002.875903431i</v>
      </c>
      <c r="X531" s="734">
        <f t="shared" si="433"/>
        <v>487002.87590445764</v>
      </c>
      <c r="Y531" s="735">
        <f t="shared" si="434"/>
        <v>1.5707942734189322</v>
      </c>
      <c r="Z531" s="340" t="str">
        <f>IMSUM(COMPLEX(1,0),IMDIV(COMPLEX(0,2*PI()*D531),COMPLEX(2*PI()*'Stability Calculations'!EA_Zero1,0)))</f>
        <v>1+4821.81065250922i</v>
      </c>
      <c r="AA531" s="734">
        <f t="shared" si="435"/>
        <v>4821.8107562047044</v>
      </c>
      <c r="AB531" s="735">
        <f t="shared" si="436"/>
        <v>1.5705889358254601</v>
      </c>
      <c r="AC531" s="733" t="str">
        <f>IMSUM(COMPLEX(1,0),IMDIV(COMPLEX(0,2*PI()*D531),COMPLEX(2*PI()*'Stability Calculations'!EA_Pole2,0)))</f>
        <v>1+48.5722980635538i</v>
      </c>
      <c r="AD531" s="734">
        <f t="shared" si="437"/>
        <v>48.582590906359783</v>
      </c>
      <c r="AE531" s="735">
        <f t="shared" si="438"/>
        <v>1.5502113681038334</v>
      </c>
      <c r="AF531" s="732" t="str">
        <f t="shared" si="439"/>
        <v>0.0249181190425803-1.22252857837544i</v>
      </c>
      <c r="AG531" s="337">
        <f t="shared" si="440"/>
        <v>1.2227824980761275</v>
      </c>
      <c r="AH531" s="730">
        <f t="shared" si="441"/>
        <v>-1.5504167056973055</v>
      </c>
      <c r="AI531" s="731" t="str">
        <f t="shared" si="419"/>
        <v>10000</v>
      </c>
      <c r="AJ531" s="733" t="str">
        <f t="shared" si="442"/>
        <v>1+454020.726678139i</v>
      </c>
      <c r="AK531" s="734">
        <f t="shared" si="443"/>
        <v>454020.7266792403</v>
      </c>
      <c r="AL531" s="735">
        <f t="shared" si="444"/>
        <v>1.5707941242522785</v>
      </c>
      <c r="AM531" s="340" t="str">
        <f t="shared" si="445"/>
        <v>1+770.525342270973i</v>
      </c>
      <c r="AN531" s="734">
        <f t="shared" si="446"/>
        <v>770.52599117862337</v>
      </c>
      <c r="AO531" s="735">
        <f t="shared" si="447"/>
        <v>1.5694985116761735</v>
      </c>
      <c r="AP531" s="733" t="str">
        <f t="shared" si="448"/>
        <v>1+37.3717491807689i</v>
      </c>
      <c r="AQ531" s="734">
        <f t="shared" si="449"/>
        <v>37.385125876881851</v>
      </c>
      <c r="AR531" s="735">
        <f t="shared" si="450"/>
        <v>1.5440445301126864</v>
      </c>
      <c r="AS531" s="732" t="str">
        <f t="shared" si="451"/>
        <v>0.000465084498669011-3.04986717039884i</v>
      </c>
      <c r="AT531" s="337">
        <f t="shared" si="452"/>
        <v>3.0498672058599889</v>
      </c>
      <c r="AU531" s="730">
        <f t="shared" si="453"/>
        <v>-1.5706438334340127</v>
      </c>
      <c r="AV531" s="732" t="str">
        <f t="shared" si="454"/>
        <v>-0.0501365720125085+0.0259817441245951i</v>
      </c>
      <c r="AW531" s="337">
        <f t="shared" si="455"/>
        <v>-24.963826771158793</v>
      </c>
      <c r="AX531" s="730">
        <f t="shared" si="456"/>
        <v>152.6059331178393</v>
      </c>
      <c r="AY531" s="360">
        <f t="shared" si="457"/>
        <v>-27.394066882160701</v>
      </c>
      <c r="BB531" s="337">
        <f t="shared" si="458"/>
        <v>-30.314381396787297</v>
      </c>
      <c r="BC531" s="730">
        <f t="shared" si="459"/>
        <v>-89.991262774017585</v>
      </c>
      <c r="BD531" s="351"/>
      <c r="BE531" s="337">
        <f t="shared" si="420"/>
        <v>24.067422470224589</v>
      </c>
      <c r="BF531" s="730">
        <f t="shared" si="421"/>
        <v>-89.795629367518202</v>
      </c>
      <c r="BI531" s="351"/>
      <c r="BJ531" s="351"/>
      <c r="BL531" s="405">
        <f t="shared" si="422"/>
        <v>0</v>
      </c>
      <c r="BM531" s="405">
        <f t="shared" si="410"/>
        <v>0</v>
      </c>
      <c r="BN531" s="405">
        <f t="shared" si="423"/>
        <v>0</v>
      </c>
      <c r="BO531" s="405">
        <f t="shared" si="424"/>
        <v>0</v>
      </c>
    </row>
    <row r="532" spans="4:67" ht="13.5" thickBot="1" x14ac:dyDescent="0.25">
      <c r="D532" s="345">
        <v>77183.25</v>
      </c>
      <c r="E532" s="340" t="str">
        <f t="shared" si="411"/>
        <v>1.28028558863137i</v>
      </c>
      <c r="F532" s="728" t="str">
        <f t="shared" si="425"/>
        <v>0.005-0.0338039332074769i</v>
      </c>
      <c r="G532" s="337" t="str">
        <f t="shared" si="426"/>
        <v>0.005-0.0528728186065663i</v>
      </c>
      <c r="H532" s="338" t="str">
        <f t="shared" si="427"/>
        <v>0.00724489631661701-0.0523428686623879i</v>
      </c>
      <c r="I532" s="338" t="str">
        <f t="shared" si="428"/>
        <v>0.017244896316617-0.0523428686623879i</v>
      </c>
      <c r="J532" s="337" t="str">
        <f t="shared" si="429"/>
        <v>0.00446214022094186-0.0206906137249952i</v>
      </c>
      <c r="K532" s="338" t="str">
        <f t="shared" si="412"/>
        <v>0.93380828799375-0.404130551966974i</v>
      </c>
      <c r="L532" s="732"/>
      <c r="M532" s="732" t="str">
        <f t="shared" si="413"/>
        <v>0.0562478491872119-15.8779206115017i</v>
      </c>
      <c r="N532" s="337">
        <f t="shared" si="414"/>
        <v>0</v>
      </c>
      <c r="O532" s="730" t="str">
        <f t="shared" si="415"/>
        <v>-0.622834497881631-6.06638933086048i</v>
      </c>
      <c r="P532" s="731" t="str">
        <f t="shared" si="416"/>
        <v>-0.328272936338521-0.0720133107058978i</v>
      </c>
      <c r="Q532" s="729" t="str">
        <f t="shared" si="417"/>
        <v>-0.322044591359705-0.0113494173972931i</v>
      </c>
      <c r="R532" s="730"/>
      <c r="S532" s="405" t="str">
        <f t="shared" si="430"/>
        <v>36.3666885018863-15.1841499076266i</v>
      </c>
      <c r="T532" s="405" t="str">
        <f t="shared" si="431"/>
        <v>13.2730278433573-7.27488033635964i</v>
      </c>
      <c r="U532" s="405" t="str">
        <f t="shared" si="432"/>
        <v>-0.284626395447967-0.747454106909791i</v>
      </c>
      <c r="V532" s="731" t="str">
        <f t="shared" si="418"/>
        <v>6000</v>
      </c>
      <c r="W532" s="733" t="str">
        <f>IMSUM(COMPLEX(1,0),IMDIV(COMPLEX(0,2*PI()*D532),COMPLEX(2*PI()*'Stability Calculations'!EA_Pole1,0)))</f>
        <v>1+489806.228983973i</v>
      </c>
      <c r="X532" s="734">
        <f t="shared" si="433"/>
        <v>489806.22898499377</v>
      </c>
      <c r="Y532" s="735">
        <f t="shared" si="434"/>
        <v>1.5707942851712078</v>
      </c>
      <c r="Z532" s="340" t="str">
        <f>IMSUM(COMPLEX(1,0),IMDIV(COMPLEX(0,2*PI()*D532),COMPLEX(2*PI()*'Stability Calculations'!EA_Zero1,0)))</f>
        <v>1+4849.56662360369i</v>
      </c>
      <c r="AA532" s="734">
        <f t="shared" si="435"/>
        <v>4849.5667267056851</v>
      </c>
      <c r="AB532" s="735">
        <f t="shared" si="436"/>
        <v>1.5705901228052537</v>
      </c>
      <c r="AC532" s="733" t="str">
        <f>IMSUM(COMPLEX(1,0),IMDIV(COMPLEX(0,2*PI()*D532),COMPLEX(2*PI()*'Stability Calculations'!EA_Pole2,0)))</f>
        <v>1+48.8518966206523i</v>
      </c>
      <c r="AD532" s="734">
        <f t="shared" si="437"/>
        <v>48.862130565857434</v>
      </c>
      <c r="AE532" s="735">
        <f t="shared" si="438"/>
        <v>1.5503291508985739</v>
      </c>
      <c r="AF532" s="732" t="str">
        <f t="shared" si="439"/>
        <v>0.0246338220882313-1.2155373875828i</v>
      </c>
      <c r="AG532" s="337">
        <f t="shared" si="440"/>
        <v>1.215786973857794</v>
      </c>
      <c r="AH532" s="730">
        <f t="shared" si="441"/>
        <v>-1.550533313264528</v>
      </c>
      <c r="AI532" s="731" t="str">
        <f t="shared" si="419"/>
        <v>10000</v>
      </c>
      <c r="AJ532" s="733" t="str">
        <f t="shared" si="442"/>
        <v>1+456634.223365201i</v>
      </c>
      <c r="AK532" s="734">
        <f t="shared" si="443"/>
        <v>456634.22336629592</v>
      </c>
      <c r="AL532" s="735">
        <f t="shared" si="444"/>
        <v>1.5707941368582934</v>
      </c>
      <c r="AM532" s="340" t="str">
        <f t="shared" si="445"/>
        <v>1+774.960746451869i</v>
      </c>
      <c r="AN532" s="734">
        <f t="shared" si="446"/>
        <v>774.96139164556962</v>
      </c>
      <c r="AO532" s="735">
        <f t="shared" si="447"/>
        <v>1.5695059395726465</v>
      </c>
      <c r="AP532" s="733" t="str">
        <f t="shared" si="448"/>
        <v>1+37.5868735945555i</v>
      </c>
      <c r="AQ532" s="734">
        <f t="shared" si="449"/>
        <v>37.60017375775135</v>
      </c>
      <c r="AR532" s="735">
        <f t="shared" si="450"/>
        <v>1.5441975687191414</v>
      </c>
      <c r="AS532" s="732" t="str">
        <f t="shared" si="451"/>
        <v>0.000459776011813493-3.03241158566509i</v>
      </c>
      <c r="AT532" s="337">
        <f t="shared" si="452"/>
        <v>3.0324116205208433</v>
      </c>
      <c r="AU532" s="730">
        <f t="shared" si="453"/>
        <v>-1.5706447062132896</v>
      </c>
      <c r="AV532" s="732" t="str">
        <f t="shared" si="454"/>
        <v>-0.0494718569672224+0.0258162851279203i</v>
      </c>
      <c r="AW532" s="337">
        <f t="shared" si="455"/>
        <v>-25.066890331877634</v>
      </c>
      <c r="AX532" s="730">
        <f t="shared" si="456"/>
        <v>152.44274477056194</v>
      </c>
      <c r="AY532" s="360">
        <f t="shared" si="457"/>
        <v>-27.557255229438056</v>
      </c>
      <c r="BB532" s="337">
        <f t="shared" si="458"/>
        <v>-30.364236955341148</v>
      </c>
      <c r="BC532" s="730">
        <f t="shared" si="459"/>
        <v>-89.991312780586597</v>
      </c>
      <c r="BD532" s="351"/>
      <c r="BE532" s="337">
        <f t="shared" si="420"/>
        <v>24.015927024645908</v>
      </c>
      <c r="BF532" s="730">
        <f t="shared" si="421"/>
        <v>-89.797029411925706</v>
      </c>
      <c r="BI532" s="351"/>
      <c r="BJ532" s="351"/>
      <c r="BL532" s="405">
        <f t="shared" si="422"/>
        <v>0</v>
      </c>
      <c r="BM532" s="405">
        <f t="shared" si="410"/>
        <v>0</v>
      </c>
      <c r="BN532" s="405">
        <f t="shared" si="423"/>
        <v>0</v>
      </c>
      <c r="BO532" s="405">
        <f t="shared" si="424"/>
        <v>0</v>
      </c>
    </row>
    <row r="533" spans="4:67" ht="13.5" thickBot="1" x14ac:dyDescent="0.25">
      <c r="D533" s="345">
        <v>77625</v>
      </c>
      <c r="E533" s="340" t="str">
        <f t="shared" si="411"/>
        <v>1.28761316500031i</v>
      </c>
      <c r="F533" s="728" t="str">
        <f t="shared" si="425"/>
        <v>0.005-0.0336115610658421i</v>
      </c>
      <c r="G533" s="337" t="str">
        <f t="shared" si="426"/>
        <v>0.005-0.0525719288465735i</v>
      </c>
      <c r="H533" s="338" t="str">
        <f t="shared" si="427"/>
        <v>0.0072192336847412-0.05204609909173i</v>
      </c>
      <c r="I533" s="338" t="str">
        <f t="shared" si="428"/>
        <v>0.0172192336847412-0.05204609909173i</v>
      </c>
      <c r="J533" s="337" t="str">
        <f t="shared" si="429"/>
        <v>0.00445798687339567-0.0205738461487095i</v>
      </c>
      <c r="K533" s="338" t="str">
        <f t="shared" si="412"/>
        <v>0.9330484375-0.406443549558179i</v>
      </c>
      <c r="L533" s="732"/>
      <c r="M533" s="732" t="str">
        <f t="shared" si="413"/>
        <v>0.0555371028364638-15.784634398285i</v>
      </c>
      <c r="N533" s="337">
        <f t="shared" si="414"/>
        <v>0</v>
      </c>
      <c r="O533" s="730" t="str">
        <f t="shared" si="415"/>
        <v>-0.620857323129786-6.02950795723556i</v>
      </c>
      <c r="P533" s="731" t="str">
        <f t="shared" si="416"/>
        <v>-0.324503055948512-0.0715103047582068i</v>
      </c>
      <c r="Q533" s="729" t="str">
        <f t="shared" si="417"/>
        <v>-0.318294482717214-0.0112152251858511i</v>
      </c>
      <c r="R533" s="730"/>
      <c r="S533" s="405" t="str">
        <f t="shared" si="430"/>
        <v>36.3214046562045-15.2702279547879i</v>
      </c>
      <c r="T533" s="405" t="str">
        <f t="shared" si="431"/>
        <v>13.2479271291832-7.30825431935483i</v>
      </c>
      <c r="U533" s="405" t="str">
        <f t="shared" si="432"/>
        <v>-0.284726246708708-0.742262923884424i</v>
      </c>
      <c r="V533" s="731" t="str">
        <f t="shared" si="418"/>
        <v>6000</v>
      </c>
      <c r="W533" s="733" t="str">
        <f>IMSUM(COMPLEX(1,0),IMDIV(COMPLEX(0,2*PI()*D533),COMPLEX(2*PI()*'Stability Calculations'!EA_Pole1,0)))</f>
        <v>1+492609.582064513i</v>
      </c>
      <c r="X533" s="734">
        <f t="shared" si="433"/>
        <v>492609.58206552808</v>
      </c>
      <c r="Y533" s="735">
        <f t="shared" si="434"/>
        <v>1.5707942967897233</v>
      </c>
      <c r="Z533" s="340" t="str">
        <f>IMSUM(COMPLEX(1,0),IMDIV(COMPLEX(0,2*PI()*D533),COMPLEX(2*PI()*'Stability Calculations'!EA_Zero1,0)))</f>
        <v>1+4877.32259469815i</v>
      </c>
      <c r="AA533" s="734">
        <f t="shared" si="435"/>
        <v>4877.3226972134107</v>
      </c>
      <c r="AB533" s="735">
        <f t="shared" si="436"/>
        <v>1.5705912962752679</v>
      </c>
      <c r="AC533" s="733" t="str">
        <f>IMSUM(COMPLEX(1,0),IMDIV(COMPLEX(0,2*PI()*D533),COMPLEX(2*PI()*'Stability Calculations'!EA_Pole2,0)))</f>
        <v>1+49.1314951777507i</v>
      </c>
      <c r="AD533" s="734">
        <f t="shared" si="437"/>
        <v>49.141670895497036</v>
      </c>
      <c r="AE533" s="735">
        <f t="shared" si="438"/>
        <v>1.5504455936899588</v>
      </c>
      <c r="AF533" s="732" t="str">
        <f t="shared" si="439"/>
        <v>0.0243543622796259-1.20862566957155i</v>
      </c>
      <c r="AG533" s="337">
        <f t="shared" si="440"/>
        <v>1.2088710204605475</v>
      </c>
      <c r="AH533" s="730">
        <f t="shared" si="441"/>
        <v>-1.5506485942044141</v>
      </c>
      <c r="AI533" s="731" t="str">
        <f t="shared" si="419"/>
        <v>10000</v>
      </c>
      <c r="AJ533" s="733" t="str">
        <f t="shared" si="442"/>
        <v>1+459247.720052261i</v>
      </c>
      <c r="AK533" s="734">
        <f t="shared" si="443"/>
        <v>459247.72005334968</v>
      </c>
      <c r="AL533" s="735">
        <f t="shared" si="444"/>
        <v>1.5707941493208313</v>
      </c>
      <c r="AM533" s="340" t="str">
        <f t="shared" si="445"/>
        <v>1+779.396150632764i</v>
      </c>
      <c r="AN533" s="734">
        <f t="shared" si="446"/>
        <v>779.39679215478566</v>
      </c>
      <c r="AO533" s="735">
        <f t="shared" si="447"/>
        <v>1.5695132829275973</v>
      </c>
      <c r="AP533" s="733" t="str">
        <f t="shared" si="448"/>
        <v>1+37.8019980083421i</v>
      </c>
      <c r="AQ533" s="734">
        <f t="shared" si="449"/>
        <v>37.815222509231653</v>
      </c>
      <c r="AR533" s="735">
        <f t="shared" si="450"/>
        <v>1.5443488667199514</v>
      </c>
      <c r="AS533" s="732" t="str">
        <f t="shared" si="451"/>
        <v>0.000454557895781463-3.015154674143i</v>
      </c>
      <c r="AT533" s="337">
        <f t="shared" si="452"/>
        <v>3.0151547084070596</v>
      </c>
      <c r="AU533" s="730">
        <f t="shared" si="453"/>
        <v>-1.5706455690589052</v>
      </c>
      <c r="AV533" s="732" t="str">
        <f t="shared" si="454"/>
        <v>-0.04881853716366+0.0256525084786133i</v>
      </c>
      <c r="AW533" s="337">
        <f t="shared" si="455"/>
        <v>-25.169406292351351</v>
      </c>
      <c r="AX533" s="730">
        <f t="shared" si="456"/>
        <v>152.27957556186101</v>
      </c>
      <c r="AY533" s="360">
        <f t="shared" si="457"/>
        <v>-27.720424438138991</v>
      </c>
      <c r="BB533" s="337">
        <f t="shared" si="458"/>
        <v>-30.413807983685768</v>
      </c>
      <c r="BC533" s="730">
        <f t="shared" si="459"/>
        <v>-89.991362217998741</v>
      </c>
      <c r="BD533" s="351"/>
      <c r="BE533" s="337">
        <f t="shared" si="420"/>
        <v>23.964744307856915</v>
      </c>
      <c r="BF533" s="730">
        <f t="shared" si="421"/>
        <v>-89.798409745313151</v>
      </c>
      <c r="BI533" s="351"/>
      <c r="BJ533" s="351"/>
      <c r="BL533" s="405">
        <f t="shared" si="422"/>
        <v>0</v>
      </c>
      <c r="BM533" s="405">
        <f t="shared" si="410"/>
        <v>0</v>
      </c>
      <c r="BN533" s="405">
        <f t="shared" si="423"/>
        <v>0</v>
      </c>
      <c r="BO533" s="405">
        <f t="shared" si="424"/>
        <v>0</v>
      </c>
    </row>
    <row r="534" spans="4:67" ht="13.5" thickBot="1" x14ac:dyDescent="0.25">
      <c r="D534" s="345">
        <v>78077</v>
      </c>
      <c r="E534" s="340" t="str">
        <f t="shared" si="411"/>
        <v>1.29511076436366i</v>
      </c>
      <c r="F534" s="728" t="str">
        <f t="shared" si="425"/>
        <v>0.005-0.0334169784665905i</v>
      </c>
      <c r="G534" s="337" t="str">
        <f t="shared" si="426"/>
        <v>0.005-0.0522675817041543i</v>
      </c>
      <c r="H534" s="338" t="str">
        <f t="shared" si="427"/>
        <v>0.0071934240694386-0.0517459002944932i</v>
      </c>
      <c r="I534" s="338" t="str">
        <f t="shared" si="428"/>
        <v>0.0171934240694386-0.0517459002944932i</v>
      </c>
      <c r="J534" s="337" t="str">
        <f t="shared" si="429"/>
        <v>0.00445380519209301-0.0204557399681876i</v>
      </c>
      <c r="K534" s="338" t="str">
        <f t="shared" si="412"/>
        <v>0.932266467455555-0.408810216023884i</v>
      </c>
      <c r="L534" s="732"/>
      <c r="M534" s="732" t="str">
        <f t="shared" si="413"/>
        <v>0.0548239832659554-15.6903283177689i</v>
      </c>
      <c r="N534" s="337">
        <f t="shared" si="414"/>
        <v>0</v>
      </c>
      <c r="O534" s="730" t="str">
        <f t="shared" si="415"/>
        <v>-0.618862914171857-5.9922182521432i</v>
      </c>
      <c r="P534" s="731" t="str">
        <f t="shared" si="416"/>
        <v>-0.32071310074245-0.0710031308730319i</v>
      </c>
      <c r="Q534" s="729" t="str">
        <f t="shared" si="417"/>
        <v>-0.314524471600731-0.0110809483515999i</v>
      </c>
      <c r="R534" s="730"/>
      <c r="S534" s="405" t="str">
        <f t="shared" si="430"/>
        <v>36.2747974477196-15.3581333300936i</v>
      </c>
      <c r="T534" s="405" t="str">
        <f t="shared" si="431"/>
        <v>13.2221190760769-7.34231308744686i</v>
      </c>
      <c r="U534" s="405" t="str">
        <f t="shared" si="432"/>
        <v>-0.284822291343142-0.737006827081186i</v>
      </c>
      <c r="V534" s="731" t="str">
        <f t="shared" si="418"/>
        <v>6000</v>
      </c>
      <c r="W534" s="733" t="str">
        <f>IMSUM(COMPLEX(1,0),IMDIV(COMPLEX(0,2*PI()*D534),COMPLEX(2*PI()*'Stability Calculations'!EA_Pole1,0)))</f>
        <v>1+495477.981820948i</v>
      </c>
      <c r="X534" s="734">
        <f t="shared" si="433"/>
        <v>495477.9818219571</v>
      </c>
      <c r="Y534" s="735">
        <f t="shared" si="434"/>
        <v>1.5707943085417417</v>
      </c>
      <c r="Z534" s="340" t="str">
        <f>IMSUM(COMPLEX(1,0),IMDIV(COMPLEX(0,2*PI()*D534),COMPLEX(2*PI()*'Stability Calculations'!EA_Zero1,0)))</f>
        <v>1+4905.72259228661i</v>
      </c>
      <c r="AA534" s="734">
        <f t="shared" si="435"/>
        <v>4905.7226942083944</v>
      </c>
      <c r="AB534" s="735">
        <f t="shared" si="436"/>
        <v>1.5705924832290739</v>
      </c>
      <c r="AC534" s="733" t="str">
        <f>IMSUM(COMPLEX(1,0),IMDIV(COMPLEX(0,2*PI()*D534),COMPLEX(2*PI()*'Stability Calculations'!EA_Pole2,0)))</f>
        <v>1+49.4175813074815i</v>
      </c>
      <c r="AD534" s="734">
        <f t="shared" si="437"/>
        <v>49.427698128494164</v>
      </c>
      <c r="AE534" s="735">
        <f t="shared" si="438"/>
        <v>1.5505633750320658</v>
      </c>
      <c r="AF534" s="732" t="str">
        <f t="shared" si="439"/>
        <v>0.0240733111389623-1.20163443325237i</v>
      </c>
      <c r="AG534" s="337">
        <f t="shared" si="440"/>
        <v>1.201875549084404</v>
      </c>
      <c r="AH534" s="730">
        <f t="shared" si="441"/>
        <v>-1.5507652003447336</v>
      </c>
      <c r="AI534" s="731" t="str">
        <f t="shared" si="419"/>
        <v>10000</v>
      </c>
      <c r="AJ534" s="733" t="str">
        <f t="shared" si="442"/>
        <v>1+461921.858145191i</v>
      </c>
      <c r="AK534" s="734">
        <f t="shared" si="443"/>
        <v>461921.85814627347</v>
      </c>
      <c r="AL534" s="735">
        <f t="shared" si="444"/>
        <v>1.5707941619265702</v>
      </c>
      <c r="AM534" s="340" t="str">
        <f t="shared" si="445"/>
        <v>1+783.9344702474i</v>
      </c>
      <c r="AN534" s="734">
        <f t="shared" si="446"/>
        <v>783.93510805555309</v>
      </c>
      <c r="AO534" s="735">
        <f t="shared" si="447"/>
        <v>1.5695207106617197</v>
      </c>
      <c r="AP534" s="733" t="str">
        <f t="shared" si="448"/>
        <v>1+38.0221139903038i</v>
      </c>
      <c r="AQ534" s="734">
        <f t="shared" si="449"/>
        <v>38.035261959025021</v>
      </c>
      <c r="AR534" s="735">
        <f t="shared" si="450"/>
        <v>1.5445019044468256</v>
      </c>
      <c r="AS534" s="732" t="str">
        <f t="shared" si="451"/>
        <v>0.000449310116186503-2.9976994715699i</v>
      </c>
      <c r="AT534" s="337">
        <f t="shared" si="452"/>
        <v>2.9976995052423181</v>
      </c>
      <c r="AU534" s="730">
        <f t="shared" si="453"/>
        <v>-1.5706464418190733</v>
      </c>
      <c r="AV534" s="732" t="str">
        <f t="shared" si="454"/>
        <v>-0.0481615854204645+0.0254866452031835i</v>
      </c>
      <c r="AW534" s="337">
        <f t="shared" si="455"/>
        <v>-25.273740934966508</v>
      </c>
      <c r="AX534" s="730">
        <f t="shared" si="456"/>
        <v>152.11263973942843</v>
      </c>
      <c r="AY534" s="360">
        <f t="shared" si="457"/>
        <v>-27.887360260571569</v>
      </c>
      <c r="BB534" s="337">
        <f t="shared" si="458"/>
        <v>-30.464238075223903</v>
      </c>
      <c r="BC534" s="730">
        <f t="shared" si="459"/>
        <v>-89.991412223472906</v>
      </c>
      <c r="BD534" s="351"/>
      <c r="BE534" s="337">
        <f t="shared" si="420"/>
        <v>23.912693646904781</v>
      </c>
      <c r="BF534" s="730">
        <f t="shared" si="421"/>
        <v>-89.799802144975388</v>
      </c>
      <c r="BI534" s="351"/>
      <c r="BJ534" s="351"/>
      <c r="BL534" s="405">
        <f t="shared" si="422"/>
        <v>0</v>
      </c>
      <c r="BM534" s="405">
        <f t="shared" si="410"/>
        <v>0</v>
      </c>
      <c r="BN534" s="405">
        <f t="shared" si="423"/>
        <v>0</v>
      </c>
      <c r="BO534" s="405">
        <f t="shared" si="424"/>
        <v>0</v>
      </c>
    </row>
    <row r="535" spans="4:67" ht="13.5" thickBot="1" x14ac:dyDescent="0.25">
      <c r="D535" s="345">
        <v>78529</v>
      </c>
      <c r="E535" s="340" t="str">
        <f t="shared" si="411"/>
        <v>1.30260836372702i</v>
      </c>
      <c r="F535" s="728" t="str">
        <f t="shared" si="425"/>
        <v>0.005-0.0332246358381742i</v>
      </c>
      <c r="G535" s="337" t="str">
        <f t="shared" si="426"/>
        <v>0.005-0.0519667381058624i</v>
      </c>
      <c r="H535" s="338" t="str">
        <f t="shared" si="427"/>
        <v>0.00716805776470297-0.0514491384296424i</v>
      </c>
      <c r="I535" s="338" t="str">
        <f t="shared" si="428"/>
        <v>0.017168057764703-0.0514491384296424i</v>
      </c>
      <c r="J535" s="337" t="str">
        <f t="shared" si="429"/>
        <v>0.0044496907420665-0.0203389965309358i</v>
      </c>
      <c r="K535" s="338" t="str">
        <f t="shared" si="412"/>
        <v>0.931479957322222-0.411176882489588i</v>
      </c>
      <c r="L535" s="732"/>
      <c r="M535" s="732" t="str">
        <f t="shared" si="413"/>
        <v>0.0541247694465521-15.5971589692169i</v>
      </c>
      <c r="N535" s="337">
        <f t="shared" si="414"/>
        <v>0</v>
      </c>
      <c r="O535" s="730" t="str">
        <f t="shared" si="415"/>
        <v>-0.6168967897765-5.95537288499197i</v>
      </c>
      <c r="P535" s="731" t="str">
        <f t="shared" si="416"/>
        <v>-0.316989723681835-0.0705033773658752i</v>
      </c>
      <c r="Q535" s="729" t="str">
        <f t="shared" si="417"/>
        <v>-0.31082075578407-0.010949648515955i</v>
      </c>
      <c r="R535" s="730"/>
      <c r="S535" s="405" t="str">
        <f t="shared" si="430"/>
        <v>36.2279147040024-15.445866309575i</v>
      </c>
      <c r="T535" s="405" t="str">
        <f t="shared" si="431"/>
        <v>13.1961850549812-7.37628041024585i</v>
      </c>
      <c r="U535" s="405" t="str">
        <f t="shared" si="432"/>
        <v>-0.284912255174784-0.7318059557062i</v>
      </c>
      <c r="V535" s="731" t="str">
        <f t="shared" si="418"/>
        <v>6000</v>
      </c>
      <c r="W535" s="733" t="str">
        <f>IMSUM(COMPLEX(1,0),IMDIV(COMPLEX(0,2*PI()*D535),COMPLEX(2*PI()*'Stability Calculations'!EA_Pole1,0)))</f>
        <v>1+498346.381577381i</v>
      </c>
      <c r="X535" s="734">
        <f t="shared" si="433"/>
        <v>498346.38157838432</v>
      </c>
      <c r="Y535" s="735">
        <f t="shared" si="434"/>
        <v>1.5707943201584746</v>
      </c>
      <c r="Z535" s="340" t="str">
        <f>IMSUM(COMPLEX(1,0),IMDIV(COMPLEX(0,2*PI()*D535),COMPLEX(2*PI()*'Stability Calculations'!EA_Zero1,0)))</f>
        <v>1+4934.12258987506i</v>
      </c>
      <c r="AA535" s="734">
        <f t="shared" si="435"/>
        <v>4934.1226912101984</v>
      </c>
      <c r="AB535" s="735">
        <f t="shared" si="436"/>
        <v>1.5705936565190586</v>
      </c>
      <c r="AC535" s="733" t="str">
        <f>IMSUM(COMPLEX(1,0),IMDIV(COMPLEX(0,2*PI()*D535),COMPLEX(2*PI()*'Stability Calculations'!EA_Pole2,0)))</f>
        <v>1+49.7036674372122i</v>
      </c>
      <c r="AD535" s="734">
        <f t="shared" si="437"/>
        <v>49.713726039284033</v>
      </c>
      <c r="AE535" s="735">
        <f t="shared" si="438"/>
        <v>1.5506798010659253</v>
      </c>
      <c r="AF535" s="732" t="str">
        <f t="shared" si="439"/>
        <v>0.0237970964522018-1.19472358043884i</v>
      </c>
      <c r="AG535" s="337">
        <f t="shared" si="440"/>
        <v>1.1949605581173617</v>
      </c>
      <c r="AH535" s="730">
        <f t="shared" si="441"/>
        <v>-1.5508804647053414</v>
      </c>
      <c r="AI535" s="731" t="str">
        <f t="shared" si="419"/>
        <v>10000</v>
      </c>
      <c r="AJ535" s="733" t="str">
        <f t="shared" si="442"/>
        <v>1+464595.996238119i</v>
      </c>
      <c r="AK535" s="734">
        <f t="shared" si="443"/>
        <v>464595.99623919523</v>
      </c>
      <c r="AL535" s="735">
        <f t="shared" si="444"/>
        <v>1.570794174387196</v>
      </c>
      <c r="AM535" s="340" t="str">
        <f t="shared" si="445"/>
        <v>1+788.472789862034i</v>
      </c>
      <c r="AN535" s="734">
        <f t="shared" si="446"/>
        <v>788.4734239990712</v>
      </c>
      <c r="AO535" s="735">
        <f t="shared" si="447"/>
        <v>1.5695280528903501</v>
      </c>
      <c r="AP535" s="733" t="str">
        <f t="shared" si="448"/>
        <v>1+38.2422299722654i</v>
      </c>
      <c r="AQ535" s="734">
        <f t="shared" si="449"/>
        <v>38.255302289377276</v>
      </c>
      <c r="AR535" s="735">
        <f t="shared" si="450"/>
        <v>1.5446531816645495</v>
      </c>
      <c r="AS535" s="732" t="str">
        <f t="shared" si="451"/>
        <v>0.000444152691617989-2.98044520752994i</v>
      </c>
      <c r="AT535" s="337">
        <f t="shared" si="452"/>
        <v>2.9804452406242592</v>
      </c>
      <c r="AU535" s="730">
        <f t="shared" si="453"/>
        <v>-1.5706473045323139</v>
      </c>
      <c r="AV535" s="732" t="str">
        <f t="shared" si="454"/>
        <v>-0.0475160278584987+0.0253224873060417i</v>
      </c>
      <c r="AW535" s="337">
        <f t="shared" si="455"/>
        <v>-25.377515948656558</v>
      </c>
      <c r="AX535" s="730">
        <f t="shared" si="456"/>
        <v>151.94572319467594</v>
      </c>
      <c r="AY535" s="360">
        <f t="shared" si="457"/>
        <v>-28.054276805324065</v>
      </c>
      <c r="BB535" s="337">
        <f t="shared" si="458"/>
        <v>-30.514377060069936</v>
      </c>
      <c r="BC535" s="730">
        <f t="shared" si="459"/>
        <v>-89.991461653300519</v>
      </c>
      <c r="BD535" s="351"/>
      <c r="BE535" s="337">
        <f t="shared" si="420"/>
        <v>23.860962269486166</v>
      </c>
      <c r="BF535" s="730">
        <f t="shared" si="421"/>
        <v>-89.801174789931565</v>
      </c>
      <c r="BI535" s="351"/>
      <c r="BJ535" s="351"/>
      <c r="BL535" s="405">
        <f t="shared" si="422"/>
        <v>0</v>
      </c>
      <c r="BM535" s="405">
        <f t="shared" si="410"/>
        <v>0</v>
      </c>
      <c r="BN535" s="405">
        <f t="shared" si="423"/>
        <v>0</v>
      </c>
      <c r="BO535" s="405">
        <f t="shared" si="424"/>
        <v>0</v>
      </c>
    </row>
    <row r="536" spans="4:67" ht="13.5" thickBot="1" x14ac:dyDescent="0.25">
      <c r="D536" s="345">
        <v>78981</v>
      </c>
      <c r="E536" s="340" t="str">
        <f t="shared" si="411"/>
        <v>1.31010596309037i</v>
      </c>
      <c r="F536" s="728" t="str">
        <f t="shared" si="425"/>
        <v>0.005-0.0330344947232371i</v>
      </c>
      <c r="G536" s="337" t="str">
        <f t="shared" si="426"/>
        <v>0.005-0.0516693379004477i</v>
      </c>
      <c r="H536" s="338" t="str">
        <f t="shared" si="427"/>
        <v>0.00714312468184488-0.0511557549162564i</v>
      </c>
      <c r="I536" s="338" t="str">
        <f t="shared" si="428"/>
        <v>0.0171431246818449-0.0511557549162564i</v>
      </c>
      <c r="J536" s="337" t="str">
        <f t="shared" si="429"/>
        <v>0.0044456419705987-0.0202235924489071i</v>
      </c>
      <c r="K536" s="338" t="str">
        <f t="shared" si="412"/>
        <v>0.9306889071-0.413543548955292i</v>
      </c>
      <c r="L536" s="732"/>
      <c r="M536" s="732" t="str">
        <f t="shared" si="413"/>
        <v>0.0534390964567453-15.5051056469312i</v>
      </c>
      <c r="N536" s="337">
        <f t="shared" si="414"/>
        <v>0</v>
      </c>
      <c r="O536" s="730" t="str">
        <f t="shared" si="415"/>
        <v>-0.614958278117102-5.91896376957955i</v>
      </c>
      <c r="P536" s="731" t="str">
        <f t="shared" si="416"/>
        <v>-0.313331366390706-0.0700108789301434i</v>
      </c>
      <c r="Q536" s="729" t="str">
        <f t="shared" si="417"/>
        <v>-0.307181783609534-0.0108212412343481i</v>
      </c>
      <c r="R536" s="730"/>
      <c r="S536" s="405" t="str">
        <f t="shared" si="430"/>
        <v>36.1807566557112-15.5334263804525i</v>
      </c>
      <c r="T536" s="405" t="str">
        <f t="shared" si="431"/>
        <v>13.1701254604854-7.41015546739409i</v>
      </c>
      <c r="U536" s="405" t="str">
        <f t="shared" si="432"/>
        <v>-0.28499624874158-0.726659374688389i</v>
      </c>
      <c r="V536" s="731" t="str">
        <f t="shared" si="418"/>
        <v>6000</v>
      </c>
      <c r="W536" s="733" t="str">
        <f>IMSUM(COMPLEX(1,0),IMDIV(COMPLEX(0,2*PI()*D536),COMPLEX(2*PI()*'Stability Calculations'!EA_Pole1,0)))</f>
        <v>1+501214.781333815i</v>
      </c>
      <c r="X536" s="734">
        <f t="shared" si="433"/>
        <v>501214.78133481264</v>
      </c>
      <c r="Y536" s="735">
        <f t="shared" si="434"/>
        <v>1.570794331642245</v>
      </c>
      <c r="Z536" s="340" t="str">
        <f>IMSUM(COMPLEX(1,0),IMDIV(COMPLEX(0,2*PI()*D536),COMPLEX(2*PI()*'Stability Calculations'!EA_Zero1,0)))</f>
        <v>1+4962.52258746351i</v>
      </c>
      <c r="AA536" s="734">
        <f t="shared" si="435"/>
        <v>4962.5226882187171</v>
      </c>
      <c r="AB536" s="735">
        <f t="shared" si="436"/>
        <v>1.5705948163798125</v>
      </c>
      <c r="AC536" s="733" t="str">
        <f>IMSUM(COMPLEX(1,0),IMDIV(COMPLEX(0,2*PI()*D536),COMPLEX(2*PI()*'Stability Calculations'!EA_Pole2,0)))</f>
        <v>1+49.9897535669428i</v>
      </c>
      <c r="AD536" s="734">
        <f t="shared" si="437"/>
        <v>49.999754616234569</v>
      </c>
      <c r="AE536" s="735">
        <f t="shared" si="438"/>
        <v>1.5507948950478814</v>
      </c>
      <c r="AF536" s="732" t="str">
        <f t="shared" si="439"/>
        <v>0.0235256078967092-1.18789173325868i</v>
      </c>
      <c r="AG536" s="337">
        <f t="shared" si="440"/>
        <v>1.1881246669315559</v>
      </c>
      <c r="AH536" s="730">
        <f t="shared" si="441"/>
        <v>-1.5509944103103142</v>
      </c>
      <c r="AI536" s="731" t="str">
        <f t="shared" si="419"/>
        <v>10000</v>
      </c>
      <c r="AJ536" s="733" t="str">
        <f t="shared" si="442"/>
        <v>1+467270.134331048i</v>
      </c>
      <c r="AK536" s="734">
        <f t="shared" si="443"/>
        <v>467270.13433211803</v>
      </c>
      <c r="AL536" s="735">
        <f t="shared" si="444"/>
        <v>1.5707941867052</v>
      </c>
      <c r="AM536" s="340" t="str">
        <f t="shared" si="445"/>
        <v>1+793.011109476669i</v>
      </c>
      <c r="AN536" s="734">
        <f t="shared" si="446"/>
        <v>793.01173998460933</v>
      </c>
      <c r="AO536" s="735">
        <f t="shared" si="447"/>
        <v>1.5695353110815022</v>
      </c>
      <c r="AP536" s="733" t="str">
        <f t="shared" si="448"/>
        <v>1+38.462345954227i</v>
      </c>
      <c r="AQ536" s="734">
        <f t="shared" si="449"/>
        <v>38.475343485180765</v>
      </c>
      <c r="AR536" s="735">
        <f t="shared" si="450"/>
        <v>1.5448027285712922</v>
      </c>
      <c r="AS536" s="732" t="str">
        <f t="shared" si="451"/>
        <v>0.000439083559636497-2.9633884321728i</v>
      </c>
      <c r="AT536" s="337">
        <f t="shared" si="452"/>
        <v>2.9633884647021791</v>
      </c>
      <c r="AU536" s="730">
        <f t="shared" si="453"/>
        <v>-1.5706481573711193</v>
      </c>
      <c r="AV536" s="732" t="str">
        <f t="shared" si="454"/>
        <v>-0.0468816048752527+0.0251600073778353i</v>
      </c>
      <c r="AW536" s="337">
        <f t="shared" si="455"/>
        <v>-25.480738075317994</v>
      </c>
      <c r="AX536" s="730">
        <f t="shared" si="456"/>
        <v>151.77882556442214</v>
      </c>
      <c r="AY536" s="360">
        <f t="shared" si="457"/>
        <v>-28.221174435577865</v>
      </c>
      <c r="BB536" s="337">
        <f t="shared" si="458"/>
        <v>-30.564228279759188</v>
      </c>
      <c r="BC536" s="730">
        <f t="shared" si="459"/>
        <v>-89.991510517364674</v>
      </c>
      <c r="BD536" s="351"/>
      <c r="BE536" s="337">
        <f t="shared" si="420"/>
        <v>23.809546182811854</v>
      </c>
      <c r="BF536" s="730">
        <f t="shared" si="421"/>
        <v>-89.802528106919269</v>
      </c>
      <c r="BI536" s="351"/>
      <c r="BJ536" s="351"/>
      <c r="BL536" s="405">
        <f t="shared" si="422"/>
        <v>0</v>
      </c>
      <c r="BM536" s="405">
        <f t="shared" si="410"/>
        <v>0</v>
      </c>
      <c r="BN536" s="405">
        <f t="shared" si="423"/>
        <v>0</v>
      </c>
      <c r="BO536" s="405">
        <f t="shared" si="424"/>
        <v>0</v>
      </c>
    </row>
    <row r="537" spans="4:67" ht="13.5" thickBot="1" x14ac:dyDescent="0.25">
      <c r="D537" s="345">
        <v>79433</v>
      </c>
      <c r="E537" s="340" t="str">
        <f t="shared" si="411"/>
        <v>1.31760356245372i</v>
      </c>
      <c r="F537" s="728" t="str">
        <f t="shared" si="425"/>
        <v>0.005-0.0328465175397629i</v>
      </c>
      <c r="G537" s="337" t="str">
        <f t="shared" si="426"/>
        <v>0.005-0.0513753223057832i</v>
      </c>
      <c r="H537" s="338" t="str">
        <f t="shared" si="427"/>
        <v>0.00711861501737561-0.0508656924948003i</v>
      </c>
      <c r="I537" s="338" t="str">
        <f t="shared" si="428"/>
        <v>0.0171186150173756-0.0508656924948003i</v>
      </c>
      <c r="J537" s="337" t="str">
        <f t="shared" si="429"/>
        <v>0.00444165736912559-0.0201095048656283i</v>
      </c>
      <c r="K537" s="338" t="str">
        <f t="shared" si="412"/>
        <v>0.929893316788889-0.415910215420997i</v>
      </c>
      <c r="L537" s="732"/>
      <c r="M537" s="732" t="str">
        <f t="shared" si="413"/>
        <v>0.0527666113949284-15.4141481510668i</v>
      </c>
      <c r="N537" s="337">
        <f t="shared" si="414"/>
        <v>0</v>
      </c>
      <c r="O537" s="730" t="str">
        <f t="shared" si="415"/>
        <v>-0.613046726643265-5.88298301776915i</v>
      </c>
      <c r="P537" s="731" t="str">
        <f t="shared" si="416"/>
        <v>-0.309736516035048-0.0695254751525686i</v>
      </c>
      <c r="Q537" s="729" t="str">
        <f t="shared" si="417"/>
        <v>-0.303606048768616-0.0106956449748768i</v>
      </c>
      <c r="R537" s="730"/>
      <c r="S537" s="405" t="str">
        <f t="shared" si="430"/>
        <v>36.1333235370493-15.6208130125705i</v>
      </c>
      <c r="T537" s="405" t="str">
        <f t="shared" si="431"/>
        <v>13.143940691314-7.44393744499889i</v>
      </c>
      <c r="U537" s="405" t="str">
        <f t="shared" si="432"/>
        <v>-0.285074379435164-0.721566170258647i</v>
      </c>
      <c r="V537" s="731" t="str">
        <f t="shared" si="418"/>
        <v>6000</v>
      </c>
      <c r="W537" s="733" t="str">
        <f>IMSUM(COMPLEX(1,0),IMDIV(COMPLEX(0,2*PI()*D537),COMPLEX(2*PI()*'Stability Calculations'!EA_Pole1,0)))</f>
        <v>1+504083.181090248i</v>
      </c>
      <c r="X537" s="734">
        <f t="shared" si="433"/>
        <v>504083.18109123991</v>
      </c>
      <c r="Y537" s="735">
        <f t="shared" si="434"/>
        <v>1.5707943429953224</v>
      </c>
      <c r="Z537" s="340" t="str">
        <f>IMSUM(COMPLEX(1,0),IMDIV(COMPLEX(0,2*PI()*D537),COMPLEX(2*PI()*'Stability Calculations'!EA_Zero1,0)))</f>
        <v>1+4990.92258505196i</v>
      </c>
      <c r="AA537" s="734">
        <f t="shared" si="435"/>
        <v>4990.922685233837</v>
      </c>
      <c r="AB537" s="735">
        <f t="shared" si="436"/>
        <v>1.5705959630405852</v>
      </c>
      <c r="AC537" s="733" t="str">
        <f>IMSUM(COMPLEX(1,0),IMDIV(COMPLEX(0,2*PI()*D537),COMPLEX(2*PI()*'Stability Calculations'!EA_Pole2,0)))</f>
        <v>1+50.2758396966735i</v>
      </c>
      <c r="AD537" s="734">
        <f t="shared" si="437"/>
        <v>50.285783847978458</v>
      </c>
      <c r="AE537" s="735">
        <f t="shared" si="438"/>
        <v>1.5509086797052858</v>
      </c>
      <c r="AF537" s="732" t="str">
        <f t="shared" si="439"/>
        <v>0.023258738277256-1.1811375451396i</v>
      </c>
      <c r="AG537" s="337">
        <f t="shared" si="440"/>
        <v>1.1813665262926027</v>
      </c>
      <c r="AH537" s="730">
        <f t="shared" si="441"/>
        <v>-1.5511070596600229</v>
      </c>
      <c r="AI537" s="731" t="str">
        <f t="shared" si="419"/>
        <v>10000</v>
      </c>
      <c r="AJ537" s="733" t="str">
        <f t="shared" si="442"/>
        <v>1+469944.272423977i</v>
      </c>
      <c r="AK537" s="734">
        <f t="shared" si="443"/>
        <v>469944.27242504089</v>
      </c>
      <c r="AL537" s="735">
        <f t="shared" si="444"/>
        <v>1.5707941988830172</v>
      </c>
      <c r="AM537" s="340" t="str">
        <f t="shared" si="445"/>
        <v>1+797.549429091303i</v>
      </c>
      <c r="AN537" s="734">
        <f t="shared" si="446"/>
        <v>797.55005601144774</v>
      </c>
      <c r="AO537" s="735">
        <f t="shared" si="447"/>
        <v>1.5695424866697762</v>
      </c>
      <c r="AP537" s="733" t="str">
        <f t="shared" si="448"/>
        <v>1+38.6824619361886i</v>
      </c>
      <c r="AQ537" s="734">
        <f t="shared" si="449"/>
        <v>38.695385531671349</v>
      </c>
      <c r="AR537" s="735">
        <f t="shared" si="450"/>
        <v>1.5449505746786456</v>
      </c>
      <c r="AS537" s="732" t="str">
        <f t="shared" si="451"/>
        <v>0.000434100716314974-2.94652577417135i</v>
      </c>
      <c r="AT537" s="337">
        <f t="shared" si="452"/>
        <v>2.946525806148574</v>
      </c>
      <c r="AU537" s="730">
        <f t="shared" si="453"/>
        <v>-1.5706490005040563</v>
      </c>
      <c r="AV537" s="732" t="str">
        <f t="shared" si="454"/>
        <v>-0.0462580642385038+0.0249991785842851i</v>
      </c>
      <c r="AW537" s="337">
        <f t="shared" si="455"/>
        <v>-25.583413942265494</v>
      </c>
      <c r="AX537" s="730">
        <f t="shared" si="456"/>
        <v>151.61194649909194</v>
      </c>
      <c r="AY537" s="360">
        <f t="shared" si="457"/>
        <v>-28.388053500908057</v>
      </c>
      <c r="BB537" s="337">
        <f t="shared" si="458"/>
        <v>-30.613795018620188</v>
      </c>
      <c r="BC537" s="730">
        <f t="shared" si="459"/>
        <v>-89.991558825323537</v>
      </c>
      <c r="BD537" s="351"/>
      <c r="BE537" s="337">
        <f t="shared" si="420"/>
        <v>23.758441470051466</v>
      </c>
      <c r="BF537" s="730">
        <f t="shared" si="421"/>
        <v>-89.803862510411847</v>
      </c>
      <c r="BI537" s="351"/>
      <c r="BJ537" s="351"/>
      <c r="BL537" s="405">
        <f t="shared" si="422"/>
        <v>0</v>
      </c>
      <c r="BM537" s="405">
        <f t="shared" si="410"/>
        <v>0</v>
      </c>
      <c r="BN537" s="405">
        <f t="shared" si="423"/>
        <v>0</v>
      </c>
      <c r="BO537" s="405">
        <f t="shared" si="424"/>
        <v>0</v>
      </c>
    </row>
    <row r="538" spans="4:67" ht="13.5" thickBot="1" x14ac:dyDescent="0.25">
      <c r="D538" s="345">
        <v>79895.5</v>
      </c>
      <c r="E538" s="340" t="str">
        <f t="shared" si="411"/>
        <v>1.32527533171378i</v>
      </c>
      <c r="F538" s="728" t="str">
        <f t="shared" si="425"/>
        <v>0.005-0.032656375236853i</v>
      </c>
      <c r="G538" s="337" t="str">
        <f t="shared" si="426"/>
        <v>0.005-0.0510779202422573i</v>
      </c>
      <c r="H538" s="338" t="str">
        <f t="shared" si="427"/>
        <v>0.00709396434071719-0.0505722712277897i</v>
      </c>
      <c r="I538" s="338" t="str">
        <f t="shared" si="428"/>
        <v>0.0170939643407172-0.0505722712277897i</v>
      </c>
      <c r="J538" s="337" t="str">
        <f t="shared" si="429"/>
        <v>0.00443764509945056-0.0199941064448522i</v>
      </c>
      <c r="K538" s="338" t="str">
        <f t="shared" si="412"/>
        <v>0.929074545330556-0.418331859758139i</v>
      </c>
      <c r="L538" s="732"/>
      <c r="M538" s="732" t="str">
        <f t="shared" si="413"/>
        <v>0.0520917994552128-15.3221914541526i</v>
      </c>
      <c r="N538" s="337">
        <f t="shared" si="414"/>
        <v>0</v>
      </c>
      <c r="O538" s="730" t="str">
        <f t="shared" si="415"/>
        <v>-0.611118015391125-5.84660180851473i</v>
      </c>
      <c r="P538" s="731" t="str">
        <f t="shared" si="416"/>
        <v>-0.306122361984158-0.0690359768025749i</v>
      </c>
      <c r="Q538" s="729" t="str">
        <f t="shared" si="417"/>
        <v>-0.300011181830247-0.0105699587174277i</v>
      </c>
      <c r="R538" s="730"/>
      <c r="S538" s="405" t="str">
        <f t="shared" si="430"/>
        <v>36.084504061557-15.7100495440148i</v>
      </c>
      <c r="T538" s="405" t="str">
        <f t="shared" si="431"/>
        <v>13.1170184977004-7.47840699055764i</v>
      </c>
      <c r="U538" s="405" t="str">
        <f t="shared" si="432"/>
        <v>-0.285148365199065-0.716408969682022i</v>
      </c>
      <c r="V538" s="731" t="str">
        <f t="shared" si="418"/>
        <v>6000</v>
      </c>
      <c r="W538" s="733" t="str">
        <f>IMSUM(COMPLEX(1,0),IMDIV(COMPLEX(0,2*PI()*D538),COMPLEX(2*PI()*'Stability Calculations'!EA_Pole1,0)))</f>
        <v>1+507018.214026865i</v>
      </c>
      <c r="X538" s="734">
        <f t="shared" si="433"/>
        <v>507018.21402785124</v>
      </c>
      <c r="Y538" s="735">
        <f t="shared" si="434"/>
        <v>1.5707943544791645</v>
      </c>
      <c r="Z538" s="340" t="str">
        <f>IMSUM(COMPLEX(1,0),IMDIV(COMPLEX(0,2*PI()*D538),COMPLEX(2*PI()*'Stability Calculations'!EA_Zero1,0)))</f>
        <v>1+5019.98231709767i</v>
      </c>
      <c r="AA538" s="734">
        <f t="shared" si="435"/>
        <v>5019.9824166996132</v>
      </c>
      <c r="AB538" s="735">
        <f t="shared" si="436"/>
        <v>1.5705971229085867</v>
      </c>
      <c r="AC538" s="733" t="str">
        <f>IMSUM(COMPLEX(1,0),IMDIV(COMPLEX(0,2*PI()*D538),COMPLEX(2*PI()*'Stability Calculations'!EA_Pole2,0)))</f>
        <v>1+50.5685716325152i</v>
      </c>
      <c r="AD538" s="734">
        <f t="shared" si="437"/>
        <v>50.578458230286351</v>
      </c>
      <c r="AE538" s="735">
        <f t="shared" si="438"/>
        <v>1.5510237754572667</v>
      </c>
      <c r="AF538" s="732" t="str">
        <f t="shared" si="439"/>
        <v>0.0229903417338623-1.17430546994632i</v>
      </c>
      <c r="AG538" s="337">
        <f t="shared" si="440"/>
        <v>1.174530498777655</v>
      </c>
      <c r="AH538" s="730">
        <f t="shared" si="441"/>
        <v>-1.5512210070278445</v>
      </c>
      <c r="AI538" s="731" t="str">
        <f t="shared" si="419"/>
        <v>10000</v>
      </c>
      <c r="AJ538" s="733" t="str">
        <f t="shared" si="442"/>
        <v>1+472680.530981455i</v>
      </c>
      <c r="AK538" s="734">
        <f t="shared" si="443"/>
        <v>472680.53098251275</v>
      </c>
      <c r="AL538" s="735">
        <f t="shared" si="444"/>
        <v>1.5707942112010982</v>
      </c>
      <c r="AM538" s="340" t="str">
        <f t="shared" si="445"/>
        <v>1+802.193174272208i</v>
      </c>
      <c r="AN538" s="734">
        <f t="shared" si="446"/>
        <v>802.19379756323303</v>
      </c>
      <c r="AO538" s="735">
        <f t="shared" si="447"/>
        <v>1.5695497449065399</v>
      </c>
      <c r="AP538" s="733" t="str">
        <f t="shared" si="448"/>
        <v>1+38.9076912318905i</v>
      </c>
      <c r="AQ538" s="734">
        <f t="shared" si="449"/>
        <v>38.920540039882916</v>
      </c>
      <c r="AR538" s="735">
        <f t="shared" si="450"/>
        <v>1.5451001248258098</v>
      </c>
      <c r="AS538" s="732" t="str">
        <f t="shared" si="451"/>
        <v>0.000429089408730247-2.92946889222044i</v>
      </c>
      <c r="AT538" s="337">
        <f t="shared" si="452"/>
        <v>2.9294689236455422</v>
      </c>
      <c r="AU538" s="730">
        <f t="shared" si="453"/>
        <v>-1.5706498533481905</v>
      </c>
      <c r="AV538" s="732" t="str">
        <f t="shared" si="454"/>
        <v>-0.0456310475358053+0.024836295434198i</v>
      </c>
      <c r="AW538" s="337">
        <f t="shared" si="455"/>
        <v>-25.687916332770342</v>
      </c>
      <c r="AX538" s="730">
        <f t="shared" si="456"/>
        <v>151.44120968444471</v>
      </c>
      <c r="AY538" s="360">
        <f t="shared" si="457"/>
        <v>-28.558790315555285</v>
      </c>
      <c r="BB538" s="337">
        <f t="shared" si="458"/>
        <v>-30.664222094183017</v>
      </c>
      <c r="BC538" s="730">
        <f t="shared" si="459"/>
        <v>-89.991607689693012</v>
      </c>
      <c r="BD538" s="351"/>
      <c r="BE538" s="337">
        <f t="shared" si="420"/>
        <v>23.706467889967207</v>
      </c>
      <c r="BF538" s="730">
        <f t="shared" si="421"/>
        <v>-89.805208754515675</v>
      </c>
      <c r="BI538" s="351"/>
      <c r="BJ538" s="351"/>
      <c r="BL538" s="405">
        <f t="shared" si="422"/>
        <v>0</v>
      </c>
      <c r="BM538" s="405">
        <f t="shared" ref="BM538:BM601" si="460">IF(BL538&gt;0,AY538,0)</f>
        <v>0</v>
      </c>
      <c r="BN538" s="405">
        <f t="shared" si="423"/>
        <v>0</v>
      </c>
      <c r="BO538" s="405">
        <f t="shared" si="424"/>
        <v>0</v>
      </c>
    </row>
    <row r="539" spans="4:67" ht="13.5" thickBot="1" x14ac:dyDescent="0.25">
      <c r="D539" s="345">
        <v>80358</v>
      </c>
      <c r="E539" s="340" t="str">
        <f t="shared" si="411"/>
        <v>1.33294710097385i</v>
      </c>
      <c r="F539" s="728" t="str">
        <f t="shared" si="425"/>
        <v>0.005-0.0324684216597724i</v>
      </c>
      <c r="G539" s="337" t="str">
        <f t="shared" si="426"/>
        <v>0.005-0.0507839415704133i</v>
      </c>
      <c r="H539" s="338" t="str">
        <f t="shared" si="427"/>
        <v>0.00706973708950818-0.0502822099280199i</v>
      </c>
      <c r="I539" s="338" t="str">
        <f t="shared" si="428"/>
        <v>0.0170697370895082-0.0502822099280199i</v>
      </c>
      <c r="J539" s="337" t="str">
        <f t="shared" si="429"/>
        <v>0.0044336969553204-0.0198800396208911i</v>
      </c>
      <c r="K539" s="338" t="str">
        <f t="shared" si="412"/>
        <v>0.9282510204-0.420753504095281i</v>
      </c>
      <c r="L539" s="732"/>
      <c r="M539" s="732" t="str">
        <f t="shared" si="413"/>
        <v>0.0514300842309985-15.2313408532118i</v>
      </c>
      <c r="N539" s="337">
        <f t="shared" si="414"/>
        <v>0</v>
      </c>
      <c r="O539" s="730" t="str">
        <f t="shared" si="415"/>
        <v>-0.609216208152731-5.81065299531781i</v>
      </c>
      <c r="P539" s="731" t="str">
        <f t="shared" si="416"/>
        <v>-0.302571634233281-0.0685535816785505i</v>
      </c>
      <c r="Q539" s="729" t="str">
        <f t="shared" si="417"/>
        <v>-0.296479472151754-0.0104470517253724i</v>
      </c>
      <c r="R539" s="730"/>
      <c r="S539" s="405" t="str">
        <f t="shared" si="430"/>
        <v>36.0353970955016-15.7991033081233i</v>
      </c>
      <c r="T539" s="405" t="str">
        <f t="shared" si="431"/>
        <v>13.0899661040319-7.5127773779459i</v>
      </c>
      <c r="U539" s="405" t="str">
        <f t="shared" si="432"/>
        <v>-0.285216430394275-0.711305784467677i</v>
      </c>
      <c r="V539" s="731" t="str">
        <f t="shared" si="418"/>
        <v>6000</v>
      </c>
      <c r="W539" s="733" t="str">
        <f>IMSUM(COMPLEX(1,0),IMDIV(COMPLEX(0,2*PI()*D539),COMPLEX(2*PI()*'Stability Calculations'!EA_Pole1,0)))</f>
        <v>1+509953.24696348i</v>
      </c>
      <c r="X539" s="734">
        <f t="shared" si="433"/>
        <v>509953.24696446053</v>
      </c>
      <c r="Y539" s="735">
        <f t="shared" si="434"/>
        <v>1.5707943658308161</v>
      </c>
      <c r="Z539" s="340" t="str">
        <f>IMSUM(COMPLEX(1,0),IMDIV(COMPLEX(0,2*PI()*D539),COMPLEX(2*PI()*'Stability Calculations'!EA_Zero1,0)))</f>
        <v>1+5049.04204914337i</v>
      </c>
      <c r="AA539" s="734">
        <f t="shared" si="435"/>
        <v>5049.042148172055</v>
      </c>
      <c r="AB539" s="735">
        <f t="shared" si="436"/>
        <v>1.5705982694253617</v>
      </c>
      <c r="AC539" s="733" t="str">
        <f>IMSUM(COMPLEX(1,0),IMDIV(COMPLEX(0,2*PI()*D539),COMPLEX(2*PI()*'Stability Calculations'!EA_Pole2,0)))</f>
        <v>1+50.8613035683568i</v>
      </c>
      <c r="AD539" s="734">
        <f t="shared" si="437"/>
        <v>50.871133274899073</v>
      </c>
      <c r="AE539" s="735">
        <f t="shared" si="438"/>
        <v>1.5511375468583157</v>
      </c>
      <c r="AF539" s="732" t="str">
        <f t="shared" si="439"/>
        <v>0.0227265637178205-1.16755194788461i</v>
      </c>
      <c r="AG539" s="337">
        <f t="shared" si="440"/>
        <v>1.1677731148247792</v>
      </c>
      <c r="AH539" s="730">
        <f t="shared" si="441"/>
        <v>-1.5513336432637703</v>
      </c>
      <c r="AI539" s="731" t="str">
        <f t="shared" si="419"/>
        <v>10000</v>
      </c>
      <c r="AJ539" s="733" t="str">
        <f t="shared" si="442"/>
        <v>1+475416.789538932i</v>
      </c>
      <c r="AK539" s="734">
        <f t="shared" si="443"/>
        <v>475416.78953998373</v>
      </c>
      <c r="AL539" s="735">
        <f t="shared" si="444"/>
        <v>1.5707942233773859</v>
      </c>
      <c r="AM539" s="340" t="str">
        <f t="shared" si="445"/>
        <v>1+806.83691945311i</v>
      </c>
      <c r="AN539" s="734">
        <f t="shared" si="446"/>
        <v>806.83753915678983</v>
      </c>
      <c r="AO539" s="735">
        <f t="shared" si="447"/>
        <v>1.569556919593954</v>
      </c>
      <c r="AP539" s="733" t="str">
        <f t="shared" si="448"/>
        <v>1+39.1329205275923i</v>
      </c>
      <c r="AQ539" s="734">
        <f t="shared" si="449"/>
        <v>39.145695408548498</v>
      </c>
      <c r="AR539" s="735">
        <f t="shared" si="450"/>
        <v>1.5452479546328917</v>
      </c>
      <c r="AS539" s="732" t="str">
        <f t="shared" si="451"/>
        <v>0.000424164379552098-2.91260835182599i</v>
      </c>
      <c r="AT539" s="337">
        <f t="shared" si="452"/>
        <v>2.9126083827116083</v>
      </c>
      <c r="AU539" s="730">
        <f t="shared" si="453"/>
        <v>-1.5706506963752462</v>
      </c>
      <c r="AV539" s="732" t="str">
        <f t="shared" si="454"/>
        <v>-0.0450149129051817+0.0246750859598525i</v>
      </c>
      <c r="AW539" s="337">
        <f t="shared" si="455"/>
        <v>-25.79186047200238</v>
      </c>
      <c r="AX539" s="730">
        <f t="shared" si="456"/>
        <v>151.27049160910605</v>
      </c>
      <c r="AY539" s="360">
        <f t="shared" si="457"/>
        <v>-28.729508390893955</v>
      </c>
      <c r="BB539" s="337">
        <f t="shared" si="458"/>
        <v>-30.71435809777136</v>
      </c>
      <c r="BC539" s="730">
        <f t="shared" si="459"/>
        <v>-89.991655991585318</v>
      </c>
      <c r="BD539" s="351"/>
      <c r="BE539" s="337">
        <f t="shared" si="420"/>
        <v>23.654812256442455</v>
      </c>
      <c r="BF539" s="730">
        <f t="shared" si="421"/>
        <v>-89.806536036716906</v>
      </c>
      <c r="BI539" s="351"/>
      <c r="BJ539" s="351"/>
      <c r="BL539" s="405">
        <f t="shared" si="422"/>
        <v>0</v>
      </c>
      <c r="BM539" s="405">
        <f t="shared" si="460"/>
        <v>0</v>
      </c>
      <c r="BN539" s="405">
        <f t="shared" si="423"/>
        <v>0</v>
      </c>
      <c r="BO539" s="405">
        <f t="shared" si="424"/>
        <v>0</v>
      </c>
    </row>
    <row r="540" spans="4:67" ht="13.5" thickBot="1" x14ac:dyDescent="0.25">
      <c r="D540" s="345">
        <v>80820.5</v>
      </c>
      <c r="E540" s="340" t="str">
        <f t="shared" si="411"/>
        <v>1.34061887023392i</v>
      </c>
      <c r="F540" s="728" t="str">
        <f t="shared" si="425"/>
        <v>0.005-0.0322826192331894i</v>
      </c>
      <c r="G540" s="337" t="str">
        <f t="shared" si="426"/>
        <v>0.005-0.0504933275185784i</v>
      </c>
      <c r="H540" s="338" t="str">
        <f t="shared" si="427"/>
        <v>0.00704592362686292-0.0499954513109754i</v>
      </c>
      <c r="I540" s="338" t="str">
        <f t="shared" si="428"/>
        <v>0.0170459236268629-0.0499954513109754i</v>
      </c>
      <c r="J540" s="337" t="str">
        <f t="shared" si="429"/>
        <v>0.00442981145458542-0.0197672815390772i</v>
      </c>
      <c r="K540" s="338" t="str">
        <f t="shared" si="412"/>
        <v>0.927422741997222-0.423175148432423i</v>
      </c>
      <c r="L540" s="732"/>
      <c r="M540" s="732" t="str">
        <f t="shared" si="413"/>
        <v>0.0507811237086485-15.1415762530586i</v>
      </c>
      <c r="N540" s="337">
        <f t="shared" si="414"/>
        <v>0</v>
      </c>
      <c r="O540" s="730" t="str">
        <f t="shared" si="415"/>
        <v>-0.607340664330057-5.77512873242312i</v>
      </c>
      <c r="P540" s="731" t="str">
        <f t="shared" si="416"/>
        <v>-0.299082849936134-0.0680781326954971i</v>
      </c>
      <c r="Q540" s="729" t="str">
        <f t="shared" si="417"/>
        <v>-0.293009443292833-0.0103268453712661i</v>
      </c>
      <c r="R540" s="730"/>
      <c r="S540" s="405" t="str">
        <f t="shared" si="430"/>
        <v>35.9860029021909-15.8879736830936i</v>
      </c>
      <c r="T540" s="405" t="str">
        <f t="shared" si="431"/>
        <v>13.062783950799-7.54704775542225i</v>
      </c>
      <c r="U540" s="405" t="str">
        <f t="shared" si="432"/>
        <v>-0.28527868052628-0.706255701090954i</v>
      </c>
      <c r="V540" s="731" t="str">
        <f t="shared" si="418"/>
        <v>6000</v>
      </c>
      <c r="W540" s="733" t="str">
        <f>IMSUM(COMPLEX(1,0),IMDIV(COMPLEX(0,2*PI()*D540),COMPLEX(2*PI()*'Stability Calculations'!EA_Pole1,0)))</f>
        <v>1+512888.279900097i</v>
      </c>
      <c r="X540" s="734">
        <f t="shared" si="433"/>
        <v>512888.27990107186</v>
      </c>
      <c r="Y540" s="735">
        <f t="shared" si="434"/>
        <v>1.570794377052547</v>
      </c>
      <c r="Z540" s="340" t="str">
        <f>IMSUM(COMPLEX(1,0),IMDIV(COMPLEX(0,2*PI()*D540),COMPLEX(2*PI()*'Stability Calculations'!EA_Zero1,0)))</f>
        <v>1+5078.10178118908i</v>
      </c>
      <c r="AA540" s="734">
        <f t="shared" si="435"/>
        <v>5078.1018796510671</v>
      </c>
      <c r="AB540" s="735">
        <f t="shared" si="436"/>
        <v>1.5705994028201196</v>
      </c>
      <c r="AC540" s="733" t="str">
        <f>IMSUM(COMPLEX(1,0),IMDIV(COMPLEX(0,2*PI()*D540),COMPLEX(2*PI()*'Stability Calculations'!EA_Pole2,0)))</f>
        <v>1+51.1540355041985i</v>
      </c>
      <c r="AD540" s="734">
        <f t="shared" si="437"/>
        <v>51.16380897045098</v>
      </c>
      <c r="AE540" s="735">
        <f t="shared" si="438"/>
        <v>1.5512500166327767</v>
      </c>
      <c r="AF540" s="732" t="str">
        <f t="shared" si="439"/>
        <v>0.0224672988805528-1.16087563243936i</v>
      </c>
      <c r="AG540" s="337">
        <f t="shared" si="440"/>
        <v>1.1610930253474407</v>
      </c>
      <c r="AH540" s="730">
        <f t="shared" si="441"/>
        <v>-1.5514449908652042</v>
      </c>
      <c r="AI540" s="731" t="str">
        <f t="shared" si="419"/>
        <v>10000</v>
      </c>
      <c r="AJ540" s="733" t="str">
        <f t="shared" si="442"/>
        <v>1+478153.048096409i</v>
      </c>
      <c r="AK540" s="734">
        <f t="shared" si="443"/>
        <v>478153.04809745471</v>
      </c>
      <c r="AL540" s="735">
        <f t="shared" si="444"/>
        <v>1.5707942354143147</v>
      </c>
      <c r="AM540" s="340" t="str">
        <f t="shared" si="445"/>
        <v>1+811.480664634015i</v>
      </c>
      <c r="AN540" s="734">
        <f t="shared" si="446"/>
        <v>811.48128079140736</v>
      </c>
      <c r="AO540" s="735">
        <f t="shared" si="447"/>
        <v>1.5695640121663637</v>
      </c>
      <c r="AP540" s="733" t="str">
        <f t="shared" si="448"/>
        <v>1+39.3581498232942i</v>
      </c>
      <c r="AQ540" s="734">
        <f t="shared" si="449"/>
        <v>39.370851622905917</v>
      </c>
      <c r="AR540" s="735">
        <f t="shared" si="450"/>
        <v>1.5453940936085038</v>
      </c>
      <c r="AS540" s="732" t="str">
        <f t="shared" si="451"/>
        <v>0.000419323659509585-2.89594078226047i</v>
      </c>
      <c r="AT540" s="337">
        <f t="shared" si="452"/>
        <v>2.8959408126188828</v>
      </c>
      <c r="AU540" s="730">
        <f t="shared" si="453"/>
        <v>-1.5706515297537598</v>
      </c>
      <c r="AV540" s="732" t="str">
        <f t="shared" si="454"/>
        <v>-0.0444094124920008+0.024515523189328i</v>
      </c>
      <c r="AW540" s="337">
        <f t="shared" si="455"/>
        <v>-25.895253104179197</v>
      </c>
      <c r="AX540" s="730">
        <f t="shared" si="456"/>
        <v>151.09979194089024</v>
      </c>
      <c r="AY540" s="360">
        <f t="shared" si="457"/>
        <v>-28.900208059109758</v>
      </c>
      <c r="BB540" s="337">
        <f t="shared" si="458"/>
        <v>-30.764206370324434</v>
      </c>
      <c r="BC540" s="730">
        <f t="shared" si="459"/>
        <v>-89.991703740656874</v>
      </c>
      <c r="BD540" s="351"/>
      <c r="BE540" s="337">
        <f t="shared" si="420"/>
        <v>23.603470607769104</v>
      </c>
      <c r="BF540" s="730">
        <f t="shared" si="421"/>
        <v>-89.807844763956084</v>
      </c>
      <c r="BI540" s="351"/>
      <c r="BJ540" s="351"/>
      <c r="BL540" s="405">
        <f t="shared" si="422"/>
        <v>0</v>
      </c>
      <c r="BM540" s="405">
        <f t="shared" si="460"/>
        <v>0</v>
      </c>
      <c r="BN540" s="405">
        <f t="shared" si="423"/>
        <v>0</v>
      </c>
      <c r="BO540" s="405">
        <f t="shared" si="424"/>
        <v>0</v>
      </c>
    </row>
    <row r="541" spans="4:67" ht="13.5" thickBot="1" x14ac:dyDescent="0.25">
      <c r="D541" s="345">
        <v>81283</v>
      </c>
      <c r="E541" s="340" t="str">
        <f t="shared" si="411"/>
        <v>1.34829063949398i</v>
      </c>
      <c r="F541" s="728" t="str">
        <f t="shared" si="425"/>
        <v>0.005-0.0320989312369867i</v>
      </c>
      <c r="G541" s="337" t="str">
        <f t="shared" si="426"/>
        <v>0.005-0.0502060206527227i</v>
      </c>
      <c r="H541" s="338" t="str">
        <f t="shared" si="427"/>
        <v>0.00702251458835234-0.0497119393847388i</v>
      </c>
      <c r="I541" s="338" t="str">
        <f t="shared" si="428"/>
        <v>0.0170225145883523-0.0497119393847388i</v>
      </c>
      <c r="J541" s="337" t="str">
        <f t="shared" si="429"/>
        <v>0.0044259871572566-0.0196558098641934i</v>
      </c>
      <c r="K541" s="338" t="str">
        <f t="shared" si="412"/>
        <v>0.926589710122222-0.425596792769565i</v>
      </c>
      <c r="L541" s="732"/>
      <c r="M541" s="732" t="str">
        <f t="shared" si="413"/>
        <v>0.0501445870861488-15.0528780479692i</v>
      </c>
      <c r="N541" s="337">
        <f t="shared" si="414"/>
        <v>0</v>
      </c>
      <c r="O541" s="730" t="str">
        <f t="shared" si="415"/>
        <v>-0.60549076172405-5.74002136565938i</v>
      </c>
      <c r="P541" s="731" t="str">
        <f t="shared" si="416"/>
        <v>-0.295654569521324-0.0676094773895453i</v>
      </c>
      <c r="Q541" s="729" t="str">
        <f t="shared" si="417"/>
        <v>-0.289599661904083-0.0102092637329521i</v>
      </c>
      <c r="R541" s="730"/>
      <c r="S541" s="405" t="str">
        <f t="shared" si="430"/>
        <v>35.9363217493973-15.9766600298296i</v>
      </c>
      <c r="T541" s="405" t="str">
        <f t="shared" si="431"/>
        <v>13.0354724829482-7.58121727779675i</v>
      </c>
      <c r="U541" s="405" t="str">
        <f t="shared" si="432"/>
        <v>-0.285335218098796-0.701257826854545i</v>
      </c>
      <c r="V541" s="731" t="str">
        <f t="shared" si="418"/>
        <v>6000</v>
      </c>
      <c r="W541" s="733" t="str">
        <f>IMSUM(COMPLEX(1,0),IMDIV(COMPLEX(0,2*PI()*D541),COMPLEX(2*PI()*'Stability Calculations'!EA_Pole1,0)))</f>
        <v>1+515823.312836713i</v>
      </c>
      <c r="X541" s="734">
        <f t="shared" si="433"/>
        <v>515823.31283768232</v>
      </c>
      <c r="Y541" s="735">
        <f t="shared" si="434"/>
        <v>1.5707943881465745</v>
      </c>
      <c r="Z541" s="340" t="str">
        <f>IMSUM(COMPLEX(1,0),IMDIV(COMPLEX(0,2*PI()*D541),COMPLEX(2*PI()*'Stability Calculations'!EA_Zero1,0)))</f>
        <v>1+5107.16151323478i</v>
      </c>
      <c r="AA541" s="734">
        <f t="shared" si="435"/>
        <v>5107.1616111365192</v>
      </c>
      <c r="AB541" s="735">
        <f t="shared" si="436"/>
        <v>1.5706005233168534</v>
      </c>
      <c r="AC541" s="733" t="str">
        <f>IMSUM(COMPLEX(1,0),IMDIV(COMPLEX(0,2*PI()*D541),COMPLEX(2*PI()*'Stability Calculations'!EA_Pole2,0)))</f>
        <v>1+51.4467674400401i</v>
      </c>
      <c r="AD541" s="734">
        <f t="shared" si="437"/>
        <v>51.456485305834583</v>
      </c>
      <c r="AE541" s="735">
        <f t="shared" si="438"/>
        <v>1.5513612069881173</v>
      </c>
      <c r="AF541" s="732" t="str">
        <f t="shared" si="439"/>
        <v>0.0222124448598181-1.15427520768407i</v>
      </c>
      <c r="AG541" s="337">
        <f t="shared" si="440"/>
        <v>1.1544889119349537</v>
      </c>
      <c r="AH541" s="730">
        <f t="shared" si="441"/>
        <v>-1.5515550718178384</v>
      </c>
      <c r="AI541" s="731" t="str">
        <f t="shared" si="419"/>
        <v>10000</v>
      </c>
      <c r="AJ541" s="733" t="str">
        <f t="shared" si="442"/>
        <v>1+480889.306653886i</v>
      </c>
      <c r="AK541" s="734">
        <f t="shared" si="443"/>
        <v>480889.30665492581</v>
      </c>
      <c r="AL541" s="735">
        <f t="shared" si="444"/>
        <v>1.5707942473142633</v>
      </c>
      <c r="AM541" s="340" t="str">
        <f t="shared" si="445"/>
        <v>1+816.124409814918i</v>
      </c>
      <c r="AN541" s="734">
        <f t="shared" si="446"/>
        <v>816.12502246637928</v>
      </c>
      <c r="AO541" s="735">
        <f t="shared" si="447"/>
        <v>1.5695710240254683</v>
      </c>
      <c r="AP541" s="733" t="str">
        <f t="shared" si="448"/>
        <v>1+39.5833791189961i</v>
      </c>
      <c r="AQ541" s="734">
        <f t="shared" si="449"/>
        <v>39.596008668528398</v>
      </c>
      <c r="AR541" s="735">
        <f t="shared" si="450"/>
        <v>1.5455385705903646</v>
      </c>
      <c r="AS541" s="732" t="str">
        <f t="shared" si="451"/>
        <v>0.000414565335197637-2.879462889514i</v>
      </c>
      <c r="AT541" s="337">
        <f t="shared" si="452"/>
        <v>2.8794629193571377</v>
      </c>
      <c r="AU541" s="730">
        <f t="shared" si="453"/>
        <v>-1.5706523536484314</v>
      </c>
      <c r="AV541" s="732" t="str">
        <f t="shared" si="454"/>
        <v>-0.0438143054779778+0.0243575807194606i</v>
      </c>
      <c r="AW541" s="337">
        <f t="shared" si="455"/>
        <v>-25.998100858977786</v>
      </c>
      <c r="AX541" s="730">
        <f t="shared" si="456"/>
        <v>150.9291103612681</v>
      </c>
      <c r="AY541" s="360">
        <f t="shared" si="457"/>
        <v>-29.070889638731899</v>
      </c>
      <c r="BB541" s="337">
        <f t="shared" si="458"/>
        <v>-30.813770195588383</v>
      </c>
      <c r="BC541" s="730">
        <f t="shared" si="459"/>
        <v>-89.991750946344325</v>
      </c>
      <c r="BD541" s="351"/>
      <c r="BE541" s="337">
        <f t="shared" si="420"/>
        <v>23.552439057293569</v>
      </c>
      <c r="BF541" s="730">
        <f t="shared" si="421"/>
        <v>-89.809135331542876</v>
      </c>
      <c r="BI541" s="351"/>
      <c r="BJ541" s="351"/>
      <c r="BL541" s="405">
        <f t="shared" si="422"/>
        <v>0</v>
      </c>
      <c r="BM541" s="405">
        <f t="shared" si="460"/>
        <v>0</v>
      </c>
      <c r="BN541" s="405">
        <f t="shared" si="423"/>
        <v>0</v>
      </c>
      <c r="BO541" s="405">
        <f t="shared" si="424"/>
        <v>0</v>
      </c>
    </row>
    <row r="542" spans="4:67" ht="13.5" thickBot="1" x14ac:dyDescent="0.25">
      <c r="D542" s="345">
        <v>81756.25</v>
      </c>
      <c r="E542" s="340" t="str">
        <f t="shared" si="411"/>
        <v>1.35614072555307i</v>
      </c>
      <c r="F542" s="728" t="str">
        <f t="shared" si="425"/>
        <v>0.005-0.0319131250239093i</v>
      </c>
      <c r="G542" s="337" t="str">
        <f t="shared" si="426"/>
        <v>0.005-0.0499154006784224i</v>
      </c>
      <c r="H542" s="338" t="str">
        <f t="shared" si="427"/>
        <v>0.00699897058907093-0.0494251413949173i</v>
      </c>
      <c r="I542" s="338" t="str">
        <f t="shared" si="428"/>
        <v>0.0169989705890709-0.0494251413949173i</v>
      </c>
      <c r="J542" s="337" t="str">
        <f t="shared" si="429"/>
        <v>0.0044221358652428-0.0195430560613406i</v>
      </c>
      <c r="K542" s="338" t="str">
        <f t="shared" si="412"/>
        <v>0.925732395399306-0.428074723975084i</v>
      </c>
      <c r="L542" s="732"/>
      <c r="M542" s="732" t="str">
        <f t="shared" si="413"/>
        <v>0.0495057819223203-14.9632021177409i</v>
      </c>
      <c r="N542" s="337">
        <f t="shared" si="414"/>
        <v>0</v>
      </c>
      <c r="O542" s="730" t="str">
        <f t="shared" si="415"/>
        <v>-0.603623773098972-5.70452174394036i</v>
      </c>
      <c r="P542" s="731" t="str">
        <f t="shared" si="416"/>
        <v>-0.292207776550405-0.0671368070152075i</v>
      </c>
      <c r="Q542" s="729" t="str">
        <f t="shared" si="417"/>
        <v>-0.286171538819415-0.0100915895758042i</v>
      </c>
      <c r="R542" s="730"/>
      <c r="S542" s="405" t="str">
        <f t="shared" si="430"/>
        <v>35.8851890878443-16.0672165564466i</v>
      </c>
      <c r="T542" s="405" t="str">
        <f t="shared" si="431"/>
        <v>13.0073928187276-7.61607573712909i</v>
      </c>
      <c r="U542" s="405" t="str">
        <f t="shared" si="432"/>
        <v>-0.285387260403235-0.696196919333142i</v>
      </c>
      <c r="V542" s="731" t="str">
        <f t="shared" si="418"/>
        <v>6000</v>
      </c>
      <c r="W542" s="733" t="str">
        <f>IMSUM(COMPLEX(1,0),IMDIV(COMPLEX(0,2*PI()*D542),COMPLEX(2*PI()*'Stability Calculations'!EA_Pole1,0)))</f>
        <v>1+518826.565457802i</v>
      </c>
      <c r="X542" s="734">
        <f t="shared" si="433"/>
        <v>518826.56545876578</v>
      </c>
      <c r="Y542" s="735">
        <f t="shared" si="434"/>
        <v>1.5707943993685338</v>
      </c>
      <c r="Z542" s="340" t="str">
        <f>IMSUM(COMPLEX(1,0),IMDIV(COMPLEX(0,2*PI()*D542),COMPLEX(2*PI()*'Stability Calculations'!EA_Zero1,0)))</f>
        <v>1+5136.89668770101i</v>
      </c>
      <c r="AA542" s="734">
        <f t="shared" si="435"/>
        <v>5136.8967850360405</v>
      </c>
      <c r="AB542" s="735">
        <f t="shared" si="436"/>
        <v>1.5706016567347099</v>
      </c>
      <c r="AC542" s="733" t="str">
        <f>IMSUM(COMPLEX(1,0),IMDIV(COMPLEX(0,2*PI()*D542),COMPLEX(2*PI()*'Stability Calculations'!EA_Pole2,0)))</f>
        <v>1+51.7463034154717i</v>
      </c>
      <c r="AD542" s="734">
        <f t="shared" si="437"/>
        <v>51.755965039462431</v>
      </c>
      <c r="AE542" s="735">
        <f t="shared" si="438"/>
        <v>1.5514736800353499</v>
      </c>
      <c r="AF542" s="732" t="str">
        <f t="shared" si="439"/>
        <v>0.0219561292427983-1.14759858322808i</v>
      </c>
      <c r="AG542" s="337">
        <f t="shared" si="440"/>
        <v>1.1478085989564735</v>
      </c>
      <c r="AH542" s="730">
        <f t="shared" si="441"/>
        <v>-1.5516664226691739</v>
      </c>
      <c r="AI542" s="731" t="str">
        <f t="shared" si="419"/>
        <v>10000</v>
      </c>
      <c r="AJ542" s="733" t="str">
        <f t="shared" si="442"/>
        <v>1+483689.164734591i</v>
      </c>
      <c r="AK542" s="734">
        <f t="shared" si="443"/>
        <v>483689.16473562468</v>
      </c>
      <c r="AL542" s="735">
        <f t="shared" si="444"/>
        <v>1.5707942593514372</v>
      </c>
      <c r="AM542" s="340" t="str">
        <f t="shared" si="445"/>
        <v>1+820.876090694621i</v>
      </c>
      <c r="AN542" s="734">
        <f t="shared" si="446"/>
        <v>820.87669979972247</v>
      </c>
      <c r="AO542" s="735">
        <f t="shared" si="447"/>
        <v>1.5695781167426643</v>
      </c>
      <c r="AP542" s="733" t="str">
        <f t="shared" si="448"/>
        <v>1+39.8138434740035i</v>
      </c>
      <c r="AQ542" s="734">
        <f t="shared" si="449"/>
        <v>39.826399939894777</v>
      </c>
      <c r="AR542" s="735">
        <f t="shared" si="450"/>
        <v>1.5456847146962487</v>
      </c>
      <c r="AS542" s="732" t="str">
        <f t="shared" si="451"/>
        <v>0.000409779763344273-2.86279498025374i</v>
      </c>
      <c r="AT542" s="337">
        <f t="shared" si="452"/>
        <v>2.8627950095816264</v>
      </c>
      <c r="AU542" s="730">
        <f t="shared" si="453"/>
        <v>-1.5706531870439286</v>
      </c>
      <c r="AV542" s="732" t="str">
        <f t="shared" si="454"/>
        <v>-0.0432158807386917+0.0241976174231681i</v>
      </c>
      <c r="AW542" s="337">
        <f t="shared" si="455"/>
        <v>-26.102781905863587</v>
      </c>
      <c r="AX542" s="730">
        <f t="shared" si="456"/>
        <v>150.75447999405714</v>
      </c>
      <c r="AY542" s="360">
        <f t="shared" si="457"/>
        <v>-29.245520005942865</v>
      </c>
      <c r="BB542" s="337">
        <f t="shared" si="458"/>
        <v>-30.864194970373656</v>
      </c>
      <c r="BC542" s="730">
        <f t="shared" si="459"/>
        <v>-89.991798696388983</v>
      </c>
      <c r="BD542" s="351"/>
      <c r="BE542" s="337">
        <f t="shared" si="420"/>
        <v>23.500538383922688</v>
      </c>
      <c r="BF542" s="730">
        <f t="shared" si="421"/>
        <v>-89.810437499014185</v>
      </c>
      <c r="BI542" s="351"/>
      <c r="BJ542" s="351"/>
      <c r="BL542" s="405">
        <f t="shared" si="422"/>
        <v>0</v>
      </c>
      <c r="BM542" s="405">
        <f t="shared" si="460"/>
        <v>0</v>
      </c>
      <c r="BN542" s="405">
        <f t="shared" si="423"/>
        <v>0</v>
      </c>
      <c r="BO542" s="405">
        <f t="shared" si="424"/>
        <v>0</v>
      </c>
    </row>
    <row r="543" spans="4:67" ht="13.5" thickBot="1" x14ac:dyDescent="0.25">
      <c r="D543" s="345">
        <v>82229.5</v>
      </c>
      <c r="E543" s="340" t="str">
        <f t="shared" si="411"/>
        <v>1.36399081161215i</v>
      </c>
      <c r="F543" s="728" t="str">
        <f t="shared" si="425"/>
        <v>0.005-0.0317294575272376i</v>
      </c>
      <c r="G543" s="337" t="str">
        <f t="shared" si="426"/>
        <v>0.005-0.0496281258759359i</v>
      </c>
      <c r="H543" s="338" t="str">
        <f t="shared" si="427"/>
        <v>0.00697583102957318-0.0491416281544042i</v>
      </c>
      <c r="I543" s="338" t="str">
        <f t="shared" si="428"/>
        <v>0.0169758310295732-0.0491416281544042i</v>
      </c>
      <c r="J543" s="337" t="str">
        <f t="shared" si="429"/>
        <v>0.00441834573347339-0.0194316034491223i</v>
      </c>
      <c r="K543" s="338" t="str">
        <f t="shared" si="412"/>
        <v>0.924870103663889-0.430552655180603i</v>
      </c>
      <c r="L543" s="732"/>
      <c r="M543" s="732" t="str">
        <f t="shared" si="413"/>
        <v>0.0488793182167784-14.874602704627i</v>
      </c>
      <c r="N543" s="337">
        <f t="shared" si="414"/>
        <v>0</v>
      </c>
      <c r="O543" s="730" t="str">
        <f t="shared" si="415"/>
        <v>-0.60178236978508-5.66944299832764i</v>
      </c>
      <c r="P543" s="731" t="str">
        <f t="shared" si="416"/>
        <v>-0.288821415492455-0.0666709409255522i</v>
      </c>
      <c r="Q543" s="729" t="str">
        <f t="shared" si="417"/>
        <v>-0.282803591794604-0.00997651094227562i</v>
      </c>
      <c r="R543" s="730"/>
      <c r="S543" s="405" t="str">
        <f t="shared" si="430"/>
        <v>35.8337565542018-16.1575789930465i</v>
      </c>
      <c r="T543" s="405" t="str">
        <f t="shared" si="431"/>
        <v>12.9791787154318-7.65082682852205i</v>
      </c>
      <c r="U543" s="405" t="str">
        <f t="shared" si="432"/>
        <v>-0.285433529459485-0.691188849375602i</v>
      </c>
      <c r="V543" s="731" t="str">
        <f t="shared" si="418"/>
        <v>6000</v>
      </c>
      <c r="W543" s="733" t="str">
        <f>IMSUM(COMPLEX(1,0),IMDIV(COMPLEX(0,2*PI()*D543),COMPLEX(2*PI()*'Stability Calculations'!EA_Pole1,0)))</f>
        <v>1+521829.818078891i</v>
      </c>
      <c r="X543" s="734">
        <f t="shared" si="433"/>
        <v>521829.81807984924</v>
      </c>
      <c r="Y543" s="735">
        <f t="shared" si="434"/>
        <v>1.5707944104613232</v>
      </c>
      <c r="Z543" s="340" t="str">
        <f>IMSUM(COMPLEX(1,0),IMDIV(COMPLEX(0,2*PI()*D543),COMPLEX(2*PI()*'Stability Calculations'!EA_Zero1,0)))</f>
        <v>1+5166.63186216724i</v>
      </c>
      <c r="AA543" s="734">
        <f t="shared" si="435"/>
        <v>5166.6319589420837</v>
      </c>
      <c r="AB543" s="735">
        <f t="shared" si="436"/>
        <v>1.5706027771063973</v>
      </c>
      <c r="AC543" s="733" t="str">
        <f>IMSUM(COMPLEX(1,0),IMDIV(COMPLEX(0,2*PI()*D543),COMPLEX(2*PI()*'Stability Calculations'!EA_Pole2,0)))</f>
        <v>1+52.0458393909032i</v>
      </c>
      <c r="AD543" s="734">
        <f t="shared" si="437"/>
        <v>52.055445420279426</v>
      </c>
      <c r="AE543" s="735">
        <f t="shared" si="438"/>
        <v>1.5515848589457446</v>
      </c>
      <c r="AF543" s="732" t="str">
        <f t="shared" si="439"/>
        <v>0.0217042241700094-1.14099872509856i</v>
      </c>
      <c r="AG543" s="337">
        <f t="shared" si="440"/>
        <v>1.1412051366968874</v>
      </c>
      <c r="AH543" s="730">
        <f t="shared" si="441"/>
        <v>-1.5517764923006703</v>
      </c>
      <c r="AI543" s="731" t="str">
        <f t="shared" si="419"/>
        <v>10000</v>
      </c>
      <c r="AJ543" s="733" t="str">
        <f t="shared" si="442"/>
        <v>1+486489.022815297i</v>
      </c>
      <c r="AK543" s="734">
        <f t="shared" si="443"/>
        <v>486489.02281632472</v>
      </c>
      <c r="AL543" s="735">
        <f t="shared" si="444"/>
        <v>1.5707942712500578</v>
      </c>
      <c r="AM543" s="340" t="str">
        <f t="shared" si="445"/>
        <v>1+825.627771574325i</v>
      </c>
      <c r="AN543" s="734">
        <f t="shared" si="446"/>
        <v>825.62837717388686</v>
      </c>
      <c r="AO543" s="735">
        <f t="shared" si="447"/>
        <v>1.569585127819489</v>
      </c>
      <c r="AP543" s="733" t="str">
        <f t="shared" si="448"/>
        <v>1+40.0443078290109i</v>
      </c>
      <c r="AQ543" s="734">
        <f t="shared" si="449"/>
        <v>40.05679205209254</v>
      </c>
      <c r="AR543" s="735">
        <f t="shared" si="450"/>
        <v>1.5458291776696054</v>
      </c>
      <c r="AS543" s="732" t="str">
        <f t="shared" si="451"/>
        <v>0.000405076579746958-2.84631892641217i</v>
      </c>
      <c r="AT543" s="337">
        <f t="shared" si="452"/>
        <v>2.8463189552365988</v>
      </c>
      <c r="AU543" s="730">
        <f t="shared" si="453"/>
        <v>-1.5706540108466545</v>
      </c>
      <c r="AV543" s="732" t="str">
        <f t="shared" si="454"/>
        <v>-0.0426278495638936+0.0240392964545898i</v>
      </c>
      <c r="AW543" s="337">
        <f t="shared" si="455"/>
        <v>-26.206906139678697</v>
      </c>
      <c r="AX543" s="730">
        <f t="shared" si="456"/>
        <v>150.5798679338665</v>
      </c>
      <c r="AY543" s="360">
        <f t="shared" si="457"/>
        <v>-29.420132066133505</v>
      </c>
      <c r="BB543" s="337">
        <f t="shared" si="458"/>
        <v>-30.914328699667749</v>
      </c>
      <c r="BC543" s="730">
        <f t="shared" si="459"/>
        <v>-89.991845896808329</v>
      </c>
      <c r="BD543" s="351"/>
      <c r="BE543" s="337">
        <f t="shared" si="420"/>
        <v>23.448954390687305</v>
      </c>
      <c r="BF543" s="730">
        <f t="shared" si="421"/>
        <v>-89.81172145472496</v>
      </c>
      <c r="BI543" s="351"/>
      <c r="BJ543" s="351"/>
      <c r="BL543" s="405">
        <f t="shared" si="422"/>
        <v>0</v>
      </c>
      <c r="BM543" s="405">
        <f t="shared" si="460"/>
        <v>0</v>
      </c>
      <c r="BN543" s="405">
        <f t="shared" si="423"/>
        <v>0</v>
      </c>
      <c r="BO543" s="405">
        <f t="shared" si="424"/>
        <v>0</v>
      </c>
    </row>
    <row r="544" spans="4:67" ht="13.5" thickBot="1" x14ac:dyDescent="0.25">
      <c r="D544" s="345">
        <v>82702.75</v>
      </c>
      <c r="E544" s="340" t="str">
        <f t="shared" si="411"/>
        <v>1.37184089767123i</v>
      </c>
      <c r="F544" s="728" t="str">
        <f t="shared" si="425"/>
        <v>0.005-0.0315478920318368i</v>
      </c>
      <c r="G544" s="337" t="str">
        <f t="shared" si="426"/>
        <v>0.005-0.0493441388190268i</v>
      </c>
      <c r="H544" s="338" t="str">
        <f t="shared" si="427"/>
        <v>0.00695308670430142-0.0488613436460504i</v>
      </c>
      <c r="I544" s="338" t="str">
        <f t="shared" si="428"/>
        <v>0.0169530867043014-0.0488613436460504i</v>
      </c>
      <c r="J544" s="337" t="str">
        <f t="shared" si="429"/>
        <v>0.00441461534716352-0.0193214296932341i</v>
      </c>
      <c r="K544" s="338" t="str">
        <f t="shared" si="412"/>
        <v>0.924002834915972-0.433030586386122i</v>
      </c>
      <c r="L544" s="732"/>
      <c r="M544" s="732" t="str">
        <f t="shared" si="413"/>
        <v>0.0482648752072157-14.7870602994282i</v>
      </c>
      <c r="N544" s="337">
        <f t="shared" si="414"/>
        <v>0</v>
      </c>
      <c r="O544" s="730" t="str">
        <f t="shared" si="415"/>
        <v>-0.599965941014848-5.63477751375342i</v>
      </c>
      <c r="P544" s="731" t="str">
        <f t="shared" si="416"/>
        <v>-0.285494075086196-0.0662117297302569i</v>
      </c>
      <c r="Q544" s="729" t="str">
        <f t="shared" si="417"/>
        <v>-0.279494415676048-0.00986395459272265i</v>
      </c>
      <c r="R544" s="730"/>
      <c r="S544" s="405" t="str">
        <f t="shared" si="430"/>
        <v>35.7820244507717-16.2477466013569i</v>
      </c>
      <c r="T544" s="405" t="str">
        <f t="shared" si="431"/>
        <v>12.9508306641414-7.68546966699946i</v>
      </c>
      <c r="U544" s="405" t="str">
        <f t="shared" si="432"/>
        <v>-0.285474125980058-0.686232724540349i</v>
      </c>
      <c r="V544" s="731" t="str">
        <f t="shared" si="418"/>
        <v>6000</v>
      </c>
      <c r="W544" s="733" t="str">
        <f>IMSUM(COMPLEX(1,0),IMDIV(COMPLEX(0,2*PI()*D544),COMPLEX(2*PI()*'Stability Calculations'!EA_Pole1,0)))</f>
        <v>1+524833.07069998i</v>
      </c>
      <c r="X544" s="734">
        <f t="shared" si="433"/>
        <v>524833.07070093264</v>
      </c>
      <c r="Y544" s="735">
        <f t="shared" si="434"/>
        <v>1.5707944214271601</v>
      </c>
      <c r="Z544" s="340" t="str">
        <f>IMSUM(COMPLEX(1,0),IMDIV(COMPLEX(0,2*PI()*D544),COMPLEX(2*PI()*'Stability Calculations'!EA_Zero1,0)))</f>
        <v>1+5196.36703663347i</v>
      </c>
      <c r="AA544" s="734">
        <f t="shared" si="435"/>
        <v>5196.3671328545406</v>
      </c>
      <c r="AB544" s="735">
        <f t="shared" si="436"/>
        <v>1.5706038846558781</v>
      </c>
      <c r="AC544" s="733" t="str">
        <f>IMSUM(COMPLEX(1,0),IMDIV(COMPLEX(0,2*PI()*D544),COMPLEX(2*PI()*'Stability Calculations'!EA_Pole2,0)))</f>
        <v>1+52.3453753663347i</v>
      </c>
      <c r="AD544" s="734">
        <f t="shared" si="437"/>
        <v>52.354926437179522</v>
      </c>
      <c r="AE544" s="735">
        <f t="shared" si="438"/>
        <v>1.5516947659247211</v>
      </c>
      <c r="AF544" s="732" t="str">
        <f t="shared" si="439"/>
        <v>0.0214566290385784-1.13447431737743i</v>
      </c>
      <c r="AG544" s="337">
        <f t="shared" si="440"/>
        <v>1.1346772068384405</v>
      </c>
      <c r="AH544" s="730">
        <f t="shared" si="441"/>
        <v>-1.5518853026960031</v>
      </c>
      <c r="AI544" s="731" t="str">
        <f t="shared" si="419"/>
        <v>10000</v>
      </c>
      <c r="AJ544" s="733" t="str">
        <f t="shared" si="442"/>
        <v>1+489288.880896002i</v>
      </c>
      <c r="AK544" s="734">
        <f t="shared" si="443"/>
        <v>489288.88089702389</v>
      </c>
      <c r="AL544" s="735">
        <f t="shared" si="444"/>
        <v>1.5707942830125035</v>
      </c>
      <c r="AM544" s="340" t="str">
        <f t="shared" si="445"/>
        <v>1+830.379452454028i</v>
      </c>
      <c r="AN544" s="734">
        <f t="shared" si="446"/>
        <v>830.38005458816951</v>
      </c>
      <c r="AO544" s="735">
        <f t="shared" si="447"/>
        <v>1.5695920586574517</v>
      </c>
      <c r="AP544" s="733" t="str">
        <f t="shared" si="448"/>
        <v>1+40.2747721840183i</v>
      </c>
      <c r="AQ544" s="734">
        <f t="shared" si="449"/>
        <v>40.287184990696169</v>
      </c>
      <c r="AR544" s="735">
        <f t="shared" si="450"/>
        <v>1.5459719883463572</v>
      </c>
      <c r="AS544" s="732" t="str">
        <f t="shared" si="451"/>
        <v>0.000400453904010238-2.83003143442638i</v>
      </c>
      <c r="AT544" s="337">
        <f t="shared" si="452"/>
        <v>2.830031462758809</v>
      </c>
      <c r="AU544" s="730">
        <f t="shared" si="453"/>
        <v>-1.5706548252212864</v>
      </c>
      <c r="AV544" s="732" t="str">
        <f t="shared" si="454"/>
        <v>-0.0420499753046328+0.0238825912825635i</v>
      </c>
      <c r="AW544" s="337">
        <f t="shared" si="455"/>
        <v>-26.310480307550801</v>
      </c>
      <c r="AX544" s="730">
        <f t="shared" si="456"/>
        <v>150.40527388197668</v>
      </c>
      <c r="AY544" s="360">
        <f t="shared" si="457"/>
        <v>-29.594726118023317</v>
      </c>
      <c r="BB544" s="337">
        <f t="shared" si="458"/>
        <v>-30.964174723955317</v>
      </c>
      <c r="BC544" s="730">
        <f t="shared" si="459"/>
        <v>-89.991892557037673</v>
      </c>
      <c r="BD544" s="351"/>
      <c r="BE544" s="337">
        <f t="shared" si="420"/>
        <v>23.397683145319025</v>
      </c>
      <c r="BF544" s="730">
        <f t="shared" si="421"/>
        <v>-89.812987587003903</v>
      </c>
      <c r="BI544" s="351"/>
      <c r="BJ544" s="351"/>
      <c r="BL544" s="405">
        <f t="shared" si="422"/>
        <v>0</v>
      </c>
      <c r="BM544" s="405">
        <f t="shared" si="460"/>
        <v>0</v>
      </c>
      <c r="BN544" s="405">
        <f t="shared" si="423"/>
        <v>0</v>
      </c>
      <c r="BO544" s="405">
        <f t="shared" si="424"/>
        <v>0</v>
      </c>
    </row>
    <row r="545" spans="4:67" ht="13.5" thickBot="1" x14ac:dyDescent="0.25">
      <c r="D545" s="345">
        <v>83176</v>
      </c>
      <c r="E545" s="340" t="str">
        <f t="shared" si="411"/>
        <v>1.37969098373032i</v>
      </c>
      <c r="F545" s="728" t="str">
        <f t="shared" si="425"/>
        <v>0.005-0.0313683926581705i</v>
      </c>
      <c r="G545" s="337" t="str">
        <f t="shared" si="426"/>
        <v>0.005-0.0490633833884205i</v>
      </c>
      <c r="H545" s="338" t="str">
        <f t="shared" si="427"/>
        <v>0.00693072866798824-0.0485842331171458i</v>
      </c>
      <c r="I545" s="338" t="str">
        <f t="shared" si="428"/>
        <v>0.0169307286679882-0.0485842331171458i</v>
      </c>
      <c r="J545" s="337" t="str">
        <f t="shared" si="429"/>
        <v>0.00441094333178843-0.0192125129670018i</v>
      </c>
      <c r="K545" s="338" t="str">
        <f t="shared" si="412"/>
        <v>0.923130589155556-0.435508517591641i</v>
      </c>
      <c r="L545" s="732"/>
      <c r="M545" s="732" t="str">
        <f t="shared" si="413"/>
        <v>0.0476621425973156-14.700555866767i</v>
      </c>
      <c r="N545" s="337">
        <f t="shared" si="414"/>
        <v>0</v>
      </c>
      <c r="O545" s="730" t="str">
        <f t="shared" si="415"/>
        <v>-0.598173893583287-5.60051786055193i</v>
      </c>
      <c r="P545" s="731" t="str">
        <f t="shared" si="416"/>
        <v>-0.282224385202327-0.0657590284067852i</v>
      </c>
      <c r="Q545" s="729" t="str">
        <f t="shared" si="417"/>
        <v>-0.276242646266493-0.00975384980126635i</v>
      </c>
      <c r="R545" s="730"/>
      <c r="S545" s="405" t="str">
        <f t="shared" si="430"/>
        <v>35.7299930853501-16.3377186259022i</v>
      </c>
      <c r="T545" s="405" t="str">
        <f t="shared" si="431"/>
        <v>12.9223491607517-7.72000337426394i</v>
      </c>
      <c r="U545" s="405" t="str">
        <f t="shared" si="432"/>
        <v>-0.285509147814216-0.68132767275009i</v>
      </c>
      <c r="V545" s="731" t="str">
        <f t="shared" si="418"/>
        <v>6000</v>
      </c>
      <c r="W545" s="733" t="str">
        <f>IMSUM(COMPLEX(1,0),IMDIV(COMPLEX(0,2*PI()*D545),COMPLEX(2*PI()*'Stability Calculations'!EA_Pole1,0)))</f>
        <v>1+527836.323321069i</v>
      </c>
      <c r="X545" s="734">
        <f t="shared" si="433"/>
        <v>527836.32332201628</v>
      </c>
      <c r="Y545" s="735">
        <f t="shared" si="434"/>
        <v>1.5707944322682112</v>
      </c>
      <c r="Z545" s="340" t="str">
        <f>IMSUM(COMPLEX(1,0),IMDIV(COMPLEX(0,2*PI()*D545),COMPLEX(2*PI()*'Stability Calculations'!EA_Zero1,0)))</f>
        <v>1+5226.10221109969i</v>
      </c>
      <c r="AA545" s="734">
        <f t="shared" si="435"/>
        <v>5226.1023067732867</v>
      </c>
      <c r="AB545" s="735">
        <f t="shared" si="436"/>
        <v>1.5706049796020172</v>
      </c>
      <c r="AC545" s="733" t="str">
        <f>IMSUM(COMPLEX(1,0),IMDIV(COMPLEX(0,2*PI()*D545),COMPLEX(2*PI()*'Stability Calculations'!EA_Pole2,0)))</f>
        <v>1+52.6449113417661i</v>
      </c>
      <c r="AD545" s="734">
        <f t="shared" si="437"/>
        <v>52.654408079309107</v>
      </c>
      <c r="AE545" s="735">
        <f t="shared" si="438"/>
        <v>1.5518034226726336</v>
      </c>
      <c r="AF545" s="732" t="str">
        <f t="shared" si="439"/>
        <v>0.0212132460974121-1.12802407404134i</v>
      </c>
      <c r="AG545" s="337">
        <f t="shared" si="440"/>
        <v>1.1282235210395199</v>
      </c>
      <c r="AH545" s="730">
        <f t="shared" si="441"/>
        <v>-1.5519928753388279</v>
      </c>
      <c r="AI545" s="731" t="str">
        <f t="shared" si="419"/>
        <v>10000</v>
      </c>
      <c r="AJ545" s="733" t="str">
        <f t="shared" si="442"/>
        <v>1+492088.738976707i</v>
      </c>
      <c r="AK545" s="734">
        <f t="shared" si="443"/>
        <v>492088.73897772306</v>
      </c>
      <c r="AL545" s="735">
        <f t="shared" si="444"/>
        <v>1.5707942946410984</v>
      </c>
      <c r="AM545" s="340" t="str">
        <f t="shared" si="445"/>
        <v>1+835.13113333373i</v>
      </c>
      <c r="AN545" s="734">
        <f t="shared" si="446"/>
        <v>835.13173204188581</v>
      </c>
      <c r="AO545" s="735">
        <f t="shared" si="447"/>
        <v>1.5695989106261652</v>
      </c>
      <c r="AP545" s="733" t="str">
        <f t="shared" si="448"/>
        <v>1+40.5052365390256i</v>
      </c>
      <c r="AQ545" s="734">
        <f t="shared" si="449"/>
        <v>40.517578741608126</v>
      </c>
      <c r="AR545" s="735">
        <f t="shared" si="450"/>
        <v>1.5461131749068253</v>
      </c>
      <c r="AS545" s="732" t="str">
        <f t="shared" si="451"/>
        <v>0.000395909909080869-2.81392928569158i</v>
      </c>
      <c r="AT545" s="337">
        <f t="shared" si="452"/>
        <v>2.8139293135431429</v>
      </c>
      <c r="AU545" s="730">
        <f t="shared" si="453"/>
        <v>-1.5706556303287553</v>
      </c>
      <c r="AV545" s="732" t="str">
        <f t="shared" si="454"/>
        <v>-0.0414820280299072+0.0237274759380955i</v>
      </c>
      <c r="AW545" s="337">
        <f t="shared" si="455"/>
        <v>-26.413511042097969</v>
      </c>
      <c r="AX545" s="730">
        <f t="shared" si="456"/>
        <v>150.23069755341652</v>
      </c>
      <c r="AY545" s="360">
        <f t="shared" si="457"/>
        <v>-29.769302446583481</v>
      </c>
      <c r="BB545" s="337">
        <f t="shared" si="458"/>
        <v>-31.013736326538151</v>
      </c>
      <c r="BC545" s="730">
        <f t="shared" si="459"/>
        <v>-89.991938686297701</v>
      </c>
      <c r="BD545" s="351"/>
      <c r="BE545" s="337">
        <f t="shared" si="420"/>
        <v>23.346720789748169</v>
      </c>
      <c r="BF545" s="730">
        <f t="shared" si="421"/>
        <v>-89.814236273141532</v>
      </c>
      <c r="BI545" s="351"/>
      <c r="BJ545" s="351"/>
      <c r="BL545" s="405">
        <f t="shared" si="422"/>
        <v>0</v>
      </c>
      <c r="BM545" s="405">
        <f t="shared" si="460"/>
        <v>0</v>
      </c>
      <c r="BN545" s="405">
        <f t="shared" si="423"/>
        <v>0</v>
      </c>
      <c r="BO545" s="405">
        <f t="shared" si="424"/>
        <v>0</v>
      </c>
    </row>
    <row r="546" spans="4:67" ht="13.5" thickBot="1" x14ac:dyDescent="0.25">
      <c r="D546" s="345">
        <v>83660.5</v>
      </c>
      <c r="E546" s="340" t="str">
        <f t="shared" si="411"/>
        <v>1.38772768039303i</v>
      </c>
      <c r="F546" s="728" t="str">
        <f t="shared" si="425"/>
        <v>0.005-0.0311867300307312i</v>
      </c>
      <c r="G546" s="337" t="str">
        <f t="shared" si="426"/>
        <v>0.005-0.0487792444070412i</v>
      </c>
      <c r="H546" s="338" t="str">
        <f t="shared" si="427"/>
        <v>0.00690823023733096-0.0483037673484856i</v>
      </c>
      <c r="I546" s="338" t="str">
        <f t="shared" si="428"/>
        <v>0.016908230237331-0.0483037673484856i</v>
      </c>
      <c r="J546" s="337" t="str">
        <f t="shared" si="429"/>
        <v>0.00440724310047369-0.0191022870304984i</v>
      </c>
      <c r="K546" s="338" t="str">
        <f t="shared" si="412"/>
        <v>0.922232452663889-0.438045353659415i</v>
      </c>
      <c r="L546" s="732"/>
      <c r="M546" s="732" t="str">
        <f t="shared" si="413"/>
        <v>0.0470568997929635-14.6130509530195i</v>
      </c>
      <c r="N546" s="337">
        <f t="shared" si="414"/>
        <v>0</v>
      </c>
      <c r="O546" s="730" t="str">
        <f t="shared" si="415"/>
        <v>-0.596363902008629-5.56585664217282i</v>
      </c>
      <c r="P546" s="731" t="str">
        <f t="shared" si="416"/>
        <v>-0.278935302498935-0.0653021623961764i</v>
      </c>
      <c r="Q546" s="729" t="str">
        <f t="shared" si="417"/>
        <v>-0.272971663478848-0.00964359597444812i</v>
      </c>
      <c r="R546" s="730"/>
      <c r="S546" s="405" t="str">
        <f t="shared" si="430"/>
        <v>35.6764151509642-16.4296260270383i</v>
      </c>
      <c r="T546" s="405" t="str">
        <f t="shared" si="431"/>
        <v>12.8930528754509-7.75524404600013i</v>
      </c>
      <c r="U546" s="405" t="str">
        <f t="shared" si="432"/>
        <v>-0.285539326403021-0.676358037923966i</v>
      </c>
      <c r="V546" s="731" t="str">
        <f t="shared" si="418"/>
        <v>6000</v>
      </c>
      <c r="W546" s="733" t="str">
        <f>IMSUM(COMPLEX(1,0),IMDIV(COMPLEX(0,2*PI()*D546),COMPLEX(2*PI()*'Stability Calculations'!EA_Pole1,0)))</f>
        <v>1+530910.968635211i</v>
      </c>
      <c r="X546" s="734">
        <f t="shared" si="433"/>
        <v>530910.9686361528</v>
      </c>
      <c r="Y546" s="735">
        <f t="shared" si="434"/>
        <v>1.5707944432399146</v>
      </c>
      <c r="Z546" s="340" t="str">
        <f>IMSUM(COMPLEX(1,0),IMDIV(COMPLEX(0,2*PI()*D546),COMPLEX(2*PI()*'Stability Calculations'!EA_Zero1,0)))</f>
        <v>1+5256.54424391298i</v>
      </c>
      <c r="AA546" s="734">
        <f t="shared" si="435"/>
        <v>5256.5443390325054</v>
      </c>
      <c r="AB546" s="735">
        <f t="shared" si="436"/>
        <v>1.5706060877440042</v>
      </c>
      <c r="AC546" s="733" t="str">
        <f>IMSUM(COMPLEX(1,0),IMDIV(COMPLEX(0,2*PI()*D546),COMPLEX(2*PI()*'Stability Calculations'!EA_Pole2,0)))</f>
        <v>1+52.9515678237452i</v>
      </c>
      <c r="AD546" s="734">
        <f t="shared" si="437"/>
        <v>52.961009573012177</v>
      </c>
      <c r="AE546" s="735">
        <f t="shared" si="438"/>
        <v>1.5519133893643349</v>
      </c>
      <c r="AF546" s="732" t="str">
        <f t="shared" si="439"/>
        <v>0.0209683419121625-1.12149601445027i</v>
      </c>
      <c r="AG546" s="337">
        <f t="shared" si="440"/>
        <v>1.1216920173516369</v>
      </c>
      <c r="AH546" s="730">
        <f t="shared" si="441"/>
        <v>-1.5521017448602454</v>
      </c>
      <c r="AI546" s="731" t="str">
        <f t="shared" si="419"/>
        <v>10000</v>
      </c>
      <c r="AJ546" s="733" t="str">
        <f t="shared" si="442"/>
        <v>1+494955.154697999i</v>
      </c>
      <c r="AK546" s="734">
        <f t="shared" si="443"/>
        <v>494955.1546990092</v>
      </c>
      <c r="AL546" s="735">
        <f t="shared" si="444"/>
        <v>1.5707943064098364</v>
      </c>
      <c r="AM546" s="340" t="str">
        <f t="shared" si="445"/>
        <v>1+839.995770177294i</v>
      </c>
      <c r="AN546" s="734">
        <f t="shared" si="446"/>
        <v>839.99636541817574</v>
      </c>
      <c r="AO546" s="735">
        <f t="shared" si="447"/>
        <v>1.5696058451721457</v>
      </c>
      <c r="AP546" s="733" t="str">
        <f t="shared" si="448"/>
        <v>1+40.741179444469i</v>
      </c>
      <c r="AQ546" s="734">
        <f t="shared" si="449"/>
        <v>40.753450191688351</v>
      </c>
      <c r="AR546" s="735">
        <f t="shared" si="450"/>
        <v>1.5462560639926528</v>
      </c>
      <c r="AS546" s="732" t="str">
        <f t="shared" si="451"/>
        <v>0.000391337550275935-2.79763308036876i</v>
      </c>
      <c r="AT546" s="337">
        <f t="shared" si="452"/>
        <v>2.7976331077392325</v>
      </c>
      <c r="AU546" s="730">
        <f t="shared" si="453"/>
        <v>-1.5706564451390534</v>
      </c>
      <c r="AV546" s="732" t="str">
        <f t="shared" si="454"/>
        <v>-0.0409106301280029+0.0235702936502438i</v>
      </c>
      <c r="AW546" s="337">
        <f t="shared" si="455"/>
        <v>-26.518434845177246</v>
      </c>
      <c r="AX546" s="730">
        <f t="shared" si="456"/>
        <v>150.05198930979674</v>
      </c>
      <c r="AY546" s="360">
        <f t="shared" si="457"/>
        <v>-29.948010690203262</v>
      </c>
      <c r="BB546" s="337">
        <f t="shared" si="458"/>
        <v>-31.06418482284543</v>
      </c>
      <c r="BC546" s="730">
        <f t="shared" si="459"/>
        <v>-89.991985371488894</v>
      </c>
      <c r="BD546" s="351"/>
      <c r="BE546" s="337">
        <f t="shared" si="420"/>
        <v>23.294863006639901</v>
      </c>
      <c r="BF546" s="730">
        <f t="shared" si="421"/>
        <v>-89.815496952388699</v>
      </c>
      <c r="BI546" s="351"/>
      <c r="BJ546" s="351"/>
      <c r="BL546" s="405">
        <f t="shared" si="422"/>
        <v>0</v>
      </c>
      <c r="BM546" s="405">
        <f t="shared" si="460"/>
        <v>0</v>
      </c>
      <c r="BN546" s="405">
        <f t="shared" si="423"/>
        <v>0</v>
      </c>
      <c r="BO546" s="405">
        <f t="shared" si="424"/>
        <v>0</v>
      </c>
    </row>
    <row r="547" spans="4:67" ht="13.5" thickBot="1" x14ac:dyDescent="0.25">
      <c r="D547" s="345">
        <v>84145</v>
      </c>
      <c r="E547" s="340" t="str">
        <f t="shared" si="411"/>
        <v>1.39576437705573i</v>
      </c>
      <c r="F547" s="728" t="str">
        <f t="shared" si="425"/>
        <v>0.005-0.0310071594002732i</v>
      </c>
      <c r="G547" s="337" t="str">
        <f t="shared" si="426"/>
        <v>0.005-0.0484983775235043i</v>
      </c>
      <c r="H547" s="338" t="str">
        <f t="shared" si="427"/>
        <v>0.00688611850372135-0.0480265160262471i</v>
      </c>
      <c r="I547" s="338" t="str">
        <f t="shared" si="428"/>
        <v>0.0168861185037214-0.0480265160262471i</v>
      </c>
      <c r="J547" s="337" t="str">
        <f t="shared" si="429"/>
        <v>0.00440360125615708-0.0189933338691559i</v>
      </c>
      <c r="K547" s="338" t="str">
        <f t="shared" si="412"/>
        <v>0.921329099722222-0.440582189727189i</v>
      </c>
      <c r="L547" s="732"/>
      <c r="M547" s="732" t="str">
        <f t="shared" si="413"/>
        <v>0.046463304440277-14.5265950305319i</v>
      </c>
      <c r="N547" s="337">
        <f t="shared" si="414"/>
        <v>0</v>
      </c>
      <c r="O547" s="730" t="str">
        <f t="shared" si="415"/>
        <v>-0.594578260311216-5.53160559101509i</v>
      </c>
      <c r="P547" s="731" t="str">
        <f t="shared" si="416"/>
        <v>-0.275703863531114-0.0648518251780337i</v>
      </c>
      <c r="Q547" s="729" t="str">
        <f t="shared" si="417"/>
        <v>-0.269758080928001-0.00953576926788309i</v>
      </c>
      <c r="R547" s="730"/>
      <c r="S547" s="405" t="str">
        <f t="shared" si="430"/>
        <v>35.6225242286254-16.5213267791953i</v>
      </c>
      <c r="T547" s="405" t="str">
        <f t="shared" si="431"/>
        <v>12.8636177850984-7.79036849433963i</v>
      </c>
      <c r="U547" s="405" t="str">
        <f t="shared" si="432"/>
        <v>-0.285563860889003-0.671440146351221i</v>
      </c>
      <c r="V547" s="731" t="str">
        <f t="shared" si="418"/>
        <v>6000</v>
      </c>
      <c r="W547" s="733" t="str">
        <f>IMSUM(COMPLEX(1,0),IMDIV(COMPLEX(0,2*PI()*D547),COMPLEX(2*PI()*'Stability Calculations'!EA_Pole1,0)))</f>
        <v>1+533985.613949352i</v>
      </c>
      <c r="X547" s="734">
        <f t="shared" si="433"/>
        <v>533985.61395028827</v>
      </c>
      <c r="Y547" s="735">
        <f t="shared" si="434"/>
        <v>1.5707944540852694</v>
      </c>
      <c r="Z547" s="340" t="str">
        <f>IMSUM(COMPLEX(1,0),IMDIV(COMPLEX(0,2*PI()*D547),COMPLEX(2*PI()*'Stability Calculations'!EA_Zero1,0)))</f>
        <v>1+5286.98627672626i</v>
      </c>
      <c r="AA547" s="734">
        <f t="shared" si="435"/>
        <v>5286.9863712980959</v>
      </c>
      <c r="AB547" s="735">
        <f t="shared" si="436"/>
        <v>1.5706071831248105</v>
      </c>
      <c r="AC547" s="733" t="str">
        <f>IMSUM(COMPLEX(1,0),IMDIV(COMPLEX(0,2*PI()*D547),COMPLEX(2*PI()*'Stability Calculations'!EA_Pole2,0)))</f>
        <v>1+53.2582243057242i</v>
      </c>
      <c r="AD547" s="734">
        <f t="shared" si="437"/>
        <v>53.267611699782748</v>
      </c>
      <c r="AE547" s="735">
        <f t="shared" si="438"/>
        <v>1.5520220901465727</v>
      </c>
      <c r="AF547" s="732" t="str">
        <f t="shared" si="439"/>
        <v>0.0207276539625605-1.11504305175545i</v>
      </c>
      <c r="AG547" s="337">
        <f t="shared" si="440"/>
        <v>1.11523568939794</v>
      </c>
      <c r="AH547" s="730">
        <f t="shared" si="441"/>
        <v>-1.5522093611070316</v>
      </c>
      <c r="AI547" s="731" t="str">
        <f t="shared" si="419"/>
        <v>10000</v>
      </c>
      <c r="AJ547" s="733" t="str">
        <f t="shared" si="442"/>
        <v>1+497821.570419291i</v>
      </c>
      <c r="AK547" s="734">
        <f t="shared" si="443"/>
        <v>497821.57042029535</v>
      </c>
      <c r="AL547" s="735">
        <f t="shared" si="444"/>
        <v>1.5707943180430477</v>
      </c>
      <c r="AM547" s="340" t="str">
        <f t="shared" si="445"/>
        <v>1+844.860407020856i</v>
      </c>
      <c r="AN547" s="734">
        <f t="shared" si="446"/>
        <v>844.86099883439203</v>
      </c>
      <c r="AO547" s="735">
        <f t="shared" si="447"/>
        <v>1.5696126998611464</v>
      </c>
      <c r="AP547" s="733" t="str">
        <f t="shared" si="448"/>
        <v>1+40.9771223499123i</v>
      </c>
      <c r="AQ547" s="734">
        <f t="shared" si="449"/>
        <v>40.989322464267232</v>
      </c>
      <c r="AR547" s="735">
        <f t="shared" si="450"/>
        <v>1.5463973085763107</v>
      </c>
      <c r="AS547" s="732" t="str">
        <f t="shared" si="451"/>
        <v>0.000386843945663043-2.781524539459i</v>
      </c>
      <c r="AT547" s="337">
        <f t="shared" si="452"/>
        <v>2.7815245663593986</v>
      </c>
      <c r="AU547" s="730">
        <f t="shared" si="453"/>
        <v>-1.5706572505661303</v>
      </c>
      <c r="AV547" s="732" t="str">
        <f t="shared" si="454"/>
        <v>-0.0403491696710679+0.0234147243343882i</v>
      </c>
      <c r="AW547" s="337">
        <f t="shared" si="455"/>
        <v>-26.622802783170382</v>
      </c>
      <c r="AX547" s="730">
        <f t="shared" si="456"/>
        <v>149.87329908063774</v>
      </c>
      <c r="AY547" s="360">
        <f t="shared" si="457"/>
        <v>-30.126700919362264</v>
      </c>
      <c r="BB547" s="337">
        <f t="shared" si="458"/>
        <v>-31.114342000551769</v>
      </c>
      <c r="BC547" s="730">
        <f t="shared" si="459"/>
        <v>-89.992031519061101</v>
      </c>
      <c r="BD547" s="351"/>
      <c r="BE547" s="337">
        <f t="shared" si="420"/>
        <v>23.243321020336371</v>
      </c>
      <c r="BF547" s="730">
        <f t="shared" si="421"/>
        <v>-89.816740112680847</v>
      </c>
      <c r="BI547" s="351"/>
      <c r="BJ547" s="351"/>
      <c r="BL547" s="405">
        <f t="shared" si="422"/>
        <v>0</v>
      </c>
      <c r="BM547" s="405">
        <f t="shared" si="460"/>
        <v>0</v>
      </c>
      <c r="BN547" s="405">
        <f t="shared" si="423"/>
        <v>0</v>
      </c>
      <c r="BO547" s="405">
        <f t="shared" si="424"/>
        <v>0</v>
      </c>
    </row>
    <row r="548" spans="4:67" ht="13.5" thickBot="1" x14ac:dyDescent="0.25">
      <c r="D548" s="345">
        <v>84629.5</v>
      </c>
      <c r="E548" s="340" t="str">
        <f t="shared" si="411"/>
        <v>1.40380107371844i</v>
      </c>
      <c r="F548" s="728" t="str">
        <f t="shared" si="425"/>
        <v>0.005-0.0308296448370365i</v>
      </c>
      <c r="G548" s="337" t="str">
        <f t="shared" si="426"/>
        <v>0.005-0.0482207265399804i</v>
      </c>
      <c r="H548" s="338" t="str">
        <f t="shared" si="427"/>
        <v>0.00686438466029516-0.047752424290374i</v>
      </c>
      <c r="I548" s="338" t="str">
        <f t="shared" si="428"/>
        <v>0.0168643846602952-0.047752424290374i</v>
      </c>
      <c r="J548" s="337" t="str">
        <f t="shared" si="429"/>
        <v>0.00440001644635791-0.0188856316237588i</v>
      </c>
      <c r="K548" s="338" t="str">
        <f t="shared" si="412"/>
        <v>0.920420530330556-0.443119025794962i</v>
      </c>
      <c r="L548" s="732"/>
      <c r="M548" s="732" t="str">
        <f t="shared" si="413"/>
        <v>0.0458810550605955-14.4411691246316i</v>
      </c>
      <c r="N548" s="337">
        <f t="shared" si="414"/>
        <v>0</v>
      </c>
      <c r="O548" s="730" t="str">
        <f t="shared" si="415"/>
        <v>-0.592816385358753-5.49775730244242i</v>
      </c>
      <c r="P548" s="731" t="str">
        <f t="shared" si="416"/>
        <v>-0.272528722907348-0.0644078743573987i</v>
      </c>
      <c r="Q548" s="729" t="str">
        <f t="shared" si="417"/>
        <v>-0.26660055905376-0.00943030133297432i</v>
      </c>
      <c r="R548" s="730"/>
      <c r="S548" s="405" t="str">
        <f t="shared" si="430"/>
        <v>35.5683206674385-16.6128200183621i</v>
      </c>
      <c r="T548" s="405" t="str">
        <f t="shared" si="431"/>
        <v>12.834044437382-7.82537579787732i</v>
      </c>
      <c r="U548" s="405" t="str">
        <f t="shared" si="432"/>
        <v>-0.28558284756635-0.666573124923372i</v>
      </c>
      <c r="V548" s="731" t="str">
        <f t="shared" si="418"/>
        <v>6000</v>
      </c>
      <c r="W548" s="733" t="str">
        <f>IMSUM(COMPLEX(1,0),IMDIV(COMPLEX(0,2*PI()*D548),COMPLEX(2*PI()*'Stability Calculations'!EA_Pole1,0)))</f>
        <v>1+537060.259263495i</v>
      </c>
      <c r="X548" s="734">
        <f t="shared" si="433"/>
        <v>537060.25926442596</v>
      </c>
      <c r="Y548" s="735">
        <f t="shared" si="434"/>
        <v>1.570794464806446</v>
      </c>
      <c r="Z548" s="340" t="str">
        <f>IMSUM(COMPLEX(1,0),IMDIV(COMPLEX(0,2*PI()*D548),COMPLEX(2*PI()*'Stability Calculations'!EA_Zero1,0)))</f>
        <v>1+5317.42830953955i</v>
      </c>
      <c r="AA548" s="734">
        <f t="shared" si="435"/>
        <v>5317.4284035699666</v>
      </c>
      <c r="AB548" s="735">
        <f t="shared" si="436"/>
        <v>1.5706082659636078</v>
      </c>
      <c r="AC548" s="733" t="str">
        <f>IMSUM(COMPLEX(1,0),IMDIV(COMPLEX(0,2*PI()*D548),COMPLEX(2*PI()*'Stability Calculations'!EA_Pole2,0)))</f>
        <v>1+53.5648807877032i</v>
      </c>
      <c r="AD548" s="734">
        <f t="shared" si="437"/>
        <v>53.574214448751889</v>
      </c>
      <c r="AE548" s="735">
        <f t="shared" si="438"/>
        <v>1.5521295467509795</v>
      </c>
      <c r="AF548" s="732" t="str">
        <f t="shared" si="439"/>
        <v>0.0204910860307243-1.10866389797432i</v>
      </c>
      <c r="AG548" s="337">
        <f t="shared" si="440"/>
        <v>1.1088532469530545</v>
      </c>
      <c r="AH548" s="730">
        <f t="shared" si="441"/>
        <v>-1.5523157455938179</v>
      </c>
      <c r="AI548" s="731" t="str">
        <f t="shared" si="419"/>
        <v>10000</v>
      </c>
      <c r="AJ548" s="733" t="str">
        <f t="shared" si="442"/>
        <v>1+500687.986140584i</v>
      </c>
      <c r="AK548" s="734">
        <f t="shared" si="443"/>
        <v>500687.98614158254</v>
      </c>
      <c r="AL548" s="735">
        <f t="shared" si="444"/>
        <v>1.5707943295430598</v>
      </c>
      <c r="AM548" s="340" t="str">
        <f t="shared" si="445"/>
        <v>1+849.72504386442i</v>
      </c>
      <c r="AN548" s="734">
        <f t="shared" si="446"/>
        <v>849.72563228985291</v>
      </c>
      <c r="AO548" s="735">
        <f t="shared" si="447"/>
        <v>1.5696194760646971</v>
      </c>
      <c r="AP548" s="733" t="str">
        <f t="shared" si="448"/>
        <v>1+41.2130652553557i</v>
      </c>
      <c r="AQ548" s="734">
        <f t="shared" si="449"/>
        <v>41.225195545227031</v>
      </c>
      <c r="AR548" s="735">
        <f t="shared" si="450"/>
        <v>1.5465369368795459</v>
      </c>
      <c r="AS548" s="732" t="str">
        <f t="shared" si="451"/>
        <v>0.000382427296958042-2.76560043985211i</v>
      </c>
      <c r="AT548" s="337">
        <f t="shared" si="452"/>
        <v>2.7656004662931375</v>
      </c>
      <c r="AU548" s="730">
        <f t="shared" si="453"/>
        <v>-1.5706580467711413</v>
      </c>
      <c r="AV548" s="732" t="str">
        <f t="shared" si="454"/>
        <v>-0.0397974203628429+0.0232607418636188i</v>
      </c>
      <c r="AW548" s="337">
        <f t="shared" si="455"/>
        <v>-26.726621616825739</v>
      </c>
      <c r="AX548" s="730">
        <f t="shared" si="456"/>
        <v>149.69462660313081</v>
      </c>
      <c r="AY548" s="360">
        <f t="shared" si="457"/>
        <v>-30.305373396869186</v>
      </c>
      <c r="BB548" s="337">
        <f t="shared" si="458"/>
        <v>-31.164211204831357</v>
      </c>
      <c r="BC548" s="730">
        <f t="shared" si="459"/>
        <v>-89.992077138247851</v>
      </c>
      <c r="BD548" s="351"/>
      <c r="BE548" s="337">
        <f t="shared" si="420"/>
        <v>23.192090920604361</v>
      </c>
      <c r="BF548" s="730">
        <f t="shared" si="421"/>
        <v>-89.817966125390143</v>
      </c>
      <c r="BI548" s="351"/>
      <c r="BJ548" s="351"/>
      <c r="BL548" s="405">
        <f t="shared" si="422"/>
        <v>0</v>
      </c>
      <c r="BM548" s="405">
        <f t="shared" si="460"/>
        <v>0</v>
      </c>
      <c r="BN548" s="405">
        <f t="shared" si="423"/>
        <v>0</v>
      </c>
      <c r="BO548" s="405">
        <f t="shared" si="424"/>
        <v>0</v>
      </c>
    </row>
    <row r="549" spans="4:67" ht="13.5" thickBot="1" x14ac:dyDescent="0.25">
      <c r="D549" s="345">
        <v>85114</v>
      </c>
      <c r="E549" s="340" t="str">
        <f t="shared" si="411"/>
        <v>1.41183777038115i</v>
      </c>
      <c r="F549" s="728" t="str">
        <f t="shared" si="425"/>
        <v>0.005-0.0306541512293628i</v>
      </c>
      <c r="G549" s="337" t="str">
        <f t="shared" si="426"/>
        <v>0.005-0.0479462365382343i</v>
      </c>
      <c r="H549" s="338" t="str">
        <f t="shared" si="427"/>
        <v>0.00684302014935621-0.047481438520165i</v>
      </c>
      <c r="I549" s="338" t="str">
        <f t="shared" si="428"/>
        <v>0.0168430201493562-0.047481438520165i</v>
      </c>
      <c r="J549" s="337" t="str">
        <f t="shared" si="429"/>
        <v>0.00439648735711891-0.0187791589321799i</v>
      </c>
      <c r="K549" s="338" t="str">
        <f t="shared" si="412"/>
        <v>0.919506744488889-0.445655861862736i</v>
      </c>
      <c r="L549" s="732"/>
      <c r="M549" s="732" t="str">
        <f t="shared" si="413"/>
        <v>0.0453098599721022-14.3567547204428i</v>
      </c>
      <c r="N549" s="337">
        <f t="shared" si="414"/>
        <v>0</v>
      </c>
      <c r="O549" s="730" t="str">
        <f t="shared" si="415"/>
        <v>-0.591077710817176-5.46430455167617i</v>
      </c>
      <c r="P549" s="731" t="str">
        <f t="shared" si="416"/>
        <v>-0.269408574418999-0.0639701716792949i</v>
      </c>
      <c r="Q549" s="729" t="str">
        <f t="shared" si="417"/>
        <v>-0.263497797310827-0.00932712616253322i</v>
      </c>
      <c r="R549" s="730"/>
      <c r="S549" s="405" t="str">
        <f t="shared" si="430"/>
        <v>35.5138048231695-16.7041048633933i</v>
      </c>
      <c r="T549" s="405" t="str">
        <f t="shared" si="431"/>
        <v>12.804333385213-7.86026504207369i</v>
      </c>
      <c r="U549" s="405" t="str">
        <f t="shared" si="432"/>
        <v>-0.285596379993337-0.661756120483876i</v>
      </c>
      <c r="V549" s="731" t="str">
        <f t="shared" si="418"/>
        <v>6000</v>
      </c>
      <c r="W549" s="733" t="str">
        <f>IMSUM(COMPLEX(1,0),IMDIV(COMPLEX(0,2*PI()*D549),COMPLEX(2*PI()*'Stability Calculations'!EA_Pole1,0)))</f>
        <v>1+540134.904577636i</v>
      </c>
      <c r="X549" s="734">
        <f t="shared" si="433"/>
        <v>540134.90457856166</v>
      </c>
      <c r="Y549" s="735">
        <f t="shared" si="434"/>
        <v>1.5707944754055649</v>
      </c>
      <c r="Z549" s="340" t="str">
        <f>IMSUM(COMPLEX(1,0),IMDIV(COMPLEX(0,2*PI()*D549),COMPLEX(2*PI()*'Stability Calculations'!EA_Zero1,0)))</f>
        <v>1+5347.87034235283i</v>
      </c>
      <c r="AA549" s="734">
        <f t="shared" si="435"/>
        <v>5347.8704358479908</v>
      </c>
      <c r="AB549" s="735">
        <f t="shared" si="436"/>
        <v>1.570609336474577</v>
      </c>
      <c r="AC549" s="733" t="str">
        <f>IMSUM(COMPLEX(1,0),IMDIV(COMPLEX(0,2*PI()*D549),COMPLEX(2*PI()*'Stability Calculations'!EA_Pole2,0)))</f>
        <v>1+53.8715372696822i</v>
      </c>
      <c r="AD549" s="734">
        <f t="shared" si="437"/>
        <v>53.880817809297945</v>
      </c>
      <c r="AE549" s="735">
        <f t="shared" si="438"/>
        <v>1.552235780414658</v>
      </c>
      <c r="AF549" s="732" t="str">
        <f t="shared" si="439"/>
        <v>0.0202585446275946-1.10235729440034i</v>
      </c>
      <c r="AG549" s="337">
        <f t="shared" si="440"/>
        <v>1.1025434291437533</v>
      </c>
      <c r="AH549" s="730">
        <f t="shared" si="441"/>
        <v>-1.552420919345646</v>
      </c>
      <c r="AI549" s="731" t="str">
        <f t="shared" si="419"/>
        <v>10000</v>
      </c>
      <c r="AJ549" s="733" t="str">
        <f t="shared" si="442"/>
        <v>1+503554.401861876i</v>
      </c>
      <c r="AK549" s="734">
        <f t="shared" si="443"/>
        <v>503554.40186286892</v>
      </c>
      <c r="AL549" s="735">
        <f t="shared" si="444"/>
        <v>1.5707943409121472</v>
      </c>
      <c r="AM549" s="340" t="str">
        <f t="shared" si="445"/>
        <v>1+854.589680707982i</v>
      </c>
      <c r="AN549" s="734">
        <f t="shared" si="446"/>
        <v>854.59026578388466</v>
      </c>
      <c r="AO549" s="735">
        <f t="shared" si="447"/>
        <v>1.5696261751230987</v>
      </c>
      <c r="AP549" s="733" t="str">
        <f t="shared" si="448"/>
        <v>1+41.4490081607991i</v>
      </c>
      <c r="AQ549" s="734">
        <f t="shared" si="449"/>
        <v>41.461069420770976</v>
      </c>
      <c r="AR549" s="735">
        <f t="shared" si="450"/>
        <v>1.546674976482141</v>
      </c>
      <c r="AS549" s="732" t="str">
        <f t="shared" si="451"/>
        <v>0.000378085856913133-2.74985763182637i</v>
      </c>
      <c r="AT549" s="337">
        <f t="shared" si="452"/>
        <v>2.7498576578184273</v>
      </c>
      <c r="AU549" s="730">
        <f t="shared" si="453"/>
        <v>-1.5706588339115726</v>
      </c>
      <c r="AV549" s="732" t="str">
        <f t="shared" si="454"/>
        <v>-0.039255162334109+0.0231083206674717i</v>
      </c>
      <c r="AW549" s="337">
        <f t="shared" si="455"/>
        <v>-26.829897992175376</v>
      </c>
      <c r="AX549" s="730">
        <f t="shared" si="456"/>
        <v>149.51597162838323</v>
      </c>
      <c r="AY549" s="360">
        <f t="shared" si="457"/>
        <v>-30.484028371616773</v>
      </c>
      <c r="BB549" s="337">
        <f t="shared" si="458"/>
        <v>-31.213795723568847</v>
      </c>
      <c r="BC549" s="730">
        <f t="shared" si="459"/>
        <v>-89.992122238072454</v>
      </c>
      <c r="BD549" s="351"/>
      <c r="BE549" s="337">
        <f t="shared" si="420"/>
        <v>23.141168870745542</v>
      </c>
      <c r="BF549" s="730">
        <f t="shared" si="421"/>
        <v>-89.819175351384615</v>
      </c>
      <c r="BI549" s="351"/>
      <c r="BJ549" s="351"/>
      <c r="BL549" s="405">
        <f t="shared" si="422"/>
        <v>0</v>
      </c>
      <c r="BM549" s="405">
        <f t="shared" si="460"/>
        <v>0</v>
      </c>
      <c r="BN549" s="405">
        <f t="shared" si="423"/>
        <v>0</v>
      </c>
      <c r="BO549" s="405">
        <f t="shared" si="424"/>
        <v>0</v>
      </c>
    </row>
    <row r="550" spans="4:67" ht="13.5" thickBot="1" x14ac:dyDescent="0.25">
      <c r="D550" s="345">
        <v>85609.5</v>
      </c>
      <c r="E550" s="340" t="str">
        <f t="shared" si="411"/>
        <v>1.42005693074518i</v>
      </c>
      <c r="F550" s="728" t="str">
        <f t="shared" si="425"/>
        <v>0.005-0.0304767277899765i</v>
      </c>
      <c r="G550" s="337" t="str">
        <f t="shared" si="426"/>
        <v>0.005-0.0476687280817581i</v>
      </c>
      <c r="H550" s="338" t="str">
        <f t="shared" si="427"/>
        <v>0.0068215439219687-0.0472074582623396i</v>
      </c>
      <c r="I550" s="338" t="str">
        <f t="shared" si="428"/>
        <v>0.0168215439219687-0.0472074582623396i</v>
      </c>
      <c r="J550" s="337" t="str">
        <f t="shared" si="429"/>
        <v>0.00439293444627768-0.0186715188918516i</v>
      </c>
      <c r="K550" s="338" t="str">
        <f t="shared" si="412"/>
        <v>0.918566816775-0.448250293795826i</v>
      </c>
      <c r="L550" s="732"/>
      <c r="M550" s="732" t="str">
        <f t="shared" si="413"/>
        <v>0.0447368360679057-14.2714511688559i</v>
      </c>
      <c r="N550" s="337">
        <f t="shared" si="414"/>
        <v>0</v>
      </c>
      <c r="O550" s="730" t="str">
        <f t="shared" si="415"/>
        <v>-0.589322985027046-5.4304940593022i</v>
      </c>
      <c r="P550" s="731" t="str">
        <f t="shared" si="416"/>
        <v>-0.26627314412525-0.0635288541178405i</v>
      </c>
      <c r="Q550" s="729" t="str">
        <f t="shared" si="417"/>
        <v>-0.26037991427498-0.00922391352481836i</v>
      </c>
      <c r="R550" s="730"/>
      <c r="S550" s="405" t="str">
        <f t="shared" si="430"/>
        <v>35.4577286403736-16.7972457423095i</v>
      </c>
      <c r="T550" s="405" t="str">
        <f t="shared" si="431"/>
        <v>12.7738059308119-7.89582334897192i</v>
      </c>
      <c r="U550" s="405" t="str">
        <f t="shared" si="432"/>
        <v>-0.285604672985661-0.656880616105146i</v>
      </c>
      <c r="V550" s="731" t="str">
        <f t="shared" si="418"/>
        <v>6000</v>
      </c>
      <c r="W550" s="733" t="str">
        <f>IMSUM(COMPLEX(1,0),IMDIV(COMPLEX(0,2*PI()*D550),COMPLEX(2*PI()*'Stability Calculations'!EA_Pole1,0)))</f>
        <v>1+543279.356080541i</v>
      </c>
      <c r="X550" s="734">
        <f t="shared" si="433"/>
        <v>543279.35608146142</v>
      </c>
      <c r="Y550" s="735">
        <f t="shared" si="434"/>
        <v>1.570794486121238</v>
      </c>
      <c r="Z550" s="340" t="str">
        <f>IMSUM(COMPLEX(1,0),IMDIV(COMPLEX(0,2*PI()*D550),COMPLEX(2*PI()*'Stability Calculations'!EA_Zero1,0)))</f>
        <v>1+5379.00352554991i</v>
      </c>
      <c r="AA550" s="734">
        <f t="shared" si="435"/>
        <v>5379.003618503928</v>
      </c>
      <c r="AB550" s="735">
        <f t="shared" si="436"/>
        <v>1.5706104187575196</v>
      </c>
      <c r="AC550" s="733" t="str">
        <f>IMSUM(COMPLEX(1,0),IMDIV(COMPLEX(0,2*PI()*D550),COMPLEX(2*PI()*'Stability Calculations'!EA_Pole2,0)))</f>
        <v>1+54.1851560247299i</v>
      </c>
      <c r="AD550" s="734">
        <f t="shared" si="437"/>
        <v>54.194382858598203</v>
      </c>
      <c r="AE550" s="735">
        <f t="shared" si="438"/>
        <v>1.5523431827125702</v>
      </c>
      <c r="AF550" s="732" t="str">
        <f t="shared" si="439"/>
        <v>0.0200247936734919-1.09598126456275i</v>
      </c>
      <c r="AG550" s="337">
        <f t="shared" si="440"/>
        <v>1.0961641868963932</v>
      </c>
      <c r="AH550" s="730">
        <f t="shared" si="441"/>
        <v>-1.5525272500762888</v>
      </c>
      <c r="AI550" s="731" t="str">
        <f t="shared" si="419"/>
        <v>10000</v>
      </c>
      <c r="AJ550" s="733" t="str">
        <f t="shared" si="442"/>
        <v>1+506485.896165076i</v>
      </c>
      <c r="AK550" s="734">
        <f t="shared" si="443"/>
        <v>506485.8961660632</v>
      </c>
      <c r="AL550" s="735">
        <f t="shared" si="444"/>
        <v>1.570794352406256</v>
      </c>
      <c r="AM550" s="340" t="str">
        <f t="shared" si="445"/>
        <v>1+859.564763382876i</v>
      </c>
      <c r="AN550" s="734">
        <f t="shared" si="446"/>
        <v>859.56534507241486</v>
      </c>
      <c r="AO550" s="735">
        <f t="shared" si="447"/>
        <v>1.5696329478484234</v>
      </c>
      <c r="AP550" s="733" t="str">
        <f t="shared" si="448"/>
        <v>1+41.6903078711132i</v>
      </c>
      <c r="AQ550" s="734">
        <f t="shared" si="449"/>
        <v>41.702299341741373</v>
      </c>
      <c r="AR550" s="735">
        <f t="shared" si="450"/>
        <v>1.5468145349846609</v>
      </c>
      <c r="AS550" s="732" t="str">
        <f t="shared" si="451"/>
        <v>0.000373721869722314-2.73394170654355i</v>
      </c>
      <c r="AT550" s="337">
        <f t="shared" si="452"/>
        <v>2.7339417320868953</v>
      </c>
      <c r="AU550" s="730">
        <f t="shared" si="453"/>
        <v>-1.5706596297078665</v>
      </c>
      <c r="AV550" s="732" t="str">
        <f t="shared" si="454"/>
        <v>-0.0387101873076158+0.0229540276956039i</v>
      </c>
      <c r="AW550" s="337">
        <f t="shared" si="455"/>
        <v>-26.934964872284397</v>
      </c>
      <c r="AX550" s="730">
        <f t="shared" si="456"/>
        <v>149.33327836179126</v>
      </c>
      <c r="AY550" s="360">
        <f t="shared" si="457"/>
        <v>-30.666721638208742</v>
      </c>
      <c r="BB550" s="337">
        <f t="shared" si="458"/>
        <v>-31.264214913892051</v>
      </c>
      <c r="BC550" s="730">
        <f t="shared" si="459"/>
        <v>-89.992167833841449</v>
      </c>
      <c r="BD550" s="351"/>
      <c r="BE550" s="337">
        <f t="shared" si="420"/>
        <v>23.089405392775859</v>
      </c>
      <c r="BF550" s="730">
        <f t="shared" si="421"/>
        <v>-89.820395034155624</v>
      </c>
      <c r="BI550" s="351"/>
      <c r="BJ550" s="351"/>
      <c r="BL550" s="405">
        <f t="shared" si="422"/>
        <v>0</v>
      </c>
      <c r="BM550" s="405">
        <f t="shared" si="460"/>
        <v>0</v>
      </c>
      <c r="BN550" s="405">
        <f t="shared" si="423"/>
        <v>0</v>
      </c>
      <c r="BO550" s="405">
        <f t="shared" si="424"/>
        <v>0</v>
      </c>
    </row>
    <row r="551" spans="4:67" ht="13.5" thickBot="1" x14ac:dyDescent="0.25">
      <c r="D551" s="345">
        <v>86105</v>
      </c>
      <c r="E551" s="340" t="str">
        <f t="shared" si="411"/>
        <v>1.4282760911092i</v>
      </c>
      <c r="F551" s="728" t="str">
        <f t="shared" si="425"/>
        <v>0.005-0.0303013463531269i</v>
      </c>
      <c r="G551" s="337" t="str">
        <f t="shared" si="426"/>
        <v>0.005-0.0473944135266857i</v>
      </c>
      <c r="H551" s="338" t="str">
        <f t="shared" si="427"/>
        <v>0.00680043664526621-0.0469366169857624i</v>
      </c>
      <c r="I551" s="338" t="str">
        <f t="shared" si="428"/>
        <v>0.0168004366452662-0.0469366169857624i</v>
      </c>
      <c r="J551" s="337" t="str">
        <f t="shared" si="429"/>
        <v>0.00438943715283983-0.0185651212082154i</v>
      </c>
      <c r="K551" s="338" t="str">
        <f t="shared" si="412"/>
        <v>0.917621433055555-0.450844725728915i</v>
      </c>
      <c r="L551" s="732"/>
      <c r="M551" s="732" t="str">
        <f t="shared" si="413"/>
        <v>0.0441747867617946-14.1871678128138i</v>
      </c>
      <c r="N551" s="337">
        <f t="shared" si="414"/>
        <v>0</v>
      </c>
      <c r="O551" s="730" t="str">
        <f t="shared" si="415"/>
        <v>-0.587591378301598-5.39708253682473i</v>
      </c>
      <c r="P551" s="731" t="str">
        <f t="shared" si="416"/>
        <v>-0.26319258759595-0.0630937917617183i</v>
      </c>
      <c r="Q551" s="729" t="str">
        <f t="shared" si="417"/>
        <v>-0.257316673812933-0.00912296639347132i</v>
      </c>
      <c r="R551" s="730"/>
      <c r="S551" s="405" t="str">
        <f t="shared" si="430"/>
        <v>35.401326608105-16.8901667397675i</v>
      </c>
      <c r="T551" s="405" t="str">
        <f t="shared" si="431"/>
        <v>12.7431356345324-7.93125626161418i</v>
      </c>
      <c r="U551" s="405" t="str">
        <f t="shared" si="432"/>
        <v>-0.285607450822641-0.652055682200144i</v>
      </c>
      <c r="V551" s="731" t="str">
        <f t="shared" si="418"/>
        <v>6000</v>
      </c>
      <c r="W551" s="733" t="str">
        <f>IMSUM(COMPLEX(1,0),IMDIV(COMPLEX(0,2*PI()*D551),COMPLEX(2*PI()*'Stability Calculations'!EA_Pole1,0)))</f>
        <v>1+546423.807583445i</v>
      </c>
      <c r="X551" s="734">
        <f t="shared" si="433"/>
        <v>546423.80758436001</v>
      </c>
      <c r="Y551" s="735">
        <f t="shared" si="434"/>
        <v>1.5707944967135823</v>
      </c>
      <c r="Z551" s="340" t="str">
        <f>IMSUM(COMPLEX(1,0),IMDIV(COMPLEX(0,2*PI()*D551),COMPLEX(2*PI()*'Stability Calculations'!EA_Zero1,0)))</f>
        <v>1+5410.13670874698i</v>
      </c>
      <c r="AA551" s="734">
        <f t="shared" si="435"/>
        <v>5410.1368011660852</v>
      </c>
      <c r="AB551" s="735">
        <f t="shared" si="436"/>
        <v>1.5706114885842475</v>
      </c>
      <c r="AC551" s="733" t="str">
        <f>IMSUM(COMPLEX(1,0),IMDIV(COMPLEX(0,2*PI()*D551),COMPLEX(2*PI()*'Stability Calculations'!EA_Pole2,0)))</f>
        <v>1+54.4987747797775i</v>
      </c>
      <c r="AD551" s="734">
        <f t="shared" si="437"/>
        <v>54.507948525851816</v>
      </c>
      <c r="AE551" s="735">
        <f t="shared" si="438"/>
        <v>1.552449349313999</v>
      </c>
      <c r="AF551" s="732" t="str">
        <f t="shared" si="439"/>
        <v>0.0197950647170988-1.08967854395278i</v>
      </c>
      <c r="AG551" s="337">
        <f t="shared" si="440"/>
        <v>1.0898583273702158</v>
      </c>
      <c r="AH551" s="730">
        <f t="shared" si="441"/>
        <v>-1.5526323574433336</v>
      </c>
      <c r="AI551" s="731" t="str">
        <f t="shared" si="419"/>
        <v>10000</v>
      </c>
      <c r="AJ551" s="733" t="str">
        <f t="shared" si="442"/>
        <v>1+509417.390468276i</v>
      </c>
      <c r="AK551" s="734">
        <f t="shared" si="443"/>
        <v>509417.3904692576</v>
      </c>
      <c r="AL551" s="735">
        <f t="shared" si="444"/>
        <v>1.5707943637680768</v>
      </c>
      <c r="AM551" s="340" t="str">
        <f t="shared" si="445"/>
        <v>1+864.539846057767i</v>
      </c>
      <c r="AN551" s="734">
        <f t="shared" si="446"/>
        <v>864.54042439991633</v>
      </c>
      <c r="AO551" s="735">
        <f t="shared" si="447"/>
        <v>1.5696396426251766</v>
      </c>
      <c r="AP551" s="733" t="str">
        <f t="shared" si="448"/>
        <v>1+41.9316075814273i</v>
      </c>
      <c r="AQ551" s="734">
        <f t="shared" si="449"/>
        <v>41.943530065587133</v>
      </c>
      <c r="AR551" s="735">
        <f t="shared" si="450"/>
        <v>1.5469524881982257</v>
      </c>
      <c r="AS551" s="732" t="str">
        <f t="shared" si="451"/>
        <v>0.000369433004574322-2.71820896087951i</v>
      </c>
      <c r="AT551" s="337">
        <f t="shared" si="452"/>
        <v>2.718208985984413</v>
      </c>
      <c r="AU551" s="730">
        <f t="shared" si="453"/>
        <v>-1.5706604163451789</v>
      </c>
      <c r="AV551" s="732" t="str">
        <f t="shared" si="454"/>
        <v>-0.0381746939246266+0.0228013153205467i</v>
      </c>
      <c r="AW551" s="337">
        <f t="shared" si="455"/>
        <v>-27.039478086889154</v>
      </c>
      <c r="AX551" s="730">
        <f t="shared" si="456"/>
        <v>149.15060291856165</v>
      </c>
      <c r="AY551" s="360">
        <f t="shared" si="457"/>
        <v>-30.849397081438354</v>
      </c>
      <c r="BB551" s="337">
        <f t="shared" si="458"/>
        <v>-31.314343122999876</v>
      </c>
      <c r="BC551" s="730">
        <f t="shared" si="459"/>
        <v>-89.992212904839462</v>
      </c>
      <c r="BD551" s="351"/>
      <c r="BE551" s="337">
        <f t="shared" si="420"/>
        <v>23.037956221879554</v>
      </c>
      <c r="BF551" s="730">
        <f t="shared" si="421"/>
        <v>-89.821597890702435</v>
      </c>
      <c r="BI551" s="351"/>
      <c r="BJ551" s="351"/>
      <c r="BL551" s="405">
        <f t="shared" si="422"/>
        <v>0</v>
      </c>
      <c r="BM551" s="405">
        <f t="shared" si="460"/>
        <v>0</v>
      </c>
      <c r="BN551" s="405">
        <f t="shared" si="423"/>
        <v>0</v>
      </c>
      <c r="BO551" s="405">
        <f t="shared" si="424"/>
        <v>0</v>
      </c>
    </row>
    <row r="552" spans="4:67" ht="13.5" thickBot="1" x14ac:dyDescent="0.25">
      <c r="D552" s="345">
        <v>86600.5</v>
      </c>
      <c r="E552" s="340" t="str">
        <f t="shared" si="411"/>
        <v>1.43649525147323i</v>
      </c>
      <c r="F552" s="728" t="str">
        <f t="shared" si="425"/>
        <v>0.005-0.0301279718677836i</v>
      </c>
      <c r="G552" s="337" t="str">
        <f t="shared" si="426"/>
        <v>0.005-0.0471232380496102i</v>
      </c>
      <c r="H552" s="338" t="str">
        <f t="shared" si="427"/>
        <v>0.00677968992036098-0.0466688611337021i</v>
      </c>
      <c r="I552" s="338" t="str">
        <f t="shared" si="428"/>
        <v>0.016779689920361-0.0466688611337021i</v>
      </c>
      <c r="J552" s="337" t="str">
        <f t="shared" si="429"/>
        <v>0.00438599418801386-0.0184599445541705i</v>
      </c>
      <c r="K552" s="338" t="str">
        <f t="shared" si="412"/>
        <v>0.916670593330556-0.453439157662005i</v>
      </c>
      <c r="L552" s="732"/>
      <c r="M552" s="732" t="str">
        <f t="shared" si="413"/>
        <v>0.0436234294174474-14.1038862504385i</v>
      </c>
      <c r="N552" s="337">
        <f t="shared" si="414"/>
        <v>0</v>
      </c>
      <c r="O552" s="730" t="str">
        <f t="shared" si="415"/>
        <v>-0.585882335731016-5.36406280481041i</v>
      </c>
      <c r="P552" s="731" t="str">
        <f t="shared" si="416"/>
        <v>-0.260165626073537-0.0626648492111408i</v>
      </c>
      <c r="Q552" s="729" t="str">
        <f t="shared" si="417"/>
        <v>-0.254306802716228-0.00902422116303617i</v>
      </c>
      <c r="R552" s="730"/>
      <c r="S552" s="405" t="str">
        <f t="shared" si="430"/>
        <v>35.344599129502-16.9828668603116i</v>
      </c>
      <c r="T552" s="405" t="str">
        <f t="shared" si="431"/>
        <v>12.7123231046598-7.96656282335718i</v>
      </c>
      <c r="U552" s="405" t="str">
        <f t="shared" si="432"/>
        <v>-0.285604805299138-0.647280467331562i</v>
      </c>
      <c r="V552" s="731" t="str">
        <f t="shared" si="418"/>
        <v>6000</v>
      </c>
      <c r="W552" s="733" t="str">
        <f>IMSUM(COMPLEX(1,0),IMDIV(COMPLEX(0,2*PI()*D552),COMPLEX(2*PI()*'Stability Calculations'!EA_Pole1,0)))</f>
        <v>1+549568.25908635i</v>
      </c>
      <c r="X552" s="734">
        <f t="shared" si="433"/>
        <v>549568.25908725988</v>
      </c>
      <c r="Y552" s="735">
        <f t="shared" si="434"/>
        <v>1.5707945071847145</v>
      </c>
      <c r="Z552" s="340" t="str">
        <f>IMSUM(COMPLEX(1,0),IMDIV(COMPLEX(0,2*PI()*D552),COMPLEX(2*PI()*'Stability Calculations'!EA_Zero1,0)))</f>
        <v>1+5441.26989194406i</v>
      </c>
      <c r="AA552" s="734">
        <f t="shared" si="435"/>
        <v>5441.2699838343733</v>
      </c>
      <c r="AB552" s="735">
        <f t="shared" si="436"/>
        <v>1.5706125461685723</v>
      </c>
      <c r="AC552" s="733" t="str">
        <f>IMSUM(COMPLEX(1,0),IMDIV(COMPLEX(0,2*PI()*D552),COMPLEX(2*PI()*'Stability Calculations'!EA_Pole2,0)))</f>
        <v>1+54.8123935348252i</v>
      </c>
      <c r="AD552" s="734">
        <f t="shared" si="437"/>
        <v>54.821514800455375</v>
      </c>
      <c r="AE552" s="735">
        <f t="shared" si="438"/>
        <v>1.5525543014202174</v>
      </c>
      <c r="AF552" s="732" t="str">
        <f t="shared" si="439"/>
        <v>0.0195692660231917-1.08344787588913i</v>
      </c>
      <c r="AG552" s="337">
        <f t="shared" si="440"/>
        <v>1.0836245917942957</v>
      </c>
      <c r="AH552" s="730">
        <f t="shared" si="441"/>
        <v>-1.5527362624363599</v>
      </c>
      <c r="AI552" s="731" t="str">
        <f t="shared" si="419"/>
        <v>10000</v>
      </c>
      <c r="AJ552" s="733" t="str">
        <f t="shared" si="442"/>
        <v>1+512348.884771476i</v>
      </c>
      <c r="AK552" s="734">
        <f t="shared" si="443"/>
        <v>512348.88477245183</v>
      </c>
      <c r="AL552" s="735">
        <f t="shared" si="444"/>
        <v>1.5707943749998801</v>
      </c>
      <c r="AM552" s="340" t="str">
        <f t="shared" si="445"/>
        <v>1+869.514928732661i</v>
      </c>
      <c r="AN552" s="734">
        <f t="shared" si="446"/>
        <v>869.51550376572607</v>
      </c>
      <c r="AO552" s="735">
        <f t="shared" si="447"/>
        <v>1.5696462607913451</v>
      </c>
      <c r="AP552" s="733" t="str">
        <f t="shared" si="448"/>
        <v>1+42.1729072917415i</v>
      </c>
      <c r="AQ552" s="734">
        <f t="shared" si="449"/>
        <v>42.184761578534776</v>
      </c>
      <c r="AR552" s="735">
        <f t="shared" si="450"/>
        <v>1.5470888636568403</v>
      </c>
      <c r="AS552" s="732" t="str">
        <f t="shared" si="451"/>
        <v>0.000365217547101376-2.70265625055124i</v>
      </c>
      <c r="AT552" s="337">
        <f t="shared" si="452"/>
        <v>2.7026562752276777</v>
      </c>
      <c r="AU552" s="730">
        <f t="shared" si="453"/>
        <v>-1.570661193980724</v>
      </c>
      <c r="AV552" s="732" t="str">
        <f t="shared" si="454"/>
        <v>-0.0376484664670886+0.0226501579043165i</v>
      </c>
      <c r="AW552" s="337">
        <f t="shared" si="455"/>
        <v>-27.143444389494395</v>
      </c>
      <c r="AX552" s="730">
        <f t="shared" si="456"/>
        <v>148.96794507586245</v>
      </c>
      <c r="AY552" s="360">
        <f t="shared" si="457"/>
        <v>-31.032054924137555</v>
      </c>
      <c r="BB552" s="337">
        <f t="shared" si="458"/>
        <v>-31.364183690273432</v>
      </c>
      <c r="BC552" s="730">
        <f t="shared" si="459"/>
        <v>-89.992257460074185</v>
      </c>
      <c r="BD552" s="351"/>
      <c r="BE552" s="337">
        <f t="shared" si="420"/>
        <v>22.986817480787359</v>
      </c>
      <c r="BF552" s="730">
        <f t="shared" si="421"/>
        <v>-89.822784275290218</v>
      </c>
      <c r="BI552" s="351"/>
      <c r="BJ552" s="351"/>
      <c r="BL552" s="405">
        <f t="shared" si="422"/>
        <v>0</v>
      </c>
      <c r="BM552" s="405">
        <f t="shared" si="460"/>
        <v>0</v>
      </c>
      <c r="BN552" s="405">
        <f t="shared" si="423"/>
        <v>0</v>
      </c>
      <c r="BO552" s="405">
        <f t="shared" si="424"/>
        <v>0</v>
      </c>
    </row>
    <row r="553" spans="4:67" ht="13.5" thickBot="1" x14ac:dyDescent="0.25">
      <c r="D553" s="345">
        <v>87096</v>
      </c>
      <c r="E553" s="340" t="str">
        <f t="shared" si="411"/>
        <v>1.44471441183726i</v>
      </c>
      <c r="F553" s="728" t="str">
        <f t="shared" si="425"/>
        <v>0.005-0.0299565700805547i</v>
      </c>
      <c r="G553" s="337" t="str">
        <f t="shared" si="426"/>
        <v>0.005-0.0468551480747137i</v>
      </c>
      <c r="H553" s="338" t="str">
        <f t="shared" si="427"/>
        <v>0.00675929558588888-0.0464041383590811i</v>
      </c>
      <c r="I553" s="338" t="str">
        <f t="shared" si="428"/>
        <v>0.0167592955858889-0.0464041383590811i</v>
      </c>
      <c r="J553" s="337" t="str">
        <f t="shared" si="429"/>
        <v>0.00438260429971658-0.0183559680873533i</v>
      </c>
      <c r="K553" s="338" t="str">
        <f t="shared" si="412"/>
        <v>0.9157142976-0.456033589595094i</v>
      </c>
      <c r="L553" s="732"/>
      <c r="M553" s="732" t="str">
        <f t="shared" si="413"/>
        <v>0.0430824905373099-14.0215885243488i</v>
      </c>
      <c r="N553" s="337">
        <f t="shared" si="414"/>
        <v>0</v>
      </c>
      <c r="O553" s="730" t="str">
        <f t="shared" si="415"/>
        <v>-0.584195318405629-5.33142785764509i</v>
      </c>
      <c r="P553" s="731" t="str">
        <f t="shared" si="416"/>
        <v>-0.257191017978674-0.0622418949770942i</v>
      </c>
      <c r="Q553" s="729" t="str">
        <f t="shared" si="417"/>
        <v>-0.251349064794618-0.00892761640064305i</v>
      </c>
      <c r="R553" s="730"/>
      <c r="S553" s="405" t="str">
        <f t="shared" si="430"/>
        <v>35.2875466156362-17.0753450915156i</v>
      </c>
      <c r="T553" s="405" t="str">
        <f t="shared" si="431"/>
        <v>12.6813689551301-8.00174208463337i</v>
      </c>
      <c r="U553" s="405" t="str">
        <f t="shared" si="432"/>
        <v>-0.285596825607571-0.642554139528496i</v>
      </c>
      <c r="V553" s="731" t="str">
        <f t="shared" si="418"/>
        <v>6000</v>
      </c>
      <c r="W553" s="733" t="str">
        <f>IMSUM(COMPLEX(1,0),IMDIV(COMPLEX(0,2*PI()*D553),COMPLEX(2*PI()*'Stability Calculations'!EA_Pole1,0)))</f>
        <v>1+552712.710589254i</v>
      </c>
      <c r="X553" s="734">
        <f t="shared" si="433"/>
        <v>552712.71059015871</v>
      </c>
      <c r="Y553" s="735">
        <f t="shared" si="434"/>
        <v>1.5707945175367037</v>
      </c>
      <c r="Z553" s="340" t="str">
        <f>IMSUM(COMPLEX(1,0),IMDIV(COMPLEX(0,2*PI()*D553),COMPLEX(2*PI()*'Stability Calculations'!EA_Zero1,0)))</f>
        <v>1+5472.40307514113i</v>
      </c>
      <c r="AA553" s="734">
        <f t="shared" si="435"/>
        <v>5472.4031665086677</v>
      </c>
      <c r="AB553" s="735">
        <f t="shared" si="436"/>
        <v>1.5706135917194393</v>
      </c>
      <c r="AC553" s="733" t="str">
        <f>IMSUM(COMPLEX(1,0),IMDIV(COMPLEX(0,2*PI()*D553),COMPLEX(2*PI()*'Stability Calculations'!EA_Pole2,0)))</f>
        <v>1+55.1260122898729i</v>
      </c>
      <c r="AD553" s="734">
        <f t="shared" si="437"/>
        <v>55.135081672046319</v>
      </c>
      <c r="AE553" s="735">
        <f t="shared" si="438"/>
        <v>1.5526580597502988</v>
      </c>
      <c r="AF553" s="732" t="str">
        <f t="shared" si="439"/>
        <v>0.0193473084568419-1.07728803224097i</v>
      </c>
      <c r="AG553" s="337">
        <f t="shared" si="440"/>
        <v>1.0774617500190644</v>
      </c>
      <c r="AH553" s="730">
        <f t="shared" si="441"/>
        <v>-1.5528389855675635</v>
      </c>
      <c r="AI553" s="731" t="str">
        <f t="shared" si="419"/>
        <v>10000</v>
      </c>
      <c r="AJ553" s="733" t="str">
        <f t="shared" si="442"/>
        <v>1+515280.379074676i</v>
      </c>
      <c r="AK553" s="734">
        <f t="shared" si="443"/>
        <v>515280.3790756464</v>
      </c>
      <c r="AL553" s="735">
        <f t="shared" si="444"/>
        <v>1.5707943861038853</v>
      </c>
      <c r="AM553" s="340" t="str">
        <f t="shared" si="445"/>
        <v>1+874.490011407552i</v>
      </c>
      <c r="AN553" s="734">
        <f t="shared" si="446"/>
        <v>874.49058316918433</v>
      </c>
      <c r="AO553" s="735">
        <f t="shared" si="447"/>
        <v>1.5696528036544679</v>
      </c>
      <c r="AP553" s="733" t="str">
        <f t="shared" si="448"/>
        <v>1+42.4142070020556i</v>
      </c>
      <c r="AQ553" s="734">
        <f t="shared" si="449"/>
        <v>42.425993867123751</v>
      </c>
      <c r="AR553" s="735">
        <f t="shared" si="450"/>
        <v>1.5472236882685189</v>
      </c>
      <c r="AS553" s="732" t="str">
        <f t="shared" si="451"/>
        <v>0.000361073831562836-2.68728050282854i</v>
      </c>
      <c r="AT553" s="337">
        <f t="shared" si="452"/>
        <v>2.687280527086207</v>
      </c>
      <c r="AU553" s="730">
        <f t="shared" si="453"/>
        <v>-1.570661962768138</v>
      </c>
      <c r="AV553" s="732" t="str">
        <f t="shared" si="454"/>
        <v>-0.037131295340105+0.0225005303570986i</v>
      </c>
      <c r="AW553" s="337">
        <f t="shared" si="455"/>
        <v>-27.246870419157901</v>
      </c>
      <c r="AX553" s="730">
        <f t="shared" si="456"/>
        <v>148.78530462493566</v>
      </c>
      <c r="AY553" s="360">
        <f t="shared" si="457"/>
        <v>-31.214695375064338</v>
      </c>
      <c r="BB553" s="337">
        <f t="shared" si="458"/>
        <v>-31.413739897936455</v>
      </c>
      <c r="BC553" s="730">
        <f t="shared" si="459"/>
        <v>-89.992301508348348</v>
      </c>
      <c r="BD553" s="351"/>
      <c r="BE553" s="337">
        <f t="shared" si="420"/>
        <v>22.935985364834075</v>
      </c>
      <c r="BF553" s="730">
        <f t="shared" si="421"/>
        <v>-89.823954532223269</v>
      </c>
      <c r="BI553" s="351"/>
      <c r="BJ553" s="351"/>
      <c r="BL553" s="405">
        <f t="shared" si="422"/>
        <v>0</v>
      </c>
      <c r="BM553" s="405">
        <f t="shared" si="460"/>
        <v>0</v>
      </c>
      <c r="BN553" s="405">
        <f t="shared" si="423"/>
        <v>0</v>
      </c>
      <c r="BO553" s="405">
        <f t="shared" si="424"/>
        <v>0</v>
      </c>
    </row>
    <row r="554" spans="4:67" ht="13.5" thickBot="1" x14ac:dyDescent="0.25">
      <c r="D554" s="345">
        <v>87603.25</v>
      </c>
      <c r="E554" s="340" t="str">
        <f t="shared" si="411"/>
        <v>1.45312847660952i</v>
      </c>
      <c r="F554" s="728" t="str">
        <f t="shared" si="425"/>
        <v>0.005-0.0297831122445342i</v>
      </c>
      <c r="G554" s="337" t="str">
        <f t="shared" si="426"/>
        <v>0.005-0.0465838422286304i</v>
      </c>
      <c r="H554" s="338" t="str">
        <f t="shared" si="427"/>
        <v>0.00673877437628618-0.0461362265013433i</v>
      </c>
      <c r="I554" s="338" t="str">
        <f t="shared" si="428"/>
        <v>0.0167387743762862-0.0461362265013433i</v>
      </c>
      <c r="J554" s="337" t="str">
        <f t="shared" si="429"/>
        <v>0.0043791877349808-0.0182507479327159i</v>
      </c>
      <c r="K554" s="338" t="str">
        <f t="shared" si="412"/>
        <v>0.914729673215972-0.458689544384317i</v>
      </c>
      <c r="L554" s="732"/>
      <c r="M554" s="732" t="str">
        <f t="shared" si="413"/>
        <v>0.04253923980679-13.9383400501491i</v>
      </c>
      <c r="N554" s="337">
        <f t="shared" si="414"/>
        <v>0</v>
      </c>
      <c r="O554" s="730" t="str">
        <f t="shared" si="415"/>
        <v>-0.582490564595668-5.29841046697506i</v>
      </c>
      <c r="P554" s="731" t="str">
        <f t="shared" si="416"/>
        <v>-0.254198843538532-0.0618149807365676i</v>
      </c>
      <c r="Q554" s="729" t="str">
        <f t="shared" si="417"/>
        <v>-0.248373937892575-0.00883087606681702i</v>
      </c>
      <c r="R554" s="730"/>
      <c r="S554" s="405" t="str">
        <f t="shared" si="430"/>
        <v>35.2288049409779-17.1697853791822i</v>
      </c>
      <c r="T554" s="405" t="str">
        <f t="shared" si="431"/>
        <v>12.6495347268146-8.03762271812744i</v>
      </c>
      <c r="U554" s="405" t="str">
        <f t="shared" si="432"/>
        <v>-0.285583221766869-0.637765525312097i</v>
      </c>
      <c r="V554" s="731" t="str">
        <f t="shared" si="418"/>
        <v>6000</v>
      </c>
      <c r="W554" s="733" t="str">
        <f>IMSUM(COMPLEX(1,0),IMDIV(COMPLEX(0,2*PI()*D554),COMPLEX(2*PI()*'Stability Calculations'!EA_Pole1,0)))</f>
        <v>1+555931.727793792i</v>
      </c>
      <c r="X554" s="734">
        <f t="shared" si="433"/>
        <v>555931.72779469145</v>
      </c>
      <c r="Y554" s="735">
        <f t="shared" si="434"/>
        <v>1.5707945280128699</v>
      </c>
      <c r="Z554" s="340" t="str">
        <f>IMSUM(COMPLEX(1,0),IMDIV(COMPLEX(0,2*PI()*D554),COMPLEX(2*PI()*'Stability Calculations'!EA_Zero1,0)))</f>
        <v>1+5504.2745326118i</v>
      </c>
      <c r="AA554" s="734">
        <f t="shared" si="435"/>
        <v>5504.2746234502911</v>
      </c>
      <c r="AB554" s="735">
        <f t="shared" si="436"/>
        <v>1.5706146498122038</v>
      </c>
      <c r="AC554" s="733" t="str">
        <f>IMSUM(COMPLEX(1,0),IMDIV(COMPLEX(0,2*PI()*D554),COMPLEX(2*PI()*'Stability Calculations'!EA_Pole2,0)))</f>
        <v>1+55.4470680184257i</v>
      </c>
      <c r="AD554" s="734">
        <f t="shared" si="437"/>
        <v>55.45608489462564</v>
      </c>
      <c r="AE554" s="735">
        <f t="shared" si="438"/>
        <v>1.5527630631102503</v>
      </c>
      <c r="AF554" s="732" t="str">
        <f t="shared" si="439"/>
        <v>0.0191239759320434-1.0710542281084i</v>
      </c>
      <c r="AG554" s="337">
        <f t="shared" si="440"/>
        <v>1.0712249465001875</v>
      </c>
      <c r="AH554" s="730">
        <f t="shared" si="441"/>
        <v>-1.5529429413109164</v>
      </c>
      <c r="AI554" s="731" t="str">
        <f t="shared" si="419"/>
        <v>10000</v>
      </c>
      <c r="AJ554" s="733" t="str">
        <f t="shared" si="442"/>
        <v>1+518281.389135823i</v>
      </c>
      <c r="AK554" s="734">
        <f t="shared" si="443"/>
        <v>518281.38913678774</v>
      </c>
      <c r="AL554" s="735">
        <f t="shared" si="444"/>
        <v>1.5707943973410885</v>
      </c>
      <c r="AM554" s="340" t="str">
        <f t="shared" si="445"/>
        <v>1+879.583070311365i</v>
      </c>
      <c r="AN554" s="734">
        <f t="shared" si="446"/>
        <v>879.58363876232238</v>
      </c>
      <c r="AO554" s="735">
        <f t="shared" si="447"/>
        <v>1.5696594250025537</v>
      </c>
      <c r="AP554" s="733" t="str">
        <f t="shared" si="448"/>
        <v>1+42.6612287539362i</v>
      </c>
      <c r="AQ554" s="734">
        <f t="shared" si="449"/>
        <v>42.672947388195162</v>
      </c>
      <c r="AR554" s="735">
        <f t="shared" si="450"/>
        <v>1.5473601310403875</v>
      </c>
      <c r="AS554" s="732" t="str">
        <f t="shared" si="451"/>
        <v>0.000356904478564491-2.67172031543517i</v>
      </c>
      <c r="AT554" s="337">
        <f t="shared" si="452"/>
        <v>2.671720339273894</v>
      </c>
      <c r="AU554" s="730">
        <f t="shared" si="453"/>
        <v>-1.5706627407775355</v>
      </c>
      <c r="AV554" s="732" t="str">
        <f t="shared" si="454"/>
        <v>-0.0366110287149612+0.0223489137116943i</v>
      </c>
      <c r="AW554" s="337">
        <f t="shared" si="455"/>
        <v>-27.352196205337407</v>
      </c>
      <c r="AX554" s="730">
        <f t="shared" si="456"/>
        <v>148.59835095597586</v>
      </c>
      <c r="AY554" s="360">
        <f t="shared" si="457"/>
        <v>-31.40164904402414</v>
      </c>
      <c r="BB554" s="337">
        <f t="shared" si="458"/>
        <v>-31.464180066643564</v>
      </c>
      <c r="BC554" s="730">
        <f t="shared" si="459"/>
        <v>-89.992346085003248</v>
      </c>
      <c r="BD554" s="351"/>
      <c r="BE554" s="337">
        <f t="shared" si="420"/>
        <v>22.88426156567569</v>
      </c>
      <c r="BF554" s="730">
        <f t="shared" si="421"/>
        <v>-89.825136183471884</v>
      </c>
      <c r="BI554" s="351"/>
      <c r="BJ554" s="351"/>
      <c r="BL554" s="405">
        <f t="shared" si="422"/>
        <v>0</v>
      </c>
      <c r="BM554" s="405">
        <f t="shared" si="460"/>
        <v>0</v>
      </c>
      <c r="BN554" s="405">
        <f t="shared" si="423"/>
        <v>0</v>
      </c>
      <c r="BO554" s="405">
        <f t="shared" si="424"/>
        <v>0</v>
      </c>
    </row>
    <row r="555" spans="4:67" ht="13.5" thickBot="1" x14ac:dyDescent="0.25">
      <c r="D555" s="345">
        <v>88110.5</v>
      </c>
      <c r="E555" s="340" t="str">
        <f t="shared" si="411"/>
        <v>1.46154254138177i</v>
      </c>
      <c r="F555" s="728" t="str">
        <f t="shared" si="425"/>
        <v>0.005-0.0296116515935784i</v>
      </c>
      <c r="G555" s="337" t="str">
        <f t="shared" si="426"/>
        <v>0.005-0.0463156601848278i</v>
      </c>
      <c r="H555" s="338" t="str">
        <f t="shared" si="427"/>
        <v>0.00671860588755935-0.0458713859953641i</v>
      </c>
      <c r="I555" s="338" t="str">
        <f t="shared" si="428"/>
        <v>0.0167186058875593-0.0458713859953641i</v>
      </c>
      <c r="J555" s="337" t="str">
        <f t="shared" si="429"/>
        <v>0.00437582425097042-0.0181467428559365i</v>
      </c>
      <c r="K555" s="338" t="str">
        <f t="shared" si="412"/>
        <v>0.913739330997222-0.461345499173539i</v>
      </c>
      <c r="L555" s="732"/>
      <c r="M555" s="732" t="str">
        <f t="shared" si="413"/>
        <v>0.0420063553002303-13.8560859107377i</v>
      </c>
      <c r="N555" s="337">
        <f t="shared" si="414"/>
        <v>0</v>
      </c>
      <c r="O555" s="730" t="str">
        <f t="shared" si="415"/>
        <v>-0.580807799120947-5.26578200445462i</v>
      </c>
      <c r="P555" s="731" t="str">
        <f t="shared" si="416"/>
        <v>-0.251259015583705-0.0613940752796841i</v>
      </c>
      <c r="Q555" s="729" t="str">
        <f t="shared" si="417"/>
        <v>-0.245450937592496-0.00873625523513787i</v>
      </c>
      <c r="R555" s="730"/>
      <c r="S555" s="405" t="str">
        <f t="shared" si="430"/>
        <v>35.1697235308456-17.26399092937i</v>
      </c>
      <c r="T555" s="405" t="str">
        <f t="shared" si="431"/>
        <v>12.6175534027655-8.07336795055188i</v>
      </c>
      <c r="U555" s="405" t="str">
        <f t="shared" si="432"/>
        <v>-0.285564208963955-0.633026439900391i</v>
      </c>
      <c r="V555" s="731" t="str">
        <f t="shared" si="418"/>
        <v>6000</v>
      </c>
      <c r="W555" s="733" t="str">
        <f>IMSUM(COMPLEX(1,0),IMDIV(COMPLEX(0,2*PI()*D555),COMPLEX(2*PI()*'Stability Calculations'!EA_Pole1,0)))</f>
        <v>1+559150.74499833i</v>
      </c>
      <c r="X555" s="734">
        <f t="shared" si="433"/>
        <v>559150.7449992242</v>
      </c>
      <c r="Y555" s="735">
        <f t="shared" si="434"/>
        <v>1.5707945383684143</v>
      </c>
      <c r="Z555" s="340" t="str">
        <f>IMSUM(COMPLEX(1,0),IMDIV(COMPLEX(0,2*PI()*D555),COMPLEX(2*PI()*'Stability Calculations'!EA_Zero1,0)))</f>
        <v>1+5536.14599008247i</v>
      </c>
      <c r="AA555" s="734">
        <f t="shared" si="435"/>
        <v>5536.1460803980062</v>
      </c>
      <c r="AB555" s="735">
        <f t="shared" si="436"/>
        <v>1.5706156957221402</v>
      </c>
      <c r="AC555" s="733" t="str">
        <f>IMSUM(COMPLEX(1,0),IMDIV(COMPLEX(0,2*PI()*D555),COMPLEX(2*PI()*'Stability Calculations'!EA_Pole2,0)))</f>
        <v>1+55.7681237469786i</v>
      </c>
      <c r="AD555" s="734">
        <f t="shared" si="437"/>
        <v>55.777088721609687</v>
      </c>
      <c r="AE555" s="735">
        <f t="shared" si="438"/>
        <v>1.5528668578575058</v>
      </c>
      <c r="AF555" s="732" t="str">
        <f t="shared" si="439"/>
        <v>0.0189044878003014-1.06489213075736i</v>
      </c>
      <c r="AG555" s="337">
        <f t="shared" si="440"/>
        <v>1.0650599184120777</v>
      </c>
      <c r="AH555" s="730">
        <f t="shared" si="441"/>
        <v>-1.5530457005037797</v>
      </c>
      <c r="AI555" s="731" t="str">
        <f t="shared" si="419"/>
        <v>10000</v>
      </c>
      <c r="AJ555" s="733" t="str">
        <f t="shared" si="442"/>
        <v>1+521282.399196969i</v>
      </c>
      <c r="AK555" s="734">
        <f t="shared" si="443"/>
        <v>521282.39919792808</v>
      </c>
      <c r="AL555" s="735">
        <f t="shared" si="444"/>
        <v>1.5707944084489069</v>
      </c>
      <c r="AM555" s="340" t="str">
        <f t="shared" si="445"/>
        <v>1+884.676129215179i</v>
      </c>
      <c r="AN555" s="734">
        <f t="shared" si="446"/>
        <v>884.67669439358019</v>
      </c>
      <c r="AO555" s="735">
        <f t="shared" si="447"/>
        <v>1.5696659701128586</v>
      </c>
      <c r="AP555" s="733" t="str">
        <f t="shared" si="448"/>
        <v>1+42.9082505058168i</v>
      </c>
      <c r="AQ555" s="734">
        <f t="shared" si="449"/>
        <v>42.919901694551072</v>
      </c>
      <c r="AR555" s="735">
        <f t="shared" si="450"/>
        <v>1.54749500367461</v>
      </c>
      <c r="AS555" s="732" t="str">
        <f t="shared" si="451"/>
        <v>0.000352806926678628-2.65633928727108i</v>
      </c>
      <c r="AT555" s="337">
        <f t="shared" si="452"/>
        <v>2.6563393107004525</v>
      </c>
      <c r="AU555" s="730">
        <f t="shared" si="453"/>
        <v>-1.5706635098289712</v>
      </c>
      <c r="AV555" s="732" t="str">
        <f t="shared" si="454"/>
        <v>-0.0360998272846355+0.0221988488405154i</v>
      </c>
      <c r="AW555" s="337">
        <f t="shared" si="455"/>
        <v>-27.456969515314942</v>
      </c>
      <c r="AX555" s="730">
        <f t="shared" si="456"/>
        <v>148.41141511469857</v>
      </c>
      <c r="AY555" s="360">
        <f t="shared" si="457"/>
        <v>-31.588584885301429</v>
      </c>
      <c r="BB555" s="337">
        <f t="shared" si="458"/>
        <v>-31.514329012640619</v>
      </c>
      <c r="BC555" s="730">
        <f t="shared" si="459"/>
        <v>-89.992390148404738</v>
      </c>
      <c r="BD555" s="351"/>
      <c r="BE555" s="337">
        <f t="shared" si="420"/>
        <v>22.832851262576959</v>
      </c>
      <c r="BF555" s="730">
        <f t="shared" si="421"/>
        <v>-89.826301632826272</v>
      </c>
      <c r="BI555" s="351"/>
      <c r="BJ555" s="351"/>
      <c r="BL555" s="405">
        <f t="shared" si="422"/>
        <v>0</v>
      </c>
      <c r="BM555" s="405">
        <f t="shared" si="460"/>
        <v>0</v>
      </c>
      <c r="BN555" s="405">
        <f t="shared" si="423"/>
        <v>0</v>
      </c>
      <c r="BO555" s="405">
        <f t="shared" si="424"/>
        <v>0</v>
      </c>
    </row>
    <row r="556" spans="4:67" ht="13.5" thickBot="1" x14ac:dyDescent="0.25">
      <c r="D556" s="345">
        <v>88617.75</v>
      </c>
      <c r="E556" s="340" t="str">
        <f t="shared" si="411"/>
        <v>1.46995660615403i</v>
      </c>
      <c r="F556" s="728" t="str">
        <f t="shared" si="425"/>
        <v>0.005-0.0294421538318902i</v>
      </c>
      <c r="G556" s="337" t="str">
        <f t="shared" si="426"/>
        <v>0.005-0.0460505483011617i</v>
      </c>
      <c r="H556" s="338" t="str">
        <f t="shared" si="427"/>
        <v>0.00669878208609498-0.0456095644025092i</v>
      </c>
      <c r="I556" s="338" t="str">
        <f t="shared" si="428"/>
        <v>0.016698782086095-0.0456095644025092i</v>
      </c>
      <c r="J556" s="337" t="str">
        <f t="shared" si="429"/>
        <v>0.00437251261599551-0.0180439319871053i</v>
      </c>
      <c r="K556" s="338" t="str">
        <f t="shared" si="412"/>
        <v>0.91274327094375-0.464001453962761i</v>
      </c>
      <c r="L556" s="732"/>
      <c r="M556" s="732" t="str">
        <f t="shared" si="413"/>
        <v>0.0414835710972082-13.7748082019034i</v>
      </c>
      <c r="N556" s="337">
        <f t="shared" si="414"/>
        <v>0</v>
      </c>
      <c r="O556" s="730" t="str">
        <f t="shared" si="415"/>
        <v>-0.579146492449107-5.23353548638847i</v>
      </c>
      <c r="P556" s="731" t="str">
        <f t="shared" si="416"/>
        <v>-0.248370314892587-0.0609790493812014i</v>
      </c>
      <c r="Q556" s="729" t="str">
        <f t="shared" si="417"/>
        <v>-0.242578849968095-0.00864369451731663i</v>
      </c>
      <c r="R556" s="730"/>
      <c r="S556" s="405" t="str">
        <f t="shared" si="430"/>
        <v>35.1103028531127-17.3579606033718i</v>
      </c>
      <c r="T556" s="405" t="str">
        <f t="shared" si="431"/>
        <v>12.5854256599473-8.10897678560809i</v>
      </c>
      <c r="U556" s="405" t="str">
        <f t="shared" si="432"/>
        <v>-0.285539874984909-0.62833605059835i</v>
      </c>
      <c r="V556" s="731" t="str">
        <f t="shared" si="418"/>
        <v>6000</v>
      </c>
      <c r="W556" s="733" t="str">
        <f>IMSUM(COMPLEX(1,0),IMDIV(COMPLEX(0,2*PI()*D556),COMPLEX(2*PI()*'Stability Calculations'!EA_Pole1,0)))</f>
        <v>1+562369.762202867i</v>
      </c>
      <c r="X556" s="734">
        <f t="shared" si="433"/>
        <v>562369.76220375602</v>
      </c>
      <c r="Y556" s="735">
        <f t="shared" si="434"/>
        <v>1.5707945486054078</v>
      </c>
      <c r="Z556" s="340" t="str">
        <f>IMSUM(COMPLEX(1,0),IMDIV(COMPLEX(0,2*PI()*D556),COMPLEX(2*PI()*'Stability Calculations'!EA_Zero1,0)))</f>
        <v>1+5568.01744755314i</v>
      </c>
      <c r="AA556" s="734">
        <f t="shared" si="435"/>
        <v>5568.0175373517086</v>
      </c>
      <c r="AB556" s="735">
        <f t="shared" si="436"/>
        <v>1.570616729658453</v>
      </c>
      <c r="AC556" s="733" t="str">
        <f>IMSUM(COMPLEX(1,0),IMDIV(COMPLEX(0,2*PI()*D556),COMPLEX(2*PI()*'Stability Calculations'!EA_Pole2,0)))</f>
        <v>1+56.0891794755314i</v>
      </c>
      <c r="AD556" s="734">
        <f t="shared" si="437"/>
        <v>56.098093142622709</v>
      </c>
      <c r="AE556" s="735">
        <f t="shared" si="438"/>
        <v>1.5529694647375749</v>
      </c>
      <c r="AF556" s="732" t="str">
        <f t="shared" si="439"/>
        <v>0.0186887563392051-1.05880051039811i</v>
      </c>
      <c r="AG556" s="337">
        <f t="shared" si="440"/>
        <v>1.0589654340122743</v>
      </c>
      <c r="AH556" s="730">
        <f t="shared" si="441"/>
        <v>-1.5531472836845295</v>
      </c>
      <c r="AI556" s="731" t="str">
        <f t="shared" si="419"/>
        <v>10000</v>
      </c>
      <c r="AJ556" s="733" t="str">
        <f t="shared" si="442"/>
        <v>1+524283.409258116i</v>
      </c>
      <c r="AK556" s="734">
        <f t="shared" si="443"/>
        <v>524283.40925906965</v>
      </c>
      <c r="AL556" s="735">
        <f t="shared" si="444"/>
        <v>1.5707944194295627</v>
      </c>
      <c r="AM556" s="340" t="str">
        <f t="shared" si="445"/>
        <v>1+889.769188118992i</v>
      </c>
      <c r="AN556" s="734">
        <f t="shared" si="446"/>
        <v>889.76975006230134</v>
      </c>
      <c r="AO556" s="735">
        <f t="shared" si="447"/>
        <v>1.5696724402945406</v>
      </c>
      <c r="AP556" s="733" t="str">
        <f t="shared" si="448"/>
        <v>1+43.1552722576974i</v>
      </c>
      <c r="AQ556" s="734">
        <f t="shared" si="449"/>
        <v>43.166856772713793</v>
      </c>
      <c r="AR556" s="735">
        <f t="shared" si="450"/>
        <v>1.5476283331142349</v>
      </c>
      <c r="AS556" s="732" t="str">
        <f t="shared" si="451"/>
        <v>0.000348779536654669-2.64113434180206i</v>
      </c>
      <c r="AT556" s="337">
        <f t="shared" si="452"/>
        <v>2.6411343648314003</v>
      </c>
      <c r="AU556" s="730">
        <f t="shared" si="453"/>
        <v>-1.5706642700762712</v>
      </c>
      <c r="AV556" s="732" t="str">
        <f t="shared" si="454"/>
        <v>-0.0355974848005136+0.0220503105200799i</v>
      </c>
      <c r="AW556" s="337">
        <f t="shared" si="455"/>
        <v>-27.56119711578032</v>
      </c>
      <c r="AX556" s="730">
        <f t="shared" si="456"/>
        <v>148.22449692125423</v>
      </c>
      <c r="AY556" s="360">
        <f t="shared" si="457"/>
        <v>-31.775503078745771</v>
      </c>
      <c r="BB556" s="337">
        <f t="shared" si="458"/>
        <v>-31.564190079455095</v>
      </c>
      <c r="BC556" s="730">
        <f t="shared" si="459"/>
        <v>-89.992433707366416</v>
      </c>
      <c r="BD556" s="351"/>
      <c r="BE556" s="337">
        <f t="shared" si="420"/>
        <v>22.781750598422398</v>
      </c>
      <c r="BF556" s="730">
        <f t="shared" si="421"/>
        <v>-89.827451219452627</v>
      </c>
      <c r="BI556" s="351"/>
      <c r="BJ556" s="351"/>
      <c r="BL556" s="405">
        <f t="shared" si="422"/>
        <v>0</v>
      </c>
      <c r="BM556" s="405">
        <f t="shared" si="460"/>
        <v>0</v>
      </c>
      <c r="BN556" s="405">
        <f t="shared" si="423"/>
        <v>0</v>
      </c>
      <c r="BO556" s="405">
        <f t="shared" si="424"/>
        <v>0</v>
      </c>
    </row>
    <row r="557" spans="4:67" ht="13.5" thickBot="1" x14ac:dyDescent="0.25">
      <c r="D557" s="345">
        <v>89125</v>
      </c>
      <c r="E557" s="340" t="str">
        <f t="shared" si="411"/>
        <v>1.47837067092629i</v>
      </c>
      <c r="F557" s="728" t="str">
        <f t="shared" si="425"/>
        <v>0.005-0.0292745854444431i</v>
      </c>
      <c r="G557" s="337" t="str">
        <f t="shared" si="426"/>
        <v>0.005-0.0457884541566931i</v>
      </c>
      <c r="H557" s="338" t="str">
        <f t="shared" si="427"/>
        <v>0.00667929516559586-0.0453507104694305i</v>
      </c>
      <c r="I557" s="338" t="str">
        <f t="shared" si="428"/>
        <v>0.0166792951655959-0.0453507104694305i</v>
      </c>
      <c r="J557" s="337" t="str">
        <f t="shared" si="429"/>
        <v>0.00436925163348297-0.0179422949308758i</v>
      </c>
      <c r="K557" s="338" t="str">
        <f t="shared" si="412"/>
        <v>0.911741493055556-0.466657408751984i</v>
      </c>
      <c r="L557" s="732"/>
      <c r="M557" s="732" t="str">
        <f t="shared" si="413"/>
        <v>0.0409706298418844-13.6944894509989i</v>
      </c>
      <c r="N557" s="337">
        <f t="shared" si="414"/>
        <v>0</v>
      </c>
      <c r="O557" s="730" t="str">
        <f t="shared" si="415"/>
        <v>-0.577506130348185-5.2016640977923i</v>
      </c>
      <c r="P557" s="731" t="str">
        <f t="shared" si="416"/>
        <v>-0.245531557666229-0.0605697775276192i</v>
      </c>
      <c r="Q557" s="729" t="str">
        <f t="shared" si="417"/>
        <v>-0.239756496362747-0.00855313654969579i</v>
      </c>
      <c r="R557" s="730"/>
      <c r="S557" s="405" t="str">
        <f t="shared" si="430"/>
        <v>35.0505433850462-17.4516932456487i</v>
      </c>
      <c r="T557" s="405" t="str">
        <f t="shared" si="431"/>
        <v>12.553152181469-8.14444823437465i</v>
      </c>
      <c r="U557" s="405" t="str">
        <f t="shared" si="432"/>
        <v>-0.285510305131715-0.623693543778806i</v>
      </c>
      <c r="V557" s="731" t="str">
        <f t="shared" si="418"/>
        <v>6000</v>
      </c>
      <c r="W557" s="733" t="str">
        <f>IMSUM(COMPLEX(1,0),IMDIV(COMPLEX(0,2*PI()*D557),COMPLEX(2*PI()*'Stability Calculations'!EA_Pole1,0)))</f>
        <v>1+565588.779407405i</v>
      </c>
      <c r="X557" s="734">
        <f t="shared" si="433"/>
        <v>565588.77940828912</v>
      </c>
      <c r="Y557" s="735">
        <f t="shared" si="434"/>
        <v>1.5707945587258747</v>
      </c>
      <c r="Z557" s="340" t="str">
        <f>IMSUM(COMPLEX(1,0),IMDIV(COMPLEX(0,2*PI()*D557),COMPLEX(2*PI()*'Stability Calculations'!EA_Zero1,0)))</f>
        <v>1+5599.88890502381i</v>
      </c>
      <c r="AA557" s="734">
        <f t="shared" si="435"/>
        <v>5599.8889943112945</v>
      </c>
      <c r="AB557" s="735">
        <f t="shared" si="436"/>
        <v>1.5706177518255837</v>
      </c>
      <c r="AC557" s="733" t="str">
        <f>IMSUM(COMPLEX(1,0),IMDIV(COMPLEX(0,2*PI()*D557),COMPLEX(2*PI()*'Stability Calculations'!EA_Pole2,0)))</f>
        <v>1+56.4102352040843i</v>
      </c>
      <c r="AD557" s="734">
        <f t="shared" si="437"/>
        <v>56.419098147525467</v>
      </c>
      <c r="AE557" s="735">
        <f t="shared" si="438"/>
        <v>1.553070904023929</v>
      </c>
      <c r="AF557" s="732" t="str">
        <f t="shared" si="439"/>
        <v>0.0184766963139778-1.05277816519397i</v>
      </c>
      <c r="AG557" s="337">
        <f t="shared" si="440"/>
        <v>1.0529402895776478</v>
      </c>
      <c r="AH557" s="730">
        <f t="shared" si="441"/>
        <v>-1.5532477109242202</v>
      </c>
      <c r="AI557" s="731" t="str">
        <f t="shared" si="419"/>
        <v>10000</v>
      </c>
      <c r="AJ557" s="733" t="str">
        <f t="shared" si="442"/>
        <v>1+527284.419319263i</v>
      </c>
      <c r="AK557" s="734">
        <f t="shared" si="443"/>
        <v>527284.41932021116</v>
      </c>
      <c r="AL557" s="735">
        <f t="shared" si="444"/>
        <v>1.5707944302852268</v>
      </c>
      <c r="AM557" s="340" t="str">
        <f t="shared" si="445"/>
        <v>1+894.862247022805i</v>
      </c>
      <c r="AN557" s="734">
        <f t="shared" si="446"/>
        <v>894.86280576784725</v>
      </c>
      <c r="AO557" s="735">
        <f t="shared" si="447"/>
        <v>1.5696788368269539</v>
      </c>
      <c r="AP557" s="733" t="str">
        <f t="shared" si="448"/>
        <v>1+43.402294009578i</v>
      </c>
      <c r="AQ557" s="734">
        <f t="shared" si="449"/>
        <v>43.41381260951232</v>
      </c>
      <c r="AR557" s="735">
        <f t="shared" si="450"/>
        <v>1.5477601456894812</v>
      </c>
      <c r="AS557" s="732" t="str">
        <f t="shared" si="451"/>
        <v>0.000344820715757422-2.62610247253361i</v>
      </c>
      <c r="AT557" s="337">
        <f t="shared" si="452"/>
        <v>2.6261024951719736</v>
      </c>
      <c r="AU557" s="730">
        <f t="shared" si="453"/>
        <v>-1.5706650216697606</v>
      </c>
      <c r="AV557" s="732" t="str">
        <f t="shared" si="454"/>
        <v>-0.0351038008707595+0.0219032740687786i</v>
      </c>
      <c r="AW557" s="337">
        <f t="shared" si="455"/>
        <v>-27.664885658786392</v>
      </c>
      <c r="AX557" s="730">
        <f t="shared" si="456"/>
        <v>148.0375962101275</v>
      </c>
      <c r="AY557" s="360">
        <f t="shared" si="457"/>
        <v>-31.962403789872496</v>
      </c>
      <c r="BB557" s="337">
        <f t="shared" si="458"/>
        <v>-31.613766553362339</v>
      </c>
      <c r="BC557" s="730">
        <f t="shared" si="459"/>
        <v>-89.99247677050127</v>
      </c>
      <c r="BD557" s="351"/>
      <c r="BE557" s="337">
        <f t="shared" si="420"/>
        <v>22.730955788094626</v>
      </c>
      <c r="BF557" s="730">
        <f t="shared" si="421"/>
        <v>-89.828585273027613</v>
      </c>
      <c r="BI557" s="351"/>
      <c r="BJ557" s="351"/>
      <c r="BL557" s="405">
        <f t="shared" si="422"/>
        <v>0</v>
      </c>
      <c r="BM557" s="405">
        <f t="shared" si="460"/>
        <v>0</v>
      </c>
      <c r="BN557" s="405">
        <f t="shared" si="423"/>
        <v>0</v>
      </c>
      <c r="BO557" s="405">
        <f t="shared" si="424"/>
        <v>0</v>
      </c>
    </row>
    <row r="558" spans="4:67" ht="13.5" thickBot="1" x14ac:dyDescent="0.25">
      <c r="D558" s="345">
        <v>89644</v>
      </c>
      <c r="E558" s="340" t="str">
        <f t="shared" si="411"/>
        <v>1.48697964010677i</v>
      </c>
      <c r="F558" s="728" t="str">
        <f t="shared" si="425"/>
        <v>0.005-0.029105098252376i</v>
      </c>
      <c r="G558" s="337" t="str">
        <f t="shared" si="426"/>
        <v>0.005-0.0455233588049982i</v>
      </c>
      <c r="H558" s="338" t="str">
        <f t="shared" si="427"/>
        <v>0.00665969761276556-0.045088879734343i</v>
      </c>
      <c r="I558" s="338" t="str">
        <f t="shared" si="428"/>
        <v>0.0166596976127656-0.045088879734343i</v>
      </c>
      <c r="J558" s="337" t="str">
        <f t="shared" si="429"/>
        <v>0.00436596632676516-0.0178394976659152i</v>
      </c>
      <c r="K558" s="338" t="str">
        <f t="shared" si="412"/>
        <v>0.910710591822222-0.469374886397339i</v>
      </c>
      <c r="L558" s="732"/>
      <c r="M558" s="732" t="str">
        <f t="shared" si="413"/>
        <v>0.0404557345587392-13.6132849371315i</v>
      </c>
      <c r="N558" s="337">
        <f t="shared" si="414"/>
        <v>0</v>
      </c>
      <c r="O558" s="730" t="str">
        <f t="shared" si="415"/>
        <v>-0.575848927792748-5.16943576447723i</v>
      </c>
      <c r="P558" s="731" t="str">
        <f t="shared" si="416"/>
        <v>-0.242677536486587-0.0601568536144088i</v>
      </c>
      <c r="Q558" s="729" t="str">
        <f t="shared" si="417"/>
        <v>-0.23691904720866-0.00846249596963648i</v>
      </c>
      <c r="R558" s="730"/>
      <c r="S558" s="405" t="str">
        <f t="shared" si="430"/>
        <v>34.989049496399-17.5473505684199i</v>
      </c>
      <c r="T558" s="405" t="str">
        <f t="shared" si="431"/>
        <v>12.5199809966557-8.1805981274455i</v>
      </c>
      <c r="U558" s="405" t="str">
        <f t="shared" si="432"/>
        <v>-0.285474717568082-0.618992227254811i</v>
      </c>
      <c r="V558" s="731" t="str">
        <f t="shared" si="418"/>
        <v>6000</v>
      </c>
      <c r="W558" s="733" t="str">
        <f>IMSUM(COMPLEX(1,0),IMDIV(COMPLEX(0,2*PI()*D558),COMPLEX(2*PI()*'Stability Calculations'!EA_Pole1,0)))</f>
        <v>1+568882.362313575i</v>
      </c>
      <c r="X558" s="734">
        <f t="shared" si="433"/>
        <v>568882.36231445393</v>
      </c>
      <c r="Y558" s="735">
        <f t="shared" si="434"/>
        <v>1.5707945689622298</v>
      </c>
      <c r="Z558" s="340" t="str">
        <f>IMSUM(COMPLEX(1,0),IMDIV(COMPLEX(0,2*PI()*D558),COMPLEX(2*PI()*'Stability Calculations'!EA_Zero1,0)))</f>
        <v>1+5632.49863676807i</v>
      </c>
      <c r="AA558" s="734">
        <f t="shared" si="435"/>
        <v>5632.4987255386186</v>
      </c>
      <c r="AB558" s="735">
        <f t="shared" si="436"/>
        <v>1.5706187856974225</v>
      </c>
      <c r="AC558" s="733" t="str">
        <f>IMSUM(COMPLEX(1,0),IMDIV(COMPLEX(0,2*PI()*D558),COMPLEX(2*PI()*'Stability Calculations'!EA_Pole2,0)))</f>
        <v>1+56.7387279061423i</v>
      </c>
      <c r="AD558" s="734">
        <f t="shared" si="437"/>
        <v>56.747539544963985</v>
      </c>
      <c r="AE558" s="735">
        <f t="shared" si="438"/>
        <v>1.5531735052499562</v>
      </c>
      <c r="AF558" s="732" t="str">
        <f t="shared" si="439"/>
        <v>0.0182634377146221-1.04668679341808i</v>
      </c>
      <c r="AG558" s="337">
        <f t="shared" si="440"/>
        <v>1.0468461189081124</v>
      </c>
      <c r="AH558" s="730">
        <f t="shared" si="441"/>
        <v>-1.5533492885147637</v>
      </c>
      <c r="AI558" s="731" t="str">
        <f t="shared" si="419"/>
        <v>10000</v>
      </c>
      <c r="AJ558" s="733" t="str">
        <f t="shared" si="442"/>
        <v>1+530354.945138356i</v>
      </c>
      <c r="AK558" s="734">
        <f t="shared" si="443"/>
        <v>530354.9451392988</v>
      </c>
      <c r="AL558" s="735">
        <f t="shared" si="444"/>
        <v>1.5707944412651977</v>
      </c>
      <c r="AM558" s="340" t="str">
        <f t="shared" si="445"/>
        <v>1+900.073282155537i</v>
      </c>
      <c r="AN558" s="734">
        <f t="shared" si="446"/>
        <v>900.07383766568898</v>
      </c>
      <c r="AO558" s="735">
        <f t="shared" si="447"/>
        <v>1.5696853066053518</v>
      </c>
      <c r="AP558" s="733" t="str">
        <f t="shared" si="448"/>
        <v>1+43.6550378030251i</v>
      </c>
      <c r="AQ558" s="734">
        <f t="shared" si="449"/>
        <v>43.666489732786523</v>
      </c>
      <c r="AR558" s="735">
        <f t="shared" si="450"/>
        <v>1.5478934684484393</v>
      </c>
      <c r="AS558" s="732" t="str">
        <f t="shared" si="451"/>
        <v>0.000340839548199592-2.61089847520355i</v>
      </c>
      <c r="AT558" s="337">
        <f t="shared" si="452"/>
        <v>2.6108984974509868</v>
      </c>
      <c r="AU558" s="730">
        <f t="shared" si="453"/>
        <v>-1.5706657818696532</v>
      </c>
      <c r="AV558" s="732" t="str">
        <f t="shared" si="454"/>
        <v>-0.0346074398411562+0.0217543609142566i</v>
      </c>
      <c r="AW558" s="337">
        <f t="shared" si="455"/>
        <v>-27.770424944016877</v>
      </c>
      <c r="AX558" s="730">
        <f t="shared" si="456"/>
        <v>147.84638404503491</v>
      </c>
      <c r="AY558" s="360">
        <f t="shared" si="457"/>
        <v>-32.15361595496509</v>
      </c>
      <c r="BB558" s="337">
        <f t="shared" si="458"/>
        <v>-31.664200233811503</v>
      </c>
      <c r="BC558" s="730">
        <f t="shared" si="459"/>
        <v>-89.9925203267467</v>
      </c>
      <c r="BD558" s="351"/>
      <c r="BE558" s="337">
        <f t="shared" si="420"/>
        <v>22.679297049533673</v>
      </c>
      <c r="BF558" s="730">
        <f t="shared" si="421"/>
        <v>-89.829729853270294</v>
      </c>
      <c r="BI558" s="351"/>
      <c r="BJ558" s="351"/>
      <c r="BL558" s="405">
        <f t="shared" si="422"/>
        <v>0</v>
      </c>
      <c r="BM558" s="405">
        <f t="shared" si="460"/>
        <v>0</v>
      </c>
      <c r="BN558" s="405">
        <f t="shared" si="423"/>
        <v>0</v>
      </c>
      <c r="BO558" s="405">
        <f t="shared" si="424"/>
        <v>0</v>
      </c>
    </row>
    <row r="559" spans="4:67" ht="13.5" thickBot="1" x14ac:dyDescent="0.25">
      <c r="D559" s="345">
        <v>90163</v>
      </c>
      <c r="E559" s="340" t="str">
        <f t="shared" si="411"/>
        <v>1.49558860928726i</v>
      </c>
      <c r="F559" s="728" t="str">
        <f t="shared" si="425"/>
        <v>0.005-0.0289375622787173i</v>
      </c>
      <c r="G559" s="337" t="str">
        <f t="shared" si="426"/>
        <v>0.005-0.0452613153590194i</v>
      </c>
      <c r="H559" s="338" t="str">
        <f t="shared" si="427"/>
        <v>0.00664043689117382-0.0448300508419268i</v>
      </c>
      <c r="I559" s="338" t="str">
        <f t="shared" si="428"/>
        <v>0.0166404368911738-0.0448300508419268i</v>
      </c>
      <c r="J559" s="337" t="str">
        <f t="shared" si="429"/>
        <v>0.00436273161951728-0.0177378874911646i</v>
      </c>
      <c r="K559" s="338" t="str">
        <f t="shared" si="412"/>
        <v>0.909673704788889-0.472092364042694i</v>
      </c>
      <c r="L559" s="732"/>
      <c r="M559" s="732" t="str">
        <f t="shared" si="413"/>
        <v>0.0399506244815059-13.5330486436686i</v>
      </c>
      <c r="N559" s="337">
        <f t="shared" si="414"/>
        <v>0</v>
      </c>
      <c r="O559" s="730" t="str">
        <f t="shared" si="415"/>
        <v>-0.574212609072669-5.13758622603243i</v>
      </c>
      <c r="P559" s="731" t="str">
        <f t="shared" si="416"/>
        <v>-0.239873400401206-0.0597496989084531i</v>
      </c>
      <c r="Q559" s="729" t="str">
        <f t="shared" si="417"/>
        <v>-0.234131274310479-0.00837383664812917i</v>
      </c>
      <c r="R559" s="730"/>
      <c r="S559" s="405" t="str">
        <f t="shared" si="430"/>
        <v>34.9272019817312-17.6427572514948i</v>
      </c>
      <c r="T559" s="405" t="str">
        <f t="shared" si="431"/>
        <v>12.4866587127542-8.21660212441016i</v>
      </c>
      <c r="U559" s="405" t="str">
        <f t="shared" si="432"/>
        <v>-0.28543382182152-0.614339372805591i</v>
      </c>
      <c r="V559" s="731" t="str">
        <f t="shared" si="418"/>
        <v>6000</v>
      </c>
      <c r="W559" s="733" t="str">
        <f>IMSUM(COMPLEX(1,0),IMDIV(COMPLEX(0,2*PI()*D559),COMPLEX(2*PI()*'Stability Calculations'!EA_Pole1,0)))</f>
        <v>1+572175.945219745i</v>
      </c>
      <c r="X559" s="734">
        <f t="shared" si="433"/>
        <v>572175.94522061886</v>
      </c>
      <c r="Y559" s="735">
        <f t="shared" si="434"/>
        <v>1.5707945790807392</v>
      </c>
      <c r="Z559" s="340" t="str">
        <f>IMSUM(COMPLEX(1,0),IMDIV(COMPLEX(0,2*PI()*D559),COMPLEX(2*PI()*'Stability Calculations'!EA_Zero1,0)))</f>
        <v>1+5665.10836851233i</v>
      </c>
      <c r="AA559" s="734">
        <f t="shared" si="435"/>
        <v>5665.1084567718945</v>
      </c>
      <c r="AB559" s="735">
        <f t="shared" si="436"/>
        <v>1.5706198076668298</v>
      </c>
      <c r="AC559" s="733" t="str">
        <f>IMSUM(COMPLEX(1,0),IMDIV(COMPLEX(0,2*PI()*D559),COMPLEX(2*PI()*'Stability Calculations'!EA_Pole2,0)))</f>
        <v>1+57.0672206082002i</v>
      </c>
      <c r="AD559" s="734">
        <f t="shared" si="437"/>
        <v>57.075981532909175</v>
      </c>
      <c r="AE559" s="735">
        <f t="shared" si="438"/>
        <v>1.5532749256458145</v>
      </c>
      <c r="AF559" s="732" t="str">
        <f t="shared" si="439"/>
        <v>0.0180538497024047-1.04066548413554i</v>
      </c>
      <c r="AG559" s="337">
        <f t="shared" si="440"/>
        <v>1.040822074785184</v>
      </c>
      <c r="AH559" s="730">
        <f t="shared" si="441"/>
        <v>-1.5534496970597238</v>
      </c>
      <c r="AI559" s="731" t="str">
        <f t="shared" si="419"/>
        <v>10000</v>
      </c>
      <c r="AJ559" s="733" t="str">
        <f t="shared" si="442"/>
        <v>1+533425.470957449i</v>
      </c>
      <c r="AK559" s="734">
        <f t="shared" si="443"/>
        <v>533425.47095838643</v>
      </c>
      <c r="AL559" s="735">
        <f t="shared" si="444"/>
        <v>1.570794452118762</v>
      </c>
      <c r="AM559" s="340" t="str">
        <f t="shared" si="445"/>
        <v>1+905.28431728827i</v>
      </c>
      <c r="AN559" s="734">
        <f t="shared" si="446"/>
        <v>905.28486960077328</v>
      </c>
      <c r="AO559" s="735">
        <f t="shared" si="447"/>
        <v>1.5696917019006276</v>
      </c>
      <c r="AP559" s="733" t="str">
        <f t="shared" si="448"/>
        <v>1+43.9077815964721i</v>
      </c>
      <c r="AQ559" s="734">
        <f t="shared" si="449"/>
        <v>43.919167623299664</v>
      </c>
      <c r="AR559" s="735">
        <f t="shared" si="450"/>
        <v>1.5480252571317596</v>
      </c>
      <c r="AS559" s="732" t="str">
        <f t="shared" si="451"/>
        <v>0.000336926932264269-2.5958695136246i</v>
      </c>
      <c r="AT559" s="337">
        <f t="shared" si="452"/>
        <v>2.5958695354900594</v>
      </c>
      <c r="AU559" s="730">
        <f t="shared" si="453"/>
        <v>-1.5706665333177576</v>
      </c>
      <c r="AV559" s="732" t="str">
        <f t="shared" si="454"/>
        <v>-0.0341197366504491+0.0216069694154032i</v>
      </c>
      <c r="AW559" s="337">
        <f t="shared" si="455"/>
        <v>-27.875413641511656</v>
      </c>
      <c r="AX559" s="730">
        <f t="shared" si="456"/>
        <v>147.65518987585139</v>
      </c>
      <c r="AY559" s="360">
        <f t="shared" si="457"/>
        <v>-32.344810124148609</v>
      </c>
      <c r="BB559" s="337">
        <f t="shared" si="458"/>
        <v>-31.714342766251171</v>
      </c>
      <c r="BC559" s="730">
        <f t="shared" si="459"/>
        <v>-89.992563381551605</v>
      </c>
      <c r="BD559" s="351"/>
      <c r="BE559" s="337">
        <f t="shared" si="420"/>
        <v>22.627950704866567</v>
      </c>
      <c r="BF559" s="730">
        <f t="shared" si="421"/>
        <v>-89.830858841741232</v>
      </c>
      <c r="BI559" s="351"/>
      <c r="BJ559" s="351"/>
      <c r="BL559" s="405">
        <f t="shared" si="422"/>
        <v>0</v>
      </c>
      <c r="BM559" s="405">
        <f t="shared" si="460"/>
        <v>0</v>
      </c>
      <c r="BN559" s="405">
        <f t="shared" si="423"/>
        <v>0</v>
      </c>
      <c r="BO559" s="405">
        <f t="shared" si="424"/>
        <v>0</v>
      </c>
    </row>
    <row r="560" spans="4:67" ht="13.5" thickBot="1" x14ac:dyDescent="0.25">
      <c r="D560" s="345">
        <v>90682</v>
      </c>
      <c r="E560" s="340" t="str">
        <f t="shared" si="411"/>
        <v>1.50419757846774i</v>
      </c>
      <c r="F560" s="728" t="str">
        <f t="shared" si="425"/>
        <v>0.005-0.028771944021261i</v>
      </c>
      <c r="G560" s="337" t="str">
        <f t="shared" si="426"/>
        <v>0.005-0.0450022714178698i</v>
      </c>
      <c r="H560" s="338" t="str">
        <f t="shared" si="427"/>
        <v>0.00662150532925901-0.0445741725334675i</v>
      </c>
      <c r="I560" s="338" t="str">
        <f t="shared" si="428"/>
        <v>0.016621505329259-0.0445741725334675i</v>
      </c>
      <c r="J560" s="337" t="str">
        <f t="shared" si="429"/>
        <v>0.00435954633662874-0.0176374440174479i</v>
      </c>
      <c r="K560" s="338" t="str">
        <f t="shared" si="412"/>
        <v>0.908630831955556-0.474809841688049i</v>
      </c>
      <c r="L560" s="732"/>
      <c r="M560" s="732" t="str">
        <f t="shared" si="413"/>
        <v>0.0394550496834998-13.4537631747258i</v>
      </c>
      <c r="N560" s="337">
        <f t="shared" si="414"/>
        <v>0</v>
      </c>
      <c r="O560" s="730" t="str">
        <f t="shared" si="415"/>
        <v>-0.572596669803388-5.10610869851543i</v>
      </c>
      <c r="P560" s="731" t="str">
        <f t="shared" si="416"/>
        <v>-0.237117988700919-0.0593481901922447i</v>
      </c>
      <c r="Q560" s="729" t="str">
        <f t="shared" si="417"/>
        <v>-0.231392022002884-0.00828710320709066i</v>
      </c>
      <c r="R560" s="730"/>
      <c r="S560" s="405" t="str">
        <f t="shared" si="430"/>
        <v>34.8650013838555-17.7379120052229i</v>
      </c>
      <c r="T560" s="405" t="str">
        <f t="shared" si="431"/>
        <v>12.4531860813348-8.2524591894547i</v>
      </c>
      <c r="U560" s="405" t="str">
        <f t="shared" si="432"/>
        <v>-0.285387701732339-0.609734167483256i</v>
      </c>
      <c r="V560" s="731" t="str">
        <f t="shared" si="418"/>
        <v>6000</v>
      </c>
      <c r="W560" s="733" t="str">
        <f>IMSUM(COMPLEX(1,0),IMDIV(COMPLEX(0,2*PI()*D560),COMPLEX(2*PI()*'Stability Calculations'!EA_Pole1,0)))</f>
        <v>1+575469.528125916i</v>
      </c>
      <c r="X560" s="734">
        <f t="shared" si="433"/>
        <v>575469.52812678495</v>
      </c>
      <c r="Y560" s="735">
        <f t="shared" si="434"/>
        <v>1.5707945890834261</v>
      </c>
      <c r="Z560" s="340" t="str">
        <f>IMSUM(COMPLEX(1,0),IMDIV(COMPLEX(0,2*PI()*D560),COMPLEX(2*PI()*'Stability Calculations'!EA_Zero1,0)))</f>
        <v>1+5697.71810025659i</v>
      </c>
      <c r="AA560" s="734">
        <f t="shared" si="435"/>
        <v>5697.7181880110184</v>
      </c>
      <c r="AB560" s="735">
        <f t="shared" si="436"/>
        <v>1.5706208179381691</v>
      </c>
      <c r="AC560" s="733" t="str">
        <f>IMSUM(COMPLEX(1,0),IMDIV(COMPLEX(0,2*PI()*D560),COMPLEX(2*PI()*'Stability Calculations'!EA_Pole2,0)))</f>
        <v>1+57.3957133102582i</v>
      </c>
      <c r="AD560" s="734">
        <f t="shared" si="437"/>
        <v>57.40442410122543</v>
      </c>
      <c r="AE560" s="735">
        <f t="shared" si="438"/>
        <v>1.5533751854779529</v>
      </c>
      <c r="AF560" s="732" t="str">
        <f t="shared" si="439"/>
        <v>0.0178478485294466-1.03471303584016i</v>
      </c>
      <c r="AG560" s="337">
        <f t="shared" si="440"/>
        <v>1.0348669538808792</v>
      </c>
      <c r="AH560" s="730">
        <f t="shared" si="441"/>
        <v>-1.5535489566232101</v>
      </c>
      <c r="AI560" s="731" t="str">
        <f t="shared" si="419"/>
        <v>10000</v>
      </c>
      <c r="AJ560" s="733" t="str">
        <f t="shared" si="442"/>
        <v>1+536495.996776543i</v>
      </c>
      <c r="AK560" s="734">
        <f t="shared" si="443"/>
        <v>536495.996777475</v>
      </c>
      <c r="AL560" s="735">
        <f t="shared" si="444"/>
        <v>1.5707944628480899</v>
      </c>
      <c r="AM560" s="340" t="str">
        <f t="shared" si="445"/>
        <v>1+910.495352421003i</v>
      </c>
      <c r="AN560" s="734">
        <f t="shared" si="446"/>
        <v>910.49590157245984</v>
      </c>
      <c r="AO560" s="735">
        <f t="shared" si="447"/>
        <v>1.5696980239916465</v>
      </c>
      <c r="AP560" s="733" t="str">
        <f t="shared" si="448"/>
        <v>1+44.1605253899192i</v>
      </c>
      <c r="AQ560" s="734">
        <f t="shared" si="449"/>
        <v>44.171846267885364</v>
      </c>
      <c r="AR560" s="735">
        <f t="shared" si="450"/>
        <v>1.5481555380611967</v>
      </c>
      <c r="AS560" s="732" t="str">
        <f t="shared" si="451"/>
        <v>0.000333081303086011-2.5810125824523i</v>
      </c>
      <c r="AT560" s="337">
        <f t="shared" si="452"/>
        <v>2.5810126039444761</v>
      </c>
      <c r="AU560" s="730">
        <f t="shared" si="453"/>
        <v>-1.5706672761643412</v>
      </c>
      <c r="AV560" s="732" t="str">
        <f t="shared" si="454"/>
        <v>-0.0336404944258778+0.0214610748062232i</v>
      </c>
      <c r="AW560" s="337">
        <f t="shared" si="455"/>
        <v>-27.979858520497412</v>
      </c>
      <c r="AX560" s="730">
        <f t="shared" si="456"/>
        <v>147.46401357022896</v>
      </c>
      <c r="AY560" s="360">
        <f t="shared" si="457"/>
        <v>-32.535986429771043</v>
      </c>
      <c r="BB560" s="337">
        <f t="shared" si="458"/>
        <v>-31.764197492926009</v>
      </c>
      <c r="BC560" s="730">
        <f t="shared" si="459"/>
        <v>-89.992605943525675</v>
      </c>
      <c r="BD560" s="351"/>
      <c r="BE560" s="337">
        <f t="shared" si="420"/>
        <v>22.576912922232019</v>
      </c>
      <c r="BF560" s="730">
        <f t="shared" si="421"/>
        <v>-89.831972562819573</v>
      </c>
      <c r="BI560" s="351"/>
      <c r="BJ560" s="351"/>
      <c r="BL560" s="405">
        <f t="shared" si="422"/>
        <v>0</v>
      </c>
      <c r="BM560" s="405">
        <f t="shared" si="460"/>
        <v>0</v>
      </c>
      <c r="BN560" s="405">
        <f t="shared" si="423"/>
        <v>0</v>
      </c>
      <c r="BO560" s="405">
        <f t="shared" si="424"/>
        <v>0</v>
      </c>
    </row>
    <row r="561" spans="4:67" ht="13.5" thickBot="1" x14ac:dyDescent="0.25">
      <c r="D561" s="345">
        <v>91201</v>
      </c>
      <c r="E561" s="340" t="str">
        <f t="shared" si="411"/>
        <v>1.51280654764823i</v>
      </c>
      <c r="F561" s="728" t="str">
        <f t="shared" si="425"/>
        <v>0.005-0.0286082107404084i</v>
      </c>
      <c r="G561" s="337" t="str">
        <f t="shared" si="426"/>
        <v>0.005-0.0447461757734594i</v>
      </c>
      <c r="H561" s="338" t="str">
        <f t="shared" si="427"/>
        <v>0.00660289547253178-0.0443211947090978i</v>
      </c>
      <c r="I561" s="338" t="str">
        <f t="shared" si="428"/>
        <v>0.0166028954725318-0.0443211947090978i</v>
      </c>
      <c r="J561" s="337" t="str">
        <f t="shared" si="429"/>
        <v>0.00435640933651082-0.017538147319186i</v>
      </c>
      <c r="K561" s="338" t="str">
        <f t="shared" si="412"/>
        <v>0.907581973322222-0.477527319333404i</v>
      </c>
      <c r="L561" s="732"/>
      <c r="M561" s="732" t="str">
        <f t="shared" si="413"/>
        <v>0.0389687682524936-13.3754115526638i</v>
      </c>
      <c r="N561" s="337">
        <f t="shared" si="414"/>
        <v>0</v>
      </c>
      <c r="O561" s="730" t="str">
        <f t="shared" si="415"/>
        <v>-0.571000620199751-5.07499656144005i</v>
      </c>
      <c r="P561" s="731" t="str">
        <f t="shared" si="416"/>
        <v>-0.234410174359513-0.0589522077661587i</v>
      </c>
      <c r="Q561" s="729" t="str">
        <f t="shared" si="417"/>
        <v>-0.228700168157515-0.00820224215175834i</v>
      </c>
      <c r="R561" s="730"/>
      <c r="S561" s="405" t="str">
        <f t="shared" si="430"/>
        <v>34.8024482565889-17.8328135233501i</v>
      </c>
      <c r="T561" s="405" t="str">
        <f t="shared" si="431"/>
        <v>12.4195638606392-8.28816829449933i</v>
      </c>
      <c r="U561" s="405" t="str">
        <f t="shared" si="432"/>
        <v>-0.28533643877604-0.605175816976791i</v>
      </c>
      <c r="V561" s="731" t="str">
        <f t="shared" si="418"/>
        <v>6000</v>
      </c>
      <c r="W561" s="733" t="str">
        <f>IMSUM(COMPLEX(1,0),IMDIV(COMPLEX(0,2*PI()*D561),COMPLEX(2*PI()*'Stability Calculations'!EA_Pole1,0)))</f>
        <v>1+578763.111032086i</v>
      </c>
      <c r="X561" s="734">
        <f t="shared" si="433"/>
        <v>578763.11103294976</v>
      </c>
      <c r="Y561" s="735">
        <f t="shared" si="434"/>
        <v>1.5707945989722678</v>
      </c>
      <c r="Z561" s="340" t="str">
        <f>IMSUM(COMPLEX(1,0),IMDIV(COMPLEX(0,2*PI()*D561),COMPLEX(2*PI()*'Stability Calculations'!EA_Zero1,0)))</f>
        <v>1+5730.32783200085i</v>
      </c>
      <c r="AA561" s="734">
        <f t="shared" si="435"/>
        <v>5730.3279192558921</v>
      </c>
      <c r="AB561" s="735">
        <f t="shared" si="436"/>
        <v>1.5706218167111516</v>
      </c>
      <c r="AC561" s="733" t="str">
        <f>IMSUM(COMPLEX(1,0),IMDIV(COMPLEX(0,2*PI()*D561),COMPLEX(2*PI()*'Stability Calculations'!EA_Pole2,0)))</f>
        <v>1+57.7242060123162i</v>
      </c>
      <c r="AD561" s="734">
        <f t="shared" si="437"/>
        <v>57.732867240007415</v>
      </c>
      <c r="AE561" s="735">
        <f t="shared" si="438"/>
        <v>1.5534743045517316</v>
      </c>
      <c r="AF561" s="732" t="str">
        <f t="shared" si="439"/>
        <v>0.0176453528225619-1.02882827433435i</v>
      </c>
      <c r="AG561" s="337">
        <f t="shared" si="440"/>
        <v>1.0289795802376398</v>
      </c>
      <c r="AH561" s="730">
        <f t="shared" si="441"/>
        <v>-1.5536470868128478</v>
      </c>
      <c r="AI561" s="731" t="str">
        <f t="shared" si="419"/>
        <v>10000</v>
      </c>
      <c r="AJ561" s="733" t="str">
        <f t="shared" si="442"/>
        <v>1+539566.522595636i</v>
      </c>
      <c r="AK561" s="734">
        <f t="shared" si="443"/>
        <v>539566.52259656251</v>
      </c>
      <c r="AL561" s="735">
        <f t="shared" si="444"/>
        <v>1.5707944734553025</v>
      </c>
      <c r="AM561" s="340" t="str">
        <f t="shared" si="445"/>
        <v>1+915.706387553736i</v>
      </c>
      <c r="AN561" s="734">
        <f t="shared" si="446"/>
        <v>915.70693358012363</v>
      </c>
      <c r="AO561" s="735">
        <f t="shared" si="447"/>
        <v>1.5697042741281624</v>
      </c>
      <c r="AP561" s="733" t="str">
        <f t="shared" si="448"/>
        <v>1+44.4132691833663i</v>
      </c>
      <c r="AQ561" s="734">
        <f t="shared" si="449"/>
        <v>44.424525653676419</v>
      </c>
      <c r="AR561" s="735">
        <f t="shared" si="450"/>
        <v>1.5482843369598571</v>
      </c>
      <c r="AS561" s="732" t="str">
        <f t="shared" si="451"/>
        <v>0.000329301140198422-2.56632474475254i</v>
      </c>
      <c r="AT561" s="337">
        <f t="shared" si="452"/>
        <v>2.566324765879882</v>
      </c>
      <c r="AU561" s="730">
        <f t="shared" si="453"/>
        <v>-1.5706680105562505</v>
      </c>
      <c r="AV561" s="732" t="str">
        <f t="shared" si="454"/>
        <v>-0.0331695218845324+0.0213166528549425i</v>
      </c>
      <c r="AW561" s="337">
        <f t="shared" si="455"/>
        <v>-28.083766235618135</v>
      </c>
      <c r="AX561" s="730">
        <f t="shared" si="456"/>
        <v>147.2728550104386</v>
      </c>
      <c r="AY561" s="360">
        <f t="shared" si="457"/>
        <v>-32.727144989561396</v>
      </c>
      <c r="BB561" s="337">
        <f t="shared" si="458"/>
        <v>-31.813767698858015</v>
      </c>
      <c r="BC561" s="730">
        <f t="shared" si="459"/>
        <v>-89.992648021082587</v>
      </c>
      <c r="BD561" s="351"/>
      <c r="BE561" s="337">
        <f t="shared" si="420"/>
        <v>22.526179941039516</v>
      </c>
      <c r="BF561" s="730">
        <f t="shared" si="421"/>
        <v>-89.833071331857653</v>
      </c>
      <c r="BI561" s="351"/>
      <c r="BJ561" s="351"/>
      <c r="BL561" s="405">
        <f t="shared" si="422"/>
        <v>0</v>
      </c>
      <c r="BM561" s="405">
        <f t="shared" si="460"/>
        <v>0</v>
      </c>
      <c r="BN561" s="405">
        <f t="shared" si="423"/>
        <v>0</v>
      </c>
      <c r="BO561" s="405">
        <f t="shared" si="424"/>
        <v>0</v>
      </c>
    </row>
    <row r="562" spans="4:67" ht="13.5" thickBot="1" x14ac:dyDescent="0.25">
      <c r="D562" s="345">
        <v>91732</v>
      </c>
      <c r="E562" s="340" t="str">
        <f t="shared" si="411"/>
        <v>1.52161456813924i</v>
      </c>
      <c r="F562" s="728" t="str">
        <f t="shared" si="425"/>
        <v>0.005-0.0284426092065581i</v>
      </c>
      <c r="G562" s="337" t="str">
        <f t="shared" si="426"/>
        <v>0.005-0.0444871579897448i</v>
      </c>
      <c r="H562" s="338" t="str">
        <f t="shared" si="427"/>
        <v>0.00658418072418475-0.0440653184715522i</v>
      </c>
      <c r="I562" s="338" t="str">
        <f t="shared" si="428"/>
        <v>0.0165841807241848-0.0440653184715522i</v>
      </c>
      <c r="J562" s="337" t="str">
        <f t="shared" si="429"/>
        <v>0.0043532486181972-0.0174377212896424i</v>
      </c>
      <c r="K562" s="338" t="str">
        <f t="shared" si="412"/>
        <v>0.906502668622222-0.480307628831831i</v>
      </c>
      <c r="L562" s="732"/>
      <c r="M562" s="732" t="str">
        <f t="shared" si="413"/>
        <v>0.0384806172696369-13.2961975356783i</v>
      </c>
      <c r="N562" s="337">
        <f t="shared" si="414"/>
        <v>0</v>
      </c>
      <c r="O562" s="730" t="str">
        <f t="shared" si="415"/>
        <v>-0.569387756494833-5.04353649078609i</v>
      </c>
      <c r="P562" s="731" t="str">
        <f t="shared" si="416"/>
        <v>-0.231687871145232-0.05855266782847i</v>
      </c>
      <c r="Q562" s="729" t="str">
        <f t="shared" si="417"/>
        <v>-0.225993993580284-0.00811730292060901i</v>
      </c>
      <c r="R562" s="730"/>
      <c r="S562" s="405" t="str">
        <f t="shared" si="430"/>
        <v>34.738084553486-17.9296458309222i</v>
      </c>
      <c r="T562" s="405" t="str">
        <f t="shared" si="431"/>
        <v>12.3850102280034-8.3245488483021i</v>
      </c>
      <c r="U562" s="405" t="str">
        <f t="shared" si="432"/>
        <v>-0.285278750520374-0.600559754034928i</v>
      </c>
      <c r="V562" s="731" t="str">
        <f t="shared" si="418"/>
        <v>6000</v>
      </c>
      <c r="W562" s="733" t="str">
        <f>IMSUM(COMPLEX(1,0),IMDIV(COMPLEX(0,2*PI()*D562),COMPLEX(2*PI()*'Stability Calculations'!EA_Pole1,0)))</f>
        <v>1+582132.84614418i</v>
      </c>
      <c r="X562" s="734">
        <f t="shared" si="433"/>
        <v>582132.84614503896</v>
      </c>
      <c r="Y562" s="735">
        <f t="shared" si="434"/>
        <v>1.5707946089739446</v>
      </c>
      <c r="Z562" s="340" t="str">
        <f>IMSUM(COMPLEX(1,0),IMDIV(COMPLEX(0,2*PI()*D562),COMPLEX(2*PI()*'Stability Calculations'!EA_Zero1,0)))</f>
        <v>1+5763.69154598198i</v>
      </c>
      <c r="AA562" s="734">
        <f t="shared" si="435"/>
        <v>5763.6916327319377</v>
      </c>
      <c r="AB562" s="735">
        <f t="shared" si="436"/>
        <v>1.5706228268804776</v>
      </c>
      <c r="AC562" s="733" t="str">
        <f>IMSUM(COMPLEX(1,0),IMDIV(COMPLEX(0,2*PI()*D562),COMPLEX(2*PI()*'Stability Calculations'!EA_Pole2,0)))</f>
        <v>1+58.0602939213583i</v>
      </c>
      <c r="AD562" s="734">
        <f t="shared" si="437"/>
        <v>58.068905020109653</v>
      </c>
      <c r="AE562" s="735">
        <f t="shared" si="438"/>
        <v>1.5535745549544417</v>
      </c>
      <c r="AF562" s="732" t="str">
        <f t="shared" si="439"/>
        <v>0.0174417206540518-1.02287630461148i</v>
      </c>
      <c r="AG562" s="337">
        <f t="shared" si="440"/>
        <v>1.0230249987928013</v>
      </c>
      <c r="AH562" s="730">
        <f t="shared" si="441"/>
        <v>-1.5537463370479085</v>
      </c>
      <c r="AI562" s="731" t="str">
        <f t="shared" si="419"/>
        <v>10000</v>
      </c>
      <c r="AJ562" s="733" t="str">
        <f t="shared" si="442"/>
        <v>1+542708.043231356i</v>
      </c>
      <c r="AK562" s="734">
        <f t="shared" si="443"/>
        <v>542708.04323227738</v>
      </c>
      <c r="AL562" s="735">
        <f t="shared" si="444"/>
        <v>1.5707944841835471</v>
      </c>
      <c r="AM562" s="340" t="str">
        <f t="shared" si="445"/>
        <v>1+921.03790904792i</v>
      </c>
      <c r="AN562" s="734">
        <f t="shared" si="446"/>
        <v>921.03845191358027</v>
      </c>
      <c r="AO562" s="735">
        <f t="shared" si="447"/>
        <v>1.5697105955809705</v>
      </c>
      <c r="AP562" s="733" t="str">
        <f t="shared" si="448"/>
        <v>1+44.6718567639451i</v>
      </c>
      <c r="AQ562" s="734">
        <f t="shared" si="449"/>
        <v>44.6830480914007</v>
      </c>
      <c r="AR562" s="735">
        <f t="shared" si="450"/>
        <v>1.5484146062580684</v>
      </c>
      <c r="AS562" s="732" t="str">
        <f t="shared" si="451"/>
        <v>0.000325499788252759-2.55146931376904i</v>
      </c>
      <c r="AT562" s="337">
        <f t="shared" si="452"/>
        <v>2.5514693345316082</v>
      </c>
      <c r="AU562" s="730">
        <f t="shared" si="453"/>
        <v>-1.5706687533278241</v>
      </c>
      <c r="AV562" s="732" t="str">
        <f t="shared" si="454"/>
        <v>-0.0326960246782886+0.0211703910679099i</v>
      </c>
      <c r="AW562" s="337">
        <f t="shared" si="455"/>
        <v>-28.189527326697508</v>
      </c>
      <c r="AX562" s="730">
        <f t="shared" si="456"/>
        <v>147.07729485788673</v>
      </c>
      <c r="AY562" s="360">
        <f t="shared" si="457"/>
        <v>-32.922705142113273</v>
      </c>
      <c r="BB562" s="337">
        <f t="shared" si="458"/>
        <v>-31.86419293953124</v>
      </c>
      <c r="BC562" s="730">
        <f t="shared" si="459"/>
        <v>-89.992690578758896</v>
      </c>
      <c r="BD562" s="351"/>
      <c r="BE562" s="337">
        <f t="shared" si="420"/>
        <v>22.474585547871886</v>
      </c>
      <c r="BF562" s="730">
        <f t="shared" si="421"/>
        <v>-89.834180351104706</v>
      </c>
      <c r="BI562" s="351"/>
      <c r="BJ562" s="351"/>
      <c r="BL562" s="405">
        <f t="shared" si="422"/>
        <v>0</v>
      </c>
      <c r="BM562" s="405">
        <f t="shared" si="460"/>
        <v>0</v>
      </c>
      <c r="BN562" s="405">
        <f t="shared" si="423"/>
        <v>0</v>
      </c>
      <c r="BO562" s="405">
        <f t="shared" si="424"/>
        <v>0</v>
      </c>
    </row>
    <row r="563" spans="4:67" ht="13.5" thickBot="1" x14ac:dyDescent="0.25">
      <c r="D563" s="345">
        <v>92263</v>
      </c>
      <c r="E563" s="340" t="str">
        <f t="shared" si="411"/>
        <v>1.53042258863026i</v>
      </c>
      <c r="F563" s="728" t="str">
        <f t="shared" si="425"/>
        <v>0.005-0.028278913841258i</v>
      </c>
      <c r="G563" s="337" t="str">
        <f t="shared" si="426"/>
        <v>0.005-0.0442311216491472i</v>
      </c>
      <c r="H563" s="338" t="str">
        <f t="shared" si="427"/>
        <v>0.00656578760728577-0.0438123758712813i</v>
      </c>
      <c r="I563" s="338" t="str">
        <f t="shared" si="428"/>
        <v>0.0165657876072858-0.0438123758712813i</v>
      </c>
      <c r="J563" s="337" t="str">
        <f t="shared" si="429"/>
        <v>0.00435013612619771-0.0173384549111666i</v>
      </c>
      <c r="K563" s="338" t="str">
        <f t="shared" si="412"/>
        <v>0.905417098122222-0.483087938330258i</v>
      </c>
      <c r="L563" s="732"/>
      <c r="M563" s="732" t="str">
        <f t="shared" si="413"/>
        <v>0.0380017064358874-13.217926380766i</v>
      </c>
      <c r="N563" s="337">
        <f t="shared" si="414"/>
        <v>0</v>
      </c>
      <c r="O563" s="730" t="str">
        <f t="shared" si="415"/>
        <v>-0.567794720278555-5.01244538485036i</v>
      </c>
      <c r="P563" s="731" t="str">
        <f t="shared" si="416"/>
        <v>-0.229013107976006-0.0581586699359778i</v>
      </c>
      <c r="Q563" s="729" t="str">
        <f t="shared" si="417"/>
        <v>-0.22333516077322-0.00803421608747414i</v>
      </c>
      <c r="R563" s="730"/>
      <c r="S563" s="405" t="str">
        <f t="shared" si="430"/>
        <v>34.6733530394658-18.0262102395279i</v>
      </c>
      <c r="T563" s="405" t="str">
        <f t="shared" si="431"/>
        <v>12.3503016357963-8.36077236816784i</v>
      </c>
      <c r="U563" s="405" t="str">
        <f t="shared" si="432"/>
        <v>-0.285215844141839-0.595991112993462i</v>
      </c>
      <c r="V563" s="731" t="str">
        <f t="shared" si="418"/>
        <v>6000</v>
      </c>
      <c r="W563" s="733" t="str">
        <f>IMSUM(COMPLEX(1,0),IMDIV(COMPLEX(0,2*PI()*D563),COMPLEX(2*PI()*'Stability Calculations'!EA_Pole1,0)))</f>
        <v>1+585502.581256273i</v>
      </c>
      <c r="X563" s="734">
        <f t="shared" si="433"/>
        <v>585502.58125712688</v>
      </c>
      <c r="Y563" s="735">
        <f t="shared" si="434"/>
        <v>1.5707946188604962</v>
      </c>
      <c r="Z563" s="340" t="str">
        <f>IMSUM(COMPLEX(1,0),IMDIV(COMPLEX(0,2*PI()*D563),COMPLEX(2*PI()*'Stability Calculations'!EA_Zero1,0)))</f>
        <v>1+5797.0552599631i</v>
      </c>
      <c r="AA563" s="734">
        <f t="shared" si="435"/>
        <v>5797.0553462137877</v>
      </c>
      <c r="AB563" s="735">
        <f t="shared" si="436"/>
        <v>1.570623825422176</v>
      </c>
      <c r="AC563" s="733" t="str">
        <f>IMSUM(COMPLEX(1,0),IMDIV(COMPLEX(0,2*PI()*D563),COMPLEX(2*PI()*'Stability Calculations'!EA_Pole2,0)))</f>
        <v>1+58.3963818304003i</v>
      </c>
      <c r="AD563" s="734">
        <f t="shared" si="437"/>
        <v>58.404943377097005</v>
      </c>
      <c r="AE563" s="735">
        <f t="shared" si="438"/>
        <v>1.5536736517578205</v>
      </c>
      <c r="AF563" s="732" t="str">
        <f t="shared" si="439"/>
        <v>0.0172415928684151-1.01699278546061i</v>
      </c>
      <c r="AG563" s="337">
        <f t="shared" si="440"/>
        <v>1.0171389276807621</v>
      </c>
      <c r="AH563" s="730">
        <f t="shared" si="441"/>
        <v>-1.5538444451961411</v>
      </c>
      <c r="AI563" s="731" t="str">
        <f t="shared" si="419"/>
        <v>10000</v>
      </c>
      <c r="AJ563" s="733" t="str">
        <f t="shared" si="442"/>
        <v>1+545849.563867076i</v>
      </c>
      <c r="AK563" s="734">
        <f t="shared" si="443"/>
        <v>545849.56386799202</v>
      </c>
      <c r="AL563" s="735">
        <f t="shared" si="444"/>
        <v>1.5707944947883032</v>
      </c>
      <c r="AM563" s="340" t="str">
        <f t="shared" si="445"/>
        <v>1+926.369430542103i</v>
      </c>
      <c r="AN563" s="734">
        <f t="shared" si="446"/>
        <v>926.36997028341784</v>
      </c>
      <c r="AO563" s="735">
        <f t="shared" si="447"/>
        <v>1.5697168442703198</v>
      </c>
      <c r="AP563" s="733" t="str">
        <f t="shared" si="448"/>
        <v>1+44.9304443445239i</v>
      </c>
      <c r="AQ563" s="734">
        <f t="shared" si="449"/>
        <v>44.941571278676491</v>
      </c>
      <c r="AR563" s="735">
        <f t="shared" si="450"/>
        <v>1.548543376828728</v>
      </c>
      <c r="AS563" s="732" t="str">
        <f t="shared" si="451"/>
        <v>0.000321763880861642-2.53678487730056i</v>
      </c>
      <c r="AT563" s="337">
        <f t="shared" si="452"/>
        <v>2.536784897706704</v>
      </c>
      <c r="AU563" s="730">
        <f t="shared" si="453"/>
        <v>-1.5706694875496712</v>
      </c>
      <c r="AV563" s="732" t="str">
        <f t="shared" si="454"/>
        <v>-0.0322307960081432+0.021025621161541i</v>
      </c>
      <c r="AW563" s="337">
        <f t="shared" si="455"/>
        <v>-28.294739863561695</v>
      </c>
      <c r="AX563" s="730">
        <f t="shared" si="456"/>
        <v>146.88175307775069</v>
      </c>
      <c r="AY563" s="360">
        <f t="shared" si="457"/>
        <v>-33.118246922249313</v>
      </c>
      <c r="BB563" s="337">
        <f t="shared" si="458"/>
        <v>-31.91432712934947</v>
      </c>
      <c r="BC563" s="730">
        <f t="shared" si="459"/>
        <v>-89.992732646571966</v>
      </c>
      <c r="BD563" s="351"/>
      <c r="BE563" s="337">
        <f t="shared" si="420"/>
        <v>22.423302470773411</v>
      </c>
      <c r="BF563" s="730">
        <f t="shared" si="421"/>
        <v>-89.835274359131077</v>
      </c>
      <c r="BI563" s="351"/>
      <c r="BJ563" s="351"/>
      <c r="BL563" s="405">
        <f t="shared" si="422"/>
        <v>0</v>
      </c>
      <c r="BM563" s="405">
        <f t="shared" si="460"/>
        <v>0</v>
      </c>
      <c r="BN563" s="405">
        <f t="shared" si="423"/>
        <v>0</v>
      </c>
      <c r="BO563" s="405">
        <f t="shared" si="424"/>
        <v>0</v>
      </c>
    </row>
    <row r="564" spans="4:67" ht="13.5" thickBot="1" x14ac:dyDescent="0.25">
      <c r="D564" s="345">
        <v>92794</v>
      </c>
      <c r="E564" s="340" t="str">
        <f t="shared" si="411"/>
        <v>1.53923060912128i</v>
      </c>
      <c r="F564" s="728" t="str">
        <f t="shared" si="425"/>
        <v>0.005-0.0281170919212017i</v>
      </c>
      <c r="G564" s="337" t="str">
        <f t="shared" si="426"/>
        <v>0.005-0.043978015569059i</v>
      </c>
      <c r="H564" s="338" t="str">
        <f t="shared" si="427"/>
        <v>0.00654770879691398-0.0435623168100486i</v>
      </c>
      <c r="I564" s="338" t="str">
        <f t="shared" si="428"/>
        <v>0.016547708796914-0.0435623168100486i</v>
      </c>
      <c r="J564" s="337" t="str">
        <f t="shared" si="429"/>
        <v>0.00434707073959489-0.0172403282665708i</v>
      </c>
      <c r="K564" s="338" t="str">
        <f t="shared" si="412"/>
        <v>0.904325261822222-0.485868247828685i</v>
      </c>
      <c r="L564" s="732"/>
      <c r="M564" s="732" t="str">
        <f t="shared" si="413"/>
        <v>0.037531800750739-13.1405811838534i</v>
      </c>
      <c r="N564" s="337">
        <f t="shared" si="414"/>
        <v>0</v>
      </c>
      <c r="O564" s="730" t="str">
        <f t="shared" si="415"/>
        <v>-0.566221031284732-4.98171665286315i</v>
      </c>
      <c r="P564" s="731" t="str">
        <f t="shared" si="416"/>
        <v>-0.226384779830308-0.0577700965309786i</v>
      </c>
      <c r="Q564" s="729" t="str">
        <f t="shared" si="417"/>
        <v>-0.220722569517461-0.00795293000234686i</v>
      </c>
      <c r="R564" s="730"/>
      <c r="S564" s="405" t="str">
        <f t="shared" si="430"/>
        <v>34.6082543445491-18.122505299075i</v>
      </c>
      <c r="T564" s="405" t="str">
        <f t="shared" si="431"/>
        <v>12.3154389176715-8.39683777770303i</v>
      </c>
      <c r="U564" s="405" t="str">
        <f t="shared" si="432"/>
        <v>-0.28514779973579-0.591469100369733i</v>
      </c>
      <c r="V564" s="731" t="str">
        <f t="shared" si="418"/>
        <v>6000</v>
      </c>
      <c r="W564" s="733" t="str">
        <f>IMSUM(COMPLEX(1,0),IMDIV(COMPLEX(0,2*PI()*D564),COMPLEX(2*PI()*'Stability Calculations'!EA_Pole1,0)))</f>
        <v>1+588872.316368367i</v>
      </c>
      <c r="X564" s="734">
        <f t="shared" si="433"/>
        <v>588872.31636921619</v>
      </c>
      <c r="Y564" s="735">
        <f t="shared" si="434"/>
        <v>1.5707946286338994</v>
      </c>
      <c r="Z564" s="340" t="str">
        <f>IMSUM(COMPLEX(1,0),IMDIV(COMPLEX(0,2*PI()*D564),COMPLEX(2*PI()*'Stability Calculations'!EA_Zero1,0)))</f>
        <v>1+5830.41897394423i</v>
      </c>
      <c r="AA564" s="734">
        <f t="shared" si="435"/>
        <v>5830.4190597013603</v>
      </c>
      <c r="AB564" s="735">
        <f t="shared" si="436"/>
        <v>1.5706248125358591</v>
      </c>
      <c r="AC564" s="733" t="str">
        <f>IMSUM(COMPLEX(1,0),IMDIV(COMPLEX(0,2*PI()*D564),COMPLEX(2*PI()*'Stability Calculations'!EA_Pole2,0)))</f>
        <v>1+58.7324697394423i</v>
      </c>
      <c r="AD564" s="734">
        <f t="shared" si="437"/>
        <v>58.740982301069025</v>
      </c>
      <c r="AE564" s="735">
        <f t="shared" si="438"/>
        <v>1.553771614758056</v>
      </c>
      <c r="AF564" s="732" t="str">
        <f t="shared" si="439"/>
        <v>0.0170448895211989-1.01117654314793i</v>
      </c>
      <c r="AG564" s="337">
        <f t="shared" si="440"/>
        <v>1.0113201914682548</v>
      </c>
      <c r="AH564" s="730">
        <f t="shared" si="441"/>
        <v>-1.5539414308560962</v>
      </c>
      <c r="AI564" s="731" t="str">
        <f t="shared" si="419"/>
        <v>10000</v>
      </c>
      <c r="AJ564" s="733" t="str">
        <f t="shared" si="442"/>
        <v>1+548991.084502796i</v>
      </c>
      <c r="AK564" s="734">
        <f t="shared" si="443"/>
        <v>548991.08450370678</v>
      </c>
      <c r="AL564" s="735">
        <f t="shared" si="444"/>
        <v>1.5707945052716912</v>
      </c>
      <c r="AM564" s="340" t="str">
        <f t="shared" si="445"/>
        <v>1+931.700952036288i</v>
      </c>
      <c r="AN564" s="734">
        <f t="shared" si="446"/>
        <v>931.70148868901413</v>
      </c>
      <c r="AO564" s="735">
        <f t="shared" si="447"/>
        <v>1.5697230214453426</v>
      </c>
      <c r="AP564" s="733" t="str">
        <f t="shared" si="448"/>
        <v>1+45.1890319251028i</v>
      </c>
      <c r="AQ564" s="734">
        <f t="shared" si="449"/>
        <v>45.200095202642665</v>
      </c>
      <c r="AR564" s="735">
        <f t="shared" si="450"/>
        <v>1.5486706743836423</v>
      </c>
      <c r="AS564" s="732" t="str">
        <f t="shared" si="451"/>
        <v>0.000318091924332079-2.52226849987449i</v>
      </c>
      <c r="AT564" s="337">
        <f t="shared" si="452"/>
        <v>2.5222685199323212</v>
      </c>
      <c r="AU564" s="730">
        <f t="shared" si="453"/>
        <v>-1.5706702133685657</v>
      </c>
      <c r="AV564" s="732" t="str">
        <f t="shared" si="454"/>
        <v>-0.0317736479715185+0.0208823188307117i</v>
      </c>
      <c r="AW564" s="337">
        <f t="shared" si="455"/>
        <v>-28.399410617525078</v>
      </c>
      <c r="AX564" s="730">
        <f t="shared" si="456"/>
        <v>146.68622958986307</v>
      </c>
      <c r="AY564" s="360">
        <f t="shared" si="457"/>
        <v>-33.313770410136925</v>
      </c>
      <c r="BB564" s="337">
        <f t="shared" si="458"/>
        <v>-31.964173608889375</v>
      </c>
      <c r="BC564" s="730">
        <f t="shared" si="459"/>
        <v>-89.992774232931311</v>
      </c>
      <c r="BD564" s="351"/>
      <c r="BE564" s="337">
        <f t="shared" si="420"/>
        <v>22.372326902424618</v>
      </c>
      <c r="BF564" s="730">
        <f t="shared" si="421"/>
        <v>-89.836353666327071</v>
      </c>
      <c r="BI564" s="351"/>
      <c r="BJ564" s="351"/>
      <c r="BL564" s="405">
        <f t="shared" si="422"/>
        <v>0</v>
      </c>
      <c r="BM564" s="405">
        <f t="shared" si="460"/>
        <v>0</v>
      </c>
      <c r="BN564" s="405">
        <f t="shared" si="423"/>
        <v>0</v>
      </c>
      <c r="BO564" s="405">
        <f t="shared" si="424"/>
        <v>0</v>
      </c>
    </row>
    <row r="565" spans="4:67" ht="13.5" thickBot="1" x14ac:dyDescent="0.25">
      <c r="D565" s="345">
        <v>93325</v>
      </c>
      <c r="E565" s="340" t="str">
        <f t="shared" si="411"/>
        <v>1.54803862961229i</v>
      </c>
      <c r="F565" s="728" t="str">
        <f t="shared" si="425"/>
        <v>0.005-0.0279571114678381i</v>
      </c>
      <c r="G565" s="337" t="str">
        <f t="shared" si="426"/>
        <v>0.005-0.0437277897317467i</v>
      </c>
      <c r="H565" s="338" t="str">
        <f t="shared" si="427"/>
        <v>0.00652993717540368-0.0433150923223936i</v>
      </c>
      <c r="I565" s="338" t="str">
        <f t="shared" si="428"/>
        <v>0.0165299371754037-0.0433150923223936i</v>
      </c>
      <c r="J565" s="337" t="str">
        <f t="shared" si="429"/>
        <v>0.00434405136946558-0.0171433218914808i</v>
      </c>
      <c r="K565" s="338" t="str">
        <f t="shared" si="412"/>
        <v>0.903227159722222-0.488648557327112i</v>
      </c>
      <c r="L565" s="732"/>
      <c r="M565" s="732" t="str">
        <f t="shared" si="413"/>
        <v>0.0370706727171988-13.0641454462808i</v>
      </c>
      <c r="N565" s="337">
        <f t="shared" si="414"/>
        <v>0</v>
      </c>
      <c r="O565" s="730" t="str">
        <f t="shared" si="415"/>
        <v>-0.564666223175655-4.9513438624506i</v>
      </c>
      <c r="P565" s="731" t="str">
        <f t="shared" si="416"/>
        <v>-0.22380181371613-0.0573868333919382i</v>
      </c>
      <c r="Q565" s="729" t="str">
        <f t="shared" si="417"/>
        <v>-0.218155151484373-0.00787339476743227i</v>
      </c>
      <c r="R565" s="730"/>
      <c r="S565" s="405" t="str">
        <f t="shared" si="430"/>
        <v>34.5427891115647-18.2185295431662i</v>
      </c>
      <c r="T565" s="405" t="str">
        <f t="shared" si="431"/>
        <v>12.2804229145303-8.4327440086843i</v>
      </c>
      <c r="U565" s="405" t="str">
        <f t="shared" si="432"/>
        <v>-0.285074695147999-0.586992940893887i</v>
      </c>
      <c r="V565" s="731" t="str">
        <f t="shared" si="418"/>
        <v>6000</v>
      </c>
      <c r="W565" s="733" t="str">
        <f>IMSUM(COMPLEX(1,0),IMDIV(COMPLEX(0,2*PI()*D565),COMPLEX(2*PI()*'Stability Calculations'!EA_Pole1,0)))</f>
        <v>1+592242.05148046i</v>
      </c>
      <c r="X565" s="734">
        <f t="shared" si="433"/>
        <v>592242.05148130422</v>
      </c>
      <c r="Y565" s="735">
        <f t="shared" si="434"/>
        <v>1.5707946382960851</v>
      </c>
      <c r="Z565" s="340" t="str">
        <f>IMSUM(COMPLEX(1,0),IMDIV(COMPLEX(0,2*PI()*D565),COMPLEX(2*PI()*'Stability Calculations'!EA_Zero1,0)))</f>
        <v>1+5863.78268792535i</v>
      </c>
      <c r="AA565" s="734">
        <f t="shared" si="435"/>
        <v>5863.782773194539</v>
      </c>
      <c r="AB565" s="735">
        <f t="shared" si="436"/>
        <v>1.5706257884165962</v>
      </c>
      <c r="AC565" s="733" t="str">
        <f>IMSUM(COMPLEX(1,0),IMDIV(COMPLEX(0,2*PI()*D565),COMPLEX(2*PI()*'Stability Calculations'!EA_Pole2,0)))</f>
        <v>1+59.0685576484843i</v>
      </c>
      <c r="AD565" s="734">
        <f t="shared" si="437"/>
        <v>59.077021782350478</v>
      </c>
      <c r="AE565" s="735">
        <f t="shared" si="438"/>
        <v>1.5538684633010085</v>
      </c>
      <c r="AF565" s="732" t="str">
        <f t="shared" si="439"/>
        <v>0.0168515329344866-1.00542643061449i</v>
      </c>
      <c r="AG565" s="337">
        <f t="shared" si="440"/>
        <v>1.0055676414545349</v>
      </c>
      <c r="AH565" s="730">
        <f t="shared" si="441"/>
        <v>-1.5540373131804976</v>
      </c>
      <c r="AI565" s="731" t="str">
        <f t="shared" si="419"/>
        <v>10000</v>
      </c>
      <c r="AJ565" s="733" t="str">
        <f t="shared" si="442"/>
        <v>1+552132.605138515i</v>
      </c>
      <c r="AK565" s="734">
        <f t="shared" si="443"/>
        <v>552132.60513942048</v>
      </c>
      <c r="AL565" s="735">
        <f t="shared" si="444"/>
        <v>1.5707945156357825</v>
      </c>
      <c r="AM565" s="340" t="str">
        <f t="shared" si="445"/>
        <v>1+937.032473530471i</v>
      </c>
      <c r="AN565" s="734">
        <f t="shared" si="446"/>
        <v>937.03300712975567</v>
      </c>
      <c r="AO565" s="735">
        <f t="shared" si="447"/>
        <v>1.5697291283267425</v>
      </c>
      <c r="AP565" s="733" t="str">
        <f t="shared" si="448"/>
        <v>1+45.4476195056815i</v>
      </c>
      <c r="AQ565" s="734">
        <f t="shared" si="449"/>
        <v>45.458619850730194</v>
      </c>
      <c r="AR565" s="735">
        <f t="shared" si="450"/>
        <v>1.5487965240499146</v>
      </c>
      <c r="AS565" s="732" t="str">
        <f t="shared" si="451"/>
        <v>0.000314482467343867-2.50791731282714i</v>
      </c>
      <c r="AT565" s="337">
        <f t="shared" si="452"/>
        <v>2.5079173325445407</v>
      </c>
      <c r="AU565" s="730">
        <f t="shared" si="453"/>
        <v>-1.5706709309279407</v>
      </c>
      <c r="AV565" s="732" t="str">
        <f t="shared" si="454"/>
        <v>-0.0313243980001409+0.020740460296652i</v>
      </c>
      <c r="AW565" s="337">
        <f t="shared" si="455"/>
        <v>-28.503546245382768</v>
      </c>
      <c r="AX565" s="730">
        <f t="shared" si="456"/>
        <v>146.49072432902531</v>
      </c>
      <c r="AY565" s="360">
        <f t="shared" si="457"/>
        <v>-33.509275670974688</v>
      </c>
      <c r="BB565" s="337">
        <f t="shared" si="458"/>
        <v>-32.013735661542889</v>
      </c>
      <c r="BC565" s="730">
        <f t="shared" si="459"/>
        <v>-89.992815346055053</v>
      </c>
      <c r="BD565" s="351"/>
      <c r="BE565" s="337">
        <f t="shared" si="420"/>
        <v>22.321655106074644</v>
      </c>
      <c r="BF565" s="730">
        <f t="shared" si="421"/>
        <v>-89.83741857449202</v>
      </c>
      <c r="BI565" s="351"/>
      <c r="BJ565" s="351"/>
      <c r="BL565" s="405">
        <f t="shared" si="422"/>
        <v>0</v>
      </c>
      <c r="BM565" s="405">
        <f t="shared" si="460"/>
        <v>0</v>
      </c>
      <c r="BN565" s="405">
        <f t="shared" si="423"/>
        <v>0</v>
      </c>
      <c r="BO565" s="405">
        <f t="shared" si="424"/>
        <v>0</v>
      </c>
    </row>
    <row r="566" spans="4:67" ht="13.5" thickBot="1" x14ac:dyDescent="0.25">
      <c r="D566" s="345">
        <v>93868.5</v>
      </c>
      <c r="E566" s="340" t="str">
        <f t="shared" si="411"/>
        <v>1.55705399521845i</v>
      </c>
      <c r="F566" s="728" t="str">
        <f t="shared" si="425"/>
        <v>0.005-0.027795239379941i</v>
      </c>
      <c r="G566" s="337" t="str">
        <f t="shared" si="426"/>
        <v>0.005-0.0434746051840102i</v>
      </c>
      <c r="H566" s="338" t="str">
        <f t="shared" si="427"/>
        <v>0.00651205810366718-0.0430649335488842i</v>
      </c>
      <c r="I566" s="338" t="str">
        <f t="shared" si="428"/>
        <v>0.0165120581036672-0.0430649335488842i</v>
      </c>
      <c r="J566" s="337" t="str">
        <f t="shared" si="429"/>
        <v>0.00434100747190774-0.017045172222928i</v>
      </c>
      <c r="K566" s="338" t="str">
        <f t="shared" si="412"/>
        <v>0.902096718975-0.491494316672489i</v>
      </c>
      <c r="L566" s="732"/>
      <c r="M566" s="732" t="str">
        <f t="shared" si="413"/>
        <v>0.0366075496652799-12.986835391924i</v>
      </c>
      <c r="N566" s="337">
        <f t="shared" si="414"/>
        <v>0</v>
      </c>
      <c r="O566" s="730" t="str">
        <f t="shared" si="415"/>
        <v>-0.56309389433771-4.92061813813949i</v>
      </c>
      <c r="P566" s="731" t="str">
        <f t="shared" si="416"/>
        <v>-0.221203932239535-0.0569999314614819i</v>
      </c>
      <c r="Q566" s="729" t="str">
        <f t="shared" si="417"/>
        <v>-0.215572993296158-0.00779375008008709i</v>
      </c>
      <c r="R566" s="730"/>
      <c r="S566" s="405" t="str">
        <f t="shared" si="430"/>
        <v>34.4754038971493-18.3165322446599i</v>
      </c>
      <c r="T566" s="405" t="str">
        <f t="shared" si="431"/>
        <v>12.2444247626873-8.46932954014516i</v>
      </c>
      <c r="U566" s="405" t="str">
        <f t="shared" si="432"/>
        <v>-0.284994708349351-0.582458104813968i</v>
      </c>
      <c r="V566" s="731" t="str">
        <f t="shared" si="418"/>
        <v>6000</v>
      </c>
      <c r="W566" s="733" t="str">
        <f>IMSUM(COMPLEX(1,0),IMDIV(COMPLEX(0,2*PI()*D566),COMPLEX(2*PI()*'Stability Calculations'!EA_Pole1,0)))</f>
        <v>1+595691.111807057i</v>
      </c>
      <c r="X566" s="734">
        <f t="shared" si="433"/>
        <v>595691.11180789641</v>
      </c>
      <c r="Y566" s="735">
        <f t="shared" si="434"/>
        <v>1.5707946480725181</v>
      </c>
      <c r="Z566" s="340" t="str">
        <f>IMSUM(COMPLEX(1,0),IMDIV(COMPLEX(0,2*PI()*D566),COMPLEX(2*PI()*'Stability Calculations'!EA_Zero1,0)))</f>
        <v>1+5897.93180006987i</v>
      </c>
      <c r="AA566" s="734">
        <f t="shared" si="435"/>
        <v>5897.9318848453495</v>
      </c>
      <c r="AB566" s="735">
        <f t="shared" si="436"/>
        <v>1.5706267758363037</v>
      </c>
      <c r="AC566" s="733" t="str">
        <f>IMSUM(COMPLEX(1,0),IMDIV(COMPLEX(0,2*PI()*D566),COMPLEX(2*PI()*'Stability Calculations'!EA_Pole2,0)))</f>
        <v>1+59.4125572314679i</v>
      </c>
      <c r="AD566" s="734">
        <f t="shared" si="437"/>
        <v>59.420972364834689</v>
      </c>
      <c r="AE566" s="735">
        <f t="shared" si="438"/>
        <v>1.5539664573198961</v>
      </c>
      <c r="AF566" s="732" t="str">
        <f t="shared" si="439"/>
        <v>0.016657011728595-0.999608270818824i</v>
      </c>
      <c r="AG566" s="337">
        <f t="shared" si="440"/>
        <v>0.99974704357108557</v>
      </c>
      <c r="AH566" s="730">
        <f t="shared" si="441"/>
        <v>-1.5541343295561105</v>
      </c>
      <c r="AI566" s="731" t="str">
        <f t="shared" si="419"/>
        <v>10000</v>
      </c>
      <c r="AJ566" s="733" t="str">
        <f t="shared" si="442"/>
        <v>1+555348.078708221i</v>
      </c>
      <c r="AK566" s="734">
        <f t="shared" si="443"/>
        <v>555348.07870912144</v>
      </c>
      <c r="AL566" s="735">
        <f t="shared" si="444"/>
        <v>1.5707945261224205</v>
      </c>
      <c r="AM566" s="340" t="str">
        <f t="shared" si="445"/>
        <v>1+942.489501651165i</v>
      </c>
      <c r="AN566" s="734">
        <f t="shared" si="446"/>
        <v>942.49003216090375</v>
      </c>
      <c r="AO566" s="735">
        <f t="shared" si="447"/>
        <v>1.5697353074169682</v>
      </c>
      <c r="AP566" s="733" t="str">
        <f t="shared" si="448"/>
        <v>1+45.7122943645225i</v>
      </c>
      <c r="AQ566" s="734">
        <f t="shared" si="449"/>
        <v>45.723231032690101</v>
      </c>
      <c r="AR566" s="735">
        <f t="shared" si="450"/>
        <v>1.5489238624922042</v>
      </c>
      <c r="AS566" s="732" t="str">
        <f t="shared" si="451"/>
        <v>0.0003108512939437-2.49339643503505i</v>
      </c>
      <c r="AT566" s="337">
        <f t="shared" si="452"/>
        <v>2.493396454411938</v>
      </c>
      <c r="AU566" s="730">
        <f t="shared" si="453"/>
        <v>-1.5706716569718531</v>
      </c>
      <c r="AV566" s="732" t="str">
        <f t="shared" si="454"/>
        <v>-0.030872566465238+0.0205967332413936i</v>
      </c>
      <c r="AW566" s="337">
        <f t="shared" si="455"/>
        <v>-28.609585937134341</v>
      </c>
      <c r="AX566" s="730">
        <f t="shared" si="456"/>
        <v>146.29063560173839</v>
      </c>
      <c r="AY566" s="360">
        <f t="shared" si="457"/>
        <v>-33.709364398261613</v>
      </c>
      <c r="BB566" s="337">
        <f t="shared" si="458"/>
        <v>-32.064173248421064</v>
      </c>
      <c r="BC566" s="730">
        <f t="shared" si="459"/>
        <v>-89.992856945306968</v>
      </c>
      <c r="BD566" s="351"/>
      <c r="BE566" s="337">
        <f t="shared" si="420"/>
        <v>22.270101225541801</v>
      </c>
      <c r="BF566" s="730">
        <f t="shared" si="421"/>
        <v>-89.838493945940243</v>
      </c>
      <c r="BI566" s="351"/>
      <c r="BJ566" s="351"/>
      <c r="BL566" s="405">
        <f t="shared" si="422"/>
        <v>0</v>
      </c>
      <c r="BM566" s="405">
        <f t="shared" si="460"/>
        <v>0</v>
      </c>
      <c r="BN566" s="405">
        <f t="shared" si="423"/>
        <v>0</v>
      </c>
      <c r="BO566" s="405">
        <f t="shared" si="424"/>
        <v>0</v>
      </c>
    </row>
    <row r="567" spans="4:67" ht="13.5" thickBot="1" x14ac:dyDescent="0.25">
      <c r="D567" s="345">
        <v>94412</v>
      </c>
      <c r="E567" s="340" t="str">
        <f t="shared" si="411"/>
        <v>1.5660693608246i</v>
      </c>
      <c r="F567" s="728" t="str">
        <f t="shared" si="425"/>
        <v>0.005-0.0276352309847899i</v>
      </c>
      <c r="G567" s="337" t="str">
        <f t="shared" si="426"/>
        <v>0.005-0.0432243356428766i</v>
      </c>
      <c r="H567" s="338" t="str">
        <f t="shared" si="427"/>
        <v>0.00649448640004278-0.0428176440699998i</v>
      </c>
      <c r="I567" s="338" t="str">
        <f t="shared" si="428"/>
        <v>0.0164944864000428-0.0428176440699998i</v>
      </c>
      <c r="J567" s="337" t="str">
        <f t="shared" si="429"/>
        <v>0.00433800957243197-0.0169481563233305i</v>
      </c>
      <c r="K567" s="338" t="str">
        <f t="shared" si="412"/>
        <v>0.900959713955555-0.494340076017866i</v>
      </c>
      <c r="L567" s="732"/>
      <c r="M567" s="732" t="str">
        <f t="shared" si="413"/>
        <v>0.0361531629637856-12.9104443920331i</v>
      </c>
      <c r="N567" s="337">
        <f t="shared" si="414"/>
        <v>0</v>
      </c>
      <c r="O567" s="730" t="str">
        <f t="shared" si="415"/>
        <v>-0.561540399853336-4.89025216245106i</v>
      </c>
      <c r="P567" s="731" t="str">
        <f t="shared" si="416"/>
        <v>-0.218651396992832-0.0566183608144833i</v>
      </c>
      <c r="Q567" s="729" t="str">
        <f t="shared" si="417"/>
        <v>-0.213035992994299-0.0077158391899725i</v>
      </c>
      <c r="R567" s="730"/>
      <c r="S567" s="405" t="str">
        <f t="shared" si="430"/>
        <v>34.4076360891999-18.4142480713358i</v>
      </c>
      <c r="T567" s="405" t="str">
        <f t="shared" si="431"/>
        <v>12.2082678299174-8.5057460719495i</v>
      </c>
      <c r="U567" s="405" t="str">
        <f t="shared" si="432"/>
        <v>-0.284909578469055-0.577969718839124i</v>
      </c>
      <c r="V567" s="731" t="str">
        <f t="shared" si="418"/>
        <v>6000</v>
      </c>
      <c r="W567" s="733" t="str">
        <f>IMSUM(COMPLEX(1,0),IMDIV(COMPLEX(0,2*PI()*D567),COMPLEX(2*PI()*'Stability Calculations'!EA_Pole1,0)))</f>
        <v>1+599140.172133653i</v>
      </c>
      <c r="X567" s="734">
        <f t="shared" si="433"/>
        <v>599140.17213448754</v>
      </c>
      <c r="Y567" s="735">
        <f t="shared" si="434"/>
        <v>1.5707946577363916</v>
      </c>
      <c r="Z567" s="340" t="str">
        <f>IMSUM(COMPLEX(1,0),IMDIV(COMPLEX(0,2*PI()*D567),COMPLEX(2*PI()*'Stability Calculations'!EA_Zero1,0)))</f>
        <v>1+5932.08091221439i</v>
      </c>
      <c r="AA567" s="734">
        <f t="shared" si="435"/>
        <v>5932.0809965018443</v>
      </c>
      <c r="AB567" s="735">
        <f t="shared" si="436"/>
        <v>1.5706277518874863</v>
      </c>
      <c r="AC567" s="733" t="str">
        <f>IMSUM(COMPLEX(1,0),IMDIV(COMPLEX(0,2*PI()*D567),COMPLEX(2*PI()*'Stability Calculations'!EA_Pole2,0)))</f>
        <v>1+59.7565568144516i</v>
      </c>
      <c r="AD567" s="734">
        <f t="shared" si="437"/>
        <v>59.764923511360593</v>
      </c>
      <c r="AE567" s="735">
        <f t="shared" si="438"/>
        <v>1.554063323415392</v>
      </c>
      <c r="AF567" s="732" t="str">
        <f t="shared" si="439"/>
        <v>0.0164658389808569-0.993857041596894i</v>
      </c>
      <c r="AG567" s="337">
        <f t="shared" si="440"/>
        <v>0.993993432063348</v>
      </c>
      <c r="AH567" s="730">
        <f t="shared" si="441"/>
        <v>-1.5542302292642973</v>
      </c>
      <c r="AI567" s="731" t="str">
        <f t="shared" si="419"/>
        <v>10000</v>
      </c>
      <c r="AJ567" s="733" t="str">
        <f t="shared" si="442"/>
        <v>1+558563.552277927i</v>
      </c>
      <c r="AK567" s="734">
        <f t="shared" si="443"/>
        <v>558563.55227882229</v>
      </c>
      <c r="AL567" s="735">
        <f t="shared" si="444"/>
        <v>1.570794536488322</v>
      </c>
      <c r="AM567" s="340" t="str">
        <f t="shared" si="445"/>
        <v>1+947.946529771859i</v>
      </c>
      <c r="AN567" s="734">
        <f t="shared" si="446"/>
        <v>947.94705722762285</v>
      </c>
      <c r="AO567" s="735">
        <f t="shared" si="447"/>
        <v>1.5697414153651406</v>
      </c>
      <c r="AP567" s="733" t="str">
        <f t="shared" si="448"/>
        <v>1+45.9769692233635i</v>
      </c>
      <c r="AQ567" s="734">
        <f t="shared" si="449"/>
        <v>45.987842947523802</v>
      </c>
      <c r="AR567" s="735">
        <f t="shared" si="450"/>
        <v>1.5490497355375363</v>
      </c>
      <c r="AS567" s="732" t="str">
        <f t="shared" si="451"/>
        <v>0.000307282650412865-2.47904274142958i</v>
      </c>
      <c r="AT567" s="337">
        <f t="shared" si="452"/>
        <v>2.4790427604737508</v>
      </c>
      <c r="AU567" s="730">
        <f t="shared" si="453"/>
        <v>-1.5706723746565556</v>
      </c>
      <c r="AV567" s="732" t="str">
        <f t="shared" si="454"/>
        <v>-0.0304286385355011+0.0204544699790604i</v>
      </c>
      <c r="AW567" s="337">
        <f t="shared" si="455"/>
        <v>-28.715078767542515</v>
      </c>
      <c r="AX567" s="730">
        <f t="shared" si="456"/>
        <v>146.09056587852302</v>
      </c>
      <c r="AY567" s="360">
        <f t="shared" si="457"/>
        <v>-33.909434121476977</v>
      </c>
      <c r="BB567" s="337">
        <f t="shared" si="458"/>
        <v>-32.114319642314953</v>
      </c>
      <c r="BC567" s="730">
        <f t="shared" si="459"/>
        <v>-89.992898065611442</v>
      </c>
      <c r="BD567" s="351"/>
      <c r="BE567" s="337">
        <f t="shared" si="420"/>
        <v>22.218857884511909</v>
      </c>
      <c r="BF567" s="730">
        <f t="shared" si="421"/>
        <v>-89.839554845944477</v>
      </c>
      <c r="BI567" s="351"/>
      <c r="BJ567" s="351"/>
      <c r="BL567" s="405">
        <f t="shared" si="422"/>
        <v>0</v>
      </c>
      <c r="BM567" s="405">
        <f t="shared" si="460"/>
        <v>0</v>
      </c>
      <c r="BN567" s="405">
        <f t="shared" si="423"/>
        <v>0</v>
      </c>
      <c r="BO567" s="405">
        <f t="shared" si="424"/>
        <v>0</v>
      </c>
    </row>
    <row r="568" spans="4:67" ht="13.5" thickBot="1" x14ac:dyDescent="0.25">
      <c r="D568" s="345">
        <v>94955.5</v>
      </c>
      <c r="E568" s="340" t="str">
        <f t="shared" si="411"/>
        <v>1.57508472643075i</v>
      </c>
      <c r="F568" s="728" t="str">
        <f t="shared" si="425"/>
        <v>0.005-0.0274770542805418i</v>
      </c>
      <c r="G568" s="337" t="str">
        <f t="shared" si="426"/>
        <v>0.005-0.0429769310541807i</v>
      </c>
      <c r="H568" s="338" t="str">
        <f t="shared" si="427"/>
        <v>0.00647721506207751-0.0425731748628436i</v>
      </c>
      <c r="I568" s="338" t="str">
        <f t="shared" si="428"/>
        <v>0.0164772150620775-0.0425731748628436i</v>
      </c>
      <c r="J568" s="337" t="str">
        <f t="shared" si="429"/>
        <v>0.00433505660059523-0.0168522547127128i</v>
      </c>
      <c r="K568" s="338" t="str">
        <f t="shared" si="412"/>
        <v>0.899816144663889-0.497185835363243i</v>
      </c>
      <c r="L568" s="732"/>
      <c r="M568" s="732" t="str">
        <f t="shared" si="413"/>
        <v>0.0357072912553139-12.8349559965339i</v>
      </c>
      <c r="N568" s="337">
        <f t="shared" si="414"/>
        <v>0</v>
      </c>
      <c r="O568" s="730" t="str">
        <f t="shared" si="415"/>
        <v>-0.560005281979032-4.86023952291434i</v>
      </c>
      <c r="P568" s="731" t="str">
        <f t="shared" si="416"/>
        <v>-0.216143154551405-0.0562420090784593i</v>
      </c>
      <c r="Q568" s="729" t="str">
        <f t="shared" si="417"/>
        <v>-0.210543101731615-0.00763961384931559i</v>
      </c>
      <c r="R568" s="730"/>
      <c r="S568" s="405" t="str">
        <f t="shared" si="430"/>
        <v>34.3394864198753-18.5116754006632i</v>
      </c>
      <c r="T568" s="405" t="str">
        <f t="shared" si="431"/>
        <v>12.1719530414002-8.5419924848394i</v>
      </c>
      <c r="U568" s="405" t="str">
        <f t="shared" si="432"/>
        <v>-0.28481938215951-0.573527007636811i</v>
      </c>
      <c r="V568" s="731" t="str">
        <f t="shared" si="418"/>
        <v>6000</v>
      </c>
      <c r="W568" s="733" t="str">
        <f>IMSUM(COMPLEX(1,0),IMDIV(COMPLEX(0,2*PI()*D568),COMPLEX(2*PI()*'Stability Calculations'!EA_Pole1,0)))</f>
        <v>1+602589.23246025i</v>
      </c>
      <c r="X568" s="734">
        <f t="shared" si="433"/>
        <v>602589.23246107984</v>
      </c>
      <c r="Y568" s="735">
        <f t="shared" si="434"/>
        <v>1.570794667289638</v>
      </c>
      <c r="Z568" s="340" t="str">
        <f>IMSUM(COMPLEX(1,0),IMDIV(COMPLEX(0,2*PI()*D568),COMPLEX(2*PI()*'Stability Calculations'!EA_Zero1,0)))</f>
        <v>1+5966.23002435891i</v>
      </c>
      <c r="AA568" s="734">
        <f t="shared" si="435"/>
        <v>5966.2301081639253</v>
      </c>
      <c r="AB568" s="735">
        <f t="shared" si="436"/>
        <v>1.570628716765355</v>
      </c>
      <c r="AC568" s="733" t="str">
        <f>IMSUM(COMPLEX(1,0),IMDIV(COMPLEX(0,2*PI()*D568),COMPLEX(2*PI()*'Stability Calculations'!EA_Pole2,0)))</f>
        <v>1+60.1005563974353i</v>
      </c>
      <c r="AD568" s="734">
        <f t="shared" si="437"/>
        <v>60.108875212245493</v>
      </c>
      <c r="AE568" s="735">
        <f t="shared" si="438"/>
        <v>1.5541590809480861</v>
      </c>
      <c r="AF568" s="732" t="str">
        <f t="shared" si="439"/>
        <v>0.0162779382838307-0.988171594941672i</v>
      </c>
      <c r="AG568" s="337">
        <f t="shared" si="440"/>
        <v>0.98830565733701037</v>
      </c>
      <c r="AH568" s="730">
        <f t="shared" si="441"/>
        <v>-1.5543250314723693</v>
      </c>
      <c r="AI568" s="731" t="str">
        <f t="shared" si="419"/>
        <v>10000</v>
      </c>
      <c r="AJ568" s="733" t="str">
        <f t="shared" si="442"/>
        <v>1+561779.025847632i</v>
      </c>
      <c r="AK568" s="734">
        <f t="shared" si="443"/>
        <v>561779.02584852197</v>
      </c>
      <c r="AL568" s="735">
        <f t="shared" si="444"/>
        <v>1.5707945467355602</v>
      </c>
      <c r="AM568" s="340" t="str">
        <f t="shared" si="445"/>
        <v>1+953.403557892554i</v>
      </c>
      <c r="AN568" s="734">
        <f t="shared" si="446"/>
        <v>953.40408232930315</v>
      </c>
      <c r="AO568" s="735">
        <f t="shared" si="447"/>
        <v>1.5697474533928519</v>
      </c>
      <c r="AP568" s="733" t="str">
        <f t="shared" si="448"/>
        <v>1+46.2416440822045i</v>
      </c>
      <c r="AQ568" s="734">
        <f t="shared" si="449"/>
        <v>46.252455582652892</v>
      </c>
      <c r="AR568" s="735">
        <f t="shared" si="450"/>
        <v>1.549174168332718</v>
      </c>
      <c r="AS568" s="732" t="str">
        <f t="shared" si="451"/>
        <v>0.000303775109239112-2.46485336125761i</v>
      </c>
      <c r="AT568" s="337">
        <f t="shared" si="452"/>
        <v>2.4648533799766374</v>
      </c>
      <c r="AU568" s="730">
        <f t="shared" si="453"/>
        <v>-1.5706730841255858</v>
      </c>
      <c r="AV568" s="732" t="str">
        <f t="shared" si="454"/>
        <v>-0.0299924346491367+0.0203136466361057i</v>
      </c>
      <c r="AW568" s="337">
        <f t="shared" si="455"/>
        <v>-28.82003151866946</v>
      </c>
      <c r="AX568" s="730">
        <f t="shared" si="456"/>
        <v>145.89051513662019</v>
      </c>
      <c r="AY568" s="360">
        <f t="shared" si="457"/>
        <v>-34.109484863379805</v>
      </c>
      <c r="BB568" s="337">
        <f t="shared" si="458"/>
        <v>-32.164178186241415</v>
      </c>
      <c r="BC568" s="730">
        <f t="shared" si="459"/>
        <v>-89.992938715192565</v>
      </c>
      <c r="BD568" s="351"/>
      <c r="BE568" s="337">
        <f t="shared" si="420"/>
        <v>22.167921294457461</v>
      </c>
      <c r="BF568" s="730">
        <f t="shared" si="421"/>
        <v>-89.840601572052023</v>
      </c>
      <c r="BI568" s="351"/>
      <c r="BJ568" s="351"/>
      <c r="BL568" s="405">
        <f t="shared" si="422"/>
        <v>0</v>
      </c>
      <c r="BM568" s="405">
        <f t="shared" si="460"/>
        <v>0</v>
      </c>
      <c r="BN568" s="405">
        <f t="shared" si="423"/>
        <v>0</v>
      </c>
      <c r="BO568" s="405">
        <f t="shared" si="424"/>
        <v>0</v>
      </c>
    </row>
    <row r="569" spans="4:67" ht="13.5" thickBot="1" x14ac:dyDescent="0.25">
      <c r="D569" s="345">
        <v>95499</v>
      </c>
      <c r="E569" s="340" t="str">
        <f t="shared" si="411"/>
        <v>1.58410009203691i</v>
      </c>
      <c r="F569" s="728" t="str">
        <f t="shared" si="425"/>
        <v>0.005-0.0273206779938637i</v>
      </c>
      <c r="G569" s="337" t="str">
        <f t="shared" si="426"/>
        <v>0.005-0.0427323425032227i</v>
      </c>
      <c r="H569" s="338" t="str">
        <f t="shared" si="427"/>
        <v>0.00646023728552012-0.042331478013575i</v>
      </c>
      <c r="I569" s="338" t="str">
        <f t="shared" si="428"/>
        <v>0.0164602372855201-0.042331478013575i</v>
      </c>
      <c r="J569" s="337" t="str">
        <f t="shared" si="429"/>
        <v>0.00433214751654032-0.0167574483541009i</v>
      </c>
      <c r="K569" s="338" t="str">
        <f t="shared" si="412"/>
        <v>0.8986660111-0.500031594708619i</v>
      </c>
      <c r="L569" s="732"/>
      <c r="M569" s="732" t="str">
        <f t="shared" si="413"/>
        <v>0.0352697202235745-12.7603541490935i</v>
      </c>
      <c r="N569" s="337">
        <f t="shared" si="414"/>
        <v>0</v>
      </c>
      <c r="O569" s="730" t="str">
        <f t="shared" si="415"/>
        <v>-0.558488096281078-4.83057396085004i</v>
      </c>
      <c r="P569" s="731" t="str">
        <f t="shared" si="416"/>
        <v>-0.213678182002596-0.0558707670522805i</v>
      </c>
      <c r="Q569" s="729" t="str">
        <f t="shared" si="417"/>
        <v>-0.208093301039785-0.0075650274437803i</v>
      </c>
      <c r="R569" s="730"/>
      <c r="S569" s="405" t="str">
        <f t="shared" si="430"/>
        <v>34.2709556361733-18.6088125941783i</v>
      </c>
      <c r="T569" s="405" t="str">
        <f t="shared" si="431"/>
        <v>12.1354813301991-8.57806766827283i</v>
      </c>
      <c r="U569" s="405" t="str">
        <f t="shared" si="432"/>
        <v>-0.284724193931364-0.569129213701763i</v>
      </c>
      <c r="V569" s="731" t="str">
        <f t="shared" si="418"/>
        <v>6000</v>
      </c>
      <c r="W569" s="733" t="str">
        <f>IMSUM(COMPLEX(1,0),IMDIV(COMPLEX(0,2*PI()*D569),COMPLEX(2*PI()*'Stability Calculations'!EA_Pole1,0)))</f>
        <v>1+606038.292786847i</v>
      </c>
      <c r="X569" s="734">
        <f t="shared" si="433"/>
        <v>606038.29278767202</v>
      </c>
      <c r="Y569" s="735">
        <f t="shared" si="434"/>
        <v>1.5707946767341465</v>
      </c>
      <c r="Z569" s="340" t="str">
        <f>IMSUM(COMPLEX(1,0),IMDIV(COMPLEX(0,2*PI()*D569),COMPLEX(2*PI()*'Stability Calculations'!EA_Zero1,0)))</f>
        <v>1+6000.37913650343i</v>
      </c>
      <c r="AA569" s="734">
        <f t="shared" si="435"/>
        <v>6000.3792198314977</v>
      </c>
      <c r="AB569" s="735">
        <f t="shared" si="436"/>
        <v>1.570629670660677</v>
      </c>
      <c r="AC569" s="733" t="str">
        <f>IMSUM(COMPLEX(1,0),IMDIV(COMPLEX(0,2*PI()*D569),COMPLEX(2*PI()*'Stability Calculations'!EA_Pole2,0)))</f>
        <v>1+60.4445559804189i</v>
      </c>
      <c r="AD569" s="734">
        <f t="shared" si="437"/>
        <v>60.452827458027095</v>
      </c>
      <c r="AE569" s="735">
        <f t="shared" si="438"/>
        <v>1.5542537488380352</v>
      </c>
      <c r="AF569" s="732" t="str">
        <f t="shared" si="439"/>
        <v>0.0160932353969075-0.982550808944256i</v>
      </c>
      <c r="AG569" s="337">
        <f t="shared" si="440"/>
        <v>0.98268259594975627</v>
      </c>
      <c r="AH569" s="730">
        <f t="shared" si="441"/>
        <v>-1.5544187549115047</v>
      </c>
      <c r="AI569" s="731" t="str">
        <f t="shared" si="419"/>
        <v>10000</v>
      </c>
      <c r="AJ569" s="733" t="str">
        <f t="shared" si="442"/>
        <v>1+564994.499417338i</v>
      </c>
      <c r="AK569" s="734">
        <f t="shared" si="443"/>
        <v>564994.49941822304</v>
      </c>
      <c r="AL569" s="735">
        <f t="shared" si="444"/>
        <v>1.570794556866161</v>
      </c>
      <c r="AM569" s="340" t="str">
        <f t="shared" si="445"/>
        <v>1+958.860586013248i</v>
      </c>
      <c r="AN569" s="734">
        <f t="shared" si="446"/>
        <v>958.86110746534575</v>
      </c>
      <c r="AO569" s="735">
        <f t="shared" si="447"/>
        <v>1.5697534226938863</v>
      </c>
      <c r="AP569" s="733" t="str">
        <f t="shared" si="448"/>
        <v>1+46.5063189410456i</v>
      </c>
      <c r="AQ569" s="734">
        <f t="shared" si="449"/>
        <v>46.51706892578526</v>
      </c>
      <c r="AR569" s="735">
        <f t="shared" si="450"/>
        <v>1.5492971854525441</v>
      </c>
      <c r="AS569" s="732" t="str">
        <f t="shared" si="451"/>
        <v>0.000300327283415258-2.45082548911763i</v>
      </c>
      <c r="AT569" s="337">
        <f t="shared" si="452"/>
        <v>2.4508255075188741</v>
      </c>
      <c r="AU569" s="730">
        <f t="shared" si="453"/>
        <v>-1.5706737855192139</v>
      </c>
      <c r="AV569" s="732" t="str">
        <f t="shared" si="454"/>
        <v>-0.0295637803430861+0.0201742398582097i</v>
      </c>
      <c r="AW569" s="337">
        <f t="shared" si="455"/>
        <v>-28.924450857927933</v>
      </c>
      <c r="AX569" s="730">
        <f t="shared" si="456"/>
        <v>145.69048336867314</v>
      </c>
      <c r="AY569" s="360">
        <f t="shared" si="457"/>
        <v>-34.309516631326858</v>
      </c>
      <c r="BB569" s="337">
        <f t="shared" si="458"/>
        <v>-32.213752165977084</v>
      </c>
      <c r="BC569" s="730">
        <f t="shared" si="459"/>
        <v>-89.992978902087231</v>
      </c>
      <c r="BD569" s="351"/>
      <c r="BE569" s="337">
        <f t="shared" si="420"/>
        <v>22.117287736862728</v>
      </c>
      <c r="BF569" s="730">
        <f t="shared" si="421"/>
        <v>-89.841634413615324</v>
      </c>
      <c r="BI569" s="351"/>
      <c r="BJ569" s="351"/>
      <c r="BL569" s="405">
        <f t="shared" si="422"/>
        <v>0</v>
      </c>
      <c r="BM569" s="405">
        <f t="shared" si="460"/>
        <v>0</v>
      </c>
      <c r="BN569" s="405">
        <f t="shared" si="423"/>
        <v>0</v>
      </c>
      <c r="BO569" s="405">
        <f t="shared" si="424"/>
        <v>0</v>
      </c>
    </row>
    <row r="570" spans="4:67" ht="13.5" thickBot="1" x14ac:dyDescent="0.25">
      <c r="D570" s="345">
        <v>96611.5</v>
      </c>
      <c r="E570" s="340" t="str">
        <f t="shared" si="411"/>
        <v>1.60255380728409i</v>
      </c>
      <c r="F570" s="728" t="str">
        <f t="shared" si="425"/>
        <v>0.005-0.0270060751332501i</v>
      </c>
      <c r="G570" s="337" t="str">
        <f t="shared" si="426"/>
        <v>0.005-0.042240271362263i</v>
      </c>
      <c r="H570" s="338" t="str">
        <f t="shared" si="427"/>
        <v>0.00642637299404882-0.0418451937939506i</v>
      </c>
      <c r="I570" s="338" t="str">
        <f t="shared" si="428"/>
        <v>0.0164263729940488-0.0418451937939506i</v>
      </c>
      <c r="J570" s="337" t="str">
        <f t="shared" si="429"/>
        <v>0.00432632550059197-0.0165667251197649i</v>
      </c>
      <c r="K570" s="338" t="str">
        <f t="shared" si="412"/>
        <v>0.896291311863889-0.505856631087151i</v>
      </c>
      <c r="L570" s="732"/>
      <c r="M570" s="732" t="str">
        <f t="shared" si="413"/>
        <v>0.0343990670535571-12.6103493548927i</v>
      </c>
      <c r="N570" s="337">
        <f t="shared" si="414"/>
        <v>0</v>
      </c>
      <c r="O570" s="730" t="str">
        <f t="shared" si="415"/>
        <v>-0.555436659200293-4.77090776805031i</v>
      </c>
      <c r="P570" s="731" t="str">
        <f t="shared" si="416"/>
        <v>-0.208763369865722-0.0551263558736985i</v>
      </c>
      <c r="Q570" s="729" t="str">
        <f t="shared" si="417"/>
        <v>-0.203209003273719-0.00741727819319547i</v>
      </c>
      <c r="R570" s="730"/>
      <c r="S570" s="405" t="str">
        <f t="shared" si="430"/>
        <v>34.1294934897847-18.8067327437255i</v>
      </c>
      <c r="T570" s="405" t="str">
        <f t="shared" si="431"/>
        <v>12.0603413432699-8.65137202809356i</v>
      </c>
      <c r="U570" s="405" t="str">
        <f t="shared" si="432"/>
        <v>-0.284514087191738-0.560264264293131i</v>
      </c>
      <c r="V570" s="731" t="str">
        <f t="shared" si="418"/>
        <v>6000</v>
      </c>
      <c r="W570" s="733" t="str">
        <f>IMSUM(COMPLEX(1,0),IMDIV(COMPLEX(0,2*PI()*D570),COMPLEX(2*PI()*'Stability Calculations'!EA_Pole1,0)))</f>
        <v>1+613098.236877627i</v>
      </c>
      <c r="X570" s="734">
        <f t="shared" si="433"/>
        <v>613098.23687844246</v>
      </c>
      <c r="Y570" s="735">
        <f t="shared" si="434"/>
        <v>1.5707946957349133</v>
      </c>
      <c r="Z570" s="340" t="str">
        <f>IMSUM(COMPLEX(1,0),IMDIV(COMPLEX(0,2*PI()*D570),COMPLEX(2*PI()*'Stability Calculations'!EA_Zero1,0)))</f>
        <v>1+6070.27957304581i</v>
      </c>
      <c r="AA570" s="734">
        <f t="shared" si="435"/>
        <v>6070.2796554143388</v>
      </c>
      <c r="AB570" s="735">
        <f t="shared" si="436"/>
        <v>1.570631589738074</v>
      </c>
      <c r="AC570" s="733" t="str">
        <f>IMSUM(COMPLEX(1,0),IMDIV(COMPLEX(0,2*PI()*D570),COMPLEX(2*PI()*'Stability Calculations'!EA_Pole2,0)))</f>
        <v>1+61.1486949612273i</v>
      </c>
      <c r="AD570" s="734">
        <f t="shared" si="437"/>
        <v>61.156871203988388</v>
      </c>
      <c r="AE570" s="735">
        <f t="shared" si="438"/>
        <v>1.5544442056511314</v>
      </c>
      <c r="AF570" s="732" t="str">
        <f t="shared" si="439"/>
        <v>0.0157248344788651-0.971242572111186i</v>
      </c>
      <c r="AG570" s="337">
        <f t="shared" si="440"/>
        <v>0.97136985968298406</v>
      </c>
      <c r="AH570" s="730">
        <f t="shared" si="441"/>
        <v>-1.5546073116479706</v>
      </c>
      <c r="AI570" s="731" t="str">
        <f t="shared" si="419"/>
        <v>10000</v>
      </c>
      <c r="AJ570" s="733" t="str">
        <f t="shared" si="442"/>
        <v>1+571576.310542081i</v>
      </c>
      <c r="AK570" s="734">
        <f t="shared" si="443"/>
        <v>571576.31054295576</v>
      </c>
      <c r="AL570" s="735">
        <f t="shared" si="444"/>
        <v>1.5707945772472307</v>
      </c>
      <c r="AM570" s="340" t="str">
        <f t="shared" si="445"/>
        <v>1+970.03067577272i</v>
      </c>
      <c r="AN570" s="734">
        <f t="shared" si="446"/>
        <v>970.03119122019984</v>
      </c>
      <c r="AO570" s="735">
        <f t="shared" si="447"/>
        <v>1.5697654319265923</v>
      </c>
      <c r="AP570" s="733" t="str">
        <f t="shared" si="448"/>
        <v>1+47.0480867063826i</v>
      </c>
      <c r="AQ570" s="734">
        <f t="shared" si="449"/>
        <v>47.058712931095926</v>
      </c>
      <c r="AR570" s="735">
        <f t="shared" si="450"/>
        <v>1.5495446772325263</v>
      </c>
      <c r="AS570" s="732" t="str">
        <f t="shared" si="451"/>
        <v>0.00029345045397249-2.42260376317231i</v>
      </c>
      <c r="AT570" s="337">
        <f t="shared" si="452"/>
        <v>2.4226037809451642</v>
      </c>
      <c r="AU570" s="730">
        <f t="shared" si="453"/>
        <v>-1.5706751966055532</v>
      </c>
      <c r="AV570" s="732" t="str">
        <f t="shared" si="454"/>
        <v>-0.0287091947154479+0.0198932074344091i</v>
      </c>
      <c r="AW570" s="337">
        <f t="shared" si="455"/>
        <v>-29.136552761876629</v>
      </c>
      <c r="AX570" s="730">
        <f t="shared" si="456"/>
        <v>145.28109393522399</v>
      </c>
      <c r="AY570" s="360">
        <f t="shared" si="457"/>
        <v>-34.718906064776007</v>
      </c>
      <c r="BB570" s="337">
        <f t="shared" si="458"/>
        <v>-32.314352186254808</v>
      </c>
      <c r="BC570" s="730">
        <f t="shared" si="459"/>
        <v>-89.993059751379008</v>
      </c>
      <c r="BD570" s="351"/>
      <c r="BE570" s="337">
        <f t="shared" si="420"/>
        <v>22.014574683459912</v>
      </c>
      <c r="BF570" s="730">
        <f t="shared" si="421"/>
        <v>-89.843706433717173</v>
      </c>
      <c r="BI570" s="351"/>
      <c r="BJ570" s="351"/>
      <c r="BL570" s="405">
        <f t="shared" si="422"/>
        <v>0</v>
      </c>
      <c r="BM570" s="405">
        <f t="shared" si="460"/>
        <v>0</v>
      </c>
      <c r="BN570" s="405">
        <f t="shared" si="423"/>
        <v>0</v>
      </c>
      <c r="BO570" s="405">
        <f t="shared" si="424"/>
        <v>0</v>
      </c>
    </row>
    <row r="571" spans="4:67" ht="13.5" thickBot="1" x14ac:dyDescent="0.25">
      <c r="D571" s="345">
        <v>97724</v>
      </c>
      <c r="E571" s="340" t="str">
        <f t="shared" si="411"/>
        <v>1.62100752253128i</v>
      </c>
      <c r="F571" s="728" t="str">
        <f t="shared" si="425"/>
        <v>0.005-0.0266986352148499i</v>
      </c>
      <c r="G571" s="337" t="str">
        <f t="shared" si="426"/>
        <v>0.005-0.0417594037975857i</v>
      </c>
      <c r="H571" s="338" t="str">
        <f t="shared" si="427"/>
        <v>0.00639365685062135-0.0413699421464347i</v>
      </c>
      <c r="I571" s="338" t="str">
        <f t="shared" si="428"/>
        <v>0.0163936568506214-0.0413699421464347i</v>
      </c>
      <c r="J571" s="337" t="str">
        <f t="shared" si="429"/>
        <v>0.00432067486955589-0.0163803591718747i</v>
      </c>
      <c r="K571" s="338" t="str">
        <f t="shared" si="412"/>
        <v>0.893889109155555-0.511681667465682i</v>
      </c>
      <c r="L571" s="732"/>
      <c r="M571" s="732" t="str">
        <f t="shared" si="413"/>
        <v>0.0335606338305445-12.4638641624024i</v>
      </c>
      <c r="N571" s="337">
        <f t="shared" si="414"/>
        <v>0</v>
      </c>
      <c r="O571" s="730" t="str">
        <f t="shared" si="415"/>
        <v>-0.552455019424014-4.7126198136434i</v>
      </c>
      <c r="P571" s="731" t="str">
        <f t="shared" si="416"/>
        <v>-0.204017567062411-0.0544020399002305i</v>
      </c>
      <c r="Q571" s="729" t="str">
        <f t="shared" si="417"/>
        <v>-0.198493016868171-0.007275841763796i</v>
      </c>
      <c r="R571" s="730"/>
      <c r="S571" s="405" t="str">
        <f t="shared" si="430"/>
        <v>33.9864444673792-19.0034159369839i</v>
      </c>
      <c r="T571" s="405" t="str">
        <f t="shared" si="431"/>
        <v>11.9845559933265-8.72394501323509i</v>
      </c>
      <c r="U571" s="405" t="str">
        <f t="shared" si="432"/>
        <v>-0.284283961957828-0.55157829889294i</v>
      </c>
      <c r="V571" s="731" t="str">
        <f t="shared" si="418"/>
        <v>6000</v>
      </c>
      <c r="W571" s="733" t="str">
        <f>IMSUM(COMPLEX(1,0),IMDIV(COMPLEX(0,2*PI()*D571),COMPLEX(2*PI()*'Stability Calculations'!EA_Pole1,0)))</f>
        <v>1+620158.180968406i</v>
      </c>
      <c r="X571" s="734">
        <f t="shared" si="433"/>
        <v>620158.18096921232</v>
      </c>
      <c r="Y571" s="735">
        <f t="shared" si="434"/>
        <v>1.5707947143030667</v>
      </c>
      <c r="Z571" s="340" t="str">
        <f>IMSUM(COMPLEX(1,0),IMDIV(COMPLEX(0,2*PI()*D571),COMPLEX(2*PI()*'Stability Calculations'!EA_Zero1,0)))</f>
        <v>1+6140.18000958818i</v>
      </c>
      <c r="AA571" s="734">
        <f t="shared" si="435"/>
        <v>6140.1800910190168</v>
      </c>
      <c r="AB571" s="735">
        <f t="shared" si="436"/>
        <v>1.5706334651215259</v>
      </c>
      <c r="AC571" s="733" t="str">
        <f>IMSUM(COMPLEX(1,0),IMDIV(COMPLEX(0,2*PI()*D571),COMPLEX(2*PI()*'Stability Calculations'!EA_Pole2,0)))</f>
        <v>1+61.8528339420357i</v>
      </c>
      <c r="AD571" s="734">
        <f t="shared" si="437"/>
        <v>61.860917117846256</v>
      </c>
      <c r="AE571" s="735">
        <f t="shared" si="438"/>
        <v>1.5546303272509008</v>
      </c>
      <c r="AF571" s="732" t="str">
        <f t="shared" si="439"/>
        <v>0.0153689391636905-0.96019160134197i</v>
      </c>
      <c r="AG571" s="337">
        <f t="shared" si="440"/>
        <v>0.96031459198466518</v>
      </c>
      <c r="AH571" s="730">
        <f t="shared" si="441"/>
        <v>-1.5547915764324416</v>
      </c>
      <c r="AI571" s="731" t="str">
        <f t="shared" si="419"/>
        <v>10000</v>
      </c>
      <c r="AJ571" s="733" t="str">
        <f t="shared" si="442"/>
        <v>1+578158.121666823i</v>
      </c>
      <c r="AK571" s="734">
        <f t="shared" si="443"/>
        <v>578158.12166768778</v>
      </c>
      <c r="AL571" s="735">
        <f t="shared" si="444"/>
        <v>1.5707945971642601</v>
      </c>
      <c r="AM571" s="340" t="str">
        <f t="shared" si="445"/>
        <v>1+981.200765532191i</v>
      </c>
      <c r="AN571" s="734">
        <f t="shared" si="446"/>
        <v>981.20127511176713</v>
      </c>
      <c r="AO571" s="735">
        <f t="shared" si="447"/>
        <v>1.5697771677309214</v>
      </c>
      <c r="AP571" s="733" t="str">
        <f t="shared" si="448"/>
        <v>1+47.5898544717195i</v>
      </c>
      <c r="AQ571" s="734">
        <f t="shared" si="449"/>
        <v>47.600359753256491</v>
      </c>
      <c r="AR571" s="735">
        <f t="shared" si="450"/>
        <v>1.5497865365849006</v>
      </c>
      <c r="AS571" s="732" t="str">
        <f t="shared" si="451"/>
        <v>0.00028680714469881-2.39502459522191i</v>
      </c>
      <c r="AT571" s="337">
        <f t="shared" si="452"/>
        <v>2.3950246123946641</v>
      </c>
      <c r="AU571" s="730">
        <f t="shared" si="453"/>
        <v>-1.5706765755639907</v>
      </c>
      <c r="AV571" s="732" t="str">
        <f t="shared" si="454"/>
        <v>-0.0278841429439609+0.0196178254411546i</v>
      </c>
      <c r="AW571" s="337">
        <f t="shared" si="455"/>
        <v>-29.346501888091218</v>
      </c>
      <c r="AX571" s="730">
        <f t="shared" si="456"/>
        <v>144.87178431020351</v>
      </c>
      <c r="AY571" s="360">
        <f t="shared" si="457"/>
        <v>-35.128215689796491</v>
      </c>
      <c r="BB571" s="337">
        <f t="shared" si="458"/>
        <v>-32.413800384259638</v>
      </c>
      <c r="BC571" s="730">
        <f t="shared" si="459"/>
        <v>-89.993138759877596</v>
      </c>
      <c r="BD571" s="351"/>
      <c r="BE571" s="337">
        <f t="shared" si="420"/>
        <v>21.913085631256308</v>
      </c>
      <c r="BF571" s="730">
        <f t="shared" si="421"/>
        <v>-89.845723765592084</v>
      </c>
      <c r="BI571" s="351"/>
      <c r="BJ571" s="351"/>
      <c r="BL571" s="405">
        <f t="shared" si="422"/>
        <v>0</v>
      </c>
      <c r="BM571" s="405">
        <f t="shared" si="460"/>
        <v>0</v>
      </c>
      <c r="BN571" s="405">
        <f t="shared" si="423"/>
        <v>0</v>
      </c>
      <c r="BO571" s="405">
        <f t="shared" si="424"/>
        <v>0</v>
      </c>
    </row>
    <row r="572" spans="4:67" ht="13.5" thickBot="1" x14ac:dyDescent="0.25">
      <c r="D572" s="345">
        <v>98862</v>
      </c>
      <c r="E572" s="340" t="str">
        <f t="shared" si="411"/>
        <v>1.63988422181334i</v>
      </c>
      <c r="F572" s="728" t="str">
        <f t="shared" si="425"/>
        <v>0.005-0.0263913073550605i</v>
      </c>
      <c r="G572" s="337" t="str">
        <f t="shared" si="426"/>
        <v>0.005-0.041278711504069i</v>
      </c>
      <c r="H572" s="338" t="str">
        <f t="shared" si="427"/>
        <v>0.00636132526548236-0.0408948253911595i</v>
      </c>
      <c r="I572" s="338" t="str">
        <f t="shared" si="428"/>
        <v>0.0163613252654824-0.0408948253911595i</v>
      </c>
      <c r="J572" s="337" t="str">
        <f t="shared" si="429"/>
        <v>0.00431506388029195-0.0161940762296474i</v>
      </c>
      <c r="K572" s="338" t="str">
        <f t="shared" si="412"/>
        <v>0.8914033884-0.51764022153199i</v>
      </c>
      <c r="L572" s="732"/>
      <c r="M572" s="732" t="str">
        <f t="shared" si="413"/>
        <v>0.0327346610220316-12.3175341072585i</v>
      </c>
      <c r="N572" s="337">
        <f t="shared" si="414"/>
        <v>0</v>
      </c>
      <c r="O572" s="730" t="str">
        <f t="shared" si="415"/>
        <v>-0.549473772687166-4.65437162771642i</v>
      </c>
      <c r="P572" s="731" t="str">
        <f t="shared" si="416"/>
        <v>-0.199329834140816-0.0536810541164377i</v>
      </c>
      <c r="Q572" s="729" t="str">
        <f t="shared" si="417"/>
        <v>-0.193835096413944-0.00713733783927331i</v>
      </c>
      <c r="R572" s="730"/>
      <c r="S572" s="405" t="str">
        <f t="shared" si="430"/>
        <v>33.8384820244667-19.2033123158279i</v>
      </c>
      <c r="T572" s="405" t="str">
        <f t="shared" si="431"/>
        <v>11.906374483124-8.7974151782383i</v>
      </c>
      <c r="U572" s="405" t="str">
        <f t="shared" si="432"/>
        <v>-0.2840284367878-0.542872324973378i</v>
      </c>
      <c r="V572" s="731" t="str">
        <f t="shared" si="418"/>
        <v>6000</v>
      </c>
      <c r="W572" s="733" t="str">
        <f>IMSUM(COMPLEX(1,0),IMDIV(COMPLEX(0,2*PI()*D572),COMPLEX(2*PI()*'Stability Calculations'!EA_Pole1,0)))</f>
        <v>1+627379.948496772i</v>
      </c>
      <c r="X572" s="734">
        <f t="shared" si="433"/>
        <v>627379.94849756896</v>
      </c>
      <c r="Y572" s="735">
        <f t="shared" si="434"/>
        <v>1.5707947328644525</v>
      </c>
      <c r="Z572" s="340" t="str">
        <f>IMSUM(COMPLEX(1,0),IMDIV(COMPLEX(0,2*PI()*D572),COMPLEX(2*PI()*'Stability Calculations'!EA_Zero1,0)))</f>
        <v>1+6211.68265838388i</v>
      </c>
      <c r="AA572" s="734">
        <f t="shared" si="435"/>
        <v>6211.6827388773672</v>
      </c>
      <c r="AB572" s="735">
        <f t="shared" si="436"/>
        <v>1.5706353398214215</v>
      </c>
      <c r="AC572" s="733" t="str">
        <f>IMSUM(COMPLEX(1,0),IMDIV(COMPLEX(0,2*PI()*D572),COMPLEX(2*PI()*'Stability Calculations'!EA_Pole2,0)))</f>
        <v>1+62.573112737685i</v>
      </c>
      <c r="AD572" s="734">
        <f t="shared" si="437"/>
        <v>62.581102880047084</v>
      </c>
      <c r="AE572" s="735">
        <f t="shared" si="438"/>
        <v>1.5548163821308225</v>
      </c>
      <c r="AF572" s="732" t="str">
        <f t="shared" si="439"/>
        <v>0.015017241850952-0.949144461076692i</v>
      </c>
      <c r="AG572" s="337">
        <f t="shared" si="440"/>
        <v>0.94926325407938028</v>
      </c>
      <c r="AH572" s="730">
        <f t="shared" si="441"/>
        <v>-1.5549757751738533</v>
      </c>
      <c r="AI572" s="731" t="str">
        <f t="shared" si="419"/>
        <v>10000</v>
      </c>
      <c r="AJ572" s="733" t="str">
        <f t="shared" si="442"/>
        <v>1+584890.796776897i</v>
      </c>
      <c r="AK572" s="734">
        <f t="shared" si="443"/>
        <v>584890.79677775188</v>
      </c>
      <c r="AL572" s="735">
        <f t="shared" si="444"/>
        <v>1.5707946170740299</v>
      </c>
      <c r="AM572" s="340" t="str">
        <f t="shared" si="445"/>
        <v>1+992.626888809744i</v>
      </c>
      <c r="AN572" s="734">
        <f t="shared" si="446"/>
        <v>992.62739252355505</v>
      </c>
      <c r="AO572" s="735">
        <f t="shared" si="447"/>
        <v>1.5697888992579541</v>
      </c>
      <c r="AP572" s="733" t="str">
        <f t="shared" si="448"/>
        <v>1+48.1440402847113i</v>
      </c>
      <c r="AQ572" s="734">
        <f t="shared" si="449"/>
        <v>48.154424666232956</v>
      </c>
      <c r="AR572" s="735">
        <f t="shared" si="450"/>
        <v>1.5500283102391108</v>
      </c>
      <c r="AS572" s="732" t="str">
        <f t="shared" si="451"/>
        <v>0.000280242276311794-2.36745547956031i</v>
      </c>
      <c r="AT572" s="337">
        <f t="shared" si="452"/>
        <v>2.3674554961468379</v>
      </c>
      <c r="AU572" s="730">
        <f t="shared" si="453"/>
        <v>-1.5706779540198128</v>
      </c>
      <c r="AV572" s="732" t="str">
        <f t="shared" si="454"/>
        <v>-0.0270693665227193+0.0193417884161786i</v>
      </c>
      <c r="AW572" s="337">
        <f t="shared" si="455"/>
        <v>-29.559091184475989</v>
      </c>
      <c r="AX572" s="730">
        <f t="shared" si="456"/>
        <v>144.45317586853028</v>
      </c>
      <c r="AY572" s="360">
        <f t="shared" si="457"/>
        <v>-35.54682413146972</v>
      </c>
      <c r="BB572" s="337">
        <f t="shared" si="458"/>
        <v>-32.51436352387087</v>
      </c>
      <c r="BC572" s="730">
        <f t="shared" si="459"/>
        <v>-89.993217739578455</v>
      </c>
      <c r="BD572" s="351"/>
      <c r="BE572" s="337">
        <f t="shared" si="420"/>
        <v>21.81050614282897</v>
      </c>
      <c r="BF572" s="730">
        <f t="shared" si="421"/>
        <v>-89.847733037427275</v>
      </c>
      <c r="BI572" s="351"/>
      <c r="BJ572" s="351"/>
      <c r="BL572" s="405">
        <f t="shared" si="422"/>
        <v>0</v>
      </c>
      <c r="BM572" s="405">
        <f t="shared" si="460"/>
        <v>0</v>
      </c>
      <c r="BN572" s="405">
        <f t="shared" si="423"/>
        <v>0</v>
      </c>
      <c r="BO572" s="405">
        <f t="shared" si="424"/>
        <v>0</v>
      </c>
    </row>
    <row r="573" spans="4:67" ht="13.5" thickBot="1" x14ac:dyDescent="0.25">
      <c r="D573" s="345">
        <v>100000</v>
      </c>
      <c r="E573" s="340" t="str">
        <f t="shared" si="411"/>
        <v>1.65876092109541i</v>
      </c>
      <c r="F573" s="728" t="str">
        <f t="shared" si="425"/>
        <v>0.005-0.0260909742773599i</v>
      </c>
      <c r="G573" s="337" t="str">
        <f t="shared" si="426"/>
        <v>0.005-0.0408089597671526i</v>
      </c>
      <c r="H573" s="338" t="str">
        <f t="shared" si="427"/>
        <v>0.00633008954740618-0.0404304856865264i</v>
      </c>
      <c r="I573" s="338" t="str">
        <f t="shared" si="428"/>
        <v>0.0163300895474062-0.0404304856865264i</v>
      </c>
      <c r="J573" s="337" t="str">
        <f t="shared" si="429"/>
        <v>0.00430961612299159-0.0160120480327387i</v>
      </c>
      <c r="K573" s="338" t="str">
        <f t="shared" si="412"/>
        <v>0.888888888888889-0.523598775598299i</v>
      </c>
      <c r="L573" s="732"/>
      <c r="M573" s="732" t="str">
        <f t="shared" si="413"/>
        <v>0.031939141478749-12.1746316083444i</v>
      </c>
      <c r="N573" s="337">
        <f t="shared" si="414"/>
        <v>0</v>
      </c>
      <c r="O573" s="730" t="str">
        <f t="shared" si="415"/>
        <v>-0.546558699743164-4.59746611965294i</v>
      </c>
      <c r="P573" s="731" t="str">
        <f t="shared" si="416"/>
        <v>-0.194803140654638-0.0529793997382862i</v>
      </c>
      <c r="Q573" s="729" t="str">
        <f t="shared" si="417"/>
        <v>-0.189337553657206-0.00700473854175671i</v>
      </c>
      <c r="R573" s="730"/>
      <c r="S573" s="405" t="str">
        <f t="shared" si="430"/>
        <v>33.6888742652818-19.4018831761479i</v>
      </c>
      <c r="T573" s="405" t="str">
        <f t="shared" si="431"/>
        <v>11.8275354221351-8.87010076980268i</v>
      </c>
      <c r="U573" s="405" t="str">
        <f t="shared" si="432"/>
        <v>-0.28375312386432-0.534341533758885i</v>
      </c>
      <c r="V573" s="731" t="str">
        <f t="shared" si="418"/>
        <v>6000</v>
      </c>
      <c r="W573" s="733" t="str">
        <f>IMSUM(COMPLEX(1,0),IMDIV(COMPLEX(0,2*PI()*D573),COMPLEX(2*PI()*'Stability Calculations'!EA_Pole1,0)))</f>
        <v>1+634601.716025139i</v>
      </c>
      <c r="X573" s="734">
        <f t="shared" si="433"/>
        <v>634601.71602592699</v>
      </c>
      <c r="Y573" s="735">
        <f t="shared" si="434"/>
        <v>1.5707947510033808</v>
      </c>
      <c r="Z573" s="340" t="str">
        <f>IMSUM(COMPLEX(1,0),IMDIV(COMPLEX(0,2*PI()*D573),COMPLEX(2*PI()*'Stability Calculations'!EA_Zero1,0)))</f>
        <v>1+6283.18530717959i</v>
      </c>
      <c r="AA573" s="734">
        <f t="shared" si="435"/>
        <v>6283.1853867570608</v>
      </c>
      <c r="AB573" s="735">
        <f t="shared" si="436"/>
        <v>1.5706371718531484</v>
      </c>
      <c r="AC573" s="733" t="str">
        <f>IMSUM(COMPLEX(1,0),IMDIV(COMPLEX(0,2*PI()*D573),COMPLEX(2*PI()*'Stability Calculations'!EA_Pole2,0)))</f>
        <v>1+63.2933915333344i</v>
      </c>
      <c r="AD573" s="734">
        <f t="shared" si="437"/>
        <v>63.301290759288364</v>
      </c>
      <c r="AE573" s="735">
        <f t="shared" si="438"/>
        <v>1.5549982034707222</v>
      </c>
      <c r="AF573" s="732" t="str">
        <f t="shared" si="439"/>
        <v>0.0146774790375869-0.938348565165666i</v>
      </c>
      <c r="AG573" s="337">
        <f t="shared" si="440"/>
        <v>0.9384633493852399</v>
      </c>
      <c r="AH573" s="730">
        <f t="shared" si="441"/>
        <v>-1.5551557826209546</v>
      </c>
      <c r="AI573" s="731" t="str">
        <f t="shared" si="419"/>
        <v>10000</v>
      </c>
      <c r="AJ573" s="733" t="str">
        <f t="shared" si="442"/>
        <v>1+591623.471886971i</v>
      </c>
      <c r="AK573" s="734">
        <f t="shared" si="443"/>
        <v>591623.47188781621</v>
      </c>
      <c r="AL573" s="735">
        <f t="shared" si="444"/>
        <v>1.5707946365306533</v>
      </c>
      <c r="AM573" s="340" t="str">
        <f t="shared" si="445"/>
        <v>1+1004.0530120873i</v>
      </c>
      <c r="AN573" s="734">
        <f t="shared" si="446"/>
        <v>1004.0535100688508</v>
      </c>
      <c r="AO573" s="735">
        <f t="shared" si="447"/>
        <v>1.5698003637756994</v>
      </c>
      <c r="AP573" s="733" t="str">
        <f t="shared" si="448"/>
        <v>1+48.6982260977032i</v>
      </c>
      <c r="AQ573" s="734">
        <f t="shared" si="449"/>
        <v>48.708492330013875</v>
      </c>
      <c r="AR573" s="735">
        <f t="shared" si="450"/>
        <v>1.550264583471225</v>
      </c>
      <c r="AS573" s="732" t="str">
        <f t="shared" si="451"/>
        <v>0.00027390025479764-2.34051383694509i</v>
      </c>
      <c r="AT573" s="337">
        <f t="shared" si="452"/>
        <v>2.3405138529717737</v>
      </c>
      <c r="AU573" s="730">
        <f t="shared" si="453"/>
        <v>-1.5706793011019808</v>
      </c>
      <c r="AV573" s="732" t="str">
        <f t="shared" si="454"/>
        <v>-0.0262827891997078+0.0190712882389533i</v>
      </c>
      <c r="AW573" s="337">
        <f t="shared" si="455"/>
        <v>-29.76953809977616</v>
      </c>
      <c r="AX573" s="730">
        <f t="shared" si="456"/>
        <v>144.0346522945961</v>
      </c>
      <c r="AY573" s="360">
        <f t="shared" si="457"/>
        <v>-35.9653477054039</v>
      </c>
      <c r="BB573" s="337">
        <f t="shared" si="458"/>
        <v>-32.613775680763737</v>
      </c>
      <c r="BC573" s="730">
        <f t="shared" si="459"/>
        <v>-89.993294921701334</v>
      </c>
      <c r="BD573" s="351"/>
      <c r="BE573" s="337">
        <f t="shared" si="420"/>
        <v>21.70914646517798</v>
      </c>
      <c r="BF573" s="730">
        <f t="shared" si="421"/>
        <v>-89.849689594829115</v>
      </c>
      <c r="BI573" s="351"/>
      <c r="BJ573" s="351"/>
      <c r="BL573" s="405">
        <f t="shared" si="422"/>
        <v>0</v>
      </c>
      <c r="BM573" s="405">
        <f t="shared" si="460"/>
        <v>0</v>
      </c>
      <c r="BN573" s="405">
        <f t="shared" si="423"/>
        <v>0</v>
      </c>
      <c r="BO573" s="405">
        <f t="shared" si="424"/>
        <v>0</v>
      </c>
    </row>
    <row r="574" spans="4:67" ht="13.5" thickBot="1" x14ac:dyDescent="0.25">
      <c r="D574" s="345">
        <v>101165</v>
      </c>
      <c r="E574" s="340" t="str">
        <f t="shared" si="411"/>
        <v>1.67808548582617i</v>
      </c>
      <c r="F574" s="728" t="str">
        <f t="shared" si="425"/>
        <v>0.005-0.0257905147801709i</v>
      </c>
      <c r="G574" s="337" t="str">
        <f t="shared" si="426"/>
        <v>0.005-0.0403390102971904i</v>
      </c>
      <c r="H574" s="338" t="str">
        <f t="shared" si="427"/>
        <v>0.00629919681789967-0.0399659147309253i</v>
      </c>
      <c r="I574" s="338" t="str">
        <f t="shared" si="428"/>
        <v>0.0162991968178997-0.0399659147309253i</v>
      </c>
      <c r="J574" s="337" t="str">
        <f t="shared" si="429"/>
        <v>0.0043042004120145-0.0158299583773023i</v>
      </c>
      <c r="K574" s="338" t="str">
        <f t="shared" si="412"/>
        <v>0.886284919722222-0.529698701334019i</v>
      </c>
      <c r="L574" s="732"/>
      <c r="M574" s="732" t="str">
        <f t="shared" si="413"/>
        <v>0.0311547303695308-12.031763813408i</v>
      </c>
      <c r="N574" s="337">
        <f t="shared" si="414"/>
        <v>0</v>
      </c>
      <c r="O574" s="730" t="str">
        <f t="shared" si="415"/>
        <v>-0.543639699482195-4.54055249155065i</v>
      </c>
      <c r="P574" s="731" t="str">
        <f t="shared" si="416"/>
        <v>-0.190328224168488-0.0522803008479375i</v>
      </c>
      <c r="Q574" s="729" t="str">
        <f t="shared" si="417"/>
        <v>-0.184891827173666-0.00687477593243092i</v>
      </c>
      <c r="R574" s="730"/>
      <c r="S574" s="405" t="str">
        <f t="shared" si="430"/>
        <v>33.5340210808979-19.6037753787057i</v>
      </c>
      <c r="T574" s="405" t="str">
        <f t="shared" si="431"/>
        <v>11.746154297161-8.94368824232741i</v>
      </c>
      <c r="U574" s="405" t="str">
        <f t="shared" si="432"/>
        <v>-0.283451343901601-0.525783853572983i</v>
      </c>
      <c r="V574" s="731" t="str">
        <f t="shared" si="418"/>
        <v>6000</v>
      </c>
      <c r="W574" s="733" t="str">
        <f>IMSUM(COMPLEX(1,0),IMDIV(COMPLEX(0,2*PI()*D574),COMPLEX(2*PI()*'Stability Calculations'!EA_Pole1,0)))</f>
        <v>1+641994.826016831i</v>
      </c>
      <c r="X574" s="734">
        <f t="shared" si="433"/>
        <v>641994.82601760991</v>
      </c>
      <c r="Y574" s="735">
        <f t="shared" si="434"/>
        <v>1.5707947691499446</v>
      </c>
      <c r="Z574" s="340" t="str">
        <f>IMSUM(COMPLEX(1,0),IMDIV(COMPLEX(0,2*PI()*D574),COMPLEX(2*PI()*'Stability Calculations'!EA_Zero1,0)))</f>
        <v>1+6356.38441600823i</v>
      </c>
      <c r="AA574" s="734">
        <f t="shared" si="435"/>
        <v>6356.3844946692998</v>
      </c>
      <c r="AB574" s="735">
        <f t="shared" si="436"/>
        <v>1.5706390046560355</v>
      </c>
      <c r="AC574" s="733" t="str">
        <f>IMSUM(COMPLEX(1,0),IMDIV(COMPLEX(0,2*PI()*D574),COMPLEX(2*PI()*'Stability Calculations'!EA_Pole2,0)))</f>
        <v>1+64.0307595446977i</v>
      </c>
      <c r="AD574" s="734">
        <f t="shared" si="437"/>
        <v>64.038567815582013</v>
      </c>
      <c r="AE574" s="735">
        <f t="shared" si="438"/>
        <v>1.5551801023901426</v>
      </c>
      <c r="AF574" s="732" t="str">
        <f t="shared" si="439"/>
        <v>0.0143414604283742-0.927547940557932i</v>
      </c>
      <c r="AG574" s="337">
        <f t="shared" si="440"/>
        <v>0.92765880555324842</v>
      </c>
      <c r="AH574" s="730">
        <f t="shared" si="441"/>
        <v>-1.5553358668840518</v>
      </c>
      <c r="AI574" s="731" t="str">
        <f t="shared" si="419"/>
        <v>10000</v>
      </c>
      <c r="AJ574" s="733" t="str">
        <f t="shared" si="442"/>
        <v>1+598515.885334454i</v>
      </c>
      <c r="AK574" s="734">
        <f t="shared" si="443"/>
        <v>598515.88533528941</v>
      </c>
      <c r="AL574" s="735">
        <f t="shared" si="444"/>
        <v>1.5707946559954666</v>
      </c>
      <c r="AM574" s="340" t="str">
        <f t="shared" si="445"/>
        <v>1+1015.75022967811i</v>
      </c>
      <c r="AN574" s="734">
        <f t="shared" si="446"/>
        <v>1015.7507219249875</v>
      </c>
      <c r="AO574" s="735">
        <f t="shared" si="447"/>
        <v>1.569811833119477</v>
      </c>
      <c r="AP574" s="733" t="str">
        <f t="shared" si="448"/>
        <v>1+49.2655604317415i</v>
      </c>
      <c r="AQ574" s="734">
        <f t="shared" si="449"/>
        <v>49.275708464248112</v>
      </c>
      <c r="AR574" s="735">
        <f t="shared" si="450"/>
        <v>1.5505009584522149</v>
      </c>
      <c r="AS574" s="732" t="str">
        <f t="shared" si="451"/>
        <v>0.000267628194777552-2.31356085373309i</v>
      </c>
      <c r="AT574" s="337">
        <f t="shared" si="452"/>
        <v>2.3135608692124427</v>
      </c>
      <c r="AU574" s="730">
        <f t="shared" si="453"/>
        <v>-1.570680648751178</v>
      </c>
      <c r="AV574" s="732" t="str">
        <f t="shared" si="454"/>
        <v>-0.0255054512062996+0.0187999201662771i</v>
      </c>
      <c r="AW574" s="337">
        <f t="shared" si="455"/>
        <v>-29.98281410117912</v>
      </c>
      <c r="AX574" s="730">
        <f t="shared" si="456"/>
        <v>143.60628794253907</v>
      </c>
      <c r="AY574" s="360">
        <f t="shared" si="457"/>
        <v>-36.393712057460931</v>
      </c>
      <c r="BB574" s="337">
        <f t="shared" si="458"/>
        <v>-32.714381396674156</v>
      </c>
      <c r="BC574" s="730">
        <f t="shared" si="459"/>
        <v>-89.993372136312601</v>
      </c>
      <c r="BD574" s="351"/>
      <c r="BE574" s="337">
        <f t="shared" si="420"/>
        <v>21.60661507911437</v>
      </c>
      <c r="BF574" s="730">
        <f t="shared" si="421"/>
        <v>-89.851640158477608</v>
      </c>
      <c r="BI574" s="351"/>
      <c r="BJ574" s="351"/>
      <c r="BL574" s="405">
        <f t="shared" si="422"/>
        <v>0</v>
      </c>
      <c r="BM574" s="405">
        <f t="shared" si="460"/>
        <v>0</v>
      </c>
      <c r="BN574" s="405">
        <f t="shared" si="423"/>
        <v>0</v>
      </c>
      <c r="BO574" s="405">
        <f t="shared" si="424"/>
        <v>0</v>
      </c>
    </row>
    <row r="575" spans="4:67" ht="13.5" thickBot="1" x14ac:dyDescent="0.25">
      <c r="D575" s="345">
        <v>102330</v>
      </c>
      <c r="E575" s="340" t="str">
        <f t="shared" si="411"/>
        <v>1.69741005055693i</v>
      </c>
      <c r="F575" s="728" t="str">
        <f t="shared" si="425"/>
        <v>0.005-0.0254968965868855i</v>
      </c>
      <c r="G575" s="337" t="str">
        <f t="shared" si="426"/>
        <v>0.005-0.0398797613282055i</v>
      </c>
      <c r="H575" s="338" t="str">
        <f t="shared" si="427"/>
        <v>0.00626935168973275-0.0395118876127538i</v>
      </c>
      <c r="I575" s="338" t="str">
        <f t="shared" si="428"/>
        <v>0.0162693516897328-0.0395118876127538i</v>
      </c>
      <c r="J575" s="337" t="str">
        <f t="shared" si="429"/>
        <v>0.00429894039805774-0.015652029825094i</v>
      </c>
      <c r="K575" s="338" t="str">
        <f t="shared" si="412"/>
        <v>0.88365079-0.535798627069739i</v>
      </c>
      <c r="L575" s="732"/>
      <c r="M575" s="732" t="str">
        <f t="shared" si="413"/>
        <v>0.030399158837867-11.8922395905237i</v>
      </c>
      <c r="N575" s="337">
        <f t="shared" si="414"/>
        <v>0</v>
      </c>
      <c r="O575" s="730" t="str">
        <f t="shared" si="415"/>
        <v>-0.54078351680571-4.48494916517029i</v>
      </c>
      <c r="P575" s="731" t="str">
        <f t="shared" si="416"/>
        <v>-0.186007004586046-0.0515998377398721i</v>
      </c>
      <c r="Q575" s="729" t="str">
        <f t="shared" si="417"/>
        <v>-0.180599169417989-0.00675034608816868i</v>
      </c>
      <c r="R575" s="730"/>
      <c r="S575" s="405" t="str">
        <f t="shared" si="430"/>
        <v>33.3774611473576-19.8042439494454i</v>
      </c>
      <c r="T575" s="405" t="str">
        <f t="shared" si="431"/>
        <v>11.6641037012808-9.01643347446238i</v>
      </c>
      <c r="U575" s="405" t="str">
        <f t="shared" si="432"/>
        <v>-0.283129937861988-0.517397946986996i</v>
      </c>
      <c r="V575" s="731" t="str">
        <f t="shared" si="418"/>
        <v>6000</v>
      </c>
      <c r="W575" s="733" t="str">
        <f>IMSUM(COMPLEX(1,0),IMDIV(COMPLEX(0,2*PI()*D575),COMPLEX(2*PI()*'Stability Calculations'!EA_Pole1,0)))</f>
        <v>1+649387.936008524i</v>
      </c>
      <c r="X575" s="734">
        <f t="shared" si="433"/>
        <v>649387.936009294</v>
      </c>
      <c r="Y575" s="735">
        <f t="shared" si="434"/>
        <v>1.5707947868833205</v>
      </c>
      <c r="Z575" s="340" t="str">
        <f>IMSUM(COMPLEX(1,0),IMDIV(COMPLEX(0,2*PI()*D575),COMPLEX(2*PI()*'Stability Calculations'!EA_Zero1,0)))</f>
        <v>1+6429.58352483687i</v>
      </c>
      <c r="AA575" s="734">
        <f t="shared" si="435"/>
        <v>6429.5836026024035</v>
      </c>
      <c r="AB575" s="735">
        <f t="shared" si="436"/>
        <v>1.5706407957269708</v>
      </c>
      <c r="AC575" s="733" t="str">
        <f>IMSUM(COMPLEX(1,0),IMDIV(COMPLEX(0,2*PI()*D575),COMPLEX(2*PI()*'Stability Calculations'!EA_Pole2,0)))</f>
        <v>1+64.768127556061i</v>
      </c>
      <c r="AD575" s="734">
        <f t="shared" si="437"/>
        <v>64.775846942500024</v>
      </c>
      <c r="AE575" s="735">
        <f t="shared" si="438"/>
        <v>1.5553578605658775</v>
      </c>
      <c r="AF575" s="732" t="str">
        <f t="shared" si="439"/>
        <v>0.014016849166903-0.916993064336652i</v>
      </c>
      <c r="AG575" s="337">
        <f t="shared" si="440"/>
        <v>0.91710018651295167</v>
      </c>
      <c r="AH575" s="730">
        <f t="shared" si="441"/>
        <v>-1.5555118517222275</v>
      </c>
      <c r="AI575" s="731" t="str">
        <f t="shared" si="419"/>
        <v>10000</v>
      </c>
      <c r="AJ575" s="733" t="str">
        <f t="shared" si="442"/>
        <v>1+605408.298781937i</v>
      </c>
      <c r="AK575" s="734">
        <f t="shared" si="443"/>
        <v>605408.29878276295</v>
      </c>
      <c r="AL575" s="735">
        <f t="shared" si="444"/>
        <v>1.5707946750170765</v>
      </c>
      <c r="AM575" s="340" t="str">
        <f t="shared" si="445"/>
        <v>1+1027.44744726893i</v>
      </c>
      <c r="AN575" s="734">
        <f t="shared" si="446"/>
        <v>1027.4479339117095</v>
      </c>
      <c r="AO575" s="735">
        <f t="shared" si="447"/>
        <v>1.5698230413126109</v>
      </c>
      <c r="AP575" s="733" t="str">
        <f t="shared" si="448"/>
        <v>1+49.8328947657797i</v>
      </c>
      <c r="AQ575" s="734">
        <f t="shared" si="449"/>
        <v>49.842927289007349</v>
      </c>
      <c r="AR575" s="735">
        <f t="shared" si="450"/>
        <v>1.5507319534914303</v>
      </c>
      <c r="AS575" s="732" t="str">
        <f t="shared" si="451"/>
        <v>0.000261569130232565-2.28722157567493i</v>
      </c>
      <c r="AT575" s="337">
        <f t="shared" si="452"/>
        <v>2.287221590631594</v>
      </c>
      <c r="AU575" s="730">
        <f t="shared" si="453"/>
        <v>-1.5706819657151159</v>
      </c>
      <c r="AV575" s="732" t="str">
        <f t="shared" si="454"/>
        <v>-0.0247550817737133+0.0185339861701864i</v>
      </c>
      <c r="AW575" s="337">
        <f t="shared" si="455"/>
        <v>-30.193955276475663</v>
      </c>
      <c r="AX575" s="730">
        <f t="shared" si="456"/>
        <v>143.17801510636409</v>
      </c>
      <c r="AY575" s="360">
        <f t="shared" si="457"/>
        <v>-36.821984893635914</v>
      </c>
      <c r="BB575" s="337">
        <f t="shared" si="458"/>
        <v>-32.813835160627235</v>
      </c>
      <c r="BC575" s="730">
        <f t="shared" si="459"/>
        <v>-89.993447592788002</v>
      </c>
      <c r="BD575" s="351"/>
      <c r="BE575" s="337">
        <f t="shared" si="420"/>
        <v>21.505301383066552</v>
      </c>
      <c r="BF575" s="730">
        <f t="shared" si="421"/>
        <v>-89.853539806757922</v>
      </c>
      <c r="BI575" s="351"/>
      <c r="BJ575" s="351"/>
      <c r="BL575" s="405">
        <f t="shared" si="422"/>
        <v>0</v>
      </c>
      <c r="BM575" s="405">
        <f t="shared" si="460"/>
        <v>0</v>
      </c>
      <c r="BN575" s="405">
        <f t="shared" si="423"/>
        <v>0</v>
      </c>
      <c r="BO575" s="405">
        <f t="shared" si="424"/>
        <v>0</v>
      </c>
    </row>
    <row r="576" spans="4:67" ht="13.5" thickBot="1" x14ac:dyDescent="0.25">
      <c r="D576" s="345">
        <v>103520</v>
      </c>
      <c r="E576" s="340" t="str">
        <f t="shared" si="411"/>
        <v>1.71714930551797i</v>
      </c>
      <c r="F576" s="728" t="str">
        <f t="shared" si="425"/>
        <v>0.005-0.025203800499768i</v>
      </c>
      <c r="G576" s="337" t="str">
        <f t="shared" si="426"/>
        <v>0.005-0.0394213289868167i</v>
      </c>
      <c r="H576" s="338" t="str">
        <f t="shared" si="427"/>
        <v>0.00623989900191366-0.0390586345068715i</v>
      </c>
      <c r="I576" s="338" t="str">
        <f t="shared" si="428"/>
        <v>0.0162398990019137-0.0390586345068715i</v>
      </c>
      <c r="J576" s="337" t="str">
        <f t="shared" si="429"/>
        <v>0.00429372084445464-0.0154744328295506i</v>
      </c>
      <c r="K576" s="338" t="str">
        <f t="shared" si="412"/>
        <v>0.880928995555555-0.542029452499359i</v>
      </c>
      <c r="L576" s="732"/>
      <c r="M576" s="732" t="str">
        <f t="shared" si="413"/>
        <v>0.0296556784476716-11.7530516479909i</v>
      </c>
      <c r="N576" s="337">
        <f t="shared" si="414"/>
        <v>0</v>
      </c>
      <c r="O576" s="730" t="str">
        <f t="shared" si="415"/>
        <v>-0.537927754566594-4.42945804030713i</v>
      </c>
      <c r="P576" s="731" t="str">
        <f t="shared" si="416"/>
        <v>-0.181744475064367-0.0509232276510836i</v>
      </c>
      <c r="Q576" s="729" t="str">
        <f t="shared" si="417"/>
        <v>-0.176365197518701-0.00662864724801214i</v>
      </c>
      <c r="R576" s="730"/>
      <c r="S576" s="405" t="str">
        <f t="shared" si="430"/>
        <v>33.2157892699973-20.0075261510235i</v>
      </c>
      <c r="T576" s="405" t="str">
        <f t="shared" si="431"/>
        <v>11.5796117758914-9.08985997488661i</v>
      </c>
      <c r="U576" s="405" t="str">
        <f t="shared" si="432"/>
        <v>-0.282781910514804-0.509003632270836i</v>
      </c>
      <c r="V576" s="731" t="str">
        <f t="shared" si="418"/>
        <v>6000</v>
      </c>
      <c r="W576" s="733" t="str">
        <f>IMSUM(COMPLEX(1,0),IMDIV(COMPLEX(0,2*PI()*D576),COMPLEX(2*PI()*'Stability Calculations'!EA_Pole1,0)))</f>
        <v>1+656939.696429223i</v>
      </c>
      <c r="X576" s="734">
        <f t="shared" si="433"/>
        <v>656939.69642998418</v>
      </c>
      <c r="Y576" s="735">
        <f t="shared" si="434"/>
        <v>1.5707948045851634</v>
      </c>
      <c r="Z576" s="340" t="str">
        <f>IMSUM(COMPLEX(1,0),IMDIV(COMPLEX(0,2*PI()*D576),COMPLEX(2*PI()*'Stability Calculations'!EA_Zero1,0)))</f>
        <v>1+6504.35342999231i</v>
      </c>
      <c r="AA576" s="734">
        <f t="shared" si="435"/>
        <v>6504.3535068639012</v>
      </c>
      <c r="AB576" s="735">
        <f t="shared" si="436"/>
        <v>1.5706425836130593</v>
      </c>
      <c r="AC576" s="733" t="str">
        <f>IMSUM(COMPLEX(1,0),IMDIV(COMPLEX(0,2*PI()*D576),COMPLEX(2*PI()*'Stability Calculations'!EA_Pole2,0)))</f>
        <v>1+65.5213189153077i</v>
      </c>
      <c r="AD576" s="734">
        <f t="shared" si="437"/>
        <v>65.528949574989056</v>
      </c>
      <c r="AE576" s="735">
        <f t="shared" si="438"/>
        <v>1.5555353036286139</v>
      </c>
      <c r="AF576" s="732" t="str">
        <f t="shared" si="439"/>
        <v>0.0136965184722161-0.906456784945404i</v>
      </c>
      <c r="AG576" s="337">
        <f t="shared" si="440"/>
        <v>0.90656025590791167</v>
      </c>
      <c r="AH576" s="730">
        <f t="shared" si="441"/>
        <v>-1.5556875246007182</v>
      </c>
      <c r="AI576" s="731" t="str">
        <f t="shared" si="419"/>
        <v>10000</v>
      </c>
      <c r="AJ576" s="733" t="str">
        <f t="shared" si="442"/>
        <v>1+612448.618097392i</v>
      </c>
      <c r="AK576" s="734">
        <f t="shared" si="443"/>
        <v>612448.61809820856</v>
      </c>
      <c r="AL576" s="735">
        <f t="shared" si="444"/>
        <v>1.5707946940048625</v>
      </c>
      <c r="AM576" s="340" t="str">
        <f t="shared" si="445"/>
        <v>1+1039.39567811277i</v>
      </c>
      <c r="AN576" s="734">
        <f t="shared" si="446"/>
        <v>1039.3961591614166</v>
      </c>
      <c r="AO576" s="735">
        <f t="shared" si="447"/>
        <v>1.5698342295757972</v>
      </c>
      <c r="AP576" s="733" t="str">
        <f t="shared" si="448"/>
        <v>1+50.4124036563424i</v>
      </c>
      <c r="AQ576" s="734">
        <f t="shared" si="449"/>
        <v>50.422320874886402</v>
      </c>
      <c r="AR576" s="735">
        <f t="shared" si="450"/>
        <v>1.5509625399155851</v>
      </c>
      <c r="AS576" s="732" t="str">
        <f t="shared" si="451"/>
        <v>0.00025559003062113-2.26092913358565i</v>
      </c>
      <c r="AT576" s="337">
        <f t="shared" si="452"/>
        <v>2.2609291480324236</v>
      </c>
      <c r="AU576" s="730">
        <f t="shared" si="453"/>
        <v>-1.5706832803372541</v>
      </c>
      <c r="AV576" s="732" t="str">
        <f t="shared" si="454"/>
        <v>-0.024015206302589+0.0182677743283314i</v>
      </c>
      <c r="AW576" s="337">
        <f t="shared" si="455"/>
        <v>-30.407478529195664</v>
      </c>
      <c r="AX576" s="730">
        <f t="shared" si="456"/>
        <v>142.74064813039888</v>
      </c>
      <c r="AY576" s="360">
        <f t="shared" si="457"/>
        <v>-37.259351869601119</v>
      </c>
      <c r="BB576" s="337">
        <f t="shared" si="458"/>
        <v>-32.914260943280198</v>
      </c>
      <c r="BC576" s="730">
        <f t="shared" si="459"/>
        <v>-89.993522915088178</v>
      </c>
      <c r="BD576" s="351"/>
      <c r="BE576" s="337">
        <f t="shared" si="420"/>
        <v>21.403040542826886</v>
      </c>
      <c r="BF576" s="730">
        <f t="shared" si="421"/>
        <v>-89.855429750623969</v>
      </c>
      <c r="BI576" s="351"/>
      <c r="BJ576" s="351"/>
      <c r="BL576" s="405">
        <f t="shared" si="422"/>
        <v>0</v>
      </c>
      <c r="BM576" s="405">
        <f t="shared" si="460"/>
        <v>0</v>
      </c>
      <c r="BN576" s="405">
        <f t="shared" si="423"/>
        <v>0</v>
      </c>
      <c r="BO576" s="405">
        <f t="shared" si="424"/>
        <v>0</v>
      </c>
    </row>
    <row r="577" spans="4:67" ht="13.5" thickBot="1" x14ac:dyDescent="0.25">
      <c r="D577" s="345">
        <v>104710</v>
      </c>
      <c r="E577" s="340" t="str">
        <f t="shared" si="411"/>
        <v>1.736888560479i</v>
      </c>
      <c r="F577" s="728" t="str">
        <f t="shared" si="425"/>
        <v>0.005-0.024917366323522i</v>
      </c>
      <c r="G577" s="337" t="str">
        <f t="shared" si="426"/>
        <v>0.005-0.0389733165573037i</v>
      </c>
      <c r="H577" s="338" t="str">
        <f t="shared" si="427"/>
        <v>0.00621144340054741-0.0386156517829131i</v>
      </c>
      <c r="I577" s="338" t="str">
        <f t="shared" si="428"/>
        <v>0.0162114434005474-0.0386156517829131i</v>
      </c>
      <c r="J577" s="337" t="str">
        <f t="shared" si="429"/>
        <v>0.00428864914057951-0.015300887503492i</v>
      </c>
      <c r="K577" s="338" t="str">
        <f t="shared" si="412"/>
        <v>0.878175732222222-0.548260277928979i</v>
      </c>
      <c r="L577" s="732"/>
      <c r="M577" s="732" t="str">
        <f t="shared" si="413"/>
        <v>0.028939400456247-11.6171114622924i</v>
      </c>
      <c r="N577" s="337">
        <f t="shared" si="414"/>
        <v>0</v>
      </c>
      <c r="O577" s="730" t="str">
        <f t="shared" si="415"/>
        <v>-0.535131346359932-4.37524022853744i</v>
      </c>
      <c r="P577" s="731" t="str">
        <f t="shared" si="416"/>
        <v>-0.177628004665168-0.0502645135995762i</v>
      </c>
      <c r="Q577" s="729" t="str">
        <f t="shared" si="417"/>
        <v>-0.172276691201569-0.00651211131420183i</v>
      </c>
      <c r="R577" s="730"/>
      <c r="S577" s="405" t="str">
        <f t="shared" si="430"/>
        <v>33.0523568586002-20.2092852507393i</v>
      </c>
      <c r="T577" s="405" t="str">
        <f t="shared" si="431"/>
        <v>11.4944429856078-9.16238711139239i</v>
      </c>
      <c r="U577" s="405" t="str">
        <f t="shared" si="432"/>
        <v>-0.282414468167859-0.500777056727101i</v>
      </c>
      <c r="V577" s="731" t="str">
        <f t="shared" si="418"/>
        <v>6000</v>
      </c>
      <c r="W577" s="733" t="str">
        <f>IMSUM(COMPLEX(1,0),IMDIV(COMPLEX(0,2*PI()*D577),COMPLEX(2*PI()*'Stability Calculations'!EA_Pole1,0)))</f>
        <v>1+664491.456849922i</v>
      </c>
      <c r="X577" s="734">
        <f t="shared" si="433"/>
        <v>664491.45685067447</v>
      </c>
      <c r="Y577" s="735">
        <f t="shared" si="434"/>
        <v>1.5707948218846532</v>
      </c>
      <c r="Z577" s="340" t="str">
        <f>IMSUM(COMPLEX(1,0),IMDIV(COMPLEX(0,2*PI()*D577),COMPLEX(2*PI()*'Stability Calculations'!EA_Zero1,0)))</f>
        <v>1+6579.12333514774i</v>
      </c>
      <c r="AA577" s="734">
        <f t="shared" si="435"/>
        <v>6579.1234111457079</v>
      </c>
      <c r="AB577" s="735">
        <f t="shared" si="436"/>
        <v>1.5706443308614937</v>
      </c>
      <c r="AC577" s="733" t="str">
        <f>IMSUM(COMPLEX(1,0),IMDIV(COMPLEX(0,2*PI()*D577),COMPLEX(2*PI()*'Stability Calculations'!EA_Pole2,0)))</f>
        <v>1+66.2745102745543i</v>
      </c>
      <c r="AD577" s="734">
        <f t="shared" si="437"/>
        <v>66.282054223839523</v>
      </c>
      <c r="AE577" s="735">
        <f t="shared" si="438"/>
        <v>1.5557087144379909</v>
      </c>
      <c r="AF577" s="732" t="str">
        <f t="shared" si="439"/>
        <v>0.0133870436913006-0.896159825516292i</v>
      </c>
      <c r="AG577" s="337">
        <f t="shared" si="440"/>
        <v>0.89625980932326965</v>
      </c>
      <c r="AH577" s="730">
        <f t="shared" si="441"/>
        <v>-1.5558592054611506</v>
      </c>
      <c r="AI577" s="731" t="str">
        <f t="shared" si="419"/>
        <v>10000</v>
      </c>
      <c r="AJ577" s="733" t="str">
        <f t="shared" si="442"/>
        <v>1+619488.937412847i</v>
      </c>
      <c r="AK577" s="734">
        <f t="shared" si="443"/>
        <v>619488.93741365417</v>
      </c>
      <c r="AL577" s="735">
        <f t="shared" si="444"/>
        <v>1.5707947125610668</v>
      </c>
      <c r="AM577" s="340" t="str">
        <f t="shared" si="445"/>
        <v>1+1051.34390895661i</v>
      </c>
      <c r="AN577" s="734">
        <f t="shared" si="446"/>
        <v>1051.3443845382753</v>
      </c>
      <c r="AO577" s="735">
        <f t="shared" si="447"/>
        <v>1.5698451635362234</v>
      </c>
      <c r="AP577" s="733" t="str">
        <f t="shared" si="448"/>
        <v>1+50.991912546905i</v>
      </c>
      <c r="AQ577" s="734">
        <f t="shared" si="449"/>
        <v>51.00171708081217</v>
      </c>
      <c r="AR577" s="735">
        <f t="shared" si="450"/>
        <v>1.5511878872769336</v>
      </c>
      <c r="AS577" s="732" t="str">
        <f t="shared" si="451"/>
        <v>0.000249813622818962-2.2352343040434i</v>
      </c>
      <c r="AT577" s="337">
        <f t="shared" si="452"/>
        <v>2.2352343180031995</v>
      </c>
      <c r="AU577" s="730">
        <f t="shared" si="453"/>
        <v>-1.5706845650787638</v>
      </c>
      <c r="AV577" s="732" t="str">
        <f t="shared" si="454"/>
        <v>-0.0233010117304987+0.0180068724778422i</v>
      </c>
      <c r="AW577" s="337">
        <f t="shared" si="455"/>
        <v>-30.618884411546151</v>
      </c>
      <c r="AX577" s="730">
        <f t="shared" si="456"/>
        <v>142.30338053927542</v>
      </c>
      <c r="AY577" s="360">
        <f t="shared" si="457"/>
        <v>-37.696619460724577</v>
      </c>
      <c r="BB577" s="337">
        <f t="shared" si="458"/>
        <v>-33.013538867359088</v>
      </c>
      <c r="BC577" s="730">
        <f t="shared" si="459"/>
        <v>-89.993596525354448</v>
      </c>
      <c r="BD577" s="351"/>
      <c r="BE577" s="337">
        <f t="shared" si="420"/>
        <v>21.301990076174601</v>
      </c>
      <c r="BF577" s="730">
        <f t="shared" si="421"/>
        <v>-89.857270709389482</v>
      </c>
      <c r="BI577" s="351"/>
      <c r="BJ577" s="351"/>
      <c r="BL577" s="405">
        <f t="shared" si="422"/>
        <v>0</v>
      </c>
      <c r="BM577" s="405">
        <f t="shared" si="460"/>
        <v>0</v>
      </c>
      <c r="BN577" s="405">
        <f t="shared" si="423"/>
        <v>0</v>
      </c>
      <c r="BO577" s="405">
        <f t="shared" si="424"/>
        <v>0</v>
      </c>
    </row>
    <row r="578" spans="4:67" ht="13.5" thickBot="1" x14ac:dyDescent="0.25">
      <c r="D578" s="345">
        <v>105930</v>
      </c>
      <c r="E578" s="340" t="str">
        <f t="shared" si="411"/>
        <v>1.75712544371637i</v>
      </c>
      <c r="F578" s="728" t="str">
        <f t="shared" si="425"/>
        <v>0.005-0.0246303920299819i</v>
      </c>
      <c r="G578" s="337" t="str">
        <f t="shared" si="426"/>
        <v>0.005-0.0385244593289462i</v>
      </c>
      <c r="H578" s="338" t="str">
        <f t="shared" si="427"/>
        <v>0.00618325898144409-0.0381718025711326i</v>
      </c>
      <c r="I578" s="338" t="str">
        <f t="shared" si="428"/>
        <v>0.0161832589814441-0.0381718025711326i</v>
      </c>
      <c r="J578" s="337" t="str">
        <f t="shared" si="429"/>
        <v>0.00428359599015702-0.0151270301328826i</v>
      </c>
      <c r="K578" s="338" t="str">
        <f t="shared" si="412"/>
        <v>0.87532039-0.554648182991278i</v>
      </c>
      <c r="L578" s="732"/>
      <c r="M578" s="732" t="str">
        <f t="shared" si="413"/>
        <v>0.0282319166147299-11.4809972901945i</v>
      </c>
      <c r="N578" s="337">
        <f t="shared" si="414"/>
        <v>0</v>
      </c>
      <c r="O578" s="730" t="str">
        <f t="shared" si="415"/>
        <v>-0.532323065587296-4.32093128166941i</v>
      </c>
      <c r="P578" s="731" t="str">
        <f t="shared" si="416"/>
        <v>-0.173552457839511-0.0496070190086209i</v>
      </c>
      <c r="Q578" s="729" t="str">
        <f t="shared" si="417"/>
        <v>-0.168229227183638-0.0063977061919267i</v>
      </c>
      <c r="R578" s="730"/>
      <c r="S578" s="405" t="str">
        <f t="shared" si="430"/>
        <v>32.8829879758599-20.4145292535444i</v>
      </c>
      <c r="T578" s="405" t="str">
        <f t="shared" si="431"/>
        <v>11.4064361295528-9.23579841460441i</v>
      </c>
      <c r="U578" s="405" t="str">
        <f t="shared" si="432"/>
        <v>-0.282018125024733-0.492511561475432i</v>
      </c>
      <c r="V578" s="731" t="str">
        <f t="shared" si="418"/>
        <v>6000</v>
      </c>
      <c r="W578" s="733" t="str">
        <f>IMSUM(COMPLEX(1,0),IMDIV(COMPLEX(0,2*PI()*D578),COMPLEX(2*PI()*'Stability Calculations'!EA_Pole1,0)))</f>
        <v>1+672233.597785429i</v>
      </c>
      <c r="X578" s="734">
        <f t="shared" si="433"/>
        <v>672233.59778617276</v>
      </c>
      <c r="Y578" s="735">
        <f t="shared" si="434"/>
        <v>1.5707948392167641</v>
      </c>
      <c r="Z578" s="340" t="str">
        <f>IMSUM(COMPLEX(1,0),IMDIV(COMPLEX(0,2*PI()*D578),COMPLEX(2*PI()*'Stability Calculations'!EA_Zero1,0)))</f>
        <v>1+6655.77819589534i</v>
      </c>
      <c r="AA578" s="734">
        <f t="shared" si="435"/>
        <v>6655.7782710180354</v>
      </c>
      <c r="AB578" s="735">
        <f t="shared" si="436"/>
        <v>1.5706460814046443</v>
      </c>
      <c r="AC578" s="733" t="str">
        <f>IMSUM(COMPLEX(1,0),IMDIV(COMPLEX(0,2*PI()*D578),COMPLEX(2*PI()*'Stability Calculations'!EA_Pole2,0)))</f>
        <v>1+67.0466896512611i</v>
      </c>
      <c r="AD578" s="734">
        <f t="shared" si="437"/>
        <v>67.054146726302633</v>
      </c>
      <c r="AE578" s="735">
        <f t="shared" si="438"/>
        <v>1.5558824531511326</v>
      </c>
      <c r="AF578" s="732" t="str">
        <f t="shared" si="439"/>
        <v>0.0130805293408852-0.88584328900938i</v>
      </c>
      <c r="AG578" s="337">
        <f t="shared" si="440"/>
        <v>0.88593985852923096</v>
      </c>
      <c r="AH578" s="730">
        <f t="shared" si="441"/>
        <v>-1.5560312109632524</v>
      </c>
      <c r="AI578" s="731" t="str">
        <f t="shared" si="419"/>
        <v>10000</v>
      </c>
      <c r="AJ578" s="733" t="str">
        <f t="shared" si="442"/>
        <v>1+626706.743769868i</v>
      </c>
      <c r="AK578" s="734">
        <f t="shared" si="443"/>
        <v>626706.74377066595</v>
      </c>
      <c r="AL578" s="735">
        <f t="shared" si="444"/>
        <v>1.5707947311522616</v>
      </c>
      <c r="AM578" s="340" t="str">
        <f t="shared" si="445"/>
        <v>1+1063.59335570408i</v>
      </c>
      <c r="AN578" s="734">
        <f t="shared" si="446"/>
        <v>1063.593825808455</v>
      </c>
      <c r="AO578" s="735">
        <f t="shared" si="447"/>
        <v>1.5698561181146027</v>
      </c>
      <c r="AP578" s="733" t="str">
        <f t="shared" si="448"/>
        <v>1+51.586030905297i</v>
      </c>
      <c r="AQ578" s="734">
        <f t="shared" si="449"/>
        <v>51.59572254133338</v>
      </c>
      <c r="AR578" s="735">
        <f t="shared" si="450"/>
        <v>1.5514136615640348</v>
      </c>
      <c r="AS578" s="732" t="str">
        <f t="shared" si="451"/>
        <v>0.000244092531966852-2.20949102278237i</v>
      </c>
      <c r="AT578" s="337">
        <f t="shared" si="452"/>
        <v>2.2094910362653768</v>
      </c>
      <c r="AU578" s="730">
        <f t="shared" si="453"/>
        <v>-1.5706858522428586</v>
      </c>
      <c r="AV578" s="732" t="str">
        <f t="shared" si="454"/>
        <v>-0.022594280365562+0.0177447277683336i</v>
      </c>
      <c r="AW578" s="337">
        <f t="shared" si="455"/>
        <v>-30.833477063926825</v>
      </c>
      <c r="AX578" s="730">
        <f t="shared" si="456"/>
        <v>141.85519507896015</v>
      </c>
      <c r="AY578" s="360">
        <f t="shared" si="457"/>
        <v>-38.144804921039849</v>
      </c>
      <c r="BB578" s="337">
        <f t="shared" si="458"/>
        <v>-33.114155119946219</v>
      </c>
      <c r="BC578" s="730">
        <f t="shared" si="459"/>
        <v>-89.99367027442463</v>
      </c>
      <c r="BD578" s="351"/>
      <c r="BE578" s="337">
        <f t="shared" si="420"/>
        <v>21.199618549384951</v>
      </c>
      <c r="BF578" s="730">
        <f t="shared" si="421"/>
        <v>-89.859109242135261</v>
      </c>
      <c r="BI578" s="351"/>
      <c r="BJ578" s="351"/>
      <c r="BL578" s="405">
        <f t="shared" si="422"/>
        <v>0</v>
      </c>
      <c r="BM578" s="405">
        <f t="shared" si="460"/>
        <v>0</v>
      </c>
      <c r="BN578" s="405">
        <f t="shared" si="423"/>
        <v>0</v>
      </c>
      <c r="BO578" s="405">
        <f t="shared" si="424"/>
        <v>0</v>
      </c>
    </row>
    <row r="579" spans="4:67" ht="13.5" thickBot="1" x14ac:dyDescent="0.25">
      <c r="D579" s="345">
        <v>107150</v>
      </c>
      <c r="E579" s="340" t="str">
        <f t="shared" si="411"/>
        <v>1.77736232695373i</v>
      </c>
      <c r="F579" s="728" t="str">
        <f t="shared" si="425"/>
        <v>0.005-0.0243499526620251i</v>
      </c>
      <c r="G579" s="337" t="str">
        <f t="shared" si="426"/>
        <v>0.005-0.0380858233944495i</v>
      </c>
      <c r="H579" s="338" t="str">
        <f t="shared" si="427"/>
        <v>0.00615603054021885-0.0377380308086887i</v>
      </c>
      <c r="I579" s="338" t="str">
        <f t="shared" si="428"/>
        <v>0.0161560305402189-0.0377380308086887i</v>
      </c>
      <c r="J579" s="337" t="str">
        <f t="shared" si="429"/>
        <v>0.00427868425853735-0.0149571468419832i</v>
      </c>
      <c r="K579" s="338" t="str">
        <f t="shared" si="412"/>
        <v>0.872431972222222-0.561036088053577i</v>
      </c>
      <c r="L579" s="732"/>
      <c r="M579" s="732" t="str">
        <f t="shared" si="413"/>
        <v>0.0275502886872884-11.348061357687i</v>
      </c>
      <c r="N579" s="337">
        <f t="shared" si="414"/>
        <v>0</v>
      </c>
      <c r="O579" s="730" t="str">
        <f t="shared" si="415"/>
        <v>-0.5295712624177-4.26786899506983i</v>
      </c>
      <c r="P579" s="731" t="str">
        <f t="shared" si="416"/>
        <v>-0.169616741112235-0.048966845209486i</v>
      </c>
      <c r="Q579" s="729" t="str">
        <f t="shared" si="417"/>
        <v>-0.164321028488058-0.00628815525878767i</v>
      </c>
      <c r="R579" s="730"/>
      <c r="S579" s="405" t="str">
        <f t="shared" si="430"/>
        <v>32.711792180342-20.618130958641i</v>
      </c>
      <c r="T579" s="405" t="str">
        <f t="shared" si="431"/>
        <v>11.3177418720267-9.30824311413089i</v>
      </c>
      <c r="U579" s="405" t="str">
        <f t="shared" si="432"/>
        <v>-0.281602400805326-0.484411120337702i</v>
      </c>
      <c r="V579" s="731" t="str">
        <f t="shared" si="418"/>
        <v>6000</v>
      </c>
      <c r="W579" s="733" t="str">
        <f>IMSUM(COMPLEX(1,0),IMDIV(COMPLEX(0,2*PI()*D579),COMPLEX(2*PI()*'Stability Calculations'!EA_Pole1,0)))</f>
        <v>1+679975.738720936i</v>
      </c>
      <c r="X579" s="734">
        <f t="shared" si="433"/>
        <v>679975.73872167128</v>
      </c>
      <c r="Y579" s="735">
        <f t="shared" si="434"/>
        <v>1.5707948561541913</v>
      </c>
      <c r="Z579" s="340" t="str">
        <f>IMSUM(COMPLEX(1,0),IMDIV(COMPLEX(0,2*PI()*D579),COMPLEX(2*PI()*'Stability Calculations'!EA_Zero1,0)))</f>
        <v>1+6732.43305664293i</v>
      </c>
      <c r="AA579" s="734">
        <f t="shared" si="435"/>
        <v>6732.4331309102845</v>
      </c>
      <c r="AB579" s="735">
        <f t="shared" si="436"/>
        <v>1.5706477920847506</v>
      </c>
      <c r="AC579" s="733" t="str">
        <f>IMSUM(COMPLEX(1,0),IMDIV(COMPLEX(0,2*PI()*D579),COMPLEX(2*PI()*'Stability Calculations'!EA_Pole2,0)))</f>
        <v>1+67.8188690279678i</v>
      </c>
      <c r="AD579" s="734">
        <f t="shared" si="437"/>
        <v>67.826241206723608</v>
      </c>
      <c r="AE579" s="735">
        <f t="shared" si="438"/>
        <v>1.5560522363883833</v>
      </c>
      <c r="AF579" s="732" t="str">
        <f t="shared" si="439"/>
        <v>0.0127844220686788-0.875761525311576i</v>
      </c>
      <c r="AG579" s="337">
        <f t="shared" si="440"/>
        <v>0.8758548342412048</v>
      </c>
      <c r="AH579" s="730">
        <f t="shared" si="441"/>
        <v>-1.5561993004578241</v>
      </c>
      <c r="AI579" s="731" t="str">
        <f t="shared" si="419"/>
        <v>10000</v>
      </c>
      <c r="AJ579" s="733" t="str">
        <f t="shared" si="442"/>
        <v>1+633924.550126889i</v>
      </c>
      <c r="AK579" s="734">
        <f t="shared" si="443"/>
        <v>633924.55012767785</v>
      </c>
      <c r="AL579" s="735">
        <f t="shared" si="444"/>
        <v>1.5707947493201013</v>
      </c>
      <c r="AM579" s="340" t="str">
        <f t="shared" si="445"/>
        <v>1+1075.84280245154i</v>
      </c>
      <c r="AN579" s="734">
        <f t="shared" si="446"/>
        <v>1075.8432672033521</v>
      </c>
      <c r="AO579" s="735">
        <f t="shared" si="447"/>
        <v>1.5698668232375657</v>
      </c>
      <c r="AP579" s="733" t="str">
        <f t="shared" si="448"/>
        <v>1+52.180149263689i</v>
      </c>
      <c r="AQ579" s="734">
        <f t="shared" si="449"/>
        <v>52.189730572027898</v>
      </c>
      <c r="AR579" s="735">
        <f t="shared" si="450"/>
        <v>1.5516342964702559</v>
      </c>
      <c r="AS579" s="732" t="str">
        <f t="shared" si="451"/>
        <v>0.000238565745885514-2.18433396274395i</v>
      </c>
      <c r="AT579" s="337">
        <f t="shared" si="452"/>
        <v>2.1843339757716316</v>
      </c>
      <c r="AU579" s="730">
        <f t="shared" si="453"/>
        <v>-1.570687110095891</v>
      </c>
      <c r="AV579" s="732" t="str">
        <f t="shared" si="454"/>
        <v>-0.021912185255117+0.0174878102192796i</v>
      </c>
      <c r="AW579" s="337">
        <f t="shared" si="455"/>
        <v>-31.045954842304543</v>
      </c>
      <c r="AX579" s="730">
        <f t="shared" si="456"/>
        <v>141.40711947778317</v>
      </c>
      <c r="AY579" s="360">
        <f t="shared" si="457"/>
        <v>-38.592880522216831</v>
      </c>
      <c r="BB579" s="337">
        <f t="shared" si="458"/>
        <v>-33.213619180647868</v>
      </c>
      <c r="BC579" s="730">
        <f t="shared" si="459"/>
        <v>-89.993742344094628</v>
      </c>
      <c r="BD579" s="351"/>
      <c r="BE579" s="337">
        <f t="shared" si="420"/>
        <v>21.098459103400348</v>
      </c>
      <c r="BF579" s="730">
        <f t="shared" si="421"/>
        <v>-89.860900279337812</v>
      </c>
      <c r="BI579" s="351"/>
      <c r="BJ579" s="351"/>
      <c r="BL579" s="405">
        <f t="shared" si="422"/>
        <v>0</v>
      </c>
      <c r="BM579" s="405">
        <f t="shared" si="460"/>
        <v>0</v>
      </c>
      <c r="BN579" s="405">
        <f t="shared" si="423"/>
        <v>0</v>
      </c>
      <c r="BO579" s="405">
        <f t="shared" si="424"/>
        <v>0</v>
      </c>
    </row>
    <row r="580" spans="4:67" ht="13.5" thickBot="1" x14ac:dyDescent="0.25">
      <c r="D580" s="345">
        <v>108400</v>
      </c>
      <c r="E580" s="340" t="str">
        <f t="shared" si="411"/>
        <v>1.79809683846743i</v>
      </c>
      <c r="F580" s="728" t="str">
        <f t="shared" si="425"/>
        <v>0.005-0.0240691644625091i</v>
      </c>
      <c r="G580" s="337" t="str">
        <f t="shared" si="426"/>
        <v>0.005-0.0376466418516169i</v>
      </c>
      <c r="H580" s="338" t="str">
        <f t="shared" si="427"/>
        <v>0.00612907940151735-0.0373036903102523i</v>
      </c>
      <c r="I580" s="338" t="str">
        <f t="shared" si="428"/>
        <v>0.0161290794015174-0.0373036903102523i</v>
      </c>
      <c r="J580" s="337" t="str">
        <f t="shared" si="429"/>
        <v>0.0042737916459475-0.0147870674506073i</v>
      </c>
      <c r="K580" s="338" t="str">
        <f t="shared" si="412"/>
        <v>0.869438222222222-0.567581072748556i</v>
      </c>
      <c r="L580" s="732"/>
      <c r="M580" s="732" t="str">
        <f t="shared" si="413"/>
        <v>0.0268774008753663-11.2150370376679i</v>
      </c>
      <c r="N580" s="337">
        <f t="shared" si="414"/>
        <v>0</v>
      </c>
      <c r="O580" s="730" t="str">
        <f t="shared" si="415"/>
        <v>-0.52680751293076-4.2147497797863i</v>
      </c>
      <c r="P580" s="731" t="str">
        <f t="shared" si="416"/>
        <v>-0.165722640725728-0.0483281695402179i</v>
      </c>
      <c r="Q580" s="729" t="str">
        <f t="shared" si="417"/>
        <v>-0.160454565596421-0.00618067174235479i</v>
      </c>
      <c r="R580" s="730"/>
      <c r="S580" s="405" t="str">
        <f t="shared" si="430"/>
        <v>32.5345049603268-20.8250136637558i</v>
      </c>
      <c r="T580" s="405" t="str">
        <f t="shared" si="431"/>
        <v>11.2261666539745-9.38145573875659i</v>
      </c>
      <c r="U580" s="405" t="str">
        <f t="shared" si="432"/>
        <v>-0.281156852741039-0.476277131355807i</v>
      </c>
      <c r="V580" s="731" t="str">
        <f t="shared" si="418"/>
        <v>6000</v>
      </c>
      <c r="W580" s="733" t="str">
        <f>IMSUM(COMPLEX(1,0),IMDIV(COMPLEX(0,2*PI()*D580),COMPLEX(2*PI()*'Stability Calculations'!EA_Pole1,0)))</f>
        <v>1+687908.26017125i</v>
      </c>
      <c r="X580" s="734">
        <f t="shared" si="433"/>
        <v>687908.26017197676</v>
      </c>
      <c r="Y580" s="735">
        <f t="shared" si="434"/>
        <v>1.5707948731126866</v>
      </c>
      <c r="Z580" s="340" t="str">
        <f>IMSUM(COMPLEX(1,0),IMDIV(COMPLEX(0,2*PI()*D580),COMPLEX(2*PI()*'Stability Calculations'!EA_Zero1,0)))</f>
        <v>1+6810.97287298267i</v>
      </c>
      <c r="AA580" s="734">
        <f t="shared" si="435"/>
        <v>6810.972946393621</v>
      </c>
      <c r="AB580" s="735">
        <f t="shared" si="436"/>
        <v>1.5706495048927303</v>
      </c>
      <c r="AC580" s="733" t="str">
        <f>IMSUM(COMPLEX(1,0),IMDIV(COMPLEX(0,2*PI()*D580),COMPLEX(2*PI()*'Stability Calculations'!EA_Pole2,0)))</f>
        <v>1+68.6100364221344i</v>
      </c>
      <c r="AD580" s="734">
        <f t="shared" si="437"/>
        <v>68.617323598684678</v>
      </c>
      <c r="AE580" s="735">
        <f t="shared" si="438"/>
        <v>1.556222231666468</v>
      </c>
      <c r="AF580" s="732" t="str">
        <f t="shared" si="439"/>
        <v>0.0124913406218872-0.865667070930606i</v>
      </c>
      <c r="AG580" s="337">
        <f t="shared" si="440"/>
        <v>0.86575718956535774</v>
      </c>
      <c r="AH580" s="730">
        <f t="shared" si="441"/>
        <v>-1.5563675998864241</v>
      </c>
      <c r="AI580" s="731" t="str">
        <f t="shared" si="419"/>
        <v>10000</v>
      </c>
      <c r="AJ580" s="733" t="str">
        <f t="shared" si="442"/>
        <v>1+641319.843525476i</v>
      </c>
      <c r="AK580" s="734">
        <f t="shared" si="443"/>
        <v>641319.84352625569</v>
      </c>
      <c r="AL580" s="735">
        <f t="shared" si="444"/>
        <v>1.5707947675105394</v>
      </c>
      <c r="AM580" s="340" t="str">
        <f t="shared" si="445"/>
        <v>1+1088.39346510263i</v>
      </c>
      <c r="AN580" s="734">
        <f t="shared" si="446"/>
        <v>1088.3939244952214</v>
      </c>
      <c r="AO580" s="735">
        <f t="shared" si="447"/>
        <v>1.5698775416765782</v>
      </c>
      <c r="AP580" s="733" t="str">
        <f t="shared" si="448"/>
        <v>1+52.7888770899103i</v>
      </c>
      <c r="AQ580" s="734">
        <f t="shared" si="449"/>
        <v>52.798347932616764</v>
      </c>
      <c r="AR580" s="735">
        <f t="shared" si="450"/>
        <v>1.5518552076880767</v>
      </c>
      <c r="AS580" s="732" t="str">
        <f t="shared" si="451"/>
        <v>0.000233095491071456-2.15914561044308i</v>
      </c>
      <c r="AT580" s="337">
        <f t="shared" si="452"/>
        <v>2.1591456230252577</v>
      </c>
      <c r="AU580" s="730">
        <f t="shared" si="453"/>
        <v>-1.5706883695135356</v>
      </c>
      <c r="AV580" s="732" t="str">
        <f t="shared" si="454"/>
        <v>-0.0212377262370944+0.0172298214293034i</v>
      </c>
      <c r="AW580" s="337">
        <f t="shared" si="455"/>
        <v>-31.261519594007524</v>
      </c>
      <c r="AX580" s="730">
        <f t="shared" si="456"/>
        <v>140.94814289551667</v>
      </c>
      <c r="AY580" s="360">
        <f t="shared" si="457"/>
        <v>-39.051857104483332</v>
      </c>
      <c r="BB580" s="337">
        <f t="shared" si="458"/>
        <v>-33.314361315950421</v>
      </c>
      <c r="BC580" s="730">
        <f t="shared" si="459"/>
        <v>-89.993814503410306</v>
      </c>
      <c r="BD580" s="351"/>
      <c r="BE580" s="337">
        <f t="shared" si="420"/>
        <v>20.996039187014112</v>
      </c>
      <c r="BF580" s="730">
        <f t="shared" si="421"/>
        <v>-89.862688042755011</v>
      </c>
      <c r="BI580" s="351"/>
      <c r="BJ580" s="351"/>
      <c r="BL580" s="405">
        <f t="shared" si="422"/>
        <v>0</v>
      </c>
      <c r="BM580" s="405">
        <f t="shared" si="460"/>
        <v>0</v>
      </c>
      <c r="BN580" s="405">
        <f t="shared" si="423"/>
        <v>0</v>
      </c>
      <c r="BO580" s="405">
        <f t="shared" si="424"/>
        <v>0</v>
      </c>
    </row>
    <row r="581" spans="4:67" ht="13.5" thickBot="1" x14ac:dyDescent="0.25">
      <c r="D581" s="345">
        <v>109650</v>
      </c>
      <c r="E581" s="340" t="str">
        <f t="shared" si="411"/>
        <v>1.81883134998112i</v>
      </c>
      <c r="F581" s="728" t="str">
        <f t="shared" si="425"/>
        <v>0.005-0.0237947781827268i</v>
      </c>
      <c r="G581" s="337" t="str">
        <f t="shared" si="426"/>
        <v>0.005-0.0372174735678547i</v>
      </c>
      <c r="H581" s="338" t="str">
        <f t="shared" si="427"/>
        <v>0.00610304358085846-0.0368792248112435i</v>
      </c>
      <c r="I581" s="338" t="str">
        <f t="shared" si="428"/>
        <v>0.0161030435808585-0.0368792248112435i</v>
      </c>
      <c r="J581" s="337" t="str">
        <f t="shared" si="429"/>
        <v>0.00426903410763123-0.0146208808563337i</v>
      </c>
      <c r="K581" s="338" t="str">
        <f t="shared" si="412"/>
        <v>0.86640975-0.574126057443535i</v>
      </c>
      <c r="L581" s="732"/>
      <c r="M581" s="732" t="str">
        <f t="shared" si="413"/>
        <v>0.0262290639373223-11.0851191529408i</v>
      </c>
      <c r="N581" s="337">
        <f t="shared" si="414"/>
        <v>0</v>
      </c>
      <c r="O581" s="730" t="str">
        <f t="shared" si="415"/>
        <v>-0.524097416399485-4.1628497045076i</v>
      </c>
      <c r="P581" s="731" t="str">
        <f t="shared" si="416"/>
        <v>-0.16196223364485-0.0477062437698611i</v>
      </c>
      <c r="Q581" s="729" t="str">
        <f t="shared" si="417"/>
        <v>-0.156721259480855-0.00607774672478503i</v>
      </c>
      <c r="R581" s="730"/>
      <c r="S581" s="405" t="str">
        <f t="shared" si="430"/>
        <v>32.355327127418-21.0301269545539i</v>
      </c>
      <c r="T581" s="405" t="str">
        <f t="shared" si="431"/>
        <v>11.1338964568122-9.45363160909262i</v>
      </c>
      <c r="U581" s="405" t="str">
        <f t="shared" si="432"/>
        <v>-0.280691950093712-0.468305396163557i</v>
      </c>
      <c r="V581" s="731" t="str">
        <f t="shared" si="418"/>
        <v>6000</v>
      </c>
      <c r="W581" s="733" t="str">
        <f>IMSUM(COMPLEX(1,0),IMDIV(COMPLEX(0,2*PI()*D581),COMPLEX(2*PI()*'Stability Calculations'!EA_Pole1,0)))</f>
        <v>1+695840.781621564i</v>
      </c>
      <c r="X581" s="734">
        <f t="shared" si="433"/>
        <v>695840.78162228246</v>
      </c>
      <c r="Y581" s="735">
        <f t="shared" si="434"/>
        <v>1.5707948896845312</v>
      </c>
      <c r="Z581" s="340" t="str">
        <f>IMSUM(COMPLEX(1,0),IMDIV(COMPLEX(0,2*PI()*D581),COMPLEX(2*PI()*'Stability Calculations'!EA_Zero1,0)))</f>
        <v>1+6889.51268932242i</v>
      </c>
      <c r="AA581" s="734">
        <f t="shared" si="435"/>
        <v>6889.5127618964916</v>
      </c>
      <c r="AB581" s="735">
        <f t="shared" si="436"/>
        <v>1.5706511786490014</v>
      </c>
      <c r="AC581" s="733" t="str">
        <f>IMSUM(COMPLEX(1,0),IMDIV(COMPLEX(0,2*PI()*D581),COMPLEX(2*PI()*'Stability Calculations'!EA_Pole2,0)))</f>
        <v>1+69.4012038163011i</v>
      </c>
      <c r="AD581" s="734">
        <f t="shared" si="437"/>
        <v>69.408407928375411</v>
      </c>
      <c r="AE581" s="735">
        <f t="shared" si="438"/>
        <v>1.5563883518971</v>
      </c>
      <c r="AF581" s="732" t="str">
        <f t="shared" si="439"/>
        <v>0.0122082224632647-0.855802624707708i</v>
      </c>
      <c r="AG581" s="337">
        <f t="shared" si="440"/>
        <v>0.85588969683734051</v>
      </c>
      <c r="AH581" s="730">
        <f t="shared" si="441"/>
        <v>-1.5565320629326298</v>
      </c>
      <c r="AI581" s="731" t="str">
        <f t="shared" si="419"/>
        <v>10000</v>
      </c>
      <c r="AJ581" s="733" t="str">
        <f t="shared" si="442"/>
        <v>1+648715.136924064i</v>
      </c>
      <c r="AK581" s="734">
        <f t="shared" si="443"/>
        <v>648715.13692483481</v>
      </c>
      <c r="AL581" s="735">
        <f t="shared" si="444"/>
        <v>1.5707947852862389</v>
      </c>
      <c r="AM581" s="340" t="str">
        <f t="shared" si="445"/>
        <v>1+1100.94412775372i</v>
      </c>
      <c r="AN581" s="734">
        <f t="shared" si="446"/>
        <v>1100.94458190928</v>
      </c>
      <c r="AO581" s="735">
        <f t="shared" si="447"/>
        <v>1.5698880157373403</v>
      </c>
      <c r="AP581" s="733" t="str">
        <f t="shared" si="448"/>
        <v>1+53.3976049161316i</v>
      </c>
      <c r="AQ581" s="734">
        <f t="shared" si="449"/>
        <v>53.406967811131921</v>
      </c>
      <c r="AR581" s="735">
        <f t="shared" si="450"/>
        <v>1.5520710839567866</v>
      </c>
      <c r="AS581" s="732" t="str">
        <f t="shared" si="451"/>
        <v>0.000227811249056832-2.1345315479605i</v>
      </c>
      <c r="AT581" s="337">
        <f t="shared" si="452"/>
        <v>2.1345315601172574</v>
      </c>
      <c r="AU581" s="730">
        <f t="shared" si="453"/>
        <v>-1.5706896002166881</v>
      </c>
      <c r="AV581" s="732" t="str">
        <f t="shared" si="454"/>
        <v>-0.0205868711838879+0.016976971919562i</v>
      </c>
      <c r="AW581" s="337">
        <f t="shared" si="455"/>
        <v>-31.474975354381115</v>
      </c>
      <c r="AX581" s="730">
        <f t="shared" si="456"/>
        <v>140.48928871793328</v>
      </c>
      <c r="AY581" s="360">
        <f t="shared" si="457"/>
        <v>-39.510711282066723</v>
      </c>
      <c r="BB581" s="337">
        <f t="shared" si="458"/>
        <v>-33.413948391026452</v>
      </c>
      <c r="BC581" s="730">
        <f t="shared" si="459"/>
        <v>-89.993885017506784</v>
      </c>
      <c r="BD581" s="351"/>
      <c r="BE581" s="337">
        <f t="shared" si="420"/>
        <v>20.894831627997998</v>
      </c>
      <c r="BF581" s="730">
        <f t="shared" si="421"/>
        <v>-89.864429796479868</v>
      </c>
      <c r="BI581" s="351"/>
      <c r="BJ581" s="351"/>
      <c r="BL581" s="405">
        <f t="shared" si="422"/>
        <v>0</v>
      </c>
      <c r="BM581" s="405">
        <f t="shared" si="460"/>
        <v>0</v>
      </c>
      <c r="BN581" s="405">
        <f t="shared" si="423"/>
        <v>0</v>
      </c>
      <c r="BO581" s="405">
        <f t="shared" si="424"/>
        <v>0</v>
      </c>
    </row>
    <row r="582" spans="4:67" ht="13.5" thickBot="1" x14ac:dyDescent="0.25">
      <c r="D582" s="345">
        <v>110925</v>
      </c>
      <c r="E582" s="340" t="str">
        <f t="shared" si="411"/>
        <v>1.83998055172508i</v>
      </c>
      <c r="F582" s="728" t="str">
        <f t="shared" si="425"/>
        <v>0.005-0.0235212749852242i</v>
      </c>
      <c r="G582" s="337" t="str">
        <f t="shared" si="426"/>
        <v>0.005-0.0367896865153506i</v>
      </c>
      <c r="H582" s="338" t="str">
        <f t="shared" si="427"/>
        <v>0.00607738752607339-0.0364560982906631i</v>
      </c>
      <c r="I582" s="338" t="str">
        <f t="shared" si="428"/>
        <v>0.0160773875260734-0.0364560982906631i</v>
      </c>
      <c r="J582" s="337" t="str">
        <f t="shared" si="429"/>
        <v>0.00426431413848428-0.0144552441934129i</v>
      </c>
      <c r="K582" s="338" t="str">
        <f t="shared" si="412"/>
        <v>0.8632849375-0.580801941832413i</v>
      </c>
      <c r="L582" s="732"/>
      <c r="M582" s="732" t="str">
        <f t="shared" si="413"/>
        <v>0.0255918157381927-10.9556908282474i</v>
      </c>
      <c r="N582" s="337">
        <f t="shared" si="414"/>
        <v>0</v>
      </c>
      <c r="O582" s="730" t="str">
        <f t="shared" si="415"/>
        <v>-0.521385689663582-4.11112384298357i</v>
      </c>
      <c r="P582" s="731" t="str">
        <f t="shared" si="416"/>
        <v>-0.158258054688169-0.0470884432416065i</v>
      </c>
      <c r="Q582" s="729" t="str">
        <f t="shared" si="417"/>
        <v>-0.153044197791533-0.00597720481177065i</v>
      </c>
      <c r="R582" s="730"/>
      <c r="S582" s="405" t="str">
        <f t="shared" si="430"/>
        <v>32.1706331373144-21.2374956046105i</v>
      </c>
      <c r="T582" s="405" t="str">
        <f t="shared" si="431"/>
        <v>11.0390791878173-9.52617174099051i</v>
      </c>
      <c r="U582" s="405" t="str">
        <f t="shared" si="432"/>
        <v>-0.280198291167912-0.460335993219415i</v>
      </c>
      <c r="V582" s="731" t="str">
        <f t="shared" si="418"/>
        <v>6000</v>
      </c>
      <c r="W582" s="733" t="str">
        <f>IMSUM(COMPLEX(1,0),IMDIV(COMPLEX(0,2*PI()*D582),COMPLEX(2*PI()*'Stability Calculations'!EA_Pole1,0)))</f>
        <v>1+703931.953500885i</v>
      </c>
      <c r="X582" s="734">
        <f t="shared" si="433"/>
        <v>703931.9535015953</v>
      </c>
      <c r="Y582" s="735">
        <f t="shared" si="434"/>
        <v>1.5707949062030411</v>
      </c>
      <c r="Z582" s="340" t="str">
        <f>IMSUM(COMPLEX(1,0),IMDIV(COMPLEX(0,2*PI()*D582),COMPLEX(2*PI()*'Stability Calculations'!EA_Zero1,0)))</f>
        <v>1+6969.62330198896i</v>
      </c>
      <c r="AA582" s="734">
        <f t="shared" si="435"/>
        <v>6969.6233737288476</v>
      </c>
      <c r="AB582" s="735">
        <f t="shared" si="436"/>
        <v>1.5706528470184713</v>
      </c>
      <c r="AC582" s="733" t="str">
        <f>IMSUM(COMPLEX(1,0),IMDIV(COMPLEX(0,2*PI()*D582),COMPLEX(2*PI()*'Stability Calculations'!EA_Pole2,0)))</f>
        <v>1+70.2081945583512i</v>
      </c>
      <c r="AD582" s="734">
        <f t="shared" si="437"/>
        <v>70.215315872986665</v>
      </c>
      <c r="AE582" s="735">
        <f t="shared" si="438"/>
        <v>1.5565539382793459</v>
      </c>
      <c r="AF582" s="732" t="str">
        <f t="shared" si="439"/>
        <v>0.0119292431924219-0.845969786525304i</v>
      </c>
      <c r="AG582" s="337">
        <f t="shared" si="440"/>
        <v>0.84605389104761652</v>
      </c>
      <c r="AH582" s="730">
        <f t="shared" si="441"/>
        <v>-1.5566959974639156</v>
      </c>
      <c r="AI582" s="731" t="str">
        <f t="shared" si="419"/>
        <v>10000</v>
      </c>
      <c r="AJ582" s="733" t="str">
        <f t="shared" si="442"/>
        <v>1+656258.336190623i</v>
      </c>
      <c r="AK582" s="734">
        <f t="shared" si="443"/>
        <v>656258.33619138482</v>
      </c>
      <c r="AL582" s="735">
        <f t="shared" si="444"/>
        <v>1.5707948030047292</v>
      </c>
      <c r="AM582" s="340" t="str">
        <f t="shared" si="445"/>
        <v>1+1113.74580365784i</v>
      </c>
      <c r="AN582" s="734">
        <f t="shared" si="446"/>
        <v>1113.7462525932233</v>
      </c>
      <c r="AO582" s="735">
        <f t="shared" si="447"/>
        <v>1.5698984560886799</v>
      </c>
      <c r="AP582" s="733" t="str">
        <f t="shared" si="448"/>
        <v>1+54.0185072988773i</v>
      </c>
      <c r="AQ582" s="734">
        <f t="shared" si="449"/>
        <v>54.027762592937911</v>
      </c>
      <c r="AR582" s="735">
        <f t="shared" si="450"/>
        <v>1.552286267188409</v>
      </c>
      <c r="AS582" s="732" t="str">
        <f t="shared" si="451"/>
        <v>0.000222604306838814-2.10999670313098i</v>
      </c>
      <c r="AT582" s="337">
        <f t="shared" si="452"/>
        <v>2.109996714873339</v>
      </c>
      <c r="AU582" s="730">
        <f t="shared" si="453"/>
        <v>-1.5706908269589572</v>
      </c>
      <c r="AV582" s="732" t="str">
        <f t="shared" si="454"/>
        <v>-0.0199462288478466+0.0167241891727427i</v>
      </c>
      <c r="AW582" s="337">
        <f t="shared" si="455"/>
        <v>-31.690582986552688</v>
      </c>
      <c r="AX582" s="730">
        <f t="shared" si="456"/>
        <v>140.02138776030478</v>
      </c>
      <c r="AY582" s="360">
        <f t="shared" si="457"/>
        <v>-39.978612239695224</v>
      </c>
      <c r="BB582" s="337">
        <f t="shared" si="458"/>
        <v>-33.514364417396777</v>
      </c>
      <c r="BC582" s="730">
        <f t="shared" si="459"/>
        <v>-89.993955304661355</v>
      </c>
      <c r="BD582" s="351"/>
      <c r="BE582" s="337">
        <f t="shared" si="420"/>
        <v>20.792819055258839</v>
      </c>
      <c r="BF582" s="730">
        <f t="shared" si="421"/>
        <v>-89.866160848470642</v>
      </c>
      <c r="BI582" s="351"/>
      <c r="BJ582" s="351"/>
      <c r="BL582" s="405">
        <f t="shared" si="422"/>
        <v>0</v>
      </c>
      <c r="BM582" s="405">
        <f t="shared" si="460"/>
        <v>0</v>
      </c>
      <c r="BN582" s="405">
        <f t="shared" si="423"/>
        <v>0</v>
      </c>
      <c r="BO582" s="405">
        <f t="shared" si="424"/>
        <v>0</v>
      </c>
    </row>
    <row r="583" spans="4:67" ht="13.5" thickBot="1" x14ac:dyDescent="0.25">
      <c r="D583" s="345">
        <v>112200</v>
      </c>
      <c r="E583" s="340" t="str">
        <f t="shared" si="411"/>
        <v>1.86112975346905i</v>
      </c>
      <c r="F583" s="728" t="str">
        <f t="shared" si="425"/>
        <v>0.005-0.023253987769483i</v>
      </c>
      <c r="G583" s="337" t="str">
        <f t="shared" si="426"/>
        <v>0.005-0.036371621895858i</v>
      </c>
      <c r="H583" s="338" t="str">
        <f t="shared" si="427"/>
        <v>0.00605260009757427-0.0360425624210571i</v>
      </c>
      <c r="I583" s="338" t="str">
        <f t="shared" si="428"/>
        <v>0.0160526000975743-0.0360425624210571i</v>
      </c>
      <c r="J583" s="337" t="str">
        <f t="shared" si="429"/>
        <v>0.00425972203428412-0.0142933868331861i</v>
      </c>
      <c r="K583" s="338" t="str">
        <f t="shared" si="412"/>
        <v>0.860124-0.587477826221291i</v>
      </c>
      <c r="L583" s="732"/>
      <c r="M583" s="732" t="str">
        <f t="shared" si="413"/>
        <v>0.0249776807299013-10.8292721344091i</v>
      </c>
      <c r="N583" s="337">
        <f t="shared" si="414"/>
        <v>0</v>
      </c>
      <c r="O583" s="730" t="str">
        <f t="shared" si="415"/>
        <v>-0.518724469843705-4.06057981053119i</v>
      </c>
      <c r="P583" s="731" t="str">
        <f t="shared" si="416"/>
        <v>-0.154680577761981-0.0464867047790697i</v>
      </c>
      <c r="Q583" s="729" t="str">
        <f t="shared" si="417"/>
        <v>-0.149493333063544-0.00588090667375784i</v>
      </c>
      <c r="R583" s="730"/>
      <c r="S583" s="405" t="str">
        <f t="shared" si="430"/>
        <v>31.9840033362935-21.4429744654913i</v>
      </c>
      <c r="T583" s="405" t="str">
        <f t="shared" si="431"/>
        <v>10.9435680548335-9.59761081126427i</v>
      </c>
      <c r="U583" s="405" t="str">
        <f t="shared" si="432"/>
        <v>-0.279685445681507-0.452524734858158i</v>
      </c>
      <c r="V583" s="731" t="str">
        <f t="shared" si="418"/>
        <v>6000</v>
      </c>
      <c r="W583" s="733" t="str">
        <f>IMSUM(COMPLEX(1,0),IMDIV(COMPLEX(0,2*PI()*D583),COMPLEX(2*PI()*'Stability Calculations'!EA_Pole1,0)))</f>
        <v>1+712023.125380206i</v>
      </c>
      <c r="X583" s="734">
        <f t="shared" si="433"/>
        <v>712023.12538090837</v>
      </c>
      <c r="Y583" s="735">
        <f t="shared" si="434"/>
        <v>1.5707949223461304</v>
      </c>
      <c r="Z583" s="340" t="str">
        <f>IMSUM(COMPLEX(1,0),IMDIV(COMPLEX(0,2*PI()*D583),COMPLEX(2*PI()*'Stability Calculations'!EA_Zero1,0)))</f>
        <v>1+7049.7339146555i</v>
      </c>
      <c r="AA583" s="734">
        <f t="shared" si="435"/>
        <v>7049.733985580162</v>
      </c>
      <c r="AB583" s="735">
        <f t="shared" si="436"/>
        <v>1.5706544774704541</v>
      </c>
      <c r="AC583" s="733" t="str">
        <f>IMSUM(COMPLEX(1,0),IMDIV(COMPLEX(0,2*PI()*D583),COMPLEX(2*PI()*'Stability Calculations'!EA_Pole2,0)))</f>
        <v>1+71.0151853004012i</v>
      </c>
      <c r="AD583" s="734">
        <f t="shared" si="437"/>
        <v>71.022225699074781</v>
      </c>
      <c r="AE583" s="735">
        <f t="shared" si="438"/>
        <v>1.5567157620894394</v>
      </c>
      <c r="AF583" s="732" t="str">
        <f t="shared" si="439"/>
        <v>0.0116597179224608-0.836360288811624i</v>
      </c>
      <c r="AG583" s="337">
        <f t="shared" si="440"/>
        <v>0.83644155906022177</v>
      </c>
      <c r="AH583" s="730">
        <f t="shared" si="441"/>
        <v>-1.5568562069651155</v>
      </c>
      <c r="AI583" s="731" t="str">
        <f t="shared" si="419"/>
        <v>10000</v>
      </c>
      <c r="AJ583" s="733" t="str">
        <f t="shared" si="442"/>
        <v>1+663801.535457182i</v>
      </c>
      <c r="AK583" s="734">
        <f t="shared" si="443"/>
        <v>663801.53545793518</v>
      </c>
      <c r="AL583" s="735">
        <f t="shared" si="444"/>
        <v>1.5707948203205264</v>
      </c>
      <c r="AM583" s="340" t="str">
        <f t="shared" si="445"/>
        <v>1+1126.54747956195i</v>
      </c>
      <c r="AN583" s="734">
        <f t="shared" si="446"/>
        <v>1126.5479233957967</v>
      </c>
      <c r="AO583" s="735">
        <f t="shared" si="447"/>
        <v>1.5699086591594964</v>
      </c>
      <c r="AP583" s="733" t="str">
        <f t="shared" si="448"/>
        <v>1+54.639409681623i</v>
      </c>
      <c r="AQ583" s="734">
        <f t="shared" si="449"/>
        <v>54.648559819598511</v>
      </c>
      <c r="AR583" s="735">
        <f t="shared" si="450"/>
        <v>1.5524965615485662</v>
      </c>
      <c r="AS583" s="732" t="str">
        <f t="shared" si="451"/>
        <v>0.000217573863492609-2.0860194683928i</v>
      </c>
      <c r="AT583" s="337">
        <f t="shared" si="452"/>
        <v>2.0860194797393827</v>
      </c>
      <c r="AU583" s="730">
        <f t="shared" si="453"/>
        <v>-1.5706920258207206</v>
      </c>
      <c r="AV583" s="732" t="str">
        <f t="shared" si="454"/>
        <v>-0.0193280031531062+0.0164764150068472i</v>
      </c>
      <c r="AW583" s="337">
        <f t="shared" si="455"/>
        <v>-31.90410688790644</v>
      </c>
      <c r="AX583" s="730">
        <f t="shared" si="456"/>
        <v>139.55362299471085</v>
      </c>
      <c r="AY583" s="360">
        <f t="shared" si="457"/>
        <v>-40.44637700528915</v>
      </c>
      <c r="BB583" s="337">
        <f t="shared" si="458"/>
        <v>-33.613632806935485</v>
      </c>
      <c r="BC583" s="730">
        <f t="shared" si="459"/>
        <v>-89.994023994380612</v>
      </c>
      <c r="BD583" s="351"/>
      <c r="BE583" s="337">
        <f t="shared" si="420"/>
        <v>20.692008453339774</v>
      </c>
      <c r="BF583" s="730">
        <f t="shared" si="421"/>
        <v>-89.867847706449353</v>
      </c>
      <c r="BI583" s="351"/>
      <c r="BJ583" s="351"/>
      <c r="BL583" s="405">
        <f t="shared" si="422"/>
        <v>0</v>
      </c>
      <c r="BM583" s="405">
        <f t="shared" si="460"/>
        <v>0</v>
      </c>
      <c r="BN583" s="405">
        <f t="shared" si="423"/>
        <v>0</v>
      </c>
      <c r="BO583" s="405">
        <f t="shared" si="424"/>
        <v>0</v>
      </c>
    </row>
    <row r="584" spans="4:67" ht="13.5" thickBot="1" x14ac:dyDescent="0.25">
      <c r="D584" s="345">
        <v>113510</v>
      </c>
      <c r="E584" s="340" t="str">
        <f t="shared" si="411"/>
        <v>1.8828595215354i</v>
      </c>
      <c r="F584" s="728" t="str">
        <f t="shared" si="425"/>
        <v>0.005-0.0229856173705928i</v>
      </c>
      <c r="G584" s="337" t="str">
        <f t="shared" si="426"/>
        <v>0.005-0.0359518630668247i</v>
      </c>
      <c r="H584" s="338" t="str">
        <f t="shared" si="427"/>
        <v>0.00602799622332483-0.0356273252686344i</v>
      </c>
      <c r="I584" s="338" t="str">
        <f t="shared" si="428"/>
        <v>0.0160279962233248-0.0356273252686344i</v>
      </c>
      <c r="J584" s="337" t="str">
        <f t="shared" si="429"/>
        <v>0.00425513089449593-0.0141308885807544i</v>
      </c>
      <c r="K584" s="338" t="str">
        <f t="shared" si="412"/>
        <v>0.856838665555555-0.594336970181629i</v>
      </c>
      <c r="L584" s="732"/>
      <c r="M584" s="732" t="str">
        <f t="shared" si="413"/>
        <v>0.0243695880709829-10.7024080176858i</v>
      </c>
      <c r="N584" s="337">
        <f t="shared" si="414"/>
        <v>0</v>
      </c>
      <c r="O584" s="730" t="str">
        <f t="shared" si="415"/>
        <v>-0.516040228127015-4.00983648230454i</v>
      </c>
      <c r="P584" s="731" t="str">
        <f t="shared" si="416"/>
        <v>-0.151130839456604-0.0458845109353458i</v>
      </c>
      <c r="Q584" s="729" t="str">
        <f t="shared" si="417"/>
        <v>-0.145970437175334-0.00578614611230055i</v>
      </c>
      <c r="R584" s="730"/>
      <c r="S584" s="405" t="str">
        <f t="shared" si="430"/>
        <v>31.7902515740126-21.6520994581277i</v>
      </c>
      <c r="T584" s="405" t="str">
        <f t="shared" si="431"/>
        <v>10.8447281846913-9.66985265257492i</v>
      </c>
      <c r="U584" s="405" t="str">
        <f t="shared" si="432"/>
        <v>-0.27913900521275-0.444658493755754i</v>
      </c>
      <c r="V584" s="731" t="str">
        <f t="shared" si="418"/>
        <v>6000</v>
      </c>
      <c r="W584" s="733" t="str">
        <f>IMSUM(COMPLEX(1,0),IMDIV(COMPLEX(0,2*PI()*D584),COMPLEX(2*PI()*'Stability Calculations'!EA_Pole1,0)))</f>
        <v>1+720336.407860135i</v>
      </c>
      <c r="X584" s="734">
        <f t="shared" si="433"/>
        <v>720336.40786082915</v>
      </c>
      <c r="Y584" s="735">
        <f t="shared" si="434"/>
        <v>1.5707949385546396</v>
      </c>
      <c r="Z584" s="340" t="str">
        <f>IMSUM(COMPLEX(1,0),IMDIV(COMPLEX(0,2*PI()*D584),COMPLEX(2*PI()*'Stability Calculations'!EA_Zero1,0)))</f>
        <v>1+7132.04364217955i</v>
      </c>
      <c r="AA584" s="734">
        <f t="shared" si="435"/>
        <v>7132.0437122856829</v>
      </c>
      <c r="AB584" s="735">
        <f t="shared" si="436"/>
        <v>1.5706561145298548</v>
      </c>
      <c r="AC584" s="733" t="str">
        <f>IMSUM(COMPLEX(1,0),IMDIV(COMPLEX(0,2*PI()*D584),COMPLEX(2*PI()*'Stability Calculations'!EA_Pole2,0)))</f>
        <v>1+71.8443287294878i</v>
      </c>
      <c r="AD584" s="734">
        <f t="shared" si="437"/>
        <v>71.851287884008769</v>
      </c>
      <c r="AE584" s="735">
        <f t="shared" si="438"/>
        <v>1.5568782424335406</v>
      </c>
      <c r="AF584" s="732" t="str">
        <f t="shared" si="439"/>
        <v>0.0113921969947515-0.826711717665972i</v>
      </c>
      <c r="AG584" s="337">
        <f t="shared" si="440"/>
        <v>0.82679020693195748</v>
      </c>
      <c r="AH584" s="730">
        <f t="shared" si="441"/>
        <v>-1.5570170664583254</v>
      </c>
      <c r="AI584" s="731" t="str">
        <f t="shared" si="419"/>
        <v>10000</v>
      </c>
      <c r="AJ584" s="733" t="str">
        <f t="shared" si="442"/>
        <v>1+671551.802938901i</v>
      </c>
      <c r="AK584" s="734">
        <f t="shared" si="443"/>
        <v>671551.80293964548</v>
      </c>
      <c r="AL584" s="735">
        <f t="shared" si="444"/>
        <v>1.5707948377064962</v>
      </c>
      <c r="AM584" s="340" t="str">
        <f t="shared" si="445"/>
        <v>1+1139.70057402029i</v>
      </c>
      <c r="AN584" s="734">
        <f t="shared" si="446"/>
        <v>1139.7010127319265</v>
      </c>
      <c r="AO584" s="735">
        <f t="shared" si="447"/>
        <v>1.5699189035785086</v>
      </c>
      <c r="AP584" s="733" t="str">
        <f t="shared" si="448"/>
        <v>1+55.2773564435029i</v>
      </c>
      <c r="AQ584" s="734">
        <f t="shared" si="449"/>
        <v>55.286400998636829</v>
      </c>
      <c r="AR584" s="735">
        <f t="shared" si="450"/>
        <v>1.5527077097565496</v>
      </c>
      <c r="AS584" s="732" t="str">
        <f t="shared" si="451"/>
        <v>0.000212580874965929-2.06194506573962i</v>
      </c>
      <c r="AT584" s="337">
        <f t="shared" si="452"/>
        <v>2.0619450766978722</v>
      </c>
      <c r="AU584" s="730">
        <f t="shared" si="453"/>
        <v>-1.5706932295408791</v>
      </c>
      <c r="AV584" s="732" t="str">
        <f t="shared" si="454"/>
        <v>-0.0187151127801728+0.0162268881439359i</v>
      </c>
      <c r="AW584" s="337">
        <f t="shared" si="455"/>
        <v>-32.121377621169515</v>
      </c>
      <c r="AX584" s="730">
        <f t="shared" si="456"/>
        <v>139.07316468606939</v>
      </c>
      <c r="AY584" s="360">
        <f t="shared" si="457"/>
        <v>-40.92683531393061</v>
      </c>
      <c r="BB584" s="337">
        <f t="shared" si="458"/>
        <v>-33.714458140940643</v>
      </c>
      <c r="BC584" s="730">
        <f t="shared" si="459"/>
        <v>-89.994092962465416</v>
      </c>
      <c r="BD584" s="351"/>
      <c r="BE584" s="337">
        <f t="shared" si="420"/>
        <v>20.589652596501459</v>
      </c>
      <c r="BF584" s="730">
        <f t="shared" si="421"/>
        <v>-89.869536637969944</v>
      </c>
      <c r="BI584" s="351"/>
      <c r="BJ584" s="351"/>
      <c r="BL584" s="405">
        <f t="shared" si="422"/>
        <v>0</v>
      </c>
      <c r="BM584" s="405">
        <f t="shared" si="460"/>
        <v>0</v>
      </c>
      <c r="BN584" s="405">
        <f t="shared" si="423"/>
        <v>0</v>
      </c>
      <c r="BO584" s="405">
        <f t="shared" si="424"/>
        <v>0</v>
      </c>
    </row>
    <row r="585" spans="4:67" ht="13.5" thickBot="1" x14ac:dyDescent="0.25">
      <c r="D585" s="345">
        <v>114820</v>
      </c>
      <c r="E585" s="340" t="str">
        <f t="shared" si="411"/>
        <v>1.90458928960175i</v>
      </c>
      <c r="F585" s="728" t="str">
        <f t="shared" si="425"/>
        <v>0.005-0.0227233707345061i</v>
      </c>
      <c r="G585" s="337" t="str">
        <f t="shared" si="426"/>
        <v>0.005-0.0355416824308942i</v>
      </c>
      <c r="H585" s="338" t="str">
        <f t="shared" si="427"/>
        <v>0.00600422871494496-0.0352215388000209i</v>
      </c>
      <c r="I585" s="338" t="str">
        <f t="shared" si="428"/>
        <v>0.016004228714945-0.0352215388000209i</v>
      </c>
      <c r="J585" s="337" t="str">
        <f t="shared" si="429"/>
        <v>0.00425066255894506-0.0139721130898248i</v>
      </c>
      <c r="K585" s="338" t="str">
        <f t="shared" si="412"/>
        <v>0.853515195555556-0.601196114141967i</v>
      </c>
      <c r="L585" s="732"/>
      <c r="M585" s="732" t="str">
        <f t="shared" si="413"/>
        <v>0.0237835802561655-10.5785026987454i</v>
      </c>
      <c r="N585" s="337">
        <f t="shared" si="414"/>
        <v>0</v>
      </c>
      <c r="O585" s="730" t="str">
        <f t="shared" si="415"/>
        <v>-0.513404217292997-3.96025574944264i</v>
      </c>
      <c r="P585" s="731" t="str">
        <f t="shared" si="416"/>
        <v>-0.147702940053775-0.0452979522242765i</v>
      </c>
      <c r="Q585" s="729" t="str">
        <f t="shared" si="417"/>
        <v>-0.142568897880845-0.00569539472984981i</v>
      </c>
      <c r="R585" s="730"/>
      <c r="S585" s="405" t="str">
        <f t="shared" si="430"/>
        <v>31.5944924557524-21.8591761363724i</v>
      </c>
      <c r="T585" s="405" t="str">
        <f t="shared" si="431"/>
        <v>10.7451883058021-9.74090905160169i</v>
      </c>
      <c r="U585" s="405" t="str">
        <f t="shared" si="432"/>
        <v>-0.278573237935277-0.436948712663636i</v>
      </c>
      <c r="V585" s="731" t="str">
        <f t="shared" si="418"/>
        <v>6000</v>
      </c>
      <c r="W585" s="733" t="str">
        <f>IMSUM(COMPLEX(1,0),IMDIV(COMPLEX(0,2*PI()*D585),COMPLEX(2*PI()*'Stability Calculations'!EA_Pole1,0)))</f>
        <v>1+728649.690340064i</v>
      </c>
      <c r="X585" s="734">
        <f t="shared" si="433"/>
        <v>728649.69034075015</v>
      </c>
      <c r="Y585" s="735">
        <f t="shared" si="434"/>
        <v>1.5707949543932977</v>
      </c>
      <c r="Z585" s="340" t="str">
        <f>IMSUM(COMPLEX(1,0),IMDIV(COMPLEX(0,2*PI()*D585),COMPLEX(2*PI()*'Stability Calculations'!EA_Zero1,0)))</f>
        <v>1+7214.3533697036i</v>
      </c>
      <c r="AA585" s="734">
        <f t="shared" si="435"/>
        <v>7214.3534390098803</v>
      </c>
      <c r="AB585" s="735">
        <f t="shared" si="436"/>
        <v>1.5706577142343039</v>
      </c>
      <c r="AC585" s="733" t="str">
        <f>IMSUM(COMPLEX(1,0),IMDIV(COMPLEX(0,2*PI()*D585),COMPLEX(2*PI()*'Stability Calculations'!EA_Pole2,0)))</f>
        <v>1+72.6734721585745i</v>
      </c>
      <c r="AD585" s="734">
        <f t="shared" si="437"/>
        <v>72.680351922532012</v>
      </c>
      <c r="AE585" s="735">
        <f t="shared" si="438"/>
        <v>1.5570370159584739</v>
      </c>
      <c r="AF585" s="732" t="str">
        <f t="shared" si="439"/>
        <v>0.0111337779891891-0.817283185502118i</v>
      </c>
      <c r="AG585" s="337">
        <f t="shared" si="440"/>
        <v>0.81735901923010679</v>
      </c>
      <c r="AH585" s="730">
        <f t="shared" si="441"/>
        <v>-1.5571742561174677</v>
      </c>
      <c r="AI585" s="731" t="str">
        <f t="shared" si="419"/>
        <v>10000</v>
      </c>
      <c r="AJ585" s="733" t="str">
        <f t="shared" si="442"/>
        <v>1+679302.07042062i</v>
      </c>
      <c r="AK585" s="734">
        <f t="shared" si="443"/>
        <v>679302.07042135613</v>
      </c>
      <c r="AL585" s="735">
        <f t="shared" si="444"/>
        <v>1.5707948546957473</v>
      </c>
      <c r="AM585" s="340" t="str">
        <f t="shared" si="445"/>
        <v>1+1152.85366847863i</v>
      </c>
      <c r="AN585" s="734">
        <f t="shared" si="446"/>
        <v>1152.854102184936</v>
      </c>
      <c r="AO585" s="735">
        <f t="shared" si="447"/>
        <v>1.569928914237223</v>
      </c>
      <c r="AP585" s="733" t="str">
        <f t="shared" si="448"/>
        <v>1+55.9153032053828i</v>
      </c>
      <c r="AQ585" s="734">
        <f t="shared" si="449"/>
        <v>55.924244586314188</v>
      </c>
      <c r="AR585" s="735">
        <f t="shared" si="450"/>
        <v>1.5529140414746849</v>
      </c>
      <c r="AS585" s="732" t="str">
        <f t="shared" si="451"/>
        <v>0.000207757807099856-2.03842000059699i</v>
      </c>
      <c r="AT585" s="337">
        <f t="shared" si="452"/>
        <v>2.0384200111844319</v>
      </c>
      <c r="AU585" s="730">
        <f t="shared" si="453"/>
        <v>-1.570694405794161</v>
      </c>
      <c r="AV585" s="732" t="str">
        <f t="shared" si="454"/>
        <v>-0.0181238247158146+0.0159823146288703i</v>
      </c>
      <c r="AW585" s="337">
        <f t="shared" si="455"/>
        <v>-32.336560183953658</v>
      </c>
      <c r="AX585" s="730">
        <f t="shared" si="456"/>
        <v>138.59286109882643</v>
      </c>
      <c r="AY585" s="360">
        <f t="shared" si="457"/>
        <v>-41.407138901173568</v>
      </c>
      <c r="BB585" s="337">
        <f t="shared" si="458"/>
        <v>-33.814126517033067</v>
      </c>
      <c r="BC585" s="730">
        <f t="shared" si="459"/>
        <v>-89.994160356814106</v>
      </c>
      <c r="BD585" s="351"/>
      <c r="BE585" s="337">
        <f t="shared" si="420"/>
        <v>20.488505976522603</v>
      </c>
      <c r="BF585" s="730">
        <f t="shared" si="421"/>
        <v>-89.871182480816515</v>
      </c>
      <c r="BI585" s="351"/>
      <c r="BJ585" s="351"/>
      <c r="BL585" s="405">
        <f t="shared" si="422"/>
        <v>0</v>
      </c>
      <c r="BM585" s="405">
        <f t="shared" si="460"/>
        <v>0</v>
      </c>
      <c r="BN585" s="405">
        <f t="shared" si="423"/>
        <v>0</v>
      </c>
      <c r="BO585" s="405">
        <f t="shared" si="424"/>
        <v>0</v>
      </c>
    </row>
    <row r="586" spans="4:67" ht="13.5" thickBot="1" x14ac:dyDescent="0.25">
      <c r="D586" s="345">
        <v>116155</v>
      </c>
      <c r="E586" s="340" t="str">
        <f t="shared" si="411"/>
        <v>1.92673374789837i</v>
      </c>
      <c r="F586" s="728" t="str">
        <f t="shared" si="425"/>
        <v>0.005-0.0224622050513193i</v>
      </c>
      <c r="G586" s="337" t="str">
        <f t="shared" si="426"/>
        <v>0.005-0.0351331925161661i</v>
      </c>
      <c r="H586" s="338" t="str">
        <f t="shared" si="427"/>
        <v>0.00598082930134853-0.0348174013103014i</v>
      </c>
      <c r="I586" s="338" t="str">
        <f t="shared" si="428"/>
        <v>0.0159808293013485-0.0348174013103014i</v>
      </c>
      <c r="J586" s="337" t="str">
        <f t="shared" si="429"/>
        <v>0.00424622944201767-0.0138140068767446i</v>
      </c>
      <c r="K586" s="338" t="str">
        <f t="shared" si="412"/>
        <v>0.850089066388889-0.608186157796204i</v>
      </c>
      <c r="L586" s="732"/>
      <c r="M586" s="732" t="str">
        <f t="shared" si="413"/>
        <v>0.0232080052983525-10.4551701906758i</v>
      </c>
      <c r="N586" s="337">
        <f t="shared" si="414"/>
        <v>0</v>
      </c>
      <c r="O586" s="730" t="str">
        <f t="shared" si="415"/>
        <v>-0.510765085895136-3.91088339798284i</v>
      </c>
      <c r="P586" s="731" t="str">
        <f t="shared" si="416"/>
        <v>-0.144329246396142-0.04471564702974i</v>
      </c>
      <c r="Q586" s="729" t="str">
        <f t="shared" si="417"/>
        <v>-0.139221595537191-0.00560681304991179i</v>
      </c>
      <c r="R586" s="730"/>
      <c r="S586" s="405" t="str">
        <f t="shared" si="430"/>
        <v>31.392952299465-22.0680692125692i</v>
      </c>
      <c r="T586" s="405" t="str">
        <f t="shared" si="431"/>
        <v>10.6430460359004-9.81209023713384i</v>
      </c>
      <c r="U586" s="405" t="str">
        <f t="shared" si="432"/>
        <v>-0.277977241892065-0.429247641793683i</v>
      </c>
      <c r="V586" s="731" t="str">
        <f t="shared" si="418"/>
        <v>6000</v>
      </c>
      <c r="W586" s="733" t="str">
        <f>IMSUM(COMPLEX(1,0),IMDIV(COMPLEX(0,2*PI()*D586),COMPLEX(2*PI()*'Stability Calculations'!EA_Pole1,0)))</f>
        <v>1+737121.623249i</v>
      </c>
      <c r="X586" s="734">
        <f t="shared" si="433"/>
        <v>737121.62324967829</v>
      </c>
      <c r="Y586" s="735">
        <f t="shared" si="434"/>
        <v>1.5707949701666708</v>
      </c>
      <c r="Z586" s="340" t="str">
        <f>IMSUM(COMPLEX(1,0),IMDIV(COMPLEX(0,2*PI()*D586),COMPLEX(2*PI()*'Stability Calculations'!EA_Zero1,0)))</f>
        <v>1+7298.23389355445i</v>
      </c>
      <c r="AA586" s="734">
        <f t="shared" si="435"/>
        <v>7298.2339620641751</v>
      </c>
      <c r="AB586" s="735">
        <f t="shared" si="436"/>
        <v>1.5706593073449411</v>
      </c>
      <c r="AC586" s="733" t="str">
        <f>IMSUM(COMPLEX(1,0),IMDIV(COMPLEX(0,2*PI()*D586),COMPLEX(2*PI()*'Stability Calculations'!EA_Pole2,0)))</f>
        <v>1+73.5184389355445i</v>
      </c>
      <c r="AD586" s="734">
        <f t="shared" si="437"/>
        <v>73.525239635919476</v>
      </c>
      <c r="AE586" s="735">
        <f t="shared" si="438"/>
        <v>1.5571951357252205</v>
      </c>
      <c r="AF586" s="732" t="str">
        <f t="shared" si="439"/>
        <v>0.0108793688920568-0.807893395127364i</v>
      </c>
      <c r="AG586" s="337">
        <f t="shared" si="440"/>
        <v>0.80796664445873534</v>
      </c>
      <c r="AH586" s="730">
        <f t="shared" si="441"/>
        <v>-1.5573307985469502</v>
      </c>
      <c r="AI586" s="731" t="str">
        <f t="shared" si="419"/>
        <v>10000</v>
      </c>
      <c r="AJ586" s="733" t="str">
        <f t="shared" si="442"/>
        <v>1+687200.243770311i</v>
      </c>
      <c r="AK586" s="734">
        <f t="shared" si="443"/>
        <v>687200.2437710386</v>
      </c>
      <c r="AL586" s="735">
        <f t="shared" si="444"/>
        <v>1.5707948716149704</v>
      </c>
      <c r="AM586" s="340" t="str">
        <f t="shared" si="445"/>
        <v>1+1166.25777619i</v>
      </c>
      <c r="AN586" s="734">
        <f t="shared" si="446"/>
        <v>1166.2582049116072</v>
      </c>
      <c r="AO586" s="735">
        <f t="shared" si="447"/>
        <v>1.5699388836332335</v>
      </c>
      <c r="AP586" s="733" t="str">
        <f t="shared" si="448"/>
        <v>1+56.5654245237872i</v>
      </c>
      <c r="AQ586" s="734">
        <f t="shared" si="449"/>
        <v>56.574263155221622</v>
      </c>
      <c r="AR586" s="735">
        <f t="shared" si="450"/>
        <v>1.5531195242286915</v>
      </c>
      <c r="AS586" s="732" t="str">
        <f t="shared" si="451"/>
        <v>0.000203009620572455-2.01499190326815i</v>
      </c>
      <c r="AT586" s="337">
        <f t="shared" si="452"/>
        <v>2.0149919134947183</v>
      </c>
      <c r="AU586" s="730">
        <f t="shared" si="453"/>
        <v>-1.5706955771990514</v>
      </c>
      <c r="AV586" s="732" t="str">
        <f t="shared" si="454"/>
        <v>-0.0175424851228169+0.0157380060562972i</v>
      </c>
      <c r="AW586" s="337">
        <f t="shared" si="455"/>
        <v>-32.553756561932872</v>
      </c>
      <c r="AX586" s="730">
        <f t="shared" si="456"/>
        <v>138.10355687495914</v>
      </c>
      <c r="AY586" s="360">
        <f t="shared" si="457"/>
        <v>-41.896443125040861</v>
      </c>
      <c r="BB586" s="337">
        <f t="shared" si="458"/>
        <v>-33.91453384834</v>
      </c>
      <c r="BC586" s="730">
        <f t="shared" si="459"/>
        <v>-89.994227473370429</v>
      </c>
      <c r="BD586" s="351"/>
      <c r="BE586" s="337">
        <f t="shared" si="420"/>
        <v>20.386643533468689</v>
      </c>
      <c r="BF586" s="730">
        <f t="shared" si="421"/>
        <v>-89.87281712815107</v>
      </c>
      <c r="BI586" s="351"/>
      <c r="BJ586" s="351"/>
      <c r="BL586" s="405">
        <f t="shared" si="422"/>
        <v>0</v>
      </c>
      <c r="BM586" s="405">
        <f t="shared" si="460"/>
        <v>0</v>
      </c>
      <c r="BN586" s="405">
        <f t="shared" si="423"/>
        <v>0</v>
      </c>
      <c r="BO586" s="405">
        <f t="shared" si="424"/>
        <v>0</v>
      </c>
    </row>
    <row r="587" spans="4:67" ht="13.5" thickBot="1" x14ac:dyDescent="0.25">
      <c r="D587" s="345">
        <v>117490</v>
      </c>
      <c r="E587" s="340" t="str">
        <f t="shared" si="411"/>
        <v>1.948878206195i</v>
      </c>
      <c r="F587" s="728" t="str">
        <f t="shared" si="425"/>
        <v>0.005-0.0222069744466422i</v>
      </c>
      <c r="G587" s="337" t="str">
        <f t="shared" si="426"/>
        <v>0.005-0.0347339856729531i</v>
      </c>
      <c r="H587" s="338" t="str">
        <f t="shared" si="427"/>
        <v>0.00595822212768464-0.0344224254570862i</v>
      </c>
      <c r="I587" s="338" t="str">
        <f t="shared" si="428"/>
        <v>0.0159582221276846-0.0344224254570862i</v>
      </c>
      <c r="J587" s="337" t="str">
        <f t="shared" si="429"/>
        <v>0.00424191235238815-0.0136595082151864i</v>
      </c>
      <c r="K587" s="338" t="str">
        <f t="shared" si="412"/>
        <v>0.846623332222222-0.615176201450441i</v>
      </c>
      <c r="L587" s="732"/>
      <c r="M587" s="732" t="str">
        <f t="shared" si="413"/>
        <v>0.0226531967390765-10.3346996016538i</v>
      </c>
      <c r="N587" s="337">
        <f t="shared" si="414"/>
        <v>0</v>
      </c>
      <c r="O587" s="730" t="str">
        <f t="shared" si="415"/>
        <v>-0.508171258259152-3.86263633812676i</v>
      </c>
      <c r="P587" s="731" t="str">
        <f t="shared" si="416"/>
        <v>-0.141070821235205-0.0441483214254338i</v>
      </c>
      <c r="Q587" s="729" t="str">
        <f t="shared" si="417"/>
        <v>-0.135989108652613-0.00552195804416648i</v>
      </c>
      <c r="R587" s="730"/>
      <c r="S587" s="405" t="str">
        <f t="shared" si="430"/>
        <v>31.1893686685076-22.2747780346575i</v>
      </c>
      <c r="T587" s="405" t="str">
        <f t="shared" si="431"/>
        <v>10.5402122677953-9.88201701254975i</v>
      </c>
      <c r="U587" s="405" t="str">
        <f t="shared" si="432"/>
        <v>-0.277362068015678-0.421698923520376i</v>
      </c>
      <c r="V587" s="731" t="str">
        <f t="shared" si="418"/>
        <v>6000</v>
      </c>
      <c r="W587" s="733" t="str">
        <f>IMSUM(COMPLEX(1,0),IMDIV(COMPLEX(0,2*PI()*D587),COMPLEX(2*PI()*'Stability Calculations'!EA_Pole1,0)))</f>
        <v>1+745593.556157935i</v>
      </c>
      <c r="X587" s="734">
        <f t="shared" si="433"/>
        <v>745593.5561586055</v>
      </c>
      <c r="Y587" s="735">
        <f t="shared" si="434"/>
        <v>1.5707949855815884</v>
      </c>
      <c r="Z587" s="340" t="str">
        <f>IMSUM(COMPLEX(1,0),IMDIV(COMPLEX(0,2*PI()*D587),COMPLEX(2*PI()*'Stability Calculations'!EA_Zero1,0)))</f>
        <v>1+7382.1144174053i</v>
      </c>
      <c r="AA587" s="734">
        <f t="shared" si="435"/>
        <v>7382.1144851365707</v>
      </c>
      <c r="AB587" s="735">
        <f t="shared" si="436"/>
        <v>1.5706608642516007</v>
      </c>
      <c r="AC587" s="733" t="str">
        <f>IMSUM(COMPLEX(1,0),IMDIV(COMPLEX(0,2*PI()*D587),COMPLEX(2*PI()*'Stability Calculations'!EA_Pole2,0)))</f>
        <v>1+74.3634057125146i</v>
      </c>
      <c r="AD587" s="734">
        <f t="shared" si="437"/>
        <v>74.370129145807255</v>
      </c>
      <c r="AE587" s="735">
        <f t="shared" si="438"/>
        <v>1.5573496628239751</v>
      </c>
      <c r="AF587" s="732" t="str">
        <f t="shared" si="439"/>
        <v>0.0106335806382157-0.798716874987234i</v>
      </c>
      <c r="AG587" s="337">
        <f t="shared" si="440"/>
        <v>0.79878765603041357</v>
      </c>
      <c r="AH587" s="730">
        <f t="shared" si="441"/>
        <v>-1.5574837841539628</v>
      </c>
      <c r="AI587" s="731" t="str">
        <f t="shared" si="419"/>
        <v>10000</v>
      </c>
      <c r="AJ587" s="733" t="str">
        <f t="shared" si="442"/>
        <v>1+695098.417120002i</v>
      </c>
      <c r="AK587" s="734">
        <f t="shared" si="443"/>
        <v>695098.41712072119</v>
      </c>
      <c r="AL587" s="735">
        <f t="shared" si="444"/>
        <v>1.5707948881496985</v>
      </c>
      <c r="AM587" s="340" t="str">
        <f t="shared" si="445"/>
        <v>1+1179.66188390137i</v>
      </c>
      <c r="AN587" s="734">
        <f t="shared" si="446"/>
        <v>1179.6623077515569</v>
      </c>
      <c r="AO587" s="735">
        <f t="shared" si="447"/>
        <v>1.5699486264715117</v>
      </c>
      <c r="AP587" s="733" t="str">
        <f t="shared" si="448"/>
        <v>1+57.2155458421915i</v>
      </c>
      <c r="AQ587" s="734">
        <f t="shared" si="449"/>
        <v>57.224284058605029</v>
      </c>
      <c r="AR587" s="735">
        <f t="shared" si="450"/>
        <v>1.5533203387601222</v>
      </c>
      <c r="AS587" s="732" t="str">
        <f t="shared" si="451"/>
        <v>0.000198422368929858-1.99209621736143i</v>
      </c>
      <c r="AT587" s="337">
        <f t="shared" si="452"/>
        <v>1.9920962272433416</v>
      </c>
      <c r="AU587" s="730">
        <f t="shared" si="453"/>
        <v>-1.5706967219833698</v>
      </c>
      <c r="AV587" s="732" t="str">
        <f t="shared" si="454"/>
        <v>-0.0169816274708608+0.0154985176262523i</v>
      </c>
      <c r="AW587" s="337">
        <f t="shared" si="455"/>
        <v>-32.768895033062108</v>
      </c>
      <c r="AX587" s="730">
        <f t="shared" si="456"/>
        <v>137.61442642151206</v>
      </c>
      <c r="AY587" s="360">
        <f t="shared" si="457"/>
        <v>-42.385573578487936</v>
      </c>
      <c r="BB587" s="337">
        <f t="shared" si="458"/>
        <v>-34.013793740420809</v>
      </c>
      <c r="BC587" s="730">
        <f t="shared" si="459"/>
        <v>-89.994293064680321</v>
      </c>
      <c r="BD587" s="351"/>
      <c r="BE587" s="337">
        <f t="shared" si="420"/>
        <v>20.285978016842638</v>
      </c>
      <c r="BF587" s="730">
        <f t="shared" si="421"/>
        <v>-89.874410429238253</v>
      </c>
      <c r="BI587" s="351"/>
      <c r="BJ587" s="351"/>
      <c r="BL587" s="405">
        <f t="shared" si="422"/>
        <v>0</v>
      </c>
      <c r="BM587" s="405">
        <f t="shared" si="460"/>
        <v>0</v>
      </c>
      <c r="BN587" s="405">
        <f t="shared" si="423"/>
        <v>0</v>
      </c>
      <c r="BO587" s="405">
        <f t="shared" si="424"/>
        <v>0</v>
      </c>
    </row>
    <row r="588" spans="4:67" ht="13.5" thickBot="1" x14ac:dyDescent="0.25">
      <c r="D588" s="345">
        <v>118860</v>
      </c>
      <c r="E588" s="340" t="str">
        <f t="shared" si="411"/>
        <v>1.97160323081401i</v>
      </c>
      <c r="F588" s="728" t="str">
        <f t="shared" si="425"/>
        <v>0.005-0.0219510131897694i</v>
      </c>
      <c r="G588" s="337" t="str">
        <f t="shared" si="426"/>
        <v>0.005-0.0343336360147675i</v>
      </c>
      <c r="H588" s="338" t="str">
        <f t="shared" si="427"/>
        <v>0.00593580885871984-0.0340262967944i</v>
      </c>
      <c r="I588" s="338" t="str">
        <f t="shared" si="428"/>
        <v>0.0159358088587198-0.0340262967944i</v>
      </c>
      <c r="J588" s="337" t="str">
        <f t="shared" si="429"/>
        <v>0.00423759713400281-0.0135045819327655i</v>
      </c>
      <c r="K588" s="338" t="str">
        <f t="shared" si="412"/>
        <v>0.84302556-0.622349504676138i</v>
      </c>
      <c r="L588" s="732"/>
      <c r="M588" s="732" t="str">
        <f t="shared" si="413"/>
        <v>0.0221043878566842-10.2139421534948i</v>
      </c>
      <c r="N588" s="337">
        <f t="shared" si="414"/>
        <v>0</v>
      </c>
      <c r="O588" s="730" t="str">
        <f t="shared" si="415"/>
        <v>-0.505554218606812-3.81425385684901i</v>
      </c>
      <c r="P588" s="731" t="str">
        <f t="shared" si="416"/>
        <v>-0.137841349177768-0.0435810825134044i</v>
      </c>
      <c r="Q588" s="729" t="str">
        <f t="shared" si="417"/>
        <v>-0.1327858069917-0.0054385439449141i</v>
      </c>
      <c r="R588" s="730"/>
      <c r="S588" s="405" t="str">
        <f t="shared" si="430"/>
        <v>30.9783460608174-22.4846050539733i</v>
      </c>
      <c r="T588" s="405" t="str">
        <f t="shared" si="431"/>
        <v>10.4339827209565-9.95246109255912i</v>
      </c>
      <c r="U588" s="405" t="str">
        <f t="shared" si="432"/>
        <v>-0.276711267903355-0.414105699530186i</v>
      </c>
      <c r="V588" s="731" t="str">
        <f t="shared" si="418"/>
        <v>6000</v>
      </c>
      <c r="W588" s="733" t="str">
        <f>IMSUM(COMPLEX(1,0),IMDIV(COMPLEX(0,2*PI()*D588),COMPLEX(2*PI()*'Stability Calculations'!EA_Pole1,0)))</f>
        <v>1+754287.59966748i</v>
      </c>
      <c r="X588" s="734">
        <f t="shared" si="433"/>
        <v>754287.59966814285</v>
      </c>
      <c r="Y588" s="735">
        <f t="shared" si="434"/>
        <v>1.5707950010406346</v>
      </c>
      <c r="Z588" s="340" t="str">
        <f>IMSUM(COMPLEX(1,0),IMDIV(COMPLEX(0,2*PI()*D588),COMPLEX(2*PI()*'Stability Calculations'!EA_Zero1,0)))</f>
        <v>1+7468.19405611366i</v>
      </c>
      <c r="AA588" s="734">
        <f t="shared" si="435"/>
        <v>7468.1941230642487</v>
      </c>
      <c r="AB588" s="735">
        <f t="shared" si="436"/>
        <v>1.5706624256152393</v>
      </c>
      <c r="AC588" s="733" t="str">
        <f>IMSUM(COMPLEX(1,0),IMDIV(COMPLEX(0,2*PI()*D588),COMPLEX(2*PI()*'Stability Calculations'!EA_Pole2,0)))</f>
        <v>1+75.2305251765212i</v>
      </c>
      <c r="AD588" s="734">
        <f t="shared" si="437"/>
        <v>75.237171121296086</v>
      </c>
      <c r="AE588" s="735">
        <f t="shared" si="438"/>
        <v>1.5575046329345712</v>
      </c>
      <c r="AF588" s="732" t="str">
        <f t="shared" si="439"/>
        <v>0.0103899075753815-0.789513971324262i</v>
      </c>
      <c r="AG588" s="337">
        <f t="shared" si="440"/>
        <v>0.7895823333228984</v>
      </c>
      <c r="AH588" s="730">
        <f t="shared" si="441"/>
        <v>-1.5576372083599666</v>
      </c>
      <c r="AI588" s="731" t="str">
        <f t="shared" si="419"/>
        <v>10000</v>
      </c>
      <c r="AJ588" s="733" t="str">
        <f t="shared" si="442"/>
        <v>1+703203.658684854i</v>
      </c>
      <c r="AK588" s="734">
        <f t="shared" si="443"/>
        <v>703203.65868556511</v>
      </c>
      <c r="AL588" s="735">
        <f t="shared" si="444"/>
        <v>1.5707949047317609</v>
      </c>
      <c r="AM588" s="340" t="str">
        <f t="shared" si="445"/>
        <v>1+1193.41741016696i</v>
      </c>
      <c r="AN588" s="734">
        <f t="shared" si="446"/>
        <v>1193.4178291317814</v>
      </c>
      <c r="AO588" s="735">
        <f t="shared" si="447"/>
        <v>1.5699583972009099</v>
      </c>
      <c r="AP588" s="733" t="str">
        <f t="shared" si="448"/>
        <v>1+57.8827115397301i</v>
      </c>
      <c r="AQ588" s="734">
        <f t="shared" si="449"/>
        <v>57.891349053132323</v>
      </c>
      <c r="AR588" s="735">
        <f t="shared" si="450"/>
        <v>1.5535217295817871</v>
      </c>
      <c r="AS588" s="732" t="str">
        <f t="shared" si="451"/>
        <v>0.000193874631856974-1.96913498764104i</v>
      </c>
      <c r="AT588" s="337">
        <f t="shared" si="452"/>
        <v>1.969134997185173</v>
      </c>
      <c r="AU588" s="730">
        <f t="shared" si="453"/>
        <v>-1.5706978700448784</v>
      </c>
      <c r="AV588" s="732" t="str">
        <f t="shared" si="454"/>
        <v>-0.0164264123117924+0.0152576016659454i</v>
      </c>
      <c r="AW588" s="337">
        <f t="shared" si="455"/>
        <v>-32.987589985389924</v>
      </c>
      <c r="AX588" s="730">
        <f t="shared" si="456"/>
        <v>137.11266048182176</v>
      </c>
      <c r="AY588" s="360">
        <f t="shared" si="457"/>
        <v>-42.887339518178237</v>
      </c>
      <c r="BB588" s="337">
        <f t="shared" si="458"/>
        <v>-34.11449018183022</v>
      </c>
      <c r="BC588" s="730">
        <f t="shared" si="459"/>
        <v>-89.994358843759386</v>
      </c>
      <c r="BD588" s="351"/>
      <c r="BE588" s="337">
        <f t="shared" si="420"/>
        <v>20.183888218245663</v>
      </c>
      <c r="BF588" s="730">
        <f t="shared" si="421"/>
        <v>-89.87600417775198</v>
      </c>
      <c r="BI588" s="351"/>
      <c r="BJ588" s="351"/>
      <c r="BL588" s="405">
        <f t="shared" si="422"/>
        <v>0</v>
      </c>
      <c r="BM588" s="405">
        <f t="shared" si="460"/>
        <v>0</v>
      </c>
      <c r="BN588" s="405">
        <f t="shared" si="423"/>
        <v>0</v>
      </c>
      <c r="BO588" s="405">
        <f t="shared" si="424"/>
        <v>0</v>
      </c>
    </row>
    <row r="589" spans="4:67" ht="13.5" thickBot="1" x14ac:dyDescent="0.25">
      <c r="D589" s="345">
        <v>120230</v>
      </c>
      <c r="E589" s="340" t="str">
        <f t="shared" ref="E589:E613" si="461">COMPLEX(0,2*PI()*D589*L)</f>
        <v>1.99432825543301i</v>
      </c>
      <c r="F589" s="728" t="str">
        <f t="shared" si="425"/>
        <v>0.005-0.0217008852011643i</v>
      </c>
      <c r="G589" s="337" t="str">
        <f t="shared" si="426"/>
        <v>0.005-0.0339424101864365i</v>
      </c>
      <c r="H589" s="338" t="str">
        <f t="shared" si="427"/>
        <v>0.00591415661394502-0.0336391746224833i</v>
      </c>
      <c r="I589" s="338" t="str">
        <f t="shared" si="428"/>
        <v>0.015914156613945-0.0336391746224833i</v>
      </c>
      <c r="J589" s="337" t="str">
        <f t="shared" si="429"/>
        <v>0.0042333930850322-0.0133532007738757i</v>
      </c>
      <c r="K589" s="338" t="str">
        <f t="shared" ref="K589:K613" si="462">IMSUM(COMPLEX(1,0),COMPLEX(0,2*PI()*D589/(Fsw*PI()*(-2)/PI())),IMPRODUCT(COMPLEX(0,2*PI()*D589/(Fsw*PI())),COMPLEX(0,2*PI()*D589/(Fsw*PI()))))</f>
        <v>0.839386078888889-0.629522807901835i</v>
      </c>
      <c r="L589" s="732"/>
      <c r="M589" s="732" t="str">
        <f t="shared" ref="M589:M613" si="463">IF(Vin&gt;=Vout,IMDIV(COMPLEX(Vin,0),IMSUM(E589,J589)),IMDIV(IMSUM(COMPLEX(Vout,0),IMPRODUCT(J589,COMPLEX($B$4,0))),IMSUM(E589,IMPRODUCT(J589,COMPLEX((1-$B$11)^2,0)))))</f>
        <v>0.0215753870225306-10.0959921811571i</v>
      </c>
      <c r="N589" s="337">
        <f t="shared" ref="N589:N613" si="464">IF(Vin&gt;=Vout,0,IMSUB(IMPRODUCT(M589,COMPLEX(1-$B$11,0)),COMPLEX($B$4/(1-$B$11),0)))</f>
        <v>0</v>
      </c>
      <c r="O589" s="730" t="str">
        <f t="shared" ref="O589:O613" si="465">IMDIV(IF(Vin&gt;=Vout,M589,N589),IMPRODUCT(I589,IMSUM(IMDIV(COMPLEX(1,0),F589),IMDIV(COMPLEX(1,0),I589))))</f>
        <v>-0.502980330038021-3.76697606847908i</v>
      </c>
      <c r="P589" s="731" t="str">
        <f t="shared" ref="P589:P613" si="466">IF(Vin&gt;=Vout,IMDIV(IMPRODUCT(COMPLEX(Vin,0),J589),IMSUM(J589,E589)),IMPRODUCT(N589,J589))</f>
        <v>-0.134722473512242-0.0430284039609354i</v>
      </c>
      <c r="Q589" s="729" t="str">
        <f t="shared" ref="Q589:Q613" si="467">IF(Vin&gt;=Vout,IMDIV(IMPRODUCT(P589,H589),IMSUM(COMPLEX($B$15,0),H589)),IMPRODUCT(O589,H589))</f>
        <v>-0.129692670211862-0.00535864327614477i</v>
      </c>
      <c r="R589" s="730"/>
      <c r="S589" s="405" t="str">
        <f t="shared" si="430"/>
        <v>30.7652189356436-22.6920702806346i</v>
      </c>
      <c r="T589" s="405" t="str">
        <f t="shared" si="431"/>
        <v>10.3270642009939-10.0215604624889i</v>
      </c>
      <c r="U589" s="405" t="str">
        <f t="shared" si="432"/>
        <v>-0.276041147340496-0.406662994086107i</v>
      </c>
      <c r="V589" s="731" t="str">
        <f t="shared" ref="V589:V613" si="468">COMPLEX(AEA,0)</f>
        <v>6000</v>
      </c>
      <c r="W589" s="733" t="str">
        <f>IMSUM(COMPLEX(1,0),IMDIV(COMPLEX(0,2*PI()*D589),COMPLEX(2*PI()*'Stability Calculations'!EA_Pole1,0)))</f>
        <v>1+762981.643177024i</v>
      </c>
      <c r="X589" s="734">
        <f t="shared" si="433"/>
        <v>762981.64317767927</v>
      </c>
      <c r="Y589" s="735">
        <f t="shared" si="434"/>
        <v>1.5707950161473745</v>
      </c>
      <c r="Z589" s="340" t="str">
        <f>IMSUM(COMPLEX(1,0),IMDIV(COMPLEX(0,2*PI()*D589),COMPLEX(2*PI()*'Stability Calculations'!EA_Zero1,0)))</f>
        <v>1+7554.27369482202i</v>
      </c>
      <c r="AA589" s="734">
        <f t="shared" si="435"/>
        <v>7554.2737610097192</v>
      </c>
      <c r="AB589" s="735">
        <f t="shared" si="436"/>
        <v>1.5706639513959428</v>
      </c>
      <c r="AC589" s="733" t="str">
        <f>IMSUM(COMPLEX(1,0),IMDIV(COMPLEX(0,2*PI()*D589),COMPLEX(2*PI()*'Stability Calculations'!EA_Pole2,0)))</f>
        <v>1+76.0976446405279i</v>
      </c>
      <c r="AD589" s="734">
        <f t="shared" si="437"/>
        <v>76.104214862490139</v>
      </c>
      <c r="AE589" s="735">
        <f t="shared" si="438"/>
        <v>1.5576560719469505</v>
      </c>
      <c r="AF589" s="732" t="str">
        <f t="shared" si="439"/>
        <v>0.0101545148814839-0.78052068983157i</v>
      </c>
      <c r="AG589" s="337">
        <f t="shared" si="440"/>
        <v>0.78058674177033538</v>
      </c>
      <c r="AH589" s="730">
        <f t="shared" si="441"/>
        <v>-1.5577871366983824</v>
      </c>
      <c r="AI589" s="731" t="str">
        <f t="shared" ref="AI589:AI613" si="469">COMPLEX(AIL,0)</f>
        <v>10000</v>
      </c>
      <c r="AJ589" s="733" t="str">
        <f t="shared" si="442"/>
        <v>1+711308.900249705i</v>
      </c>
      <c r="AK589" s="734">
        <f t="shared" si="443"/>
        <v>711308.90025040775</v>
      </c>
      <c r="AL589" s="735">
        <f t="shared" si="444"/>
        <v>1.5707949209359235</v>
      </c>
      <c r="AM589" s="340" t="str">
        <f t="shared" si="445"/>
        <v>1+1207.17293643256i</v>
      </c>
      <c r="AN589" s="734">
        <f t="shared" si="446"/>
        <v>1207.1733506233516</v>
      </c>
      <c r="AO589" s="735">
        <f t="shared" si="447"/>
        <v>1.5699679452589284</v>
      </c>
      <c r="AP589" s="733" t="str">
        <f t="shared" si="448"/>
        <v>1+58.5498772372686i</v>
      </c>
      <c r="AQ589" s="734">
        <f t="shared" si="449"/>
        <v>58.558416342138429</v>
      </c>
      <c r="AR589" s="735">
        <f t="shared" si="450"/>
        <v>1.5537185321304576</v>
      </c>
      <c r="AS589" s="732" t="str">
        <f t="shared" si="451"/>
        <v>0.000189481469365199-1.94669703636718i</v>
      </c>
      <c r="AT589" s="337">
        <f t="shared" si="452"/>
        <v>1.9466970455887556</v>
      </c>
      <c r="AU589" s="730">
        <f t="shared" si="453"/>
        <v>-1.5706989919424634</v>
      </c>
      <c r="AV589" s="732" t="str">
        <f t="shared" si="454"/>
        <v>-0.0158908927910591+0.0150214433448079i</v>
      </c>
      <c r="AW589" s="337">
        <f t="shared" si="455"/>
        <v>-33.204229117395492</v>
      </c>
      <c r="AX589" s="730">
        <f t="shared" si="456"/>
        <v>136.6110931750149</v>
      </c>
      <c r="AY589" s="360">
        <f t="shared" si="457"/>
        <v>-43.388906824985099</v>
      </c>
      <c r="BB589" s="337">
        <f t="shared" si="458"/>
        <v>-34.21403260459094</v>
      </c>
      <c r="BC589" s="730">
        <f t="shared" si="459"/>
        <v>-89.99442312375605</v>
      </c>
      <c r="BD589" s="351"/>
      <c r="BE589" s="337">
        <f t="shared" ref="BE589:BE613" si="470">20*LOG10(IMABS(M589))</f>
        <v>20.082999944858344</v>
      </c>
      <c r="BF589" s="730">
        <f t="shared" ref="BF589:BF613" si="471">180/PI()*IMARGUMENT(IMPRODUCT(COMPLEX(1,0),M589))</f>
        <v>-89.87755767697206</v>
      </c>
      <c r="BI589" s="351"/>
      <c r="BJ589" s="351"/>
      <c r="BL589" s="405">
        <f t="shared" ref="BL589:BL613" si="472">SUM((AW590&lt;0)*(AW589&gt;0))*D589</f>
        <v>0</v>
      </c>
      <c r="BM589" s="405">
        <f t="shared" si="460"/>
        <v>0</v>
      </c>
      <c r="BN589" s="405">
        <f t="shared" ref="BN589:BN613" si="473">SUM((BB590&lt;0)*(BB589&gt;0))*D589</f>
        <v>0</v>
      </c>
      <c r="BO589" s="405">
        <f t="shared" ref="BO589:BO613" si="474">IF(BN589&gt;0,BC589,0)</f>
        <v>0</v>
      </c>
    </row>
    <row r="590" spans="4:67" ht="13.5" thickBot="1" x14ac:dyDescent="0.25">
      <c r="D590" s="345">
        <v>126030</v>
      </c>
      <c r="E590" s="340" t="str">
        <f t="shared" si="461"/>
        <v>2.09053638885655i</v>
      </c>
      <c r="F590" s="728" t="str">
        <f t="shared" ref="F590:F613" si="475">IMSUM(COMPLEX($B$8,0),IMDIV(COMPLEX(1,0),COMPLEX(0,2*PI()*D590*$B$6)))</f>
        <v>0.005-0.0207021933486947i</v>
      </c>
      <c r="G590" s="337" t="str">
        <f t="shared" ref="G590:G613" si="476">IMSUM(COMPLEX($B$9,0),IMDIV(COMPLEX(1,0),COMPLEX(0,2*PI()*D590*$B$7)))</f>
        <v>0.005-0.0323803536992404i</v>
      </c>
      <c r="H590" s="338" t="str">
        <f t="shared" ref="H590:H613" si="477">IMDIV(COMPLEX(1,0),IMSUM(IMDIV(COMPLEX(1,0),COMPLEX($B$5,0)), IMDIV(COMPLEX(1,0),G590)))</f>
        <v>0.00583017111860561-0.0320932993160668i</v>
      </c>
      <c r="I590" s="338" t="str">
        <f t="shared" ref="I590:I613" si="478">IMSUM(H590,COMPLEX($B$15,0))</f>
        <v>0.0158301711186056-0.0320932993160668i</v>
      </c>
      <c r="J590" s="337" t="str">
        <f t="shared" ref="J590:J613" si="479">IMDIV(COMPLEX(1,0),IMSUM(IMDIV(COMPLEX(1,0),F590),IMDIV(COMPLEX(1,0),IMSUM(COMPLEX($B$15,0),H590))))</f>
        <v>0.00421671408346309-0.0127489237052189i</v>
      </c>
      <c r="K590" s="338" t="str">
        <f t="shared" si="462"/>
        <v>0.82351599-0.659891536886536i</v>
      </c>
      <c r="L590" s="732"/>
      <c r="M590" s="732" t="str">
        <f t="shared" si="463"/>
        <v>0.0195344018523386-9.62558392735128i</v>
      </c>
      <c r="N590" s="337">
        <f t="shared" si="464"/>
        <v>0</v>
      </c>
      <c r="O590" s="730" t="str">
        <f t="shared" si="465"/>
        <v>-0.492515420012793-3.57821922926245i</v>
      </c>
      <c r="P590" s="731" t="str">
        <f t="shared" si="466"/>
        <v>-0.12263346412058-0.0408373779068607i</v>
      </c>
      <c r="Q590" s="729" t="str">
        <f t="shared" si="467"/>
        <v>-0.117708309920452-0.00505518561423634i</v>
      </c>
      <c r="R590" s="730"/>
      <c r="S590" s="405" t="str">
        <f t="shared" ref="S590:S613" si="480">IMDIV(IMPRODUCT(COMPLEX($B$34,0),M590),IMSUM(COMPLEX(1,0),IMPRODUCT(M590,COMPLEX($B$29,0),K590,COMPLEX($B$34,0))))</f>
        <v>29.84021134221-23.5435109177752i</v>
      </c>
      <c r="T590" s="405" t="str">
        <f t="shared" ref="T590:T613" si="481">IMDIV(IMPRODUCT(COMPLEX($B$34,0),O590),IMSUM(COMPLEX(1,0),IMPRODUCT(M590,COMPLEX($B$29,0),K590,COMPLEX($B$34,0))))</f>
        <v>9.86725510368332-10.2989449146558i</v>
      </c>
      <c r="U590" s="405" t="str">
        <f t="shared" ref="U590:U613" si="482">IMDIV(IMPRODUCT(COMPLEX($B$34,0),Q590),IMSUM(COMPLEX(1,0),IMPRODUCT(M590,COMPLEX($B$29,0),K590,COMPLEX($B$34,0))))</f>
        <v>-0.272999336060325-0.376717382664034i</v>
      </c>
      <c r="V590" s="731" t="str">
        <f t="shared" si="468"/>
        <v>6000</v>
      </c>
      <c r="W590" s="733" t="str">
        <f>IMSUM(COMPLEX(1,0),IMDIV(COMPLEX(0,2*PI()*D590),COMPLEX(2*PI()*'Stability Calculations'!EA_Pole1,0)))</f>
        <v>1+799788.542706482i</v>
      </c>
      <c r="X590" s="734">
        <f t="shared" ref="X590:X613" si="483">IMABS(W590)</f>
        <v>799788.54270710715</v>
      </c>
      <c r="Y590" s="735">
        <f t="shared" ref="Y590:Y613" si="484">IMARGUMENT(W590)</f>
        <v>1.5707950764644072</v>
      </c>
      <c r="Z590" s="340" t="str">
        <f>IMSUM(COMPLEX(1,0),IMDIV(COMPLEX(0,2*PI()*D590),COMPLEX(2*PI()*'Stability Calculations'!EA_Zero1,0)))</f>
        <v>1+7918.69844263843i</v>
      </c>
      <c r="AA590" s="734">
        <f t="shared" ref="AA590:AA613" si="485">IMABS(Z590)</f>
        <v>7918.6985057801185</v>
      </c>
      <c r="AB590" s="735">
        <f t="shared" ref="AB590:AB613" si="486">IMARGUMENT(Z590)</f>
        <v>1.5706700434161409</v>
      </c>
      <c r="AC590" s="733" t="str">
        <f>IMSUM(COMPLEX(1,0),IMDIV(COMPLEX(0,2*PI()*D590),COMPLEX(2*PI()*'Stability Calculations'!EA_Pole2,0)))</f>
        <v>1+79.7686613494613i</v>
      </c>
      <c r="AD590" s="734">
        <f t="shared" ref="AD590:AD613" si="487">IMABS(AC590)</f>
        <v>79.774929228956637</v>
      </c>
      <c r="AE590" s="735">
        <f t="shared" ref="AE590:AE613" si="488">IMARGUMENT(AC590)</f>
        <v>1.5582607319615915</v>
      </c>
      <c r="AF590" s="732" t="str">
        <f t="shared" ref="AF590:AF613" si="489">IMPRODUCT(V590,IMDIV(Z590,IMPRODUCT(W590,AC590)))</f>
        <v>0.00924152717585352-0.744611957519976i</v>
      </c>
      <c r="AG590" s="337">
        <f t="shared" ref="AG590:AG613" si="490">IMABS(AF590)</f>
        <v>0.74466930452803848</v>
      </c>
      <c r="AH590" s="730">
        <f t="shared" ref="AH590:AH613" si="491">IMARGUMENT(AF590)</f>
        <v>-1.5583857650098578</v>
      </c>
      <c r="AI590" s="731" t="str">
        <f t="shared" si="469"/>
        <v>10000</v>
      </c>
      <c r="AJ590" s="733" t="str">
        <f t="shared" ref="AJ590:AJ613" si="492">IMSUM(COMPLEX(1,0),IMDIV(COMPLEX(0,2*PI()*D590),COMPLEX(2*PI()*IL_Pole1,0)))</f>
        <v>1+745623.061619149i</v>
      </c>
      <c r="AK590" s="734">
        <f t="shared" ref="AK590:AK613" si="493">IMABS(AJ590)</f>
        <v>745623.06161981961</v>
      </c>
      <c r="AL590" s="735">
        <f t="shared" ref="AL590:AL613" si="494">IMARGUMENT(AJ590)</f>
        <v>1.5707949856346624</v>
      </c>
      <c r="AM590" s="340" t="str">
        <f t="shared" ref="AM590:AM613" si="495">IMSUM(COMPLEX(1,0),IMDIV(COMPLEX(0,2*PI()*D590),COMPLEX(2*PI()*IL_Zero1,0)))</f>
        <v>1+1265.40801113362i</v>
      </c>
      <c r="AN590" s="734">
        <f t="shared" ref="AN590:AN613" si="496">IMABS(AM590)</f>
        <v>1265.4084062630307</v>
      </c>
      <c r="AO590" s="735">
        <f t="shared" ref="AO590:AO613" si="497">IMARGUMENT(AM590)</f>
        <v>1.5700060680143042</v>
      </c>
      <c r="AP590" s="733" t="str">
        <f t="shared" ref="AP590:AP613" si="498">IMSUM(COMPLEX(1,0),IMDIV(COMPLEX(0,2*PI()*D590),COMPLEX(2*PI()*IL_Pole2,0)))</f>
        <v>1+61.3743743509353i</v>
      </c>
      <c r="AQ590" s="734">
        <f t="shared" ref="AQ590:AQ613" si="499">IMABS(AP590)</f>
        <v>61.382520532874381</v>
      </c>
      <c r="AR590" s="735">
        <f t="shared" ref="AR590:AR613" si="500">IMARGUMENT(AP590)</f>
        <v>1.5545043232909992</v>
      </c>
      <c r="AS590" s="732" t="str">
        <f t="shared" ref="AS590:AS613" si="501">_xlfn.SWITCH(IMONLIM_select,0,COMPLEX(1,0),1,IMPRODUCT(gm_IL,IMDIV(COMPLEX(1,0),IMSUM(COMPLEX(1/20000000,0),COMPLEX(0,2*PI()*D590*CISET),COMPLEX(1/RISET,0)))),2,IMPRODUCT(gm_IL,IMDIV(COMPLEX(1,0),IMSUM(COMPLEX(1/20000000,0),COMPLEX(0,2*PI()*D590*CcIL)))),3,IMPRODUCT(AI590,IMDIV(AM590,IMPRODUCT(AJ590,AP590))))</f>
        <v>0.000172442601449089-1.85710850497361i</v>
      </c>
      <c r="AT590" s="337">
        <f t="shared" ref="AT590:AT613" si="502">IMABS(AS590)</f>
        <v>1.8571085129797256</v>
      </c>
      <c r="AU590" s="730">
        <f t="shared" ref="AU590:AU613" si="503">IMARGUMENT(AS590)</f>
        <v>-1.5707034713691141</v>
      </c>
      <c r="AV590" s="732" t="str">
        <f t="shared" ref="AV590:AV613" si="504">IMPRODUCT(T590,AS590,COMPLEX($B$15,0),IMPRODUCT(COMPLEX(0.1,0),AF590))</f>
        <v>-0.0138227515281434+0.0140710102067636i</v>
      </c>
      <c r="AW590" s="337">
        <f t="shared" ref="AW590:AW613" si="505">20*LOG10(IMABS(AV590))</f>
        <v>-34.099814216120471</v>
      </c>
      <c r="AX590" s="730">
        <f t="shared" ref="AX590:AX613" si="506">(180/PI())*IMARGUMENT(AV590)</f>
        <v>134.49007240087823</v>
      </c>
      <c r="AY590" s="360">
        <f t="shared" ref="AY590:AY613" si="507">IF(AX590&gt;0,AX590-180,AX590+180)</f>
        <v>-45.509927599121767</v>
      </c>
      <c r="BB590" s="337">
        <f t="shared" ref="BB590:BB613" si="508">20*LOG10(IMPRODUCT(COMPLEX($B$15,0),IMABS(AS590)))</f>
        <v>-34.623254383885552</v>
      </c>
      <c r="BC590" s="730">
        <f t="shared" ref="BC590:BC613" si="509">(180/PI())*IMARGUMENT(AS590)</f>
        <v>-89.994679775997781</v>
      </c>
      <c r="BD590" s="351"/>
      <c r="BE590" s="337">
        <f t="shared" si="470"/>
        <v>19.668559587909836</v>
      </c>
      <c r="BF590" s="730">
        <f t="shared" si="471"/>
        <v>-89.883722665206633</v>
      </c>
      <c r="BI590" s="351"/>
      <c r="BJ590" s="351"/>
      <c r="BL590" s="405">
        <f t="shared" si="472"/>
        <v>0</v>
      </c>
      <c r="BM590" s="405">
        <f t="shared" si="460"/>
        <v>0</v>
      </c>
      <c r="BN590" s="405">
        <f t="shared" si="473"/>
        <v>0</v>
      </c>
      <c r="BO590" s="405">
        <f t="shared" si="474"/>
        <v>0</v>
      </c>
    </row>
    <row r="591" spans="4:67" ht="13.5" thickBot="1" x14ac:dyDescent="0.25">
      <c r="D591" s="345">
        <v>131830</v>
      </c>
      <c r="E591" s="340" t="str">
        <f t="shared" si="461"/>
        <v>2.18674452228008i</v>
      </c>
      <c r="F591" s="728" t="str">
        <f t="shared" si="475"/>
        <v>0.005-0.0197913785006143i</v>
      </c>
      <c r="G591" s="337" t="str">
        <f t="shared" si="476"/>
        <v>0.005-0.0309557458599353i</v>
      </c>
      <c r="H591" s="338" t="str">
        <f t="shared" si="477"/>
        <v>0.00575701545675385-0.0306831744247178i</v>
      </c>
      <c r="I591" s="338" t="str">
        <f t="shared" si="478"/>
        <v>0.0157570154567538-0.0306831744247178i</v>
      </c>
      <c r="J591" s="337" t="str">
        <f t="shared" si="479"/>
        <v>0.00420160728251744-0.0121980291647836i</v>
      </c>
      <c r="K591" s="338" t="str">
        <f t="shared" si="462"/>
        <v>0.806898345555556-0.690260265871237i</v>
      </c>
      <c r="L591" s="732"/>
      <c r="M591" s="732" t="str">
        <f t="shared" si="463"/>
        <v>0.0177707777870333-9.19728568576997i</v>
      </c>
      <c r="N591" s="337">
        <f t="shared" si="464"/>
        <v>0</v>
      </c>
      <c r="O591" s="730" t="str">
        <f t="shared" si="465"/>
        <v>-0.482651971817359-3.40606669882739i</v>
      </c>
      <c r="P591" s="731" t="str">
        <f t="shared" si="466"/>
        <v>-0.112114093202503-0.0388601509824516i</v>
      </c>
      <c r="Q591" s="729" t="str">
        <f t="shared" si="467"/>
        <v>-0.107287573484329-0.00479948399417758i</v>
      </c>
      <c r="R591" s="730"/>
      <c r="S591" s="405" t="str">
        <f t="shared" si="480"/>
        <v>28.8800392322726-24.3497295167703i</v>
      </c>
      <c r="T591" s="405" t="str">
        <f t="shared" si="481"/>
        <v>9.39705409498737-10.5512438114719i</v>
      </c>
      <c r="U591" s="405" t="str">
        <f t="shared" si="482"/>
        <v>-0.269646668592323-0.349075123585627i</v>
      </c>
      <c r="V591" s="731" t="str">
        <f t="shared" si="468"/>
        <v>6000</v>
      </c>
      <c r="W591" s="733" t="str">
        <f>IMSUM(COMPLEX(1,0),IMDIV(COMPLEX(0,2*PI()*D591),COMPLEX(2*PI()*'Stability Calculations'!EA_Pole1,0)))</f>
        <v>1+836595.44223594i</v>
      </c>
      <c r="X591" s="734">
        <f t="shared" si="483"/>
        <v>836595.44223653781</v>
      </c>
      <c r="Y591" s="735">
        <f t="shared" si="484"/>
        <v>1.5707951314740169</v>
      </c>
      <c r="Z591" s="340" t="str">
        <f>IMSUM(COMPLEX(1,0),IMDIV(COMPLEX(0,2*PI()*D591),COMPLEX(2*PI()*'Stability Calculations'!EA_Zero1,0)))</f>
        <v>1+8283.12319045485i</v>
      </c>
      <c r="AA591" s="734">
        <f t="shared" si="485"/>
        <v>8283.1232508185549</v>
      </c>
      <c r="AB591" s="735">
        <f t="shared" si="486"/>
        <v>1.5706755993866295</v>
      </c>
      <c r="AC591" s="733" t="str">
        <f>IMSUM(COMPLEX(1,0),IMDIV(COMPLEX(0,2*PI()*D591),COMPLEX(2*PI()*'Stability Calculations'!EA_Pole2,0)))</f>
        <v>1+83.4396780583947i</v>
      </c>
      <c r="AD591" s="734">
        <f t="shared" si="487"/>
        <v>83.445670196173481</v>
      </c>
      <c r="AE591" s="735">
        <f t="shared" si="488"/>
        <v>1.5588121946689208</v>
      </c>
      <c r="AF591" s="732" t="str">
        <f t="shared" si="489"/>
        <v>0.008446348293153-0.711861498467016i</v>
      </c>
      <c r="AG591" s="337">
        <f t="shared" si="490"/>
        <v>0.71191160532694975</v>
      </c>
      <c r="AH591" s="730">
        <f t="shared" si="491"/>
        <v>-1.5589317267563083</v>
      </c>
      <c r="AI591" s="731" t="str">
        <f t="shared" si="469"/>
        <v>10000</v>
      </c>
      <c r="AJ591" s="733" t="str">
        <f t="shared" si="492"/>
        <v>1+779937.222988594i</v>
      </c>
      <c r="AK591" s="734">
        <f t="shared" si="493"/>
        <v>779937.22298923507</v>
      </c>
      <c r="AL591" s="735">
        <f t="shared" si="494"/>
        <v>1.5707950446404224</v>
      </c>
      <c r="AM591" s="340" t="str">
        <f t="shared" si="495"/>
        <v>1+1323.64308583468i</v>
      </c>
      <c r="AN591" s="734">
        <f t="shared" si="496"/>
        <v>1323.6434635799606</v>
      </c>
      <c r="AO591" s="735">
        <f t="shared" si="497"/>
        <v>1.5700408362699609</v>
      </c>
      <c r="AP591" s="733" t="str">
        <f t="shared" si="498"/>
        <v>1+64.1988714646021i</v>
      </c>
      <c r="AQ591" s="734">
        <f t="shared" si="499"/>
        <v>64.206659291139744</v>
      </c>
      <c r="AR591" s="735">
        <f t="shared" si="500"/>
        <v>1.5552209885971913</v>
      </c>
      <c r="AS591" s="732" t="str">
        <f t="shared" si="501"/>
        <v>0.000157602802051103-1.77540305738821i</v>
      </c>
      <c r="AT591" s="337">
        <f t="shared" si="502"/>
        <v>1.7754030643834224</v>
      </c>
      <c r="AU591" s="730">
        <f t="shared" si="503"/>
        <v>-1.5707075566415609</v>
      </c>
      <c r="AV591" s="732" t="str">
        <f t="shared" si="504"/>
        <v>-0.0120357772508392+0.0131931119223562i</v>
      </c>
      <c r="AW591" s="337">
        <f t="shared" si="505"/>
        <v>-34.963207826083384</v>
      </c>
      <c r="AX591" s="730">
        <f t="shared" si="506"/>
        <v>132.37348971141884</v>
      </c>
      <c r="AY591" s="360">
        <f t="shared" si="507"/>
        <v>-47.626510288581159</v>
      </c>
      <c r="BB591" s="337">
        <f t="shared" si="508"/>
        <v>-35.014060697071422</v>
      </c>
      <c r="BC591" s="730">
        <f t="shared" si="509"/>
        <v>-89.994913844867142</v>
      </c>
      <c r="BD591" s="351"/>
      <c r="BE591" s="337">
        <f t="shared" si="470"/>
        <v>19.27320974819995</v>
      </c>
      <c r="BF591" s="730">
        <f t="shared" si="471"/>
        <v>-89.889294588253591</v>
      </c>
      <c r="BI591" s="351"/>
      <c r="BJ591" s="351"/>
      <c r="BL591" s="405">
        <f t="shared" si="472"/>
        <v>0</v>
      </c>
      <c r="BM591" s="405">
        <f t="shared" si="460"/>
        <v>0</v>
      </c>
      <c r="BN591" s="405">
        <f t="shared" si="473"/>
        <v>0</v>
      </c>
      <c r="BO591" s="405">
        <f t="shared" si="474"/>
        <v>0</v>
      </c>
    </row>
    <row r="592" spans="4:67" ht="13.5" thickBot="1" x14ac:dyDescent="0.25">
      <c r="D592" s="345">
        <v>144540</v>
      </c>
      <c r="E592" s="340" t="str">
        <f t="shared" si="461"/>
        <v>2.39757303535131i</v>
      </c>
      <c r="F592" s="728" t="str">
        <f t="shared" si="475"/>
        <v>0.005-0.0180510407343018i</v>
      </c>
      <c r="G592" s="337" t="str">
        <f t="shared" si="476"/>
        <v>0.005-0.0282336790972413i</v>
      </c>
      <c r="H592" s="338" t="str">
        <f t="shared" si="477"/>
        <v>0.00562636308827723-0.0279880954748086i</v>
      </c>
      <c r="I592" s="338" t="str">
        <f t="shared" si="478"/>
        <v>0.0156263630882772-0.0279880954748086i</v>
      </c>
      <c r="J592" s="337" t="str">
        <f t="shared" si="479"/>
        <v>0.00417278341154522-0.011145990651398i</v>
      </c>
      <c r="K592" s="338" t="str">
        <f t="shared" si="462"/>
        <v>0.76786876-0.756809670249781i</v>
      </c>
      <c r="L592" s="732"/>
      <c r="M592" s="732" t="str">
        <f t="shared" si="463"/>
        <v>0.014654067471959-8.38070407229453i</v>
      </c>
      <c r="N592" s="337">
        <f t="shared" si="464"/>
        <v>0</v>
      </c>
      <c r="O592" s="730" t="str">
        <f t="shared" si="465"/>
        <v>-0.462652632461985-3.07704120314961i</v>
      </c>
      <c r="P592" s="731" t="str">
        <f t="shared" si="466"/>
        <v>-0.0933501009922693-0.0351341970289875i</v>
      </c>
      <c r="Q592" s="729" t="str">
        <f t="shared" si="467"/>
        <v>-0.0887235746676493-0.00436378499749147i</v>
      </c>
      <c r="R592" s="730"/>
      <c r="S592" s="405" t="str">
        <f t="shared" si="480"/>
        <v>26.6648205362287-25.9474157471349i</v>
      </c>
      <c r="T592" s="405" t="str">
        <f t="shared" si="481"/>
        <v>8.33852616882789-11.0133956900621i</v>
      </c>
      <c r="U592" s="405" t="str">
        <f t="shared" si="482"/>
        <v>-0.261328394228375-0.2953448295195i</v>
      </c>
      <c r="V592" s="731" t="str">
        <f t="shared" si="468"/>
        <v>6000</v>
      </c>
      <c r="W592" s="733" t="str">
        <f>IMSUM(COMPLEX(1,0),IMDIV(COMPLEX(0,2*PI()*D592),COMPLEX(2*PI()*'Stability Calculations'!EA_Pole1,0)))</f>
        <v>1+917253.320342734i</v>
      </c>
      <c r="X592" s="734">
        <f t="shared" si="483"/>
        <v>917253.32034327905</v>
      </c>
      <c r="Y592" s="735">
        <f t="shared" si="484"/>
        <v>1.5707952365835256</v>
      </c>
      <c r="Z592" s="340" t="str">
        <f>IMSUM(COMPLEX(1,0),IMDIV(COMPLEX(0,2*PI()*D592),COMPLEX(2*PI()*'Stability Calculations'!EA_Zero1,0)))</f>
        <v>1+9081.71604299737i</v>
      </c>
      <c r="AA592" s="734">
        <f t="shared" si="485"/>
        <v>9081.7160980530443</v>
      </c>
      <c r="AB592" s="735">
        <f t="shared" si="486"/>
        <v>1.5706862154468624</v>
      </c>
      <c r="AC592" s="733" t="str">
        <f>IMSUM(COMPLEX(1,0),IMDIV(COMPLEX(0,2*PI()*D592),COMPLEX(2*PI()*'Stability Calculations'!EA_Pole2,0)))</f>
        <v>1+91.4842681222814i</v>
      </c>
      <c r="AD592" s="734">
        <f t="shared" si="487"/>
        <v>91.489733379595506</v>
      </c>
      <c r="AE592" s="735">
        <f t="shared" si="488"/>
        <v>1.5598659209927113</v>
      </c>
      <c r="AF592" s="732" t="str">
        <f t="shared" si="489"/>
        <v>0.00702638392503858-0.64928009412285i</v>
      </c>
      <c r="AG592" s="337">
        <f t="shared" si="490"/>
        <v>0.64931811209548063</v>
      </c>
      <c r="AH592" s="730">
        <f t="shared" si="491"/>
        <v>-1.5599749421293743</v>
      </c>
      <c r="AI592" s="731" t="str">
        <f t="shared" si="469"/>
        <v>10000</v>
      </c>
      <c r="AJ592" s="733" t="str">
        <f t="shared" si="492"/>
        <v>1+855132.566265427i</v>
      </c>
      <c r="AK592" s="734">
        <f t="shared" si="493"/>
        <v>855132.56626601191</v>
      </c>
      <c r="AL592" s="735">
        <f t="shared" si="494"/>
        <v>1.5707951573855683</v>
      </c>
      <c r="AM592" s="340" t="str">
        <f t="shared" si="495"/>
        <v>1+1451.25822367098i</v>
      </c>
      <c r="AN592" s="734">
        <f t="shared" si="496"/>
        <v>1451.2585681995638</v>
      </c>
      <c r="AO592" s="735">
        <f t="shared" si="497"/>
        <v>1.5701072696543941</v>
      </c>
      <c r="AP592" s="733" t="str">
        <f t="shared" si="498"/>
        <v>1+70.3884160016202i</v>
      </c>
      <c r="AQ592" s="734">
        <f t="shared" si="499"/>
        <v>70.395519084790777</v>
      </c>
      <c r="AR592" s="735">
        <f t="shared" si="500"/>
        <v>1.5565903993648222</v>
      </c>
      <c r="AS592" s="732" t="str">
        <f t="shared" si="501"/>
        <v>0.000131104119641417-1.61928452584469i</v>
      </c>
      <c r="AT592" s="337">
        <f t="shared" si="502"/>
        <v>1.6192845311520616</v>
      </c>
      <c r="AU592" s="730">
        <f t="shared" si="503"/>
        <v>-1.5707153625682506</v>
      </c>
      <c r="AV592" s="732" t="str">
        <f t="shared" si="504"/>
        <v>-0.00889310675519271+0.0114835517984236i</v>
      </c>
      <c r="AW592" s="337">
        <f t="shared" si="505"/>
        <v>-36.758013043778433</v>
      </c>
      <c r="AX592" s="730">
        <f t="shared" si="506"/>
        <v>127.75496231153225</v>
      </c>
      <c r="AY592" s="360">
        <f t="shared" si="507"/>
        <v>-52.245037688467747</v>
      </c>
      <c r="BB592" s="337">
        <f t="shared" si="508"/>
        <v>-35.813536657395659</v>
      </c>
      <c r="BC592" s="730">
        <f t="shared" si="509"/>
        <v>-89.995361091521644</v>
      </c>
      <c r="BD592" s="351"/>
      <c r="BE592" s="337">
        <f t="shared" si="470"/>
        <v>18.465623392727402</v>
      </c>
      <c r="BF592" s="730">
        <f t="shared" si="471"/>
        <v>-89.899815653205877</v>
      </c>
      <c r="BI592" s="351"/>
      <c r="BJ592" s="351"/>
      <c r="BL592" s="405">
        <f t="shared" si="472"/>
        <v>0</v>
      </c>
      <c r="BM592" s="405">
        <f t="shared" si="460"/>
        <v>0</v>
      </c>
      <c r="BN592" s="405">
        <f t="shared" si="473"/>
        <v>0</v>
      </c>
      <c r="BO592" s="405">
        <f t="shared" si="474"/>
        <v>0</v>
      </c>
    </row>
    <row r="593" spans="4:67" ht="13.5" thickBot="1" x14ac:dyDescent="0.25">
      <c r="D593" s="345">
        <v>158490</v>
      </c>
      <c r="E593" s="340" t="str">
        <f t="shared" si="461"/>
        <v>2.62897018384412i</v>
      </c>
      <c r="F593" s="728" t="str">
        <f t="shared" si="475"/>
        <v>0.005-0.0164622211353144i</v>
      </c>
      <c r="G593" s="337" t="str">
        <f t="shared" si="476"/>
        <v>0.005-0.0257486022885688i</v>
      </c>
      <c r="H593" s="338" t="str">
        <f t="shared" si="477"/>
        <v>0.00551755747073268-0.0255269277420249i</v>
      </c>
      <c r="I593" s="338" t="str">
        <f t="shared" si="478"/>
        <v>0.0155175574707327-0.0255269277420249i</v>
      </c>
      <c r="J593" s="337" t="str">
        <f t="shared" si="479"/>
        <v>0.00414611709446853-0.0101862111817588i</v>
      </c>
      <c r="K593" s="338" t="str">
        <f t="shared" si="462"/>
        <v>0.72089911-0.829851699445744i</v>
      </c>
      <c r="L593" s="732"/>
      <c r="M593" s="732" t="str">
        <f t="shared" si="463"/>
        <v>0.012091247798232-7.63711328504049i</v>
      </c>
      <c r="N593" s="337">
        <f t="shared" si="464"/>
        <v>0</v>
      </c>
      <c r="O593" s="730" t="str">
        <f t="shared" si="465"/>
        <v>-0.442556097475862-2.77650832293308i</v>
      </c>
      <c r="P593" s="731" t="str">
        <f t="shared" si="466"/>
        <v>-0.0777431170112484-0.0317875299470228i</v>
      </c>
      <c r="Q593" s="729" t="str">
        <f t="shared" si="467"/>
        <v>-0.0733175560364897-0.00402244671769189i</v>
      </c>
      <c r="R593" s="730"/>
      <c r="S593" s="405" t="str">
        <f t="shared" si="480"/>
        <v>24.0871425982736-27.4131361687174i</v>
      </c>
      <c r="T593" s="405" t="str">
        <f t="shared" si="481"/>
        <v>7.15044833390033-11.373298674329i</v>
      </c>
      <c r="U593" s="405" t="str">
        <f t="shared" si="482"/>
        <v>-0.250872363824265-0.245281807009973i</v>
      </c>
      <c r="V593" s="731" t="str">
        <f t="shared" si="468"/>
        <v>6000</v>
      </c>
      <c r="W593" s="733" t="str">
        <f>IMSUM(COMPLEX(1,0),IMDIV(COMPLEX(0,2*PI()*D593),COMPLEX(2*PI()*'Stability Calculations'!EA_Pole1,0)))</f>
        <v>1+1005780.25972824i</v>
      </c>
      <c r="X593" s="734">
        <f t="shared" si="483"/>
        <v>1005780.2597287371</v>
      </c>
      <c r="Y593" s="735">
        <f t="shared" si="484"/>
        <v>1.570795332541937</v>
      </c>
      <c r="Z593" s="340" t="str">
        <f>IMSUM(COMPLEX(1,0),IMDIV(COMPLEX(0,2*PI()*D593),COMPLEX(2*PI()*'Stability Calculations'!EA_Zero1,0)))</f>
        <v>1+9958.22039334893i</v>
      </c>
      <c r="AA593" s="734">
        <f t="shared" si="485"/>
        <v>9958.2204435587046</v>
      </c>
      <c r="AB593" s="735">
        <f t="shared" si="486"/>
        <v>1.5706959072463087</v>
      </c>
      <c r="AC593" s="733" t="str">
        <f>IMSUM(COMPLEX(1,0),IMDIV(COMPLEX(0,2*PI()*D593),COMPLEX(2*PI()*'Stability Calculations'!EA_Pole2,0)))</f>
        <v>1+100.313696241182i</v>
      </c>
      <c r="AD593" s="734">
        <f t="shared" si="487"/>
        <v>100.31868048159392</v>
      </c>
      <c r="AE593" s="735">
        <f t="shared" si="488"/>
        <v>1.5608279285176734</v>
      </c>
      <c r="AF593" s="732" t="str">
        <f t="shared" si="489"/>
        <v>0.00584403728177546-0.592143433931851i</v>
      </c>
      <c r="AG593" s="337">
        <f t="shared" si="490"/>
        <v>0.5921722714889267</v>
      </c>
      <c r="AH593" s="730">
        <f t="shared" si="491"/>
        <v>-1.5609273538133015</v>
      </c>
      <c r="AI593" s="731" t="str">
        <f t="shared" si="469"/>
        <v>10000</v>
      </c>
      <c r="AJ593" s="733" t="str">
        <f t="shared" si="492"/>
        <v>1+937664.04059366i</v>
      </c>
      <c r="AK593" s="734">
        <f t="shared" si="493"/>
        <v>937664.04059419315</v>
      </c>
      <c r="AL593" s="735">
        <f t="shared" si="494"/>
        <v>1.570795260314839</v>
      </c>
      <c r="AM593" s="340" t="str">
        <f t="shared" si="495"/>
        <v>1+1591.32361885716i</v>
      </c>
      <c r="AN593" s="734">
        <f t="shared" si="496"/>
        <v>1591.3239330609742</v>
      </c>
      <c r="AO593" s="735">
        <f t="shared" si="497"/>
        <v>1.5701679191872184</v>
      </c>
      <c r="AP593" s="733" t="str">
        <f t="shared" si="498"/>
        <v>1+77.1818185422498i</v>
      </c>
      <c r="AQ593" s="734">
        <f t="shared" si="499"/>
        <v>77.18829648002847</v>
      </c>
      <c r="AR593" s="735">
        <f t="shared" si="500"/>
        <v>1.5578406324583958</v>
      </c>
      <c r="AS593" s="732" t="str">
        <f t="shared" si="501"/>
        <v>0.000109040719630252-1.47675806438128i</v>
      </c>
      <c r="AT593" s="337">
        <f t="shared" si="502"/>
        <v>1.476758068406949</v>
      </c>
      <c r="AU593" s="730">
        <f t="shared" si="503"/>
        <v>-1.5707224888914091</v>
      </c>
      <c r="AV593" s="732" t="str">
        <f t="shared" si="504"/>
        <v>-0.00635161204061167+0.00988323155400469i</v>
      </c>
      <c r="AW593" s="337">
        <f t="shared" si="505"/>
        <v>-38.60054070548594</v>
      </c>
      <c r="AX593" s="730">
        <f t="shared" si="506"/>
        <v>122.72745650048304</v>
      </c>
      <c r="AY593" s="360">
        <f t="shared" si="507"/>
        <v>-57.272543499516956</v>
      </c>
      <c r="BB593" s="337">
        <f t="shared" si="508"/>
        <v>-36.613812953096968</v>
      </c>
      <c r="BC593" s="730">
        <f t="shared" si="509"/>
        <v>-89.995769399762068</v>
      </c>
      <c r="BD593" s="351"/>
      <c r="BE593" s="337">
        <f t="shared" si="470"/>
        <v>17.658595541041507</v>
      </c>
      <c r="BF593" s="730">
        <f t="shared" si="471"/>
        <v>-89.909288121939156</v>
      </c>
      <c r="BI593" s="351"/>
      <c r="BJ593" s="351"/>
      <c r="BL593" s="405">
        <f t="shared" si="472"/>
        <v>0</v>
      </c>
      <c r="BM593" s="405">
        <f t="shared" si="460"/>
        <v>0</v>
      </c>
      <c r="BN593" s="405">
        <f t="shared" si="473"/>
        <v>0</v>
      </c>
      <c r="BO593" s="405">
        <f t="shared" si="474"/>
        <v>0</v>
      </c>
    </row>
    <row r="594" spans="4:67" ht="13.5" thickBot="1" x14ac:dyDescent="0.25">
      <c r="D594" s="345">
        <v>173780</v>
      </c>
      <c r="E594" s="340" t="str">
        <f t="shared" si="461"/>
        <v>2.88259472867961i</v>
      </c>
      <c r="F594" s="728" t="str">
        <f t="shared" si="475"/>
        <v>0.005-0.0150137957632408i</v>
      </c>
      <c r="G594" s="337" t="str">
        <f t="shared" si="476"/>
        <v>0.005-0.0234831164501972i</v>
      </c>
      <c r="H594" s="338" t="str">
        <f t="shared" si="477"/>
        <v>0.00542708049489133-0.0232826850623415i</v>
      </c>
      <c r="I594" s="338" t="str">
        <f t="shared" si="478"/>
        <v>0.0154270804948913-0.0232826850623415i</v>
      </c>
      <c r="J594" s="337" t="str">
        <f t="shared" si="479"/>
        <v>0.0041210290005943-0.00931173463724901i</v>
      </c>
      <c r="K594" s="338" t="str">
        <f t="shared" si="462"/>
        <v>0.664450128888888-0.909909952234724i</v>
      </c>
      <c r="L594" s="732"/>
      <c r="M594" s="732" t="str">
        <f t="shared" si="463"/>
        <v>0.00998338841564337-6.96066447323008i</v>
      </c>
      <c r="N594" s="337">
        <f t="shared" si="464"/>
        <v>0</v>
      </c>
      <c r="O594" s="730" t="str">
        <f t="shared" si="465"/>
        <v>-0.422078465726886-2.50242959600776i</v>
      </c>
      <c r="P594" s="731" t="str">
        <f t="shared" si="466"/>
        <v>-0.06477471864046-0.0287780628212947i</v>
      </c>
      <c r="Q594" s="729" t="str">
        <f t="shared" si="467"/>
        <v>-0.0605539339831913-0.00375376686121716i</v>
      </c>
      <c r="R594" s="730"/>
      <c r="S594" s="405" t="str">
        <f t="shared" si="480"/>
        <v>21.1388225204725-28.6486869593719i</v>
      </c>
      <c r="T594" s="405" t="str">
        <f t="shared" si="481"/>
        <v>5.84580927141159-11.5896873359466i</v>
      </c>
      <c r="U594" s="405" t="str">
        <f t="shared" si="482"/>
        <v>-0.23811336274012-0.199004302283597i</v>
      </c>
      <c r="V594" s="731" t="str">
        <f t="shared" si="468"/>
        <v>6000</v>
      </c>
      <c r="W594" s="733" t="str">
        <f>IMSUM(COMPLEX(1,0),IMDIV(COMPLEX(0,2*PI()*D594),COMPLEX(2*PI()*'Stability Calculations'!EA_Pole1,0)))</f>
        <v>1+1102810.86210849i</v>
      </c>
      <c r="X594" s="734">
        <f t="shared" si="483"/>
        <v>1102810.8621089435</v>
      </c>
      <c r="Y594" s="735">
        <f t="shared" si="484"/>
        <v>1.5707954200210932</v>
      </c>
      <c r="Z594" s="340" t="str">
        <f>IMSUM(COMPLEX(1,0),IMDIV(COMPLEX(0,2*PI()*D594),COMPLEX(2*PI()*'Stability Calculations'!EA_Zero1,0)))</f>
        <v>1+10918.9194268167i</v>
      </c>
      <c r="AA594" s="734">
        <f t="shared" si="485"/>
        <v>10918.919472608775</v>
      </c>
      <c r="AB594" s="735">
        <f t="shared" si="486"/>
        <v>1.5707047426409968</v>
      </c>
      <c r="AC594" s="733" t="str">
        <f>IMSUM(COMPLEX(1,0),IMDIV(COMPLEX(0,2*PI()*D594),COMPLEX(2*PI()*'Stability Calculations'!EA_Pole2,0)))</f>
        <v>1+109.991255806629i</v>
      </c>
      <c r="AD594" s="734">
        <f t="shared" si="487"/>
        <v>109.99580152860061</v>
      </c>
      <c r="AE594" s="735">
        <f t="shared" si="488"/>
        <v>1.5617049454715055</v>
      </c>
      <c r="AF594" s="732" t="str">
        <f t="shared" si="489"/>
        <v>0.00486098613842935-0.540052744894884i</v>
      </c>
      <c r="AG594" s="337">
        <f t="shared" si="490"/>
        <v>0.54007462119112448</v>
      </c>
      <c r="AH594" s="730">
        <f t="shared" si="491"/>
        <v>-1.5617956228516017</v>
      </c>
      <c r="AI594" s="731" t="str">
        <f t="shared" si="469"/>
        <v>10000</v>
      </c>
      <c r="AJ594" s="733" t="str">
        <f t="shared" si="492"/>
        <v>1+1028123.26944518i</v>
      </c>
      <c r="AK594" s="734">
        <f t="shared" si="493"/>
        <v>1028123.2694456662</v>
      </c>
      <c r="AL594" s="735">
        <f t="shared" si="494"/>
        <v>1.5707953541488826</v>
      </c>
      <c r="AM594" s="340" t="str">
        <f t="shared" si="495"/>
        <v>1+1744.84332440531i</v>
      </c>
      <c r="AN594" s="734">
        <f t="shared" si="496"/>
        <v>1744.8436109639667</v>
      </c>
      <c r="AO594" s="735">
        <f t="shared" si="497"/>
        <v>1.5702232094974722</v>
      </c>
      <c r="AP594" s="733" t="str">
        <f t="shared" si="498"/>
        <v>1+84.6277773125887i</v>
      </c>
      <c r="AQ594" s="734">
        <f t="shared" si="499"/>
        <v>84.633685331959299</v>
      </c>
      <c r="AR594" s="735">
        <f t="shared" si="500"/>
        <v>1.5589804255292194</v>
      </c>
      <c r="AS594" s="732" t="str">
        <f t="shared" si="501"/>
        <v>0.0000906969858822544-1.34682579030071i</v>
      </c>
      <c r="AT594" s="337">
        <f t="shared" si="502"/>
        <v>1.346825793354536</v>
      </c>
      <c r="AU594" s="730">
        <f t="shared" si="503"/>
        <v>-1.570728985505178</v>
      </c>
      <c r="AV594" s="732" t="str">
        <f t="shared" si="504"/>
        <v>-0.00432843172969313+0.00839127642376583i</v>
      </c>
      <c r="AW594" s="337">
        <f t="shared" si="505"/>
        <v>-40.498842973370763</v>
      </c>
      <c r="AX594" s="730">
        <f t="shared" si="506"/>
        <v>117.28582350578425</v>
      </c>
      <c r="AY594" s="360">
        <f t="shared" si="507"/>
        <v>-62.714176494215749</v>
      </c>
      <c r="BB594" s="337">
        <f t="shared" si="508"/>
        <v>-37.413771498719065</v>
      </c>
      <c r="BC594" s="730">
        <f t="shared" si="509"/>
        <v>-89.996141628312159</v>
      </c>
      <c r="BD594" s="351"/>
      <c r="BE594" s="337">
        <f t="shared" si="470"/>
        <v>16.85302293089164</v>
      </c>
      <c r="BF594" s="730">
        <f t="shared" si="471"/>
        <v>-89.917823128606088</v>
      </c>
      <c r="BI594" s="351"/>
      <c r="BJ594" s="351"/>
      <c r="BL594" s="405">
        <f t="shared" si="472"/>
        <v>0</v>
      </c>
      <c r="BM594" s="405">
        <f t="shared" si="460"/>
        <v>0</v>
      </c>
      <c r="BN594" s="405">
        <f t="shared" si="473"/>
        <v>0</v>
      </c>
      <c r="BO594" s="405">
        <f t="shared" si="474"/>
        <v>0</v>
      </c>
    </row>
    <row r="595" spans="4:67" ht="13.5" thickBot="1" x14ac:dyDescent="0.25">
      <c r="D595" s="345">
        <v>190550</v>
      </c>
      <c r="E595" s="340" t="str">
        <f t="shared" si="461"/>
        <v>3.16076893514731i</v>
      </c>
      <c r="F595" s="728" t="str">
        <f t="shared" si="475"/>
        <v>0.005-0.0136924556690422i</v>
      </c>
      <c r="G595" s="337" t="str">
        <f t="shared" si="476"/>
        <v>0.005-0.0214164050208096i</v>
      </c>
      <c r="H595" s="338" t="str">
        <f t="shared" si="477"/>
        <v>0.00535179475630655-0.0212349330733116i</v>
      </c>
      <c r="I595" s="338" t="str">
        <f t="shared" si="478"/>
        <v>0.0153517947563066-0.0212349330733116i</v>
      </c>
      <c r="J595" s="337" t="str">
        <f t="shared" si="479"/>
        <v>0.00409701162566677-0.00851426219902392i</v>
      </c>
      <c r="K595" s="338" t="str">
        <f t="shared" si="462"/>
        <v>0.596563305555555-0.997717466902558i</v>
      </c>
      <c r="L595" s="732"/>
      <c r="M595" s="732" t="str">
        <f t="shared" si="463"/>
        <v>0.0082462000027295-6.3446543158002i</v>
      </c>
      <c r="N595" s="337">
        <f t="shared" si="464"/>
        <v>0</v>
      </c>
      <c r="O595" s="730" t="str">
        <f t="shared" si="465"/>
        <v>-0.400978317840997-2.25244546932446i</v>
      </c>
      <c r="P595" s="731" t="str">
        <f t="shared" si="466"/>
        <v>-0.0539862656296127-0.0260643328016391i</v>
      </c>
      <c r="Q595" s="729" t="str">
        <f t="shared" si="467"/>
        <v>-0.0499764824512028-0.00353987810839439i</v>
      </c>
      <c r="R595" s="730"/>
      <c r="S595" s="405" t="str">
        <f t="shared" si="480"/>
        <v>17.8355056098946-29.540069279064i</v>
      </c>
      <c r="T595" s="405" t="str">
        <f t="shared" si="481"/>
        <v>4.44984914102005-11.6201351444563i</v>
      </c>
      <c r="U595" s="405" t="str">
        <f t="shared" si="482"/>
        <v>-0.222938112796099-0.156680827029568i</v>
      </c>
      <c r="V595" s="731" t="str">
        <f t="shared" si="468"/>
        <v>6000</v>
      </c>
      <c r="W595" s="733" t="str">
        <f>IMSUM(COMPLEX(1,0),IMDIV(COMPLEX(0,2*PI()*D595),COMPLEX(2*PI()*'Stability Calculations'!EA_Pole1,0)))</f>
        <v>1+1209233.5698859i</v>
      </c>
      <c r="X595" s="734">
        <f t="shared" si="483"/>
        <v>1209233.5698863135</v>
      </c>
      <c r="Y595" s="735">
        <f t="shared" si="484"/>
        <v>1.5707954998248017</v>
      </c>
      <c r="Z595" s="340" t="str">
        <f>IMSUM(COMPLEX(1,0),IMDIV(COMPLEX(0,2*PI()*D595),COMPLEX(2*PI()*'Stability Calculations'!EA_Zero1,0)))</f>
        <v>1+11972.6096028307i</v>
      </c>
      <c r="AA595" s="734">
        <f t="shared" si="485"/>
        <v>11972.609644592691</v>
      </c>
      <c r="AB595" s="735">
        <f t="shared" si="486"/>
        <v>1.5707128028155097</v>
      </c>
      <c r="AC595" s="733" t="str">
        <f>IMSUM(COMPLEX(1,0),IMDIV(COMPLEX(0,2*PI()*D595),COMPLEX(2*PI()*'Stability Calculations'!EA_Pole2,0)))</f>
        <v>1+120.605557566769i</v>
      </c>
      <c r="AD595" s="734">
        <f t="shared" si="487"/>
        <v>120.60970324145246</v>
      </c>
      <c r="AE595" s="735">
        <f t="shared" si="488"/>
        <v>1.5625050249275469</v>
      </c>
      <c r="AF595" s="732" t="str">
        <f t="shared" si="489"/>
        <v>0.00404307783601682-0.492530350331497i</v>
      </c>
      <c r="AG595" s="337">
        <f t="shared" si="490"/>
        <v>0.49254694443885783</v>
      </c>
      <c r="AH595" s="730">
        <f t="shared" si="491"/>
        <v>-1.5625877219368389</v>
      </c>
      <c r="AI595" s="731" t="str">
        <f t="shared" si="469"/>
        <v>10000</v>
      </c>
      <c r="AJ595" s="733" t="str">
        <f t="shared" si="492"/>
        <v>1+1127338.52568062i</v>
      </c>
      <c r="AK595" s="734">
        <f t="shared" si="493"/>
        <v>1127338.5256810635</v>
      </c>
      <c r="AL595" s="735">
        <f t="shared" si="494"/>
        <v>1.5707954397498989</v>
      </c>
      <c r="AM595" s="340" t="str">
        <f t="shared" si="495"/>
        <v>1+1913.22301453235i</v>
      </c>
      <c r="AN595" s="734">
        <f t="shared" si="496"/>
        <v>1913.2232758714422</v>
      </c>
      <c r="AO595" s="735">
        <f t="shared" si="497"/>
        <v>1.5702736486223365</v>
      </c>
      <c r="AP595" s="733" t="str">
        <f t="shared" si="498"/>
        <v>1+92.7944698291735i</v>
      </c>
      <c r="AQ595" s="734">
        <f t="shared" si="499"/>
        <v>92.799857924877173</v>
      </c>
      <c r="AR595" s="735">
        <f t="shared" si="500"/>
        <v>1.56002023966898</v>
      </c>
      <c r="AS595" s="732" t="str">
        <f t="shared" si="501"/>
        <v>0.0000754352848049394-1.22829381273713i</v>
      </c>
      <c r="AT595" s="337">
        <f t="shared" si="502"/>
        <v>1.2282938150535472</v>
      </c>
      <c r="AU595" s="730">
        <f t="shared" si="503"/>
        <v>-1.5707349121041054</v>
      </c>
      <c r="AV595" s="732" t="str">
        <f t="shared" si="504"/>
        <v>-0.00275017104104697+0.00700758897363162i</v>
      </c>
      <c r="AW595" s="337">
        <f t="shared" si="505"/>
        <v>-42.466487494024314</v>
      </c>
      <c r="AX595" s="730">
        <f t="shared" si="506"/>
        <v>111.42782776718254</v>
      </c>
      <c r="AY595" s="360">
        <f t="shared" si="507"/>
        <v>-68.572172232817465</v>
      </c>
      <c r="BB595" s="337">
        <f t="shared" si="508"/>
        <v>-38.21395469983127</v>
      </c>
      <c r="BC595" s="730">
        <f t="shared" si="509"/>
        <v>-89.996481197417566</v>
      </c>
      <c r="BD595" s="351"/>
      <c r="BE595" s="337">
        <f t="shared" si="470"/>
        <v>16.04816663296052</v>
      </c>
      <c r="BF595" s="730">
        <f t="shared" si="471"/>
        <v>-89.925532240588623</v>
      </c>
      <c r="BI595" s="351"/>
      <c r="BJ595" s="351"/>
      <c r="BL595" s="405">
        <f t="shared" si="472"/>
        <v>0</v>
      </c>
      <c r="BM595" s="405">
        <f t="shared" si="460"/>
        <v>0</v>
      </c>
      <c r="BN595" s="405">
        <f t="shared" si="473"/>
        <v>0</v>
      </c>
      <c r="BO595" s="405">
        <f t="shared" si="474"/>
        <v>0</v>
      </c>
    </row>
    <row r="596" spans="4:67" ht="13.5" thickBot="1" x14ac:dyDescent="0.25">
      <c r="D596" s="345">
        <v>208930</v>
      </c>
      <c r="E596" s="340" t="str">
        <f t="shared" si="461"/>
        <v>3.46564919244464i</v>
      </c>
      <c r="F596" s="728" t="str">
        <f t="shared" si="475"/>
        <v>0.005-0.0124879023009428i</v>
      </c>
      <c r="G596" s="337" t="str">
        <f t="shared" si="476"/>
        <v>0.005-0.019532360009167i</v>
      </c>
      <c r="H596" s="338" t="str">
        <f t="shared" si="477"/>
        <v>0.00528919499445645-0.019367853383653i</v>
      </c>
      <c r="I596" s="338" t="str">
        <f t="shared" si="478"/>
        <v>0.0152891949944565-0.019367853383653i</v>
      </c>
      <c r="J596" s="337" t="str">
        <f t="shared" si="479"/>
        <v>0.00407371386822426-0.00778729794834977i</v>
      </c>
      <c r="K596" s="338" t="str">
        <f t="shared" si="462"/>
        <v>0.514980612222223-1.09395492185753i</v>
      </c>
      <c r="L596" s="732"/>
      <c r="M596" s="732" t="str">
        <f t="shared" si="463"/>
        <v>0.00681403918826499-5.78391296465224i</v>
      </c>
      <c r="N596" s="337">
        <f t="shared" si="464"/>
        <v>0</v>
      </c>
      <c r="O596" s="730" t="str">
        <f t="shared" si="465"/>
        <v>-0.379132853427444-2.02483250030038i</v>
      </c>
      <c r="P596" s="731" t="str">
        <f t="shared" si="466"/>
        <v>-0.0450132951171301-0.0236150694100967i</v>
      </c>
      <c r="Q596" s="729" t="str">
        <f t="shared" si="467"/>
        <v>-0.0412219665828557-0.00336674440709281i</v>
      </c>
      <c r="R596" s="730"/>
      <c r="S596" s="405" t="str">
        <f t="shared" si="480"/>
        <v>14.2393447947798-29.9625651104808i</v>
      </c>
      <c r="T596" s="405" t="str">
        <f t="shared" si="481"/>
        <v>3.00741672655201-11.4262216790556i</v>
      </c>
      <c r="U596" s="405" t="str">
        <f t="shared" si="482"/>
        <v>-0.205394572712742-0.118682720733816i</v>
      </c>
      <c r="V596" s="731" t="str">
        <f t="shared" si="468"/>
        <v>6000</v>
      </c>
      <c r="W596" s="733" t="str">
        <f>IMSUM(COMPLEX(1,0),IMDIV(COMPLEX(0,2*PI()*D596),COMPLEX(2*PI()*'Stability Calculations'!EA_Pole1,0)))</f>
        <v>1+1325873.36529132i</v>
      </c>
      <c r="X596" s="734">
        <f t="shared" si="483"/>
        <v>1325873.3652916972</v>
      </c>
      <c r="Y596" s="735">
        <f t="shared" si="484"/>
        <v>1.5707955725750546</v>
      </c>
      <c r="Z596" s="340" t="str">
        <f>IMSUM(COMPLEX(1,0),IMDIV(COMPLEX(0,2*PI()*D596),COMPLEX(2*PI()*'Stability Calculations'!EA_Zero1,0)))</f>
        <v>1+13127.4590622903i</v>
      </c>
      <c r="AA596" s="734">
        <f t="shared" si="485"/>
        <v>13127.459100378401</v>
      </c>
      <c r="AB596" s="735">
        <f t="shared" si="486"/>
        <v>1.5707201505910082</v>
      </c>
      <c r="AC596" s="733" t="str">
        <f>IMSUM(COMPLEX(1,0),IMDIV(COMPLEX(0,2*PI()*D596),COMPLEX(2*PI()*'Stability Calculations'!EA_Pole2,0)))</f>
        <v>1+132.238882930595i</v>
      </c>
      <c r="AD596" s="734">
        <f t="shared" si="487"/>
        <v>132.24266391271618</v>
      </c>
      <c r="AE596" s="735">
        <f t="shared" si="488"/>
        <v>1.5632343985870429</v>
      </c>
      <c r="AF596" s="732" t="str">
        <f t="shared" si="489"/>
        <v>0.00336305075575708-0.449206589092711i</v>
      </c>
      <c r="AG596" s="337">
        <f t="shared" si="490"/>
        <v>0.44921917790171595</v>
      </c>
      <c r="AH596" s="730">
        <f t="shared" si="491"/>
        <v>-1.5633098205710894</v>
      </c>
      <c r="AI596" s="731" t="str">
        <f t="shared" si="469"/>
        <v>10000</v>
      </c>
      <c r="AJ596" s="733" t="str">
        <f t="shared" si="492"/>
        <v>1+1236078.91981345i</v>
      </c>
      <c r="AK596" s="734">
        <f t="shared" si="493"/>
        <v>1236078.9198138546</v>
      </c>
      <c r="AL596" s="735">
        <f t="shared" si="494"/>
        <v>1.5707955177850641</v>
      </c>
      <c r="AM596" s="340" t="str">
        <f t="shared" si="495"/>
        <v>1+2097.76795815399i</v>
      </c>
      <c r="AN596" s="734">
        <f t="shared" si="496"/>
        <v>2097.7681965025495</v>
      </c>
      <c r="AO596" s="735">
        <f t="shared" si="497"/>
        <v>1.570319629684348</v>
      </c>
      <c r="AP596" s="733" t="str">
        <f t="shared" si="498"/>
        <v>1+101.745203785931i</v>
      </c>
      <c r="AQ596" s="734">
        <f t="shared" si="499"/>
        <v>101.75011790381684</v>
      </c>
      <c r="AR596" s="735">
        <f t="shared" si="500"/>
        <v>1.5609681701346365</v>
      </c>
      <c r="AS596" s="732" t="str">
        <f t="shared" si="501"/>
        <v>0.0000627466916424206-1.12023829112884i</v>
      </c>
      <c r="AT596" s="337">
        <f t="shared" si="502"/>
        <v>1.120238292886121</v>
      </c>
      <c r="AU596" s="730">
        <f t="shared" si="503"/>
        <v>-1.570740314880223</v>
      </c>
      <c r="AV596" s="732" t="str">
        <f t="shared" si="504"/>
        <v>-0.00155675628194484+0.00573846786415841i</v>
      </c>
      <c r="AW596" s="337">
        <f t="shared" si="505"/>
        <v>-44.515675409405034</v>
      </c>
      <c r="AX596" s="730">
        <f t="shared" si="506"/>
        <v>105.17813845725045</v>
      </c>
      <c r="AY596" s="360">
        <f t="shared" si="507"/>
        <v>-74.821861542749545</v>
      </c>
      <c r="BB596" s="337">
        <f t="shared" si="508"/>
        <v>-39.013791720206868</v>
      </c>
      <c r="BC596" s="730">
        <f t="shared" si="509"/>
        <v>-89.996790753686753</v>
      </c>
      <c r="BD596" s="351"/>
      <c r="BE596" s="337">
        <f t="shared" si="470"/>
        <v>15.244441010583227</v>
      </c>
      <c r="BF596" s="730">
        <f t="shared" si="471"/>
        <v>-89.932499761201811</v>
      </c>
      <c r="BI596" s="351"/>
      <c r="BJ596" s="351"/>
      <c r="BL596" s="405">
        <f t="shared" si="472"/>
        <v>0</v>
      </c>
      <c r="BM596" s="405">
        <f t="shared" si="460"/>
        <v>0</v>
      </c>
      <c r="BN596" s="405">
        <f t="shared" si="473"/>
        <v>0</v>
      </c>
      <c r="BO596" s="405">
        <f t="shared" si="474"/>
        <v>0</v>
      </c>
    </row>
    <row r="597" spans="4:67" ht="13.5" thickBot="1" x14ac:dyDescent="0.25">
      <c r="D597" s="345">
        <v>229090</v>
      </c>
      <c r="E597" s="340" t="str">
        <f t="shared" si="461"/>
        <v>3.80005539413748i</v>
      </c>
      <c r="F597" s="728" t="str">
        <f t="shared" si="475"/>
        <v>0.005-0.0113889625375878i</v>
      </c>
      <c r="G597" s="337" t="str">
        <f t="shared" si="476"/>
        <v>0.005-0.0178135055075091i</v>
      </c>
      <c r="H597" s="338" t="str">
        <f t="shared" si="477"/>
        <v>0.00523710391448603-0.0176642350788911i</v>
      </c>
      <c r="I597" s="338" t="str">
        <f t="shared" si="478"/>
        <v>0.015237103914486-0.0176642350788911i</v>
      </c>
      <c r="J597" s="337" t="str">
        <f t="shared" si="479"/>
        <v>0.00405086595177204-0.00712381438828188i</v>
      </c>
      <c r="K597" s="338" t="str">
        <f t="shared" si="462"/>
        <v>0.416864132222223-1.19951243501814i</v>
      </c>
      <c r="L597" s="732"/>
      <c r="M597" s="732" t="str">
        <f t="shared" si="463"/>
        <v>0.00563154236007805-5.27296018049955i</v>
      </c>
      <c r="N597" s="337">
        <f t="shared" si="464"/>
        <v>0</v>
      </c>
      <c r="O597" s="730" t="str">
        <f t="shared" si="465"/>
        <v>-0.356481040465101-1.81774292399094i</v>
      </c>
      <c r="P597" s="731" t="str">
        <f t="shared" si="466"/>
        <v>-0.0375407769794778-0.0214001729227283i</v>
      </c>
      <c r="Q597" s="729" t="str">
        <f t="shared" si="467"/>
        <v>-0.0339759665748268-0.00322274368281893i</v>
      </c>
      <c r="R597" s="730"/>
      <c r="S597" s="405" t="str">
        <f t="shared" si="480"/>
        <v>10.4595491897359-29.801331290268i</v>
      </c>
      <c r="T597" s="405" t="str">
        <f t="shared" si="481"/>
        <v>1.57924864849808-10.9821962768022i</v>
      </c>
      <c r="U597" s="405" t="str">
        <f t="shared" si="482"/>
        <v>-0.185721407436961-0.0854111224859856i</v>
      </c>
      <c r="V597" s="731" t="str">
        <f t="shared" si="468"/>
        <v>6000</v>
      </c>
      <c r="W597" s="733" t="str">
        <f>IMSUM(COMPLEX(1,0),IMDIV(COMPLEX(0,2*PI()*D597),COMPLEX(2*PI()*'Stability Calculations'!EA_Pole1,0)))</f>
        <v>1+1453809.07124199i</v>
      </c>
      <c r="X597" s="734">
        <f t="shared" si="483"/>
        <v>1453809.0712423341</v>
      </c>
      <c r="Y597" s="735">
        <f t="shared" si="484"/>
        <v>1.5707956389466642</v>
      </c>
      <c r="Z597" s="340" t="str">
        <f>IMSUM(COMPLEX(1,0),IMDIV(COMPLEX(0,2*PI()*D597),COMPLEX(2*PI()*'Stability Calculations'!EA_Zero1,0)))</f>
        <v>1+14394.1492202177i</v>
      </c>
      <c r="AA597" s="734">
        <f t="shared" si="485"/>
        <v>14394.149254954036</v>
      </c>
      <c r="AB597" s="735">
        <f t="shared" si="486"/>
        <v>1.5707268541235291</v>
      </c>
      <c r="AC597" s="733" t="str">
        <f>IMSUM(COMPLEX(1,0),IMDIV(COMPLEX(0,2*PI()*D597),COMPLEX(2*PI()*'Stability Calculations'!EA_Pole2,0)))</f>
        <v>1+144.998830663715i</v>
      </c>
      <c r="AD597" s="734">
        <f t="shared" si="487"/>
        <v>145.00227892638344</v>
      </c>
      <c r="AE597" s="735">
        <f t="shared" si="488"/>
        <v>1.5638998287922747</v>
      </c>
      <c r="AF597" s="732" t="str">
        <f t="shared" si="489"/>
        <v>0.00279722205827753-0.409680154680565i</v>
      </c>
      <c r="AG597" s="337">
        <f t="shared" si="490"/>
        <v>0.40968970403261901</v>
      </c>
      <c r="AH597" s="730">
        <f t="shared" si="491"/>
        <v>-1.5639686136154098</v>
      </c>
      <c r="AI597" s="731" t="str">
        <f t="shared" si="469"/>
        <v>10000</v>
      </c>
      <c r="AJ597" s="733" t="str">
        <f t="shared" si="492"/>
        <v>1+1355350.21174586i</v>
      </c>
      <c r="AK597" s="734">
        <f t="shared" si="493"/>
        <v>1355350.2117462291</v>
      </c>
      <c r="AL597" s="735">
        <f t="shared" si="494"/>
        <v>1.5707955889782117</v>
      </c>
      <c r="AM597" s="340" t="str">
        <f t="shared" si="495"/>
        <v>1+2300.18504539079i</v>
      </c>
      <c r="AN597" s="734">
        <f t="shared" si="496"/>
        <v>2300.1852627645953</v>
      </c>
      <c r="AO597" s="735">
        <f t="shared" si="497"/>
        <v>1.5703615791910019</v>
      </c>
      <c r="AP597" s="733" t="str">
        <f t="shared" si="498"/>
        <v>1+111.562766167228i</v>
      </c>
      <c r="AQ597" s="734">
        <f t="shared" si="499"/>
        <v>111.56724785923329</v>
      </c>
      <c r="AR597" s="735">
        <f t="shared" si="500"/>
        <v>1.5618330027951559</v>
      </c>
      <c r="AS597" s="732" t="str">
        <f t="shared" si="501"/>
        <v>0.0000521891443541773-1.02165693085294i</v>
      </c>
      <c r="AT597" s="337">
        <f t="shared" si="502"/>
        <v>1.021656932185925</v>
      </c>
      <c r="AU597" s="730">
        <f t="shared" si="503"/>
        <v>-1.5707452439482652</v>
      </c>
      <c r="AV597" s="732" t="str">
        <f t="shared" si="504"/>
        <v>-0.000692618092697274+0.0045920779222286i</v>
      </c>
      <c r="AW597" s="337">
        <f t="shared" si="505"/>
        <v>-46.662122861227211</v>
      </c>
      <c r="AX597" s="730">
        <f t="shared" si="506"/>
        <v>98.577207735390246</v>
      </c>
      <c r="AY597" s="360">
        <f t="shared" si="507"/>
        <v>-81.422792264609754</v>
      </c>
      <c r="BB597" s="337">
        <f t="shared" si="508"/>
        <v>-39.813898277201645</v>
      </c>
      <c r="BC597" s="730">
        <f t="shared" si="509"/>
        <v>-89.997073168482515</v>
      </c>
      <c r="BD597" s="351"/>
      <c r="BE597" s="337">
        <f t="shared" si="470"/>
        <v>14.441094787860678</v>
      </c>
      <c r="BF597" s="730">
        <f t="shared" si="471"/>
        <v>-89.938807903785275</v>
      </c>
      <c r="BI597" s="351"/>
      <c r="BJ597" s="351"/>
      <c r="BL597" s="405">
        <f t="shared" si="472"/>
        <v>0</v>
      </c>
      <c r="BM597" s="405">
        <f t="shared" si="460"/>
        <v>0</v>
      </c>
      <c r="BN597" s="405">
        <f t="shared" si="473"/>
        <v>0</v>
      </c>
      <c r="BO597" s="405">
        <f t="shared" si="474"/>
        <v>0</v>
      </c>
    </row>
    <row r="598" spans="4:67" ht="13.5" thickBot="1" x14ac:dyDescent="0.25">
      <c r="D598" s="345">
        <v>251190</v>
      </c>
      <c r="E598" s="340" t="str">
        <f t="shared" si="461"/>
        <v>4.16664155769956i</v>
      </c>
      <c r="F598" s="728" t="str">
        <f t="shared" si="475"/>
        <v>0.005-0.0103869478392292i</v>
      </c>
      <c r="G598" s="337" t="str">
        <f t="shared" si="476"/>
        <v>0.005-0.016246251748538i</v>
      </c>
      <c r="H598" s="338" t="str">
        <f t="shared" si="477"/>
        <v>0.00519378308235329-0.0161106904119275i</v>
      </c>
      <c r="I598" s="338" t="str">
        <f t="shared" si="478"/>
        <v>0.0151937830823533-0.0161106904119275i</v>
      </c>
      <c r="J598" s="337" t="str">
        <f t="shared" si="479"/>
        <v>0.00402833911979977-0.00651829382985667i</v>
      </c>
      <c r="K598" s="338" t="str">
        <f t="shared" si="462"/>
        <v>0.29892871-1.31522776442537i</v>
      </c>
      <c r="L598" s="732"/>
      <c r="M598" s="732" t="str">
        <f t="shared" si="463"/>
        <v>0.00465525220524369-4.80754534865913i</v>
      </c>
      <c r="N598" s="337">
        <f t="shared" si="464"/>
        <v>0</v>
      </c>
      <c r="O598" s="730" t="str">
        <f t="shared" si="465"/>
        <v>-0.333086134973682-1.62981232302626i</v>
      </c>
      <c r="P598" s="731" t="str">
        <f t="shared" si="466"/>
        <v>-0.0313182402483499-0.0193967672999409i</v>
      </c>
      <c r="Q598" s="729" t="str">
        <f t="shared" si="467"/>
        <v>-0.0279873788986131-0.0030986440696783i</v>
      </c>
      <c r="R598" s="730"/>
      <c r="S598" s="405" t="str">
        <f t="shared" si="480"/>
        <v>6.66272310977245-28.9764389414228i</v>
      </c>
      <c r="T598" s="405" t="str">
        <f t="shared" si="481"/>
        <v>0.241174636286286-10.2851948543203i</v>
      </c>
      <c r="U598" s="405" t="str">
        <f t="shared" si="482"/>
        <v>-0.164448981378467-0.0573045609334935i</v>
      </c>
      <c r="V598" s="731" t="str">
        <f t="shared" si="468"/>
        <v>6000</v>
      </c>
      <c r="W598" s="733" t="str">
        <f>IMSUM(COMPLEX(1,0),IMDIV(COMPLEX(0,2*PI()*D598),COMPLEX(2*PI()*'Stability Calculations'!EA_Pole1,0)))</f>
        <v>1+1594056.05048354i</v>
      </c>
      <c r="X598" s="734">
        <f t="shared" si="483"/>
        <v>1594056.0504838536</v>
      </c>
      <c r="Y598" s="735">
        <f t="shared" si="484"/>
        <v>1.5707956994643835</v>
      </c>
      <c r="Z598" s="340" t="str">
        <f>IMSUM(COMPLEX(1,0),IMDIV(COMPLEX(0,2*PI()*D598),COMPLEX(2*PI()*'Stability Calculations'!EA_Zero1,0)))</f>
        <v>1+15782.7331731044i</v>
      </c>
      <c r="AA598" s="734">
        <f t="shared" si="485"/>
        <v>15782.73320478459</v>
      </c>
      <c r="AB598" s="735">
        <f t="shared" si="486"/>
        <v>1.5707329664131622</v>
      </c>
      <c r="AC598" s="733" t="str">
        <f>IMSUM(COMPLEX(1,0),IMDIV(COMPLEX(0,2*PI()*D598),COMPLEX(2*PI()*'Stability Calculations'!EA_Pole2,0)))</f>
        <v>1+158.986670192582i</v>
      </c>
      <c r="AD598" s="734">
        <f t="shared" si="487"/>
        <v>158.98981507922088</v>
      </c>
      <c r="AE598" s="735">
        <f t="shared" si="488"/>
        <v>1.5645065742530122</v>
      </c>
      <c r="AF598" s="732" t="str">
        <f t="shared" si="489"/>
        <v>0.00232668715184659-0.373638958771132i</v>
      </c>
      <c r="AG598" s="337">
        <f t="shared" si="490"/>
        <v>0.37364620295766188</v>
      </c>
      <c r="AH598" s="730">
        <f t="shared" si="491"/>
        <v>-1.5645693073042335</v>
      </c>
      <c r="AI598" s="731" t="str">
        <f t="shared" si="469"/>
        <v>10000</v>
      </c>
      <c r="AJ598" s="733" t="str">
        <f t="shared" si="492"/>
        <v>1+1486098.99903288i</v>
      </c>
      <c r="AK598" s="734">
        <f t="shared" si="493"/>
        <v>1486098.9990332166</v>
      </c>
      <c r="AL598" s="735">
        <f t="shared" si="494"/>
        <v>1.5707956538922161</v>
      </c>
      <c r="AM598" s="340" t="str">
        <f t="shared" si="495"/>
        <v>1+2522.08076106208i</v>
      </c>
      <c r="AN598" s="734">
        <f t="shared" si="496"/>
        <v>2522.0809593110766</v>
      </c>
      <c r="AO598" s="735">
        <f t="shared" si="497"/>
        <v>1.5703998288067929</v>
      </c>
      <c r="AP598" s="733" t="str">
        <f t="shared" si="498"/>
        <v>1+122.325074134821i</v>
      </c>
      <c r="AQ598" s="734">
        <f t="shared" si="499"/>
        <v>122.3291615359537</v>
      </c>
      <c r="AR598" s="735">
        <f t="shared" si="500"/>
        <v>1.5626215700541046</v>
      </c>
      <c r="AS598" s="732" t="str">
        <f t="shared" si="501"/>
        <v>0.000043409796448678-0.931770318849635i</v>
      </c>
      <c r="AT598" s="337">
        <f t="shared" si="502"/>
        <v>0.93177031986083392</v>
      </c>
      <c r="AU598" s="730">
        <f t="shared" si="503"/>
        <v>-1.5707497382788866</v>
      </c>
      <c r="AV598" s="732" t="str">
        <f t="shared" si="504"/>
        <v>-0.000106428372942513+0.00358021847509394i</v>
      </c>
      <c r="AW598" s="337">
        <f t="shared" si="505"/>
        <v>-48.917973327795458</v>
      </c>
      <c r="AX598" s="730">
        <f t="shared" si="506"/>
        <v>91.70271769297085</v>
      </c>
      <c r="AY598" s="360">
        <f t="shared" si="507"/>
        <v>-88.29728230702915</v>
      </c>
      <c r="BB598" s="337">
        <f t="shared" si="508"/>
        <v>-40.613822549272463</v>
      </c>
      <c r="BC598" s="730">
        <f t="shared" si="509"/>
        <v>-89.997330674658855</v>
      </c>
      <c r="BD598" s="351"/>
      <c r="BE598" s="337">
        <f t="shared" si="470"/>
        <v>13.63847186308843</v>
      </c>
      <c r="BF598" s="730">
        <f t="shared" si="471"/>
        <v>-89.944519250215961</v>
      </c>
      <c r="BI598" s="351"/>
      <c r="BJ598" s="351"/>
      <c r="BL598" s="405">
        <f t="shared" si="472"/>
        <v>0</v>
      </c>
      <c r="BM598" s="405">
        <f t="shared" si="460"/>
        <v>0</v>
      </c>
      <c r="BN598" s="405">
        <f t="shared" si="473"/>
        <v>0</v>
      </c>
      <c r="BO598" s="405">
        <f t="shared" si="474"/>
        <v>0</v>
      </c>
    </row>
    <row r="599" spans="4:67" ht="13.5" thickBot="1" x14ac:dyDescent="0.25">
      <c r="D599" s="345">
        <v>275420</v>
      </c>
      <c r="E599" s="340" t="str">
        <f t="shared" si="461"/>
        <v>4.56855932888098i</v>
      </c>
      <c r="F599" s="728" t="str">
        <f t="shared" si="475"/>
        <v>0.005-0.00947315891270052i</v>
      </c>
      <c r="G599" s="337" t="str">
        <f t="shared" si="476"/>
        <v>0.005-0.014816992145506i</v>
      </c>
      <c r="H599" s="338" t="str">
        <f t="shared" si="477"/>
        <v>0.0051577499269781-0.0146937938091753i</v>
      </c>
      <c r="I599" s="338" t="str">
        <f t="shared" si="478"/>
        <v>0.0151577499269781-0.0146937938091753i</v>
      </c>
      <c r="J599" s="337" t="str">
        <f t="shared" si="479"/>
        <v>0.00400608888947183-0.00596523830820451i</v>
      </c>
      <c r="K599" s="338" t="str">
        <f t="shared" si="462"/>
        <v>0.157153595555555-1.44209574775283i</v>
      </c>
      <c r="L599" s="732"/>
      <c r="M599" s="732" t="str">
        <f t="shared" si="463"/>
        <v>0.00384881091030089-4.38346786593296i</v>
      </c>
      <c r="N599" s="337">
        <f t="shared" si="464"/>
        <v>0</v>
      </c>
      <c r="O599" s="730" t="str">
        <f t="shared" si="465"/>
        <v>-0.309086506171006-1.45966086568365i</v>
      </c>
      <c r="P599" s="731" t="str">
        <f t="shared" si="466"/>
        <v>-0.0261330117580213-0.017583520989354i</v>
      </c>
      <c r="Q599" s="729" t="str">
        <f t="shared" si="467"/>
        <v>-0.0230421466963113-0.00298691233251752i</v>
      </c>
      <c r="R599" s="730"/>
      <c r="S599" s="405" t="str">
        <f t="shared" si="480"/>
        <v>3.0498660501991-27.4714385955949i</v>
      </c>
      <c r="T599" s="405" t="str">
        <f t="shared" si="481"/>
        <v>-0.929700774338476-9.36201183547377i</v>
      </c>
      <c r="U599" s="405" t="str">
        <f t="shared" si="482"/>
        <v>-0.142358635650466-0.034626084378423i</v>
      </c>
      <c r="V599" s="731" t="str">
        <f t="shared" si="468"/>
        <v>6000</v>
      </c>
      <c r="W599" s="733" t="str">
        <f>IMSUM(COMPLEX(1,0),IMDIV(COMPLEX(0,2*PI()*D599),COMPLEX(2*PI()*'Stability Calculations'!EA_Pole1,0)))</f>
        <v>1+1747820.04627643i</v>
      </c>
      <c r="X599" s="734">
        <f t="shared" si="483"/>
        <v>1747820.0462767158</v>
      </c>
      <c r="Y599" s="735">
        <f t="shared" si="484"/>
        <v>1.5707957546536158</v>
      </c>
      <c r="Z599" s="340" t="str">
        <f>IMSUM(COMPLEX(1,0),IMDIV(COMPLEX(0,2*PI()*D599),COMPLEX(2*PI()*'Stability Calculations'!EA_Zero1,0)))</f>
        <v>1+17305.148973034i</v>
      </c>
      <c r="AA599" s="734">
        <f t="shared" si="485"/>
        <v>17305.149001927133</v>
      </c>
      <c r="AB599" s="735">
        <f t="shared" si="486"/>
        <v>1.5707385405255934</v>
      </c>
      <c r="AC599" s="733" t="str">
        <f>IMSUM(COMPLEX(1,0),IMDIV(COMPLEX(0,2*PI()*D599),COMPLEX(2*PI()*'Stability Calculations'!EA_Pole2,0)))</f>
        <v>1+174.322658961109i</v>
      </c>
      <c r="AD599" s="734">
        <f t="shared" si="487"/>
        <v>174.32552718196814</v>
      </c>
      <c r="AE599" s="735">
        <f t="shared" si="488"/>
        <v>1.5650599008071655</v>
      </c>
      <c r="AF599" s="732" t="str">
        <f t="shared" si="489"/>
        <v>0.00193532820335249-0.340770417465085i</v>
      </c>
      <c r="AG599" s="337">
        <f t="shared" si="490"/>
        <v>0.34077591304929844</v>
      </c>
      <c r="AH599" s="730">
        <f t="shared" si="491"/>
        <v>-1.5651171149351877</v>
      </c>
      <c r="AI599" s="731" t="str">
        <f t="shared" si="469"/>
        <v>10000</v>
      </c>
      <c r="AJ599" s="733" t="str">
        <f t="shared" si="492"/>
        <v>1+1629449.36627109i</v>
      </c>
      <c r="AK599" s="734">
        <f t="shared" si="493"/>
        <v>1629449.3662713969</v>
      </c>
      <c r="AL599" s="735">
        <f t="shared" si="494"/>
        <v>1.5707957130906474</v>
      </c>
      <c r="AM599" s="340" t="str">
        <f t="shared" si="495"/>
        <v>1+2765.36280589083i</v>
      </c>
      <c r="AN599" s="734">
        <f t="shared" si="496"/>
        <v>2765.3629866989259</v>
      </c>
      <c r="AO599" s="735">
        <f t="shared" si="497"/>
        <v>1.5704347106068575</v>
      </c>
      <c r="AP599" s="733" t="str">
        <f t="shared" si="498"/>
        <v>1+134.124654318294i</v>
      </c>
      <c r="AQ599" s="734">
        <f t="shared" si="499"/>
        <v>134.12838214189367</v>
      </c>
      <c r="AR599" s="735">
        <f t="shared" si="500"/>
        <v>1.5633407141314843</v>
      </c>
      <c r="AS599" s="732" t="str">
        <f t="shared" si="501"/>
        <v>0.000036107838682759-0.849798077399216i</v>
      </c>
      <c r="AT599" s="337">
        <f t="shared" si="502"/>
        <v>0.84979807816632524</v>
      </c>
      <c r="AU599" s="730">
        <f t="shared" si="503"/>
        <v>-1.5707538368909755</v>
      </c>
      <c r="AV599" s="732" t="str">
        <f t="shared" si="504"/>
        <v>0.000253715988977015+0.00271264779292187i</v>
      </c>
      <c r="AW599" s="337">
        <f t="shared" si="505"/>
        <v>-51.294304943710323</v>
      </c>
      <c r="AX599" s="730">
        <f t="shared" si="506"/>
        <v>84.656627728792742</v>
      </c>
      <c r="AY599" s="360">
        <f t="shared" si="507"/>
        <v>-95.343372271207258</v>
      </c>
      <c r="BB599" s="337">
        <f t="shared" si="508"/>
        <v>-41.413685108203893</v>
      </c>
      <c r="BC599" s="730">
        <f t="shared" si="509"/>
        <v>-89.9975655078334</v>
      </c>
      <c r="BD599" s="351"/>
      <c r="BE599" s="337">
        <f t="shared" si="470"/>
        <v>12.836359892159155</v>
      </c>
      <c r="BF599" s="730">
        <f t="shared" si="471"/>
        <v>-89.949692669963653</v>
      </c>
      <c r="BI599" s="351"/>
      <c r="BJ599" s="351"/>
      <c r="BL599" s="405">
        <f t="shared" si="472"/>
        <v>0</v>
      </c>
      <c r="BM599" s="405">
        <f t="shared" si="460"/>
        <v>0</v>
      </c>
      <c r="BN599" s="405">
        <f t="shared" si="473"/>
        <v>0</v>
      </c>
      <c r="BO599" s="405">
        <f t="shared" si="474"/>
        <v>0</v>
      </c>
    </row>
    <row r="600" spans="4:67" ht="13.5" thickBot="1" x14ac:dyDescent="0.25">
      <c r="D600" s="345">
        <v>302000</v>
      </c>
      <c r="E600" s="340" t="str">
        <f t="shared" si="461"/>
        <v>5.00945798170814i</v>
      </c>
      <c r="F600" s="728" t="str">
        <f t="shared" si="475"/>
        <v>0.005-0.00863939545607946i</v>
      </c>
      <c r="G600" s="337" t="str">
        <f t="shared" si="476"/>
        <v>0.005-0.0135129005851499i</v>
      </c>
      <c r="H600" s="338" t="str">
        <f t="shared" si="477"/>
        <v>0.00512776375346952-0.0134008770123664i</v>
      </c>
      <c r="I600" s="338" t="str">
        <f t="shared" si="478"/>
        <v>0.0151277637534695-0.0134008770123664i</v>
      </c>
      <c r="J600" s="337" t="str">
        <f t="shared" si="479"/>
        <v>0.00398415013500041-0.00545949193907117i</v>
      </c>
      <c r="K600" s="338" t="str">
        <f t="shared" si="462"/>
        <v>-0.0133777777777799-1.58126830230686i</v>
      </c>
      <c r="L600" s="732"/>
      <c r="M600" s="732" t="str">
        <f t="shared" si="463"/>
        <v>0.00318222641249496-3.99680123054058i</v>
      </c>
      <c r="N600" s="337">
        <f t="shared" si="464"/>
        <v>0</v>
      </c>
      <c r="O600" s="730" t="str">
        <f t="shared" si="465"/>
        <v>-0.284691129107963-1.30596568212746i</v>
      </c>
      <c r="P600" s="731" t="str">
        <f t="shared" si="466"/>
        <v>-0.021807825632415-0.0159412295016754i</v>
      </c>
      <c r="Q600" s="729" t="str">
        <f t="shared" si="467"/>
        <v>-0.0189609143413354-0.0028815726804008i</v>
      </c>
      <c r="R600" s="730"/>
      <c r="S600" s="405" t="str">
        <f t="shared" si="480"/>
        <v>-0.17452378860057-25.3502061812827i</v>
      </c>
      <c r="T600" s="405" t="str">
        <f t="shared" si="481"/>
        <v>-1.8692988083627-8.26932926976368i</v>
      </c>
      <c r="U600" s="405" t="str">
        <f t="shared" si="482"/>
        <v>-0.120401587192791-0.0173529234647675i</v>
      </c>
      <c r="V600" s="731" t="str">
        <f t="shared" si="468"/>
        <v>6000</v>
      </c>
      <c r="W600" s="733" t="str">
        <f>IMSUM(COMPLEX(1,0),IMDIV(COMPLEX(0,2*PI()*D600),COMPLEX(2*PI()*'Stability Calculations'!EA_Pole1,0)))</f>
        <v>1+1916497.18239592i</v>
      </c>
      <c r="X600" s="734">
        <f t="shared" si="483"/>
        <v>1916497.1823961807</v>
      </c>
      <c r="Y600" s="735">
        <f t="shared" si="484"/>
        <v>1.5707958050096265</v>
      </c>
      <c r="Z600" s="340" t="str">
        <f>IMSUM(COMPLEX(1,0),IMDIV(COMPLEX(0,2*PI()*D600),COMPLEX(2*PI()*'Stability Calculations'!EA_Zero1,0)))</f>
        <v>1+18975.2196276824i</v>
      </c>
      <c r="AA600" s="734">
        <f t="shared" si="485"/>
        <v>18975.219654032557</v>
      </c>
      <c r="AB600" s="735">
        <f t="shared" si="486"/>
        <v>1.5707436264826633</v>
      </c>
      <c r="AC600" s="733" t="str">
        <f>IMSUM(COMPLEX(1,0),IMDIV(COMPLEX(0,2*PI()*D600),COMPLEX(2*PI()*'Stability Calculations'!EA_Pole2,0)))</f>
        <v>1+191.14604243067i</v>
      </c>
      <c r="AD600" s="734">
        <f t="shared" si="487"/>
        <v>191.1486582137251</v>
      </c>
      <c r="AE600" s="735">
        <f t="shared" si="488"/>
        <v>1.5655647726166666</v>
      </c>
      <c r="AF600" s="732" t="str">
        <f t="shared" si="489"/>
        <v>0.00160965977945459-0.310779810978529i</v>
      </c>
      <c r="AG600" s="337">
        <f t="shared" si="490"/>
        <v>0.31078397950418196</v>
      </c>
      <c r="AH600" s="730">
        <f t="shared" si="491"/>
        <v>-1.5656169511436298</v>
      </c>
      <c r="AI600" s="731" t="str">
        <f t="shared" si="469"/>
        <v>10000</v>
      </c>
      <c r="AJ600" s="733" t="str">
        <f t="shared" si="492"/>
        <v>1+1786702.88509866i</v>
      </c>
      <c r="AK600" s="734">
        <f t="shared" si="493"/>
        <v>1786702.88509894</v>
      </c>
      <c r="AL600" s="735">
        <f t="shared" si="494"/>
        <v>1.5707957671047499</v>
      </c>
      <c r="AM600" s="340" t="str">
        <f t="shared" si="495"/>
        <v>1+3032.24009650365i</v>
      </c>
      <c r="AN600" s="734">
        <f t="shared" si="496"/>
        <v>3032.2402613982395</v>
      </c>
      <c r="AO600" s="735">
        <f t="shared" si="497"/>
        <v>1.5704665376186044</v>
      </c>
      <c r="AP600" s="733" t="str">
        <f t="shared" si="498"/>
        <v>1+147.068642815064i</v>
      </c>
      <c r="AQ600" s="734">
        <f t="shared" si="499"/>
        <v>147.07204254876206</v>
      </c>
      <c r="AR600" s="735">
        <f t="shared" si="500"/>
        <v>1.5639968855951178</v>
      </c>
      <c r="AS600" s="732" t="str">
        <f t="shared" si="501"/>
        <v>0.0000300316058656883-0.775004591219865i</v>
      </c>
      <c r="AT600" s="337">
        <f t="shared" si="502"/>
        <v>0.77500459180173076</v>
      </c>
      <c r="AU600" s="730">
        <f t="shared" si="503"/>
        <v>-1.5707575765652968</v>
      </c>
      <c r="AV600" s="732" t="str">
        <f t="shared" si="504"/>
        <v>0.00043983821709345+0.00199406473972817i</v>
      </c>
      <c r="AW600" s="337">
        <f t="shared" si="505"/>
        <v>-53.798897906449987</v>
      </c>
      <c r="AX600" s="730">
        <f t="shared" si="506"/>
        <v>77.561232715169325</v>
      </c>
      <c r="AY600" s="360">
        <f t="shared" si="507"/>
        <v>-102.43876728483067</v>
      </c>
      <c r="BB600" s="337">
        <f t="shared" si="508"/>
        <v>-42.21391448695131</v>
      </c>
      <c r="BC600" s="730">
        <f t="shared" si="509"/>
        <v>-89.997779775388764</v>
      </c>
      <c r="BD600" s="351"/>
      <c r="BE600" s="337">
        <f t="shared" si="470"/>
        <v>12.034253761199889</v>
      </c>
      <c r="BF600" s="730">
        <f t="shared" si="471"/>
        <v>-89.954381493137461</v>
      </c>
      <c r="BI600" s="351"/>
      <c r="BJ600" s="351"/>
      <c r="BL600" s="405">
        <f t="shared" si="472"/>
        <v>0</v>
      </c>
      <c r="BM600" s="405">
        <f t="shared" si="460"/>
        <v>0</v>
      </c>
      <c r="BN600" s="405">
        <f t="shared" si="473"/>
        <v>0</v>
      </c>
      <c r="BO600" s="405">
        <f t="shared" si="474"/>
        <v>0</v>
      </c>
    </row>
    <row r="601" spans="4:67" ht="13.5" thickBot="1" x14ac:dyDescent="0.25">
      <c r="D601" s="345">
        <v>331130</v>
      </c>
      <c r="E601" s="340" t="str">
        <f t="shared" si="461"/>
        <v>5.49265503802323i</v>
      </c>
      <c r="F601" s="728" t="str">
        <f t="shared" si="475"/>
        <v>0.005-0.00787937495163829i</v>
      </c>
      <c r="G601" s="337" t="str">
        <f t="shared" si="476"/>
        <v>0.005-0.012324150565383i</v>
      </c>
      <c r="H601" s="338" t="str">
        <f t="shared" si="477"/>
        <v>0.00510283381521109-0.0122222333661396i</v>
      </c>
      <c r="I601" s="338" t="str">
        <f t="shared" si="478"/>
        <v>0.0151028338152111-0.0122222333661396i</v>
      </c>
      <c r="J601" s="337" t="str">
        <f t="shared" si="479"/>
        <v>0.00396266020679301-0.00499711706533724i</v>
      </c>
      <c r="K601" s="338" t="str">
        <f t="shared" si="462"/>
        <v>-0.21830085444445-1.73379262563865i</v>
      </c>
      <c r="L601" s="732"/>
      <c r="M601" s="732" t="str">
        <f t="shared" si="463"/>
        <v>0.00263173732685225-3.64454014069233i</v>
      </c>
      <c r="N601" s="337">
        <f t="shared" si="464"/>
        <v>0</v>
      </c>
      <c r="O601" s="730" t="str">
        <f t="shared" si="465"/>
        <v>-0.260208397773098-1.16769827863291i</v>
      </c>
      <c r="P601" s="731" t="str">
        <f t="shared" si="466"/>
        <v>-0.0182017650515804-0.0144552252870888i</v>
      </c>
      <c r="Q601" s="729" t="str">
        <f t="shared" si="467"/>
        <v>-0.0155996810738494-0.00277824250075969i</v>
      </c>
      <c r="R601" s="730"/>
      <c r="S601" s="405" t="str">
        <f t="shared" si="480"/>
        <v>-2.83789754604818-22.7589980004318i</v>
      </c>
      <c r="T601" s="405" t="str">
        <f t="shared" si="481"/>
        <v>-2.53928958042191-7.08745528233728i</v>
      </c>
      <c r="U601" s="405" t="str">
        <f t="shared" si="482"/>
        <v>-0.0995821051703952-0.00513031664238375i</v>
      </c>
      <c r="V601" s="731" t="str">
        <f t="shared" si="468"/>
        <v>6000</v>
      </c>
      <c r="W601" s="733" t="str">
        <f>IMSUM(COMPLEX(1,0),IMDIV(COMPLEX(0,2*PI()*D601),COMPLEX(2*PI()*'Stability Calculations'!EA_Pole1,0)))</f>
        <v>1+2101356.66227404i</v>
      </c>
      <c r="X601" s="734">
        <f t="shared" si="483"/>
        <v>2101356.6622742778</v>
      </c>
      <c r="Y601" s="735">
        <f t="shared" si="484"/>
        <v>1.5707958509118549</v>
      </c>
      <c r="Z601" s="340" t="str">
        <f>IMSUM(COMPLEX(1,0),IMDIV(COMPLEX(0,2*PI()*D601),COMPLEX(2*PI()*'Stability Calculations'!EA_Zero1,0)))</f>
        <v>1+20805.5115076638i</v>
      </c>
      <c r="AA601" s="734">
        <f t="shared" si="485"/>
        <v>20805.511531695891</v>
      </c>
      <c r="AB601" s="735">
        <f t="shared" si="486"/>
        <v>1.5707482626077287</v>
      </c>
      <c r="AC601" s="733" t="str">
        <f>IMSUM(COMPLEX(1,0),IMDIV(COMPLEX(0,2*PI()*D601),COMPLEX(2*PI()*'Stability Calculations'!EA_Pole2,0)))</f>
        <v>1+209.58340738433i</v>
      </c>
      <c r="AD601" s="734">
        <f t="shared" si="487"/>
        <v>209.58579305579383</v>
      </c>
      <c r="AE601" s="735">
        <f t="shared" si="488"/>
        <v>1.5660249929191552</v>
      </c>
      <c r="AF601" s="732" t="str">
        <f t="shared" si="489"/>
        <v>0.00133891473001537-0.283441339283791i</v>
      </c>
      <c r="AG601" s="337">
        <f t="shared" si="490"/>
        <v>0.28344450163593471</v>
      </c>
      <c r="AH601" s="730">
        <f t="shared" si="491"/>
        <v>-1.5660725812232816</v>
      </c>
      <c r="AI601" s="731" t="str">
        <f t="shared" si="469"/>
        <v>10000</v>
      </c>
      <c r="AJ601" s="733" t="str">
        <f t="shared" si="492"/>
        <v>1+1959042.80245933i</v>
      </c>
      <c r="AK601" s="734">
        <f t="shared" si="493"/>
        <v>1959042.802459585</v>
      </c>
      <c r="AL601" s="735">
        <f t="shared" si="494"/>
        <v>1.5707958163415268</v>
      </c>
      <c r="AM601" s="340" t="str">
        <f t="shared" si="495"/>
        <v>1+3324.72073892467i</v>
      </c>
      <c r="AN601" s="734">
        <f t="shared" si="496"/>
        <v>3324.7208893132374</v>
      </c>
      <c r="AO601" s="735">
        <f t="shared" si="497"/>
        <v>1.5704955496625088</v>
      </c>
      <c r="AP601" s="733" t="str">
        <f t="shared" si="498"/>
        <v>1+161.254436077325i</v>
      </c>
      <c r="AQ601" s="734">
        <f t="shared" si="499"/>
        <v>161.25753673740678</v>
      </c>
      <c r="AR601" s="735">
        <f t="shared" si="500"/>
        <v>1.5645950265045951</v>
      </c>
      <c r="AS601" s="732" t="str">
        <f t="shared" si="501"/>
        <v>0.000024980169645234-0.706826281543543i</v>
      </c>
      <c r="AT601" s="337">
        <f t="shared" si="502"/>
        <v>0.706826281984959</v>
      </c>
      <c r="AU601" s="730">
        <f t="shared" si="503"/>
        <v>-1.57076098548079</v>
      </c>
      <c r="AV601" s="732" t="str">
        <f t="shared" si="504"/>
        <v>0.000501973199251628+0.00142234851305215i</v>
      </c>
      <c r="AW601" s="337">
        <f t="shared" si="505"/>
        <v>-56.43008598828456</v>
      </c>
      <c r="AX601" s="730">
        <f t="shared" si="506"/>
        <v>70.561117104780678</v>
      </c>
      <c r="AY601" s="360">
        <f t="shared" si="507"/>
        <v>-109.43888289521932</v>
      </c>
      <c r="BB601" s="337">
        <f t="shared" si="508"/>
        <v>-43.013746209088374</v>
      </c>
      <c r="BC601" s="730">
        <f t="shared" si="509"/>
        <v>-89.997975091859246</v>
      </c>
      <c r="BD601" s="351"/>
      <c r="BE601" s="337">
        <f t="shared" si="470"/>
        <v>11.232857022117184</v>
      </c>
      <c r="BF601" s="730">
        <f t="shared" si="471"/>
        <v>-89.958626490699459</v>
      </c>
      <c r="BI601" s="351"/>
      <c r="BJ601" s="351"/>
      <c r="BL601" s="405">
        <f t="shared" si="472"/>
        <v>0</v>
      </c>
      <c r="BM601" s="405">
        <f t="shared" si="460"/>
        <v>0</v>
      </c>
      <c r="BN601" s="405">
        <f t="shared" si="473"/>
        <v>0</v>
      </c>
      <c r="BO601" s="405">
        <f t="shared" si="474"/>
        <v>0</v>
      </c>
    </row>
    <row r="602" spans="4:67" ht="13.5" thickBot="1" x14ac:dyDescent="0.25">
      <c r="D602" s="345">
        <v>363080</v>
      </c>
      <c r="E602" s="340" t="str">
        <f t="shared" si="461"/>
        <v>6.02262915231322i</v>
      </c>
      <c r="F602" s="728" t="str">
        <f t="shared" si="475"/>
        <v>0.005-0.00718601252543787i</v>
      </c>
      <c r="G602" s="337" t="str">
        <f t="shared" si="476"/>
        <v>0.005-0.0112396606167105i</v>
      </c>
      <c r="H602" s="338" t="str">
        <f t="shared" si="477"/>
        <v>0.00508209064371432-0.0111469026818055i</v>
      </c>
      <c r="I602" s="338" t="str">
        <f t="shared" si="478"/>
        <v>0.0150820906437143-0.0111469026818055i</v>
      </c>
      <c r="J602" s="337" t="str">
        <f t="shared" si="479"/>
        <v>0.00394176639070184-0.00457375371452169i</v>
      </c>
      <c r="K602" s="338" t="str">
        <f t="shared" si="462"/>
        <v>-0.46474540444445-1.9010824344423i</v>
      </c>
      <c r="L602" s="732"/>
      <c r="M602" s="732" t="str">
        <f t="shared" si="463"/>
        <v>0.00217674887652386-3.32333122497035i</v>
      </c>
      <c r="N602" s="337">
        <f t="shared" si="464"/>
        <v>0</v>
      </c>
      <c r="O602" s="730" t="str">
        <f t="shared" si="465"/>
        <v>-0.235943509247369-1.04360800825459i</v>
      </c>
      <c r="P602" s="731" t="str">
        <f t="shared" si="466"/>
        <v>-0.0151915182992316-0.0131097512410177i</v>
      </c>
      <c r="Q602" s="729" t="str">
        <f t="shared" si="467"/>
        <v>-0.0128320832067579-0.00267367115847186i</v>
      </c>
      <c r="R602" s="730"/>
      <c r="S602" s="405" t="str">
        <f t="shared" si="480"/>
        <v>-4.84441226196814-19.892918089514i</v>
      </c>
      <c r="T602" s="405" t="str">
        <f t="shared" si="481"/>
        <v>-2.93744941102501-5.90100883095372i</v>
      </c>
      <c r="U602" s="405" t="str">
        <f t="shared" si="482"/>
        <v>-0.0807063553312698+0.00275400094915729i</v>
      </c>
      <c r="V602" s="731" t="str">
        <f t="shared" si="468"/>
        <v>6000</v>
      </c>
      <c r="W602" s="733" t="str">
        <f>IMSUM(COMPLEX(1,0),IMDIV(COMPLEX(0,2*PI()*D602),COMPLEX(2*PI()*'Stability Calculations'!EA_Pole1,0)))</f>
        <v>1+2304111.91054407i</v>
      </c>
      <c r="X602" s="734">
        <f t="shared" si="483"/>
        <v>2304111.9105442869</v>
      </c>
      <c r="Y602" s="735">
        <f t="shared" si="484"/>
        <v>1.5707958927881995</v>
      </c>
      <c r="Z602" s="340" t="str">
        <f>IMSUM(COMPLEX(1,0),IMDIV(COMPLEX(0,2*PI()*D602),COMPLEX(2*PI()*'Stability Calculations'!EA_Zero1,0)))</f>
        <v>1+22812.9892133076i</v>
      </c>
      <c r="AA602" s="734">
        <f t="shared" si="485"/>
        <v>22812.989235224934</v>
      </c>
      <c r="AB602" s="735">
        <f t="shared" si="486"/>
        <v>1.5707524921185194</v>
      </c>
      <c r="AC602" s="733" t="str">
        <f>IMSUM(COMPLEX(1,0),IMDIV(COMPLEX(0,2*PI()*D602),COMPLEX(2*PI()*'Stability Calculations'!EA_Pole2,0)))</f>
        <v>1+229.80564597923i</v>
      </c>
      <c r="AD602" s="734">
        <f t="shared" si="487"/>
        <v>229.80782172052193</v>
      </c>
      <c r="AE602" s="735">
        <f t="shared" si="488"/>
        <v>1.5664448510774458</v>
      </c>
      <c r="AF602" s="732" t="str">
        <f t="shared" si="489"/>
        <v>0.00111364555415009-0.258500293569781i</v>
      </c>
      <c r="AG602" s="337">
        <f t="shared" si="490"/>
        <v>0.25850269240780305</v>
      </c>
      <c r="AH602" s="730">
        <f t="shared" si="491"/>
        <v>-1.5664882517471259</v>
      </c>
      <c r="AI602" s="731" t="str">
        <f t="shared" si="469"/>
        <v>10000</v>
      </c>
      <c r="AJ602" s="733" t="str">
        <f t="shared" si="492"/>
        <v>1+2148066.50172721i</v>
      </c>
      <c r="AK602" s="734">
        <f t="shared" si="493"/>
        <v>2148066.5017274427</v>
      </c>
      <c r="AL602" s="735">
        <f t="shared" si="494"/>
        <v>1.5707958612599613</v>
      </c>
      <c r="AM602" s="340" t="str">
        <f t="shared" si="495"/>
        <v>1+3645.51567628655i</v>
      </c>
      <c r="AN602" s="734">
        <f t="shared" si="496"/>
        <v>3645.515813441355</v>
      </c>
      <c r="AO602" s="735">
        <f t="shared" si="497"/>
        <v>1.5705220171872263</v>
      </c>
      <c r="AP602" s="733" t="str">
        <f t="shared" si="498"/>
        <v>1+176.81351931554i</v>
      </c>
      <c r="AQ602" s="734">
        <f t="shared" si="499"/>
        <v>176.81634713099021</v>
      </c>
      <c r="AR602" s="735">
        <f t="shared" si="500"/>
        <v>1.5651407109695259</v>
      </c>
      <c r="AS602" s="732" t="str">
        <f t="shared" si="501"/>
        <v>0.0000207772367382127-0.644627593524014i</v>
      </c>
      <c r="AT602" s="337">
        <f t="shared" si="502"/>
        <v>0.64462759385885349</v>
      </c>
      <c r="AU602" s="730">
        <f t="shared" si="503"/>
        <v>-1.570764095415198</v>
      </c>
      <c r="AV602" s="732" t="str">
        <f t="shared" si="504"/>
        <v>0.000485218042848416+0.000985447394777161i</v>
      </c>
      <c r="AW602" s="337">
        <f t="shared" si="505"/>
        <v>-59.184571535468621</v>
      </c>
      <c r="AX602" s="730">
        <f t="shared" si="506"/>
        <v>63.785125710106605</v>
      </c>
      <c r="AY602" s="360">
        <f t="shared" si="507"/>
        <v>-116.2148742898934</v>
      </c>
      <c r="BB602" s="337">
        <f t="shared" si="508"/>
        <v>-43.813822161266096</v>
      </c>
      <c r="BC602" s="730">
        <f t="shared" si="509"/>
        <v>-89.998153277975391</v>
      </c>
      <c r="BD602" s="351"/>
      <c r="BE602" s="337">
        <f t="shared" si="470"/>
        <v>10.431474424579239</v>
      </c>
      <c r="BF602" s="730">
        <f t="shared" si="471"/>
        <v>-89.962471840028371</v>
      </c>
      <c r="BI602" s="351"/>
      <c r="BJ602" s="351"/>
      <c r="BL602" s="405">
        <f t="shared" si="472"/>
        <v>0</v>
      </c>
      <c r="BM602" s="405">
        <f t="shared" ref="BM602:BM613" si="510">IF(BL602&gt;0,AY602,0)</f>
        <v>0</v>
      </c>
      <c r="BN602" s="405">
        <f t="shared" si="473"/>
        <v>0</v>
      </c>
      <c r="BO602" s="405">
        <f t="shared" si="474"/>
        <v>0</v>
      </c>
    </row>
    <row r="603" spans="4:67" ht="13.5" thickBot="1" x14ac:dyDescent="0.25">
      <c r="D603" s="345">
        <v>398110</v>
      </c>
      <c r="E603" s="340" t="str">
        <f t="shared" si="461"/>
        <v>6.60369310297294i</v>
      </c>
      <c r="F603" s="728" t="str">
        <f t="shared" si="475"/>
        <v>0.005-0.00655370984837354i</v>
      </c>
      <c r="G603" s="337" t="str">
        <f t="shared" si="476"/>
        <v>0.005-0.0102506743782253i</v>
      </c>
      <c r="H603" s="338" t="str">
        <f t="shared" si="477"/>
        <v>0.00506483817906411-0.0101662230449294i</v>
      </c>
      <c r="I603" s="338" t="str">
        <f t="shared" si="478"/>
        <v>0.0150648381790641-0.0101662230449294i</v>
      </c>
      <c r="J603" s="337" t="str">
        <f t="shared" si="479"/>
        <v>0.00392166602056647-0.00418601436600439i</v>
      </c>
      <c r="K603" s="338" t="str">
        <f t="shared" si="462"/>
        <v>-0.76101746777777-2.08449908553439i</v>
      </c>
      <c r="L603" s="732"/>
      <c r="M603" s="732" t="str">
        <f t="shared" si="463"/>
        <v>0.00180084961846584-3.03052829084709i</v>
      </c>
      <c r="N603" s="337">
        <f t="shared" si="464"/>
        <v>0</v>
      </c>
      <c r="O603" s="730" t="str">
        <f t="shared" si="465"/>
        <v>-0.212243423776346-0.932633462363348i</v>
      </c>
      <c r="P603" s="731" t="str">
        <f t="shared" si="466"/>
        <v>-0.0126787726313118-0.0118922582049543i</v>
      </c>
      <c r="Q603" s="729" t="str">
        <f t="shared" si="467"/>
        <v>-0.0105563383935483-0.0025659235813208i</v>
      </c>
      <c r="R603" s="730"/>
      <c r="S603" s="405" t="str">
        <f t="shared" si="480"/>
        <v>-6.18018035889837-16.9618210381499i</v>
      </c>
      <c r="T603" s="405" t="str">
        <f t="shared" si="481"/>
        <v>-3.0926936247246-4.78526790577549i</v>
      </c>
      <c r="U603" s="405" t="str">
        <f t="shared" si="482"/>
        <v>-0.064312093606509+0.00720440561235977i</v>
      </c>
      <c r="V603" s="731" t="str">
        <f t="shared" si="468"/>
        <v>6000</v>
      </c>
      <c r="W603" s="733" t="str">
        <f>IMSUM(COMPLEX(1,0),IMDIV(COMPLEX(0,2*PI()*D603),COMPLEX(2*PI()*'Stability Calculations'!EA_Pole1,0)))</f>
        <v>1+2526412.89166768i</v>
      </c>
      <c r="X603" s="734">
        <f t="shared" si="483"/>
        <v>2526412.8916678778</v>
      </c>
      <c r="Y603" s="735">
        <f t="shared" si="484"/>
        <v>1.5707959309767772</v>
      </c>
      <c r="Z603" s="340" t="str">
        <f>IMSUM(COMPLEX(1,0),IMDIV(COMPLEX(0,2*PI()*D603),COMPLEX(2*PI()*'Stability Calculations'!EA_Zero1,0)))</f>
        <v>1+25013.9890264127i</v>
      </c>
      <c r="AA603" s="734">
        <f t="shared" si="485"/>
        <v>25013.989046401515</v>
      </c>
      <c r="AB603" s="735">
        <f t="shared" si="486"/>
        <v>1.5707563491648429</v>
      </c>
      <c r="AC603" s="733" t="str">
        <f>IMSUM(COMPLEX(1,0),IMDIV(COMPLEX(0,2*PI()*D603),COMPLEX(2*PI()*'Stability Calculations'!EA_Pole2,0)))</f>
        <v>1+251.977321033358i</v>
      </c>
      <c r="AD603" s="734">
        <f t="shared" si="487"/>
        <v>251.97930533110843</v>
      </c>
      <c r="AE603" s="735">
        <f t="shared" si="488"/>
        <v>1.5668277365027603</v>
      </c>
      <c r="AF603" s="732" t="str">
        <f t="shared" si="489"/>
        <v>0.00092628973529646-0.235755400770336i</v>
      </c>
      <c r="AG603" s="337">
        <f t="shared" si="490"/>
        <v>0.23575722047278944</v>
      </c>
      <c r="AH603" s="730">
        <f t="shared" si="491"/>
        <v>-1.5668673183146944</v>
      </c>
      <c r="AI603" s="731" t="str">
        <f t="shared" si="469"/>
        <v>10000</v>
      </c>
      <c r="AJ603" s="733" t="str">
        <f t="shared" si="492"/>
        <v>1+2355312.20392922i</v>
      </c>
      <c r="AK603" s="734">
        <f t="shared" si="493"/>
        <v>2355312.2039294322</v>
      </c>
      <c r="AL603" s="735">
        <f t="shared" si="494"/>
        <v>1.5707959022227322</v>
      </c>
      <c r="AM603" s="340" t="str">
        <f t="shared" si="495"/>
        <v>1+3997.23544642075i</v>
      </c>
      <c r="AN603" s="734">
        <f t="shared" si="496"/>
        <v>3997.2355715071999</v>
      </c>
      <c r="AO603" s="735">
        <f t="shared" si="497"/>
        <v>1.5705461538960164</v>
      </c>
      <c r="AP603" s="733" t="str">
        <f t="shared" si="498"/>
        <v>1+193.872507917567i</v>
      </c>
      <c r="AQ603" s="734">
        <f t="shared" si="499"/>
        <v>193.87508691486661</v>
      </c>
      <c r="AR603" s="735">
        <f t="shared" si="500"/>
        <v>1.5656383436313115</v>
      </c>
      <c r="AS603" s="732" t="str">
        <f t="shared" si="501"/>
        <v>0.0000172816923122712-0.587906324125508i</v>
      </c>
      <c r="AT603" s="337">
        <f t="shared" si="502"/>
        <v>0.5879063243795084</v>
      </c>
      <c r="AU603" s="730">
        <f t="shared" si="503"/>
        <v>-1.5707669314786734</v>
      </c>
      <c r="AV603" s="732" t="str">
        <f t="shared" si="504"/>
        <v>0.000426028336529382+0.000664944854928196i</v>
      </c>
      <c r="AW603" s="337">
        <f t="shared" si="505"/>
        <v>-62.05057817324564</v>
      </c>
      <c r="AX603" s="730">
        <f t="shared" si="506"/>
        <v>57.352425103317501</v>
      </c>
      <c r="AY603" s="360">
        <f t="shared" si="507"/>
        <v>-122.6475748966825</v>
      </c>
      <c r="BB603" s="337">
        <f t="shared" si="508"/>
        <v>-44.613837357594512</v>
      </c>
      <c r="BC603" s="730">
        <f t="shared" si="509"/>
        <v>-89.998315772442965</v>
      </c>
      <c r="BD603" s="351"/>
      <c r="BE603" s="337">
        <f t="shared" si="470"/>
        <v>9.6303683861253599</v>
      </c>
      <c r="BF603" s="730">
        <f t="shared" si="471"/>
        <v>-89.965952777658444</v>
      </c>
      <c r="BI603" s="351"/>
      <c r="BJ603" s="351"/>
      <c r="BL603" s="405">
        <f t="shared" si="472"/>
        <v>0</v>
      </c>
      <c r="BM603" s="405">
        <f t="shared" si="510"/>
        <v>0</v>
      </c>
      <c r="BN603" s="405">
        <f t="shared" si="473"/>
        <v>0</v>
      </c>
      <c r="BO603" s="405">
        <f t="shared" si="474"/>
        <v>0</v>
      </c>
    </row>
    <row r="604" spans="4:67" ht="13.5" thickBot="1" x14ac:dyDescent="0.25">
      <c r="D604" s="345">
        <v>436520</v>
      </c>
      <c r="E604" s="340" t="str">
        <f t="shared" si="461"/>
        <v>7.24082317276569i</v>
      </c>
      <c r="F604" s="728" t="str">
        <f t="shared" si="475"/>
        <v>0.005-0.00597703983262162i</v>
      </c>
      <c r="G604" s="337" t="str">
        <f t="shared" si="476"/>
        <v>0.005-0.00934870332794666i</v>
      </c>
      <c r="H604" s="338" t="str">
        <f t="shared" si="477"/>
        <v>0.00505048778188542-0.0092717927997824i</v>
      </c>
      <c r="I604" s="338" t="str">
        <f t="shared" si="478"/>
        <v>0.0150504877818854-0.0092717927997824i</v>
      </c>
      <c r="J604" s="337" t="str">
        <f t="shared" si="479"/>
        <v>0.00390254769487331-0.00383068148605943i</v>
      </c>
      <c r="K604" s="338" t="str">
        <f t="shared" si="462"/>
        <v>-1.11721900444445-2.28561337524169i</v>
      </c>
      <c r="L604" s="732"/>
      <c r="M604" s="732" t="str">
        <f t="shared" si="463"/>
        <v>0.00149025931397808-2.76357813114928i</v>
      </c>
      <c r="N604" s="337">
        <f t="shared" si="464"/>
        <v>0</v>
      </c>
      <c r="O604" s="730" t="str">
        <f t="shared" si="465"/>
        <v>-0.189429605883704-0.833664424157869i</v>
      </c>
      <c r="P604" s="731" t="str">
        <f t="shared" si="466"/>
        <v>-0.0105805717742217-0.0107907041740824i</v>
      </c>
      <c r="Q604" s="729" t="str">
        <f t="shared" si="467"/>
        <v>-0.0086862757153847-0.00245405993250374i</v>
      </c>
      <c r="R604" s="730"/>
      <c r="S604" s="405" t="str">
        <f t="shared" si="480"/>
        <v>-6.90715113006686-14.1469373493241i</v>
      </c>
      <c r="T604" s="405" t="str">
        <f t="shared" si="481"/>
        <v>-3.05536746928584-3.79248411854621i</v>
      </c>
      <c r="U604" s="405" t="str">
        <f t="shared" si="482"/>
        <v>-0.0505942230164243+0.00917483939870154i</v>
      </c>
      <c r="V604" s="731" t="str">
        <f t="shared" si="468"/>
        <v>6000</v>
      </c>
      <c r="W604" s="733" t="str">
        <f>IMSUM(COMPLEX(1,0),IMDIV(COMPLEX(0,2*PI()*D604),COMPLEX(2*PI()*'Stability Calculations'!EA_Pole1,0)))</f>
        <v>1+2770163.41079293i</v>
      </c>
      <c r="X604" s="734">
        <f t="shared" si="483"/>
        <v>2770163.4107931107</v>
      </c>
      <c r="Y604" s="735">
        <f t="shared" si="484"/>
        <v>1.5707959658053621</v>
      </c>
      <c r="Z604" s="340" t="str">
        <f>IMSUM(COMPLEX(1,0),IMDIV(COMPLEX(0,2*PI()*D604),COMPLEX(2*PI()*'Stability Calculations'!EA_Zero1,0)))</f>
        <v>1+27427.3605029003i</v>
      </c>
      <c r="AA604" s="734">
        <f t="shared" si="485"/>
        <v>27427.360521130271</v>
      </c>
      <c r="AB604" s="735">
        <f t="shared" si="486"/>
        <v>1.5707598668519338</v>
      </c>
      <c r="AC604" s="733" t="str">
        <f>IMSUM(COMPLEX(1,0),IMDIV(COMPLEX(0,2*PI()*D604),COMPLEX(2*PI()*'Stability Calculations'!EA_Pole2,0)))</f>
        <v>1+276.288312721311i</v>
      </c>
      <c r="AD604" s="734">
        <f t="shared" si="487"/>
        <v>276.29012241915007</v>
      </c>
      <c r="AE604" s="735">
        <f t="shared" si="488"/>
        <v>1.5671769350678952</v>
      </c>
      <c r="AF604" s="732" t="str">
        <f t="shared" si="489"/>
        <v>0.000770452524241494-0.215011520238392i</v>
      </c>
      <c r="AG604" s="337">
        <f t="shared" si="490"/>
        <v>0.21501290061835027</v>
      </c>
      <c r="AH604" s="730">
        <f t="shared" si="491"/>
        <v>-1.5672130340213235</v>
      </c>
      <c r="AI604" s="731" t="str">
        <f t="shared" si="469"/>
        <v>10000</v>
      </c>
      <c r="AJ604" s="733" t="str">
        <f t="shared" si="492"/>
        <v>1+2582554.779481i</v>
      </c>
      <c r="AK604" s="734">
        <f t="shared" si="493"/>
        <v>2582554.7794811935</v>
      </c>
      <c r="AL604" s="735">
        <f t="shared" si="494"/>
        <v>1.5707959395814257</v>
      </c>
      <c r="AM604" s="340" t="str">
        <f t="shared" si="495"/>
        <v>1+4382.89220836347i</v>
      </c>
      <c r="AN604" s="734">
        <f t="shared" si="496"/>
        <v>4382.8923224433902</v>
      </c>
      <c r="AO604" s="735">
        <f t="shared" si="497"/>
        <v>1.5705681669554328</v>
      </c>
      <c r="AP604" s="733" t="str">
        <f t="shared" si="498"/>
        <v>1+212.577496561694i</v>
      </c>
      <c r="AQ604" s="734">
        <f t="shared" si="499"/>
        <v>212.57984863207761</v>
      </c>
      <c r="AR604" s="735">
        <f t="shared" si="500"/>
        <v>1.5660921947024733</v>
      </c>
      <c r="AS604" s="732" t="str">
        <f t="shared" si="501"/>
        <v>0.0000143742154095582-0.536175631658644i</v>
      </c>
      <c r="AT604" s="337">
        <f t="shared" si="502"/>
        <v>0.53617563185132167</v>
      </c>
      <c r="AU604" s="730">
        <f t="shared" si="503"/>
        <v>-1.5707695180133008</v>
      </c>
      <c r="AV604" s="732" t="str">
        <f t="shared" si="504"/>
        <v>0.000350656370832997+0.000438484069541478i</v>
      </c>
      <c r="AW604" s="337">
        <f t="shared" si="505"/>
        <v>-65.013749797110719</v>
      </c>
      <c r="AX604" s="730">
        <f t="shared" si="506"/>
        <v>51.350621580358002</v>
      </c>
      <c r="AY604" s="360">
        <f t="shared" si="507"/>
        <v>-128.64937841964201</v>
      </c>
      <c r="BB604" s="337">
        <f t="shared" si="508"/>
        <v>-45.413858555029549</v>
      </c>
      <c r="BC604" s="730">
        <f t="shared" si="509"/>
        <v>-89.998463969960667</v>
      </c>
      <c r="BD604" s="351"/>
      <c r="BE604" s="337">
        <f t="shared" si="470"/>
        <v>8.8294362098863779</v>
      </c>
      <c r="BF604" s="730">
        <f t="shared" si="471"/>
        <v>-89.969103257898837</v>
      </c>
      <c r="BI604" s="351"/>
      <c r="BJ604" s="351"/>
      <c r="BL604" s="405">
        <f t="shared" si="472"/>
        <v>0</v>
      </c>
      <c r="BM604" s="405">
        <f t="shared" si="510"/>
        <v>0</v>
      </c>
      <c r="BN604" s="405">
        <f t="shared" si="473"/>
        <v>0</v>
      </c>
      <c r="BO604" s="405">
        <f t="shared" si="474"/>
        <v>0</v>
      </c>
    </row>
    <row r="605" spans="4:67" ht="13.5" thickBot="1" x14ac:dyDescent="0.25">
      <c r="D605" s="345">
        <v>478630</v>
      </c>
      <c r="E605" s="340" t="str">
        <f t="shared" si="461"/>
        <v>7.93932739663897i</v>
      </c>
      <c r="F605" s="728" t="str">
        <f t="shared" si="475"/>
        <v>0.005-0.00545117821226416i</v>
      </c>
      <c r="G605" s="337" t="str">
        <f t="shared" si="476"/>
        <v>0.005-0.0085262018191824i</v>
      </c>
      <c r="H605" s="338" t="str">
        <f t="shared" si="477"/>
        <v>0.00503855287840367-0.00845614119614246i</v>
      </c>
      <c r="I605" s="338" t="str">
        <f t="shared" si="478"/>
        <v>0.0150385528784037-0.00845614119614246i</v>
      </c>
      <c r="J605" s="337" t="str">
        <f t="shared" si="479"/>
        <v>0.00388458502503174-0.00350496233382769i</v>
      </c>
      <c r="K605" s="338" t="str">
        <f t="shared" si="462"/>
        <v>-1.5454075211111-2.50610081964614i</v>
      </c>
      <c r="L605" s="732"/>
      <c r="M605" s="732" t="str">
        <f t="shared" si="463"/>
        <v>0.00123364624053971-2.52021707559129i</v>
      </c>
      <c r="N605" s="337">
        <f t="shared" si="464"/>
        <v>0</v>
      </c>
      <c r="O605" s="730" t="str">
        <f t="shared" si="465"/>
        <v>-0.167790655496713-0.745629114730441i</v>
      </c>
      <c r="P605" s="731" t="str">
        <f t="shared" si="466"/>
        <v>-0.00882847371930467-0.00979432139527759i</v>
      </c>
      <c r="Q605" s="729" t="str">
        <f t="shared" si="467"/>
        <v>-0.00715056716433753-0.00233803024797314i</v>
      </c>
      <c r="R605" s="730"/>
      <c r="S605" s="405" t="str">
        <f t="shared" si="480"/>
        <v>-7.13491561659679-11.5784509065641i</v>
      </c>
      <c r="T605" s="405" t="str">
        <f t="shared" si="481"/>
        <v>-2.88324167061094-2.94915112786364i</v>
      </c>
      <c r="U605" s="405" t="str">
        <f t="shared" si="482"/>
        <v>-0.0394658039645679+0.00952164476514303i</v>
      </c>
      <c r="V605" s="731" t="str">
        <f t="shared" si="468"/>
        <v>6000</v>
      </c>
      <c r="W605" s="733" t="str">
        <f>IMSUM(COMPLEX(1,0),IMDIV(COMPLEX(0,2*PI()*D605),COMPLEX(2*PI()*'Stability Calculations'!EA_Pole1,0)))</f>
        <v>1+3037394.19341112i</v>
      </c>
      <c r="X605" s="734">
        <f t="shared" si="483"/>
        <v>3037394.1934112846</v>
      </c>
      <c r="Y605" s="735">
        <f t="shared" si="484"/>
        <v>1.5707959975653214</v>
      </c>
      <c r="Z605" s="340" t="str">
        <f>IMSUM(COMPLEX(1,0),IMDIV(COMPLEX(0,2*PI()*D605),COMPLEX(2*PI()*'Stability Calculations'!EA_Zero1,0)))</f>
        <v>1+30073.2098357537i</v>
      </c>
      <c r="AA605" s="734">
        <f t="shared" si="485"/>
        <v>30073.209852379794</v>
      </c>
      <c r="AB605" s="735">
        <f t="shared" si="486"/>
        <v>1.5707630746078141</v>
      </c>
      <c r="AC605" s="733" t="str">
        <f>IMSUM(COMPLEX(1,0),IMDIV(COMPLEX(0,2*PI()*D605),COMPLEX(2*PI()*'Stability Calculations'!EA_Pole2,0)))</f>
        <v>1+302.941159895999i</v>
      </c>
      <c r="AD605" s="734">
        <f t="shared" si="487"/>
        <v>302.94281037703013</v>
      </c>
      <c r="AE605" s="735">
        <f t="shared" si="488"/>
        <v>1.5674953677300063</v>
      </c>
      <c r="AF605" s="732" t="str">
        <f t="shared" si="489"/>
        <v>0.000640848393621996-0.196095174939925i</v>
      </c>
      <c r="AG605" s="337">
        <f t="shared" si="490"/>
        <v>0.19609622209870184</v>
      </c>
      <c r="AH605" s="730">
        <f t="shared" si="491"/>
        <v>-1.5675282906875136</v>
      </c>
      <c r="AI605" s="731" t="str">
        <f t="shared" si="469"/>
        <v>10000</v>
      </c>
      <c r="AJ605" s="733" t="str">
        <f t="shared" si="492"/>
        <v>1+2831687.42349261i</v>
      </c>
      <c r="AK605" s="734">
        <f t="shared" si="493"/>
        <v>2831687.4234927865</v>
      </c>
      <c r="AL605" s="735">
        <f t="shared" si="494"/>
        <v>1.5707959736485742</v>
      </c>
      <c r="AM605" s="340" t="str">
        <f t="shared" si="495"/>
        <v>1+4805.69893175344i</v>
      </c>
      <c r="AN605" s="734">
        <f t="shared" si="496"/>
        <v>4805.6990357965778</v>
      </c>
      <c r="AO605" s="735">
        <f t="shared" si="497"/>
        <v>1.570588240520711</v>
      </c>
      <c r="AP605" s="733" t="str">
        <f t="shared" si="498"/>
        <v>1+233.084319571437i</v>
      </c>
      <c r="AQ605" s="734">
        <f t="shared" si="499"/>
        <v>233.08646470801293</v>
      </c>
      <c r="AR605" s="735">
        <f t="shared" si="500"/>
        <v>1.5665060602236889</v>
      </c>
      <c r="AS605" s="732" t="str">
        <f t="shared" si="501"/>
        <v>0.0000119561845364115-0.489002751101953i</v>
      </c>
      <c r="AT605" s="337">
        <f t="shared" si="502"/>
        <v>0.48900275124811809</v>
      </c>
      <c r="AU605" s="730">
        <f t="shared" si="503"/>
        <v>-1.5707718766573318</v>
      </c>
      <c r="AV605" s="732" t="str">
        <f t="shared" si="504"/>
        <v>0.000275546026204721+0.000283707564662106i</v>
      </c>
      <c r="AW605" s="337">
        <f t="shared" si="505"/>
        <v>-68.057199494886746</v>
      </c>
      <c r="AX605" s="730">
        <f t="shared" si="506"/>
        <v>45.836093898613505</v>
      </c>
      <c r="AY605" s="360">
        <f t="shared" si="507"/>
        <v>-134.16390610138649</v>
      </c>
      <c r="BB605" s="337">
        <f t="shared" si="508"/>
        <v>-46.213773948467683</v>
      </c>
      <c r="BC605" s="730">
        <f t="shared" si="509"/>
        <v>-89.998599110309016</v>
      </c>
      <c r="BD605" s="351"/>
      <c r="BE605" s="337">
        <f t="shared" si="470"/>
        <v>8.0287600361751483</v>
      </c>
      <c r="BF605" s="730">
        <f t="shared" si="471"/>
        <v>-89.971953718576771</v>
      </c>
      <c r="BI605" s="351"/>
      <c r="BJ605" s="351"/>
      <c r="BL605" s="405">
        <f t="shared" si="472"/>
        <v>0</v>
      </c>
      <c r="BM605" s="405">
        <f t="shared" si="510"/>
        <v>0</v>
      </c>
      <c r="BN605" s="405">
        <f t="shared" si="473"/>
        <v>0</v>
      </c>
      <c r="BO605" s="405">
        <f t="shared" si="474"/>
        <v>0</v>
      </c>
    </row>
    <row r="606" spans="4:67" ht="13.5" thickBot="1" x14ac:dyDescent="0.25">
      <c r="D606" s="345">
        <v>524810</v>
      </c>
      <c r="E606" s="340" t="str">
        <f t="shared" si="461"/>
        <v>8.70534319000082i</v>
      </c>
      <c r="F606" s="728" t="str">
        <f t="shared" si="475"/>
        <v>0.005-0.00497150859879955i</v>
      </c>
      <c r="G606" s="337" t="str">
        <f t="shared" si="476"/>
        <v>0.005-0.0077759493468403i</v>
      </c>
      <c r="H606" s="338" t="str">
        <f t="shared" si="477"/>
        <v>0.0050286240352538-0.0077121168181773i</v>
      </c>
      <c r="I606" s="338" t="str">
        <f t="shared" si="478"/>
        <v>0.0150286240352538-0.0077121168181773i</v>
      </c>
      <c r="J606" s="337" t="str">
        <f t="shared" si="479"/>
        <v>0.0038679094103172-0.00320623141609635i</v>
      </c>
      <c r="K606" s="338" t="str">
        <f t="shared" si="462"/>
        <v>-2.06028373444446-2.74789873421743i</v>
      </c>
      <c r="L606" s="732"/>
      <c r="M606" s="732" t="str">
        <f t="shared" si="463"/>
        <v>0.00102153764490847-2.29828559857987i</v>
      </c>
      <c r="N606" s="337">
        <f t="shared" si="464"/>
        <v>0</v>
      </c>
      <c r="O606" s="730" t="str">
        <f t="shared" si="465"/>
        <v>-0.147550418478503-0.667443793974793i</v>
      </c>
      <c r="P606" s="731" t="str">
        <f t="shared" si="466"/>
        <v>-0.00736488427425886-0.00889283578043342i</v>
      </c>
      <c r="Q606" s="729" t="str">
        <f t="shared" si="467"/>
        <v>-0.00588938008947382-0.00221839784068547i</v>
      </c>
      <c r="R606" s="730"/>
      <c r="S606" s="405" t="str">
        <f t="shared" si="480"/>
        <v>-6.99081845525493-9.32817583028396i</v>
      </c>
      <c r="T606" s="405" t="str">
        <f t="shared" si="481"/>
        <v>-2.6300744810692-2.25900913340158i</v>
      </c>
      <c r="U606" s="405" t="str">
        <f t="shared" si="482"/>
        <v>-0.0306473980801348+0.00892373401443166i</v>
      </c>
      <c r="V606" s="731" t="str">
        <f t="shared" si="468"/>
        <v>6000</v>
      </c>
      <c r="W606" s="733" t="str">
        <f>IMSUM(COMPLEX(1,0),IMDIV(COMPLEX(0,2*PI()*D606),COMPLEX(2*PI()*'Stability Calculations'!EA_Pole1,0)))</f>
        <v>1+3330453.26587153i</v>
      </c>
      <c r="X606" s="734">
        <f t="shared" si="483"/>
        <v>3330453.2658716799</v>
      </c>
      <c r="Y606" s="735">
        <f t="shared" si="484"/>
        <v>1.5707960265354663</v>
      </c>
      <c r="Z606" s="340" t="str">
        <f>IMSUM(COMPLEX(1,0),IMDIV(COMPLEX(0,2*PI()*D606),COMPLEX(2*PI()*'Stability Calculations'!EA_Zero1,0)))</f>
        <v>1+32974.7848106092i</v>
      </c>
      <c r="AA606" s="734">
        <f t="shared" si="485"/>
        <v>32974.784825772302</v>
      </c>
      <c r="AB606" s="735">
        <f t="shared" si="486"/>
        <v>1.5707660005924533</v>
      </c>
      <c r="AC606" s="733" t="str">
        <f>IMSUM(COMPLEX(1,0),IMDIV(COMPLEX(0,2*PI()*D606),COMPLEX(2*PI()*'Stability Calculations'!EA_Pole2,0)))</f>
        <v>1+332.170048106092i</v>
      </c>
      <c r="AD606" s="734">
        <f t="shared" si="487"/>
        <v>332.17155335579753</v>
      </c>
      <c r="AE606" s="735">
        <f t="shared" si="488"/>
        <v>1.5677858296574552</v>
      </c>
      <c r="AF606" s="732" t="str">
        <f t="shared" si="489"/>
        <v>0.00053303008903449-0.178840349704054i</v>
      </c>
      <c r="AG606" s="337">
        <f t="shared" si="490"/>
        <v>0.17884114404505508</v>
      </c>
      <c r="AH606" s="730">
        <f t="shared" si="491"/>
        <v>-1.5678158556004684</v>
      </c>
      <c r="AI606" s="731" t="str">
        <f t="shared" si="469"/>
        <v>10000</v>
      </c>
      <c r="AJ606" s="733" t="str">
        <f t="shared" si="492"/>
        <v>1+3104899.14281001i</v>
      </c>
      <c r="AK606" s="734">
        <f t="shared" si="493"/>
        <v>3104899.142810171</v>
      </c>
      <c r="AL606" s="735">
        <f t="shared" si="494"/>
        <v>1.5707960047232434</v>
      </c>
      <c r="AM606" s="340" t="str">
        <f t="shared" si="495"/>
        <v>1+5269.37061273535i</v>
      </c>
      <c r="AN606" s="734">
        <f t="shared" si="496"/>
        <v>5269.3707076233422</v>
      </c>
      <c r="AO606" s="735">
        <f t="shared" si="497"/>
        <v>1.5706065508118641</v>
      </c>
      <c r="AP606" s="733" t="str">
        <f t="shared" si="498"/>
        <v>1+255.573160383356i</v>
      </c>
      <c r="AQ606" s="734">
        <f t="shared" si="499"/>
        <v>255.57511676283474</v>
      </c>
      <c r="AR606" s="735">
        <f t="shared" si="500"/>
        <v>1.5668835728293382</v>
      </c>
      <c r="AS606" s="732" t="str">
        <f t="shared" si="501"/>
        <v>9.94462105042687E-06-0.445973565258796i</v>
      </c>
      <c r="AT606" s="337">
        <f t="shared" si="502"/>
        <v>0.44597356536967198</v>
      </c>
      <c r="AU606" s="730">
        <f t="shared" si="503"/>
        <v>-1.5707740281166263</v>
      </c>
      <c r="AV606" s="732" t="str">
        <f t="shared" si="504"/>
        <v>0.000209228623072476+0.000180804084802379i</v>
      </c>
      <c r="AW606" s="337">
        <f t="shared" si="505"/>
        <v>-71.165274599029217</v>
      </c>
      <c r="AX606" s="730">
        <f t="shared" si="506"/>
        <v>40.831805984692608</v>
      </c>
      <c r="AY606" s="360">
        <f t="shared" si="507"/>
        <v>-139.16819401530739</v>
      </c>
      <c r="BB606" s="337">
        <f t="shared" si="508"/>
        <v>-47.013817657789481</v>
      </c>
      <c r="BC606" s="730">
        <f t="shared" si="509"/>
        <v>-89.998722379846384</v>
      </c>
      <c r="BD606" s="351"/>
      <c r="BE606" s="337">
        <f t="shared" si="470"/>
        <v>7.228080772198088</v>
      </c>
      <c r="BF606" s="730">
        <f t="shared" si="471"/>
        <v>-89.974533281743248</v>
      </c>
      <c r="BI606" s="351"/>
      <c r="BJ606" s="351"/>
      <c r="BL606" s="405">
        <f t="shared" si="472"/>
        <v>0</v>
      </c>
      <c r="BM606" s="405">
        <f t="shared" si="510"/>
        <v>0</v>
      </c>
      <c r="BN606" s="405">
        <f t="shared" si="473"/>
        <v>0</v>
      </c>
      <c r="BO606" s="405">
        <f t="shared" si="474"/>
        <v>0</v>
      </c>
    </row>
    <row r="607" spans="4:67" ht="13.5" thickBot="1" x14ac:dyDescent="0.25">
      <c r="D607" s="345">
        <v>575440</v>
      </c>
      <c r="E607" s="340" t="str">
        <f t="shared" si="461"/>
        <v>9.54517384435143i</v>
      </c>
      <c r="F607" s="728" t="str">
        <f t="shared" si="475"/>
        <v>0.005-0.00453409117846515i</v>
      </c>
      <c r="G607" s="337" t="str">
        <f t="shared" si="476"/>
        <v>0.005-0.00709178363811219i</v>
      </c>
      <c r="H607" s="338" t="str">
        <f t="shared" si="477"/>
        <v>0.00502036633958227-0.00703361534065931i</v>
      </c>
      <c r="I607" s="338" t="str">
        <f t="shared" si="478"/>
        <v>0.0150203663395823-0.00703361534065931i</v>
      </c>
      <c r="J607" s="337" t="str">
        <f t="shared" si="479"/>
        <v>0.00385261821034005-0.00293230550518929i</v>
      </c>
      <c r="K607" s="338" t="str">
        <f t="shared" si="462"/>
        <v>-2.67923548444443-3.01299679430285i</v>
      </c>
      <c r="L607" s="732"/>
      <c r="M607" s="732" t="str">
        <f t="shared" si="463"/>
        <v>0.000846223510330127-2.09594324964469i</v>
      </c>
      <c r="N607" s="337">
        <f t="shared" si="464"/>
        <v>0</v>
      </c>
      <c r="O607" s="730" t="str">
        <f t="shared" si="465"/>
        <v>-0.128878900247928-0.598110254040538i</v>
      </c>
      <c r="P607" s="731" t="str">
        <f t="shared" si="466"/>
        <v>-0.00614268575339153-0.00807735051727838i</v>
      </c>
      <c r="Q607" s="729" t="str">
        <f t="shared" si="467"/>
        <v>-0.00485389675091224-0.00209624797687299i</v>
      </c>
      <c r="R607" s="730"/>
      <c r="S607" s="405" t="str">
        <f t="shared" si="480"/>
        <v>-6.59624979249495-7.42014501410799i</v>
      </c>
      <c r="T607" s="405" t="str">
        <f t="shared" si="481"/>
        <v>-2.33929643864045-1.71090883942219i</v>
      </c>
      <c r="U607" s="405" t="str">
        <f t="shared" si="482"/>
        <v>-0.0237779997582848+0.00786432216964228i</v>
      </c>
      <c r="V607" s="731" t="str">
        <f t="shared" si="468"/>
        <v>6000</v>
      </c>
      <c r="W607" s="733" t="str">
        <f>IMSUM(COMPLEX(1,0),IMDIV(COMPLEX(0,2*PI()*D607),COMPLEX(2*PI()*'Stability Calculations'!EA_Pole1,0)))</f>
        <v>1+3651752.11469505i</v>
      </c>
      <c r="X607" s="734">
        <f t="shared" si="483"/>
        <v>3651752.1146951867</v>
      </c>
      <c r="Y607" s="735">
        <f t="shared" si="484"/>
        <v>1.5707960529537461</v>
      </c>
      <c r="Z607" s="340" t="str">
        <f>IMSUM(COMPLEX(1,0),IMDIV(COMPLEX(0,2*PI()*D607),COMPLEX(2*PI()*'Stability Calculations'!EA_Zero1,0)))</f>
        <v>1+36155.9615316342i</v>
      </c>
      <c r="AA607" s="734">
        <f t="shared" si="485"/>
        <v>36155.961545463178</v>
      </c>
      <c r="AB607" s="735">
        <f t="shared" si="486"/>
        <v>1.570768668838715</v>
      </c>
      <c r="AC607" s="733" t="str">
        <f>IMSUM(COMPLEX(1,0),IMDIV(COMPLEX(0,2*PI()*D607),COMPLEX(2*PI()*'Stability Calculations'!EA_Pole2,0)))</f>
        <v>1+364.215492239419i</v>
      </c>
      <c r="AD607" s="734">
        <f t="shared" si="487"/>
        <v>364.21686505048376</v>
      </c>
      <c r="AE607" s="735">
        <f t="shared" si="488"/>
        <v>1.56805070639023</v>
      </c>
      <c r="AF607" s="732" t="str">
        <f t="shared" si="489"/>
        <v>0.000443359987532267-0.163105355209511i</v>
      </c>
      <c r="AG607" s="337">
        <f t="shared" si="490"/>
        <v>0.16310595778848574</v>
      </c>
      <c r="AH607" s="730">
        <f t="shared" si="491"/>
        <v>-1.5680780905052611</v>
      </c>
      <c r="AI607" s="731" t="str">
        <f t="shared" si="469"/>
        <v>10000</v>
      </c>
      <c r="AJ607" s="733" t="str">
        <f t="shared" si="492"/>
        <v>1+3404438.10662638i</v>
      </c>
      <c r="AK607" s="734">
        <f t="shared" si="493"/>
        <v>3404438.1066265265</v>
      </c>
      <c r="AL607" s="735">
        <f t="shared" si="494"/>
        <v>1.5707960330606683</v>
      </c>
      <c r="AM607" s="340" t="str">
        <f t="shared" si="495"/>
        <v>1+5777.72265275514i</v>
      </c>
      <c r="AN607" s="734">
        <f t="shared" si="496"/>
        <v>5777.7227392944269</v>
      </c>
      <c r="AO607" s="735">
        <f t="shared" si="497"/>
        <v>1.570623248222228</v>
      </c>
      <c r="AP607" s="733" t="str">
        <f t="shared" si="498"/>
        <v>1+280.229072256623i</v>
      </c>
      <c r="AQ607" s="734">
        <f t="shared" si="499"/>
        <v>280.23085650550269</v>
      </c>
      <c r="AR607" s="735">
        <f t="shared" si="500"/>
        <v>1.5672278328223503</v>
      </c>
      <c r="AS607" s="732" t="str">
        <f t="shared" si="501"/>
        <v>0.0000082716537653137-0.406734649664685i</v>
      </c>
      <c r="AT607" s="337">
        <f t="shared" si="502"/>
        <v>0.40673464974879425</v>
      </c>
      <c r="AU607" s="730">
        <f t="shared" si="503"/>
        <v>-1.5707759900624079</v>
      </c>
      <c r="AV607" s="732" t="str">
        <f t="shared" si="504"/>
        <v>0.000154879483349422+0.000113927712924047i</v>
      </c>
      <c r="AW607" s="337">
        <f t="shared" si="505"/>
        <v>-74.32183699746264</v>
      </c>
      <c r="AX607" s="730">
        <f t="shared" si="506"/>
        <v>36.337807318884373</v>
      </c>
      <c r="AY607" s="360">
        <f t="shared" si="507"/>
        <v>-143.66219268111564</v>
      </c>
      <c r="BB607" s="337">
        <f t="shared" si="508"/>
        <v>-47.813776568937804</v>
      </c>
      <c r="BC607" s="730">
        <f t="shared" si="509"/>
        <v>-89.998834791059309</v>
      </c>
      <c r="BD607" s="351"/>
      <c r="BE607" s="337">
        <f t="shared" si="470"/>
        <v>6.427591095738685</v>
      </c>
      <c r="BF607" s="730">
        <f t="shared" si="471"/>
        <v>-89.976867201418571</v>
      </c>
      <c r="BI607" s="351"/>
      <c r="BJ607" s="351"/>
      <c r="BL607" s="405">
        <f t="shared" si="472"/>
        <v>0</v>
      </c>
      <c r="BM607" s="405">
        <f t="shared" si="510"/>
        <v>0</v>
      </c>
      <c r="BN607" s="405">
        <f t="shared" si="473"/>
        <v>0</v>
      </c>
      <c r="BO607" s="405">
        <f t="shared" si="474"/>
        <v>0</v>
      </c>
    </row>
    <row r="608" spans="4:67" ht="13.5" thickBot="1" x14ac:dyDescent="0.25">
      <c r="D608" s="345">
        <v>630960</v>
      </c>
      <c r="E608" s="340" t="str">
        <f t="shared" si="461"/>
        <v>10.4661179077436i</v>
      </c>
      <c r="F608" s="728" t="str">
        <f t="shared" si="475"/>
        <v>0.005-0.00413512334812982i</v>
      </c>
      <c r="G608" s="337" t="str">
        <f t="shared" si="476"/>
        <v>0.005-0.00646775703169024i</v>
      </c>
      <c r="H608" s="338" t="str">
        <f t="shared" si="477"/>
        <v>0.00501349713699987-0.00641474349838631i</v>
      </c>
      <c r="I608" s="338" t="str">
        <f t="shared" si="478"/>
        <v>0.0150134971369999-0.00641474349838631i</v>
      </c>
      <c r="J608" s="337" t="str">
        <f t="shared" si="479"/>
        <v>0.00383875425226352-0.00268109233758761i</v>
      </c>
      <c r="K608" s="338" t="str">
        <f t="shared" si="462"/>
        <v>-3.42345024-3.30369883451503i</v>
      </c>
      <c r="L608" s="732"/>
      <c r="M608" s="732" t="str">
        <f t="shared" si="463"/>
        <v>0.000701247838315333-1.91141760216247i</v>
      </c>
      <c r="N608" s="337">
        <f t="shared" si="464"/>
        <v>0</v>
      </c>
      <c r="O608" s="730" t="str">
        <f t="shared" si="465"/>
        <v>-0.111868726193829-0.536647236074486i</v>
      </c>
      <c r="P608" s="731" t="str">
        <f t="shared" si="466"/>
        <v>-0.00512199516896667-0.00733934255835859i</v>
      </c>
      <c r="Q608" s="729" t="str">
        <f t="shared" si="467"/>
        <v>-0.00400330790702838-0.00197287019761371i</v>
      </c>
      <c r="R608" s="730"/>
      <c r="S608" s="405" t="str">
        <f t="shared" si="480"/>
        <v>-6.05312835390028-5.84253464571711i</v>
      </c>
      <c r="T608" s="405" t="str">
        <f t="shared" si="481"/>
        <v>-2.04188390653371-1.28532479841135i</v>
      </c>
      <c r="U608" s="405" t="str">
        <f t="shared" si="482"/>
        <v>-0.0184820080134168+0.00665418931694648i</v>
      </c>
      <c r="V608" s="731" t="str">
        <f t="shared" si="468"/>
        <v>6000</v>
      </c>
      <c r="W608" s="733" t="str">
        <f>IMSUM(COMPLEX(1,0),IMDIV(COMPLEX(0,2*PI()*D608),COMPLEX(2*PI()*'Stability Calculations'!EA_Pole1,0)))</f>
        <v>1+4004082.98743221i</v>
      </c>
      <c r="X608" s="734">
        <f t="shared" si="483"/>
        <v>4004082.9874323341</v>
      </c>
      <c r="Y608" s="735">
        <f t="shared" si="484"/>
        <v>1.570796077049823</v>
      </c>
      <c r="Z608" s="340" t="str">
        <f>IMSUM(COMPLEX(1,0),IMDIV(COMPLEX(0,2*PI()*D608),COMPLEX(2*PI()*'Stability Calculations'!EA_Zero1,0)))</f>
        <v>1+39644.3860141803i</v>
      </c>
      <c r="AA608" s="734">
        <f t="shared" si="485"/>
        <v>39644.386026792425</v>
      </c>
      <c r="AB608" s="735">
        <f t="shared" si="486"/>
        <v>1.5707711025424784</v>
      </c>
      <c r="AC608" s="733" t="str">
        <f>IMSUM(COMPLEX(1,0),IMDIV(COMPLEX(0,2*PI()*D608),COMPLEX(2*PI()*'Stability Calculations'!EA_Pole2,0)))</f>
        <v>1+399.355983218726i</v>
      </c>
      <c r="AD608" s="734">
        <f t="shared" si="487"/>
        <v>399.35723523256138</v>
      </c>
      <c r="AE608" s="735">
        <f t="shared" si="488"/>
        <v>1.5682923004325269</v>
      </c>
      <c r="AF608" s="732" t="str">
        <f t="shared" si="489"/>
        <v>0.000368768219120319-0.148753428826618i</v>
      </c>
      <c r="AG608" s="337">
        <f t="shared" si="490"/>
        <v>0.14875388592462094</v>
      </c>
      <c r="AH608" s="730">
        <f t="shared" si="491"/>
        <v>-1.5683172749398715</v>
      </c>
      <c r="AI608" s="731" t="str">
        <f t="shared" si="469"/>
        <v>10000</v>
      </c>
      <c r="AJ608" s="733" t="str">
        <f t="shared" si="492"/>
        <v>1+3732907.45821803i</v>
      </c>
      <c r="AK608" s="734">
        <f t="shared" si="493"/>
        <v>3732907.4582181643</v>
      </c>
      <c r="AL608" s="735">
        <f t="shared" si="494"/>
        <v>1.5707960589071948</v>
      </c>
      <c r="AM608" s="340" t="str">
        <f t="shared" si="495"/>
        <v>1+6335.17288506601i</v>
      </c>
      <c r="AN608" s="734">
        <f t="shared" si="496"/>
        <v>6335.1729639904543</v>
      </c>
      <c r="AO608" s="735">
        <f t="shared" si="497"/>
        <v>1.5706384779074491</v>
      </c>
      <c r="AP608" s="733" t="str">
        <f t="shared" si="498"/>
        <v>1+307.266327386068i</v>
      </c>
      <c r="AQ608" s="734">
        <f t="shared" si="499"/>
        <v>307.26795463458654</v>
      </c>
      <c r="AR608" s="735">
        <f t="shared" si="500"/>
        <v>1.5675418326304136</v>
      </c>
      <c r="AS608" s="732" t="str">
        <f t="shared" si="501"/>
        <v>6.88000551589757E-06-0.370944888454629i</v>
      </c>
      <c r="AT608" s="337">
        <f t="shared" si="502"/>
        <v>0.37094488851843155</v>
      </c>
      <c r="AU608" s="730">
        <f t="shared" si="503"/>
        <v>-1.5707777795504696</v>
      </c>
      <c r="AV608" s="732" t="str">
        <f t="shared" si="504"/>
        <v>0.000112492630133597+0.0000712047548148653i</v>
      </c>
      <c r="AW608" s="337">
        <f t="shared" si="505"/>
        <v>-77.514208876344398</v>
      </c>
      <c r="AX608" s="730">
        <f t="shared" si="506"/>
        <v>32.332690402976709</v>
      </c>
      <c r="AY608" s="360">
        <f t="shared" si="507"/>
        <v>-147.66730959702329</v>
      </c>
      <c r="BB608" s="337">
        <f t="shared" si="508"/>
        <v>-48.613812179140353</v>
      </c>
      <c r="BC608" s="730">
        <f t="shared" si="509"/>
        <v>-89.998937321172733</v>
      </c>
      <c r="BD608" s="351"/>
      <c r="BE608" s="337">
        <f t="shared" si="470"/>
        <v>5.6271122063497021</v>
      </c>
      <c r="BF608" s="730">
        <f t="shared" si="471"/>
        <v>-89.978979716583098</v>
      </c>
      <c r="BI608" s="351"/>
      <c r="BJ608" s="351"/>
      <c r="BL608" s="405">
        <f t="shared" si="472"/>
        <v>0</v>
      </c>
      <c r="BM608" s="405">
        <f t="shared" si="510"/>
        <v>0</v>
      </c>
      <c r="BN608" s="405">
        <f t="shared" si="473"/>
        <v>0</v>
      </c>
      <c r="BO608" s="405">
        <f t="shared" si="474"/>
        <v>0</v>
      </c>
    </row>
    <row r="609" spans="4:67" ht="13.5" thickBot="1" x14ac:dyDescent="0.25">
      <c r="D609" s="345">
        <v>691830</v>
      </c>
      <c r="E609" s="340" t="str">
        <f t="shared" si="461"/>
        <v>11.4758056804144i</v>
      </c>
      <c r="F609" s="728" t="str">
        <f t="shared" si="475"/>
        <v>0.005-0.00377129848045906i</v>
      </c>
      <c r="G609" s="337" t="str">
        <f t="shared" si="476"/>
        <v>0.005-0.00589869762328212i</v>
      </c>
      <c r="H609" s="338" t="str">
        <f t="shared" si="477"/>
        <v>0.00500778411933637-0.00585037601968126i</v>
      </c>
      <c r="I609" s="338" t="str">
        <f t="shared" si="478"/>
        <v>0.0150077841193364-0.00585037601968126i</v>
      </c>
      <c r="J609" s="337" t="str">
        <f t="shared" si="479"/>
        <v>0.00382632148068134-0.00245080081983276i</v>
      </c>
      <c r="K609" s="338" t="str">
        <f t="shared" si="462"/>
        <v>-4.31809721-3.62241340922171i</v>
      </c>
      <c r="L609" s="732"/>
      <c r="M609" s="732" t="str">
        <f t="shared" si="463"/>
        <v>0.000581340459454614-1.74316910663807i</v>
      </c>
      <c r="N609" s="337">
        <f t="shared" si="464"/>
        <v>0</v>
      </c>
      <c r="O609" s="730" t="str">
        <f t="shared" si="465"/>
        <v>-0.0965556242450943-0.482165574742609i</v>
      </c>
      <c r="P609" s="731" t="str">
        <f t="shared" si="466"/>
        <v>-0.00426993588016813-0.006671350146864i</v>
      </c>
      <c r="Q609" s="729" t="str">
        <f t="shared" si="467"/>
        <v>-0.00330437963771719-0.00184969439943788i</v>
      </c>
      <c r="R609" s="730"/>
      <c r="S609" s="405" t="str">
        <f t="shared" si="480"/>
        <v>-5.43951546438372-4.56376522357915i</v>
      </c>
      <c r="T609" s="405" t="str">
        <f t="shared" si="481"/>
        <v>-1.75769674081044-0.960464962439068i</v>
      </c>
      <c r="U609" s="405" t="str">
        <f t="shared" si="482"/>
        <v>-0.0144212470092374+0.00547338567622799i</v>
      </c>
      <c r="V609" s="731" t="str">
        <f t="shared" si="468"/>
        <v>6000</v>
      </c>
      <c r="W609" s="733" t="str">
        <f>IMSUM(COMPLEX(1,0),IMDIV(COMPLEX(0,2*PI()*D609),COMPLEX(2*PI()*'Stability Calculations'!EA_Pole1,0)))</f>
        <v>1+4390365.05197671i</v>
      </c>
      <c r="X609" s="734">
        <f t="shared" si="483"/>
        <v>4390365.0519768232</v>
      </c>
      <c r="Y609" s="735">
        <f t="shared" si="484"/>
        <v>1.5707960990234042</v>
      </c>
      <c r="Z609" s="340" t="str">
        <f>IMSUM(COMPLEX(1,0),IMDIV(COMPLEX(0,2*PI()*D609),COMPLEX(2*PI()*'Stability Calculations'!EA_Zero1,0)))</f>
        <v>1+43468.9609106605i</v>
      </c>
      <c r="AA609" s="734">
        <f t="shared" si="485"/>
        <v>43468.960922162958</v>
      </c>
      <c r="AB609" s="735">
        <f t="shared" si="486"/>
        <v>1.57077332187417</v>
      </c>
      <c r="AC609" s="733" t="str">
        <f>IMSUM(COMPLEX(1,0),IMDIV(COMPLEX(0,2*PI()*D609),COMPLEX(2*PI()*'Stability Calculations'!EA_Pole2,0)))</f>
        <v>1+437.882670645067i</v>
      </c>
      <c r="AD609" s="734">
        <f t="shared" si="487"/>
        <v>437.88381250196517</v>
      </c>
      <c r="AE609" s="735">
        <f t="shared" si="488"/>
        <v>1.5685126139910119</v>
      </c>
      <c r="AF609" s="732" t="str">
        <f t="shared" si="489"/>
        <v>0.000306731810944096-0.135665642522558i</v>
      </c>
      <c r="AG609" s="337">
        <f t="shared" si="490"/>
        <v>0.13566598927314963</v>
      </c>
      <c r="AH609" s="730">
        <f t="shared" si="491"/>
        <v>-1.5685353911402464</v>
      </c>
      <c r="AI609" s="731" t="str">
        <f t="shared" si="469"/>
        <v>10000</v>
      </c>
      <c r="AJ609" s="733" t="str">
        <f t="shared" si="492"/>
        <v>1+4093028.66555563i</v>
      </c>
      <c r="AK609" s="734">
        <f t="shared" si="493"/>
        <v>4093028.6655557519</v>
      </c>
      <c r="AL609" s="735">
        <f t="shared" si="494"/>
        <v>1.5707960824770377</v>
      </c>
      <c r="AM609" s="340" t="str">
        <f t="shared" si="495"/>
        <v>1+6946.33995352355i</v>
      </c>
      <c r="AN609" s="734">
        <f t="shared" si="496"/>
        <v>6946.3400255039023</v>
      </c>
      <c r="AO609" s="735">
        <f t="shared" si="497"/>
        <v>1.5706523660904419</v>
      </c>
      <c r="AP609" s="733" t="str">
        <f t="shared" si="498"/>
        <v>1+336.90893761174i</v>
      </c>
      <c r="AQ609" s="734">
        <f t="shared" si="499"/>
        <v>336.91042168901708</v>
      </c>
      <c r="AR609" s="735">
        <f t="shared" si="500"/>
        <v>1.5678281744198241</v>
      </c>
      <c r="AS609" s="732" t="str">
        <f t="shared" si="501"/>
        <v>0.0000057226035648678-0.338307657709086i</v>
      </c>
      <c r="AT609" s="337">
        <f t="shared" si="502"/>
        <v>0.338307657757486</v>
      </c>
      <c r="AU609" s="730">
        <f t="shared" si="503"/>
        <v>-1.5707794114120079</v>
      </c>
      <c r="AV609" s="732" t="str">
        <f t="shared" si="504"/>
        <v>0.0000805721093373891+0.0000442659555970924i</v>
      </c>
      <c r="AW609" s="337">
        <f t="shared" si="505"/>
        <v>-80.730744452591225</v>
      </c>
      <c r="AX609" s="730">
        <f t="shared" si="506"/>
        <v>28.784196266283484</v>
      </c>
      <c r="AY609" s="360">
        <f t="shared" si="507"/>
        <v>-151.21580373371651</v>
      </c>
      <c r="BB609" s="337">
        <f t="shared" si="508"/>
        <v>-49.413763432701515</v>
      </c>
      <c r="BC609" s="730">
        <f t="shared" si="509"/>
        <v>-89.999030819951628</v>
      </c>
      <c r="BD609" s="351"/>
      <c r="BE609" s="337">
        <f t="shared" si="470"/>
        <v>4.8267908932339205</v>
      </c>
      <c r="BF609" s="730">
        <f t="shared" si="471"/>
        <v>-89.980892069836912</v>
      </c>
      <c r="BI609" s="351"/>
      <c r="BJ609" s="351"/>
      <c r="BL609" s="405">
        <f t="shared" si="472"/>
        <v>0</v>
      </c>
      <c r="BM609" s="405">
        <f t="shared" si="510"/>
        <v>0</v>
      </c>
      <c r="BN609" s="405">
        <f t="shared" si="473"/>
        <v>0</v>
      </c>
      <c r="BO609" s="405">
        <f t="shared" si="474"/>
        <v>0</v>
      </c>
    </row>
    <row r="610" spans="4:67" ht="13.5" thickBot="1" x14ac:dyDescent="0.25">
      <c r="D610" s="345">
        <v>758580</v>
      </c>
      <c r="E610" s="340" t="str">
        <f t="shared" si="461"/>
        <v>12.5830285952456i</v>
      </c>
      <c r="F610" s="728" t="str">
        <f t="shared" si="475"/>
        <v>0.005-0.00343944927065832i</v>
      </c>
      <c r="G610" s="337" t="str">
        <f t="shared" si="476"/>
        <v>0.005-0.00537965142333738i</v>
      </c>
      <c r="H610" s="338" t="str">
        <f t="shared" si="477"/>
        <v>0.00500303166396195-0.00533560272740664i</v>
      </c>
      <c r="I610" s="338" t="str">
        <f t="shared" si="478"/>
        <v>0.015003031663962-0.00533560272740664i</v>
      </c>
      <c r="J610" s="337" t="str">
        <f t="shared" si="479"/>
        <v>0.00381527952961619-0.00223970568283859i</v>
      </c>
      <c r="K610" s="338" t="str">
        <f t="shared" si="462"/>
        <v>-5.39381796-3.97191559193358i</v>
      </c>
      <c r="L610" s="732"/>
      <c r="M610" s="732" t="str">
        <f t="shared" si="463"/>
        <v>0.000482103815426366-1.58972528163408i</v>
      </c>
      <c r="N610" s="337">
        <f t="shared" si="464"/>
        <v>0</v>
      </c>
      <c r="O610" s="730" t="str">
        <f t="shared" si="465"/>
        <v>-0.0829132170973302-0.433826857694621i</v>
      </c>
      <c r="P610" s="731" t="str">
        <f t="shared" si="466"/>
        <v>-0.00355867738660989-0.00606632609538698i</v>
      </c>
      <c r="Q610" s="729" t="str">
        <f t="shared" si="467"/>
        <v>-0.00272954521563658-0.00172805751844074i</v>
      </c>
      <c r="R610" s="730"/>
      <c r="S610" s="405" t="str">
        <f t="shared" si="480"/>
        <v>-4.8103033093136-3.5425463015891i</v>
      </c>
      <c r="T610" s="405" t="str">
        <f t="shared" si="481"/>
        <v>-1.49768491773585-0.715401573588114i</v>
      </c>
      <c r="U610" s="405" t="str">
        <f t="shared" si="482"/>
        <v>-0.0113100636532985+0.0044118750067577i</v>
      </c>
      <c r="V610" s="731" t="str">
        <f t="shared" si="468"/>
        <v>6000</v>
      </c>
      <c r="W610" s="733" t="str">
        <f>IMSUM(COMPLEX(1,0),IMDIV(COMPLEX(0,2*PI()*D610),COMPLEX(2*PI()*'Stability Calculations'!EA_Pole1,0)))</f>
        <v>1+4813961.69742349i</v>
      </c>
      <c r="X610" s="734">
        <f t="shared" si="483"/>
        <v>4813961.6974235931</v>
      </c>
      <c r="Y610" s="735">
        <f t="shared" si="484"/>
        <v>1.5707961190657822</v>
      </c>
      <c r="Z610" s="340" t="str">
        <f>IMSUM(COMPLEX(1,0),IMDIV(COMPLEX(0,2*PI()*D610),COMPLEX(2*PI()*'Stability Calculations'!EA_Zero1,0)))</f>
        <v>1+47662.9871032029i</v>
      </c>
      <c r="AA610" s="734">
        <f t="shared" si="485"/>
        <v>47662.98711369322</v>
      </c>
      <c r="AB610" s="735">
        <f t="shared" si="486"/>
        <v>1.5707753461543488</v>
      </c>
      <c r="AC610" s="733" t="str">
        <f>IMSUM(COMPLEX(1,0),IMDIV(COMPLEX(0,2*PI()*D610),COMPLEX(2*PI()*'Stability Calculations'!EA_Pole2,0)))</f>
        <v>1+480.131009493568i</v>
      </c>
      <c r="AD610" s="734">
        <f t="shared" si="487"/>
        <v>480.13205087487404</v>
      </c>
      <c r="AE610" s="735">
        <f t="shared" si="488"/>
        <v>1.5687135649356101</v>
      </c>
      <c r="AF610" s="732" t="str">
        <f t="shared" si="489"/>
        <v>0.000255126284408535-0.123728074824184i</v>
      </c>
      <c r="AG610" s="337">
        <f t="shared" si="490"/>
        <v>0.12372833785806658</v>
      </c>
      <c r="AH610" s="730">
        <f t="shared" si="491"/>
        <v>-1.5687343378470437</v>
      </c>
      <c r="AI610" s="731" t="str">
        <f t="shared" si="469"/>
        <v>10000</v>
      </c>
      <c r="AJ610" s="733" t="str">
        <f t="shared" si="492"/>
        <v>1+4487937.33304018i</v>
      </c>
      <c r="AK610" s="734">
        <f t="shared" si="493"/>
        <v>4487937.3330402914</v>
      </c>
      <c r="AL610" s="735">
        <f t="shared" si="494"/>
        <v>1.5707961039753862</v>
      </c>
      <c r="AM610" s="340" t="str">
        <f t="shared" si="495"/>
        <v>1+7616.54533909182i</v>
      </c>
      <c r="AN610" s="734">
        <f t="shared" si="496"/>
        <v>7616.5454047383791</v>
      </c>
      <c r="AO610" s="735">
        <f t="shared" si="497"/>
        <v>1.5706650336758075</v>
      </c>
      <c r="AP610" s="733" t="str">
        <f t="shared" si="498"/>
        <v>1+369.415003531957i</v>
      </c>
      <c r="AQ610" s="734">
        <f t="shared" si="499"/>
        <v>369.41635702079537</v>
      </c>
      <c r="AR610" s="735">
        <f t="shared" si="500"/>
        <v>1.5680893507710081</v>
      </c>
      <c r="AS610" s="732" t="str">
        <f t="shared" si="501"/>
        <v>4.75981053012722E-06-0.308538831559155i</v>
      </c>
      <c r="AT610" s="337">
        <f t="shared" si="502"/>
        <v>0.30853883159586964</v>
      </c>
      <c r="AU610" s="730">
        <f t="shared" si="503"/>
        <v>-1.5707808998533161</v>
      </c>
      <c r="AV610" s="732" t="str">
        <f t="shared" si="504"/>
        <v>0.0000571172584393843+0.0000274291681833424i</v>
      </c>
      <c r="AW610" s="337">
        <f t="shared" si="505"/>
        <v>-83.963425231726404</v>
      </c>
      <c r="AX610" s="730">
        <f t="shared" si="506"/>
        <v>25.651509127821047</v>
      </c>
      <c r="AY610" s="360">
        <f t="shared" si="507"/>
        <v>-154.34849087217896</v>
      </c>
      <c r="BB610" s="337">
        <f t="shared" si="508"/>
        <v>-50.213803388755991</v>
      </c>
      <c r="BC610" s="730">
        <f t="shared" si="509"/>
        <v>-89.999116101356648</v>
      </c>
      <c r="BD610" s="351"/>
      <c r="BE610" s="337">
        <f t="shared" si="470"/>
        <v>4.0264420181659402</v>
      </c>
      <c r="BF610" s="730">
        <f t="shared" si="471"/>
        <v>-89.982624348128937</v>
      </c>
      <c r="BI610" s="351"/>
      <c r="BJ610" s="351"/>
      <c r="BL610" s="405">
        <f t="shared" si="472"/>
        <v>0</v>
      </c>
      <c r="BM610" s="405">
        <f t="shared" si="510"/>
        <v>0</v>
      </c>
      <c r="BN610" s="405">
        <f t="shared" si="473"/>
        <v>0</v>
      </c>
      <c r="BO610" s="405">
        <f t="shared" si="474"/>
        <v>0</v>
      </c>
    </row>
    <row r="611" spans="4:67" ht="13.5" thickBot="1" x14ac:dyDescent="0.25">
      <c r="D611" s="345">
        <v>831760</v>
      </c>
      <c r="E611" s="340" t="str">
        <f t="shared" si="461"/>
        <v>13.7969098373032i</v>
      </c>
      <c r="F611" s="728" t="str">
        <f t="shared" si="475"/>
        <v>0.005-0.00313683926581705i</v>
      </c>
      <c r="G611" s="337" t="str">
        <f t="shared" si="476"/>
        <v>0.005-0.00490633833884205i</v>
      </c>
      <c r="H611" s="338" t="str">
        <f t="shared" si="477"/>
        <v>0.00499907923367279-0.00486618101349642i</v>
      </c>
      <c r="I611" s="338" t="str">
        <f t="shared" si="478"/>
        <v>0.0149990792336728-0.00486618101349642i</v>
      </c>
      <c r="J611" s="337" t="str">
        <f t="shared" si="479"/>
        <v>0.00380556256165747-0.00204632477952892i</v>
      </c>
      <c r="K611" s="338" t="str">
        <f t="shared" si="462"/>
        <v>-6.68694108444443-4.35508517591641i</v>
      </c>
      <c r="L611" s="732"/>
      <c r="M611" s="732" t="str">
        <f t="shared" si="463"/>
        <v>0.000399957654416539-1.44981488651766i</v>
      </c>
      <c r="N611" s="337">
        <f t="shared" si="464"/>
        <v>0</v>
      </c>
      <c r="O611" s="730" t="str">
        <f t="shared" si="465"/>
        <v>-0.0708775823324577-0.390896184413137i</v>
      </c>
      <c r="P611" s="731" t="str">
        <f t="shared" si="466"/>
        <v>-0.0029652700641351-0.00551817969672427i</v>
      </c>
      <c r="Q611" s="729" t="str">
        <f t="shared" si="467"/>
        <v>-0.00225649424081052-0.0016092178525929i</v>
      </c>
      <c r="R611" s="730"/>
      <c r="S611" s="405" t="str">
        <f t="shared" si="480"/>
        <v>-4.20156414679007-2.73657510131023i</v>
      </c>
      <c r="T611" s="405" t="str">
        <f t="shared" si="481"/>
        <v>-1.26674794556018-0.532077176444766i</v>
      </c>
      <c r="U611" s="405" t="str">
        <f t="shared" si="482"/>
        <v>-0.00892175720267782+0.00350432883809425i</v>
      </c>
      <c r="V611" s="731" t="str">
        <f t="shared" si="468"/>
        <v>6000</v>
      </c>
      <c r="W611" s="733" t="str">
        <f>IMSUM(COMPLEX(1,0),IMDIV(COMPLEX(0,2*PI()*D611),COMPLEX(2*PI()*'Stability Calculations'!EA_Pole1,0)))</f>
        <v>1+5278363.23321069i</v>
      </c>
      <c r="X611" s="734">
        <f t="shared" si="483"/>
        <v>5278363.2332107853</v>
      </c>
      <c r="Y611" s="735">
        <f t="shared" si="484"/>
        <v>1.5707961373422281</v>
      </c>
      <c r="Z611" s="340" t="str">
        <f>IMSUM(COMPLEX(1,0),IMDIV(COMPLEX(0,2*PI()*D611),COMPLEX(2*PI()*'Stability Calculations'!EA_Zero1,0)))</f>
        <v>1+52261.0221109969i</v>
      </c>
      <c r="AA611" s="734">
        <f t="shared" si="485"/>
        <v>52261.022120564252</v>
      </c>
      <c r="AB611" s="735">
        <f t="shared" si="486"/>
        <v>1.5707771920753775</v>
      </c>
      <c r="AC611" s="733" t="str">
        <f>IMSUM(COMPLEX(1,0),IMDIV(COMPLEX(0,2*PI()*D611),COMPLEX(2*PI()*'Stability Calculations'!EA_Pole2,0)))</f>
        <v>1+526.449113417661i</v>
      </c>
      <c r="AD611" s="734">
        <f t="shared" si="487"/>
        <v>526.45006317621551</v>
      </c>
      <c r="AE611" s="735">
        <f t="shared" si="488"/>
        <v>1.5688968102570364</v>
      </c>
      <c r="AF611" s="732" t="str">
        <f t="shared" si="489"/>
        <v>0.000212208236249624-0.112842299230745i</v>
      </c>
      <c r="AG611" s="337">
        <f t="shared" si="490"/>
        <v>0.11284249876716008</v>
      </c>
      <c r="AH611" s="730">
        <f t="shared" si="491"/>
        <v>-1.5689157555238871</v>
      </c>
      <c r="AI611" s="731" t="str">
        <f t="shared" si="469"/>
        <v>10000</v>
      </c>
      <c r="AJ611" s="733" t="str">
        <f t="shared" si="492"/>
        <v>1+4920887.38976706i</v>
      </c>
      <c r="AK611" s="734">
        <f t="shared" si="493"/>
        <v>4920887.3897671616</v>
      </c>
      <c r="AL611" s="735">
        <f t="shared" si="494"/>
        <v>1.5707961235795167</v>
      </c>
      <c r="AM611" s="340" t="str">
        <f t="shared" si="495"/>
        <v>1+8351.3113333373i</v>
      </c>
      <c r="AN611" s="734">
        <f t="shared" si="496"/>
        <v>8351.3113932081378</v>
      </c>
      <c r="AO611" s="735">
        <f t="shared" si="497"/>
        <v>1.5706765851213671</v>
      </c>
      <c r="AP611" s="733" t="str">
        <f t="shared" si="498"/>
        <v>1+405.052365390256i</v>
      </c>
      <c r="AQ611" s="734">
        <f t="shared" si="499"/>
        <v>405.05359979667071</v>
      </c>
      <c r="AR611" s="735">
        <f t="shared" si="500"/>
        <v>1.5683275152194875</v>
      </c>
      <c r="AS611" s="732" t="str">
        <f t="shared" si="501"/>
        <v>0.0000039590991683973-0.281392934083768i</v>
      </c>
      <c r="AT611" s="337">
        <f t="shared" si="502"/>
        <v>0.28139293411161953</v>
      </c>
      <c r="AU611" s="730">
        <f t="shared" si="503"/>
        <v>-1.5707822571481906</v>
      </c>
      <c r="AV611" s="732" t="str">
        <f t="shared" si="504"/>
        <v>0.000040191068857744+0.0000169712681771078i</v>
      </c>
      <c r="AW611" s="337">
        <f t="shared" si="505"/>
        <v>-87.204822655059914</v>
      </c>
      <c r="AX611" s="730">
        <f t="shared" si="506"/>
        <v>22.892615427982278</v>
      </c>
      <c r="AY611" s="360">
        <f t="shared" si="507"/>
        <v>-157.10738457201774</v>
      </c>
      <c r="BB611" s="337">
        <f t="shared" si="508"/>
        <v>-51.013736241427083</v>
      </c>
      <c r="BC611" s="730">
        <f t="shared" si="509"/>
        <v>-89.999193868624516</v>
      </c>
      <c r="BD611" s="351"/>
      <c r="BE611" s="337">
        <f t="shared" si="470"/>
        <v>3.226251424921045</v>
      </c>
      <c r="BF611" s="730">
        <f t="shared" si="471"/>
        <v>-89.984193923504449</v>
      </c>
      <c r="BI611" s="351"/>
      <c r="BJ611" s="351"/>
      <c r="BL611" s="405">
        <f t="shared" si="472"/>
        <v>0</v>
      </c>
      <c r="BM611" s="405">
        <f t="shared" si="510"/>
        <v>0</v>
      </c>
      <c r="BN611" s="405">
        <f t="shared" si="473"/>
        <v>0</v>
      </c>
      <c r="BO611" s="405">
        <f t="shared" si="474"/>
        <v>0</v>
      </c>
    </row>
    <row r="612" spans="4:67" ht="13.5" thickBot="1" x14ac:dyDescent="0.25">
      <c r="D612" s="345">
        <v>912010</v>
      </c>
      <c r="E612" s="340" t="str">
        <f t="shared" si="461"/>
        <v>15.1280654764823i</v>
      </c>
      <c r="F612" s="728" t="str">
        <f t="shared" si="475"/>
        <v>0.005-0.00286082107404084i</v>
      </c>
      <c r="G612" s="337" t="str">
        <f t="shared" si="476"/>
        <v>0.005-0.00447461757734594i</v>
      </c>
      <c r="H612" s="338" t="str">
        <f t="shared" si="477"/>
        <v>0.00499579130607701-0.00443800583643653i</v>
      </c>
      <c r="I612" s="338" t="str">
        <f t="shared" si="478"/>
        <v>0.014995791306077-0.00443800583643653i</v>
      </c>
      <c r="J612" s="337" t="str">
        <f t="shared" si="479"/>
        <v>0.00379707747613749-0.00186919802954571i</v>
      </c>
      <c r="K612" s="338" t="str">
        <f t="shared" si="462"/>
        <v>-8.24180266777776-4.77527319333405i</v>
      </c>
      <c r="L612" s="732"/>
      <c r="M612" s="732" t="str">
        <f t="shared" si="463"/>
        <v>0.000331909714604399-1.32220938903213i</v>
      </c>
      <c r="N612" s="337">
        <f t="shared" si="464"/>
        <v>0</v>
      </c>
      <c r="O612" s="730" t="str">
        <f t="shared" si="465"/>
        <v>-0.0603462675214535-0.352696891703205i</v>
      </c>
      <c r="P612" s="731" t="str">
        <f t="shared" si="466"/>
        <v>-0.00247021089772425-0.00502115189481592i</v>
      </c>
      <c r="Q612" s="729" t="str">
        <f t="shared" si="467"/>
        <v>-0.00186674822250972-0.00149418297778388i</v>
      </c>
      <c r="R612" s="730"/>
      <c r="S612" s="405" t="str">
        <f t="shared" si="480"/>
        <v>-3.63450663330294-2.10591324239356i</v>
      </c>
      <c r="T612" s="405" t="str">
        <f t="shared" si="481"/>
        <v>-1.06571206619227-0.395600295488884i</v>
      </c>
      <c r="U612" s="405" t="str">
        <f t="shared" si="482"/>
        <v>-0.00707975149534039+0.00275329985283726i</v>
      </c>
      <c r="V612" s="731" t="str">
        <f t="shared" si="468"/>
        <v>6000</v>
      </c>
      <c r="W612" s="733" t="str">
        <f>IMSUM(COMPLEX(1,0),IMDIV(COMPLEX(0,2*PI()*D612),COMPLEX(2*PI()*'Stability Calculations'!EA_Pole1,0)))</f>
        <v>1+5787631.11032086i</v>
      </c>
      <c r="X612" s="734">
        <f t="shared" si="483"/>
        <v>5787631.1103209453</v>
      </c>
      <c r="Y612" s="735">
        <f t="shared" si="484"/>
        <v>1.5707961540126338</v>
      </c>
      <c r="Z612" s="340" t="str">
        <f>IMSUM(COMPLEX(1,0),IMDIV(COMPLEX(0,2*PI()*D612),COMPLEX(2*PI()*'Stability Calculations'!EA_Zero1,0)))</f>
        <v>1+57303.2783200085i</v>
      </c>
      <c r="AA612" s="734">
        <f t="shared" si="485"/>
        <v>57303.278328734006</v>
      </c>
      <c r="AB612" s="735">
        <f t="shared" si="486"/>
        <v>1.5707788757863468</v>
      </c>
      <c r="AC612" s="733" t="str">
        <f>IMSUM(COMPLEX(1,0),IMDIV(COMPLEX(0,2*PI()*D612),COMPLEX(2*PI()*'Stability Calculations'!EA_Pole2,0)))</f>
        <v>1+577.242060123162i</v>
      </c>
      <c r="AD612" s="734">
        <f t="shared" si="487"/>
        <v>577.24292631025992</v>
      </c>
      <c r="AE612" s="735">
        <f t="shared" si="488"/>
        <v>1.5690639530322961</v>
      </c>
      <c r="AF612" s="732" t="str">
        <f t="shared" si="489"/>
        <v>0.000176505954363495-0.10291309000527i</v>
      </c>
      <c r="AG612" s="337">
        <f t="shared" si="490"/>
        <v>0.10291324136759433</v>
      </c>
      <c r="AH612" s="730">
        <f t="shared" si="491"/>
        <v>-1.5690812312585831</v>
      </c>
      <c r="AI612" s="731" t="str">
        <f t="shared" si="469"/>
        <v>10000</v>
      </c>
      <c r="AJ612" s="733" t="str">
        <f t="shared" si="492"/>
        <v>1+5395665.22595636i</v>
      </c>
      <c r="AK612" s="734">
        <f t="shared" si="493"/>
        <v>5395665.225956453</v>
      </c>
      <c r="AL612" s="735">
        <f t="shared" si="494"/>
        <v>1.5707961414609373</v>
      </c>
      <c r="AM612" s="340" t="str">
        <f t="shared" si="495"/>
        <v>1+9157.06387553736i</v>
      </c>
      <c r="AN612" s="734">
        <f t="shared" si="496"/>
        <v>9157.0639301400133</v>
      </c>
      <c r="AO612" s="735">
        <f t="shared" si="497"/>
        <v>1.5706871214852454</v>
      </c>
      <c r="AP612" s="733" t="str">
        <f t="shared" si="498"/>
        <v>1+444.132691833663i</v>
      </c>
      <c r="AQ612" s="734">
        <f t="shared" si="499"/>
        <v>444.13381762191386</v>
      </c>
      <c r="AR612" s="735">
        <f t="shared" si="500"/>
        <v>1.5685447512443407</v>
      </c>
      <c r="AS612" s="732" t="str">
        <f t="shared" si="501"/>
        <v>3.29301145566165E-06-0.256632478658468i</v>
      </c>
      <c r="AT612" s="337">
        <f t="shared" si="502"/>
        <v>0.25663247867959532</v>
      </c>
      <c r="AU612" s="730">
        <f t="shared" si="503"/>
        <v>-1.5707834951709623</v>
      </c>
      <c r="AV612" s="732" t="str">
        <f t="shared" si="504"/>
        <v>0.0000281282980749506+0.000010496771315895i</v>
      </c>
      <c r="AW612" s="337">
        <f t="shared" si="505"/>
        <v>-90.450904631764558</v>
      </c>
      <c r="AX612" s="730">
        <f t="shared" si="506"/>
        <v>20.464305717060977</v>
      </c>
      <c r="AY612" s="360">
        <f t="shared" si="507"/>
        <v>-159.53569428293903</v>
      </c>
      <c r="BB612" s="337">
        <f t="shared" si="508"/>
        <v>-51.813767628066245</v>
      </c>
      <c r="BC612" s="730">
        <f t="shared" si="509"/>
        <v>-89.999264802104264</v>
      </c>
      <c r="BD612" s="351"/>
      <c r="BE612" s="337">
        <f t="shared" si="470"/>
        <v>2.4260050090408489</v>
      </c>
      <c r="BF612" s="730">
        <f t="shared" si="471"/>
        <v>-89.985617236131787</v>
      </c>
      <c r="BI612" s="351"/>
      <c r="BJ612" s="351"/>
      <c r="BL612" s="405">
        <f t="shared" si="472"/>
        <v>0</v>
      </c>
      <c r="BM612" s="405">
        <f t="shared" si="510"/>
        <v>0</v>
      </c>
      <c r="BN612" s="405">
        <f t="shared" si="473"/>
        <v>0</v>
      </c>
      <c r="BO612" s="405">
        <f t="shared" si="474"/>
        <v>0</v>
      </c>
    </row>
    <row r="613" spans="4:67" x14ac:dyDescent="0.2">
      <c r="D613" s="345">
        <v>1000000</v>
      </c>
      <c r="E613" s="340" t="str">
        <f t="shared" si="461"/>
        <v>16.5876092109541i</v>
      </c>
      <c r="F613" s="728" t="str">
        <f t="shared" si="475"/>
        <v>0.005-0.00260909742773599i</v>
      </c>
      <c r="G613" s="337" t="str">
        <f t="shared" si="476"/>
        <v>0.005-0.00408089597671526i</v>
      </c>
      <c r="H613" s="338" t="str">
        <f t="shared" si="477"/>
        <v>0.00499305660601745-0.00404751483797155i</v>
      </c>
      <c r="I613" s="338" t="str">
        <f t="shared" si="478"/>
        <v>0.0149930566060174-0.00404751483797155i</v>
      </c>
      <c r="J613" s="337" t="str">
        <f t="shared" si="479"/>
        <v>0.00378972140340587-0.00170705331903678i</v>
      </c>
      <c r="K613" s="338" t="str">
        <f t="shared" si="462"/>
        <v>-10.1111111111111-5.23598775598299i</v>
      </c>
      <c r="L613" s="732"/>
      <c r="M613" s="732" t="str">
        <f t="shared" si="463"/>
        <v>0.000275523761785353-1.20584329786577i</v>
      </c>
      <c r="N613" s="337">
        <f t="shared" si="464"/>
        <v>0</v>
      </c>
      <c r="O613" s="730" t="str">
        <f t="shared" si="465"/>
        <v>-0.0512010001262529-0.318648653313295i</v>
      </c>
      <c r="P613" s="731" t="str">
        <f t="shared" si="466"/>
        <v>-0.00205739464556283-0.00457028048882746i</v>
      </c>
      <c r="Q613" s="729" t="str">
        <f t="shared" si="467"/>
        <v>-0.0015453846443003-0.00138379395569452i</v>
      </c>
      <c r="R613" s="730"/>
      <c r="S613" s="405" t="str">
        <f t="shared" si="480"/>
        <v>-3.12020419086872-1.61583173610455i</v>
      </c>
      <c r="T613" s="405" t="str">
        <f t="shared" si="481"/>
        <v>-0.893202419240743-0.294299378416343i</v>
      </c>
      <c r="U613" s="405" t="str">
        <f t="shared" si="482"/>
        <v>-0.0056509913408467+0.00214579658964044i</v>
      </c>
      <c r="V613" s="731" t="str">
        <f t="shared" si="468"/>
        <v>6000</v>
      </c>
      <c r="W613" s="733" t="str">
        <f>IMSUM(COMPLEX(1,0),IMDIV(COMPLEX(0,2*PI()*D613),COMPLEX(2*PI()*'Stability Calculations'!EA_Pole1,0)))</f>
        <v>1+6346017.16025139i</v>
      </c>
      <c r="X613" s="734">
        <f t="shared" si="483"/>
        <v>6346017.1602514694</v>
      </c>
      <c r="Y613" s="735">
        <f t="shared" si="484"/>
        <v>1.5707961692157451</v>
      </c>
      <c r="Z613" s="340" t="str">
        <f>IMSUM(COMPLEX(1,0),IMDIV(COMPLEX(0,2*PI()*D613),COMPLEX(2*PI()*'Stability Calculations'!EA_Zero1,0)))</f>
        <v>1+62831.8530717959i</v>
      </c>
      <c r="AA613" s="734">
        <f t="shared" si="485"/>
        <v>62831.853079753651</v>
      </c>
      <c r="AB613" s="735">
        <f t="shared" si="486"/>
        <v>1.5707804113005888</v>
      </c>
      <c r="AC613" s="733" t="str">
        <f>IMSUM(COMPLEX(1,0),IMDIV(COMPLEX(0,2*PI()*D613),COMPLEX(2*PI()*'Stability Calculations'!EA_Pole2,0)))</f>
        <v>1+632.933915333344i</v>
      </c>
      <c r="AD613" s="734">
        <f t="shared" si="487"/>
        <v>632.93470530473883</v>
      </c>
      <c r="AE613" s="735">
        <f t="shared" si="488"/>
        <v>1.5692163843337623</v>
      </c>
      <c r="AF613" s="732" t="str">
        <f t="shared" si="489"/>
        <v>0.000146811062117348-0.093857814131919i</v>
      </c>
      <c r="AG613" s="337">
        <f t="shared" si="490"/>
        <v>9.385792895173968E-2</v>
      </c>
      <c r="AH613" s="730">
        <f t="shared" si="491"/>
        <v>-1.5692321422489186</v>
      </c>
      <c r="AI613" s="731" t="str">
        <f t="shared" si="469"/>
        <v>10000</v>
      </c>
      <c r="AJ613" s="733" t="str">
        <f t="shared" si="492"/>
        <v>1+5916234.71886971i</v>
      </c>
      <c r="AK613" s="734">
        <f t="shared" si="493"/>
        <v>5916234.7188697942</v>
      </c>
      <c r="AL613" s="735">
        <f t="shared" si="494"/>
        <v>1.5707961577684724</v>
      </c>
      <c r="AM613" s="340" t="str">
        <f t="shared" si="495"/>
        <v>1+10040.530120873i</v>
      </c>
      <c r="AN613" s="734">
        <f t="shared" si="496"/>
        <v>10040.530170671167</v>
      </c>
      <c r="AO613" s="735">
        <f t="shared" si="497"/>
        <v>1.5706967304603749</v>
      </c>
      <c r="AP613" s="733" t="str">
        <f t="shared" si="498"/>
        <v>1+486.982260977032i</v>
      </c>
      <c r="AQ613" s="734">
        <f t="shared" si="499"/>
        <v>486.98328770739363</v>
      </c>
      <c r="AR613" s="735">
        <f t="shared" si="500"/>
        <v>1.5687428667932379</v>
      </c>
      <c r="AS613" s="732" t="str">
        <f t="shared" si="501"/>
        <v>2.73900258511196E-06-0.234051386867793i</v>
      </c>
      <c r="AT613" s="337">
        <f t="shared" si="502"/>
        <v>0.23405138688381968</v>
      </c>
      <c r="AU613" s="730">
        <f t="shared" si="503"/>
        <v>-1.5707846242255521</v>
      </c>
      <c r="AV613" s="732" t="str">
        <f t="shared" si="504"/>
        <v>0.0000196112816679409+6.49595789995532E-06i</v>
      </c>
      <c r="AW613" s="337">
        <f t="shared" si="505"/>
        <v>-93.697757544002798</v>
      </c>
      <c r="AX613" s="730">
        <f t="shared" si="506"/>
        <v>18.326717250125544</v>
      </c>
      <c r="AY613" s="360">
        <f t="shared" si="507"/>
        <v>-161.67328274987446</v>
      </c>
      <c r="BB613" s="337">
        <f t="shared" si="508"/>
        <v>-52.613775621881771</v>
      </c>
      <c r="BC613" s="730">
        <f t="shared" si="509"/>
        <v>-89.999329492167107</v>
      </c>
      <c r="BD613" s="351"/>
      <c r="BE613" s="337">
        <f t="shared" si="470"/>
        <v>1.6258177046437687</v>
      </c>
      <c r="BF613" s="730">
        <f t="shared" si="471"/>
        <v>-89.986908457791259</v>
      </c>
      <c r="BI613" s="351"/>
      <c r="BJ613" s="351"/>
      <c r="BL613" s="405">
        <f t="shared" si="472"/>
        <v>0</v>
      </c>
      <c r="BM613" s="405">
        <f t="shared" si="510"/>
        <v>0</v>
      </c>
      <c r="BN613" s="405">
        <f t="shared" si="473"/>
        <v>0</v>
      </c>
      <c r="BO613" s="405">
        <f t="shared" si="474"/>
        <v>0</v>
      </c>
    </row>
    <row r="614" spans="4:67" x14ac:dyDescent="0.2">
      <c r="D614" s="348"/>
      <c r="E614" s="348"/>
      <c r="F614" s="348"/>
      <c r="G614" s="349"/>
      <c r="H614" s="349"/>
      <c r="I614" s="349"/>
      <c r="J614" s="349"/>
      <c r="K614" s="349"/>
      <c r="L614" s="349"/>
      <c r="M614" s="349"/>
      <c r="N614" s="338"/>
      <c r="O614" s="339"/>
      <c r="P614" s="349"/>
      <c r="Q614" s="349"/>
      <c r="R614" s="349"/>
      <c r="S614" s="349"/>
      <c r="T614" s="349"/>
      <c r="U614" s="349"/>
      <c r="V614" s="349"/>
      <c r="W614" s="349"/>
      <c r="X614" s="349"/>
      <c r="Y614" s="349"/>
      <c r="Z614" s="349"/>
      <c r="AA614" s="349"/>
      <c r="AB614" s="349"/>
      <c r="AC614" s="349"/>
      <c r="AD614" s="349"/>
      <c r="AE614" s="349"/>
      <c r="AF614" s="349"/>
      <c r="AG614" s="349"/>
      <c r="AH614" s="731"/>
      <c r="AI614" s="349"/>
      <c r="AJ614" s="349"/>
      <c r="AK614" s="349"/>
      <c r="AL614" s="349"/>
      <c r="AM614" s="349"/>
      <c r="AN614" s="349"/>
      <c r="AO614" s="349"/>
      <c r="AP614" s="349"/>
      <c r="AQ614" s="349"/>
      <c r="AR614" s="349"/>
      <c r="AS614" s="349"/>
      <c r="AT614" s="349"/>
      <c r="AU614" s="349"/>
      <c r="AV614" s="350"/>
      <c r="AW614" s="424"/>
      <c r="AX614" s="342"/>
      <c r="AY614" s="351"/>
      <c r="BE614" s="343"/>
      <c r="BF614" s="344"/>
      <c r="BI614" s="351"/>
      <c r="BJ614" s="351"/>
    </row>
    <row r="615" spans="4:67" x14ac:dyDescent="0.2">
      <c r="D615" s="348"/>
      <c r="E615" s="348"/>
      <c r="F615" s="348"/>
      <c r="G615" s="349"/>
      <c r="H615" s="349"/>
      <c r="I615" s="349"/>
      <c r="J615" s="349"/>
      <c r="K615" s="349"/>
      <c r="L615" s="349"/>
      <c r="M615" s="349"/>
      <c r="N615" s="338"/>
      <c r="O615" s="339"/>
      <c r="P615" s="349"/>
      <c r="Q615" s="349"/>
      <c r="R615" s="349"/>
      <c r="S615" s="349"/>
      <c r="T615" s="349"/>
      <c r="U615" s="349"/>
      <c r="V615" s="349"/>
      <c r="W615" s="349"/>
      <c r="X615" s="349"/>
      <c r="Y615" s="349"/>
      <c r="Z615" s="349"/>
      <c r="AA615" s="349"/>
      <c r="AB615" s="349"/>
      <c r="AC615" s="349"/>
      <c r="AD615" s="349"/>
      <c r="AE615" s="349"/>
      <c r="AF615" s="349"/>
      <c r="AG615" s="349"/>
      <c r="AH615" s="731"/>
      <c r="AI615" s="349"/>
      <c r="AJ615" s="349"/>
      <c r="AK615" s="349"/>
      <c r="AL615" s="349"/>
      <c r="AM615" s="349"/>
      <c r="AN615" s="349"/>
      <c r="AO615" s="349"/>
      <c r="AP615" s="349"/>
      <c r="AQ615" s="349"/>
      <c r="AR615" s="349"/>
      <c r="AS615" s="349"/>
      <c r="AT615" s="349"/>
      <c r="AU615" s="349"/>
      <c r="AV615" s="350"/>
      <c r="AW615" s="351"/>
      <c r="AX615" s="342"/>
      <c r="AY615" s="351"/>
      <c r="BE615" s="343"/>
      <c r="BF615" s="344"/>
      <c r="BI615" s="351"/>
      <c r="BJ615" s="351"/>
    </row>
    <row r="616" spans="4:67" ht="13.5" thickBot="1" x14ac:dyDescent="0.25">
      <c r="D616" s="405" t="s">
        <v>476</v>
      </c>
      <c r="N616" s="338"/>
      <c r="O616" s="339"/>
      <c r="P616" s="349"/>
      <c r="Q616" s="349"/>
      <c r="R616" s="349"/>
      <c r="S616" s="349"/>
      <c r="T616" s="349"/>
      <c r="U616" s="349"/>
      <c r="V616" s="349"/>
      <c r="W616" s="349"/>
      <c r="X616" s="349"/>
      <c r="Y616" s="349"/>
      <c r="Z616" s="349"/>
      <c r="AA616" s="349"/>
      <c r="AB616" s="349"/>
      <c r="AC616" s="349"/>
      <c r="AD616" s="349"/>
      <c r="AE616" s="349"/>
      <c r="AF616" s="349"/>
      <c r="AG616" s="349"/>
      <c r="AH616" s="731"/>
      <c r="AI616" s="349"/>
      <c r="AJ616" s="349"/>
      <c r="AW616" s="341"/>
      <c r="AX616" s="342"/>
      <c r="AY616" s="351"/>
      <c r="BE616" s="343"/>
      <c r="BF616" s="344"/>
      <c r="BI616" s="351"/>
      <c r="BJ616" s="351"/>
    </row>
    <row r="617" spans="4:67" x14ac:dyDescent="0.2">
      <c r="D617" s="352">
        <f>U4*1000</f>
        <v>18515</v>
      </c>
      <c r="E617" s="340" t="str">
        <f>COMPLEX(0,2*PI()*D617*L)</f>
        <v>0.307119584540815i</v>
      </c>
      <c r="F617" s="728" t="str">
        <f t="shared" ref="F617" si="511">IMSUM(COMPLEX($B$8,0),IMDIV(COMPLEX(1,0),COMPLEX(0,2*PI()*D617*$B$6)))</f>
        <v>0.005-0.140918035524493i</v>
      </c>
      <c r="G617" s="337" t="str">
        <f t="shared" ref="G617" si="512">IMSUM(COMPLEX($B$9,0),IMDIV(COMPLEX(1,0),COMPLEX(0,2*PI()*D617*$B$7)))</f>
        <v>0.005-0.220410260692156i</v>
      </c>
      <c r="H617" s="338" t="str">
        <f t="shared" ref="H617" si="513">IMDIV(COMPLEX(1,0),IMSUM(IMDIV(COMPLEX(1,0),COMPLEX($B$5,0)), IMDIV(COMPLEX(1,0),G617)))</f>
        <v>0.0431772478014526-0.211718233613835i</v>
      </c>
      <c r="I617" s="338" t="str">
        <f t="shared" ref="I617" si="514">IMSUM(H617,COMPLEX($B$15,0))</f>
        <v>0.0531772478014526-0.211718233613835i</v>
      </c>
      <c r="J617" s="337" t="str">
        <f t="shared" ref="J617" si="515">IMDIV(COMPLEX(1,0),IMSUM(IMDIV(COMPLEX(1,0),F617),IMDIV(COMPLEX(1,0),IMSUM(COMPLEX($B$15,0),H617))))</f>
        <v>0.0101425614336811-0.085524661743198i</v>
      </c>
      <c r="K617" s="338" t="str">
        <f>IMSUM(COMPLEX(1,0),COMPLEX(0,2*PI()*D617/(Fsw*PI()*(-2)/PI())),IMPRODUCT(COMPLEX(0,2*PI()*D617/(Fsw*PI())),COMPLEX(0,2*PI()*D617/(Fsw*PI()))))</f>
        <v>0.996191053055556-0.096944313302025i</v>
      </c>
      <c r="L617" s="732"/>
      <c r="M617" s="732" t="str">
        <f>IF(Vin&gt;=Vout,IMDIV(COMPLEX(Vin,0),IMSUM(E617,J617)),IMDIV(IMSUM(COMPLEX(Vout,0),IMPRODUCT(J617,COMPLEX($B$4,0))),IMSUM(E617,IMPRODUCT(J617,COMPLEX((1-$B$11)^2,0)))))</f>
        <v>4.12239073766146-90.0660906248176i</v>
      </c>
      <c r="N617" s="337">
        <f>IF(Vin&gt;=Vout,0,IMSUB(IMPRODUCT(M617,COMPLEX(1-$B$11,0)),COMPLEX($B$4/(1-$B$11),0)))</f>
        <v>0</v>
      </c>
      <c r="O617" s="730" t="str">
        <f>IMDIV(IF(Vin&gt;=Vout,M617,N617),IMPRODUCT(I617,IMSUM(IMDIV(COMPLEX(1,0),F617),IMDIV(COMPLEX(1,0),I617))))</f>
        <v>-2.92418769044134-35.4507023432221i</v>
      </c>
      <c r="P617" s="731" t="str">
        <f>IF(Vin&gt;=Vout,IMDIV(IMPRODUCT(COMPLEX(Vin,0),J617),IMSUM(J617,E617)),IMPRODUCT(N617,J617))</f>
        <v>-7.66106033390937-1.26606693066549i</v>
      </c>
      <c r="Q617" s="729" t="str">
        <f>IF(Vin&gt;=Vout,IMDIV(IMPRODUCT(P617,H617),IMSUM(COMPLEX($B$15,0),H617)),IMPRODUCT(O617,H617))</f>
        <v>-7.63181845700495-0.911559907233269i</v>
      </c>
      <c r="R617" s="730"/>
      <c r="S617" s="405" t="str">
        <f t="shared" ref="S617" si="516">IMDIV(IMPRODUCT(COMPLEX($B$34,0),M617),IMSUM(COMPLEX(1,0),IMPRODUCT(M617,COMPLEX($B$29,0),K617,COMPLEX($B$34,0))))</f>
        <v>39.8234133988867-1.7060483917546i</v>
      </c>
      <c r="T617" s="405" t="str">
        <f t="shared" ref="T617" si="517">IMDIV(IMPRODUCT(COMPLEX($B$34,0),O617),IMSUM(COMPLEX(1,0),IMPRODUCT(M617,COMPLEX($B$29,0),K617,COMPLEX($B$34,0))))</f>
        <v>15.4970290105901-2.67377606994499i</v>
      </c>
      <c r="U617" s="405" t="str">
        <f t="shared" ref="U617" si="518">IMDIV(IMPRODUCT(COMPLEX($B$34,0),Q617),IMSUM(COMPLEX(1,0),IMPRODUCT(M617,COMPLEX($B$29,0),K617,COMPLEX($B$34,0))))</f>
        <v>0.103031915168849-3.39644990032207i</v>
      </c>
      <c r="V617" s="731" t="str">
        <f t="shared" ref="V617" si="519">COMPLEX(AEA,0)</f>
        <v>6000</v>
      </c>
      <c r="W617" s="733" t="str">
        <f>IMSUM(COMPLEX(1,0),IMDIV(COMPLEX(0,2*PI()*D617),COMPLEX(2*PI()*'Stability Calculations'!EA_Pole1,0)))</f>
        <v>1+117496.507722054i</v>
      </c>
      <c r="X617" s="734">
        <f t="shared" ref="X617" si="520">IMABS(W617)</f>
        <v>117496.50772630944</v>
      </c>
      <c r="Y617" s="735">
        <f t="shared" ref="Y617" si="521">IMARGUMENT(W617)</f>
        <v>1.5707878159036424</v>
      </c>
      <c r="Z617" s="340" t="str">
        <f>IMSUM(COMPLEX(1,0),IMDIV(COMPLEX(0,2*PI()*D617),COMPLEX(2*PI()*'Stability Calculations'!EA_Zero1,0)))</f>
        <v>1+1163.3317596243i</v>
      </c>
      <c r="AA617" s="734">
        <f t="shared" ref="AA617" si="522">IMABS(Z617)</f>
        <v>1163.3321894242292</v>
      </c>
      <c r="AB617" s="735">
        <f t="shared" ref="AB617" si="523">IMARGUMENT(Z617)</f>
        <v>1.56993672698992</v>
      </c>
      <c r="AC617" s="733" t="str">
        <f>IMSUM(COMPLEX(1,0),IMDIV(COMPLEX(0,2*PI()*D617),COMPLEX(2*PI()*'Stability Calculations'!EA_Pole2,0)))</f>
        <v>1+11.7187714423969i</v>
      </c>
      <c r="AD617" s="734">
        <f t="shared" ref="AD617" si="524">IMABS(AC617)</f>
        <v>11.761360640637507</v>
      </c>
      <c r="AE617" s="735">
        <f t="shared" ref="AE617" si="525">IMARGUMENT(AC617)</f>
        <v>1.4856693743272953</v>
      </c>
      <c r="AF617" s="732" t="str">
        <f t="shared" ref="AF617" si="526">IMPRODUCT(V617,IMDIV(Z617,IMPRODUCT(W617,AC617)))</f>
        <v>0.425168880111977-5.03301668047488i</v>
      </c>
      <c r="AG617" s="337">
        <f t="shared" ref="AG617" si="527">IMABS(AF617)</f>
        <v>5.0509430290346824</v>
      </c>
      <c r="AH617" s="730">
        <f t="shared" ref="AH617" si="528">IMARGUMENT(AF617)</f>
        <v>-1.4865204632410176</v>
      </c>
      <c r="AI617" s="731" t="str">
        <f t="shared" ref="AI617" si="529">COMPLEX(AIL,0)</f>
        <v>10000</v>
      </c>
      <c r="AJ617" s="733" t="str">
        <f t="shared" ref="AJ617" si="530">IMSUM(COMPLEX(1,0),IMDIV(COMPLEX(0,2*PI()*D617),COMPLEX(2*PI()*IL_Pole1,0)))</f>
        <v>1+109539.085819873i</v>
      </c>
      <c r="AK617" s="734">
        <f t="shared" ref="AK617" si="531">IMABS(AJ617)</f>
        <v>109539.08582443757</v>
      </c>
      <c r="AL617" s="735">
        <f t="shared" ref="AL617" si="532">IMARGUMENT(AJ617)</f>
        <v>1.5707871976334427</v>
      </c>
      <c r="AM617" s="340" t="str">
        <f t="shared" ref="AM617" si="533">IMSUM(COMPLEX(1,0),IMDIV(COMPLEX(0,2*PI()*D617),COMPLEX(2*PI()*IL_Zero1,0)))</f>
        <v>1+185.900415187963i</v>
      </c>
      <c r="AN617" s="734">
        <f t="shared" ref="AN617" si="534">IMABS(AM617)</f>
        <v>185.90310478057387</v>
      </c>
      <c r="AO617" s="735">
        <f t="shared" ref="AO617" si="535">IMARGUMENT(AM617)</f>
        <v>1.5654171545439599</v>
      </c>
      <c r="AP617" s="733" t="str">
        <f t="shared" ref="AP617" si="536">IMSUM(COMPLEX(1,0),IMDIV(COMPLEX(0,2*PI()*D617),COMPLEX(2*PI()*IL_Pole2,0)))</f>
        <v>1+9.01647656198975i</v>
      </c>
      <c r="AQ617" s="734">
        <f t="shared" ref="AQ617" si="537">IMABS(AP617)</f>
        <v>9.0717611075750071</v>
      </c>
      <c r="AR617" s="735">
        <f t="shared" ref="AR617" si="538">IMARGUMENT(AP617)</f>
        <v>1.4603396765879408</v>
      </c>
      <c r="AS617" s="732" t="str">
        <f>_xlfn.SWITCH(IMONLIM_select,0,COMPLEX(1,0),1,IMPRODUCT(gm_IL,IMDIV(COMPLEX(1,0),IMSUM(COMPLEX(1/20000000,0),COMPLEX(0,2*PI()*D617*CISET),COMPLEX(1/RISET,0)))),2,IMPRODUCT(gm_IL,IMDIV(COMPLEX(1,0),IMSUM(COMPLEX(1/20000000,0),COMPLEX(0,2*PI()*D617*CcIL)))),3,IMPRODUCT(AI617,IMDIV(AM617,IMPRODUCT(AJ617,AP617))))</f>
        <v>0.00798996424649139-12.6411716660403i</v>
      </c>
      <c r="AT617" s="337">
        <f t="shared" ref="AT617" si="539">IMABS(AS617)</f>
        <v>12.641174191103799</v>
      </c>
      <c r="AU617" s="730">
        <f t="shared" ref="AU617" si="540">IMARGUMENT(AS617)</f>
        <v>-1.570164268043257</v>
      </c>
      <c r="AV617" s="732" t="str">
        <f t="shared" ref="AV617" si="541">IMPRODUCT(T617,AS617,COMPLEX($B$15,0),IMPRODUCT(COMPLEX(0.1,0),AF617))</f>
        <v>-1.00039644990966+0.0861911489727271i</v>
      </c>
      <c r="AW617" s="337">
        <f t="shared" ref="AW617" si="542">20*LOG10(IMABS(AV617))</f>
        <v>3.5561573419435152E-2</v>
      </c>
      <c r="AX617" s="730">
        <f t="shared" ref="AX617" si="543">(180/PI())*IMARGUMENT(AV617)</f>
        <v>175.07572828967446</v>
      </c>
      <c r="AY617" s="360">
        <f>IF(AX617&gt;0,AX617-180,AX617+180)</f>
        <v>-4.9242717103255416</v>
      </c>
      <c r="AZ617" s="405" t="s">
        <v>477</v>
      </c>
      <c r="BB617" s="337">
        <f>20*LOG10(IMABS(AS617))</f>
        <v>22.035748316004735</v>
      </c>
      <c r="BC617" s="730">
        <f>(180/PI())*IMARGUMENT(AS617)</f>
        <v>-89.963785701126753</v>
      </c>
      <c r="BD617" s="351"/>
      <c r="BE617" s="337">
        <f>20*LOG10(IMABS(IMPRODUCT(COMPLEX(Am/Afb,0),S617)))</f>
        <v>85.539855404467446</v>
      </c>
      <c r="BF617" s="730">
        <f>180/PI()*IMARGUMENT(IMPRODUCT(COMPLEX(Am/Afb,0),S617))</f>
        <v>-2.4530704501458311</v>
      </c>
      <c r="BI617" s="351"/>
      <c r="BJ617" s="351"/>
    </row>
    <row r="618" spans="4:67" x14ac:dyDescent="0.2">
      <c r="D618" s="352">
        <f>D617</f>
        <v>18515</v>
      </c>
      <c r="E618" s="728"/>
      <c r="F618" s="728"/>
      <c r="G618" s="337"/>
      <c r="H618" s="338"/>
      <c r="I618" s="338"/>
      <c r="J618" s="337"/>
      <c r="K618" s="338"/>
      <c r="L618" s="340"/>
      <c r="M618" s="340"/>
      <c r="N618" s="338"/>
      <c r="O618" s="339"/>
      <c r="P618" s="731"/>
      <c r="Q618" s="338"/>
      <c r="R618" s="339"/>
      <c r="S618" s="732"/>
      <c r="T618" s="337"/>
      <c r="U618" s="339"/>
      <c r="V618" s="741"/>
      <c r="W618" s="741"/>
      <c r="X618" s="741"/>
      <c r="Y618" s="741"/>
      <c r="Z618" s="741"/>
      <c r="AA618" s="741"/>
      <c r="AB618" s="741"/>
      <c r="AC618" s="741"/>
      <c r="AD618" s="741"/>
      <c r="AE618" s="741"/>
      <c r="AF618" s="741"/>
      <c r="AG618" s="741"/>
      <c r="AH618" s="740"/>
      <c r="AI618" s="731"/>
      <c r="AJ618" s="337"/>
      <c r="AK618" s="346"/>
      <c r="AL618" s="347"/>
      <c r="AM618" s="340"/>
      <c r="AN618" s="337"/>
      <c r="AO618" s="339"/>
      <c r="AP618" s="337"/>
      <c r="AQ618" s="346"/>
      <c r="AR618" s="347"/>
      <c r="AS618" s="732"/>
      <c r="AT618" s="337"/>
      <c r="AU618" s="339"/>
      <c r="AV618" s="736"/>
      <c r="AW618" s="337"/>
      <c r="AX618" s="342">
        <v>0</v>
      </c>
      <c r="AY618" s="360">
        <f>IF(AY617&lt;0,0,-180)</f>
        <v>0</v>
      </c>
      <c r="BB618" s="343"/>
      <c r="BC618" s="344"/>
      <c r="BD618" s="351"/>
      <c r="BE618" s="343"/>
      <c r="BF618" s="344"/>
      <c r="BI618" s="351"/>
      <c r="BJ618" s="351"/>
    </row>
    <row r="619" spans="4:67" x14ac:dyDescent="0.2">
      <c r="D619" s="405">
        <f>D618</f>
        <v>18515</v>
      </c>
      <c r="E619" s="728"/>
      <c r="F619" s="728"/>
      <c r="G619" s="337"/>
      <c r="H619" s="338"/>
      <c r="I619" s="338"/>
      <c r="J619" s="337"/>
      <c r="K619" s="338"/>
      <c r="L619" s="340"/>
      <c r="M619" s="340"/>
      <c r="N619" s="338"/>
      <c r="O619" s="339"/>
      <c r="P619" s="731"/>
      <c r="Q619" s="338"/>
      <c r="R619" s="339"/>
      <c r="S619" s="732"/>
      <c r="T619" s="337"/>
      <c r="U619" s="339"/>
      <c r="V619" s="741"/>
      <c r="W619" s="741"/>
      <c r="X619" s="741"/>
      <c r="Y619" s="741"/>
      <c r="Z619" s="741"/>
      <c r="AA619" s="741"/>
      <c r="AB619" s="741"/>
      <c r="AC619" s="741"/>
      <c r="AD619" s="741"/>
      <c r="AE619" s="741"/>
      <c r="AF619" s="741"/>
      <c r="AG619" s="741"/>
      <c r="AH619" s="740"/>
      <c r="AI619" s="731"/>
      <c r="AJ619" s="337"/>
      <c r="AK619" s="346"/>
      <c r="AL619" s="347"/>
      <c r="AM619" s="340"/>
      <c r="AN619" s="337"/>
      <c r="AO619" s="339"/>
      <c r="AP619" s="337"/>
      <c r="AQ619" s="346"/>
      <c r="AR619" s="347"/>
      <c r="AS619" s="732"/>
      <c r="AT619" s="337"/>
      <c r="AU619" s="339"/>
      <c r="AV619" s="736"/>
      <c r="AW619" s="337"/>
      <c r="AX619" s="342">
        <f>AX617</f>
        <v>175.07572828967446</v>
      </c>
      <c r="AY619" s="360">
        <f t="shared" ref="AY619:AY620" si="544">IF(AX619&gt;0,AX619-180,AX619+180)</f>
        <v>-4.9242717103255416</v>
      </c>
      <c r="BB619" s="343"/>
      <c r="BC619" s="344"/>
      <c r="BD619" s="351"/>
      <c r="BE619" s="343"/>
      <c r="BF619" s="344"/>
      <c r="BI619" s="351"/>
      <c r="BJ619" s="351"/>
    </row>
    <row r="620" spans="4:67" ht="13.5" thickBot="1" x14ac:dyDescent="0.25">
      <c r="D620" s="352">
        <v>1000000</v>
      </c>
      <c r="E620" s="728"/>
      <c r="F620" s="728"/>
      <c r="G620" s="337"/>
      <c r="H620" s="338"/>
      <c r="I620" s="338"/>
      <c r="J620" s="337"/>
      <c r="K620" s="338"/>
      <c r="L620" s="340"/>
      <c r="M620" s="340"/>
      <c r="N620" s="338"/>
      <c r="O620" s="339"/>
      <c r="P620" s="731"/>
      <c r="Q620" s="338"/>
      <c r="R620" s="339"/>
      <c r="S620" s="732"/>
      <c r="T620" s="337"/>
      <c r="U620" s="339"/>
      <c r="V620" s="741"/>
      <c r="W620" s="741"/>
      <c r="X620" s="741"/>
      <c r="Y620" s="741"/>
      <c r="Z620" s="741"/>
      <c r="AA620" s="741"/>
      <c r="AB620" s="741"/>
      <c r="AC620" s="741"/>
      <c r="AD620" s="741"/>
      <c r="AE620" s="741"/>
      <c r="AF620" s="741"/>
      <c r="AG620" s="741"/>
      <c r="AH620" s="740"/>
      <c r="AI620" s="731"/>
      <c r="AJ620" s="337"/>
      <c r="AK620" s="346"/>
      <c r="AL620" s="347"/>
      <c r="AM620" s="340"/>
      <c r="AN620" s="337"/>
      <c r="AO620" s="339"/>
      <c r="AP620" s="337"/>
      <c r="AQ620" s="346"/>
      <c r="AR620" s="347"/>
      <c r="AS620" s="732"/>
      <c r="AT620" s="337"/>
      <c r="AU620" s="339"/>
      <c r="AV620" s="736"/>
      <c r="AW620" s="337"/>
      <c r="AX620" s="342">
        <f>AX617</f>
        <v>175.07572828967446</v>
      </c>
      <c r="AY620" s="360">
        <f t="shared" si="544"/>
        <v>-4.9242717103255416</v>
      </c>
      <c r="BB620" s="343"/>
      <c r="BC620" s="344"/>
      <c r="BD620" s="351"/>
      <c r="BE620" s="343"/>
      <c r="BF620" s="344"/>
      <c r="BI620" s="351"/>
      <c r="BJ620" s="351"/>
    </row>
    <row r="621" spans="4:67" ht="13.5" thickBot="1" x14ac:dyDescent="0.25">
      <c r="D621" s="352"/>
      <c r="E621" s="728"/>
      <c r="F621" s="728"/>
      <c r="G621" s="337"/>
      <c r="H621" s="338"/>
      <c r="I621" s="338"/>
      <c r="J621" s="337"/>
      <c r="K621" s="338"/>
      <c r="L621" s="340"/>
      <c r="M621" s="340"/>
      <c r="N621" s="338"/>
      <c r="O621" s="339"/>
      <c r="P621" s="731"/>
      <c r="Q621" s="338"/>
      <c r="R621" s="339"/>
      <c r="S621" s="732"/>
      <c r="T621" s="337"/>
      <c r="U621" s="339"/>
      <c r="V621" s="741"/>
      <c r="W621" s="741"/>
      <c r="X621" s="741"/>
      <c r="Y621" s="741"/>
      <c r="Z621" s="741"/>
      <c r="AA621" s="741"/>
      <c r="AB621" s="741"/>
      <c r="AC621" s="741"/>
      <c r="AD621" s="741"/>
      <c r="AE621" s="741"/>
      <c r="AF621" s="741"/>
      <c r="AG621" s="741"/>
      <c r="AH621" s="740"/>
      <c r="AI621" s="731"/>
      <c r="AJ621" s="337"/>
      <c r="AK621" s="346"/>
      <c r="AL621" s="347"/>
      <c r="AM621" s="340"/>
      <c r="AN621" s="337"/>
      <c r="AO621" s="339"/>
      <c r="AP621" s="337"/>
      <c r="AQ621" s="346"/>
      <c r="AR621" s="347"/>
      <c r="AS621" s="732"/>
      <c r="AT621" s="337"/>
      <c r="AU621" s="339"/>
      <c r="AV621" s="736"/>
      <c r="AW621" s="337"/>
      <c r="AX621" s="730"/>
      <c r="AY621" s="360"/>
      <c r="BB621" s="343"/>
      <c r="BC621" s="344"/>
      <c r="BD621" s="351"/>
      <c r="BE621" s="343"/>
      <c r="BF621" s="344"/>
      <c r="BI621" s="351"/>
      <c r="BJ621" s="351"/>
    </row>
    <row r="622" spans="4:67" ht="13.5" thickBot="1" x14ac:dyDescent="0.25">
      <c r="D622" s="425">
        <f>PS_Pole1</f>
        <v>1308.1228199333864</v>
      </c>
      <c r="E622" s="340" t="str">
        <f t="shared" ref="E622:E629" si="545">COMPLEX(0,2*PI()*D622*L)</f>
        <v>0.0216986301369863i</v>
      </c>
      <c r="F622" s="728" t="str">
        <f t="shared" ref="F622:F629" si="546">IMSUM(COMPLEX($B$8,0),IMDIV(COMPLEX(1,0),COMPLEX(0,2*PI()*D622*$B$6)))</f>
        <v>0.005-1.99453551912568i</v>
      </c>
      <c r="G622" s="337" t="str">
        <f t="shared" ref="G622:G629" si="547">IMSUM(COMPLEX($B$9,0),IMDIV(COMPLEX(1,0),COMPLEX(0,2*PI()*D622*$B$7)))</f>
        <v>0.005-3.11965811965812i</v>
      </c>
      <c r="H622" s="338" t="str">
        <f t="shared" ref="H622:H629" si="548">IMDIV(COMPLEX(1,0),IMSUM(IMDIV(COMPLEX(1,0),COMPLEX($B$5,0)), IMDIV(COMPLEX(1,0),G622)))</f>
        <v>1.05555766759651-0.41140927456961i</v>
      </c>
      <c r="I622" s="338" t="str">
        <f t="shared" ref="I622:I629" si="549">IMSUM(H622,COMPLEX($B$15,0))</f>
        <v>1.06555766759651-0.41140927456961i</v>
      </c>
      <c r="J622" s="337" t="str">
        <f t="shared" ref="J622:J629" si="550">IMDIV(COMPLEX(1,0),IMSUM(IMDIV(COMPLEX(1,0),F622),IMDIV(COMPLEX(1,0),IMSUM(COMPLEX($B$15,0),H622))))</f>
        <v>0.612217341795861-0.611259491920912i</v>
      </c>
      <c r="K622" s="338" t="str">
        <f t="shared" ref="K622:K629" si="551">IMSUM(COMPLEX(1,0),COMPLEX(0,2*PI()*D622/(Fsw*PI()*(-2)/PI())),IMPRODUCT(COMPLEX(0,2*PI()*D622/(Fsw*PI())),COMPLEX(0,2*PI()*D622/(Fsw*PI()))))</f>
        <v>0.999980986829866-0.00684931506849315i</v>
      </c>
      <c r="L622" s="732"/>
      <c r="M622" s="732" t="str">
        <f t="shared" ref="M622:M629" si="552">IF(Vin&gt;=Vout,IMDIV(COMPLEX(Vin,0),IMSUM(E622,J622)),IMDIV(IMSUM(COMPLEX(Vout,0),IMPRODUCT(J622,COMPLEX($B$4,0))),IMSUM(E622,IMPRODUCT(J622,COMPLEX((1-$B$11)^2,0)))))</f>
        <v>16.9497245585173+16.3224618701697i</v>
      </c>
      <c r="N622" s="337">
        <f t="shared" ref="N622:N629" si="553">IF(Vin&gt;=Vout,0,IMSUB(IMPRODUCT(M622,COMPLEX(1-$B$11,0)),COMPLEX($B$4/(1-$B$11),0)))</f>
        <v>0</v>
      </c>
      <c r="O622" s="730" t="str">
        <f t="shared" ref="O622:O629" si="554">IMDIV(IF(Vin&gt;=Vout,M622,N622),IMPRODUCT(I622,IMSUM(IMDIV(COMPLEX(1,0),F622),IMDIV(COMPLEX(1,0),I622))))</f>
        <v>16.739746837887+6.11801828955868i</v>
      </c>
      <c r="P622" s="731" t="str">
        <f t="shared" ref="P622:P629" si="555">IF(Vin&gt;=Vout,IMDIV(IMPRODUCT(COMPLEX(Vin,0),J622),IMSUM(J622,E622)),IMPRODUCT(N622,J622))</f>
        <v>20.3541750630458-0.367785804119035i</v>
      </c>
      <c r="Q622" s="729" t="str">
        <f t="shared" ref="Q622:Q629" si="556">IF(Vin&gt;=Vout,IMDIV(IMPRODUCT(P622,H622),IMSUM(COMPLEX($B$15,0),H622)),IMPRODUCT(O622,H622))</f>
        <v>20.186777594667-0.428965987014605i</v>
      </c>
      <c r="R622" s="730"/>
      <c r="S622" s="405" t="str">
        <f t="shared" ref="S622:S629" si="557">IMDIV(IMPRODUCT(COMPLEX($B$34,0),M622),IMSUM(COMPLEX(1,0),IMPRODUCT(M622,COMPLEX($B$29,0),K622,COMPLEX($B$34,0))))</f>
        <v>26.8436827500155+7.33872782990463i</v>
      </c>
      <c r="T622" s="405" t="str">
        <f t="shared" ref="T622:T629" si="558">IMDIV(IMPRODUCT(COMPLEX($B$34,0),O622),IMSUM(COMPLEX(1,0),IMPRODUCT(M622,COMPLEX($B$29,0),K622,COMPLEX($B$34,0))))</f>
        <v>20.8433245283096-3.13490532952289i</v>
      </c>
      <c r="U622" s="405" t="str">
        <f t="shared" ref="U622:U629" si="559">IMDIV(IMPRODUCT(COMPLEX($B$34,0),Q622),IMSUM(COMPLEX(1,0),IMPRODUCT(M622,COMPLEX($B$29,0),K622,COMPLEX($B$34,0))))</f>
        <v>20.7116018965962-11.8842103815778i</v>
      </c>
      <c r="V622" s="731" t="str">
        <f t="shared" ref="V622:V629" si="560">COMPLEX(AEA,0)</f>
        <v>6000</v>
      </c>
      <c r="W622" s="733" t="str">
        <f>IMSUM(COMPLEX(1,0),IMDIV(COMPLEX(0,2*PI()*D622),COMPLEX(2*PI()*'Stability Calculations'!EA_Pole1,0)))</f>
        <v>1+8301.3698630137i</v>
      </c>
      <c r="X622" s="734">
        <f t="shared" ref="X622:X629" si="561">IMABS(W622)</f>
        <v>8301.3699232447234</v>
      </c>
      <c r="Y622" s="735">
        <f t="shared" ref="Y622:Y629" si="562">IMARGUMENT(W622)</f>
        <v>1.5706758647492747</v>
      </c>
      <c r="Z622" s="340" t="str">
        <f>IMSUM(COMPLEX(1,0),IMDIV(COMPLEX(0,2*PI()*D622),COMPLEX(2*PI()*'Stability Calculations'!EA_Zero1,0)))</f>
        <v>1+82.1917808219178i</v>
      </c>
      <c r="AA622" s="734">
        <f t="shared" ref="AA622:AA629" si="563">IMABS(Z622)</f>
        <v>82.197863930142219</v>
      </c>
      <c r="AB622" s="735">
        <f t="shared" ref="AB622:AB629" si="564">IMARGUMENT(Z622)</f>
        <v>1.5586302604097924</v>
      </c>
      <c r="AC622" s="733" t="str">
        <f>IMSUM(COMPLEX(1,0),IMDIV(COMPLEX(0,2*PI()*D622),COMPLEX(2*PI()*'Stability Calculations'!EA_Pole2,0)))</f>
        <v>1+0.827955298157332i</v>
      </c>
      <c r="AD622" s="734">
        <f t="shared" ref="AD622:AD629" si="565">IMABS(AC622)</f>
        <v>1.2982719190319094</v>
      </c>
      <c r="AE622" s="735">
        <f t="shared" ref="AE622:AE629" si="566">IMARGUMENT(AC622)</f>
        <v>0.69155594745837212</v>
      </c>
      <c r="AF622" s="732" t="str">
        <f t="shared" ref="AF622:AF629" si="567">IMPRODUCT(V622,IMDIV(Z622,IMPRODUCT(W622,AC622)))</f>
        <v>34.8936105385165-29.6059658228859i</v>
      </c>
      <c r="AG622" s="337">
        <f t="shared" ref="AG622:AG629" si="568">IMABS(AF622)</f>
        <v>45.761089024623942</v>
      </c>
      <c r="AH622" s="730">
        <f t="shared" ref="AH622:AH629" si="569">IMARGUMENT(AF622)</f>
        <v>-0.703601551797854</v>
      </c>
      <c r="AI622" s="731" t="str">
        <f t="shared" ref="AI622:AI629" si="570">COMPLEX(AIL,0)</f>
        <v>10000</v>
      </c>
      <c r="AJ622" s="733" t="str">
        <f t="shared" ref="AJ622:AJ629" si="571">IMSUM(COMPLEX(1,0),IMDIV(COMPLEX(0,2*PI()*D622),COMPLEX(2*PI()*IL_Pole1,0)))</f>
        <v>1+7739.16164383565i</v>
      </c>
      <c r="AK622" s="734">
        <f t="shared" ref="AK622:AK629" si="572">IMABS(AJ622)</f>
        <v>7739.1617084421305</v>
      </c>
      <c r="AL622" s="735">
        <f t="shared" ref="AL622:AL629" si="573">IMARGUMENT(AJ622)</f>
        <v>1.5706671138335377</v>
      </c>
      <c r="AM622" s="340" t="str">
        <f t="shared" ref="AM622:AM629" si="574">IMSUM(COMPLEX(1,0),IMDIV(COMPLEX(0,2*PI()*D622),COMPLEX(2*PI()*IL_Zero1,0)))</f>
        <v>1+13.1342465753425i</v>
      </c>
      <c r="AN622" s="734">
        <f t="shared" ref="AN622:AN629" si="575">IMABS(AM622)</f>
        <v>13.172259984600068</v>
      </c>
      <c r="AO622" s="735">
        <f t="shared" ref="AO622:AO629" si="576">IMARGUMENT(AM622)</f>
        <v>1.4948060966354038</v>
      </c>
      <c r="AP622" s="733" t="str">
        <f t="shared" ref="AP622:AP629" si="577">IMSUM(COMPLEX(1,0),IMDIV(COMPLEX(0,2*PI()*D622),COMPLEX(2*PI()*IL_Pole2,0)))</f>
        <v>1+0.637032608486811i</v>
      </c>
      <c r="AQ622" s="734">
        <f t="shared" ref="AQ622:AQ629" si="578">IMABS(AP622)</f>
        <v>1.1856688172822589</v>
      </c>
      <c r="AR622" s="735">
        <f t="shared" ref="AR622:AR629" si="579">IMARGUMENT(AP622)</f>
        <v>0.56720522400168616</v>
      </c>
      <c r="AS622" s="732" t="str">
        <f t="shared" ref="AS622:AS629" si="580">_xlfn.SWITCH(IMONLIM_select,0,COMPLEX(1,0),1,IMPRODUCT(gm_IL,IMDIV(COMPLEX(1,0),IMSUM(COMPLEX(1/20000000,0),COMPLEX(0,2*PI()*D622*CISET),COMPLEX(1/RISET,0)))),2,IMPRODUCT(gm_IL,IMDIV(COMPLEX(1,0),IMSUM(COMPLEX(1/20000000,0),COMPLEX(0,2*PI()*D622*CcIL)))),3,IMPRODUCT(AI622,IMDIV(AM622,IMPRODUCT(AJ622,AP622))))</f>
        <v>1.60051829281433-178.907250265273i</v>
      </c>
      <c r="AT622" s="337">
        <f t="shared" ref="AT622:AT629" si="581">IMABS(AS622)</f>
        <v>178.91440930312646</v>
      </c>
      <c r="AU622" s="730">
        <f t="shared" ref="AU622:AU629" si="582">IMARGUMENT(AS622)</f>
        <v>-1.561850487010533</v>
      </c>
      <c r="AV622" s="732" t="str">
        <f t="shared" ref="AV622:AV629" si="583">IMPRODUCT(T622,AS622,COMPLEX($B$15,0),IMPRODUCT(COMPLEX(0.1,0),AF622))</f>
        <v>-128.956122224773-114.677051660511i</v>
      </c>
      <c r="AW622" s="337">
        <f t="shared" ref="AW622:AW629" si="584">20*LOG10(IMABS(AV622))</f>
        <v>44.739320964376887</v>
      </c>
      <c r="AX622" s="730">
        <f t="shared" ref="AX622:AX629" si="585">(180/PI())*IMARGUMENT(AV622)</f>
        <v>-138.35420514201874</v>
      </c>
      <c r="AY622" s="360">
        <f t="shared" ref="AY622:AY629" si="586">IF(AX622&gt;0,AX622-180,AX622+180)</f>
        <v>41.645794857981258</v>
      </c>
      <c r="AZ622" s="405" t="s">
        <v>454</v>
      </c>
      <c r="BB622" s="337">
        <f t="shared" ref="BB622:BB628" si="587">20*LOG10(IMABS(AS622))</f>
        <v>45.052906378572992</v>
      </c>
      <c r="BC622" s="730">
        <f t="shared" ref="BC622:BC628" si="588">(180/PI())*IMARGUMENT(AS622)</f>
        <v>-89.487441136155738</v>
      </c>
      <c r="BD622" s="351"/>
      <c r="BE622" s="337">
        <f t="shared" ref="BE622:BE628" si="589">20*LOG10(IMABS(IMPRODUCT(COMPLEX(Am/Afb,0),S622)))</f>
        <v>82.419001536289471</v>
      </c>
      <c r="BF622" s="730">
        <f t="shared" ref="BF622:BF628" si="590">180/PI()*IMARGUMENT(IMPRODUCT(COMPLEX(Am/Afb,0),S622))</f>
        <v>15.29032317401108</v>
      </c>
      <c r="BI622" s="351"/>
      <c r="BJ622" s="351"/>
    </row>
    <row r="623" spans="4:67" ht="13.5" thickBot="1" x14ac:dyDescent="0.25">
      <c r="D623" s="425">
        <f>PS_Zero1</f>
        <v>318309.88618379069</v>
      </c>
      <c r="E623" s="340" t="str">
        <f t="shared" si="545"/>
        <v>5.28i</v>
      </c>
      <c r="F623" s="728" t="str">
        <f t="shared" si="546"/>
        <v>0.005-0.00819672131147541i</v>
      </c>
      <c r="G623" s="337" t="str">
        <f t="shared" si="547"/>
        <v>0.005-0.0128205128205128i</v>
      </c>
      <c r="H623" s="338" t="str">
        <f t="shared" si="548"/>
        <v>0.00511296447196426-0.0127143845334736i</v>
      </c>
      <c r="I623" s="338" t="str">
        <f t="shared" si="549"/>
        <v>0.0151129644719643-0.0127143845334736i</v>
      </c>
      <c r="J623" s="337" t="str">
        <f t="shared" si="550"/>
        <v>0.00397181174873696-0.005190368874054i</v>
      </c>
      <c r="K623" s="338" t="str">
        <f t="shared" si="551"/>
        <v>-0.12579092935931-1.66666666666667i</v>
      </c>
      <c r="L623" s="732"/>
      <c r="M623" s="732" t="str">
        <f t="shared" si="552"/>
        <v>0.00285499153294963-3.7916038794071i</v>
      </c>
      <c r="N623" s="337">
        <f t="shared" si="553"/>
        <v>0</v>
      </c>
      <c r="O623" s="730" t="str">
        <f t="shared" si="554"/>
        <v>-0.270698554818165-1.22518125725344i</v>
      </c>
      <c r="P623" s="731" t="str">
        <f t="shared" si="555"/>
        <v>-0.0196684832695039-0.0150743552939741i</v>
      </c>
      <c r="Q623" s="729" t="str">
        <f t="shared" si="556"/>
        <v>-0.0169614977213223-0.00282254272143962i</v>
      </c>
      <c r="R623" s="730"/>
      <c r="S623" s="405" t="str">
        <f t="shared" si="557"/>
        <v>-1.77254635983167-23.915904433405i</v>
      </c>
      <c r="T623" s="405" t="str">
        <f t="shared" si="558"/>
        <v>-2.2859424757614-7.59967725906281i</v>
      </c>
      <c r="U623" s="405" t="str">
        <f t="shared" si="559"/>
        <v>-0.108313161665542-0.00979252816575176i</v>
      </c>
      <c r="V623" s="731" t="str">
        <f t="shared" si="560"/>
        <v>6000</v>
      </c>
      <c r="W623" s="733" t="str">
        <f>IMSUM(COMPLEX(1,0),IMDIV(COMPLEX(0,2*PI()*D623),COMPLEX(2*PI()*'Stability Calculations'!EA_Pole1,0)))</f>
        <v>1+2020000i</v>
      </c>
      <c r="X623" s="734">
        <f t="shared" si="561"/>
        <v>2020000.0000002475</v>
      </c>
      <c r="Y623" s="735">
        <f t="shared" si="562"/>
        <v>1.5707958317453916</v>
      </c>
      <c r="Z623" s="340" t="str">
        <f>IMSUM(COMPLEX(1,0),IMDIV(COMPLEX(0,2*PI()*D623),COMPLEX(2*PI()*'Stability Calculations'!EA_Zero1,0)))</f>
        <v>1+20000i</v>
      </c>
      <c r="AA623" s="734">
        <f t="shared" si="563"/>
        <v>20000.000024999998</v>
      </c>
      <c r="AB623" s="735">
        <f t="shared" si="564"/>
        <v>1.5707463267949382</v>
      </c>
      <c r="AC623" s="733" t="str">
        <f>IMSUM(COMPLEX(1,0),IMDIV(COMPLEX(0,2*PI()*D623),COMPLEX(2*PI()*'Stability Calculations'!EA_Pole2,0)))</f>
        <v>1+201.469122551618i</v>
      </c>
      <c r="AD623" s="734">
        <f t="shared" si="565"/>
        <v>201.47160430621201</v>
      </c>
      <c r="AE623" s="735">
        <f t="shared" si="566"/>
        <v>1.5658328277970646</v>
      </c>
      <c r="AF623" s="732" t="str">
        <f t="shared" si="567"/>
        <v>0.0014489350247617-0.294856556221268i</v>
      </c>
      <c r="AG623" s="337">
        <f t="shared" si="568"/>
        <v>0.2948601162574751</v>
      </c>
      <c r="AH623" s="730">
        <f t="shared" si="569"/>
        <v>-1.565882332747518</v>
      </c>
      <c r="AI623" s="731" t="str">
        <f t="shared" si="570"/>
        <v>10000</v>
      </c>
      <c r="AJ623" s="733" t="str">
        <f t="shared" si="571"/>
        <v>1+1883196.00000001i</v>
      </c>
      <c r="AK623" s="734">
        <f t="shared" si="572"/>
        <v>1883196.0000002754</v>
      </c>
      <c r="AL623" s="735">
        <f t="shared" si="573"/>
        <v>1.5707957957827237</v>
      </c>
      <c r="AM623" s="340" t="str">
        <f t="shared" si="574"/>
        <v>1+3196i</v>
      </c>
      <c r="AN623" s="734">
        <f t="shared" si="575"/>
        <v>3196.0001564455533</v>
      </c>
      <c r="AO623" s="735">
        <f t="shared" si="576"/>
        <v>1.570483435691215</v>
      </c>
      <c r="AP623" s="733" t="str">
        <f t="shared" si="577"/>
        <v>1+155.011268065124i</v>
      </c>
      <c r="AQ623" s="734">
        <f t="shared" si="578"/>
        <v>155.01449360352643</v>
      </c>
      <c r="AR623" s="735">
        <f t="shared" si="579"/>
        <v>1.5643452723624733</v>
      </c>
      <c r="AS623" s="732" t="str">
        <f t="shared" si="580"/>
        <v>0.0000270328719357795-0.735294116653203i</v>
      </c>
      <c r="AT623" s="337">
        <f t="shared" si="581"/>
        <v>0.73529411715013082</v>
      </c>
      <c r="AU623" s="730">
        <f t="shared" si="582"/>
        <v>-1.5707595620890309</v>
      </c>
      <c r="AV623" s="732" t="str">
        <f t="shared" si="583"/>
        <v>0.000487449398533706+0.00165011119087352i</v>
      </c>
      <c r="AW623" s="337">
        <f t="shared" si="584"/>
        <v>-55.286387694790548</v>
      </c>
      <c r="AX623" s="730">
        <f t="shared" si="585"/>
        <v>73.542650280158341</v>
      </c>
      <c r="AY623" s="360">
        <f t="shared" si="586"/>
        <v>-106.45734971984166</v>
      </c>
      <c r="AZ623" s="405" t="s">
        <v>449</v>
      </c>
      <c r="BB623" s="337">
        <f t="shared" si="587"/>
        <v>-2.6707781732744662</v>
      </c>
      <c r="BC623" s="730">
        <f t="shared" si="588"/>
        <v>-89.997893537518863</v>
      </c>
      <c r="BD623" s="351"/>
      <c r="BE623" s="337">
        <f t="shared" si="589"/>
        <v>81.126649841546453</v>
      </c>
      <c r="BF623" s="730">
        <f t="shared" si="590"/>
        <v>-94.238772393566251</v>
      </c>
      <c r="BI623" s="351"/>
      <c r="BJ623" s="351"/>
    </row>
    <row r="624" spans="4:67" ht="13.5" thickBot="1" x14ac:dyDescent="0.25">
      <c r="D624" s="425">
        <f>IL_Pole1</f>
        <v>0.16902642432534409</v>
      </c>
      <c r="E624" s="340" t="str">
        <f t="shared" si="545"/>
        <v>2.80374427303372E-06i</v>
      </c>
      <c r="F624" s="728" t="str">
        <f t="shared" si="546"/>
        <v>0.005-15436.0327868852i</v>
      </c>
      <c r="G624" s="337" t="str">
        <f t="shared" si="547"/>
        <v>0.005-24143.5384615384i</v>
      </c>
      <c r="H624" s="338" t="str">
        <f t="shared" si="548"/>
        <v>1.2166666635643-0.0000613115503490037i</v>
      </c>
      <c r="I624" s="338" t="str">
        <f t="shared" si="549"/>
        <v>1.2266666635643-0.0000613115503490037i</v>
      </c>
      <c r="J624" s="337" t="str">
        <f t="shared" si="550"/>
        <v>1.22666664604159-0.000158791977668417i</v>
      </c>
      <c r="K624" s="338" t="str">
        <f t="shared" si="551"/>
        <v>0.999999999999683-8.85020288205087E-07i</v>
      </c>
      <c r="L624" s="732"/>
      <c r="M624" s="732" t="str">
        <f t="shared" si="552"/>
        <v>16.3043478365732+0.00207333135200014i</v>
      </c>
      <c r="N624" s="337">
        <f t="shared" si="553"/>
        <v>0</v>
      </c>
      <c r="O624" s="730" t="str">
        <f t="shared" si="554"/>
        <v>16.304347833192+0.000777661649692395i</v>
      </c>
      <c r="P624" s="731" t="str">
        <f t="shared" si="555"/>
        <v>20.0000000058131-0.0000457132218723469i</v>
      </c>
      <c r="Q624" s="729" t="str">
        <f t="shared" si="556"/>
        <v>19.8369565274812-0.0000534898383692715i</v>
      </c>
      <c r="R624" s="730"/>
      <c r="S624" s="405" t="str">
        <f t="shared" si="557"/>
        <v>22.5426945918918+0.0012623329364899i</v>
      </c>
      <c r="T624" s="405" t="str">
        <f t="shared" si="558"/>
        <v>22.5426944597273-0.000529084077800022i</v>
      </c>
      <c r="U624" s="405" t="str">
        <f t="shared" si="559"/>
        <v>27.4269448236269-0.00202584650605174i</v>
      </c>
      <c r="V624" s="731" t="str">
        <f t="shared" si="560"/>
        <v>6000</v>
      </c>
      <c r="W624" s="733" t="str">
        <f>IMSUM(COMPLEX(1,0),IMDIV(COMPLEX(0,2*PI()*D624),COMPLEX(2*PI()*'Stability Calculations'!EA_Pole1,0)))</f>
        <v>1+1.07264458930456i</v>
      </c>
      <c r="X624" s="734">
        <f t="shared" si="561"/>
        <v>1.4664809630419169</v>
      </c>
      <c r="Y624" s="735">
        <f t="shared" si="562"/>
        <v>0.82043304823917995</v>
      </c>
      <c r="Z624" s="340" t="str">
        <f>IMSUM(COMPLEX(1,0),IMDIV(COMPLEX(0,2*PI()*D624),COMPLEX(2*PI()*'Stability Calculations'!EA_Zero1,0)))</f>
        <v>1+0.010620243458461i</v>
      </c>
      <c r="AA624" s="734">
        <f t="shared" si="563"/>
        <v>1.0000563931954622</v>
      </c>
      <c r="AB624" s="735">
        <f t="shared" si="564"/>
        <v>1.0619844201244935E-2</v>
      </c>
      <c r="AC624" s="733" t="str">
        <f>IMSUM(COMPLEX(1,0),IMDIV(COMPLEX(0,2*PI()*D624),COMPLEX(2*PI()*'Stability Calculations'!EA_Pole2,0)))</f>
        <v>1+0.000106982556543035i</v>
      </c>
      <c r="AD624" s="734">
        <f t="shared" si="565"/>
        <v>1.0000000057226337</v>
      </c>
      <c r="AE624" s="735">
        <f t="shared" si="566"/>
        <v>1.0698255613488702E-4</v>
      </c>
      <c r="AF624" s="732" t="str">
        <f t="shared" si="567"/>
        <v>2821.42818745434-2963.31011469472i</v>
      </c>
      <c r="AG624" s="337">
        <f t="shared" si="568"/>
        <v>4091.6578367226548</v>
      </c>
      <c r="AH624" s="730">
        <f t="shared" si="569"/>
        <v>-0.80992018659406928</v>
      </c>
      <c r="AI624" s="731" t="str">
        <f t="shared" si="570"/>
        <v>10000</v>
      </c>
      <c r="AJ624" s="733" t="str">
        <f t="shared" si="571"/>
        <v>1+i</v>
      </c>
      <c r="AK624" s="734">
        <f t="shared" si="572"/>
        <v>1.4142135623730951</v>
      </c>
      <c r="AL624" s="735">
        <f t="shared" si="573"/>
        <v>0.78539816339744828</v>
      </c>
      <c r="AM624" s="340" t="str">
        <f t="shared" si="574"/>
        <v>1+0.00169711490466207i</v>
      </c>
      <c r="AN624" s="734">
        <f t="shared" si="575"/>
        <v>1.0000014400984629</v>
      </c>
      <c r="AO624" s="735">
        <f t="shared" si="576"/>
        <v>1.6971132753220023E-3</v>
      </c>
      <c r="AP624" s="733" t="str">
        <f t="shared" si="577"/>
        <v>1+0.0000823128702828189i</v>
      </c>
      <c r="AQ624" s="734">
        <f t="shared" si="578"/>
        <v>1.0000000033877043</v>
      </c>
      <c r="AR624" s="735">
        <f t="shared" si="579"/>
        <v>8.2312870096917781E-5</v>
      </c>
      <c r="AS624" s="732" t="str">
        <f t="shared" si="580"/>
        <v>19995.828558413-288.810371723832i</v>
      </c>
      <c r="AT624" s="337">
        <f t="shared" si="581"/>
        <v>19997.914170439377</v>
      </c>
      <c r="AU624" s="730">
        <f t="shared" si="582"/>
        <v>-1.4442526847281622E-2</v>
      </c>
      <c r="AV624" s="732" t="str">
        <f t="shared" si="583"/>
        <v>1252461.95544647-1354139.71876371i</v>
      </c>
      <c r="AW624" s="337">
        <f t="shared" si="584"/>
        <v>125.31779667546168</v>
      </c>
      <c r="AX624" s="730">
        <f t="shared" si="585"/>
        <v>-47.233849017976908</v>
      </c>
      <c r="AY624" s="360">
        <f t="shared" si="586"/>
        <v>132.76615098202308</v>
      </c>
      <c r="AZ624" s="405" t="s">
        <v>457</v>
      </c>
      <c r="BA624" s="405">
        <f>IL_Pole1</f>
        <v>0.16902642432534409</v>
      </c>
      <c r="BB624" s="337">
        <f t="shared" si="587"/>
        <v>86.019694001771001</v>
      </c>
      <c r="BC624" s="730">
        <f t="shared" si="588"/>
        <v>-0.8274958338536198</v>
      </c>
      <c r="BD624" s="351"/>
      <c r="BE624" s="337">
        <f t="shared" si="589"/>
        <v>80.589239043816349</v>
      </c>
      <c r="BF624" s="730">
        <f t="shared" si="590"/>
        <v>3.2084163333181556E-3</v>
      </c>
      <c r="BI624" s="351"/>
      <c r="BJ624" s="351"/>
    </row>
    <row r="625" spans="3:62" ht="13.5" thickBot="1" x14ac:dyDescent="0.25">
      <c r="D625" s="425">
        <f>IL_Zero1</f>
        <v>99.596334850998332</v>
      </c>
      <c r="E625" s="340" t="str">
        <f t="shared" si="545"/>
        <v>0.00165206508135169i</v>
      </c>
      <c r="F625" s="728" t="str">
        <f t="shared" si="546"/>
        <v>0.005-26.1967213114754i</v>
      </c>
      <c r="G625" s="337" t="str">
        <f t="shared" si="547"/>
        <v>0.005-40.974358974359i</v>
      </c>
      <c r="H625" s="338" t="str">
        <f t="shared" si="548"/>
        <v>1.21559048470127-0.036094842705627i</v>
      </c>
      <c r="I625" s="338" t="str">
        <f t="shared" si="549"/>
        <v>1.22559048470127-0.036094842705627i</v>
      </c>
      <c r="J625" s="337" t="str">
        <f t="shared" si="550"/>
        <v>1.21954737670864-0.0930209690715372i</v>
      </c>
      <c r="K625" s="338" t="str">
        <f t="shared" si="551"/>
        <v>0.999999889784112-0.000521485189820609i</v>
      </c>
      <c r="L625" s="732"/>
      <c r="M625" s="732" t="str">
        <f t="shared" si="552"/>
        <v>16.3079892132618+1.2218000949835i</v>
      </c>
      <c r="N625" s="337">
        <f t="shared" si="553"/>
        <v>0</v>
      </c>
      <c r="O625" s="730" t="str">
        <f t="shared" si="554"/>
        <v>16.306815039025+0.458268949822967i</v>
      </c>
      <c r="P625" s="731" t="str">
        <f t="shared" si="555"/>
        <v>20.0020184932733-0.0269418595262867i</v>
      </c>
      <c r="Q625" s="729" t="str">
        <f t="shared" si="556"/>
        <v>19.8389503428831-0.0315245490245157i</v>
      </c>
      <c r="R625" s="730"/>
      <c r="S625" s="405" t="str">
        <f t="shared" si="557"/>
        <v>22.5755266645973+0.742398503729304i</v>
      </c>
      <c r="T625" s="405" t="str">
        <f t="shared" si="558"/>
        <v>22.5297241695304-0.311197234807413i</v>
      </c>
      <c r="U625" s="405" t="str">
        <f t="shared" si="559"/>
        <v>27.3756857081846-1.1914952475976i</v>
      </c>
      <c r="V625" s="731" t="str">
        <f t="shared" si="560"/>
        <v>6000</v>
      </c>
      <c r="W625" s="733" t="str">
        <f>IMSUM(COMPLEX(1,0),IMDIV(COMPLEX(0,2*PI()*D625),COMPLEX(2*PI()*'Stability Calculations'!EA_Pole1,0)))</f>
        <v>1+632.040050062578i</v>
      </c>
      <c r="X625" s="734">
        <f t="shared" si="561"/>
        <v>632.04084115119178</v>
      </c>
      <c r="Y625" s="735">
        <f t="shared" si="562"/>
        <v>1.5692141498972887</v>
      </c>
      <c r="Z625" s="340" t="str">
        <f>IMSUM(COMPLEX(1,0),IMDIV(COMPLEX(0,2*PI()*D625),COMPLEX(2*PI()*'Stability Calculations'!EA_Zero1,0)))</f>
        <v>1+6.25782227784731i</v>
      </c>
      <c r="AA625" s="734">
        <f t="shared" si="563"/>
        <v>6.3372186060701816</v>
      </c>
      <c r="AB625" s="735">
        <f t="shared" si="564"/>
        <v>1.4123360784910117</v>
      </c>
      <c r="AC625" s="733" t="str">
        <f>IMSUM(COMPLEX(1,0),IMDIV(COMPLEX(0,2*PI()*D625),COMPLEX(2*PI()*'Stability Calculations'!EA_Pole2,0)))</f>
        <v>1+0.0630378981700931i</v>
      </c>
      <c r="AD625" s="734">
        <f t="shared" si="565"/>
        <v>1.0019849183524188</v>
      </c>
      <c r="AE625" s="735">
        <f t="shared" si="566"/>
        <v>6.2954597183443997E-2</v>
      </c>
      <c r="AF625" s="732" t="str">
        <f t="shared" si="567"/>
        <v>58.5954695963011-13.0927902388132i</v>
      </c>
      <c r="AG625" s="337">
        <f t="shared" si="568"/>
        <v>60.040404840812073</v>
      </c>
      <c r="AH625" s="730">
        <f t="shared" si="569"/>
        <v>-0.21983266858972056</v>
      </c>
      <c r="AI625" s="731" t="str">
        <f t="shared" si="570"/>
        <v>10000</v>
      </c>
      <c r="AJ625" s="733" t="str">
        <f t="shared" si="571"/>
        <v>1+589.235294117649i</v>
      </c>
      <c r="AK625" s="734">
        <f t="shared" si="572"/>
        <v>589.23614267449034</v>
      </c>
      <c r="AL625" s="735">
        <f t="shared" si="573"/>
        <v>1.5690992135195747</v>
      </c>
      <c r="AM625" s="340" t="str">
        <f t="shared" si="574"/>
        <v>1+i</v>
      </c>
      <c r="AN625" s="734">
        <f t="shared" si="575"/>
        <v>1.4142135623730951</v>
      </c>
      <c r="AO625" s="735">
        <f t="shared" si="576"/>
        <v>0.78539816339744828</v>
      </c>
      <c r="AP625" s="733" t="str">
        <f t="shared" si="577"/>
        <v>1+0.0485016483307648i</v>
      </c>
      <c r="AQ625" s="734">
        <f t="shared" si="578"/>
        <v>1.0011755140287846</v>
      </c>
      <c r="AR625" s="735">
        <f t="shared" si="579"/>
        <v>4.846367000164449E-2</v>
      </c>
      <c r="AS625" s="732" t="str">
        <f t="shared" si="580"/>
        <v>272.364665339161-2317.99715182265i</v>
      </c>
      <c r="AT625" s="337">
        <f t="shared" si="581"/>
        <v>2333.9437239966242</v>
      </c>
      <c r="AU625" s="730">
        <f t="shared" si="582"/>
        <v>-1.4538326358968729</v>
      </c>
      <c r="AV625" s="732" t="str">
        <f t="shared" si="583"/>
        <v>-367.574137892315-3135.94348075811i</v>
      </c>
      <c r="AW625" s="337">
        <f t="shared" si="584"/>
        <v>69.986625854987295</v>
      </c>
      <c r="AX625" s="730">
        <f t="shared" si="585"/>
        <v>-96.685319676205808</v>
      </c>
      <c r="AY625" s="360">
        <f t="shared" si="586"/>
        <v>83.314680323794192</v>
      </c>
      <c r="AZ625" s="405" t="s">
        <v>452</v>
      </c>
      <c r="BA625" s="405">
        <f>IL_Zero1</f>
        <v>99.596334850998332</v>
      </c>
      <c r="BB625" s="337">
        <f t="shared" si="587"/>
        <v>67.361807602718471</v>
      </c>
      <c r="BC625" s="730">
        <f t="shared" si="588"/>
        <v>-83.298474155270526</v>
      </c>
      <c r="BD625" s="351"/>
      <c r="BE625" s="337">
        <f t="shared" si="589"/>
        <v>80.606574353212125</v>
      </c>
      <c r="BF625" s="730">
        <f t="shared" si="590"/>
        <v>1.883498808705879</v>
      </c>
      <c r="BI625" s="351"/>
      <c r="BJ625" s="351"/>
    </row>
    <row r="626" spans="3:62" ht="13.5" thickBot="1" x14ac:dyDescent="0.25">
      <c r="D626" s="425">
        <f>PS_Pole2</f>
        <v>300000</v>
      </c>
      <c r="E626" s="340" t="str">
        <f t="shared" si="545"/>
        <v>4.97628276328623i</v>
      </c>
      <c r="F626" s="728" t="str">
        <f t="shared" si="546"/>
        <v>0.005-0.00869699142578666i</v>
      </c>
      <c r="G626" s="337" t="str">
        <f t="shared" si="547"/>
        <v>0.005-0.0136029865890509i</v>
      </c>
      <c r="H626" s="338" t="str">
        <f t="shared" si="548"/>
        <v>0.00512974646354896-0.0134901941154131i</v>
      </c>
      <c r="I626" s="338" t="str">
        <f t="shared" si="549"/>
        <v>0.015129746463549-0.0134901941154131i</v>
      </c>
      <c r="J626" s="337" t="str">
        <f t="shared" si="550"/>
        <v>0.00398571945359972-0.00549447301847395i</v>
      </c>
      <c r="K626" s="338" t="str">
        <f t="shared" si="551"/>
        <v>-1.5707963267949i</v>
      </c>
      <c r="L626" s="732"/>
      <c r="M626" s="732" t="str">
        <f t="shared" si="552"/>
        <v>0.00322616005489293-4.02350411514987i</v>
      </c>
      <c r="N626" s="337">
        <f t="shared" si="553"/>
        <v>0</v>
      </c>
      <c r="O626" s="730" t="str">
        <f t="shared" si="554"/>
        <v>-0.286457592817422-1.31652260358069i</v>
      </c>
      <c r="P626" s="731" t="str">
        <f t="shared" si="555"/>
        <v>-0.0220941762315186-0.0160542846727662i</v>
      </c>
      <c r="Q626" s="729" t="str">
        <f t="shared" si="556"/>
        <v>-0.0192296003033444-0.00288905863695932i</v>
      </c>
      <c r="R626" s="730"/>
      <c r="S626" s="405" t="str">
        <f t="shared" si="557"/>
        <v>0.0409723488427608-25.5210825492752i</v>
      </c>
      <c r="T626" s="405" t="str">
        <f t="shared" si="558"/>
        <v>-1.81029074884012-8.3521670750019i</v>
      </c>
      <c r="U626" s="405" t="str">
        <f t="shared" si="559"/>
        <v>-0.121958687692995-0.0184233259087713i</v>
      </c>
      <c r="V626" s="731" t="str">
        <f t="shared" si="560"/>
        <v>6000</v>
      </c>
      <c r="W626" s="733" t="str">
        <f>IMSUM(COMPLEX(1,0),IMDIV(COMPLEX(0,2*PI()*D626),COMPLEX(2*PI()*'Stability Calculations'!EA_Pole1,0)))</f>
        <v>1+1903805.14807542i</v>
      </c>
      <c r="X626" s="734">
        <f t="shared" si="561"/>
        <v>1903805.1480756828</v>
      </c>
      <c r="Y626" s="735">
        <f t="shared" si="562"/>
        <v>1.5707958015310581</v>
      </c>
      <c r="Z626" s="340" t="str">
        <f>IMSUM(COMPLEX(1,0),IMDIV(COMPLEX(0,2*PI()*D626),COMPLEX(2*PI()*'Stability Calculations'!EA_Zero1,0)))</f>
        <v>1+18849.5559215388i</v>
      </c>
      <c r="AA626" s="734">
        <f t="shared" si="563"/>
        <v>18849.555948064619</v>
      </c>
      <c r="AB626" s="735">
        <f t="shared" si="564"/>
        <v>1.570743275147249</v>
      </c>
      <c r="AC626" s="733" t="str">
        <f>IMSUM(COMPLEX(1,0),IMDIV(COMPLEX(0,2*PI()*D626),COMPLEX(2*PI()*'Stability Calculations'!EA_Pole2,0)))</f>
        <v>1+189.880174600003i</v>
      </c>
      <c r="AD626" s="734">
        <f t="shared" si="565"/>
        <v>189.88280782137076</v>
      </c>
      <c r="AE626" s="735">
        <f t="shared" si="566"/>
        <v>1.5655298962315558</v>
      </c>
      <c r="AF626" s="732" t="str">
        <f t="shared" si="567"/>
        <v>0.00163119285304547-0.312851562981681i</v>
      </c>
      <c r="AG626" s="337">
        <f t="shared" si="568"/>
        <v>0.31285581543293156</v>
      </c>
      <c r="AH626" s="730">
        <f t="shared" si="569"/>
        <v>-1.5655824226153647</v>
      </c>
      <c r="AI626" s="731" t="str">
        <f t="shared" si="570"/>
        <v>10000</v>
      </c>
      <c r="AJ626" s="733" t="str">
        <f t="shared" si="571"/>
        <v>1+1774870.41566092i</v>
      </c>
      <c r="AK626" s="734">
        <f t="shared" si="572"/>
        <v>1774870.4156612018</v>
      </c>
      <c r="AL626" s="735">
        <f t="shared" si="573"/>
        <v>1.5707957633734821</v>
      </c>
      <c r="AM626" s="340" t="str">
        <f t="shared" si="574"/>
        <v>1+3012.1590362619i</v>
      </c>
      <c r="AN626" s="734">
        <f t="shared" si="575"/>
        <v>3012.1592022557866</v>
      </c>
      <c r="AO626" s="735">
        <f t="shared" si="576"/>
        <v>1.5704643390242568</v>
      </c>
      <c r="AP626" s="733" t="str">
        <f t="shared" si="577"/>
        <v>1+146.09467829311i</v>
      </c>
      <c r="AQ626" s="734">
        <f t="shared" si="578"/>
        <v>146.0981006911702</v>
      </c>
      <c r="AR626" s="735">
        <f t="shared" si="579"/>
        <v>1.5639515573982392</v>
      </c>
      <c r="AS626" s="732" t="str">
        <f t="shared" si="580"/>
        <v>0.0000304333620146578-0.780171288478989i</v>
      </c>
      <c r="AT626" s="337">
        <f t="shared" si="581"/>
        <v>0.78017128907256983</v>
      </c>
      <c r="AU626" s="730">
        <f t="shared" si="582"/>
        <v>-1.5707573182304331</v>
      </c>
      <c r="AV626" s="732" t="str">
        <f t="shared" si="583"/>
        <v>0.000431143134184436+0.00204089923849693i</v>
      </c>
      <c r="AW626" s="337">
        <f t="shared" si="584"/>
        <v>-53.613955351243661</v>
      </c>
      <c r="AX626" s="730">
        <f t="shared" si="585"/>
        <v>78.071558261384027</v>
      </c>
      <c r="AY626" s="360">
        <f t="shared" si="586"/>
        <v>-101.92844173861597</v>
      </c>
      <c r="AZ626" s="405" t="s">
        <v>450</v>
      </c>
      <c r="BB626" s="337">
        <f t="shared" si="587"/>
        <v>-2.1562007222888289</v>
      </c>
      <c r="BC626" s="730">
        <f t="shared" si="588"/>
        <v>-89.997764973891378</v>
      </c>
      <c r="BD626" s="351"/>
      <c r="BE626" s="337">
        <f t="shared" si="589"/>
        <v>81.667115524078525</v>
      </c>
      <c r="BF626" s="730">
        <f t="shared" si="590"/>
        <v>-89.908015632015676</v>
      </c>
      <c r="BI626" s="351"/>
      <c r="BJ626" s="351"/>
    </row>
    <row r="627" spans="3:62" ht="13.5" thickBot="1" x14ac:dyDescent="0.25">
      <c r="D627" s="404">
        <f>IL_Pole2</f>
        <v>2053.4628879370248</v>
      </c>
      <c r="E627" s="340" t="str">
        <f t="shared" si="545"/>
        <v>0.0340620399142966i</v>
      </c>
      <c r="F627" s="728" t="str">
        <f t="shared" si="546"/>
        <v>0.005-1.27058416446823i</v>
      </c>
      <c r="G627" s="337" t="str">
        <f t="shared" si="547"/>
        <v>0.005-1.98732394955288i</v>
      </c>
      <c r="H627" s="338" t="str">
        <f t="shared" si="548"/>
        <v>0.884356737521844-0.540579111211785i</v>
      </c>
      <c r="I627" s="338" t="str">
        <f t="shared" si="549"/>
        <v>0.894356737521844-0.540579111211785i</v>
      </c>
      <c r="J627" s="337" t="str">
        <f t="shared" si="550"/>
        <v>0.354429750957191-0.552759805040796i</v>
      </c>
      <c r="K627" s="338" t="str">
        <f t="shared" si="551"/>
        <v>0.999953147668532-0.0107519065386037i</v>
      </c>
      <c r="L627" s="732"/>
      <c r="M627" s="732" t="str">
        <f t="shared" si="552"/>
        <v>17.9609146262442+26.2852829117778i</v>
      </c>
      <c r="N627" s="337">
        <f t="shared" si="553"/>
        <v>0</v>
      </c>
      <c r="O627" s="730" t="str">
        <f t="shared" si="554"/>
        <v>17.4147076758945+9.84198076367335i</v>
      </c>
      <c r="P627" s="731" t="str">
        <f t="shared" si="555"/>
        <v>20.8953303556995-0.611785390896392i</v>
      </c>
      <c r="Q627" s="729" t="str">
        <f t="shared" si="556"/>
        <v>20.7211832789405-0.710205198533121i</v>
      </c>
      <c r="R627" s="730"/>
      <c r="S627" s="405" t="str">
        <f t="shared" si="557"/>
        <v>30.3677788292451+8.39314199509558i</v>
      </c>
      <c r="T627" s="405" t="str">
        <f t="shared" si="558"/>
        <v>19.4501975541853-3.68637886097423i</v>
      </c>
      <c r="U627" s="405" t="str">
        <f t="shared" si="559"/>
        <v>15.2081338449192-13.7744444894956i</v>
      </c>
      <c r="V627" s="731" t="str">
        <f t="shared" si="560"/>
        <v>6000</v>
      </c>
      <c r="W627" s="733" t="str">
        <f>IMSUM(COMPLEX(1,0),IMDIV(COMPLEX(0,2*PI()*D627),COMPLEX(2*PI()*'Stability Calculations'!EA_Pole1,0)))</f>
        <v>1+13031.3107247877i</v>
      </c>
      <c r="X627" s="734">
        <f t="shared" si="561"/>
        <v>13031.310763156825</v>
      </c>
      <c r="Y627" s="735">
        <f t="shared" si="562"/>
        <v>1.5707195885435299</v>
      </c>
      <c r="Z627" s="340" t="str">
        <f>IMSUM(COMPLEX(1,0),IMDIV(COMPLEX(0,2*PI()*D627),COMPLEX(2*PI()*'Stability Calculations'!EA_Zero1,0)))</f>
        <v>1+129.022878463245i</v>
      </c>
      <c r="AA627" s="734">
        <f t="shared" si="563"/>
        <v>129.02675368675014</v>
      </c>
      <c r="AB627" s="735">
        <f t="shared" si="564"/>
        <v>1.5630459185813472</v>
      </c>
      <c r="AC627" s="733" t="str">
        <f>IMSUM(COMPLEX(1,0),IMDIV(COMPLEX(0,2*PI()*D627),COMPLEX(2*PI()*'Stability Calculations'!EA_Pole2,0)))</f>
        <v>1+1.2997063056537i</v>
      </c>
      <c r="AD627" s="734">
        <f t="shared" si="565"/>
        <v>1.6398891672780782</v>
      </c>
      <c r="AE627" s="735">
        <f t="shared" si="566"/>
        <v>0.91499150500083848</v>
      </c>
      <c r="AF627" s="732" t="str">
        <f t="shared" si="567"/>
        <v>21.8699537366921-28.8803875743422i</v>
      </c>
      <c r="AG627" s="337">
        <f t="shared" si="568"/>
        <v>36.22667060177173</v>
      </c>
      <c r="AH627" s="730">
        <f t="shared" si="569"/>
        <v>-0.92266517496301936</v>
      </c>
      <c r="AI627" s="731" t="str">
        <f t="shared" si="570"/>
        <v>10000</v>
      </c>
      <c r="AJ627" s="733" t="str">
        <f t="shared" si="571"/>
        <v>1+12148.7684315235i</v>
      </c>
      <c r="AK627" s="734">
        <f t="shared" si="572"/>
        <v>12148.768472679936</v>
      </c>
      <c r="AL627" s="735">
        <f t="shared" si="573"/>
        <v>1.5707140139247997</v>
      </c>
      <c r="AM627" s="340" t="str">
        <f t="shared" si="574"/>
        <v>1+20.6178559784265i</v>
      </c>
      <c r="AN627" s="734">
        <f t="shared" si="575"/>
        <v>20.642092557372603</v>
      </c>
      <c r="AO627" s="735">
        <f t="shared" si="576"/>
        <v>1.522332656793252</v>
      </c>
      <c r="AP627" s="733" t="str">
        <f t="shared" si="577"/>
        <v>1+i</v>
      </c>
      <c r="AQ627" s="734">
        <f t="shared" si="578"/>
        <v>1.4142135623730951</v>
      </c>
      <c r="AR627" s="735">
        <f t="shared" si="579"/>
        <v>0.78539816339744828</v>
      </c>
      <c r="AS627" s="732" t="str">
        <f t="shared" si="580"/>
        <v>0.649538085426134-113.975171896331i</v>
      </c>
      <c r="AT627" s="337">
        <f t="shared" si="581"/>
        <v>113.97702272178641</v>
      </c>
      <c r="AU627" s="730">
        <f t="shared" si="582"/>
        <v>-1.565097444811516</v>
      </c>
      <c r="AV627" s="732" t="str">
        <f t="shared" si="583"/>
        <v>-73.0048273024579-36.765152182107i</v>
      </c>
      <c r="AW627" s="337">
        <f t="shared" si="584"/>
        <v>38.248662523172598</v>
      </c>
      <c r="AX627" s="730">
        <f t="shared" si="585"/>
        <v>-153.27022406984128</v>
      </c>
      <c r="AY627" s="360">
        <f t="shared" si="586"/>
        <v>26.729775930158723</v>
      </c>
      <c r="AZ627" s="405" t="s">
        <v>462</v>
      </c>
      <c r="BB627" s="337">
        <f t="shared" si="587"/>
        <v>41.136346165164206</v>
      </c>
      <c r="BC627" s="730">
        <f t="shared" si="588"/>
        <v>-89.67347811440915</v>
      </c>
      <c r="BD627" s="351"/>
      <c r="BE627" s="337">
        <f t="shared" si="589"/>
        <v>83.49707005703651</v>
      </c>
      <c r="BF627" s="730">
        <f t="shared" si="590"/>
        <v>15.44990135008876</v>
      </c>
      <c r="BI627" s="351"/>
      <c r="BJ627" s="351"/>
    </row>
    <row r="628" spans="3:62" ht="13.5" thickBot="1" x14ac:dyDescent="0.25">
      <c r="D628" s="404">
        <f>PS_RHPZ</f>
        <v>10000000</v>
      </c>
      <c r="E628" s="340" t="str">
        <f t="shared" si="545"/>
        <v>165.876092109541i</v>
      </c>
      <c r="F628" s="728" t="str">
        <f t="shared" si="546"/>
        <v>0.005-0.000260909742773599i</v>
      </c>
      <c r="G628" s="337" t="str">
        <f t="shared" si="547"/>
        <v>0.005-0.000408089597671526i</v>
      </c>
      <c r="H628" s="338" t="str">
        <f t="shared" si="548"/>
        <v>0.00497967135882253-0.000404755955049658i</v>
      </c>
      <c r="I628" s="338" t="str">
        <f t="shared" si="549"/>
        <v>0.0149796713588225-0.000404755955049658i</v>
      </c>
      <c r="J628" s="337" t="str">
        <f t="shared" si="550"/>
        <v>0.00374917297686601-0.000171996128899719i</v>
      </c>
      <c r="K628" s="338" t="str">
        <f t="shared" si="551"/>
        <v>-1110.11111111111-52.3598775598299i</v>
      </c>
      <c r="L628" s="732"/>
      <c r="M628" s="732" t="str">
        <f t="shared" si="552"/>
        <v>2.72520253153131E-06-0.120572051543759i</v>
      </c>
      <c r="N628" s="337">
        <f t="shared" si="553"/>
        <v>0</v>
      </c>
      <c r="O628" s="730" t="str">
        <f t="shared" si="554"/>
        <v>-0.000567906880030731-0.0301926390102461i</v>
      </c>
      <c r="P628" s="731" t="str">
        <f t="shared" si="555"/>
        <v>-0.0000207277088633362-0.000452045946137442i</v>
      </c>
      <c r="Q628" s="729" t="str">
        <f t="shared" si="556"/>
        <v>-0.000015048640063029-0.000150119556034983i</v>
      </c>
      <c r="R628" s="730"/>
      <c r="S628" s="405" t="str">
        <f t="shared" si="557"/>
        <v>-0.0359525237326975-0.00169574903952719i</v>
      </c>
      <c r="T628" s="405" t="str">
        <f t="shared" si="558"/>
        <v>-0.00901092151439822-0.000255091424921669i</v>
      </c>
      <c r="U628" s="405" t="str">
        <f t="shared" si="559"/>
        <v>-0.0000449746775551653+2.37695268087411E-06i</v>
      </c>
      <c r="V628" s="731" t="str">
        <f t="shared" si="560"/>
        <v>6000</v>
      </c>
      <c r="W628" s="733" t="str">
        <f>IMSUM(COMPLEX(1,0),IMDIV(COMPLEX(0,2*PI()*D628),COMPLEX(2*PI()*'Stability Calculations'!EA_Pole1,0)))</f>
        <v>1+63460171.6025139i</v>
      </c>
      <c r="X628" s="734">
        <f t="shared" si="561"/>
        <v>63460171.602513902</v>
      </c>
      <c r="Y628" s="735">
        <f t="shared" si="562"/>
        <v>1.5707963110369814</v>
      </c>
      <c r="Z628" s="340" t="str">
        <f>IMSUM(COMPLEX(1,0),IMDIV(COMPLEX(0,2*PI()*D628),COMPLEX(2*PI()*'Stability Calculations'!EA_Zero1,0)))</f>
        <v>1+628318.530717959i</v>
      </c>
      <c r="AA628" s="734">
        <f t="shared" si="563"/>
        <v>628318.53071875486</v>
      </c>
      <c r="AB628" s="735">
        <f t="shared" si="564"/>
        <v>1.5707947352454656</v>
      </c>
      <c r="AC628" s="733" t="str">
        <f>IMSUM(COMPLEX(1,0),IMDIV(COMPLEX(0,2*PI()*D628),COMPLEX(2*PI()*'Stability Calculations'!EA_Pole2,0)))</f>
        <v>1+6329.33915333344i</v>
      </c>
      <c r="AD628" s="734">
        <f t="shared" si="565"/>
        <v>6329.3392323306289</v>
      </c>
      <c r="AE628" s="735">
        <f t="shared" si="566"/>
        <v>1.570638332418635</v>
      </c>
      <c r="AF628" s="732" t="str">
        <f t="shared" si="567"/>
        <v>1.46811424925296E-06-0.0093858043765374i</v>
      </c>
      <c r="AG628" s="337">
        <f t="shared" si="568"/>
        <v>9.3858044913575772E-3</v>
      </c>
      <c r="AH628" s="730">
        <f t="shared" si="569"/>
        <v>-1.5706399082101508</v>
      </c>
      <c r="AI628" s="731" t="str">
        <f t="shared" si="570"/>
        <v>10000</v>
      </c>
      <c r="AJ628" s="733" t="str">
        <f t="shared" si="571"/>
        <v>1+59162347.1886971i</v>
      </c>
      <c r="AK628" s="734">
        <f t="shared" si="572"/>
        <v>59162347.1886971</v>
      </c>
      <c r="AL628" s="735">
        <f t="shared" si="573"/>
        <v>1.5707963098922542</v>
      </c>
      <c r="AM628" s="340" t="str">
        <f t="shared" si="574"/>
        <v>1+100405.30120873i</v>
      </c>
      <c r="AN628" s="734">
        <f t="shared" si="575"/>
        <v>100405.30121370983</v>
      </c>
      <c r="AO628" s="735">
        <f t="shared" si="576"/>
        <v>1.570786367161412</v>
      </c>
      <c r="AP628" s="733" t="str">
        <f t="shared" si="577"/>
        <v>1+4869.82260977032i</v>
      </c>
      <c r="AQ628" s="734">
        <f t="shared" si="578"/>
        <v>4869.8227124434634</v>
      </c>
      <c r="AR628" s="735">
        <f t="shared" si="579"/>
        <v>1.5705909805089893</v>
      </c>
      <c r="AS628" s="732" t="str">
        <f t="shared" si="580"/>
        <v>2.73900258548332E-08-0.0234051386899525i</v>
      </c>
      <c r="AT628" s="337">
        <f t="shared" si="581"/>
        <v>2.3405138689968529E-2</v>
      </c>
      <c r="AU628" s="730">
        <f t="shared" si="582"/>
        <v>-1.5707951565379621</v>
      </c>
      <c r="AV628" s="732" t="str">
        <f t="shared" si="583"/>
        <v>1.97947484228043E-09+5.63494219506085E-11i</v>
      </c>
      <c r="AW628" s="337">
        <f t="shared" si="584"/>
        <v>-174.06548233767265</v>
      </c>
      <c r="AX628" s="730">
        <f t="shared" si="585"/>
        <v>1.6305902472521387</v>
      </c>
      <c r="AY628" s="360">
        <f t="shared" si="586"/>
        <v>-178.36940975274786</v>
      </c>
      <c r="AZ628" s="405" t="s">
        <v>578</v>
      </c>
      <c r="BB628" s="337">
        <f t="shared" si="587"/>
        <v>-32.613775621292994</v>
      </c>
      <c r="BC628" s="730">
        <f t="shared" si="588"/>
        <v>-89.999932949216713</v>
      </c>
      <c r="BD628" s="351"/>
      <c r="BE628" s="337">
        <f t="shared" si="589"/>
        <v>24.653360979109674</v>
      </c>
      <c r="BF628" s="730">
        <f t="shared" si="590"/>
        <v>-177.29956898385052</v>
      </c>
      <c r="BI628" s="351"/>
      <c r="BJ628" s="351"/>
    </row>
    <row r="629" spans="3:62" x14ac:dyDescent="0.2">
      <c r="D629" s="404">
        <f>IL_Pole2</f>
        <v>2053.4628879370248</v>
      </c>
      <c r="E629" s="340" t="str">
        <f t="shared" si="545"/>
        <v>0.0340620399142966i</v>
      </c>
      <c r="F629" s="728" t="str">
        <f t="shared" si="546"/>
        <v>0.005-1.27058416446823i</v>
      </c>
      <c r="G629" s="337" t="str">
        <f t="shared" si="547"/>
        <v>0.005-1.98732394955288i</v>
      </c>
      <c r="H629" s="338" t="str">
        <f t="shared" si="548"/>
        <v>0.884356737521844-0.540579111211785i</v>
      </c>
      <c r="I629" s="338" t="str">
        <f t="shared" si="549"/>
        <v>0.894356737521844-0.540579111211785i</v>
      </c>
      <c r="J629" s="337" t="str">
        <f t="shared" si="550"/>
        <v>0.354429750957191-0.552759805040796i</v>
      </c>
      <c r="K629" s="338" t="str">
        <f t="shared" si="551"/>
        <v>0.999953147668532-0.0107519065386037i</v>
      </c>
      <c r="L629" s="732"/>
      <c r="M629" s="732" t="str">
        <f t="shared" si="552"/>
        <v>17.9609146262442+26.2852829117778i</v>
      </c>
      <c r="N629" s="337">
        <f t="shared" si="553"/>
        <v>0</v>
      </c>
      <c r="O629" s="730" t="str">
        <f t="shared" si="554"/>
        <v>17.4147076758945+9.84198076367335i</v>
      </c>
      <c r="P629" s="731" t="str">
        <f t="shared" si="555"/>
        <v>20.8953303556995-0.611785390896392i</v>
      </c>
      <c r="Q629" s="729" t="str">
        <f t="shared" si="556"/>
        <v>20.7211832789405-0.710205198533121i</v>
      </c>
      <c r="R629" s="730"/>
      <c r="S629" s="405" t="str">
        <f t="shared" si="557"/>
        <v>30.3677788292451+8.39314199509558i</v>
      </c>
      <c r="T629" s="405" t="str">
        <f t="shared" si="558"/>
        <v>19.4501975541853-3.68637886097423i</v>
      </c>
      <c r="U629" s="405" t="str">
        <f t="shared" si="559"/>
        <v>15.2081338449192-13.7744444894956i</v>
      </c>
      <c r="V629" s="731" t="str">
        <f t="shared" si="560"/>
        <v>6000</v>
      </c>
      <c r="W629" s="733" t="str">
        <f>IMSUM(COMPLEX(1,0),IMDIV(COMPLEX(0,2*PI()*D629),COMPLEX(2*PI()*'Stability Calculations'!EA_Pole1,0)))</f>
        <v>1+13031.3107247877i</v>
      </c>
      <c r="X629" s="734">
        <f t="shared" si="561"/>
        <v>13031.310763156825</v>
      </c>
      <c r="Y629" s="735">
        <f t="shared" si="562"/>
        <v>1.5707195885435299</v>
      </c>
      <c r="Z629" s="340" t="str">
        <f>IMSUM(COMPLEX(1,0),IMDIV(COMPLEX(0,2*PI()*D629),COMPLEX(2*PI()*'Stability Calculations'!EA_Zero1,0)))</f>
        <v>1+129.022878463245i</v>
      </c>
      <c r="AA629" s="734">
        <f t="shared" si="563"/>
        <v>129.02675368675014</v>
      </c>
      <c r="AB629" s="735">
        <f t="shared" si="564"/>
        <v>1.5630459185813472</v>
      </c>
      <c r="AC629" s="733" t="str">
        <f>IMSUM(COMPLEX(1,0),IMDIV(COMPLEX(0,2*PI()*D629),COMPLEX(2*PI()*'Stability Calculations'!EA_Pole2,0)))</f>
        <v>1+1.2997063056537i</v>
      </c>
      <c r="AD629" s="734">
        <f t="shared" si="565"/>
        <v>1.6398891672780782</v>
      </c>
      <c r="AE629" s="735">
        <f t="shared" si="566"/>
        <v>0.91499150500083848</v>
      </c>
      <c r="AF629" s="732" t="str">
        <f t="shared" si="567"/>
        <v>21.8699537366921-28.8803875743422i</v>
      </c>
      <c r="AG629" s="337">
        <f t="shared" si="568"/>
        <v>36.22667060177173</v>
      </c>
      <c r="AH629" s="730">
        <f t="shared" si="569"/>
        <v>-0.92266517496301936</v>
      </c>
      <c r="AI629" s="731" t="str">
        <f t="shared" si="570"/>
        <v>10000</v>
      </c>
      <c r="AJ629" s="733" t="str">
        <f t="shared" si="571"/>
        <v>1+12148.7684315235i</v>
      </c>
      <c r="AK629" s="734">
        <f t="shared" si="572"/>
        <v>12148.768472679936</v>
      </c>
      <c r="AL629" s="735">
        <f t="shared" si="573"/>
        <v>1.5707140139247997</v>
      </c>
      <c r="AM629" s="340" t="str">
        <f t="shared" si="574"/>
        <v>1+20.6178559784265i</v>
      </c>
      <c r="AN629" s="734">
        <f t="shared" si="575"/>
        <v>20.642092557372603</v>
      </c>
      <c r="AO629" s="735">
        <f t="shared" si="576"/>
        <v>1.522332656793252</v>
      </c>
      <c r="AP629" s="733" t="str">
        <f t="shared" si="577"/>
        <v>1+i</v>
      </c>
      <c r="AQ629" s="734">
        <f t="shared" si="578"/>
        <v>1.4142135623730951</v>
      </c>
      <c r="AR629" s="735">
        <f t="shared" si="579"/>
        <v>0.78539816339744828</v>
      </c>
      <c r="AS629" s="732" t="str">
        <f t="shared" si="580"/>
        <v>0.649538085426134-113.975171896331i</v>
      </c>
      <c r="AT629" s="337">
        <f t="shared" si="581"/>
        <v>113.97702272178641</v>
      </c>
      <c r="AU629" s="730">
        <f t="shared" si="582"/>
        <v>-1.565097444811516</v>
      </c>
      <c r="AV629" s="732" t="str">
        <f t="shared" si="583"/>
        <v>-73.0048273024579-36.765152182107i</v>
      </c>
      <c r="AW629" s="337">
        <f t="shared" si="584"/>
        <v>38.248662523172598</v>
      </c>
      <c r="AX629" s="730">
        <f t="shared" si="585"/>
        <v>-153.27022406984128</v>
      </c>
      <c r="AY629" s="360">
        <f t="shared" si="586"/>
        <v>26.729775930158723</v>
      </c>
    </row>
    <row r="631" spans="3:62" x14ac:dyDescent="0.2">
      <c r="H631" s="405" t="s">
        <v>478</v>
      </c>
      <c r="J631" s="405" t="s">
        <v>479</v>
      </c>
    </row>
    <row r="632" spans="3:62" x14ac:dyDescent="0.2">
      <c r="C632" s="405" t="s">
        <v>454</v>
      </c>
      <c r="D632" s="405" t="s">
        <v>575</v>
      </c>
      <c r="G632" s="353">
        <f>PS_Pole1</f>
        <v>1308.1228199333864</v>
      </c>
      <c r="H632" s="353">
        <f>AW622</f>
        <v>44.739320964376887</v>
      </c>
      <c r="I632" s="353"/>
      <c r="J632" s="353">
        <f>BE622</f>
        <v>82.419001536289471</v>
      </c>
    </row>
    <row r="633" spans="3:62" x14ac:dyDescent="0.2">
      <c r="C633" s="405" t="s">
        <v>449</v>
      </c>
      <c r="D633" s="405" t="s">
        <v>586</v>
      </c>
      <c r="G633" s="353">
        <f>PS_Zero1</f>
        <v>318309.88618379069</v>
      </c>
      <c r="H633" s="353">
        <f>AW623</f>
        <v>-55.286387694790548</v>
      </c>
      <c r="I633" s="353"/>
      <c r="J633" s="353">
        <f>BE623</f>
        <v>81.126649841546453</v>
      </c>
    </row>
    <row r="634" spans="3:62" x14ac:dyDescent="0.2">
      <c r="C634" s="405" t="s">
        <v>457</v>
      </c>
      <c r="D634" s="405" t="s">
        <v>587</v>
      </c>
      <c r="G634" s="353">
        <f>IL_Pole1</f>
        <v>0.16902642432534409</v>
      </c>
      <c r="H634" s="353">
        <f>AW624</f>
        <v>125.31779667546168</v>
      </c>
      <c r="I634" s="353"/>
      <c r="J634" s="353">
        <f>BE624</f>
        <v>80.589239043816349</v>
      </c>
    </row>
    <row r="635" spans="3:62" x14ac:dyDescent="0.2">
      <c r="C635" s="405" t="s">
        <v>452</v>
      </c>
      <c r="D635" s="405" t="s">
        <v>588</v>
      </c>
      <c r="G635" s="353">
        <f>IL_Zero1</f>
        <v>99.596334850998332</v>
      </c>
      <c r="H635" s="353">
        <f>AW625</f>
        <v>69.986625854987295</v>
      </c>
      <c r="I635" s="353"/>
      <c r="J635" s="353">
        <f>BE625</f>
        <v>80.606574353212125</v>
      </c>
    </row>
    <row r="636" spans="3:62" x14ac:dyDescent="0.2">
      <c r="C636" s="405" t="s">
        <v>450</v>
      </c>
      <c r="D636" s="405" t="s">
        <v>585</v>
      </c>
      <c r="G636" s="405">
        <f>PS_Pole2</f>
        <v>300000</v>
      </c>
      <c r="H636" s="353">
        <f>AW626</f>
        <v>-53.613955351243661</v>
      </c>
      <c r="I636" s="353"/>
      <c r="J636" s="353">
        <f>BE626</f>
        <v>81.667115524078525</v>
      </c>
    </row>
    <row r="637" spans="3:62" x14ac:dyDescent="0.2">
      <c r="C637" s="405" t="s">
        <v>574</v>
      </c>
      <c r="D637" s="405" t="s">
        <v>589</v>
      </c>
      <c r="G637" s="404">
        <f>PS_RHPZ</f>
        <v>10000000</v>
      </c>
      <c r="H637" s="353">
        <f>AW628</f>
        <v>-174.06548233767265</v>
      </c>
      <c r="I637" s="353"/>
      <c r="J637" s="353">
        <f>BE628</f>
        <v>24.653360979109674</v>
      </c>
    </row>
    <row r="639" spans="3:62" x14ac:dyDescent="0.2">
      <c r="C639" s="353">
        <f>U4*1000</f>
        <v>18515</v>
      </c>
    </row>
    <row r="640" spans="3:62" x14ac:dyDescent="0.2">
      <c r="C640" s="353">
        <f>U4*1000</f>
        <v>18515</v>
      </c>
    </row>
    <row r="687" spans="64:65" x14ac:dyDescent="0.2">
      <c r="BL687" s="405" t="s">
        <v>48</v>
      </c>
      <c r="BM687" s="353">
        <f>SUM(BM689:BM1306)</f>
        <v>0</v>
      </c>
    </row>
  </sheetData>
  <mergeCells count="21">
    <mergeCell ref="AW10:AY10"/>
    <mergeCell ref="BB10:BC10"/>
    <mergeCell ref="BE10:BF10"/>
    <mergeCell ref="F11:H11"/>
    <mergeCell ref="I11:K11"/>
    <mergeCell ref="P11:R11"/>
    <mergeCell ref="AJ11:AL11"/>
    <mergeCell ref="AM11:AO11"/>
    <mergeCell ref="V10:AH10"/>
    <mergeCell ref="W11:Y11"/>
    <mergeCell ref="Z11:AB11"/>
    <mergeCell ref="AC11:AE11"/>
    <mergeCell ref="AF11:AH11"/>
    <mergeCell ref="D2:F2"/>
    <mergeCell ref="G2:I2"/>
    <mergeCell ref="D10:D12"/>
    <mergeCell ref="E10:U10"/>
    <mergeCell ref="AI10:AU10"/>
    <mergeCell ref="AP11:AR11"/>
    <mergeCell ref="AS11:AU11"/>
    <mergeCell ref="T2:V2"/>
  </mergeCells>
  <pageMargins left="0.75" right="0.75" top="1" bottom="1" header="0.5" footer="0.5"/>
  <pageSetup scale="48" orientation="portrait" horizontalDpi="300" verticalDpi="300" r:id="rId1"/>
  <headerFooter alignWithMargins="0"/>
  <colBreaks count="1" manualBreakCount="1">
    <brk id="51" max="1048575" man="1"/>
  </colBreaks>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2:B12"/>
  <sheetViews>
    <sheetView showGridLines="0" topLeftCell="A4" zoomScale="85" zoomScaleNormal="85" workbookViewId="0">
      <selection activeCell="B31" sqref="B31"/>
    </sheetView>
  </sheetViews>
  <sheetFormatPr defaultRowHeight="12.75" x14ac:dyDescent="0.2"/>
  <cols>
    <col min="1" max="1" width="10.5703125" customWidth="1"/>
    <col min="2" max="2" width="132.7109375" customWidth="1"/>
  </cols>
  <sheetData>
    <row r="2" spans="1:2" x14ac:dyDescent="0.2">
      <c r="A2" t="str">
        <f>IF(PLOT_TYPE=1, "EFF_IOUT", "EFF_VIN")</f>
        <v>EFF_IOUT</v>
      </c>
    </row>
    <row r="5" spans="1:2" ht="409.5" customHeight="1" x14ac:dyDescent="0.2">
      <c r="B5" s="545"/>
    </row>
    <row r="7" spans="1:2" ht="409.5" customHeight="1" x14ac:dyDescent="0.2">
      <c r="B7" s="545"/>
    </row>
    <row r="9" spans="1:2" x14ac:dyDescent="0.2">
      <c r="A9" t="str">
        <f>IF(OR(BODEPLOT_TYPE=FALSE,IMONLIM_select = 0), "BodePlot", "BodePlot_ILim")</f>
        <v>BodePlot</v>
      </c>
    </row>
    <row r="10" spans="1:2" ht="409.5" customHeight="1" x14ac:dyDescent="0.2"/>
    <row r="12" spans="1:2" ht="409.5" customHeight="1"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Check Box 1">
              <controlPr defaultSize="0" autoFill="0" autoLine="0" autoPict="0">
                <anchor moveWithCells="1">
                  <from>
                    <xdr:col>2</xdr:col>
                    <xdr:colOff>276225</xdr:colOff>
                    <xdr:row>9</xdr:row>
                    <xdr:rowOff>161925</xdr:rowOff>
                  </from>
                  <to>
                    <xdr:col>4</xdr:col>
                    <xdr:colOff>276225</xdr:colOff>
                    <xdr:row>9</xdr:row>
                    <xdr:rowOff>381000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92D050"/>
  </sheetPr>
  <dimension ref="A1:CN235"/>
  <sheetViews>
    <sheetView topLeftCell="E1" zoomScaleNormal="100" workbookViewId="0">
      <pane ySplit="8" topLeftCell="A9" activePane="bottomLeft" state="frozen"/>
      <selection activeCell="D24" sqref="D24"/>
      <selection pane="bottomLeft" activeCell="D24" sqref="D24"/>
    </sheetView>
  </sheetViews>
  <sheetFormatPr defaultRowHeight="12.75" x14ac:dyDescent="0.2"/>
  <cols>
    <col min="1" max="1" width="19.85546875" customWidth="1"/>
    <col min="2" max="2" width="13.140625" bestFit="1" customWidth="1"/>
    <col min="4" max="4" width="71.5703125" customWidth="1"/>
    <col min="6" max="6" width="9.140625" customWidth="1"/>
    <col min="7" max="7" width="6.85546875" customWidth="1"/>
    <col min="8" max="8" width="9.140625" style="554"/>
    <col min="9" max="9" width="11" customWidth="1"/>
    <col min="10" max="10" width="12.140625" customWidth="1"/>
    <col min="11" max="11" width="6.28515625" customWidth="1"/>
    <col min="12" max="12" width="7.140625" customWidth="1"/>
    <col min="13" max="15" width="11.5703125" bestFit="1" customWidth="1"/>
    <col min="16" max="18" width="7.140625" customWidth="1"/>
    <col min="19" max="19" width="8.28515625" customWidth="1"/>
    <col min="20" max="20" width="28" style="354" customWidth="1"/>
    <col min="21" max="21" width="29.28515625" style="354" customWidth="1"/>
    <col min="22" max="22" width="21.140625" style="4" customWidth="1"/>
    <col min="23" max="23" width="8.85546875" style="4" customWidth="1"/>
    <col min="24" max="24" width="13.28515625" style="311" customWidth="1"/>
    <col min="25" max="25" width="11.85546875" customWidth="1"/>
    <col min="26" max="26" width="19.85546875" customWidth="1"/>
    <col min="27" max="27" width="11.42578125" style="4" customWidth="1"/>
    <col min="28" max="28" width="16.28515625" customWidth="1"/>
    <col min="29" max="29" width="16.7109375" customWidth="1"/>
    <col min="30" max="30" width="10.140625" style="311" customWidth="1"/>
    <col min="31" max="31" width="14.85546875" customWidth="1"/>
    <col min="32" max="32" width="15.42578125" customWidth="1"/>
    <col min="33" max="33" width="8.5703125" customWidth="1"/>
    <col min="34" max="34" width="15.140625" customWidth="1"/>
    <col min="35" max="35" width="16.42578125" customWidth="1"/>
    <col min="36" max="36" width="17.28515625" customWidth="1"/>
    <col min="37" max="37" width="27.28515625" customWidth="1"/>
    <col min="38" max="38" width="8.85546875" customWidth="1"/>
    <col min="39" max="39" width="16.140625" customWidth="1"/>
    <col min="40" max="40" width="15.7109375" customWidth="1"/>
    <col min="41" max="41" width="25" customWidth="1"/>
    <col min="42" max="42" width="8.5703125" customWidth="1"/>
    <col min="43" max="43" width="16.140625" customWidth="1"/>
    <col min="44" max="44" width="17.42578125" customWidth="1"/>
    <col min="45" max="45" width="18.28515625" customWidth="1"/>
    <col min="46" max="46" width="28.28515625" customWidth="1"/>
    <col min="47" max="47" width="8.85546875" customWidth="1"/>
    <col min="48" max="48" width="17.140625" customWidth="1"/>
    <col min="49" max="49" width="17.7109375" customWidth="1"/>
    <col min="50" max="50" width="27" customWidth="1"/>
    <col min="51" max="51" width="32.42578125" style="311" customWidth="1"/>
    <col min="52" max="52" width="17.7109375" customWidth="1"/>
    <col min="53" max="54" width="23.5703125" style="311" customWidth="1"/>
    <col min="55" max="55" width="19" customWidth="1"/>
    <col min="56" max="56" width="16.7109375" customWidth="1"/>
    <col min="57" max="57" width="9.5703125" customWidth="1"/>
    <col min="58" max="58" width="23.5703125" customWidth="1"/>
    <col min="59" max="59" width="23.140625" customWidth="1"/>
    <col min="60" max="60" width="14.28515625" customWidth="1"/>
    <col min="61" max="61" width="12" style="4" customWidth="1"/>
    <col min="62" max="62" width="7.28515625" customWidth="1"/>
    <col min="63" max="63" width="10.140625" style="9" customWidth="1"/>
    <col min="64" max="64" width="23.140625" style="371" customWidth="1"/>
    <col min="65" max="65" width="20.85546875" style="371" customWidth="1"/>
    <col min="66" max="66" width="11.5703125" customWidth="1"/>
    <col min="67" max="67" width="9.28515625" style="354" customWidth="1"/>
    <col min="68" max="68" width="24.7109375" style="311" customWidth="1"/>
    <col min="69" max="69" width="20.140625" style="311" customWidth="1"/>
    <col min="70" max="73" width="27" style="311" customWidth="1"/>
    <col min="74" max="74" width="20.28515625" customWidth="1"/>
    <col min="78" max="78" width="28.42578125" customWidth="1"/>
    <col min="81" max="81" width="12.42578125" bestFit="1" customWidth="1"/>
  </cols>
  <sheetData>
    <row r="1" spans="1:92" ht="12.75" customHeight="1" x14ac:dyDescent="0.2">
      <c r="A1" s="929" t="s">
        <v>817</v>
      </c>
      <c r="B1" s="929"/>
      <c r="C1" s="929"/>
      <c r="D1" s="929"/>
    </row>
    <row r="2" spans="1:92" ht="12.75" customHeight="1" x14ac:dyDescent="0.2">
      <c r="A2" s="929"/>
      <c r="B2" s="929"/>
      <c r="C2" s="929"/>
      <c r="D2" s="929"/>
      <c r="H2" s="560">
        <f>BK9</f>
        <v>0.95549377136149716</v>
      </c>
      <c r="I2" s="114" t="s">
        <v>843</v>
      </c>
      <c r="AO2" s="114"/>
      <c r="AP2" s="114"/>
    </row>
    <row r="3" spans="1:92" ht="12.75" customHeight="1" x14ac:dyDescent="0.2">
      <c r="A3" s="929"/>
      <c r="B3" s="929"/>
      <c r="C3" s="929"/>
      <c r="D3" s="929"/>
      <c r="H3" s="560">
        <f>BK109</f>
        <v>0.93886429750287148</v>
      </c>
      <c r="I3" s="114" t="s">
        <v>845</v>
      </c>
      <c r="AO3" s="114"/>
      <c r="AP3" s="114"/>
    </row>
    <row r="4" spans="1:92" ht="12.75" customHeight="1" x14ac:dyDescent="0.2">
      <c r="A4" s="929"/>
      <c r="B4" s="929"/>
      <c r="C4" s="929"/>
      <c r="D4" s="929"/>
      <c r="H4" s="560">
        <f>BK209</f>
        <v>0.92503156602070147</v>
      </c>
      <c r="I4" s="114" t="s">
        <v>844</v>
      </c>
      <c r="AO4" s="114"/>
      <c r="AP4" s="114"/>
    </row>
    <row r="5" spans="1:92" x14ac:dyDescent="0.2">
      <c r="A5" s="10"/>
      <c r="B5" s="11"/>
      <c r="C5" s="6"/>
      <c r="D5" s="6"/>
    </row>
    <row r="6" spans="1:92" ht="13.5" customHeight="1" thickBot="1" x14ac:dyDescent="0.25">
      <c r="A6" s="930" t="s">
        <v>646</v>
      </c>
      <c r="B6" s="930"/>
      <c r="C6" s="930"/>
      <c r="D6" s="930"/>
      <c r="CE6">
        <v>80</v>
      </c>
      <c r="CF6">
        <v>100</v>
      </c>
      <c r="CG6">
        <v>120</v>
      </c>
      <c r="CH6">
        <v>140</v>
      </c>
      <c r="CI6">
        <v>160</v>
      </c>
      <c r="CJ6">
        <v>180</v>
      </c>
      <c r="CK6">
        <v>20</v>
      </c>
      <c r="CL6">
        <v>30</v>
      </c>
      <c r="CM6">
        <v>40</v>
      </c>
      <c r="CN6">
        <v>50</v>
      </c>
    </row>
    <row r="7" spans="1:92" ht="13.5" thickBot="1" x14ac:dyDescent="0.25">
      <c r="A7" s="930"/>
      <c r="B7" s="930"/>
      <c r="C7" s="930"/>
      <c r="D7" s="930"/>
      <c r="G7" s="922" t="s">
        <v>829</v>
      </c>
      <c r="H7" s="923"/>
      <c r="I7" s="923"/>
      <c r="J7" s="923"/>
      <c r="K7" s="923"/>
      <c r="L7" s="923"/>
      <c r="M7" s="923"/>
      <c r="N7" s="923"/>
      <c r="O7" s="923"/>
      <c r="P7" s="923"/>
      <c r="Q7" s="923"/>
      <c r="R7" s="923"/>
      <c r="S7" s="923"/>
      <c r="T7" s="923"/>
      <c r="U7" s="923"/>
      <c r="V7" s="924"/>
      <c r="W7" s="922" t="s">
        <v>658</v>
      </c>
      <c r="X7" s="923"/>
      <c r="Y7" s="923"/>
      <c r="Z7" s="924"/>
      <c r="AA7" s="931" t="s">
        <v>27</v>
      </c>
      <c r="AB7" s="932"/>
      <c r="AC7" s="933"/>
      <c r="AD7" s="922" t="s">
        <v>61</v>
      </c>
      <c r="AE7" s="923"/>
      <c r="AF7" s="924"/>
      <c r="AG7" s="922" t="s">
        <v>824</v>
      </c>
      <c r="AH7" s="923"/>
      <c r="AI7" s="923"/>
      <c r="AJ7" s="923"/>
      <c r="AK7" s="924"/>
      <c r="AL7" s="922" t="s">
        <v>825</v>
      </c>
      <c r="AM7" s="923"/>
      <c r="AN7" s="923"/>
      <c r="AO7" s="924"/>
      <c r="AP7" s="922" t="s">
        <v>826</v>
      </c>
      <c r="AQ7" s="923"/>
      <c r="AR7" s="923"/>
      <c r="AS7" s="923"/>
      <c r="AT7" s="924"/>
      <c r="AU7" s="922" t="s">
        <v>827</v>
      </c>
      <c r="AV7" s="923"/>
      <c r="AW7" s="923"/>
      <c r="AX7" s="924"/>
      <c r="AY7" s="468" t="s">
        <v>819</v>
      </c>
      <c r="AZ7" s="466" t="s">
        <v>234</v>
      </c>
      <c r="BA7" s="469" t="s">
        <v>621</v>
      </c>
      <c r="BB7" s="469" t="s">
        <v>621</v>
      </c>
      <c r="BC7" s="467" t="s">
        <v>676</v>
      </c>
      <c r="BD7" s="467" t="s">
        <v>673</v>
      </c>
      <c r="BE7" s="925" t="s">
        <v>664</v>
      </c>
      <c r="BF7" s="926"/>
      <c r="BG7" s="926"/>
      <c r="BH7" s="927"/>
      <c r="BI7" s="922" t="s">
        <v>671</v>
      </c>
      <c r="BJ7" s="923"/>
      <c r="BK7" s="923"/>
      <c r="BL7" s="923"/>
      <c r="BM7" s="923"/>
      <c r="BN7" s="551"/>
      <c r="BO7" s="928" t="s">
        <v>672</v>
      </c>
      <c r="BP7" s="928"/>
      <c r="BQ7" s="928"/>
      <c r="BR7" s="928"/>
      <c r="BS7" s="928"/>
      <c r="BT7" s="928"/>
      <c r="BU7" s="928"/>
      <c r="BV7" s="928"/>
    </row>
    <row r="8" spans="1:92" ht="30.75" thickBot="1" x14ac:dyDescent="0.45">
      <c r="A8" s="13" t="s">
        <v>110</v>
      </c>
      <c r="B8" s="13"/>
      <c r="C8" s="13"/>
      <c r="D8" s="6"/>
      <c r="G8" s="451" t="s">
        <v>57</v>
      </c>
      <c r="H8" s="553" t="s">
        <v>4</v>
      </c>
      <c r="I8" s="546" t="s">
        <v>828</v>
      </c>
      <c r="J8" s="546" t="s">
        <v>830</v>
      </c>
      <c r="K8" s="452" t="s">
        <v>6</v>
      </c>
      <c r="L8" s="452" t="s">
        <v>402</v>
      </c>
      <c r="M8" s="452" t="s">
        <v>1183</v>
      </c>
      <c r="N8" s="452" t="s">
        <v>1184</v>
      </c>
      <c r="O8" s="452" t="s">
        <v>1185</v>
      </c>
      <c r="P8" s="452" t="s">
        <v>1139</v>
      </c>
      <c r="Q8" s="452" t="s">
        <v>1141</v>
      </c>
      <c r="R8" s="452" t="s">
        <v>1142</v>
      </c>
      <c r="S8" s="452" t="s">
        <v>833</v>
      </c>
      <c r="T8" s="463" t="s">
        <v>832</v>
      </c>
      <c r="U8" s="556" t="s">
        <v>831</v>
      </c>
      <c r="V8" s="548" t="s">
        <v>659</v>
      </c>
      <c r="W8" s="547" t="s">
        <v>823</v>
      </c>
      <c r="X8" s="465" t="s">
        <v>90</v>
      </c>
      <c r="Y8" s="452" t="s">
        <v>822</v>
      </c>
      <c r="Z8" s="453" t="s">
        <v>706</v>
      </c>
      <c r="AA8" s="547" t="s">
        <v>661</v>
      </c>
      <c r="AB8" s="454" t="s">
        <v>660</v>
      </c>
      <c r="AC8" s="453" t="s">
        <v>705</v>
      </c>
      <c r="AD8" s="464" t="s">
        <v>662</v>
      </c>
      <c r="AE8" s="452" t="s">
        <v>663</v>
      </c>
      <c r="AF8" s="453" t="s">
        <v>703</v>
      </c>
      <c r="AG8" s="451" t="s">
        <v>1043</v>
      </c>
      <c r="AH8" s="452" t="s">
        <v>1044</v>
      </c>
      <c r="AI8" s="452" t="s">
        <v>1045</v>
      </c>
      <c r="AJ8" s="455" t="s">
        <v>1046</v>
      </c>
      <c r="AK8" s="453" t="s">
        <v>1047</v>
      </c>
      <c r="AL8" s="451" t="s">
        <v>1048</v>
      </c>
      <c r="AM8" s="452" t="s">
        <v>1049</v>
      </c>
      <c r="AN8" s="452" t="s">
        <v>1050</v>
      </c>
      <c r="AO8" s="456" t="s">
        <v>1051</v>
      </c>
      <c r="AP8" s="451" t="s">
        <v>1057</v>
      </c>
      <c r="AQ8" s="452" t="s">
        <v>1058</v>
      </c>
      <c r="AR8" s="452" t="s">
        <v>1059</v>
      </c>
      <c r="AS8" s="455" t="s">
        <v>1060</v>
      </c>
      <c r="AT8" s="453" t="s">
        <v>1056</v>
      </c>
      <c r="AU8" s="451" t="s">
        <v>1052</v>
      </c>
      <c r="AV8" s="452" t="s">
        <v>1053</v>
      </c>
      <c r="AW8" s="452" t="s">
        <v>1054</v>
      </c>
      <c r="AX8" s="456" t="s">
        <v>1055</v>
      </c>
      <c r="AY8" s="465" t="s">
        <v>818</v>
      </c>
      <c r="AZ8" s="453" t="s">
        <v>1061</v>
      </c>
      <c r="BA8" s="470" t="s">
        <v>1271</v>
      </c>
      <c r="BB8" s="470" t="s">
        <v>1272</v>
      </c>
      <c r="BC8" s="471" t="s">
        <v>675</v>
      </c>
      <c r="BD8" s="471" t="s">
        <v>674</v>
      </c>
      <c r="BE8" s="457" t="s">
        <v>666</v>
      </c>
      <c r="BF8" s="458" t="s">
        <v>164</v>
      </c>
      <c r="BG8" s="459" t="s">
        <v>236</v>
      </c>
      <c r="BH8" s="460" t="s">
        <v>665</v>
      </c>
      <c r="BI8" s="461" t="s">
        <v>58</v>
      </c>
      <c r="BJ8" s="452" t="s">
        <v>384</v>
      </c>
      <c r="BK8" s="462" t="s">
        <v>668</v>
      </c>
      <c r="BL8" s="558" t="s">
        <v>820</v>
      </c>
      <c r="BM8" s="558" t="s">
        <v>821</v>
      </c>
      <c r="BN8" t="s">
        <v>952</v>
      </c>
      <c r="BO8" s="670" t="s">
        <v>667</v>
      </c>
      <c r="BP8" s="671" t="s">
        <v>704</v>
      </c>
      <c r="BQ8" s="671" t="s">
        <v>834</v>
      </c>
      <c r="BR8" s="671" t="s">
        <v>953</v>
      </c>
      <c r="BS8" s="671" t="s">
        <v>954</v>
      </c>
      <c r="BT8" s="671" t="s">
        <v>1186</v>
      </c>
      <c r="BU8" s="671" t="s">
        <v>1187</v>
      </c>
      <c r="BV8" s="671" t="s">
        <v>799</v>
      </c>
      <c r="BW8" s="552"/>
      <c r="CC8" t="s">
        <v>130</v>
      </c>
      <c r="CE8" t="s">
        <v>122</v>
      </c>
      <c r="CF8" t="s">
        <v>123</v>
      </c>
      <c r="CG8" t="s">
        <v>124</v>
      </c>
      <c r="CH8" t="s">
        <v>125</v>
      </c>
      <c r="CI8" t="s">
        <v>126</v>
      </c>
      <c r="CJ8" t="s">
        <v>127</v>
      </c>
      <c r="CK8" t="s">
        <v>131</v>
      </c>
      <c r="CL8" t="s">
        <v>132</v>
      </c>
      <c r="CM8" t="s">
        <v>133</v>
      </c>
      <c r="CN8" t="s">
        <v>134</v>
      </c>
    </row>
    <row r="9" spans="1:92" x14ac:dyDescent="0.2">
      <c r="A9" s="14" t="s">
        <v>59</v>
      </c>
      <c r="B9" s="15" t="s">
        <v>113</v>
      </c>
      <c r="C9" s="16" t="s">
        <v>80</v>
      </c>
      <c r="D9" s="17" t="s">
        <v>109</v>
      </c>
      <c r="G9">
        <v>0</v>
      </c>
      <c r="H9" s="555">
        <f>VIN_min+(VIN_max-VIN_min)*(Table1[[#This Row],[Step]]/200)</f>
        <v>20</v>
      </c>
      <c r="I9" s="4" t="str">
        <f>IF(Mode = 2,IF(Table1[[#This Row],[Vin]]&gt;Vout, "BUCK","BOOST"),IF(Table1[[#This Row],[Vin]]&gt;VIN_BB_to_buck, "BUCK", IF(Table1[[#This Row],[Vin]]&lt;=VIN_boost_to_BB,"BOOST","BUCK-BST")))</f>
        <v>BUCK</v>
      </c>
      <c r="J9">
        <f>IF(Table1[[#This Row],[Mode]]="BOOST",2, IF(Table1[[#This Row],[Mode]]="BUCK", 1,3))</f>
        <v>1</v>
      </c>
      <c r="K9">
        <f t="shared" ref="K9:K72" si="0">Iout</f>
        <v>12</v>
      </c>
      <c r="L9" s="4">
        <f>Vout*Table1[[#This Row],[Iout]]/(Table1[[#This Row],[Vin]]*Efficiency)</f>
        <v>9.2210526315789476</v>
      </c>
      <c r="M9" s="711">
        <f>MIN(1/Fsw,CHOOSE(Table1[[#This Row],[Mode Digit]],(Vout+(Rdson2+Rs+Rdcr)*Table1[[#This Row],[Iout]])/(Table1[[#This Row],[Vin]]+(Rs+Rdson2-Rdson1)*Table1[[#This Row],[Iout]])/Fsw,(Vout+(Rdson3+Rdcr)*Table1[[#This Row],[Iin]]-Table1[[#This Row],[Vin]])/(Vout+(Rdson3-Rdson4-Rs)*Table1[[#This Row],[Iin]])/Fsw,t1_Ph_II))</f>
        <v>1.2273256781494423E-6</v>
      </c>
      <c r="N9" s="602">
        <f>CHOOSE(Table1[[#This Row],[Mode Digit]],1/Fsw-Table1[[#This Row],[t1_Ph_II]],1/Fsw-Table1[[#This Row],[t1_Ph_II]],(Vout/Fsw-Table1[[#This Row],[Vin]]*t1_Ph_II)/(Table1[[#This Row],[Vin]]+Vout))</f>
        <v>4.3934098851722436E-7</v>
      </c>
      <c r="O9" s="602">
        <f>1/Fsw-(Table1[[#This Row],[t1_Ph_II]]+Table1[[#This Row],[t2_Ph_I]])</f>
        <v>0</v>
      </c>
      <c r="P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10.744780556438069</v>
      </c>
      <c r="Q9" s="4">
        <f>CHOOSE(Table1[[#This Row],[Mode Digit]],Table1[[#This Row],[I_0]]+1/Lf*(Table1[[#This Row],[Vin]]-Vout)*Table1[[#This Row],[t1_Ph_II]],Table1[[#This Row],[I_0]]+1/Lf*Table1[[#This Row],[Vin]]*Table1[[#This Row],[t1_Ph_II]],Table1[[#This Row],[I_0]]+(Table1[[#This Row],[Vin]]-Vout)/L*Table1[[#This Row],[t1_Ph_II]])</f>
        <v>13.255219443561929</v>
      </c>
      <c r="R9" s="4">
        <f>CHOOSE(Table1[[#This Row],[Mode Digit]],0,0,Table1[[#This Row],[I_1]]+Table1[[#This Row],[Vin]]/L*Table1[[#This Row],[t2_Ph_I]])</f>
        <v>0</v>
      </c>
      <c r="S9" s="409">
        <f>Fsw*(Table1[[#This Row],[I_0]]*Table1[[#This Row],[t1_Ph_II]]+Table1[[#This Row],[I_1]]*Table1[[#This Row],[t2_Ph_I]]+Table1[[#This Row],[I_2]]*Table1[[#This Row],[t3_Ph_III]])</f>
        <v>11.406543777806716</v>
      </c>
      <c r="T9" s="354">
        <f>MIN(1,CHOOSE(Table1[[#This Row],[Mode Digit]],(Vout+(Rdson2+Rs+Rdcr)*Table1[[#This Row],[Iout]])/(Table1[[#This Row],[Vin]]+(Rs+Rdson2-Rdson1)*Table1[[#This Row],[Iout]]),1,Fsw*Table1[[#This Row],[t2_Ph_I]]+Table1[[#This Row],[t1_Ph_II]]))</f>
        <v>0.73639540688966543</v>
      </c>
      <c r="U9" s="354">
        <f>MIN(1,CHOOSE(Table1[[#This Row],[Mode Digit]],0,(Vout+(Rdson3+Rdcr)*Table1[[#This Row],[Iin]]-Table1[[#This Row],[Vin]])/(Vout+(Rdson3-Rdson4-Rs)*Table1[[#This Row],[Iin]]),Fsw*Table1[[#This Row],[t1_Ph_II]]+Table1[[#This Row],[t3_Ph_III]]))</f>
        <v>0</v>
      </c>
      <c r="V9" s="4">
        <f>MAX(Table1[[#This Row],[I_0]:[I_2]])-MIN(Table1[[#This Row],[I_0]:[I_1]])</f>
        <v>2.5104388871238594</v>
      </c>
      <c r="W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12.021863081506901</v>
      </c>
      <c r="X9" s="354">
        <f>(Table1[[#This Row],[Irms Lf]]^2*Rdcr*(1+Ltc*Ta-Ltc*25))/(1-Table1[[#This Row],[Irms Lf]]^2*Rdcr*Ltc*ThetaCa)</f>
        <v>0.89849918959212216</v>
      </c>
      <c r="Y9" s="354">
        <f>ABS(7.759*10^-3*Fsw^0.9458*(0.00787*Table1[[#This Row],[Ripple Current pk-pk]])^2.304)</f>
        <v>0.26799715872171348</v>
      </c>
      <c r="Z9" s="354">
        <f>Table1[[#This Row],[DCR    Loss]]+Table1[[#This Row],[Core Loss]]</f>
        <v>1.1664963483138355</v>
      </c>
      <c r="AA9" s="4">
        <f>IF(Table1[[#This Row],[Vin]]&gt;Vout, Table1[[#This Row],[Ripple Current pk-pk]]/SQRT(12), SQRT(Table1[[#This Row],[Duty Cycle BOOST Leg]]/(1-Table1[[#This Row],[Duty Cycle BOOST Leg]]))*SQRT(Table1[[#This Row],[Iout]]^2+(Table1[[#This Row],[Ripple Current pk-pk]]^2)/12))</f>
        <v>0.72470128363253239</v>
      </c>
      <c r="AB9" s="354">
        <f>RCoutEsr*Table1[[#This Row],[Irms Cout]]^2</f>
        <v>2.6259597524932012E-3</v>
      </c>
      <c r="AC9" s="354">
        <f>Table1[[#This Row],[Cout ESR Loss]]</f>
        <v>2.6259597524932012E-3</v>
      </c>
      <c r="AD9" s="354">
        <f>IF(Table1[[#This Row],[Vin]]&gt;Vout, SQRT(Table1[[#This Row],[Duty Cycle BUCK Leg]]*(1-Table1[[#This Row],[Duty Cycle BUCK Leg]]))*SQRT(Table1[[#This Row],[Iout]]^2+(Table1[[#This Row],[Ripple Current pk-pk]]^2)/12), Table1[[#This Row],[Ripple Current pk-pk]]/SQRT(12))</f>
        <v>5.2966807783363672</v>
      </c>
      <c r="AE9" s="354">
        <f>RCinEsr*Table1[[#This Row],[Irms Cin]]^2</f>
        <v>5.6109654535195889E-2</v>
      </c>
      <c r="AF9" s="549">
        <f>Table1[[#This Row],[Cin ESR Loss]]</f>
        <v>5.6109654535195889E-2</v>
      </c>
      <c r="AG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10.316379574840896</v>
      </c>
      <c r="AH9" s="354">
        <f>Rdson1*Table1[[#This Row],[Irms BuCtrl]]^2</f>
        <v>0.44699628763521665</v>
      </c>
      <c r="AI9" s="354">
        <f>CHOOSE(Table1[[#This Row],[Mode Digit]], (Table1[[#This Row],[Vin]]*Table1[[#This Row],[Iout]]/2)*(Fsw)*(Tr_buck+Tf_buck), 0, (Table1[[#This Row],[Vin]]*Table1[[#This Row],[Avg IL]]/2)*(Fsw/1)*(Tr_buck+Tf_buck))</f>
        <v>2.3799280662760158</v>
      </c>
      <c r="AJ9">
        <f>IF(Table1[[#This Row],[Vin]]&gt;Vout, IF(Table1[[#This Row],[Iout]]&gt;Table1[[#This Row],[Ripple Current pk-pk]]/2,0,ABS(Table1[[#This Row],[Iout]]-Table1[[#This Row],[Ripple Current pk-pk]]/2)*Vsd_Q1*Deadtime*Fsw),0)</f>
        <v>0</v>
      </c>
      <c r="AK9" s="354">
        <f>(Table1[[#This Row],[Dead Time Loss BuCtrl]]+Table1[[#This Row],[Transition Loss BuCtrl]]+Table1[[#This Row],[RDS(on) Loss BuCtrl]]*(1+RdsonTopTc*Ta-RdsonTopTc*25))/(1-Table1[[#This Row],[RDS(on) Loss BuCtrl]]*RdsonTopTc*ThetaJA_Q1)</f>
        <v>3.1666385121192331</v>
      </c>
      <c r="AL9" s="354">
        <f>CHOOSE(Table1[[#This Row],[Mode Digit]],SQRT((Fsw*(Table1[[#This Row],[t2_Ph_I]]+0))*((Table1[[#This Row],[I_0]]*Table1[[#This Row],[I_1]]+((Table1[[#This Row],[I_0]]-Table1[[#This Row],[I_1]])^2)/3))),0,SQRT((Fsw*(Table1[[#This Row],[t3_Ph_III]]+0))*((Table1[[#This Row],[I_0]]*Table1[[#This Row],[I_2]]+((Table1[[#This Row],[I_0]]-Table1[[#This Row],[I_2]])^2)/3))))</f>
        <v>6.1723175889048507</v>
      </c>
      <c r="AM9" s="354">
        <f>Rdson2*Table1[[#This Row],[Irms BuSync]]^2</f>
        <v>0.16000951855687762</v>
      </c>
      <c r="AN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9" s="354">
        <f>(Table1[[#This Row],[Deadtime Loss BuSync]]+Table1[[#This Row],[RDS(on) Loss BuSync]]*(1+RdsonBotTc*Ta-RdsonBotTc*25))/(1-Table1[[#This Row],[RDS(on) Loss BuSync]]*RdsonBotTc*ThetaJA_Q2)</f>
        <v>0.76682892981848416</v>
      </c>
      <c r="AP9" s="354">
        <f>CHOOSE(Table1[[#This Row],[Mode Digit]],0,SQRT((Fsw*(Table1[[#This Row],[t1_Ph_II]]+0))*((Table1[[#This Row],[I_0]]*Table1[[#This Row],[I_1]]+((Table1[[#This Row],[I_0]]-Table1[[#This Row],[I_1]])^2)/3))),SQRT((Fsw*(Table1[[#This Row],[t2_Ph_I]]+0))*((Table1[[#This Row],[I_1]]*Table1[[#This Row],[I_2]]+((Table1[[#This Row],[I_1]]-Table1[[#This Row],[I_2]])^2)/3))))</f>
        <v>0</v>
      </c>
      <c r="AQ9" s="354">
        <f>Rdson4*Table1[[#This Row],[Irms BoCtlr]]^2</f>
        <v>0</v>
      </c>
      <c r="AR9" s="354">
        <f>CHOOSE(Table1[[#This Row],[Mode Digit]], 0, (Vout*Table1[[#This Row],[Iin]]/2)*(Fsw)*(Tr_boost+Tf_boost), (Vout*Iout/2)*(Fsw/1)*(Tr_boost+Tf_boost))</f>
        <v>0</v>
      </c>
      <c r="AS9">
        <f>IF(Table1[[#This Row],[Vin]]&gt;Vout, 0, IF(Table1[[#This Row],[Iin]]&gt;Table1[[#This Row],[Ripple Current pk-pk]]/2,0,ABS(Table1[[#This Row],[Iin]]-Table1[[#This Row],[Ripple Current pk-pk]]/2)*Vsd_Q4*Deadtime*Fsw))</f>
        <v>0</v>
      </c>
      <c r="AT9" s="354">
        <f>(Table1[[#This Row],[Dead Time Loss BoCtlr]]+Table1[[#This Row],[Transition Loss BoCtlr]]+Table1[[#This Row],[RDS(on) Loss BoCtlr]]*(1+RdsonTopTc*Ta-RdsonTopTc*25))/(1-Table1[[#This Row],[RDS(on) Loss BoCtlr]]*RdsonTopTc*ThetaJA_Q4)</f>
        <v>0</v>
      </c>
      <c r="AU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12.021863081506901</v>
      </c>
      <c r="AV9" s="354">
        <f>Rdson3*Table1[[#This Row],[Irms BoSync]]^2</f>
        <v>0.60700580619209421</v>
      </c>
      <c r="AW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9" s="354">
        <f>(Table1[[#This Row],[Deadtime Loss BoSync]]+Table1[[#This Row],[RDS(on) Loss BoSync]]*(1+RdsonBotTc*Ta-RdsonBotTc*25))/(1-Table1[[#This Row],[RDS(on) Loss BoSync]]*RdsonBotTc*ThetaJA_Q3)</f>
        <v>0.71051455693915033</v>
      </c>
      <c r="AY9" s="354">
        <f>CHOOSE(Table1[[#This Row],[Mode Digit]], Rdson3*Table1[[#This Row],[Irms Lf]]^2, Rdson1*Table1[[#This Row],[Irms Lf]]^2, 0)</f>
        <v>0.60700580619209421</v>
      </c>
      <c r="AZ9" s="354">
        <f>CHOOSE(Table1[[#This Row],[Mode Digit]], 2*Deadtime*Fsw*IF(VfdSky_Q2&gt;0,VfdSky_Q2,0)*Table1[[#This Row],[Iout]], 2*Deadtime*Fsw*IF(VfdSky_Q3&gt;0,VfdSky_Q3,0)*Table1[[#This Row],[Iin]], 2*Deadtime*Fsw*IF(VfdSky_Q2&gt;0,VfdSky_Q2,0)*Table1[[#This Row],[Iout]]+2*Deadtime*Fsw*IF(VfdSky_Q3&gt;0,VfdSky_Q3,0)*Table1[[#This Row],[Iin]])</f>
        <v>0</v>
      </c>
      <c r="BA9" s="354">
        <f>CHOOSE(Table1[[#This Row],[Mode Digit]], IF(QrrSky_Q2&gt;0,QrrSky_Q2,Qrr_Q2)*Fsw*(Table1[[#This Row],[Vin]]-Table1[[#This Row],[Iout]]*Rdson1),0,  IF(QrrSky_Q2&gt;0,QrrSky_Q2,Qrr_Q2)*Fsw*(Table1[[#This Row],[Vin]]-Table1[[#This Row],[Iout]]*Rdson1)+IF(QrrSky_Q3&gt;0,QrrSky_Q3,Qrr_Q3)*Fsw*Vout)</f>
        <v>0.2393952</v>
      </c>
      <c r="BB9" s="354">
        <f>CHOOSE(Table1[[#This Row],[Mode Digit]],0, IF(QrrSky_Q3&gt;0,QrrSky_Q3,Qrr_Q3)*Fsw*Vout,  IF(QrrSky_Q2&gt;0,QrrSky_Q2,Qrr_Q2)*Fsw*(Table1[[#This Row],[Vin]]-Table1[[#This Row],[Iout]]*Rdson1)+IF(QrrSky_Q3&gt;0,QrrSky_Q3,Qrr_Q3)*Fsw*Vout)</f>
        <v>0</v>
      </c>
      <c r="BC9" s="354">
        <f>CHOOSE(Table1[[#This Row],[Mode Digit]], Rs*Table1[[#This Row],[Irms BuSync]]^2, Rs*Table1[[#This Row],[Irms BoCtlr]]^2, Rs*(Table1[[#This Row],[Irms BuSync]]^2+Table1[[#This Row],[Irms BoCtlr]]^2))</f>
        <v>9.5243761045760475E-2</v>
      </c>
      <c r="BD9" s="354">
        <f t="shared" ref="BD9:BD72" si="1">Rshunt/1000*Iout^2</f>
        <v>1.44</v>
      </c>
      <c r="BE9" s="354">
        <f>IF(Vout&gt;8, Iq*Vout, Iq*Table1[[#This Row],[Vin]])</f>
        <v>4.3799999999999999E-2</v>
      </c>
      <c r="BF9" s="354">
        <f>CHOOSE(Table1[[#This Row],[Mode Digit]], (Qg_Q1+Qg_Q2)*Fsw, (Qg_Q3+Qg_Q4)*Fsw, (Qg_Q1+Qg_Q2+Qg_Q3+Qg_Q4)*Fsw)*IF(Vout&gt;8, Vout, Table1[[#This Row],[Vin]])</f>
        <v>0.47303999999999996</v>
      </c>
      <c r="BG9" s="354">
        <f t="shared" ref="BG9:BG72" si="2">(Vin-Vdd)*Fsw*(Qg_Q1+Qg_Q2)+(RdsonDRT+RdsonDRT2)*Fsw*Qg_Q1*Vdd/(RdsonDRT+2*Rgate1+RdsonDRT2)+(RdsonDRB+RdsonDRB2)*Fsw*Qg_Q2*Vdd/(RdsonDRB+2*Rgate2+RdsonDRB2)</f>
        <v>0.45605042016806729</v>
      </c>
      <c r="BH9" s="354">
        <f>Table1[[#This Row],[IQ Loss]]+Table1[[#This Row],[Switching Current Loss]]</f>
        <v>0.51683999999999997</v>
      </c>
      <c r="BI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8.1606929225241522</v>
      </c>
      <c r="BJ9">
        <f>Vout*Table1[[#This Row],[Iout]]</f>
        <v>175.2</v>
      </c>
      <c r="BK9" s="550">
        <f>Table1[[#This Row],[Pout]]/(Table1[[#This Row],[Pout]]+Table1[[#This Row],[Total Loss]])</f>
        <v>0.95549377136149716</v>
      </c>
      <c r="BL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189.99831072715398</v>
      </c>
      <c r="BM9" s="559">
        <f>IF(Table1[[#This Row],[Vin]]&gt;Vout, Table1[[#This Row],[Total Sync Bu MOSFET Loss]]*ThetaJA_Q2, ThetaJA_Q3*Table1[[#This Row],[Total Sync Bo MOSFET Loss]])</f>
        <v>46.009735789109051</v>
      </c>
      <c r="BO9" s="4">
        <f>Table1[[#This Row],[EFF, h]]*100</f>
        <v>95.549377136149715</v>
      </c>
      <c r="BP9" s="354">
        <f>Table1[[#This Row],[Total Inductor Loss]]</f>
        <v>1.1664963483138355</v>
      </c>
      <c r="BQ9" s="354">
        <f>Table1[[#This Row],[Total Control Bu MOSFET Loss]]+Table1[[#This Row],[Total Sync Bu MOSFET Loss]]+Table1[[#This Row],[Total Control Bo MOSFET Loss]]+Table1[[#This Row],[Total Sync Bo MOSFET Loss]]+Table1[[#This Row],[Reverse Recovery Loss MOSFET D BUCK]]+Table1[[#This Row],[Reverse Recovery Loss MOSFET D BOOST]]</f>
        <v>4.8833771988768673</v>
      </c>
      <c r="BR9" s="354">
        <f>Table1[[#This Row],[Total Control Bu MOSFET Loss]]+Table1[[#This Row],[Reverse Recovery Loss MOSFET D BUCK]]*0.66</f>
        <v>3.324639344119233</v>
      </c>
      <c r="BS9" s="354">
        <f>Table1[[#This Row],[Total Sync Bu MOSFET Loss]]+Table1[[#This Row],[Reverse Recovery Loss MOSFET D BUCK]]*0.33</f>
        <v>0.84582934581848412</v>
      </c>
      <c r="BT9" s="354">
        <f xml:space="preserve"> Table1[[#This Row],[Total Control Bo MOSFET Loss]]+Table1[[#This Row],[Reverse Recovery Loss MOSFET D BOOST]]*0.66</f>
        <v>0</v>
      </c>
      <c r="BU9" s="354">
        <f xml:space="preserve"> Table1[[#This Row],[Total Sync Bo MOSFET Loss]]+Table1[[#This Row],[Reverse Recovery Loss MOSFET D BOOST]]*0.33</f>
        <v>0.71051455693915033</v>
      </c>
      <c r="BV9" s="354">
        <f>Table1[[#This Row],[Isense Shunt Loss]]</f>
        <v>9.5243761045760475E-2</v>
      </c>
      <c r="BZ9" t="s">
        <v>135</v>
      </c>
      <c r="CA9" s="18">
        <v>70</v>
      </c>
      <c r="CB9" s="18">
        <v>70</v>
      </c>
      <c r="CC9" s="18">
        <v>70</v>
      </c>
      <c r="CD9" s="19">
        <f>250000*(5-Vdd)*CC9/1000000000+((250000*CC9/1000000000*Vdd)*2.5/(2*4))</f>
        <v>-2.7343749999999972E-3</v>
      </c>
      <c r="CE9">
        <f t="shared" ref="CE9:CN17" si="3">CE$6*$CD9</f>
        <v>-0.21874999999999978</v>
      </c>
      <c r="CF9">
        <f t="shared" si="3"/>
        <v>-0.27343749999999972</v>
      </c>
      <c r="CG9">
        <f t="shared" si="3"/>
        <v>-0.32812499999999967</v>
      </c>
      <c r="CH9">
        <f t="shared" si="3"/>
        <v>-0.38281249999999961</v>
      </c>
      <c r="CI9">
        <f t="shared" si="3"/>
        <v>-0.43749999999999956</v>
      </c>
      <c r="CJ9">
        <f t="shared" si="3"/>
        <v>-0.4921874999999995</v>
      </c>
      <c r="CK9">
        <f t="shared" si="3"/>
        <v>-5.4687499999999944E-2</v>
      </c>
      <c r="CL9">
        <f t="shared" si="3"/>
        <v>-8.2031249999999917E-2</v>
      </c>
      <c r="CM9">
        <f t="shared" si="3"/>
        <v>-0.10937499999999989</v>
      </c>
      <c r="CN9">
        <f t="shared" si="3"/>
        <v>-0.13671874999999986</v>
      </c>
    </row>
    <row r="10" spans="1:92" x14ac:dyDescent="0.2">
      <c r="A10" s="502"/>
      <c r="B10" s="24"/>
      <c r="C10" s="16"/>
      <c r="D10" s="17"/>
      <c r="G10">
        <v>1</v>
      </c>
      <c r="H10" s="555">
        <f>VIN_min+(VIN_max-VIN_min)*(Table1[[#This Row],[Step]]/200)</f>
        <v>20.14</v>
      </c>
      <c r="I10" s="4" t="str">
        <f>IF(Mode = 2,IF(Table1[[#This Row],[Vin]]&gt;Vout, "BUCK","BOOST"),IF(Table1[[#This Row],[Vin]]&gt;VIN_BB_to_buck, "BUCK", IF(Table1[[#This Row],[Vin]]&lt;=VIN_boost_to_BB,"BOOST","BUCK-BST")))</f>
        <v>BUCK</v>
      </c>
      <c r="J10">
        <f>IF(Table1[[#This Row],[Mode]]="BOOST",2, IF(Table1[[#This Row],[Mode]]="BUCK", 1,3))</f>
        <v>1</v>
      </c>
      <c r="K10">
        <f t="shared" si="0"/>
        <v>12</v>
      </c>
      <c r="L10" s="4">
        <f>Vout*Table1[[#This Row],[Iout]]/(Table1[[#This Row],[Vin]]*Efficiency)</f>
        <v>9.1569539539016365</v>
      </c>
      <c r="M10" s="711">
        <f>MIN(1/Fsw,CHOOSE(Table1[[#This Row],[Mode Digit]],(Vout+(Rdson2+Rs+Rdcr)*Table1[[#This Row],[Iout]])/(Table1[[#This Row],[Vin]]+(Rs+Rdson2-Rdson1)*Table1[[#This Row],[Iout]])/Fsw,(Vout+(Rdson3+Rdcr)*Table1[[#This Row],[Iin]]-Table1[[#This Row],[Vin]])/(Vout+(Rdson3-Rdson4-Rs)*Table1[[#This Row],[Iin]])/Fsw,t1_Ph_II))</f>
        <v>1.2188068087919352E-6</v>
      </c>
      <c r="N10" s="602">
        <f>CHOOSE(Table1[[#This Row],[Mode Digit]],1/Fsw-Table1[[#This Row],[t1_Ph_II]],1/Fsw-Table1[[#This Row],[t1_Ph_II]],(Vout/Fsw-Table1[[#This Row],[Vin]]*t1_Ph_II)/(Table1[[#This Row],[Vin]]+Vout))</f>
        <v>4.4785985787473151E-7</v>
      </c>
      <c r="O10" s="602">
        <f>1/Fsw-(Table1[[#This Row],[t1_Ph_II]]+Table1[[#This Row],[t2_Ph_I]])</f>
        <v>0</v>
      </c>
      <c r="P1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10.721176189259976</v>
      </c>
      <c r="Q10" s="4">
        <f>CHOOSE(Table1[[#This Row],[Mode Digit]],Table1[[#This Row],[I_0]]+1/Lf*(Table1[[#This Row],[Vin]]-Vout)*Table1[[#This Row],[t1_Ph_II]],Table1[[#This Row],[I_0]]+1/Lf*Table1[[#This Row],[Vin]]*Table1[[#This Row],[t1_Ph_II]],Table1[[#This Row],[I_0]]+(Table1[[#This Row],[Vin]]-Vout)/L*Table1[[#This Row],[t1_Ph_II]])</f>
        <v>13.278823810740022</v>
      </c>
      <c r="R10" s="4">
        <f>CHOOSE(Table1[[#This Row],[Mode Digit]],0,0,Table1[[#This Row],[I_1]]+Table1[[#This Row],[Vin]]/L*Table1[[#This Row],[t2_Ph_I]])</f>
        <v>0</v>
      </c>
      <c r="S10" s="4">
        <f>Fsw*(Table1[[#This Row],[I_0]]*Table1[[#This Row],[t1_Ph_II]]+Table1[[#This Row],[I_1]]*Table1[[#This Row],[t2_Ph_I]]+Table1[[#This Row],[I_2]]*Table1[[#This Row],[t3_Ph_III]])</f>
        <v>11.408456809409795</v>
      </c>
      <c r="T10" s="354">
        <f>MIN(1,CHOOSE(Table1[[#This Row],[Mode Digit]],(Vout+(Rdson2+Rs+Rdcr)*Table1[[#This Row],[Iout]])/(Table1[[#This Row],[Vin]]+(Rs+Rdson2-Rdson1)*Table1[[#This Row],[Iout]]),1,Fsw*Table1[[#This Row],[t2_Ph_I]]+Table1[[#This Row],[t1_Ph_II]]))</f>
        <v>0.73128408527516109</v>
      </c>
      <c r="U10" s="354">
        <f>MIN(1,CHOOSE(Table1[[#This Row],[Mode Digit]],0,(Vout+(Rdson3+Rdcr)*Table1[[#This Row],[Iin]]-Table1[[#This Row],[Vin]])/(Vout+(Rdson3-Rdson4-Rs)*Table1[[#This Row],[Iin]]),Fsw*Table1[[#This Row],[t1_Ph_II]]+Table1[[#This Row],[t3_Ph_III]]))</f>
        <v>0</v>
      </c>
      <c r="V10" s="4">
        <f>MAX(Table1[[#This Row],[I_0]:[I_2]])-MIN(Table1[[#This Row],[I_0]:[I_1]])</f>
        <v>2.5576476214800454</v>
      </c>
      <c r="W1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12.02269229885602</v>
      </c>
      <c r="X10" s="354">
        <f>(Table1[[#This Row],[Irms Lf]]^2*Rdcr*(1+Ltc*Ta-Ltc*25))/(1-Table1[[#This Row],[Irms Lf]]^2*Rdcr*Ltc*ThetaCa)</f>
        <v>0.89863205432339699</v>
      </c>
      <c r="Y10" s="354">
        <f>ABS(7.759*10^-3*Fsw^0.9458*(0.00787*Table1[[#This Row],[Ripple Current pk-pk]])^2.304)</f>
        <v>0.27975121583219742</v>
      </c>
      <c r="Z10" s="354">
        <f>Table1[[#This Row],[DCR    Loss]]+Table1[[#This Row],[Core Loss]]</f>
        <v>1.1783832701555945</v>
      </c>
      <c r="AA10" s="4">
        <f>IF(Table1[[#This Row],[Vin]]&gt;Vout, Table1[[#This Row],[Ripple Current pk-pk]]/SQRT(12), SQRT(Table1[[#This Row],[Duty Cycle BOOST Leg]]/(1-Table1[[#This Row],[Duty Cycle BOOST Leg]]))*SQRT(Table1[[#This Row],[Iout]]^2+(Table1[[#This Row],[Ripple Current pk-pk]]^2)/12))</f>
        <v>0.73832927137685522</v>
      </c>
      <c r="AB10" s="354">
        <f>RCoutEsr*Table1[[#This Row],[Irms Cout]]^2</f>
        <v>2.7256505648593898E-3</v>
      </c>
      <c r="AC10" s="354">
        <f>Table1[[#This Row],[Cout ESR Loss]]</f>
        <v>2.7256505648593898E-3</v>
      </c>
      <c r="AD10" s="354">
        <f>IF(Table1[[#This Row],[Vin]]&gt;Vout, SQRT(Table1[[#This Row],[Duty Cycle BUCK Leg]]*(1-Table1[[#This Row],[Duty Cycle BUCK Leg]]))*SQRT(Table1[[#This Row],[Iout]]^2+(Table1[[#This Row],[Ripple Current pk-pk]]^2)/12), Table1[[#This Row],[Ripple Current pk-pk]]/SQRT(12))</f>
        <v>5.3295616145003937</v>
      </c>
      <c r="AE10" s="354">
        <f>RCinEsr*Table1[[#This Row],[Irms Cin]]^2</f>
        <v>5.6808454005512085E-2</v>
      </c>
      <c r="AF10" s="549">
        <f>Table1[[#This Row],[Cin ESR Loss]]</f>
        <v>5.6808454005512085E-2</v>
      </c>
      <c r="AG1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10.281223334586393</v>
      </c>
      <c r="AH10" s="354">
        <f>Rdson1*Table1[[#This Row],[Irms BuCtrl]]^2</f>
        <v>0.44395492367370382</v>
      </c>
      <c r="AI10" s="354">
        <f>CHOOSE(Table1[[#This Row],[Mode Digit]], (Table1[[#This Row],[Vin]]*Table1[[#This Row],[Iout]]/2)*(Fsw)*(Tr_buck+Tf_buck), 0, (Table1[[#This Row],[Vin]]*Table1[[#This Row],[Avg IL]]/2)*(Fsw/1)*(Tr_buck+Tf_buck))</f>
        <v>2.3965875627399478</v>
      </c>
      <c r="AJ10">
        <f>IF(Table1[[#This Row],[Vin]]&gt;Vout, IF(Table1[[#This Row],[Iout]]&gt;Table1[[#This Row],[Ripple Current pk-pk]]/2,0,ABS(Table1[[#This Row],[Iout]]-Table1[[#This Row],[Ripple Current pk-pk]]/2)*Vsd_Q1*Deadtime*Fsw),0)</f>
        <v>0</v>
      </c>
      <c r="AK10" s="354">
        <f>(Table1[[#This Row],[Dead Time Loss BuCtrl]]+Table1[[#This Row],[Transition Loss BuCtrl]]+Table1[[#This Row],[RDS(on) Loss BuCtrl]]*(1+RdsonTopTc*Ta-RdsonTopTc*25))/(1-Table1[[#This Row],[RDS(on) Loss BuCtrl]]*RdsonTopTc*ThetaJA_Q1)</f>
        <v>3.1792936199445592</v>
      </c>
      <c r="AL10" s="354">
        <f>CHOOSE(Table1[[#This Row],[Mode Digit]],SQRT((Fsw*(Table1[[#This Row],[t2_Ph_I]]+0))*((Table1[[#This Row],[I_0]]*Table1[[#This Row],[I_1]]+((Table1[[#This Row],[I_0]]-Table1[[#This Row],[I_1]])^2)/3))),0,SQRT((Fsw*(Table1[[#This Row],[t3_Ph_III]]+0))*((Table1[[#This Row],[I_0]]*Table1[[#This Row],[I_2]]+((Table1[[#This Row],[I_0]]-Table1[[#This Row],[I_2]])^2)/3))))</f>
        <v>6.232301088468696</v>
      </c>
      <c r="AM10" s="354">
        <f>Rdson2*Table1[[#This Row],[Irms BuSync]]^2</f>
        <v>0.16313462280077801</v>
      </c>
      <c r="AN1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0" s="354">
        <f>(Table1[[#This Row],[Deadtime Loss BuSync]]+Table1[[#This Row],[RDS(on) Loss BuSync]]*(1+RdsonBotTc*Ta-RdsonBotTc*25))/(1-Table1[[#This Row],[RDS(on) Loss BuSync]]*RdsonBotTc*ThetaJA_Q2)</f>
        <v>0.77067995133071665</v>
      </c>
      <c r="AP10" s="354">
        <f>CHOOSE(Table1[[#This Row],[Mode Digit]],0,SQRT((Fsw*(Table1[[#This Row],[t1_Ph_II]]+0))*((Table1[[#This Row],[I_0]]*Table1[[#This Row],[I_1]]+((Table1[[#This Row],[I_0]]-Table1[[#This Row],[I_1]])^2)/3))),SQRT((Fsw*(Table1[[#This Row],[t2_Ph_I]]+0))*((Table1[[#This Row],[I_1]]*Table1[[#This Row],[I_2]]+((Table1[[#This Row],[I_1]]-Table1[[#This Row],[I_2]])^2)/3))))</f>
        <v>0</v>
      </c>
      <c r="AQ10" s="354">
        <f>Rdson4*Table1[[#This Row],[Irms BoCtlr]]^2</f>
        <v>0</v>
      </c>
      <c r="AR10" s="354">
        <f>CHOOSE(Table1[[#This Row],[Mode Digit]], 0, (Vout*Table1[[#This Row],[Iin]]/2)*(Fsw)*(Tr_boost+Tf_boost), (Vout*Iout/2)*(Fsw/1)*(Tr_boost+Tf_boost))</f>
        <v>0</v>
      </c>
      <c r="AS10">
        <f>IF(Table1[[#This Row],[Vin]]&gt;Vout, 0, IF(Table1[[#This Row],[Iin]]&gt;Table1[[#This Row],[Ripple Current pk-pk]]/2,0,ABS(Table1[[#This Row],[Iin]]-Table1[[#This Row],[Ripple Current pk-pk]]/2)*Vsd_Q4*Deadtime*Fsw))</f>
        <v>0</v>
      </c>
      <c r="AT10" s="354">
        <f>(Table1[[#This Row],[Dead Time Loss BoCtlr]]+Table1[[#This Row],[Transition Loss BoCtlr]]+Table1[[#This Row],[RDS(on) Loss BoCtlr]]*(1+RdsonTopTc*Ta-RdsonTopTc*25))/(1-Table1[[#This Row],[RDS(on) Loss BoCtlr]]*RdsonTopTc*ThetaJA_Q4)</f>
        <v>0</v>
      </c>
      <c r="AU1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12.02269229885602</v>
      </c>
      <c r="AV10" s="354">
        <f>Rdson3*Table1[[#This Row],[Irms BoSync]]^2</f>
        <v>0.60708954647448188</v>
      </c>
      <c r="AW1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0" s="354">
        <f>(Table1[[#This Row],[Deadtime Loss BoSync]]+Table1[[#This Row],[RDS(on) Loss BoSync]]*(1+RdsonBotTc*Ta-RdsonBotTc*25))/(1-Table1[[#This Row],[RDS(on) Loss BoSync]]*RdsonBotTc*ThetaJA_Q3)</f>
        <v>0.71062929431359978</v>
      </c>
      <c r="AY10" s="354">
        <f>CHOOSE(Table1[[#This Row],[Mode Digit]], Rdson3*Table1[[#This Row],[Irms Lf]]^2, Rdson1*Table1[[#This Row],[Irms Lf]]^2, 0)</f>
        <v>0.60708954647448188</v>
      </c>
      <c r="AZ10" s="354">
        <f>CHOOSE(Table1[[#This Row],[Mode Digit]], 2*Deadtime*Fsw*IF(VfdSky_Q2&gt;0,VfdSky_Q2,0)*Table1[[#This Row],[Iout]], 2*Deadtime*Fsw*IF(VfdSky_Q3&gt;0,VfdSky_Q3,0)*Table1[[#This Row],[Iin]], 2*Deadtime*Fsw*IF(VfdSky_Q2&gt;0,VfdSky_Q2,0)*Table1[[#This Row],[Iout]]+2*Deadtime*Fsw*IF(VfdSky_Q3&gt;0,VfdSky_Q3,0)*Table1[[#This Row],[Iin]])</f>
        <v>0</v>
      </c>
      <c r="BA10" s="354">
        <f>CHOOSE(Table1[[#This Row],[Mode Digit]], IF(QrrSky_Q2&gt;0,QrrSky_Q2,Qrr_Q2)*Fsw*(Table1[[#This Row],[Vin]]-Table1[[#This Row],[Iout]]*Rdson1),0,  IF(QrrSky_Q2&gt;0,QrrSky_Q2,Qrr_Q2)*Fsw*(Table1[[#This Row],[Vin]]-Table1[[#This Row],[Iout]]*Rdson1)+IF(QrrSky_Q3&gt;0,QrrSky_Q3,Qrr_Q3)*Fsw*Vout)</f>
        <v>0.24107520000000002</v>
      </c>
      <c r="BB10" s="354">
        <f>CHOOSE(Table1[[#This Row],[Mode Digit]],0, IF(QrrSky_Q3&gt;0,QrrSky_Q3,Qrr_Q3)*Fsw*Vout,  IF(QrrSky_Q2&gt;0,QrrSky_Q2,Qrr_Q2)*Fsw*(Table1[[#This Row],[Vin]]-Table1[[#This Row],[Iout]]*Rdson1)+IF(QrrSky_Q3&gt;0,QrrSky_Q3,Qrr_Q3)*Fsw*Vout)</f>
        <v>0</v>
      </c>
      <c r="BC10" s="354">
        <f>CHOOSE(Table1[[#This Row],[Mode Digit]], Rs*Table1[[#This Row],[Irms BuSync]]^2, Rs*Table1[[#This Row],[Irms BoCtlr]]^2, Rs*(Table1[[#This Row],[Irms BuSync]]^2+Table1[[#This Row],[Irms BoCtlr]]^2))</f>
        <v>9.7103942143320229E-2</v>
      </c>
      <c r="BD10" s="354">
        <f t="shared" si="1"/>
        <v>1.44</v>
      </c>
      <c r="BE10" s="354">
        <f>IF(Vout&gt;8, Iq*Vout, Iq*Table1[[#This Row],[Vin]])</f>
        <v>4.3799999999999999E-2</v>
      </c>
      <c r="BF10" s="354">
        <f>CHOOSE(Table1[[#This Row],[Mode Digit]], (Qg_Q1+Qg_Q2)*Fsw, (Qg_Q3+Qg_Q4)*Fsw, (Qg_Q1+Qg_Q2+Qg_Q3+Qg_Q4)*Fsw)*IF(Vout&gt;8, Vout, Table1[[#This Row],[Vin]])</f>
        <v>0.47303999999999996</v>
      </c>
      <c r="BG10" s="354">
        <f t="shared" si="2"/>
        <v>0.45605042016806729</v>
      </c>
      <c r="BH10" s="354">
        <f>Table1[[#This Row],[IQ Loss]]+Table1[[#This Row],[Switching Current Loss]]</f>
        <v>0.51683999999999997</v>
      </c>
      <c r="BI1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8.1935393824581624</v>
      </c>
      <c r="BJ10">
        <f>Vout*Table1[[#This Row],[Iout]]</f>
        <v>175.2</v>
      </c>
      <c r="BK10" s="550">
        <f>Table1[[#This Row],[Pout]]/(Table1[[#This Row],[Pout]]+Table1[[#This Row],[Total Loss]])</f>
        <v>0.95532263889966729</v>
      </c>
      <c r="BL1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190.75761719667355</v>
      </c>
      <c r="BM10" s="559">
        <f>IF(Table1[[#This Row],[Vin]]&gt;Vout, Table1[[#This Row],[Total Sync Bu MOSFET Loss]]*ThetaJA_Q2, ThetaJA_Q3*Table1[[#This Row],[Total Sync Bo MOSFET Loss]])</f>
        <v>46.240797079842999</v>
      </c>
      <c r="BN10" s="9"/>
      <c r="BO10" s="4">
        <f>Table1[[#This Row],[EFF, h]]*100</f>
        <v>95.532263889966728</v>
      </c>
      <c r="BP10" s="354">
        <f>Table1[[#This Row],[Total Inductor Loss]]</f>
        <v>1.1783832701555945</v>
      </c>
      <c r="BQ10" s="354">
        <f>Table1[[#This Row],[Total Control Bu MOSFET Loss]]+Table1[[#This Row],[Total Sync Bu MOSFET Loss]]+Table1[[#This Row],[Total Control Bo MOSFET Loss]]+Table1[[#This Row],[Total Sync Bo MOSFET Loss]]+Table1[[#This Row],[Reverse Recovery Loss MOSFET D BUCK]]+Table1[[#This Row],[Reverse Recovery Loss MOSFET D BOOST]]</f>
        <v>4.9016780655888761</v>
      </c>
      <c r="BR10" s="354">
        <f>Table1[[#This Row],[Total Control Bu MOSFET Loss]]+Table1[[#This Row],[Reverse Recovery Loss MOSFET D BUCK]]*0.66</f>
        <v>3.338403251944559</v>
      </c>
      <c r="BS10" s="354">
        <f>Table1[[#This Row],[Total Sync Bu MOSFET Loss]]+Table1[[#This Row],[Reverse Recovery Loss MOSFET D BUCK]]*0.33</f>
        <v>0.85023476733071668</v>
      </c>
      <c r="BT10" s="354">
        <f xml:space="preserve"> Table1[[#This Row],[Total Control Bo MOSFET Loss]]+Table1[[#This Row],[Reverse Recovery Loss MOSFET D BOOST]]*0.66</f>
        <v>0</v>
      </c>
      <c r="BU10" s="354">
        <f xml:space="preserve"> Table1[[#This Row],[Total Sync Bo MOSFET Loss]]+Table1[[#This Row],[Reverse Recovery Loss MOSFET D BOOST]]*0.33</f>
        <v>0.71062929431359978</v>
      </c>
      <c r="BV10" s="354">
        <f>Table1[[#This Row],[Isense Shunt Loss]]</f>
        <v>9.7103942143320229E-2</v>
      </c>
      <c r="CA10" s="18"/>
      <c r="CB10" s="18"/>
      <c r="CC10" s="18"/>
      <c r="CD10" s="19"/>
    </row>
    <row r="11" spans="1:92" x14ac:dyDescent="0.2">
      <c r="A11" s="20" t="s">
        <v>4</v>
      </c>
      <c r="B11" s="5">
        <f>Vin</f>
        <v>20</v>
      </c>
      <c r="C11" s="440" t="s">
        <v>0</v>
      </c>
      <c r="D11" s="21" t="s">
        <v>4</v>
      </c>
      <c r="G11">
        <v>2</v>
      </c>
      <c r="H11" s="555">
        <f>VIN_min+(VIN_max-VIN_min)*(Table1[[#This Row],[Step]]/200)</f>
        <v>20.28</v>
      </c>
      <c r="I11" s="4" t="str">
        <f>IF(Mode = 2,IF(Table1[[#This Row],[Vin]]&gt;Vout, "BUCK","BOOST"),IF(Table1[[#This Row],[Vin]]&gt;VIN_BB_to_buck, "BUCK", IF(Table1[[#This Row],[Vin]]&lt;=VIN_boost_to_BB,"BOOST","BUCK-BST")))</f>
        <v>BUCK</v>
      </c>
      <c r="J11">
        <f>IF(Table1[[#This Row],[Mode]]="BOOST",2, IF(Table1[[#This Row],[Mode]]="BUCK", 1,3))</f>
        <v>1</v>
      </c>
      <c r="K11">
        <f t="shared" si="0"/>
        <v>12</v>
      </c>
      <c r="L11" s="4">
        <f>Vout*Table1[[#This Row],[Iout]]/(Table1[[#This Row],[Vin]]*Efficiency)</f>
        <v>9.093740267829336</v>
      </c>
      <c r="M11" s="711">
        <f>MIN(1/Fsw,CHOOSE(Table1[[#This Row],[Mode Digit]],(Vout+(Rdson2+Rs+Rdcr)*Table1[[#This Row],[Iout]])/(Table1[[#This Row],[Vin]]+(Rs+Rdson2-Rdson1)*Table1[[#This Row],[Iout]])/Fsw,(Vout+(Rdson3+Rdcr)*Table1[[#This Row],[Iin]]-Table1[[#This Row],[Vin]])/(Vout+(Rdson3-Rdson4-Rs)*Table1[[#This Row],[Iin]])/Fsw,t1_Ph_II))</f>
        <v>1.2104053832266533E-6</v>
      </c>
      <c r="N11" s="602">
        <f>CHOOSE(Table1[[#This Row],[Mode Digit]],1/Fsw-Table1[[#This Row],[t1_Ph_II]],1/Fsw-Table1[[#This Row],[t1_Ph_II]],(Vout/Fsw-Table1[[#This Row],[Vin]]*t1_Ph_II)/(Table1[[#This Row],[Vin]]+Vout))</f>
        <v>4.5626128344001332E-7</v>
      </c>
      <c r="O11" s="602">
        <f>1/Fsw-(Table1[[#This Row],[t1_Ph_II]]+Table1[[#This Row],[t2_Ph_I]])</f>
        <v>0</v>
      </c>
      <c r="P1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10.697897239256175</v>
      </c>
      <c r="Q11" s="4">
        <f>CHOOSE(Table1[[#This Row],[Mode Digit]],Table1[[#This Row],[I_0]]+1/Lf*(Table1[[#This Row],[Vin]]-Vout)*Table1[[#This Row],[t1_Ph_II]],Table1[[#This Row],[I_0]]+1/Lf*Table1[[#This Row],[Vin]]*Table1[[#This Row],[t1_Ph_II]],Table1[[#This Row],[I_0]]+(Table1[[#This Row],[Vin]]-Vout)/L*Table1[[#This Row],[t1_Ph_II]])</f>
        <v>13.302102760743823</v>
      </c>
      <c r="R11" s="4">
        <f>CHOOSE(Table1[[#This Row],[Mode Digit]],0,0,Table1[[#This Row],[I_1]]+Table1[[#This Row],[Vin]]/L*Table1[[#This Row],[t2_Ph_I]])</f>
        <v>0</v>
      </c>
      <c r="S11" s="4">
        <f>Fsw*(Table1[[#This Row],[I_0]]*Table1[[#This Row],[t1_Ph_II]]+Table1[[#This Row],[I_1]]*Table1[[#This Row],[t2_Ph_I]]+Table1[[#This Row],[I_2]]*Table1[[#This Row],[t3_Ph_III]])</f>
        <v>11.410816131401489</v>
      </c>
      <c r="T11" s="354">
        <f>MIN(1,CHOOSE(Table1[[#This Row],[Mode Digit]],(Vout+(Rdson2+Rs+Rdcr)*Table1[[#This Row],[Iout]])/(Table1[[#This Row],[Vin]]+(Rs+Rdson2-Rdson1)*Table1[[#This Row],[Iout]]),1,Fsw*Table1[[#This Row],[t2_Ph_I]]+Table1[[#This Row],[t1_Ph_II]]))</f>
        <v>0.726243229935992</v>
      </c>
      <c r="U11" s="354">
        <f>MIN(1,CHOOSE(Table1[[#This Row],[Mode Digit]],0,(Vout+(Rdson3+Rdcr)*Table1[[#This Row],[Iin]]-Table1[[#This Row],[Vin]])/(Vout+(Rdson3-Rdson4-Rs)*Table1[[#This Row],[Iin]]),Fsw*Table1[[#This Row],[t1_Ph_II]]+Table1[[#This Row],[t3_Ph_III]]))</f>
        <v>0</v>
      </c>
      <c r="V11" s="4">
        <f>MAX(Table1[[#This Row],[I_0]:[I_2]])-MIN(Table1[[#This Row],[I_0]:[I_1]])</f>
        <v>2.6042055214876481</v>
      </c>
      <c r="W1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12.023525156951498</v>
      </c>
      <c r="X11" s="354">
        <f>(Table1[[#This Row],[Irms Lf]]^2*Rdcr*(1+Ltc*Ta-Ltc*25))/(1-Table1[[#This Row],[Irms Lf]]^2*Rdcr*Ltc*ThetaCa)</f>
        <v>0.89876551428543616</v>
      </c>
      <c r="Y11" s="354">
        <f>ABS(7.759*10^-3*Fsw^0.9458*(0.00787*Table1[[#This Row],[Ripple Current pk-pk]])^2.304)</f>
        <v>0.29162367340451267</v>
      </c>
      <c r="Z11" s="354">
        <f>Table1[[#This Row],[DCR    Loss]]+Table1[[#This Row],[Core Loss]]</f>
        <v>1.1903891876899488</v>
      </c>
      <c r="AA11" s="4">
        <f>IF(Table1[[#This Row],[Vin]]&gt;Vout, Table1[[#This Row],[Ripple Current pk-pk]]/SQRT(12), SQRT(Table1[[#This Row],[Duty Cycle BOOST Leg]]/(1-Table1[[#This Row],[Duty Cycle BOOST Leg]]))*SQRT(Table1[[#This Row],[Iout]]^2+(Table1[[#This Row],[Ripple Current pk-pk]]^2)/12))</f>
        <v>0.75176937942800171</v>
      </c>
      <c r="AB11" s="354">
        <f>RCoutEsr*Table1[[#This Row],[Irms Cout]]^2</f>
        <v>2.8257859992278141E-3</v>
      </c>
      <c r="AC11" s="354">
        <f>Table1[[#This Row],[Cout ESR Loss]]</f>
        <v>2.8257859992278141E-3</v>
      </c>
      <c r="AD11" s="354">
        <f>IF(Table1[[#This Row],[Vin]]&gt;Vout, SQRT(Table1[[#This Row],[Duty Cycle BUCK Leg]]*(1-Table1[[#This Row],[Duty Cycle BUCK Leg]]))*SQRT(Table1[[#This Row],[Iout]]^2+(Table1[[#This Row],[Ripple Current pk-pk]]^2)/12), Table1[[#This Row],[Ripple Current pk-pk]]/SQRT(12))</f>
        <v>5.3611171685399706</v>
      </c>
      <c r="AE11" s="354">
        <f>RCinEsr*Table1[[#This Row],[Irms Cin]]^2</f>
        <v>5.7483154589628063E-2</v>
      </c>
      <c r="AF11" s="549">
        <f>Table1[[#This Row],[Cin ESR Loss]]</f>
        <v>5.7483154589628063E-2</v>
      </c>
      <c r="AG1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10.246436780706757</v>
      </c>
      <c r="AH11" s="354">
        <f>Rdson1*Table1[[#This Row],[Irms BuCtrl]]^2</f>
        <v>0.44095576014428511</v>
      </c>
      <c r="AI11" s="354">
        <f>CHOOSE(Table1[[#This Row],[Mode Digit]], (Table1[[#This Row],[Vin]]*Table1[[#This Row],[Iout]]/2)*(Fsw)*(Tr_buck+Tf_buck), 0, (Table1[[#This Row],[Vin]]*Table1[[#This Row],[Avg IL]]/2)*(Fsw/1)*(Tr_buck+Tf_buck))</f>
        <v>2.4132470592038802</v>
      </c>
      <c r="AJ11">
        <f>IF(Table1[[#This Row],[Vin]]&gt;Vout, IF(Table1[[#This Row],[Iout]]&gt;Table1[[#This Row],[Ripple Current pk-pk]]/2,0,ABS(Table1[[#This Row],[Iout]]-Table1[[#This Row],[Ripple Current pk-pk]]/2)*Vsd_Q1*Deadtime*Fsw),0)</f>
        <v>0</v>
      </c>
      <c r="AK11" s="354">
        <f>(Table1[[#This Row],[Dead Time Loss BuCtrl]]+Table1[[#This Row],[Transition Loss BuCtrl]]+Table1[[#This Row],[RDS(on) Loss BuCtrl]]*(1+RdsonTopTc*Ta-RdsonTopTc*25))/(1-Table1[[#This Row],[RDS(on) Loss BuCtrl]]*RdsonTopTc*ThetaJA_Q1)</f>
        <v>3.1920114162546822</v>
      </c>
      <c r="AL11" s="354">
        <f>CHOOSE(Table1[[#This Row],[Mode Digit]],SQRT((Fsw*(Table1[[#This Row],[t2_Ph_I]]+0))*((Table1[[#This Row],[I_0]]*Table1[[#This Row],[I_1]]+((Table1[[#This Row],[I_0]]-Table1[[#This Row],[I_1]])^2)/3))),0,SQRT((Fsw*(Table1[[#This Row],[t3_Ph_III]]+0))*((Table1[[#This Row],[I_0]]*Table1[[#This Row],[I_2]]+((Table1[[#This Row],[I_0]]-Table1[[#This Row],[I_2]])^2)/3))))</f>
        <v>6.2909212758407085</v>
      </c>
      <c r="AM11" s="354">
        <f>Rdson2*Table1[[#This Row],[Irms BuSync]]^2</f>
        <v>0.16621790009506623</v>
      </c>
      <c r="AN1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1" s="354">
        <f>(Table1[[#This Row],[Deadtime Loss BuSync]]+Table1[[#This Row],[RDS(on) Loss BuSync]]*(1+RdsonBotTc*Ta-RdsonBotTc*25))/(1-Table1[[#This Row],[RDS(on) Loss BuSync]]*RdsonBotTc*ThetaJA_Q2)</f>
        <v>0.77448532657974101</v>
      </c>
      <c r="AP11" s="354">
        <f>CHOOSE(Table1[[#This Row],[Mode Digit]],0,SQRT((Fsw*(Table1[[#This Row],[t1_Ph_II]]+0))*((Table1[[#This Row],[I_0]]*Table1[[#This Row],[I_1]]+((Table1[[#This Row],[I_0]]-Table1[[#This Row],[I_1]])^2)/3))),SQRT((Fsw*(Table1[[#This Row],[t2_Ph_I]]+0))*((Table1[[#This Row],[I_1]]*Table1[[#This Row],[I_2]]+((Table1[[#This Row],[I_1]]-Table1[[#This Row],[I_2]])^2)/3))))</f>
        <v>0</v>
      </c>
      <c r="AQ11" s="354">
        <f>Rdson4*Table1[[#This Row],[Irms BoCtlr]]^2</f>
        <v>0</v>
      </c>
      <c r="AR11" s="354">
        <f>CHOOSE(Table1[[#This Row],[Mode Digit]], 0, (Vout*Table1[[#This Row],[Iin]]/2)*(Fsw)*(Tr_boost+Tf_boost), (Vout*Iout/2)*(Fsw/1)*(Tr_boost+Tf_boost))</f>
        <v>0</v>
      </c>
      <c r="AS11">
        <f>IF(Table1[[#This Row],[Vin]]&gt;Vout, 0, IF(Table1[[#This Row],[Iin]]&gt;Table1[[#This Row],[Ripple Current pk-pk]]/2,0,ABS(Table1[[#This Row],[Iin]]-Table1[[#This Row],[Ripple Current pk-pk]]/2)*Vsd_Q4*Deadtime*Fsw))</f>
        <v>0</v>
      </c>
      <c r="AT11" s="354">
        <f>(Table1[[#This Row],[Dead Time Loss BoCtlr]]+Table1[[#This Row],[Transition Loss BoCtlr]]+Table1[[#This Row],[RDS(on) Loss BoCtlr]]*(1+RdsonTopTc*Ta-RdsonTopTc*25))/(1-Table1[[#This Row],[RDS(on) Loss BoCtlr]]*RdsonTopTc*ThetaJA_Q4)</f>
        <v>0</v>
      </c>
      <c r="AU1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12.023525156951498</v>
      </c>
      <c r="AV11" s="354">
        <f>Rdson3*Table1[[#This Row],[Irms BoSync]]^2</f>
        <v>0.60717366023935138</v>
      </c>
      <c r="AW1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1" s="354">
        <f>(Table1[[#This Row],[Deadtime Loss BoSync]]+Table1[[#This Row],[RDS(on) Loss BoSync]]*(1+RdsonBotTc*Ta-RdsonBotTc*25))/(1-Table1[[#This Row],[RDS(on) Loss BoSync]]*RdsonBotTc*ThetaJA_Q3)</f>
        <v>0.7107445488526366</v>
      </c>
      <c r="AY11" s="354">
        <f>CHOOSE(Table1[[#This Row],[Mode Digit]], Rdson3*Table1[[#This Row],[Irms Lf]]^2, Rdson1*Table1[[#This Row],[Irms Lf]]^2, 0)</f>
        <v>0.60717366023935138</v>
      </c>
      <c r="AZ11" s="354">
        <f>CHOOSE(Table1[[#This Row],[Mode Digit]], 2*Deadtime*Fsw*IF(VfdSky_Q2&gt;0,VfdSky_Q2,0)*Table1[[#This Row],[Iout]], 2*Deadtime*Fsw*IF(VfdSky_Q3&gt;0,VfdSky_Q3,0)*Table1[[#This Row],[Iin]], 2*Deadtime*Fsw*IF(VfdSky_Q2&gt;0,VfdSky_Q2,0)*Table1[[#This Row],[Iout]]+2*Deadtime*Fsw*IF(VfdSky_Q3&gt;0,VfdSky_Q3,0)*Table1[[#This Row],[Iin]])</f>
        <v>0</v>
      </c>
      <c r="BA11" s="354">
        <f>CHOOSE(Table1[[#This Row],[Mode Digit]], IF(QrrSky_Q2&gt;0,QrrSky_Q2,Qrr_Q2)*Fsw*(Table1[[#This Row],[Vin]]-Table1[[#This Row],[Iout]]*Rdson1),0,  IF(QrrSky_Q2&gt;0,QrrSky_Q2,Qrr_Q2)*Fsw*(Table1[[#This Row],[Vin]]-Table1[[#This Row],[Iout]]*Rdson1)+IF(QrrSky_Q3&gt;0,QrrSky_Q3,Qrr_Q3)*Fsw*Vout)</f>
        <v>0.24275520000000003</v>
      </c>
      <c r="BB11" s="354">
        <f>CHOOSE(Table1[[#This Row],[Mode Digit]],0, IF(QrrSky_Q3&gt;0,QrrSky_Q3,Qrr_Q3)*Fsw*Vout,  IF(QrrSky_Q2&gt;0,QrrSky_Q2,Qrr_Q2)*Fsw*(Table1[[#This Row],[Vin]]-Table1[[#This Row],[Iout]]*Rdson1)+IF(QrrSky_Q3&gt;0,QrrSky_Q3,Qrr_Q3)*Fsw*Vout)</f>
        <v>0</v>
      </c>
      <c r="BC11" s="354">
        <f>CHOOSE(Table1[[#This Row],[Mode Digit]], Rs*Table1[[#This Row],[Irms BuSync]]^2, Rs*Table1[[#This Row],[Irms BoCtlr]]^2, Rs*(Table1[[#This Row],[Irms BuSync]]^2+Table1[[#This Row],[Irms BoCtlr]]^2))</f>
        <v>9.8939226247063222E-2</v>
      </c>
      <c r="BD11" s="354">
        <f t="shared" si="1"/>
        <v>1.44</v>
      </c>
      <c r="BE11" s="354">
        <f>IF(Vout&gt;8, Iq*Vout, Iq*Table1[[#This Row],[Vin]])</f>
        <v>4.3799999999999999E-2</v>
      </c>
      <c r="BF11" s="354">
        <f>CHOOSE(Table1[[#This Row],[Mode Digit]], (Qg_Q1+Qg_Q2)*Fsw, (Qg_Q3+Qg_Q4)*Fsw, (Qg_Q1+Qg_Q2+Qg_Q3+Qg_Q4)*Fsw)*IF(Vout&gt;8, Vout, Table1[[#This Row],[Vin]])</f>
        <v>0.47303999999999996</v>
      </c>
      <c r="BG11" s="354">
        <f t="shared" si="2"/>
        <v>0.45605042016806729</v>
      </c>
      <c r="BH11" s="354">
        <f>Table1[[#This Row],[IQ Loss]]+Table1[[#This Row],[Switching Current Loss]]</f>
        <v>0.51683999999999997</v>
      </c>
      <c r="BI1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8.2264738462129294</v>
      </c>
      <c r="BJ11">
        <f>Vout*Table1[[#This Row],[Iout]]</f>
        <v>175.2</v>
      </c>
      <c r="BK11" s="550">
        <f>Table1[[#This Row],[Pout]]/(Table1[[#This Row],[Pout]]+Table1[[#This Row],[Total Loss]])</f>
        <v>0.95515110946792703</v>
      </c>
      <c r="BL1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191.52068497528094</v>
      </c>
      <c r="BM11" s="559">
        <f>IF(Table1[[#This Row],[Vin]]&gt;Vout, Table1[[#This Row],[Total Sync Bu MOSFET Loss]]*ThetaJA_Q2, ThetaJA_Q3*Table1[[#This Row],[Total Sync Bo MOSFET Loss]])</f>
        <v>46.469119594784459</v>
      </c>
      <c r="BN11" s="9"/>
      <c r="BO11" s="4">
        <f>Table1[[#This Row],[EFF, h]]*100</f>
        <v>95.515110946792703</v>
      </c>
      <c r="BP11" s="354">
        <f>Table1[[#This Row],[Total Inductor Loss]]</f>
        <v>1.1903891876899488</v>
      </c>
      <c r="BQ11" s="354">
        <f>Table1[[#This Row],[Total Control Bu MOSFET Loss]]+Table1[[#This Row],[Total Sync Bu MOSFET Loss]]+Table1[[#This Row],[Total Control Bo MOSFET Loss]]+Table1[[#This Row],[Total Sync Bo MOSFET Loss]]+Table1[[#This Row],[Reverse Recovery Loss MOSFET D BUCK]]+Table1[[#This Row],[Reverse Recovery Loss MOSFET D BOOST]]</f>
        <v>4.9199964916870602</v>
      </c>
      <c r="BR11" s="354">
        <f>Table1[[#This Row],[Total Control Bu MOSFET Loss]]+Table1[[#This Row],[Reverse Recovery Loss MOSFET D BUCK]]*0.66</f>
        <v>3.3522298482546824</v>
      </c>
      <c r="BS11" s="354">
        <f>Table1[[#This Row],[Total Sync Bu MOSFET Loss]]+Table1[[#This Row],[Reverse Recovery Loss MOSFET D BUCK]]*0.33</f>
        <v>0.85459454257974099</v>
      </c>
      <c r="BT11" s="354">
        <f xml:space="preserve"> Table1[[#This Row],[Total Control Bo MOSFET Loss]]+Table1[[#This Row],[Reverse Recovery Loss MOSFET D BOOST]]*0.66</f>
        <v>0</v>
      </c>
      <c r="BU11" s="354">
        <f xml:space="preserve"> Table1[[#This Row],[Total Sync Bo MOSFET Loss]]+Table1[[#This Row],[Reverse Recovery Loss MOSFET D BOOST]]*0.33</f>
        <v>0.7107445488526366</v>
      </c>
      <c r="BV11" s="354">
        <f>Table1[[#This Row],[Isense Shunt Loss]]</f>
        <v>9.8939226247063222E-2</v>
      </c>
      <c r="BZ11" t="s">
        <v>136</v>
      </c>
      <c r="CA11" s="18">
        <v>90</v>
      </c>
      <c r="CB11" s="18">
        <v>90</v>
      </c>
      <c r="CC11" s="18">
        <v>90</v>
      </c>
      <c r="CD11" s="19">
        <f>250000*(12-Vdd)*CC11/1000000000+((250000*CC9/1000000000*Vdd)*2.5/(2*4))</f>
        <v>0.14226562500000001</v>
      </c>
      <c r="CE11">
        <f t="shared" si="3"/>
        <v>11.381250000000001</v>
      </c>
      <c r="CF11">
        <f t="shared" si="3"/>
        <v>14.2265625</v>
      </c>
      <c r="CG11">
        <f t="shared" si="3"/>
        <v>17.071875000000002</v>
      </c>
      <c r="CH11">
        <f t="shared" si="3"/>
        <v>19.917187500000001</v>
      </c>
      <c r="CI11">
        <f t="shared" si="3"/>
        <v>22.762500000000003</v>
      </c>
      <c r="CJ11">
        <f t="shared" si="3"/>
        <v>25.607812500000001</v>
      </c>
      <c r="CK11">
        <f t="shared" si="3"/>
        <v>2.8453125000000004</v>
      </c>
      <c r="CL11">
        <f t="shared" si="3"/>
        <v>4.2679687500000005</v>
      </c>
      <c r="CM11">
        <f t="shared" si="3"/>
        <v>5.6906250000000007</v>
      </c>
      <c r="CN11">
        <f t="shared" si="3"/>
        <v>7.11328125</v>
      </c>
    </row>
    <row r="12" spans="1:92" x14ac:dyDescent="0.2">
      <c r="A12" s="22" t="s">
        <v>5</v>
      </c>
      <c r="B12" s="5">
        <f>Vout</f>
        <v>14.6</v>
      </c>
      <c r="C12" s="440" t="s">
        <v>0</v>
      </c>
      <c r="D12" s="21" t="s">
        <v>5</v>
      </c>
      <c r="G12">
        <v>3</v>
      </c>
      <c r="H12" s="555">
        <f>VIN_min+(VIN_max-VIN_min)*(Table1[[#This Row],[Step]]/200)</f>
        <v>20.420000000000002</v>
      </c>
      <c r="I12" s="4" t="str">
        <f>IF(Mode = 2,IF(Table1[[#This Row],[Vin]]&gt;Vout, "BUCK","BOOST"),IF(Table1[[#This Row],[Vin]]&gt;VIN_BB_to_buck, "BUCK", IF(Table1[[#This Row],[Vin]]&lt;=VIN_boost_to_BB,"BOOST","BUCK-BST")))</f>
        <v>BUCK</v>
      </c>
      <c r="J12">
        <f>IF(Table1[[#This Row],[Mode]]="BOOST",2, IF(Table1[[#This Row],[Mode]]="BUCK", 1,3))</f>
        <v>1</v>
      </c>
      <c r="K12">
        <f t="shared" si="0"/>
        <v>12</v>
      </c>
      <c r="L12" s="4">
        <f>Vout*Table1[[#This Row],[Iout]]/(Table1[[#This Row],[Vin]]*Efficiency)</f>
        <v>9.0313933707923084</v>
      </c>
      <c r="M12" s="711">
        <f>MIN(1/Fsw,CHOOSE(Table1[[#This Row],[Mode Digit]],(Vout+(Rdson2+Rs+Rdcr)*Table1[[#This Row],[Iout]])/(Table1[[#This Row],[Vin]]+(Rs+Rdson2-Rdson1)*Table1[[#This Row],[Iout]])/Fsw,(Vout+(Rdson3+Rdcr)*Table1[[#This Row],[Iin]]-Table1[[#This Row],[Vin]])/(Vout+(Rdson3-Rdson4-Rs)*Table1[[#This Row],[Iin]])/Fsw,t1_Ph_II))</f>
        <v>1.2021189894050529E-6</v>
      </c>
      <c r="N12" s="602">
        <f>CHOOSE(Table1[[#This Row],[Mode Digit]],1/Fsw-Table1[[#This Row],[t1_Ph_II]],1/Fsw-Table1[[#This Row],[t1_Ph_II]],(Vout/Fsw-Table1[[#This Row],[Vin]]*t1_Ph_II)/(Table1[[#This Row],[Vin]]+Vout))</f>
        <v>4.6454767726161375E-7</v>
      </c>
      <c r="O12" s="602">
        <f>1/Fsw-(Table1[[#This Row],[t1_Ph_II]]+Table1[[#This Row],[t2_Ph_I]])</f>
        <v>0</v>
      </c>
      <c r="P1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10.674937023042157</v>
      </c>
      <c r="Q12" s="4">
        <f>CHOOSE(Table1[[#This Row],[Mode Digit]],Table1[[#This Row],[I_0]]+1/Lf*(Table1[[#This Row],[Vin]]-Vout)*Table1[[#This Row],[t1_Ph_II]],Table1[[#This Row],[I_0]]+1/Lf*Table1[[#This Row],[Vin]]*Table1[[#This Row],[t1_Ph_II]],Table1[[#This Row],[I_0]]+(Table1[[#This Row],[Vin]]-Vout)/L*Table1[[#This Row],[t1_Ph_II]])</f>
        <v>13.325062976957842</v>
      </c>
      <c r="R12" s="4">
        <f>CHOOSE(Table1[[#This Row],[Mode Digit]],0,0,Table1[[#This Row],[I_1]]+Table1[[#This Row],[Vin]]/L*Table1[[#This Row],[t2_Ph_I]])</f>
        <v>0</v>
      </c>
      <c r="S12" s="4">
        <f>Fsw*(Table1[[#This Row],[I_0]]*Table1[[#This Row],[t1_Ph_II]]+Table1[[#This Row],[I_1]]*Table1[[#This Row],[t2_Ph_I]]+Table1[[#This Row],[I_2]]*Table1[[#This Row],[t3_Ph_III]])</f>
        <v>11.413602936847507</v>
      </c>
      <c r="T12" s="354">
        <f>MIN(1,CHOOSE(Table1[[#This Row],[Mode Digit]],(Vout+(Rdson2+Rs+Rdcr)*Table1[[#This Row],[Iout]])/(Table1[[#This Row],[Vin]]+(Rs+Rdson2-Rdson1)*Table1[[#This Row],[Iout]]),1,Fsw*Table1[[#This Row],[t2_Ph_I]]+Table1[[#This Row],[t1_Ph_II]]))</f>
        <v>0.72127139364303172</v>
      </c>
      <c r="U12" s="354">
        <f>MIN(1,CHOOSE(Table1[[#This Row],[Mode Digit]],0,(Vout+(Rdson3+Rdcr)*Table1[[#This Row],[Iin]]-Table1[[#This Row],[Vin]])/(Vout+(Rdson3-Rdson4-Rs)*Table1[[#This Row],[Iin]]),Fsw*Table1[[#This Row],[t1_Ph_II]]+Table1[[#This Row],[t3_Ph_III]]))</f>
        <v>0</v>
      </c>
      <c r="V12" s="4">
        <f>MAX(Table1[[#This Row],[I_0]:[I_2]])-MIN(Table1[[#This Row],[I_0]:[I_1]])</f>
        <v>2.6501259539156852</v>
      </c>
      <c r="W1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12.02436127053331</v>
      </c>
      <c r="X12" s="354">
        <f>(Table1[[#This Row],[Irms Lf]]^2*Rdcr*(1+Ltc*Ta-Ltc*25))/(1-Table1[[#This Row],[Irms Lf]]^2*Rdcr*Ltc*ThetaCa)</f>
        <v>0.89889950789134287</v>
      </c>
      <c r="Y12" s="354">
        <f>ABS(7.759*10^-3*Fsw^0.9458*(0.00787*Table1[[#This Row],[Ripple Current pk-pk]])^2.304)</f>
        <v>0.3036078799742758</v>
      </c>
      <c r="Z12" s="354">
        <f>Table1[[#This Row],[DCR    Loss]]+Table1[[#This Row],[Core Loss]]</f>
        <v>1.2025073878656187</v>
      </c>
      <c r="AA12" s="4">
        <f>IF(Table1[[#This Row],[Vin]]&gt;Vout, Table1[[#This Row],[Ripple Current pk-pk]]/SQRT(12), SQRT(Table1[[#This Row],[Duty Cycle BOOST Leg]]/(1-Table1[[#This Row],[Duty Cycle BOOST Leg]]))*SQRT(Table1[[#This Row],[Iout]]^2+(Table1[[#This Row],[Ripple Current pk-pk]]^2)/12))</f>
        <v>0.76502546643981739</v>
      </c>
      <c r="AB12" s="354">
        <f>RCoutEsr*Table1[[#This Row],[Irms Cout]]^2</f>
        <v>2.9263198215073011E-3</v>
      </c>
      <c r="AC12" s="354">
        <f>Table1[[#This Row],[Cout ESR Loss]]</f>
        <v>2.9263198215073011E-3</v>
      </c>
      <c r="AD12" s="354">
        <f>IF(Table1[[#This Row],[Vin]]&gt;Vout, SQRT(Table1[[#This Row],[Duty Cycle BUCK Leg]]*(1-Table1[[#This Row],[Duty Cycle BUCK Leg]]))*SQRT(Table1[[#This Row],[Iout]]^2+(Table1[[#This Row],[Ripple Current pk-pk]]^2)/12), Table1[[#This Row],[Ripple Current pk-pk]]/SQRT(12))</f>
        <v>5.3914072927138568</v>
      </c>
      <c r="AE12" s="354">
        <f>RCinEsr*Table1[[#This Row],[Irms Cin]]^2</f>
        <v>5.8134545191856318E-2</v>
      </c>
      <c r="AF12" s="549">
        <f>Table1[[#This Row],[Cin ESR Loss]]</f>
        <v>5.8134545191856318E-2</v>
      </c>
      <c r="AG1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10.212013260850053</v>
      </c>
      <c r="AH12" s="354">
        <f>Rdson1*Table1[[#This Row],[Irms BuCtrl]]^2</f>
        <v>0.43799790232706487</v>
      </c>
      <c r="AI12" s="354">
        <f>CHOOSE(Table1[[#This Row],[Mode Digit]], (Table1[[#This Row],[Vin]]*Table1[[#This Row],[Iout]]/2)*(Fsw)*(Tr_buck+Tf_buck), 0, (Table1[[#This Row],[Vin]]*Table1[[#This Row],[Avg IL]]/2)*(Fsw/1)*(Tr_buck+Tf_buck))</f>
        <v>2.4299065556678121</v>
      </c>
      <c r="AJ12">
        <f>IF(Table1[[#This Row],[Vin]]&gt;Vout, IF(Table1[[#This Row],[Iout]]&gt;Table1[[#This Row],[Ripple Current pk-pk]]/2,0,ABS(Table1[[#This Row],[Iout]]-Table1[[#This Row],[Ripple Current pk-pk]]/2)*Vsd_Q1*Deadtime*Fsw),0)</f>
        <v>0</v>
      </c>
      <c r="AK12" s="354">
        <f>(Table1[[#This Row],[Dead Time Loss BuCtrl]]+Table1[[#This Row],[Transition Loss BuCtrl]]+Table1[[#This Row],[RDS(on) Loss BuCtrl]]*(1+RdsonTopTc*Ta-RdsonTopTc*25))/(1-Table1[[#This Row],[RDS(on) Loss BuCtrl]]*RdsonTopTc*ThetaJA_Q1)</f>
        <v>3.2047904127596665</v>
      </c>
      <c r="AL12" s="354">
        <f>CHOOSE(Table1[[#This Row],[Mode Digit]],SQRT((Fsw*(Table1[[#This Row],[t2_Ph_I]]+0))*((Table1[[#This Row],[I_0]]*Table1[[#This Row],[I_1]]+((Table1[[#This Row],[I_0]]-Table1[[#This Row],[I_1]])^2)/3))),0,SQRT((Fsw*(Table1[[#This Row],[t3_Ph_III]]+0))*((Table1[[#This Row],[I_0]]*Table1[[#This Row],[I_2]]+((Table1[[#This Row],[I_0]]-Table1[[#This Row],[I_2]])^2)/3))))</f>
        <v>6.3482319683927848</v>
      </c>
      <c r="AM12" s="354">
        <f>Rdson2*Table1[[#This Row],[Irms BuSync]]^2</f>
        <v>0.16926020632300137</v>
      </c>
      <c r="AN1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2" s="354">
        <f>(Table1[[#This Row],[Deadtime Loss BuSync]]+Table1[[#This Row],[RDS(on) Loss BuSync]]*(1+RdsonBotTc*Ta-RdsonBotTc*25))/(1-Table1[[#This Row],[RDS(on) Loss BuSync]]*RdsonBotTc*ThetaJA_Q2)</f>
        <v>0.77824588924239702</v>
      </c>
      <c r="AP12" s="354">
        <f>CHOOSE(Table1[[#This Row],[Mode Digit]],0,SQRT((Fsw*(Table1[[#This Row],[t1_Ph_II]]+0))*((Table1[[#This Row],[I_0]]*Table1[[#This Row],[I_1]]+((Table1[[#This Row],[I_0]]-Table1[[#This Row],[I_1]])^2)/3))),SQRT((Fsw*(Table1[[#This Row],[t2_Ph_I]]+0))*((Table1[[#This Row],[I_1]]*Table1[[#This Row],[I_2]]+((Table1[[#This Row],[I_1]]-Table1[[#This Row],[I_2]])^2)/3))))</f>
        <v>0</v>
      </c>
      <c r="AQ12" s="354">
        <f>Rdson4*Table1[[#This Row],[Irms BoCtlr]]^2</f>
        <v>0</v>
      </c>
      <c r="AR12" s="354">
        <f>CHOOSE(Table1[[#This Row],[Mode Digit]], 0, (Vout*Table1[[#This Row],[Iin]]/2)*(Fsw)*(Tr_boost+Tf_boost), (Vout*Iout/2)*(Fsw/1)*(Tr_boost+Tf_boost))</f>
        <v>0</v>
      </c>
      <c r="AS12">
        <f>IF(Table1[[#This Row],[Vin]]&gt;Vout, 0, IF(Table1[[#This Row],[Iin]]&gt;Table1[[#This Row],[Ripple Current pk-pk]]/2,0,ABS(Table1[[#This Row],[Iin]]-Table1[[#This Row],[Ripple Current pk-pk]]/2)*Vsd_Q4*Deadtime*Fsw))</f>
        <v>0</v>
      </c>
      <c r="AT12" s="354">
        <f>(Table1[[#This Row],[Dead Time Loss BoCtlr]]+Table1[[#This Row],[Transition Loss BoCtlr]]+Table1[[#This Row],[RDS(on) Loss BoCtlr]]*(1+RdsonTopTc*Ta-RdsonTopTc*25))/(1-Table1[[#This Row],[RDS(on) Loss BoCtlr]]*RdsonTopTc*ThetaJA_Q4)</f>
        <v>0</v>
      </c>
      <c r="AU1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12.02436127053331</v>
      </c>
      <c r="AV12" s="354">
        <f>Rdson3*Table1[[#This Row],[Irms BoSync]]^2</f>
        <v>0.60725810865006613</v>
      </c>
      <c r="AW1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2" s="354">
        <f>(Table1[[#This Row],[Deadtime Loss BoSync]]+Table1[[#This Row],[RDS(on) Loss BoSync]]*(1+RdsonBotTc*Ta-RdsonBotTc*25))/(1-Table1[[#This Row],[RDS(on) Loss BoSync]]*RdsonBotTc*ThetaJA_Q3)</f>
        <v>0.71086026741060471</v>
      </c>
      <c r="AY12" s="354">
        <f>CHOOSE(Table1[[#This Row],[Mode Digit]], Rdson3*Table1[[#This Row],[Irms Lf]]^2, Rdson1*Table1[[#This Row],[Irms Lf]]^2, 0)</f>
        <v>0.60725810865006613</v>
      </c>
      <c r="AZ12" s="354">
        <f>CHOOSE(Table1[[#This Row],[Mode Digit]], 2*Deadtime*Fsw*IF(VfdSky_Q2&gt;0,VfdSky_Q2,0)*Table1[[#This Row],[Iout]], 2*Deadtime*Fsw*IF(VfdSky_Q3&gt;0,VfdSky_Q3,0)*Table1[[#This Row],[Iin]], 2*Deadtime*Fsw*IF(VfdSky_Q2&gt;0,VfdSky_Q2,0)*Table1[[#This Row],[Iout]]+2*Deadtime*Fsw*IF(VfdSky_Q3&gt;0,VfdSky_Q3,0)*Table1[[#This Row],[Iin]])</f>
        <v>0</v>
      </c>
      <c r="BA12" s="354">
        <f>CHOOSE(Table1[[#This Row],[Mode Digit]], IF(QrrSky_Q2&gt;0,QrrSky_Q2,Qrr_Q2)*Fsw*(Table1[[#This Row],[Vin]]-Table1[[#This Row],[Iout]]*Rdson1),0,  IF(QrrSky_Q2&gt;0,QrrSky_Q2,Qrr_Q2)*Fsw*(Table1[[#This Row],[Vin]]-Table1[[#This Row],[Iout]]*Rdson1)+IF(QrrSky_Q3&gt;0,QrrSky_Q3,Qrr_Q3)*Fsw*Vout)</f>
        <v>0.24443520000000002</v>
      </c>
      <c r="BB12" s="354">
        <f>CHOOSE(Table1[[#This Row],[Mode Digit]],0, IF(QrrSky_Q3&gt;0,QrrSky_Q3,Qrr_Q3)*Fsw*Vout,  IF(QrrSky_Q2&gt;0,QrrSky_Q2,Qrr_Q2)*Fsw*(Table1[[#This Row],[Vin]]-Table1[[#This Row],[Iout]]*Rdson1)+IF(QrrSky_Q3&gt;0,QrrSky_Q3,Qrr_Q3)*Fsw*Vout)</f>
        <v>0</v>
      </c>
      <c r="BC12" s="354">
        <f>CHOOSE(Table1[[#This Row],[Mode Digit]], Rs*Table1[[#This Row],[Irms BuSync]]^2, Rs*Table1[[#This Row],[Irms BoCtlr]]^2, Rs*(Table1[[#This Row],[Irms BuSync]]^2+Table1[[#This Row],[Irms BoCtlr]]^2))</f>
        <v>0.10075012281131032</v>
      </c>
      <c r="BD12" s="354">
        <f t="shared" si="1"/>
        <v>1.44</v>
      </c>
      <c r="BE12" s="354">
        <f>IF(Vout&gt;8, Iq*Vout, Iq*Table1[[#This Row],[Vin]])</f>
        <v>4.3799999999999999E-2</v>
      </c>
      <c r="BF12" s="354">
        <f>CHOOSE(Table1[[#This Row],[Mode Digit]], (Qg_Q1+Qg_Q2)*Fsw, (Qg_Q3+Qg_Q4)*Fsw, (Qg_Q1+Qg_Q2+Qg_Q3+Qg_Q4)*Fsw)*IF(Vout&gt;8, Vout, Table1[[#This Row],[Vin]])</f>
        <v>0.47303999999999996</v>
      </c>
      <c r="BG12" s="354">
        <f t="shared" si="2"/>
        <v>0.45605042016806729</v>
      </c>
      <c r="BH12" s="354">
        <f>Table1[[#This Row],[IQ Loss]]+Table1[[#This Row],[Switching Current Loss]]</f>
        <v>0.51683999999999997</v>
      </c>
      <c r="BI1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8.2594901451029603</v>
      </c>
      <c r="BJ12">
        <f>Vout*Table1[[#This Row],[Iout]]</f>
        <v>175.2</v>
      </c>
      <c r="BK12" s="550">
        <f>Table1[[#This Row],[Pout]]/(Table1[[#This Row],[Pout]]+Table1[[#This Row],[Total Loss]])</f>
        <v>0.95497921563735777</v>
      </c>
      <c r="BL1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192.28742476558</v>
      </c>
      <c r="BM12" s="559">
        <f>IF(Table1[[#This Row],[Vin]]&gt;Vout, Table1[[#This Row],[Total Sync Bu MOSFET Loss]]*ThetaJA_Q2, ThetaJA_Q3*Table1[[#This Row],[Total Sync Bo MOSFET Loss]])</f>
        <v>46.69475335454382</v>
      </c>
      <c r="BN12" s="9"/>
      <c r="BO12" s="4">
        <f>Table1[[#This Row],[EFF, h]]*100</f>
        <v>95.497921563735773</v>
      </c>
      <c r="BP12" s="354">
        <f>Table1[[#This Row],[Total Inductor Loss]]</f>
        <v>1.2025073878656187</v>
      </c>
      <c r="BQ12" s="354">
        <f>Table1[[#This Row],[Total Control Bu MOSFET Loss]]+Table1[[#This Row],[Total Sync Bu MOSFET Loss]]+Table1[[#This Row],[Total Control Bo MOSFET Loss]]+Table1[[#This Row],[Total Sync Bo MOSFET Loss]]+Table1[[#This Row],[Reverse Recovery Loss MOSFET D BUCK]]+Table1[[#This Row],[Reverse Recovery Loss MOSFET D BOOST]]</f>
        <v>4.9383317694126685</v>
      </c>
      <c r="BR12" s="354">
        <f>Table1[[#This Row],[Total Control Bu MOSFET Loss]]+Table1[[#This Row],[Reverse Recovery Loss MOSFET D BUCK]]*0.66</f>
        <v>3.3661176447596666</v>
      </c>
      <c r="BS12" s="354">
        <f>Table1[[#This Row],[Total Sync Bu MOSFET Loss]]+Table1[[#This Row],[Reverse Recovery Loss MOSFET D BUCK]]*0.33</f>
        <v>0.85890950524239706</v>
      </c>
      <c r="BT12" s="354">
        <f xml:space="preserve"> Table1[[#This Row],[Total Control Bo MOSFET Loss]]+Table1[[#This Row],[Reverse Recovery Loss MOSFET D BOOST]]*0.66</f>
        <v>0</v>
      </c>
      <c r="BU12" s="354">
        <f xml:space="preserve"> Table1[[#This Row],[Total Sync Bo MOSFET Loss]]+Table1[[#This Row],[Reverse Recovery Loss MOSFET D BOOST]]*0.33</f>
        <v>0.71086026741060471</v>
      </c>
      <c r="BV12" s="354">
        <f>Table1[[#This Row],[Isense Shunt Loss]]</f>
        <v>0.10075012281131032</v>
      </c>
      <c r="BZ12" t="s">
        <v>141</v>
      </c>
      <c r="CA12" s="18">
        <v>60</v>
      </c>
      <c r="CB12" s="18">
        <v>60</v>
      </c>
      <c r="CC12" s="18">
        <v>60</v>
      </c>
      <c r="CD12" s="19">
        <f>250000*(18-Vdd)*CC12/1000000000+((250000*CC9/1000000000*Vdd)*2.5/(2*4))</f>
        <v>0.198515625</v>
      </c>
      <c r="CE12">
        <f t="shared" si="3"/>
        <v>15.88125</v>
      </c>
      <c r="CF12">
        <f t="shared" si="3"/>
        <v>19.8515625</v>
      </c>
      <c r="CG12">
        <f t="shared" si="3"/>
        <v>23.821874999999999</v>
      </c>
      <c r="CH12">
        <f t="shared" si="3"/>
        <v>27.792187500000001</v>
      </c>
      <c r="CI12">
        <f t="shared" si="3"/>
        <v>31.762499999999999</v>
      </c>
      <c r="CJ12">
        <f t="shared" si="3"/>
        <v>35.732812500000001</v>
      </c>
      <c r="CK12">
        <f t="shared" si="3"/>
        <v>3.9703124999999999</v>
      </c>
      <c r="CL12">
        <f t="shared" si="3"/>
        <v>5.9554687499999996</v>
      </c>
      <c r="CM12">
        <f t="shared" si="3"/>
        <v>7.9406249999999998</v>
      </c>
      <c r="CN12">
        <f t="shared" si="3"/>
        <v>9.92578125</v>
      </c>
    </row>
    <row r="13" spans="1:92" x14ac:dyDescent="0.2">
      <c r="A13" s="22" t="s">
        <v>7</v>
      </c>
      <c r="B13" s="5">
        <f>Fsw/1000</f>
        <v>600</v>
      </c>
      <c r="C13" s="440" t="s">
        <v>3</v>
      </c>
      <c r="D13" s="21" t="s">
        <v>96</v>
      </c>
      <c r="G13">
        <v>4</v>
      </c>
      <c r="H13" s="555">
        <f>VIN_min+(VIN_max-VIN_min)*(Table1[[#This Row],[Step]]/200)</f>
        <v>20.56</v>
      </c>
      <c r="I13" s="4" t="str">
        <f>IF(Mode = 2,IF(Table1[[#This Row],[Vin]]&gt;Vout, "BUCK","BOOST"),IF(Table1[[#This Row],[Vin]]&gt;VIN_BB_to_buck, "BUCK", IF(Table1[[#This Row],[Vin]]&lt;=VIN_boost_to_BB,"BOOST","BUCK-BST")))</f>
        <v>BUCK</v>
      </c>
      <c r="J13">
        <f>IF(Table1[[#This Row],[Mode]]="BOOST",2, IF(Table1[[#This Row],[Mode]]="BUCK", 1,3))</f>
        <v>1</v>
      </c>
      <c r="K13">
        <f t="shared" si="0"/>
        <v>12</v>
      </c>
      <c r="L13" s="4">
        <f>Vout*Table1[[#This Row],[Iout]]/(Table1[[#This Row],[Vin]]*Efficiency)</f>
        <v>8.9698955560106501</v>
      </c>
      <c r="M13" s="711">
        <f>MIN(1/Fsw,CHOOSE(Table1[[#This Row],[Mode Digit]],(Vout+(Rdson2+Rs+Rdcr)*Table1[[#This Row],[Iout]])/(Table1[[#This Row],[Vin]]+(Rs+Rdson2-Rdson1)*Table1[[#This Row],[Iout]])/Fsw,(Vout+(Rdson3+Rdcr)*Table1[[#This Row],[Iin]]-Table1[[#This Row],[Vin]])/(Vout+(Rdson3-Rdson4-Rs)*Table1[[#This Row],[Iin]])/Fsw,t1_Ph_II))</f>
        <v>1.1939452808806865E-6</v>
      </c>
      <c r="N13" s="602">
        <f>CHOOSE(Table1[[#This Row],[Mode Digit]],1/Fsw-Table1[[#This Row],[t1_Ph_II]],1/Fsw-Table1[[#This Row],[t1_Ph_II]],(Vout/Fsw-Table1[[#This Row],[Vin]]*t1_Ph_II)/(Table1[[#This Row],[Vin]]+Vout))</f>
        <v>4.727213857859802E-7</v>
      </c>
      <c r="O13" s="602">
        <f>1/Fsw-(Table1[[#This Row],[t1_Ph_II]]+Table1[[#This Row],[t2_Ph_I]])</f>
        <v>0</v>
      </c>
      <c r="P1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10.652289039005892</v>
      </c>
      <c r="Q13" s="4">
        <f>CHOOSE(Table1[[#This Row],[Mode Digit]],Table1[[#This Row],[I_0]]+1/Lf*(Table1[[#This Row],[Vin]]-Vout)*Table1[[#This Row],[t1_Ph_II]],Table1[[#This Row],[I_0]]+1/Lf*Table1[[#This Row],[Vin]]*Table1[[#This Row],[t1_Ph_II]],Table1[[#This Row],[I_0]]+(Table1[[#This Row],[Vin]]-Vout)/L*Table1[[#This Row],[t1_Ph_II]])</f>
        <v>13.347710960994107</v>
      </c>
      <c r="R13" s="4">
        <f>CHOOSE(Table1[[#This Row],[Mode Digit]],0,0,Table1[[#This Row],[I_1]]+Table1[[#This Row],[Vin]]/L*Table1[[#This Row],[t2_Ph_I]])</f>
        <v>0</v>
      </c>
      <c r="S13" s="4">
        <f>Fsw*(Table1[[#This Row],[I_0]]*Table1[[#This Row],[t1_Ph_II]]+Table1[[#This Row],[I_1]]*Table1[[#This Row],[t2_Ph_I]]+Table1[[#This Row],[I_2]]*Table1[[#This Row],[t3_Ph_III]])</f>
        <v>11.41679919075</v>
      </c>
      <c r="T13" s="354">
        <f>MIN(1,CHOOSE(Table1[[#This Row],[Mode Digit]],(Vout+(Rdson2+Rs+Rdcr)*Table1[[#This Row],[Iout]])/(Table1[[#This Row],[Vin]]+(Rs+Rdson2-Rdson1)*Table1[[#This Row],[Iout]]),1,Fsw*Table1[[#This Row],[t2_Ph_I]]+Table1[[#This Row],[t1_Ph_II]]))</f>
        <v>0.71636716852841187</v>
      </c>
      <c r="U13" s="354">
        <f>MIN(1,CHOOSE(Table1[[#This Row],[Mode Digit]],0,(Vout+(Rdson3+Rdcr)*Table1[[#This Row],[Iin]]-Table1[[#This Row],[Vin]])/(Vout+(Rdson3-Rdson4-Rs)*Table1[[#This Row],[Iin]]),Fsw*Table1[[#This Row],[t1_Ph_II]]+Table1[[#This Row],[t3_Ph_III]]))</f>
        <v>0</v>
      </c>
      <c r="V13" s="4">
        <f>MAX(Table1[[#This Row],[I_0]:[I_2]])-MIN(Table1[[#This Row],[I_0]:[I_1]])</f>
        <v>2.6954219219882152</v>
      </c>
      <c r="W1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12.025200273237083</v>
      </c>
      <c r="X13" s="354">
        <f>(Table1[[#This Row],[Irms Lf]]^2*Rdcr*(1+Ltc*Ta-Ltc*25))/(1-Table1[[#This Row],[Irms Lf]]^2*Rdcr*Ltc*ThetaCa)</f>
        <v>0.89903397656129536</v>
      </c>
      <c r="Y13" s="354">
        <f>ABS(7.759*10^-3*Fsw^0.9458*(0.00787*Table1[[#This Row],[Ripple Current pk-pk]])^2.304)</f>
        <v>0.31569742101438547</v>
      </c>
      <c r="Z13" s="354">
        <f>Table1[[#This Row],[DCR    Loss]]+Table1[[#This Row],[Core Loss]]</f>
        <v>1.2147313975756808</v>
      </c>
      <c r="AA13" s="4">
        <f>IF(Table1[[#This Row],[Vin]]&gt;Vout, Table1[[#This Row],[Ripple Current pk-pk]]/SQRT(12), SQRT(Table1[[#This Row],[Duty Cycle BOOST Leg]]/(1-Table1[[#This Row],[Duty Cycle BOOST Leg]]))*SQRT(Table1[[#This Row],[Iout]]^2+(Table1[[#This Row],[Ripple Current pk-pk]]^2)/12))</f>
        <v>0.77810128611975726</v>
      </c>
      <c r="AB13" s="354">
        <f>RCoutEsr*Table1[[#This Row],[Irms Cout]]^2</f>
        <v>3.0272080573061017E-3</v>
      </c>
      <c r="AC13" s="354">
        <f>Table1[[#This Row],[Cout ESR Loss]]</f>
        <v>3.0272080573061017E-3</v>
      </c>
      <c r="AD13" s="354">
        <f>IF(Table1[[#This Row],[Vin]]&gt;Vout, SQRT(Table1[[#This Row],[Duty Cycle BUCK Leg]]*(1-Table1[[#This Row],[Duty Cycle BUCK Leg]]))*SQRT(Table1[[#This Row],[Iout]]^2+(Table1[[#This Row],[Ripple Current pk-pk]]^2)/12), Table1[[#This Row],[Ripple Current pk-pk]]/SQRT(12))</f>
        <v>5.4204882226011559</v>
      </c>
      <c r="AE13" s="354">
        <f>RCinEsr*Table1[[#This Row],[Irms Cin]]^2</f>
        <v>5.8763385142715681E-2</v>
      </c>
      <c r="AF13" s="549">
        <f>Table1[[#This Row],[Cin ESR Loss]]</f>
        <v>5.8763385142715681E-2</v>
      </c>
      <c r="AG1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10.17794629387496</v>
      </c>
      <c r="AH13" s="354">
        <f>Rdson1*Table1[[#This Row],[Irms BuCtrl]]^2</f>
        <v>0.43508048119621284</v>
      </c>
      <c r="AI13" s="354">
        <f>CHOOSE(Table1[[#This Row],[Mode Digit]], (Table1[[#This Row],[Vin]]*Table1[[#This Row],[Iout]]/2)*(Fsw)*(Tr_buck+Tf_buck), 0, (Table1[[#This Row],[Vin]]*Table1[[#This Row],[Avg IL]]/2)*(Fsw/1)*(Tr_buck+Tf_buck))</f>
        <v>2.4465660521317436</v>
      </c>
      <c r="AJ13">
        <f>IF(Table1[[#This Row],[Vin]]&gt;Vout, IF(Table1[[#This Row],[Iout]]&gt;Table1[[#This Row],[Ripple Current pk-pk]]/2,0,ABS(Table1[[#This Row],[Iout]]-Table1[[#This Row],[Ripple Current pk-pk]]/2)*Vsd_Q1*Deadtime*Fsw),0)</f>
        <v>0</v>
      </c>
      <c r="AK13" s="354">
        <f>(Table1[[#This Row],[Dead Time Loss BuCtrl]]+Table1[[#This Row],[Transition Loss BuCtrl]]+Table1[[#This Row],[RDS(on) Loss BuCtrl]]*(1+RdsonTopTc*Ta-RdsonTopTc*25))/(1-Table1[[#This Row],[RDS(on) Loss BuCtrl]]*RdsonTopTc*ThetaJA_Q1)</f>
        <v>3.2176291686049869</v>
      </c>
      <c r="AL13" s="354">
        <f>CHOOSE(Table1[[#This Row],[Mode Digit]],SQRT((Fsw*(Table1[[#This Row],[t2_Ph_I]]+0))*((Table1[[#This Row],[I_0]]*Table1[[#This Row],[I_1]]+((Table1[[#This Row],[I_0]]-Table1[[#This Row],[I_1]])^2)/3))),0,SQRT((Fsw*(Table1[[#This Row],[t3_Ph_III]]+0))*((Table1[[#This Row],[I_0]]*Table1[[#This Row],[I_2]]+((Table1[[#This Row],[I_0]]-Table1[[#This Row],[I_2]])^2)/3))))</f>
        <v>6.4042837890320063</v>
      </c>
      <c r="AM13" s="354">
        <f>Rdson2*Table1[[#This Row],[Irms BuSync]]^2</f>
        <v>0.17226237357192425</v>
      </c>
      <c r="AN1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3" s="354">
        <f>(Table1[[#This Row],[Deadtime Loss BuSync]]+Table1[[#This Row],[RDS(on) Loss BuSync]]*(1+RdsonBotTc*Ta-RdsonBotTc*25))/(1-Table1[[#This Row],[RDS(on) Loss BuSync]]*RdsonBotTc*ThetaJA_Q2)</f>
        <v>0.78196245207250448</v>
      </c>
      <c r="AP13" s="354">
        <f>CHOOSE(Table1[[#This Row],[Mode Digit]],0,SQRT((Fsw*(Table1[[#This Row],[t1_Ph_II]]+0))*((Table1[[#This Row],[I_0]]*Table1[[#This Row],[I_1]]+((Table1[[#This Row],[I_0]]-Table1[[#This Row],[I_1]])^2)/3))),SQRT((Fsw*(Table1[[#This Row],[t2_Ph_I]]+0))*((Table1[[#This Row],[I_1]]*Table1[[#This Row],[I_2]]+((Table1[[#This Row],[I_1]]-Table1[[#This Row],[I_2]])^2)/3))))</f>
        <v>0</v>
      </c>
      <c r="AQ13" s="354">
        <f>Rdson4*Table1[[#This Row],[Irms BoCtlr]]^2</f>
        <v>0</v>
      </c>
      <c r="AR13" s="354">
        <f>CHOOSE(Table1[[#This Row],[Mode Digit]], 0, (Vout*Table1[[#This Row],[Iin]]/2)*(Fsw)*(Tr_boost+Tf_boost), (Vout*Iout/2)*(Fsw/1)*(Tr_boost+Tf_boost))</f>
        <v>0</v>
      </c>
      <c r="AS13">
        <f>IF(Table1[[#This Row],[Vin]]&gt;Vout, 0, IF(Table1[[#This Row],[Iin]]&gt;Table1[[#This Row],[Ripple Current pk-pk]]/2,0,ABS(Table1[[#This Row],[Iin]]-Table1[[#This Row],[Ripple Current pk-pk]]/2)*Vsd_Q4*Deadtime*Fsw))</f>
        <v>0</v>
      </c>
      <c r="AT13" s="354">
        <f>(Table1[[#This Row],[Dead Time Loss BoCtlr]]+Table1[[#This Row],[Transition Loss BoCtlr]]+Table1[[#This Row],[RDS(on) Loss BoCtlr]]*(1+RdsonTopTc*Ta-RdsonTopTc*25))/(1-Table1[[#This Row],[RDS(on) Loss BoCtlr]]*RdsonTopTc*ThetaJA_Q4)</f>
        <v>0</v>
      </c>
      <c r="AU1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12.025200273237083</v>
      </c>
      <c r="AV13" s="354">
        <f>Rdson3*Table1[[#This Row],[Irms BoSync]]^2</f>
        <v>0.6073428547681371</v>
      </c>
      <c r="AW1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3" s="354">
        <f>(Table1[[#This Row],[Deadtime Loss BoSync]]+Table1[[#This Row],[RDS(on) Loss BoSync]]*(1+RdsonBotTc*Ta-RdsonBotTc*25))/(1-Table1[[#This Row],[RDS(on) Loss BoSync]]*RdsonBotTc*ThetaJA_Q3)</f>
        <v>0.71097639943322877</v>
      </c>
      <c r="AY13" s="354">
        <f>CHOOSE(Table1[[#This Row],[Mode Digit]], Rdson3*Table1[[#This Row],[Irms Lf]]^2, Rdson1*Table1[[#This Row],[Irms Lf]]^2, 0)</f>
        <v>0.6073428547681371</v>
      </c>
      <c r="AZ13" s="354">
        <f>CHOOSE(Table1[[#This Row],[Mode Digit]], 2*Deadtime*Fsw*IF(VfdSky_Q2&gt;0,VfdSky_Q2,0)*Table1[[#This Row],[Iout]], 2*Deadtime*Fsw*IF(VfdSky_Q3&gt;0,VfdSky_Q3,0)*Table1[[#This Row],[Iin]], 2*Deadtime*Fsw*IF(VfdSky_Q2&gt;0,VfdSky_Q2,0)*Table1[[#This Row],[Iout]]+2*Deadtime*Fsw*IF(VfdSky_Q3&gt;0,VfdSky_Q3,0)*Table1[[#This Row],[Iin]])</f>
        <v>0</v>
      </c>
      <c r="BA13" s="354">
        <f>CHOOSE(Table1[[#This Row],[Mode Digit]], IF(QrrSky_Q2&gt;0,QrrSky_Q2,Qrr_Q2)*Fsw*(Table1[[#This Row],[Vin]]-Table1[[#This Row],[Iout]]*Rdson1),0,  IF(QrrSky_Q2&gt;0,QrrSky_Q2,Qrr_Q2)*Fsw*(Table1[[#This Row],[Vin]]-Table1[[#This Row],[Iout]]*Rdson1)+IF(QrrSky_Q3&gt;0,QrrSky_Q3,Qrr_Q3)*Fsw*Vout)</f>
        <v>0.24611520000000001</v>
      </c>
      <c r="BB13" s="354">
        <f>CHOOSE(Table1[[#This Row],[Mode Digit]],0, IF(QrrSky_Q3&gt;0,QrrSky_Q3,Qrr_Q3)*Fsw*Vout,  IF(QrrSky_Q2&gt;0,QrrSky_Q2,Qrr_Q2)*Fsw*(Table1[[#This Row],[Vin]]-Table1[[#This Row],[Iout]]*Rdson1)+IF(QrrSky_Q3&gt;0,QrrSky_Q3,Qrr_Q3)*Fsw*Vout)</f>
        <v>0</v>
      </c>
      <c r="BC13" s="354">
        <f>CHOOSE(Table1[[#This Row],[Mode Digit]], Rs*Table1[[#This Row],[Irms BuSync]]^2, Rs*Table1[[#This Row],[Irms BoCtlr]]^2, Rs*(Table1[[#This Row],[Irms BuSync]]^2+Table1[[#This Row],[Irms BoCtlr]]^2))</f>
        <v>0.10253712712614538</v>
      </c>
      <c r="BD13" s="354">
        <f t="shared" si="1"/>
        <v>1.44</v>
      </c>
      <c r="BE13" s="354">
        <f>IF(Vout&gt;8, Iq*Vout, Iq*Table1[[#This Row],[Vin]])</f>
        <v>4.3799999999999999E-2</v>
      </c>
      <c r="BF13" s="354">
        <f>CHOOSE(Table1[[#This Row],[Mode Digit]], (Qg_Q1+Qg_Q2)*Fsw, (Qg_Q3+Qg_Q4)*Fsw, (Qg_Q1+Qg_Q2+Qg_Q3+Qg_Q4)*Fsw)*IF(Vout&gt;8, Vout, Table1[[#This Row],[Vin]])</f>
        <v>0.47303999999999996</v>
      </c>
      <c r="BG13" s="354">
        <f t="shared" si="2"/>
        <v>0.45605042016806729</v>
      </c>
      <c r="BH13" s="354">
        <f>Table1[[#This Row],[IQ Loss]]+Table1[[#This Row],[Switching Current Loss]]</f>
        <v>0.51683999999999997</v>
      </c>
      <c r="BI1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8.2925823380125685</v>
      </c>
      <c r="BJ13">
        <f>Vout*Table1[[#This Row],[Iout]]</f>
        <v>175.2</v>
      </c>
      <c r="BK13" s="550">
        <f>Table1[[#This Row],[Pout]]/(Table1[[#This Row],[Pout]]+Table1[[#This Row],[Total Loss]])</f>
        <v>0.95480698874935022</v>
      </c>
      <c r="BL1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193.05775011629922</v>
      </c>
      <c r="BM13" s="559">
        <f>IF(Table1[[#This Row],[Vin]]&gt;Vout, Table1[[#This Row],[Total Sync Bu MOSFET Loss]]*ThetaJA_Q2, ThetaJA_Q3*Table1[[#This Row],[Total Sync Bo MOSFET Loss]])</f>
        <v>46.917747124350271</v>
      </c>
      <c r="BN13" s="9"/>
      <c r="BO13" s="4">
        <f>Table1[[#This Row],[EFF, h]]*100</f>
        <v>95.480698874935015</v>
      </c>
      <c r="BP13" s="354">
        <f>Table1[[#This Row],[Total Inductor Loss]]</f>
        <v>1.2147313975756808</v>
      </c>
      <c r="BQ13" s="354">
        <f>Table1[[#This Row],[Total Control Bu MOSFET Loss]]+Table1[[#This Row],[Total Sync Bu MOSFET Loss]]+Table1[[#This Row],[Total Control Bo MOSFET Loss]]+Table1[[#This Row],[Total Sync Bo MOSFET Loss]]+Table1[[#This Row],[Reverse Recovery Loss MOSFET D BUCK]]+Table1[[#This Row],[Reverse Recovery Loss MOSFET D BOOST]]</f>
        <v>4.9566832201107207</v>
      </c>
      <c r="BR13" s="354">
        <f>Table1[[#This Row],[Total Control Bu MOSFET Loss]]+Table1[[#This Row],[Reverse Recovery Loss MOSFET D BUCK]]*0.66</f>
        <v>3.3800652006049869</v>
      </c>
      <c r="BS13" s="354">
        <f>Table1[[#This Row],[Total Sync Bu MOSFET Loss]]+Table1[[#This Row],[Reverse Recovery Loss MOSFET D BUCK]]*0.33</f>
        <v>0.86318046807250448</v>
      </c>
      <c r="BT13" s="354">
        <f xml:space="preserve"> Table1[[#This Row],[Total Control Bo MOSFET Loss]]+Table1[[#This Row],[Reverse Recovery Loss MOSFET D BOOST]]*0.66</f>
        <v>0</v>
      </c>
      <c r="BU13" s="354">
        <f xml:space="preserve"> Table1[[#This Row],[Total Sync Bo MOSFET Loss]]+Table1[[#This Row],[Reverse Recovery Loss MOSFET D BOOST]]*0.33</f>
        <v>0.71097639943322877</v>
      </c>
      <c r="BV13" s="354">
        <f>Table1[[#This Row],[Isense Shunt Loss]]</f>
        <v>0.10253712712614538</v>
      </c>
      <c r="BZ13" t="s">
        <v>137</v>
      </c>
      <c r="CA13" s="18">
        <v>30</v>
      </c>
      <c r="CB13" s="18">
        <v>30</v>
      </c>
      <c r="CC13" s="18">
        <v>30</v>
      </c>
      <c r="CD13" s="19">
        <f>500000*(5-Vdd)*CC13/1000000000+((500000*CC9/1000000000*Vdd)*2.5/(2*4))</f>
        <v>4.4531250000000001E-2</v>
      </c>
      <c r="CE13">
        <f t="shared" si="3"/>
        <v>3.5625</v>
      </c>
      <c r="CF13">
        <f t="shared" si="3"/>
        <v>4.453125</v>
      </c>
      <c r="CG13">
        <f t="shared" si="3"/>
        <v>5.34375</v>
      </c>
      <c r="CH13">
        <f t="shared" si="3"/>
        <v>6.234375</v>
      </c>
      <c r="CI13">
        <f t="shared" si="3"/>
        <v>7.125</v>
      </c>
      <c r="CJ13">
        <f t="shared" si="3"/>
        <v>8.015625</v>
      </c>
      <c r="CK13">
        <f t="shared" si="3"/>
        <v>0.890625</v>
      </c>
      <c r="CL13">
        <f t="shared" si="3"/>
        <v>1.3359375</v>
      </c>
      <c r="CM13">
        <f t="shared" si="3"/>
        <v>1.78125</v>
      </c>
      <c r="CN13">
        <f t="shared" si="3"/>
        <v>2.2265625</v>
      </c>
    </row>
    <row r="14" spans="1:92" x14ac:dyDescent="0.2">
      <c r="A14" s="22" t="s">
        <v>6</v>
      </c>
      <c r="B14" s="5">
        <f>Iout</f>
        <v>12</v>
      </c>
      <c r="C14" s="440" t="s">
        <v>2</v>
      </c>
      <c r="D14" s="21" t="s">
        <v>97</v>
      </c>
      <c r="G14">
        <v>5</v>
      </c>
      <c r="H14" s="555">
        <f>VIN_min+(VIN_max-VIN_min)*(Table1[[#This Row],[Step]]/200)</f>
        <v>20.7</v>
      </c>
      <c r="I14" s="4" t="str">
        <f>IF(Mode = 2,IF(Table1[[#This Row],[Vin]]&gt;Vout, "BUCK","BOOST"),IF(Table1[[#This Row],[Vin]]&gt;VIN_BB_to_buck, "BUCK", IF(Table1[[#This Row],[Vin]]&lt;=VIN_boost_to_BB,"BOOST","BUCK-BST")))</f>
        <v>BUCK</v>
      </c>
      <c r="J14">
        <f>IF(Table1[[#This Row],[Mode]]="BOOST",2, IF(Table1[[#This Row],[Mode]]="BUCK", 1,3))</f>
        <v>1</v>
      </c>
      <c r="K14">
        <f t="shared" si="0"/>
        <v>12</v>
      </c>
      <c r="L14" s="4">
        <f>Vout*Table1[[#This Row],[Iout]]/(Table1[[#This Row],[Vin]]*Efficiency)</f>
        <v>8.9092295957284513</v>
      </c>
      <c r="M14" s="711">
        <f>MIN(1/Fsw,CHOOSE(Table1[[#This Row],[Mode Digit]],(Vout+(Rdson2+Rs+Rdcr)*Table1[[#This Row],[Iout]])/(Table1[[#This Row],[Vin]]+(Rs+Rdson2-Rdson1)*Table1[[#This Row],[Iout]])/Fsw,(Vout+(Rdson3+Rdcr)*Table1[[#This Row],[Iin]]-Table1[[#This Row],[Vin]])/(Vout+(Rdson3-Rdson4-Rs)*Table1[[#This Row],[Iin]])/Fsw,t1_Ph_II))</f>
        <v>1.1858819745939861E-6</v>
      </c>
      <c r="N14" s="602">
        <f>CHOOSE(Table1[[#This Row],[Mode Digit]],1/Fsw-Table1[[#This Row],[t1_Ph_II]],1/Fsw-Table1[[#This Row],[t1_Ph_II]],(Vout/Fsw-Table1[[#This Row],[Vin]]*t1_Ph_II)/(Table1[[#This Row],[Vin]]+Vout))</f>
        <v>4.8078469207268058E-7</v>
      </c>
      <c r="O14" s="602">
        <f>1/Fsw-(Table1[[#This Row],[t1_Ph_II]]+Table1[[#This Row],[t2_Ph_I]])</f>
        <v>0</v>
      </c>
      <c r="P1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10.629946961169827</v>
      </c>
      <c r="Q14" s="4">
        <f>CHOOSE(Table1[[#This Row],[Mode Digit]],Table1[[#This Row],[I_0]]+1/Lf*(Table1[[#This Row],[Vin]]-Vout)*Table1[[#This Row],[t1_Ph_II]],Table1[[#This Row],[I_0]]+1/Lf*Table1[[#This Row],[Vin]]*Table1[[#This Row],[t1_Ph_II]],Table1[[#This Row],[I_0]]+(Table1[[#This Row],[Vin]]-Vout)/L*Table1[[#This Row],[t1_Ph_II]])</f>
        <v>13.370053038830173</v>
      </c>
      <c r="R14" s="4">
        <f>CHOOSE(Table1[[#This Row],[Mode Digit]],0,0,Table1[[#This Row],[I_1]]+Table1[[#This Row],[Vin]]/L*Table1[[#This Row],[t2_Ph_I]])</f>
        <v>0</v>
      </c>
      <c r="S14" s="4">
        <f>Fsw*(Table1[[#This Row],[I_0]]*Table1[[#This Row],[t1_Ph_II]]+Table1[[#This Row],[I_1]]*Table1[[#This Row],[t2_Ph_I]]+Table1[[#This Row],[I_2]]*Table1[[#This Row],[t3_Ph_III]])</f>
        <v>11.420387595246474</v>
      </c>
      <c r="T14" s="354">
        <f>MIN(1,CHOOSE(Table1[[#This Row],[Mode Digit]],(Vout+(Rdson2+Rs+Rdcr)*Table1[[#This Row],[Iout]])/(Table1[[#This Row],[Vin]]+(Rs+Rdson2-Rdson1)*Table1[[#This Row],[Iout]]),1,Fsw*Table1[[#This Row],[t2_Ph_I]]+Table1[[#This Row],[t1_Ph_II]]))</f>
        <v>0.71152918475639171</v>
      </c>
      <c r="U14" s="354">
        <f>MIN(1,CHOOSE(Table1[[#This Row],[Mode Digit]],0,(Vout+(Rdson3+Rdcr)*Table1[[#This Row],[Iin]]-Table1[[#This Row],[Vin]])/(Vout+(Rdson3-Rdson4-Rs)*Table1[[#This Row],[Iin]]),Fsw*Table1[[#This Row],[t1_Ph_II]]+Table1[[#This Row],[t3_Ph_III]]))</f>
        <v>0</v>
      </c>
      <c r="V14" s="4">
        <f>MAX(Table1[[#This Row],[I_0]:[I_2]])-MIN(Table1[[#This Row],[I_0]:[I_1]])</f>
        <v>2.7401060776603465</v>
      </c>
      <c r="W1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12.026041816674454</v>
      </c>
      <c r="X14" s="354">
        <f>(Table1[[#This Row],[Irms Lf]]^2*Rdcr*(1+Ltc*Ta-Ltc*25))/(1-Table1[[#This Row],[Irms Lf]]^2*Rdcr*Ltc*ThetaCa)</f>
        <v>0.89916886457629241</v>
      </c>
      <c r="Y14" s="354">
        <f>ABS(7.759*10^-3*Fsw^0.9458*(0.00787*Table1[[#This Row],[Ripple Current pk-pk]])^2.304)</f>
        <v>0.32788611206096679</v>
      </c>
      <c r="Z14" s="354">
        <f>Table1[[#This Row],[DCR    Loss]]+Table1[[#This Row],[Core Loss]]</f>
        <v>1.2270549766372592</v>
      </c>
      <c r="AA14" s="4">
        <f>IF(Table1[[#This Row],[Vin]]&gt;Vout, Table1[[#This Row],[Ripple Current pk-pk]]/SQRT(12), SQRT(Table1[[#This Row],[Duty Cycle BOOST Leg]]/(1-Table1[[#This Row],[Duty Cycle BOOST Leg]]))*SQRT(Table1[[#This Row],[Iout]]^2+(Table1[[#This Row],[Ripple Current pk-pk]]^2)/12))</f>
        <v>0.79100049077266543</v>
      </c>
      <c r="AB14" s="354">
        <f>RCoutEsr*Table1[[#This Row],[Irms Cout]]^2</f>
        <v>3.1284088820129879E-3</v>
      </c>
      <c r="AC14" s="354">
        <f>Table1[[#This Row],[Cout ESR Loss]]</f>
        <v>3.1284088820129879E-3</v>
      </c>
      <c r="AD14" s="354">
        <f>IF(Table1[[#This Row],[Vin]]&gt;Vout, SQRT(Table1[[#This Row],[Duty Cycle BUCK Leg]]*(1-Table1[[#This Row],[Duty Cycle BUCK Leg]]))*SQRT(Table1[[#This Row],[Iout]]^2+(Table1[[#This Row],[Ripple Current pk-pk]]^2)/12), Table1[[#This Row],[Ripple Current pk-pk]]/SQRT(12))</f>
        <v>5.4484128644271541</v>
      </c>
      <c r="AE14" s="354">
        <f>RCinEsr*Table1[[#This Row],[Irms Cin]]^2</f>
        <v>5.9370405482510616E-2</v>
      </c>
      <c r="AF14" s="549">
        <f>Table1[[#This Row],[Cin ESR Loss]]</f>
        <v>5.9370405482510616E-2</v>
      </c>
      <c r="AG1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10.144229564102</v>
      </c>
      <c r="AH14" s="354">
        <f>Rdson1*Table1[[#This Row],[Irms BuCtrl]]^2</f>
        <v>0.43220265248664452</v>
      </c>
      <c r="AI14" s="354">
        <f>CHOOSE(Table1[[#This Row],[Mode Digit]], (Table1[[#This Row],[Vin]]*Table1[[#This Row],[Iout]]/2)*(Fsw)*(Tr_buck+Tf_buck), 0, (Table1[[#This Row],[Vin]]*Table1[[#This Row],[Avg IL]]/2)*(Fsw/1)*(Tr_buck+Tf_buck))</f>
        <v>2.4632255485956764</v>
      </c>
      <c r="AJ14">
        <f>IF(Table1[[#This Row],[Vin]]&gt;Vout, IF(Table1[[#This Row],[Iout]]&gt;Table1[[#This Row],[Ripple Current pk-pk]]/2,0,ABS(Table1[[#This Row],[Iout]]-Table1[[#This Row],[Ripple Current pk-pk]]/2)*Vsd_Q1*Deadtime*Fsw),0)</f>
        <v>0</v>
      </c>
      <c r="AK14" s="354">
        <f>(Table1[[#This Row],[Dead Time Loss BuCtrl]]+Table1[[#This Row],[Transition Loss BuCtrl]]+Table1[[#This Row],[RDS(on) Loss BuCtrl]]*(1+RdsonTopTc*Ta-RdsonTopTc*25))/(1-Table1[[#This Row],[RDS(on) Loss BuCtrl]]*RdsonTopTc*ThetaJA_Q1)</f>
        <v>3.2305262884760442</v>
      </c>
      <c r="AL14" s="354">
        <f>CHOOSE(Table1[[#This Row],[Mode Digit]],SQRT((Fsw*(Table1[[#This Row],[t2_Ph_I]]+0))*((Table1[[#This Row],[I_0]]*Table1[[#This Row],[I_1]]+((Table1[[#This Row],[I_0]]-Table1[[#This Row],[I_1]])^2)/3))),0,SQRT((Fsw*(Table1[[#This Row],[t3_Ph_III]]+0))*((Table1[[#This Row],[I_0]]*Table1[[#This Row],[I_2]]+((Table1[[#This Row],[I_0]]-Table1[[#This Row],[I_2]])^2)/3))))</f>
        <v>6.4591244241926109</v>
      </c>
      <c r="AM14" s="354">
        <f>Rdson2*Table1[[#This Row],[Irms BuSync]]^2</f>
        <v>0.17522521097424645</v>
      </c>
      <c r="AN1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4" s="354">
        <f>(Table1[[#This Row],[Deadtime Loss BuSync]]+Table1[[#This Row],[RDS(on) Loss BuSync]]*(1+RdsonBotTc*Ta-RdsonBotTc*25))/(1-Table1[[#This Row],[RDS(on) Loss BuSync]]*RdsonBotTc*ThetaJA_Q2)</f>
        <v>0.78563580757727103</v>
      </c>
      <c r="AP14" s="354">
        <f>CHOOSE(Table1[[#This Row],[Mode Digit]],0,SQRT((Fsw*(Table1[[#This Row],[t1_Ph_II]]+0))*((Table1[[#This Row],[I_0]]*Table1[[#This Row],[I_1]]+((Table1[[#This Row],[I_0]]-Table1[[#This Row],[I_1]])^2)/3))),SQRT((Fsw*(Table1[[#This Row],[t2_Ph_I]]+0))*((Table1[[#This Row],[I_1]]*Table1[[#This Row],[I_2]]+((Table1[[#This Row],[I_1]]-Table1[[#This Row],[I_2]])^2)/3))))</f>
        <v>0</v>
      </c>
      <c r="AQ14" s="354">
        <f>Rdson4*Table1[[#This Row],[Irms BoCtlr]]^2</f>
        <v>0</v>
      </c>
      <c r="AR14" s="354">
        <f>CHOOSE(Table1[[#This Row],[Mode Digit]], 0, (Vout*Table1[[#This Row],[Iin]]/2)*(Fsw)*(Tr_boost+Tf_boost), (Vout*Iout/2)*(Fsw/1)*(Tr_boost+Tf_boost))</f>
        <v>0</v>
      </c>
      <c r="AS14">
        <f>IF(Table1[[#This Row],[Vin]]&gt;Vout, 0, IF(Table1[[#This Row],[Iin]]&gt;Table1[[#This Row],[Ripple Current pk-pk]]/2,0,ABS(Table1[[#This Row],[Iin]]-Table1[[#This Row],[Ripple Current pk-pk]]/2)*Vsd_Q4*Deadtime*Fsw))</f>
        <v>0</v>
      </c>
      <c r="AT14" s="354">
        <f>(Table1[[#This Row],[Dead Time Loss BoCtlr]]+Table1[[#This Row],[Transition Loss BoCtlr]]+Table1[[#This Row],[RDS(on) Loss BoCtlr]]*(1+RdsonTopTc*Ta-RdsonTopTc*25))/(1-Table1[[#This Row],[RDS(on) Loss BoCtlr]]*RdsonTopTc*ThetaJA_Q4)</f>
        <v>0</v>
      </c>
      <c r="AU1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12.026041816674454</v>
      </c>
      <c r="AV14" s="354">
        <f>Rdson3*Table1[[#This Row],[Irms BoSync]]^2</f>
        <v>0.60742786346089095</v>
      </c>
      <c r="AW1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4" s="354">
        <f>(Table1[[#This Row],[Deadtime Loss BoSync]]+Table1[[#This Row],[RDS(on) Loss BoSync]]*(1+RdsonBotTc*Ta-RdsonBotTc*25))/(1-Table1[[#This Row],[RDS(on) Loss BoSync]]*RdsonBotTc*ThetaJA_Q3)</f>
        <v>0.71109289683160382</v>
      </c>
      <c r="AY14" s="354">
        <f>CHOOSE(Table1[[#This Row],[Mode Digit]], Rdson3*Table1[[#This Row],[Irms Lf]]^2, Rdson1*Table1[[#This Row],[Irms Lf]]^2, 0)</f>
        <v>0.60742786346089095</v>
      </c>
      <c r="AZ14" s="354">
        <f>CHOOSE(Table1[[#This Row],[Mode Digit]], 2*Deadtime*Fsw*IF(VfdSky_Q2&gt;0,VfdSky_Q2,0)*Table1[[#This Row],[Iout]], 2*Deadtime*Fsw*IF(VfdSky_Q3&gt;0,VfdSky_Q3,0)*Table1[[#This Row],[Iin]], 2*Deadtime*Fsw*IF(VfdSky_Q2&gt;0,VfdSky_Q2,0)*Table1[[#This Row],[Iout]]+2*Deadtime*Fsw*IF(VfdSky_Q3&gt;0,VfdSky_Q3,0)*Table1[[#This Row],[Iin]])</f>
        <v>0</v>
      </c>
      <c r="BA14" s="354">
        <f>CHOOSE(Table1[[#This Row],[Mode Digit]], IF(QrrSky_Q2&gt;0,QrrSky_Q2,Qrr_Q2)*Fsw*(Table1[[#This Row],[Vin]]-Table1[[#This Row],[Iout]]*Rdson1),0,  IF(QrrSky_Q2&gt;0,QrrSky_Q2,Qrr_Q2)*Fsw*(Table1[[#This Row],[Vin]]-Table1[[#This Row],[Iout]]*Rdson1)+IF(QrrSky_Q3&gt;0,QrrSky_Q3,Qrr_Q3)*Fsw*Vout)</f>
        <v>0.24779519999999999</v>
      </c>
      <c r="BB14" s="354">
        <f>CHOOSE(Table1[[#This Row],[Mode Digit]],0, IF(QrrSky_Q3&gt;0,QrrSky_Q3,Qrr_Q3)*Fsw*Vout,  IF(QrrSky_Q2&gt;0,QrrSky_Q2,Qrr_Q2)*Fsw*(Table1[[#This Row],[Vin]]-Table1[[#This Row],[Iout]]*Rdson1)+IF(QrrSky_Q3&gt;0,QrrSky_Q3,Qrr_Q3)*Fsw*Vout)</f>
        <v>0</v>
      </c>
      <c r="BC14" s="354">
        <f>CHOOSE(Table1[[#This Row],[Mode Digit]], Rs*Table1[[#This Row],[Irms BuSync]]^2, Rs*Table1[[#This Row],[Irms BoCtlr]]^2, Rs*(Table1[[#This Row],[Irms BuSync]]^2+Table1[[#This Row],[Irms BoCtlr]]^2))</f>
        <v>0.10430072081800383</v>
      </c>
      <c r="BD14" s="354">
        <f t="shared" si="1"/>
        <v>1.44</v>
      </c>
      <c r="BE14" s="354">
        <f>IF(Vout&gt;8, Iq*Vout, Iq*Table1[[#This Row],[Vin]])</f>
        <v>4.3799999999999999E-2</v>
      </c>
      <c r="BF14" s="354">
        <f>CHOOSE(Table1[[#This Row],[Mode Digit]], (Qg_Q1+Qg_Q2)*Fsw, (Qg_Q3+Qg_Q4)*Fsw, (Qg_Q1+Qg_Q2+Qg_Q3+Qg_Q4)*Fsw)*IF(Vout&gt;8, Vout, Table1[[#This Row],[Vin]])</f>
        <v>0.47303999999999996</v>
      </c>
      <c r="BG14" s="354">
        <f t="shared" si="2"/>
        <v>0.45605042016806729</v>
      </c>
      <c r="BH14" s="354">
        <f>Table1[[#This Row],[IQ Loss]]+Table1[[#This Row],[Switching Current Loss]]</f>
        <v>0.51683999999999997</v>
      </c>
      <c r="BI1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8.3257447047047055</v>
      </c>
      <c r="BJ14">
        <f>Vout*Table1[[#This Row],[Iout]]</f>
        <v>175.2</v>
      </c>
      <c r="BK14" s="550">
        <f>Table1[[#This Row],[Pout]]/(Table1[[#This Row],[Pout]]+Table1[[#This Row],[Total Loss]])</f>
        <v>0.95463445895233423</v>
      </c>
      <c r="BL1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193.83157730856266</v>
      </c>
      <c r="BM14" s="559">
        <f>IF(Table1[[#This Row],[Vin]]&gt;Vout, Table1[[#This Row],[Total Sync Bu MOSFET Loss]]*ThetaJA_Q2, ThetaJA_Q3*Table1[[#This Row],[Total Sync Bo MOSFET Loss]])</f>
        <v>47.138148454636259</v>
      </c>
      <c r="BN14" s="9"/>
      <c r="BO14" s="4">
        <f>Table1[[#This Row],[EFF, h]]*100</f>
        <v>95.46344589523342</v>
      </c>
      <c r="BP14" s="354">
        <f>Table1[[#This Row],[Total Inductor Loss]]</f>
        <v>1.2270549766372592</v>
      </c>
      <c r="BQ14" s="354">
        <f>Table1[[#This Row],[Total Control Bu MOSFET Loss]]+Table1[[#This Row],[Total Sync Bu MOSFET Loss]]+Table1[[#This Row],[Total Control Bo MOSFET Loss]]+Table1[[#This Row],[Total Sync Bo MOSFET Loss]]+Table1[[#This Row],[Reverse Recovery Loss MOSFET D BUCK]]+Table1[[#This Row],[Reverse Recovery Loss MOSFET D BOOST]]</f>
        <v>4.9750501928849182</v>
      </c>
      <c r="BR14" s="354">
        <f>Table1[[#This Row],[Total Control Bu MOSFET Loss]]+Table1[[#This Row],[Reverse Recovery Loss MOSFET D BUCK]]*0.66</f>
        <v>3.3940711204760441</v>
      </c>
      <c r="BS14" s="354">
        <f>Table1[[#This Row],[Total Sync Bu MOSFET Loss]]+Table1[[#This Row],[Reverse Recovery Loss MOSFET D BUCK]]*0.33</f>
        <v>0.86740822357727099</v>
      </c>
      <c r="BT14" s="354">
        <f xml:space="preserve"> Table1[[#This Row],[Total Control Bo MOSFET Loss]]+Table1[[#This Row],[Reverse Recovery Loss MOSFET D BOOST]]*0.66</f>
        <v>0</v>
      </c>
      <c r="BU14" s="354">
        <f xml:space="preserve"> Table1[[#This Row],[Total Sync Bo MOSFET Loss]]+Table1[[#This Row],[Reverse Recovery Loss MOSFET D BOOST]]*0.33</f>
        <v>0.71109289683160382</v>
      </c>
      <c r="BV14" s="354">
        <f>Table1[[#This Row],[Isense Shunt Loss]]</f>
        <v>0.10430072081800383</v>
      </c>
      <c r="BZ14" t="s">
        <v>140</v>
      </c>
      <c r="CA14" s="18">
        <v>45</v>
      </c>
      <c r="CB14" s="18">
        <v>45</v>
      </c>
      <c r="CC14" s="18">
        <v>45</v>
      </c>
      <c r="CD14" s="19">
        <f>500000*(12-Vdd)*CC14/1000000000+((500000*CC9/1000000000*Vdd)*2.5/(2*4))</f>
        <v>0.18328125000000001</v>
      </c>
      <c r="CE14">
        <f t="shared" si="3"/>
        <v>14.662500000000001</v>
      </c>
      <c r="CF14">
        <f t="shared" si="3"/>
        <v>18.328125</v>
      </c>
      <c r="CG14">
        <f t="shared" si="3"/>
        <v>21.993750000000002</v>
      </c>
      <c r="CH14">
        <f t="shared" si="3"/>
        <v>25.659375000000001</v>
      </c>
      <c r="CI14">
        <f t="shared" si="3"/>
        <v>29.325000000000003</v>
      </c>
      <c r="CJ14">
        <f t="shared" si="3"/>
        <v>32.990625000000001</v>
      </c>
      <c r="CK14">
        <f t="shared" si="3"/>
        <v>3.6656250000000004</v>
      </c>
      <c r="CL14">
        <f t="shared" si="3"/>
        <v>5.4984375000000005</v>
      </c>
      <c r="CM14">
        <f t="shared" si="3"/>
        <v>7.3312500000000007</v>
      </c>
      <c r="CN14">
        <f t="shared" si="3"/>
        <v>9.1640625</v>
      </c>
    </row>
    <row r="15" spans="1:92" x14ac:dyDescent="0.2">
      <c r="A15" s="23" t="s">
        <v>87</v>
      </c>
      <c r="B15" s="5">
        <f>Ta</f>
        <v>25</v>
      </c>
      <c r="C15" s="440" t="s">
        <v>637</v>
      </c>
      <c r="D15" s="21" t="s">
        <v>98</v>
      </c>
      <c r="G15">
        <v>6</v>
      </c>
      <c r="H15" s="555">
        <f>VIN_min+(VIN_max-VIN_min)*(Table1[[#This Row],[Step]]/200)</f>
        <v>20.84</v>
      </c>
      <c r="I15" s="4" t="str">
        <f>IF(Mode = 2,IF(Table1[[#This Row],[Vin]]&gt;Vout, "BUCK","BOOST"),IF(Table1[[#This Row],[Vin]]&gt;VIN_BB_to_buck, "BUCK", IF(Table1[[#This Row],[Vin]]&lt;=VIN_boost_to_BB,"BOOST","BUCK-BST")))</f>
        <v>BUCK</v>
      </c>
      <c r="J15">
        <f>IF(Table1[[#This Row],[Mode]]="BOOST",2, IF(Table1[[#This Row],[Mode]]="BUCK", 1,3))</f>
        <v>1</v>
      </c>
      <c r="K15">
        <f t="shared" si="0"/>
        <v>12</v>
      </c>
      <c r="L15" s="4">
        <f>Vout*Table1[[#This Row],[Iout]]/(Table1[[#This Row],[Vin]]*Efficiency)</f>
        <v>8.8493787251237492</v>
      </c>
      <c r="M15" s="711">
        <f>MIN(1/Fsw,CHOOSE(Table1[[#This Row],[Mode Digit]],(Vout+(Rdson2+Rs+Rdcr)*Table1[[#This Row],[Iout]])/(Table1[[#This Row],[Vin]]+(Rs+Rdson2-Rdson1)*Table1[[#This Row],[Iout]])/Fsw,(Vout+(Rdson3+Rdcr)*Table1[[#This Row],[Iin]]-Table1[[#This Row],[Vin]])/(Vout+(Rdson3-Rdson4-Rs)*Table1[[#This Row],[Iin]])/Fsw,t1_Ph_II))</f>
        <v>1.1779268487462066E-6</v>
      </c>
      <c r="N15" s="602">
        <f>CHOOSE(Table1[[#This Row],[Mode Digit]],1/Fsw-Table1[[#This Row],[t1_Ph_II]],1/Fsw-Table1[[#This Row],[t1_Ph_II]],(Vout/Fsw-Table1[[#This Row],[Vin]]*t1_Ph_II)/(Table1[[#This Row],[Vin]]+Vout))</f>
        <v>4.8873981792046011E-7</v>
      </c>
      <c r="O15" s="602">
        <f>1/Fsw-(Table1[[#This Row],[t1_Ph_II]]+Table1[[#This Row],[t2_Ph_I]])</f>
        <v>0</v>
      </c>
      <c r="P1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10.607904633299938</v>
      </c>
      <c r="Q15" s="4">
        <f>CHOOSE(Table1[[#This Row],[Mode Digit]],Table1[[#This Row],[I_0]]+1/Lf*(Table1[[#This Row],[Vin]]-Vout)*Table1[[#This Row],[t1_Ph_II]],Table1[[#This Row],[I_0]]+1/Lf*Table1[[#This Row],[Vin]]*Table1[[#This Row],[t1_Ph_II]],Table1[[#This Row],[I_0]]+(Table1[[#This Row],[Vin]]-Vout)/L*Table1[[#This Row],[t1_Ph_II]])</f>
        <v>13.392095366700064</v>
      </c>
      <c r="R15" s="4">
        <f>CHOOSE(Table1[[#This Row],[Mode Digit]],0,0,Table1[[#This Row],[I_1]]+Table1[[#This Row],[Vin]]/L*Table1[[#This Row],[t2_Ph_I]])</f>
        <v>0</v>
      </c>
      <c r="S15" s="4">
        <f>Fsw*(Table1[[#This Row],[I_0]]*Table1[[#This Row],[t1_Ph_II]]+Table1[[#This Row],[I_1]]*Table1[[#This Row],[t2_Ph_I]]+Table1[[#This Row],[I_2]]*Table1[[#This Row],[t3_Ph_III]])</f>
        <v>11.424351556558625</v>
      </c>
      <c r="T15" s="354">
        <f>MIN(1,CHOOSE(Table1[[#This Row],[Mode Digit]],(Vout+(Rdson2+Rs+Rdcr)*Table1[[#This Row],[Iout]])/(Table1[[#This Row],[Vin]]+(Rs+Rdson2-Rdson1)*Table1[[#This Row],[Iout]]),1,Fsw*Table1[[#This Row],[t2_Ph_I]]+Table1[[#This Row],[t1_Ph_II]]))</f>
        <v>0.70675610924772392</v>
      </c>
      <c r="U15" s="354">
        <f>MIN(1,CHOOSE(Table1[[#This Row],[Mode Digit]],0,(Vout+(Rdson3+Rdcr)*Table1[[#This Row],[Iin]]-Table1[[#This Row],[Vin]])/(Vout+(Rdson3-Rdson4-Rs)*Table1[[#This Row],[Iin]]),Fsw*Table1[[#This Row],[t1_Ph_II]]+Table1[[#This Row],[t3_Ph_III]]))</f>
        <v>0</v>
      </c>
      <c r="V15" s="4">
        <f>MAX(Table1[[#This Row],[I_0]:[I_2]])-MIN(Table1[[#This Row],[I_0]:[I_1]])</f>
        <v>2.7841907334001252</v>
      </c>
      <c r="W1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12.02688556956161</v>
      </c>
      <c r="X15" s="354">
        <f>(Table1[[#This Row],[Irms Lf]]^2*Rdcr*(1+Ltc*Ta-Ltc*25))/(1-Table1[[#This Row],[Irms Lf]]^2*Rdcr*Ltc*ThetaCa)</f>
        <v>0.89930411893958162</v>
      </c>
      <c r="Y15" s="354">
        <f>ABS(7.759*10^-3*Fsw^0.9458*(0.00787*Table1[[#This Row],[Ripple Current pk-pk]])^2.304)</f>
        <v>0.34016799186917956</v>
      </c>
      <c r="Z15" s="354">
        <f>Table1[[#This Row],[DCR    Loss]]+Table1[[#This Row],[Core Loss]]</f>
        <v>1.2394721108087612</v>
      </c>
      <c r="AA15" s="4">
        <f>IF(Table1[[#This Row],[Vin]]&gt;Vout, Table1[[#This Row],[Ripple Current pk-pk]]/SQRT(12), SQRT(Table1[[#This Row],[Duty Cycle BOOST Leg]]/(1-Table1[[#This Row],[Duty Cycle BOOST Leg]]))*SQRT(Table1[[#This Row],[Iout]]^2+(Table1[[#This Row],[Ripple Current pk-pk]]^2)/12))</f>
        <v>0.80372663470191197</v>
      </c>
      <c r="AB15" s="354">
        <f>RCoutEsr*Table1[[#This Row],[Irms Cout]]^2</f>
        <v>3.2298825166463029E-3</v>
      </c>
      <c r="AC15" s="354">
        <f>Table1[[#This Row],[Cout ESR Loss]]</f>
        <v>3.2298825166463029E-3</v>
      </c>
      <c r="AD15" s="354">
        <f>IF(Table1[[#This Row],[Vin]]&gt;Vout, SQRT(Table1[[#This Row],[Duty Cycle BUCK Leg]]*(1-Table1[[#This Row],[Duty Cycle BUCK Leg]]))*SQRT(Table1[[#This Row],[Iout]]^2+(Table1[[#This Row],[Ripple Current pk-pk]]^2)/12), Table1[[#This Row],[Ripple Current pk-pk]]/SQRT(12))</f>
        <v>5.4752310536215401</v>
      </c>
      <c r="AE15" s="354">
        <f>RCinEsr*Table1[[#This Row],[Irms Cin]]^2</f>
        <v>5.9956310181083286E-2</v>
      </c>
      <c r="AF15" s="549">
        <f>Table1[[#This Row],[Cin ESR Loss]]</f>
        <v>5.9956310181083286E-2</v>
      </c>
      <c r="AG1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10.110856915802474</v>
      </c>
      <c r="AH15" s="354">
        <f>Rdson1*Table1[[#This Row],[Irms BuCtrl]]^2</f>
        <v>0.42936359580168904</v>
      </c>
      <c r="AI15" s="354">
        <f>CHOOSE(Table1[[#This Row],[Mode Digit]], (Table1[[#This Row],[Vin]]*Table1[[#This Row],[Iout]]/2)*(Fsw)*(Tr_buck+Tf_buck), 0, (Table1[[#This Row],[Vin]]*Table1[[#This Row],[Avg IL]]/2)*(Fsw/1)*(Tr_buck+Tf_buck))</f>
        <v>2.4798850450596084</v>
      </c>
      <c r="AJ15">
        <f>IF(Table1[[#This Row],[Vin]]&gt;Vout, IF(Table1[[#This Row],[Iout]]&gt;Table1[[#This Row],[Ripple Current pk-pk]]/2,0,ABS(Table1[[#This Row],[Iout]]-Table1[[#This Row],[Ripple Current pk-pk]]/2)*Vsd_Q1*Deadtime*Fsw),0)</f>
        <v>0</v>
      </c>
      <c r="AK15" s="354">
        <f>(Table1[[#This Row],[Dead Time Loss BuCtrl]]+Table1[[#This Row],[Transition Loss BuCtrl]]+Table1[[#This Row],[RDS(on) Loss BuCtrl]]*(1+RdsonTopTc*Ta-RdsonTopTc*25))/(1-Table1[[#This Row],[RDS(on) Loss BuCtrl]]*RdsonTopTc*ThetaJA_Q1)</f>
        <v>3.2434804207935253</v>
      </c>
      <c r="AL15" s="354">
        <f>CHOOSE(Table1[[#This Row],[Mode Digit]],SQRT((Fsw*(Table1[[#This Row],[t2_Ph_I]]+0))*((Table1[[#This Row],[I_0]]*Table1[[#This Row],[I_1]]+((Table1[[#This Row],[I_0]]-Table1[[#This Row],[I_1]])^2)/3))),0,SQRT((Fsw*(Table1[[#This Row],[t3_Ph_III]]+0))*((Table1[[#This Row],[I_0]]*Table1[[#This Row],[I_2]]+((Table1[[#This Row],[I_0]]-Table1[[#This Row],[I_2]])^2)/3))))</f>
        <v>6.5127988554459888</v>
      </c>
      <c r="AM15" s="354">
        <f>Rdson2*Table1[[#This Row],[Irms BuSync]]^2</f>
        <v>0.17814950551229408</v>
      </c>
      <c r="AN1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5" s="354">
        <f>(Table1[[#This Row],[Deadtime Loss BuSync]]+Table1[[#This Row],[RDS(on) Loss BuSync]]*(1+RdsonBotTc*Ta-RdsonBotTc*25))/(1-Table1[[#This Row],[RDS(on) Loss BuSync]]*RdsonBotTc*ThetaJA_Q2)</f>
        <v>0.78926672866675163</v>
      </c>
      <c r="AP15" s="354">
        <f>CHOOSE(Table1[[#This Row],[Mode Digit]],0,SQRT((Fsw*(Table1[[#This Row],[t1_Ph_II]]+0))*((Table1[[#This Row],[I_0]]*Table1[[#This Row],[I_1]]+((Table1[[#This Row],[I_0]]-Table1[[#This Row],[I_1]])^2)/3))),SQRT((Fsw*(Table1[[#This Row],[t2_Ph_I]]+0))*((Table1[[#This Row],[I_1]]*Table1[[#This Row],[I_2]]+((Table1[[#This Row],[I_1]]-Table1[[#This Row],[I_2]])^2)/3))))</f>
        <v>0</v>
      </c>
      <c r="AQ15" s="354">
        <f>Rdson4*Table1[[#This Row],[Irms BoCtlr]]^2</f>
        <v>0</v>
      </c>
      <c r="AR15" s="354">
        <f>CHOOSE(Table1[[#This Row],[Mode Digit]], 0, (Vout*Table1[[#This Row],[Iin]]/2)*(Fsw)*(Tr_boost+Tf_boost), (Vout*Iout/2)*(Fsw/1)*(Tr_boost+Tf_boost))</f>
        <v>0</v>
      </c>
      <c r="AS15">
        <f>IF(Table1[[#This Row],[Vin]]&gt;Vout, 0, IF(Table1[[#This Row],[Iin]]&gt;Table1[[#This Row],[Ripple Current pk-pk]]/2,0,ABS(Table1[[#This Row],[Iin]]-Table1[[#This Row],[Ripple Current pk-pk]]/2)*Vsd_Q4*Deadtime*Fsw))</f>
        <v>0</v>
      </c>
      <c r="AT15" s="354">
        <f>(Table1[[#This Row],[Dead Time Loss BoCtlr]]+Table1[[#This Row],[Transition Loss BoCtlr]]+Table1[[#This Row],[RDS(on) Loss BoCtlr]]*(1+RdsonTopTc*Ta-RdsonTopTc*25))/(1-Table1[[#This Row],[RDS(on) Loss BoCtlr]]*RdsonTopTc*ThetaJA_Q4)</f>
        <v>0</v>
      </c>
      <c r="AU1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12.02688556956161</v>
      </c>
      <c r="AV15" s="354">
        <f>Rdson3*Table1[[#This Row],[Irms BoSync]]^2</f>
        <v>0.60751310131398317</v>
      </c>
      <c r="AW1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5" s="354">
        <f>(Table1[[#This Row],[Deadtime Loss BoSync]]+Table1[[#This Row],[RDS(on) Loss BoSync]]*(1+RdsonBotTc*Ta-RdsonBotTc*25))/(1-Table1[[#This Row],[RDS(on) Loss BoSync]]*RdsonBotTc*ThetaJA_Q3)</f>
        <v>0.71120971386280474</v>
      </c>
      <c r="AY15" s="354">
        <f>CHOOSE(Table1[[#This Row],[Mode Digit]], Rdson3*Table1[[#This Row],[Irms Lf]]^2, Rdson1*Table1[[#This Row],[Irms Lf]]^2, 0)</f>
        <v>0.60751310131398317</v>
      </c>
      <c r="AZ15" s="354">
        <f>CHOOSE(Table1[[#This Row],[Mode Digit]], 2*Deadtime*Fsw*IF(VfdSky_Q2&gt;0,VfdSky_Q2,0)*Table1[[#This Row],[Iout]], 2*Deadtime*Fsw*IF(VfdSky_Q3&gt;0,VfdSky_Q3,0)*Table1[[#This Row],[Iin]], 2*Deadtime*Fsw*IF(VfdSky_Q2&gt;0,VfdSky_Q2,0)*Table1[[#This Row],[Iout]]+2*Deadtime*Fsw*IF(VfdSky_Q3&gt;0,VfdSky_Q3,0)*Table1[[#This Row],[Iin]])</f>
        <v>0</v>
      </c>
      <c r="BA15" s="354">
        <f>CHOOSE(Table1[[#This Row],[Mode Digit]], IF(QrrSky_Q2&gt;0,QrrSky_Q2,Qrr_Q2)*Fsw*(Table1[[#This Row],[Vin]]-Table1[[#This Row],[Iout]]*Rdson1),0,  IF(QrrSky_Q2&gt;0,QrrSky_Q2,Qrr_Q2)*Fsw*(Table1[[#This Row],[Vin]]-Table1[[#This Row],[Iout]]*Rdson1)+IF(QrrSky_Q3&gt;0,QrrSky_Q3,Qrr_Q3)*Fsw*Vout)</f>
        <v>0.24947520000000001</v>
      </c>
      <c r="BB15" s="354">
        <f>CHOOSE(Table1[[#This Row],[Mode Digit]],0, IF(QrrSky_Q3&gt;0,QrrSky_Q3,Qrr_Q3)*Fsw*Vout,  IF(QrrSky_Q2&gt;0,QrrSky_Q2,Qrr_Q2)*Fsw*(Table1[[#This Row],[Vin]]-Table1[[#This Row],[Iout]]*Rdson1)+IF(QrrSky_Q3&gt;0,QrrSky_Q3,Qrr_Q3)*Fsw*Vout)</f>
        <v>0</v>
      </c>
      <c r="BC15" s="354">
        <f>CHOOSE(Table1[[#This Row],[Mode Digit]], Rs*Table1[[#This Row],[Irms BuSync]]^2, Rs*Table1[[#This Row],[Irms BoCtlr]]^2, Rs*(Table1[[#This Row],[Irms BuSync]]^2+Table1[[#This Row],[Irms BoCtlr]]^2))</f>
        <v>0.10604137232874646</v>
      </c>
      <c r="BD15" s="354">
        <f t="shared" si="1"/>
        <v>1.44</v>
      </c>
      <c r="BE15" s="354">
        <f>IF(Vout&gt;8, Iq*Vout, Iq*Table1[[#This Row],[Vin]])</f>
        <v>4.3799999999999999E-2</v>
      </c>
      <c r="BF15" s="354">
        <f>CHOOSE(Table1[[#This Row],[Mode Digit]], (Qg_Q1+Qg_Q2)*Fsw, (Qg_Q3+Qg_Q4)*Fsw, (Qg_Q1+Qg_Q2+Qg_Q3+Qg_Q4)*Fsw)*IF(Vout&gt;8, Vout, Table1[[#This Row],[Vin]])</f>
        <v>0.47303999999999996</v>
      </c>
      <c r="BG15" s="354">
        <f t="shared" si="2"/>
        <v>0.45605042016806729</v>
      </c>
      <c r="BH15" s="354">
        <f>Table1[[#This Row],[IQ Loss]]+Table1[[#This Row],[Switching Current Loss]]</f>
        <v>0.51683999999999997</v>
      </c>
      <c r="BI1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8.3589717391583189</v>
      </c>
      <c r="BJ15">
        <f>Vout*Table1[[#This Row],[Iout]]</f>
        <v>175.2</v>
      </c>
      <c r="BK15" s="550">
        <f>Table1[[#This Row],[Pout]]/(Table1[[#This Row],[Pout]]+Table1[[#This Row],[Total Loss]])</f>
        <v>0.95446165523831439</v>
      </c>
      <c r="BL1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194.60882524761152</v>
      </c>
      <c r="BM15" s="559">
        <f>IF(Table1[[#This Row],[Vin]]&gt;Vout, Table1[[#This Row],[Total Sync Bu MOSFET Loss]]*ThetaJA_Q2, ThetaJA_Q3*Table1[[#This Row],[Total Sync Bo MOSFET Loss]])</f>
        <v>47.356003720005099</v>
      </c>
      <c r="BN15" s="9"/>
      <c r="BO15" s="4">
        <f>Table1[[#This Row],[EFF, h]]*100</f>
        <v>95.446165523831439</v>
      </c>
      <c r="BP15" s="354">
        <f>Table1[[#This Row],[Total Inductor Loss]]</f>
        <v>1.2394721108087612</v>
      </c>
      <c r="BQ15" s="354">
        <f>Table1[[#This Row],[Total Control Bu MOSFET Loss]]+Table1[[#This Row],[Total Sync Bu MOSFET Loss]]+Table1[[#This Row],[Total Control Bo MOSFET Loss]]+Table1[[#This Row],[Total Sync Bo MOSFET Loss]]+Table1[[#This Row],[Reverse Recovery Loss MOSFET D BUCK]]+Table1[[#This Row],[Reverse Recovery Loss MOSFET D BOOST]]</f>
        <v>4.9934320633230813</v>
      </c>
      <c r="BR15" s="354">
        <f>Table1[[#This Row],[Total Control Bu MOSFET Loss]]+Table1[[#This Row],[Reverse Recovery Loss MOSFET D BUCK]]*0.66</f>
        <v>3.4081340527935251</v>
      </c>
      <c r="BS15" s="354">
        <f>Table1[[#This Row],[Total Sync Bu MOSFET Loss]]+Table1[[#This Row],[Reverse Recovery Loss MOSFET D BUCK]]*0.33</f>
        <v>0.87159354466675165</v>
      </c>
      <c r="BT15" s="354">
        <f xml:space="preserve"> Table1[[#This Row],[Total Control Bo MOSFET Loss]]+Table1[[#This Row],[Reverse Recovery Loss MOSFET D BOOST]]*0.66</f>
        <v>0</v>
      </c>
      <c r="BU15" s="354">
        <f xml:space="preserve"> Table1[[#This Row],[Total Sync Bo MOSFET Loss]]+Table1[[#This Row],[Reverse Recovery Loss MOSFET D BOOST]]*0.33</f>
        <v>0.71120971386280474</v>
      </c>
      <c r="BV15" s="354">
        <f>Table1[[#This Row],[Isense Shunt Loss]]</f>
        <v>0.10604137232874646</v>
      </c>
      <c r="BZ15" t="s">
        <v>138</v>
      </c>
      <c r="CA15" s="18">
        <v>20</v>
      </c>
      <c r="CB15" s="18">
        <v>20</v>
      </c>
      <c r="CC15" s="18">
        <v>20</v>
      </c>
      <c r="CD15" s="19">
        <f>1000000*(5-Vdd)*CC15/1000000000+((1000000*CC9/1000000000*Vdd)*2.5/(2*4))</f>
        <v>0.1140625</v>
      </c>
      <c r="CE15">
        <f t="shared" si="3"/>
        <v>9.125</v>
      </c>
      <c r="CF15">
        <f t="shared" si="3"/>
        <v>11.40625</v>
      </c>
      <c r="CG15">
        <f t="shared" si="3"/>
        <v>13.6875</v>
      </c>
      <c r="CH15">
        <f t="shared" si="3"/>
        <v>15.96875</v>
      </c>
      <c r="CI15">
        <f t="shared" si="3"/>
        <v>18.25</v>
      </c>
      <c r="CJ15">
        <f t="shared" si="3"/>
        <v>20.53125</v>
      </c>
      <c r="CK15">
        <f t="shared" si="3"/>
        <v>2.28125</v>
      </c>
      <c r="CL15">
        <f t="shared" si="3"/>
        <v>3.421875</v>
      </c>
      <c r="CM15">
        <f t="shared" si="3"/>
        <v>4.5625</v>
      </c>
      <c r="CN15">
        <f t="shared" si="3"/>
        <v>5.703125</v>
      </c>
    </row>
    <row r="16" spans="1:92" x14ac:dyDescent="0.2">
      <c r="A16" s="448" t="s">
        <v>648</v>
      </c>
      <c r="B16" s="5">
        <f>Vdd</f>
        <v>7.5</v>
      </c>
      <c r="C16" s="440" t="s">
        <v>0</v>
      </c>
      <c r="D16" s="440" t="s">
        <v>647</v>
      </c>
      <c r="G16">
        <v>7</v>
      </c>
      <c r="H16" s="555">
        <f>VIN_min+(VIN_max-VIN_min)*(Table1[[#This Row],[Step]]/200)</f>
        <v>20.98</v>
      </c>
      <c r="I16" s="4" t="str">
        <f>IF(Mode = 2,IF(Table1[[#This Row],[Vin]]&gt;Vout, "BUCK","BOOST"),IF(Table1[[#This Row],[Vin]]&gt;VIN_BB_to_buck, "BUCK", IF(Table1[[#This Row],[Vin]]&lt;=VIN_boost_to_BB,"BOOST","BUCK-BST")))</f>
        <v>BUCK</v>
      </c>
      <c r="J16">
        <f>IF(Table1[[#This Row],[Mode]]="BOOST",2, IF(Table1[[#This Row],[Mode]]="BUCK", 1,3))</f>
        <v>1</v>
      </c>
      <c r="K16">
        <f t="shared" si="0"/>
        <v>12</v>
      </c>
      <c r="L16" s="4">
        <f>Vout*Table1[[#This Row],[Iout]]/(Table1[[#This Row],[Vin]]*Efficiency)</f>
        <v>8.7903266268626759</v>
      </c>
      <c r="M16" s="711">
        <f>MIN(1/Fsw,CHOOSE(Table1[[#This Row],[Mode Digit]],(Vout+(Rdson2+Rs+Rdcr)*Table1[[#This Row],[Iout]])/(Table1[[#This Row],[Vin]]+(Rs+Rdson2-Rdson1)*Table1[[#This Row],[Iout]])/Fsw,(Vout+(Rdson3+Rdcr)*Table1[[#This Row],[Iin]]-Table1[[#This Row],[Vin]])/(Vout+(Rdson3-Rdson4-Rs)*Table1[[#This Row],[Iin]])/Fsw,t1_Ph_II))</f>
        <v>1.1700777407583691E-6</v>
      </c>
      <c r="N16" s="602">
        <f>CHOOSE(Table1[[#This Row],[Mode Digit]],1/Fsw-Table1[[#This Row],[t1_Ph_II]],1/Fsw-Table1[[#This Row],[t1_Ph_II]],(Vout/Fsw-Table1[[#This Row],[Vin]]*t1_Ph_II)/(Table1[[#This Row],[Vin]]+Vout))</f>
        <v>4.9658892590829756E-7</v>
      </c>
      <c r="O16" s="602">
        <f>1/Fsw-(Table1[[#This Row],[t1_Ph_II]]+Table1[[#This Row],[t2_Ph_I]])</f>
        <v>0</v>
      </c>
      <c r="P1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10.586156063250304</v>
      </c>
      <c r="Q16" s="4">
        <f>CHOOSE(Table1[[#This Row],[Mode Digit]],Table1[[#This Row],[I_0]]+1/Lf*(Table1[[#This Row],[Vin]]-Vout)*Table1[[#This Row],[t1_Ph_II]],Table1[[#This Row],[I_0]]+1/Lf*Table1[[#This Row],[Vin]]*Table1[[#This Row],[t1_Ph_II]],Table1[[#This Row],[I_0]]+(Table1[[#This Row],[Vin]]-Vout)/L*Table1[[#This Row],[t1_Ph_II]])</f>
        <v>13.413843936749696</v>
      </c>
      <c r="R16" s="4">
        <f>CHOOSE(Table1[[#This Row],[Mode Digit]],0,0,Table1[[#This Row],[I_1]]+Table1[[#This Row],[Vin]]/L*Table1[[#This Row],[t2_Ph_I]])</f>
        <v>0</v>
      </c>
      <c r="S16" s="4">
        <f>Fsw*(Table1[[#This Row],[I_0]]*Table1[[#This Row],[t1_Ph_II]]+Table1[[#This Row],[I_1]]*Table1[[#This Row],[t2_Ph_I]]+Table1[[#This Row],[I_2]]*Table1[[#This Row],[t3_Ph_III]])</f>
        <v>11.428675153593291</v>
      </c>
      <c r="T16" s="354">
        <f>MIN(1,CHOOSE(Table1[[#This Row],[Mode Digit]],(Vout+(Rdson2+Rs+Rdcr)*Table1[[#This Row],[Iout]])/(Table1[[#This Row],[Vin]]+(Rs+Rdson2-Rdson1)*Table1[[#This Row],[Iout]]),1,Fsw*Table1[[#This Row],[t2_Ph_I]]+Table1[[#This Row],[t1_Ph_II]]))</f>
        <v>0.70204664445502141</v>
      </c>
      <c r="U16" s="354">
        <f>MIN(1,CHOOSE(Table1[[#This Row],[Mode Digit]],0,(Vout+(Rdson3+Rdcr)*Table1[[#This Row],[Iin]]-Table1[[#This Row],[Vin]])/(Vout+(Rdson3-Rdson4-Rs)*Table1[[#This Row],[Iin]]),Fsw*Table1[[#This Row],[t1_Ph_II]]+Table1[[#This Row],[t3_Ph_III]]))</f>
        <v>0</v>
      </c>
      <c r="V16" s="4">
        <f>MAX(Table1[[#This Row],[I_0]:[I_2]])-MIN(Table1[[#This Row],[I_0]:[I_1]])</f>
        <v>2.8276878734993929</v>
      </c>
      <c r="W1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12.027731216893232</v>
      </c>
      <c r="X16" s="354">
        <f>(Table1[[#This Row],[Irms Lf]]^2*Rdcr*(1+Ltc*Ta-Ltc*25))/(1-Table1[[#This Row],[Irms Lf]]^2*Rdcr*Ltc*ThetaCa)</f>
        <v>0.89943968924531881</v>
      </c>
      <c r="Y16" s="354">
        <f>ABS(7.759*10^-3*Fsw^0.9458*(0.00787*Table1[[#This Row],[Ripple Current pk-pk]])^2.304)</f>
        <v>0.35253731562590362</v>
      </c>
      <c r="Z16" s="354">
        <f>Table1[[#This Row],[DCR    Loss]]+Table1[[#This Row],[Core Loss]]</f>
        <v>1.2519770048712224</v>
      </c>
      <c r="AA16" s="4">
        <f>IF(Table1[[#This Row],[Vin]]&gt;Vout, Table1[[#This Row],[Ripple Current pk-pk]]/SQRT(12), SQRT(Table1[[#This Row],[Duty Cycle BOOST Leg]]/(1-Table1[[#This Row],[Duty Cycle BOOST Leg]]))*SQRT(Table1[[#This Row],[Iout]]^2+(Table1[[#This Row],[Ripple Current pk-pk]]^2)/12))</f>
        <v>0.81628317747455748</v>
      </c>
      <c r="AB16" s="354">
        <f>RCoutEsr*Table1[[#This Row],[Irms Cout]]^2</f>
        <v>3.3315911291397992E-3</v>
      </c>
      <c r="AC16" s="354">
        <f>Table1[[#This Row],[Cout ESR Loss]]</f>
        <v>3.3315911291397992E-3</v>
      </c>
      <c r="AD16" s="354">
        <f>IF(Table1[[#This Row],[Vin]]&gt;Vout, SQRT(Table1[[#This Row],[Duty Cycle BUCK Leg]]*(1-Table1[[#This Row],[Duty Cycle BUCK Leg]]))*SQRT(Table1[[#This Row],[Iout]]^2+(Table1[[#This Row],[Ripple Current pk-pk]]^2)/12), Table1[[#This Row],[Ripple Current pk-pk]]/SQRT(12))</f>
        <v>5.5009897880893499</v>
      </c>
      <c r="AE16" s="354">
        <f>RCinEsr*Table1[[#This Row],[Irms Cin]]^2</f>
        <v>6.052177729732662E-2</v>
      </c>
      <c r="AF16" s="549">
        <f>Table1[[#This Row],[Cin ESR Loss]]</f>
        <v>6.052177729732662E-2</v>
      </c>
      <c r="AG1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10.077822347913502</v>
      </c>
      <c r="AH16" s="354">
        <f>Rdson1*Table1[[#This Row],[Irms BuCtrl]]^2</f>
        <v>0.42656251375964027</v>
      </c>
      <c r="AI16" s="354">
        <f>CHOOSE(Table1[[#This Row],[Mode Digit]], (Table1[[#This Row],[Vin]]*Table1[[#This Row],[Iout]]/2)*(Fsw)*(Tr_buck+Tf_buck), 0, (Table1[[#This Row],[Vin]]*Table1[[#This Row],[Avg IL]]/2)*(Fsw/1)*(Tr_buck+Tf_buck))</f>
        <v>2.4965445415235403</v>
      </c>
      <c r="AJ16">
        <f>IF(Table1[[#This Row],[Vin]]&gt;Vout, IF(Table1[[#This Row],[Iout]]&gt;Table1[[#This Row],[Ripple Current pk-pk]]/2,0,ABS(Table1[[#This Row],[Iout]]-Table1[[#This Row],[Ripple Current pk-pk]]/2)*Vsd_Q1*Deadtime*Fsw),0)</f>
        <v>0</v>
      </c>
      <c r="AK16" s="354">
        <f>(Table1[[#This Row],[Dead Time Loss BuCtrl]]+Table1[[#This Row],[Transition Loss BuCtrl]]+Table1[[#This Row],[RDS(on) Loss BuCtrl]]*(1+RdsonTopTc*Ta-RdsonTopTc*25))/(1-Table1[[#This Row],[RDS(on) Loss BuCtrl]]*RdsonTopTc*ThetaJA_Q1)</f>
        <v>3.2564902559945779</v>
      </c>
      <c r="AL16" s="354">
        <f>CHOOSE(Table1[[#This Row],[Mode Digit]],SQRT((Fsw*(Table1[[#This Row],[t2_Ph_I]]+0))*((Table1[[#This Row],[I_0]]*Table1[[#This Row],[I_1]]+((Table1[[#This Row],[I_0]]-Table1[[#This Row],[I_1]])^2)/3))),0,SQRT((Fsw*(Table1[[#This Row],[t3_Ph_III]]+0))*((Table1[[#This Row],[I_0]]*Table1[[#This Row],[I_2]]+((Table1[[#This Row],[I_0]]-Table1[[#This Row],[I_2]])^2)/3))))</f>
        <v>6.5653495679760363</v>
      </c>
      <c r="AM16" s="354">
        <f>Rdson2*Table1[[#This Row],[Irms BuSync]]^2</f>
        <v>0.18103602278883715</v>
      </c>
      <c r="AN1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6" s="354">
        <f>(Table1[[#This Row],[Deadtime Loss BuSync]]+Table1[[#This Row],[RDS(on) Loss BuSync]]*(1+RdsonBotTc*Ta-RdsonBotTc*25))/(1-Table1[[#This Row],[RDS(on) Loss BuSync]]*RdsonBotTc*ThetaJA_Q2)</f>
        <v>0.7928559692776449</v>
      </c>
      <c r="AP16" s="354">
        <f>CHOOSE(Table1[[#This Row],[Mode Digit]],0,SQRT((Fsw*(Table1[[#This Row],[t1_Ph_II]]+0))*((Table1[[#This Row],[I_0]]*Table1[[#This Row],[I_1]]+((Table1[[#This Row],[I_0]]-Table1[[#This Row],[I_1]])^2)/3))),SQRT((Fsw*(Table1[[#This Row],[t2_Ph_I]]+0))*((Table1[[#This Row],[I_1]]*Table1[[#This Row],[I_2]]+((Table1[[#This Row],[I_1]]-Table1[[#This Row],[I_2]])^2)/3))))</f>
        <v>0</v>
      </c>
      <c r="AQ16" s="354">
        <f>Rdson4*Table1[[#This Row],[Irms BoCtlr]]^2</f>
        <v>0</v>
      </c>
      <c r="AR16" s="354">
        <f>CHOOSE(Table1[[#This Row],[Mode Digit]], 0, (Vout*Table1[[#This Row],[Iin]]/2)*(Fsw)*(Tr_boost+Tf_boost), (Vout*Iout/2)*(Fsw/1)*(Tr_boost+Tf_boost))</f>
        <v>0</v>
      </c>
      <c r="AS16">
        <f>IF(Table1[[#This Row],[Vin]]&gt;Vout, 0, IF(Table1[[#This Row],[Iin]]&gt;Table1[[#This Row],[Ripple Current pk-pk]]/2,0,ABS(Table1[[#This Row],[Iin]]-Table1[[#This Row],[Ripple Current pk-pk]]/2)*Vsd_Q4*Deadtime*Fsw))</f>
        <v>0</v>
      </c>
      <c r="AT16" s="354">
        <f>(Table1[[#This Row],[Dead Time Loss BoCtlr]]+Table1[[#This Row],[Transition Loss BoCtlr]]+Table1[[#This Row],[RDS(on) Loss BoCtlr]]*(1+RdsonTopTc*Ta-RdsonTopTc*25))/(1-Table1[[#This Row],[RDS(on) Loss BoCtlr]]*RdsonTopTc*ThetaJA_Q4)</f>
        <v>0</v>
      </c>
      <c r="AU1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12.027731216893232</v>
      </c>
      <c r="AV16" s="354">
        <f>Rdson3*Table1[[#This Row],[Irms BoSync]]^2</f>
        <v>0.60759853654847751</v>
      </c>
      <c r="AW1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6" s="354">
        <f>(Table1[[#This Row],[Deadtime Loss BoSync]]+Table1[[#This Row],[RDS(on) Loss BoSync]]*(1+RdsonBotTc*Ta-RdsonBotTc*25))/(1-Table1[[#This Row],[RDS(on) Loss BoSync]]*RdsonBotTc*ThetaJA_Q3)</f>
        <v>0.71132680701673412</v>
      </c>
      <c r="AY16" s="354">
        <f>CHOOSE(Table1[[#This Row],[Mode Digit]], Rdson3*Table1[[#This Row],[Irms Lf]]^2, Rdson1*Table1[[#This Row],[Irms Lf]]^2, 0)</f>
        <v>0.60759853654847751</v>
      </c>
      <c r="AZ16" s="354">
        <f>CHOOSE(Table1[[#This Row],[Mode Digit]], 2*Deadtime*Fsw*IF(VfdSky_Q2&gt;0,VfdSky_Q2,0)*Table1[[#This Row],[Iout]], 2*Deadtime*Fsw*IF(VfdSky_Q3&gt;0,VfdSky_Q3,0)*Table1[[#This Row],[Iin]], 2*Deadtime*Fsw*IF(VfdSky_Q2&gt;0,VfdSky_Q2,0)*Table1[[#This Row],[Iout]]+2*Deadtime*Fsw*IF(VfdSky_Q3&gt;0,VfdSky_Q3,0)*Table1[[#This Row],[Iin]])</f>
        <v>0</v>
      </c>
      <c r="BA16" s="354">
        <f>CHOOSE(Table1[[#This Row],[Mode Digit]], IF(QrrSky_Q2&gt;0,QrrSky_Q2,Qrr_Q2)*Fsw*(Table1[[#This Row],[Vin]]-Table1[[#This Row],[Iout]]*Rdson1),0,  IF(QrrSky_Q2&gt;0,QrrSky_Q2,Qrr_Q2)*Fsw*(Table1[[#This Row],[Vin]]-Table1[[#This Row],[Iout]]*Rdson1)+IF(QrrSky_Q3&gt;0,QrrSky_Q3,Qrr_Q3)*Fsw*Vout)</f>
        <v>0.25115520000000002</v>
      </c>
      <c r="BB16" s="354">
        <f>CHOOSE(Table1[[#This Row],[Mode Digit]],0, IF(QrrSky_Q3&gt;0,QrrSky_Q3,Qrr_Q3)*Fsw*Vout,  IF(QrrSky_Q2&gt;0,QrrSky_Q2,Qrr_Q2)*Fsw*(Table1[[#This Row],[Vin]]-Table1[[#This Row],[Iout]]*Rdson1)+IF(QrrSky_Q3&gt;0,QrrSky_Q3,Qrr_Q3)*Fsw*Vout)</f>
        <v>0</v>
      </c>
      <c r="BC16" s="354">
        <f>CHOOSE(Table1[[#This Row],[Mode Digit]], Rs*Table1[[#This Row],[Irms BuSync]]^2, Rs*Table1[[#This Row],[Irms BoCtlr]]^2, Rs*(Table1[[#This Row],[Irms BuSync]]^2+Table1[[#This Row],[Irms BoCtlr]]^2))</f>
        <v>0.10775953737430781</v>
      </c>
      <c r="BD16" s="354">
        <f t="shared" si="1"/>
        <v>1.44</v>
      </c>
      <c r="BE16" s="354">
        <f>IF(Vout&gt;8, Iq*Vout, Iq*Table1[[#This Row],[Vin]])</f>
        <v>4.3799999999999999E-2</v>
      </c>
      <c r="BF16" s="354">
        <f>CHOOSE(Table1[[#This Row],[Mode Digit]], (Qg_Q1+Qg_Q2)*Fsw, (Qg_Q3+Qg_Q4)*Fsw, (Qg_Q1+Qg_Q2+Qg_Q3+Qg_Q4)*Fsw)*IF(Vout&gt;8, Vout, Table1[[#This Row],[Vin]])</f>
        <v>0.47303999999999996</v>
      </c>
      <c r="BG16" s="354">
        <f t="shared" si="2"/>
        <v>0.45605042016806729</v>
      </c>
      <c r="BH16" s="354">
        <f>Table1[[#This Row],[IQ Loss]]+Table1[[#This Row],[Switching Current Loss]]</f>
        <v>0.51683999999999997</v>
      </c>
      <c r="BI1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8.3922581429609533</v>
      </c>
      <c r="BJ16">
        <f>Vout*Table1[[#This Row],[Iout]]</f>
        <v>175.2</v>
      </c>
      <c r="BK16" s="550">
        <f>Table1[[#This Row],[Pout]]/(Table1[[#This Row],[Pout]]+Table1[[#This Row],[Total Loss]])</f>
        <v>0.95428860547907202</v>
      </c>
      <c r="BL1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195.38941535967467</v>
      </c>
      <c r="BM16" s="559">
        <f>IF(Table1[[#This Row],[Vin]]&gt;Vout, Table1[[#This Row],[Total Sync Bu MOSFET Loss]]*ThetaJA_Q2, ThetaJA_Q3*Table1[[#This Row],[Total Sync Bo MOSFET Loss]])</f>
        <v>47.571358156658697</v>
      </c>
      <c r="BN16" s="9"/>
      <c r="BO16" s="4">
        <f>Table1[[#This Row],[EFF, h]]*100</f>
        <v>95.428860547907206</v>
      </c>
      <c r="BP16" s="354">
        <f>Table1[[#This Row],[Total Inductor Loss]]</f>
        <v>1.2519770048712224</v>
      </c>
      <c r="BQ16" s="354">
        <f>Table1[[#This Row],[Total Control Bu MOSFET Loss]]+Table1[[#This Row],[Total Sync Bu MOSFET Loss]]+Table1[[#This Row],[Total Control Bo MOSFET Loss]]+Table1[[#This Row],[Total Sync Bo MOSFET Loss]]+Table1[[#This Row],[Reverse Recovery Loss MOSFET D BUCK]]+Table1[[#This Row],[Reverse Recovery Loss MOSFET D BOOST]]</f>
        <v>5.0118282322889574</v>
      </c>
      <c r="BR16" s="354">
        <f>Table1[[#This Row],[Total Control Bu MOSFET Loss]]+Table1[[#This Row],[Reverse Recovery Loss MOSFET D BUCK]]*0.66</f>
        <v>3.422252687994578</v>
      </c>
      <c r="BS16" s="354">
        <f>Table1[[#This Row],[Total Sync Bu MOSFET Loss]]+Table1[[#This Row],[Reverse Recovery Loss MOSFET D BUCK]]*0.33</f>
        <v>0.87573718527764488</v>
      </c>
      <c r="BT16" s="354">
        <f xml:space="preserve"> Table1[[#This Row],[Total Control Bo MOSFET Loss]]+Table1[[#This Row],[Reverse Recovery Loss MOSFET D BOOST]]*0.66</f>
        <v>0</v>
      </c>
      <c r="BU16" s="354">
        <f xml:space="preserve"> Table1[[#This Row],[Total Sync Bo MOSFET Loss]]+Table1[[#This Row],[Reverse Recovery Loss MOSFET D BOOST]]*0.33</f>
        <v>0.71132680701673412</v>
      </c>
      <c r="BV16" s="354">
        <f>Table1[[#This Row],[Isense Shunt Loss]]</f>
        <v>0.10775953737430781</v>
      </c>
      <c r="BZ16" t="s">
        <v>139</v>
      </c>
      <c r="CA16" s="18">
        <v>25</v>
      </c>
      <c r="CB16" s="18">
        <v>25</v>
      </c>
      <c r="CC16" s="18">
        <v>25</v>
      </c>
      <c r="CD16" s="19">
        <f>1000000*(12-Vdd)*CC16/1000000000+((1000000*CC9/1000000000*Vdd)*2.5/(2*4))</f>
        <v>0.27656249999999999</v>
      </c>
      <c r="CE16">
        <f t="shared" si="3"/>
        <v>22.125</v>
      </c>
      <c r="CF16">
        <f t="shared" si="3"/>
        <v>27.65625</v>
      </c>
      <c r="CG16">
        <f t="shared" si="3"/>
        <v>33.1875</v>
      </c>
      <c r="CH16">
        <f t="shared" si="3"/>
        <v>38.71875</v>
      </c>
      <c r="CI16">
        <f t="shared" si="3"/>
        <v>44.25</v>
      </c>
      <c r="CJ16">
        <f t="shared" si="3"/>
        <v>49.78125</v>
      </c>
      <c r="CK16">
        <f t="shared" si="3"/>
        <v>5.53125</v>
      </c>
      <c r="CL16">
        <f t="shared" si="3"/>
        <v>8.296875</v>
      </c>
      <c r="CM16">
        <f t="shared" si="3"/>
        <v>11.0625</v>
      </c>
      <c r="CN16">
        <f t="shared" si="3"/>
        <v>13.828125</v>
      </c>
    </row>
    <row r="17" spans="1:92" x14ac:dyDescent="0.2">
      <c r="A17" s="24" t="s">
        <v>62</v>
      </c>
      <c r="B17" s="16" t="s">
        <v>113</v>
      </c>
      <c r="C17" s="24" t="s">
        <v>80</v>
      </c>
      <c r="D17" s="17" t="s">
        <v>109</v>
      </c>
      <c r="G17">
        <v>8</v>
      </c>
      <c r="H17" s="555">
        <f>VIN_min+(VIN_max-VIN_min)*(Table1[[#This Row],[Step]]/200)</f>
        <v>21.12</v>
      </c>
      <c r="I17" s="4" t="str">
        <f>IF(Mode = 2,IF(Table1[[#This Row],[Vin]]&gt;Vout, "BUCK","BOOST"),IF(Table1[[#This Row],[Vin]]&gt;VIN_BB_to_buck, "BUCK", IF(Table1[[#This Row],[Vin]]&lt;=VIN_boost_to_BB,"BOOST","BUCK-BST")))</f>
        <v>BUCK</v>
      </c>
      <c r="J17">
        <f>IF(Table1[[#This Row],[Mode]]="BOOST",2, IF(Table1[[#This Row],[Mode]]="BUCK", 1,3))</f>
        <v>1</v>
      </c>
      <c r="K17">
        <f t="shared" si="0"/>
        <v>12</v>
      </c>
      <c r="L17" s="4">
        <f>Vout*Table1[[#This Row],[Iout]]/(Table1[[#This Row],[Vin]]*Efficiency)</f>
        <v>8.7320574162679421</v>
      </c>
      <c r="M17" s="711">
        <f>MIN(1/Fsw,CHOOSE(Table1[[#This Row],[Mode Digit]],(Vout+(Rdson2+Rs+Rdcr)*Table1[[#This Row],[Iout]])/(Table1[[#This Row],[Vin]]+(Rs+Rdson2-Rdson1)*Table1[[#This Row],[Iout]])/Fsw,(Vout+(Rdson3+Rdcr)*Table1[[#This Row],[Iin]]-Table1[[#This Row],[Vin]])/(Vout+(Rdson3-Rdson4-Rs)*Table1[[#This Row],[Iin]])/Fsw,t1_Ph_II))</f>
        <v>1.1623325453112686E-6</v>
      </c>
      <c r="N17" s="602">
        <f>CHOOSE(Table1[[#This Row],[Mode Digit]],1/Fsw-Table1[[#This Row],[t1_Ph_II]],1/Fsw-Table1[[#This Row],[t1_Ph_II]],(Vout/Fsw-Table1[[#This Row],[Vin]]*t1_Ph_II)/(Table1[[#This Row],[Vin]]+Vout))</f>
        <v>5.0433412135539807E-7</v>
      </c>
      <c r="O17" s="602">
        <f>1/Fsw-(Table1[[#This Row],[t1_Ph_II]]+Table1[[#This Row],[t2_Ph_I]])</f>
        <v>0</v>
      </c>
      <c r="P1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10.564695417532297</v>
      </c>
      <c r="Q17" s="4">
        <f>CHOOSE(Table1[[#This Row],[Mode Digit]],Table1[[#This Row],[I_0]]+1/Lf*(Table1[[#This Row],[Vin]]-Vout)*Table1[[#This Row],[t1_Ph_II]],Table1[[#This Row],[I_0]]+1/Lf*Table1[[#This Row],[Vin]]*Table1[[#This Row],[t1_Ph_II]],Table1[[#This Row],[I_0]]+(Table1[[#This Row],[Vin]]-Vout)/L*Table1[[#This Row],[t1_Ph_II]])</f>
        <v>13.435304582467703</v>
      </c>
      <c r="R17" s="4">
        <f>CHOOSE(Table1[[#This Row],[Mode Digit]],0,0,Table1[[#This Row],[I_1]]+Table1[[#This Row],[Vin]]/L*Table1[[#This Row],[t2_Ph_I]])</f>
        <v>0</v>
      </c>
      <c r="S17" s="4">
        <f>Fsw*(Table1[[#This Row],[I_0]]*Table1[[#This Row],[t1_Ph_II]]+Table1[[#This Row],[I_1]]*Table1[[#This Row],[t2_Ph_I]]+Table1[[#This Row],[I_2]]*Table1[[#This Row],[t3_Ph_III]])</f>
        <v>11.433343108103767</v>
      </c>
      <c r="T17" s="354">
        <f>MIN(1,CHOOSE(Table1[[#This Row],[Mode Digit]],(Vout+(Rdson2+Rs+Rdcr)*Table1[[#This Row],[Iout]])/(Table1[[#This Row],[Vin]]+(Rs+Rdson2-Rdson1)*Table1[[#This Row],[Iout]]),1,Fsw*Table1[[#This Row],[t2_Ph_I]]+Table1[[#This Row],[t1_Ph_II]]))</f>
        <v>0.69739952718676113</v>
      </c>
      <c r="U17" s="354">
        <f>MIN(1,CHOOSE(Table1[[#This Row],[Mode Digit]],0,(Vout+(Rdson3+Rdcr)*Table1[[#This Row],[Iin]]-Table1[[#This Row],[Vin]])/(Vout+(Rdson3-Rdson4-Rs)*Table1[[#This Row],[Iin]]),Fsw*Table1[[#This Row],[t1_Ph_II]]+Table1[[#This Row],[t3_Ph_III]]))</f>
        <v>0</v>
      </c>
      <c r="V17" s="4">
        <f>MAX(Table1[[#This Row],[I_0]:[I_2]])-MIN(Table1[[#This Row],[I_0]:[I_1]])</f>
        <v>2.8706091649354057</v>
      </c>
      <c r="W1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12.028578459159291</v>
      </c>
      <c r="X17" s="354">
        <f>(Table1[[#This Row],[Irms Lf]]^2*Rdcr*(1+Ltc*Ta-Ltc*25))/(1-Table1[[#This Row],[Irms Lf]]^2*Rdcr*Ltc*ThetaCa)</f>
        <v>0.89957552755405856</v>
      </c>
      <c r="Y17" s="354">
        <f>ABS(7.759*10^-3*Fsw^0.9458*(0.00787*Table1[[#This Row],[Ripple Current pk-pk]])^2.304)</f>
        <v>0.36498854824165494</v>
      </c>
      <c r="Z17" s="354">
        <f>Table1[[#This Row],[DCR    Loss]]+Table1[[#This Row],[Core Loss]]</f>
        <v>1.2645640757957135</v>
      </c>
      <c r="AA17" s="4">
        <f>IF(Table1[[#This Row],[Vin]]&gt;Vout, Table1[[#This Row],[Ripple Current pk-pk]]/SQRT(12), SQRT(Table1[[#This Row],[Duty Cycle BOOST Leg]]/(1-Table1[[#This Row],[Duty Cycle BOOST Leg]]))*SQRT(Table1[[#This Row],[Iout]]^2+(Table1[[#This Row],[Ripple Current pk-pk]]^2)/12))</f>
        <v>0.82867348705683175</v>
      </c>
      <c r="AB17" s="354">
        <f>RCoutEsr*Table1[[#This Row],[Irms Cout]]^2</f>
        <v>3.4334987407546452E-3</v>
      </c>
      <c r="AC17" s="354">
        <f>Table1[[#This Row],[Cout ESR Loss]]</f>
        <v>3.4334987407546452E-3</v>
      </c>
      <c r="AD17" s="354">
        <f>IF(Table1[[#This Row],[Vin]]&gt;Vout, SQRT(Table1[[#This Row],[Duty Cycle BUCK Leg]]*(1-Table1[[#This Row],[Duty Cycle BUCK Leg]]))*SQRT(Table1[[#This Row],[Iout]]^2+(Table1[[#This Row],[Ripple Current pk-pk]]^2)/12), Table1[[#This Row],[Ripple Current pk-pk]]/SQRT(12))</f>
        <v>5.5257334391835347</v>
      </c>
      <c r="AE17" s="354">
        <f>RCinEsr*Table1[[#This Row],[Irms Cin]]^2</f>
        <v>6.1067460081822192E-2</v>
      </c>
      <c r="AF17" s="549">
        <f>Table1[[#This Row],[Cin ESR Loss]]</f>
        <v>6.1067460081822192E-2</v>
      </c>
      <c r="AG1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10.045120008968201</v>
      </c>
      <c r="AH17" s="354">
        <f>Rdson1*Table1[[#This Row],[Irms BuCtrl]]^2</f>
        <v>0.42379863117720801</v>
      </c>
      <c r="AI17" s="354">
        <f>CHOOSE(Table1[[#This Row],[Mode Digit]], (Table1[[#This Row],[Vin]]*Table1[[#This Row],[Iout]]/2)*(Fsw)*(Tr_buck+Tf_buck), 0, (Table1[[#This Row],[Vin]]*Table1[[#This Row],[Avg IL]]/2)*(Fsw/1)*(Tr_buck+Tf_buck))</f>
        <v>2.5132040379874727</v>
      </c>
      <c r="AJ17">
        <f>IF(Table1[[#This Row],[Vin]]&gt;Vout, IF(Table1[[#This Row],[Iout]]&gt;Table1[[#This Row],[Ripple Current pk-pk]]/2,0,ABS(Table1[[#This Row],[Iout]]-Table1[[#This Row],[Ripple Current pk-pk]]/2)*Vsd_Q1*Deadtime*Fsw),0)</f>
        <v>0</v>
      </c>
      <c r="AK17" s="354">
        <f>(Table1[[#This Row],[Dead Time Loss BuCtrl]]+Table1[[#This Row],[Transition Loss BuCtrl]]+Table1[[#This Row],[RDS(on) Loss BuCtrl]]*(1+RdsonTopTc*Ta-RdsonTopTc*25))/(1-Table1[[#This Row],[RDS(on) Loss BuCtrl]]*RdsonTopTc*ThetaJA_Q1)</f>
        <v>3.2695545248950224</v>
      </c>
      <c r="AL17" s="354">
        <f>CHOOSE(Table1[[#This Row],[Mode Digit]],SQRT((Fsw*(Table1[[#This Row],[t2_Ph_I]]+0))*((Table1[[#This Row],[I_0]]*Table1[[#This Row],[I_1]]+((Table1[[#This Row],[I_0]]-Table1[[#This Row],[I_1]])^2)/3))),0,SQRT((Fsw*(Table1[[#This Row],[t3_Ph_III]]+0))*((Table1[[#This Row],[I_0]]*Table1[[#This Row],[I_2]]+((Table1[[#This Row],[I_0]]-Table1[[#This Row],[I_2]])^2)/3))))</f>
        <v>6.6168167387028021</v>
      </c>
      <c r="AM17" s="354">
        <f>Rdson2*Table1[[#This Row],[Irms BuSync]]^2</f>
        <v>0.18388550776502591</v>
      </c>
      <c r="AN1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7" s="354">
        <f>(Table1[[#This Row],[Deadtime Loss BuSync]]+Table1[[#This Row],[RDS(on) Loss BuSync]]*(1+RdsonBotTc*Ta-RdsonBotTc*25))/(1-Table1[[#This Row],[RDS(on) Loss BuSync]]*RdsonBotTc*ThetaJA_Q2)</f>
        <v>0.79640426497262817</v>
      </c>
      <c r="AP17" s="354">
        <f>CHOOSE(Table1[[#This Row],[Mode Digit]],0,SQRT((Fsw*(Table1[[#This Row],[t1_Ph_II]]+0))*((Table1[[#This Row],[I_0]]*Table1[[#This Row],[I_1]]+((Table1[[#This Row],[I_0]]-Table1[[#This Row],[I_1]])^2)/3))),SQRT((Fsw*(Table1[[#This Row],[t2_Ph_I]]+0))*((Table1[[#This Row],[I_1]]*Table1[[#This Row],[I_2]]+((Table1[[#This Row],[I_1]]-Table1[[#This Row],[I_2]])^2)/3))))</f>
        <v>0</v>
      </c>
      <c r="AQ17" s="354">
        <f>Rdson4*Table1[[#This Row],[Irms BoCtlr]]^2</f>
        <v>0</v>
      </c>
      <c r="AR17" s="354">
        <f>CHOOSE(Table1[[#This Row],[Mode Digit]], 0, (Vout*Table1[[#This Row],[Iin]]/2)*(Fsw)*(Tr_boost+Tf_boost), (Vout*Iout/2)*(Fsw/1)*(Tr_boost+Tf_boost))</f>
        <v>0</v>
      </c>
      <c r="AS17">
        <f>IF(Table1[[#This Row],[Vin]]&gt;Vout, 0, IF(Table1[[#This Row],[Iin]]&gt;Table1[[#This Row],[Ripple Current pk-pk]]/2,0,ABS(Table1[[#This Row],[Iin]]-Table1[[#This Row],[Ripple Current pk-pk]]/2)*Vsd_Q4*Deadtime*Fsw))</f>
        <v>0</v>
      </c>
      <c r="AT17" s="354">
        <f>(Table1[[#This Row],[Dead Time Loss BoCtlr]]+Table1[[#This Row],[Transition Loss BoCtlr]]+Table1[[#This Row],[RDS(on) Loss BoCtlr]]*(1+RdsonTopTc*Ta-RdsonTopTc*25))/(1-Table1[[#This Row],[RDS(on) Loss BoCtlr]]*RdsonTopTc*ThetaJA_Q4)</f>
        <v>0</v>
      </c>
      <c r="AU1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12.028578459159291</v>
      </c>
      <c r="AV17" s="354">
        <f>Rdson3*Table1[[#This Row],[Irms BoSync]]^2</f>
        <v>0.60768413894223394</v>
      </c>
      <c r="AW1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7" s="354">
        <f>(Table1[[#This Row],[Deadtime Loss BoSync]]+Table1[[#This Row],[RDS(on) Loss BoSync]]*(1+RdsonBotTc*Ta-RdsonBotTc*25))/(1-Table1[[#This Row],[RDS(on) Loss BoSync]]*RdsonBotTc*ThetaJA_Q3)</f>
        <v>0.71144413490885572</v>
      </c>
      <c r="AY17" s="354">
        <f>CHOOSE(Table1[[#This Row],[Mode Digit]], Rdson3*Table1[[#This Row],[Irms Lf]]^2, Rdson1*Table1[[#This Row],[Irms Lf]]^2, 0)</f>
        <v>0.60768413894223394</v>
      </c>
      <c r="AZ17" s="354">
        <f>CHOOSE(Table1[[#This Row],[Mode Digit]], 2*Deadtime*Fsw*IF(VfdSky_Q2&gt;0,VfdSky_Q2,0)*Table1[[#This Row],[Iout]], 2*Deadtime*Fsw*IF(VfdSky_Q3&gt;0,VfdSky_Q3,0)*Table1[[#This Row],[Iin]], 2*Deadtime*Fsw*IF(VfdSky_Q2&gt;0,VfdSky_Q2,0)*Table1[[#This Row],[Iout]]+2*Deadtime*Fsw*IF(VfdSky_Q3&gt;0,VfdSky_Q3,0)*Table1[[#This Row],[Iin]])</f>
        <v>0</v>
      </c>
      <c r="BA17" s="354">
        <f>CHOOSE(Table1[[#This Row],[Mode Digit]], IF(QrrSky_Q2&gt;0,QrrSky_Q2,Qrr_Q2)*Fsw*(Table1[[#This Row],[Vin]]-Table1[[#This Row],[Iout]]*Rdson1),0,  IF(QrrSky_Q2&gt;0,QrrSky_Q2,Qrr_Q2)*Fsw*(Table1[[#This Row],[Vin]]-Table1[[#This Row],[Iout]]*Rdson1)+IF(QrrSky_Q3&gt;0,QrrSky_Q3,Qrr_Q3)*Fsw*Vout)</f>
        <v>0.25283520000000004</v>
      </c>
      <c r="BB17" s="354">
        <f>CHOOSE(Table1[[#This Row],[Mode Digit]],0, IF(QrrSky_Q3&gt;0,QrrSky_Q3,Qrr_Q3)*Fsw*Vout,  IF(QrrSky_Q2&gt;0,QrrSky_Q2,Qrr_Q2)*Fsw*(Table1[[#This Row],[Vin]]-Table1[[#This Row],[Iout]]*Rdson1)+IF(QrrSky_Q3&gt;0,QrrSky_Q3,Qrr_Q3)*Fsw*Vout)</f>
        <v>0</v>
      </c>
      <c r="BC17" s="354">
        <f>CHOOSE(Table1[[#This Row],[Mode Digit]], Rs*Table1[[#This Row],[Irms BuSync]]^2, Rs*Table1[[#This Row],[Irms BoCtlr]]^2, Rs*(Table1[[#This Row],[Irms BuSync]]^2+Table1[[#This Row],[Irms BoCtlr]]^2))</f>
        <v>0.10945565938394397</v>
      </c>
      <c r="BD17" s="354">
        <f t="shared" si="1"/>
        <v>1.44</v>
      </c>
      <c r="BE17" s="354">
        <f>IF(Vout&gt;8, Iq*Vout, Iq*Table1[[#This Row],[Vin]])</f>
        <v>4.3799999999999999E-2</v>
      </c>
      <c r="BF17" s="354">
        <f>CHOOSE(Table1[[#This Row],[Mode Digit]], (Qg_Q1+Qg_Q2)*Fsw, (Qg_Q3+Qg_Q4)*Fsw, (Qg_Q1+Qg_Q2+Qg_Q3+Qg_Q4)*Fsw)*IF(Vout&gt;8, Vout, Table1[[#This Row],[Vin]])</f>
        <v>0.47303999999999996</v>
      </c>
      <c r="BG17" s="354">
        <f t="shared" si="2"/>
        <v>0.45605042016806729</v>
      </c>
      <c r="BH17" s="354">
        <f>Table1[[#This Row],[IQ Loss]]+Table1[[#This Row],[Switching Current Loss]]</f>
        <v>0.51683999999999997</v>
      </c>
      <c r="BI1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8.4255988187787398</v>
      </c>
      <c r="BJ17">
        <f>Vout*Table1[[#This Row],[Iout]]</f>
        <v>175.2</v>
      </c>
      <c r="BK17" s="550">
        <f>Table1[[#This Row],[Pout]]/(Table1[[#This Row],[Pout]]+Table1[[#This Row],[Total Loss]])</f>
        <v>0.9541153364619166</v>
      </c>
      <c r="BL1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196.17327149370135</v>
      </c>
      <c r="BM17" s="559">
        <f>IF(Table1[[#This Row],[Vin]]&gt;Vout, Table1[[#This Row],[Total Sync Bu MOSFET Loss]]*ThetaJA_Q2, ThetaJA_Q3*Table1[[#This Row],[Total Sync Bo MOSFET Loss]])</f>
        <v>47.784255898357692</v>
      </c>
      <c r="BN17" s="9"/>
      <c r="BO17" s="4">
        <f>Table1[[#This Row],[EFF, h]]*100</f>
        <v>95.411533646191657</v>
      </c>
      <c r="BP17" s="354">
        <f>Table1[[#This Row],[Total Inductor Loss]]</f>
        <v>1.2645640757957135</v>
      </c>
      <c r="BQ17" s="354">
        <f>Table1[[#This Row],[Total Control Bu MOSFET Loss]]+Table1[[#This Row],[Total Sync Bu MOSFET Loss]]+Table1[[#This Row],[Total Control Bo MOSFET Loss]]+Table1[[#This Row],[Total Sync Bo MOSFET Loss]]+Table1[[#This Row],[Reverse Recovery Loss MOSFET D BUCK]]+Table1[[#This Row],[Reverse Recovery Loss MOSFET D BOOST]]</f>
        <v>5.0302381247765062</v>
      </c>
      <c r="BR17" s="354">
        <f>Table1[[#This Row],[Total Control Bu MOSFET Loss]]+Table1[[#This Row],[Reverse Recovery Loss MOSFET D BUCK]]*0.66</f>
        <v>3.4364257568950225</v>
      </c>
      <c r="BS17" s="354">
        <f>Table1[[#This Row],[Total Sync Bu MOSFET Loss]]+Table1[[#This Row],[Reverse Recovery Loss MOSFET D BUCK]]*0.33</f>
        <v>0.87983988097262822</v>
      </c>
      <c r="BT17" s="354">
        <f xml:space="preserve"> Table1[[#This Row],[Total Control Bo MOSFET Loss]]+Table1[[#This Row],[Reverse Recovery Loss MOSFET D BOOST]]*0.66</f>
        <v>0</v>
      </c>
      <c r="BU17" s="354">
        <f xml:space="preserve"> Table1[[#This Row],[Total Sync Bo MOSFET Loss]]+Table1[[#This Row],[Reverse Recovery Loss MOSFET D BOOST]]*0.33</f>
        <v>0.71144413490885572</v>
      </c>
      <c r="BV17" s="354">
        <f>Table1[[#This Row],[Isense Shunt Loss]]</f>
        <v>0.10945565938394397</v>
      </c>
      <c r="BZ17" t="s">
        <v>142</v>
      </c>
      <c r="CA17" s="18">
        <v>50</v>
      </c>
      <c r="CB17" s="18">
        <v>50</v>
      </c>
      <c r="CC17" s="18">
        <v>50</v>
      </c>
      <c r="CD17" s="19">
        <f>500000*(18-Vdd)*CC17/1000000000+((500000*CC15/1000000000*Vdd)*2.5/(2*4))</f>
        <v>0.28593750000000001</v>
      </c>
      <c r="CE17">
        <f t="shared" si="3"/>
        <v>22.875</v>
      </c>
      <c r="CF17">
        <f t="shared" si="3"/>
        <v>28.59375</v>
      </c>
      <c r="CG17">
        <f t="shared" si="3"/>
        <v>34.3125</v>
      </c>
      <c r="CH17">
        <f t="shared" si="3"/>
        <v>40.03125</v>
      </c>
      <c r="CI17">
        <f t="shared" si="3"/>
        <v>45.75</v>
      </c>
      <c r="CJ17">
        <f t="shared" si="3"/>
        <v>51.46875</v>
      </c>
      <c r="CK17">
        <f t="shared" si="3"/>
        <v>5.71875</v>
      </c>
      <c r="CL17">
        <f t="shared" si="3"/>
        <v>8.578125</v>
      </c>
      <c r="CM17">
        <f t="shared" si="3"/>
        <v>11.4375</v>
      </c>
      <c r="CN17">
        <f t="shared" si="3"/>
        <v>14.296875</v>
      </c>
    </row>
    <row r="18" spans="1:92" x14ac:dyDescent="0.2">
      <c r="A18" s="35" t="s">
        <v>60</v>
      </c>
      <c r="B18" s="38">
        <f>Lf*1000000</f>
        <v>2.64</v>
      </c>
      <c r="C18" s="441" t="s">
        <v>11</v>
      </c>
      <c r="D18" s="440" t="s">
        <v>640</v>
      </c>
      <c r="G18">
        <v>9</v>
      </c>
      <c r="H18" s="555">
        <f>VIN_min+(VIN_max-VIN_min)*(Table1[[#This Row],[Step]]/200)</f>
        <v>21.26</v>
      </c>
      <c r="I18" s="4" t="str">
        <f>IF(Mode = 2,IF(Table1[[#This Row],[Vin]]&gt;Vout, "BUCK","BOOST"),IF(Table1[[#This Row],[Vin]]&gt;VIN_BB_to_buck, "BUCK", IF(Table1[[#This Row],[Vin]]&lt;=VIN_boost_to_BB,"BOOST","BUCK-BST")))</f>
        <v>BUCK</v>
      </c>
      <c r="J18">
        <f>IF(Table1[[#This Row],[Mode]]="BOOST",2, IF(Table1[[#This Row],[Mode]]="BUCK", 1,3))</f>
        <v>1</v>
      </c>
      <c r="K18">
        <f t="shared" si="0"/>
        <v>12</v>
      </c>
      <c r="L18" s="4">
        <f>Vout*Table1[[#This Row],[Iout]]/(Table1[[#This Row],[Vin]]*Efficiency)</f>
        <v>8.6745556270733282</v>
      </c>
      <c r="M18" s="711">
        <f>MIN(1/Fsw,CHOOSE(Table1[[#This Row],[Mode Digit]],(Vout+(Rdson2+Rs+Rdcr)*Table1[[#This Row],[Iout]])/(Table1[[#This Row],[Vin]]+(Rs+Rdson2-Rdson1)*Table1[[#This Row],[Iout]])/Fsw,(Vout+(Rdson3+Rdcr)*Table1[[#This Row],[Iin]]-Table1[[#This Row],[Vin]])/(Vout+(Rdson3-Rdson4-Rs)*Table1[[#This Row],[Iin]])/Fsw,t1_Ph_II))</f>
        <v>1.154689212462815E-6</v>
      </c>
      <c r="N18" s="602">
        <f>CHOOSE(Table1[[#This Row],[Mode Digit]],1/Fsw-Table1[[#This Row],[t1_Ph_II]],1/Fsw-Table1[[#This Row],[t1_Ph_II]],(Vout/Fsw-Table1[[#This Row],[Vin]]*t1_Ph_II)/(Table1[[#This Row],[Vin]]+Vout))</f>
        <v>5.119774542038517E-7</v>
      </c>
      <c r="O18" s="602">
        <f>1/Fsw-(Table1[[#This Row],[t1_Ph_II]]+Table1[[#This Row],[t2_Ph_I]])</f>
        <v>0</v>
      </c>
      <c r="P1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10.54351701609804</v>
      </c>
      <c r="Q18" s="4">
        <f>CHOOSE(Table1[[#This Row],[Mode Digit]],Table1[[#This Row],[I_0]]+1/Lf*(Table1[[#This Row],[Vin]]-Vout)*Table1[[#This Row],[t1_Ph_II]],Table1[[#This Row],[I_0]]+1/Lf*Table1[[#This Row],[Vin]]*Table1[[#This Row],[t1_Ph_II]],Table1[[#This Row],[I_0]]+(Table1[[#This Row],[Vin]]-Vout)/L*Table1[[#This Row],[t1_Ph_II]])</f>
        <v>13.45648298390196</v>
      </c>
      <c r="R18" s="4">
        <f>CHOOSE(Table1[[#This Row],[Mode Digit]],0,0,Table1[[#This Row],[I_1]]+Table1[[#This Row],[Vin]]/L*Table1[[#This Row],[t2_Ph_I]])</f>
        <v>0</v>
      </c>
      <c r="S18" s="4">
        <f>Fsw*(Table1[[#This Row],[I_0]]*Table1[[#This Row],[t1_Ph_II]]+Table1[[#This Row],[I_1]]*Table1[[#This Row],[t2_Ph_I]]+Table1[[#This Row],[I_2]]*Table1[[#This Row],[t3_Ph_III]])</f>
        <v>11.438340756325267</v>
      </c>
      <c r="T18" s="354">
        <f>MIN(1,CHOOSE(Table1[[#This Row],[Mode Digit]],(Vout+(Rdson2+Rs+Rdcr)*Table1[[#This Row],[Iout]])/(Table1[[#This Row],[Vin]]+(Rs+Rdson2-Rdson1)*Table1[[#This Row],[Iout]]),1,Fsw*Table1[[#This Row],[t2_Ph_I]]+Table1[[#This Row],[t1_Ph_II]]))</f>
        <v>0.69281352747768898</v>
      </c>
      <c r="U18" s="354">
        <f>MIN(1,CHOOSE(Table1[[#This Row],[Mode Digit]],0,(Vout+(Rdson3+Rdcr)*Table1[[#This Row],[Iin]]-Table1[[#This Row],[Vin]])/(Vout+(Rdson3-Rdson4-Rs)*Table1[[#This Row],[Iin]]),Fsw*Table1[[#This Row],[t1_Ph_II]]+Table1[[#This Row],[t3_Ph_III]]))</f>
        <v>0</v>
      </c>
      <c r="V18" s="4">
        <f>MAX(Table1[[#This Row],[I_0]:[I_2]])-MIN(Table1[[#This Row],[I_0]:[I_1]])</f>
        <v>2.9129659678039204</v>
      </c>
      <c r="W1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12.029427011602229</v>
      </c>
      <c r="X18" s="354">
        <f>(Table1[[#This Row],[Irms Lf]]^2*Rdcr*(1+Ltc*Ta-Ltc*25))/(1-Table1[[#This Row],[Irms Lf]]^2*Rdcr*Ltc*ThetaCa)</f>
        <v>0.8997115882746729</v>
      </c>
      <c r="Y18" s="354">
        <f>ABS(7.759*10^-3*Fsw^0.9458*(0.00787*Table1[[#This Row],[Ripple Current pk-pk]])^2.304)</f>
        <v>0.377516357740108</v>
      </c>
      <c r="Z18" s="354">
        <f>Table1[[#This Row],[DCR    Loss]]+Table1[[#This Row],[Core Loss]]</f>
        <v>1.2772279460147808</v>
      </c>
      <c r="AA18" s="4">
        <f>IF(Table1[[#This Row],[Vin]]&gt;Vout, Table1[[#This Row],[Ripple Current pk-pk]]/SQRT(12), SQRT(Table1[[#This Row],[Duty Cycle BOOST Leg]]/(1-Table1[[#This Row],[Duty Cycle BOOST Leg]]))*SQRT(Table1[[#This Row],[Iout]]^2+(Table1[[#This Row],[Ripple Current pk-pk]]^2)/12))</f>
        <v>0.84090084282590616</v>
      </c>
      <c r="AB18" s="354">
        <f>RCoutEsr*Table1[[#This Row],[Irms Cout]]^2</f>
        <v>3.5355711373265971E-3</v>
      </c>
      <c r="AC18" s="354">
        <f>Table1[[#This Row],[Cout ESR Loss]]</f>
        <v>3.5355711373265971E-3</v>
      </c>
      <c r="AD18" s="354">
        <f>IF(Table1[[#This Row],[Vin]]&gt;Vout, SQRT(Table1[[#This Row],[Duty Cycle BUCK Leg]]*(1-Table1[[#This Row],[Duty Cycle BUCK Leg]]))*SQRT(Table1[[#This Row],[Iout]]^2+(Table1[[#This Row],[Ripple Current pk-pk]]^2)/12), Table1[[#This Row],[Ripple Current pk-pk]]/SQRT(12))</f>
        <v>5.5495039429554236</v>
      </c>
      <c r="AE18" s="354">
        <f>RCinEsr*Table1[[#This Row],[Irms Cin]]^2</f>
        <v>6.1593988025755587E-2</v>
      </c>
      <c r="AF18" s="549">
        <f>Table1[[#This Row],[Cin ESR Loss]]</f>
        <v>6.1593988025755587E-2</v>
      </c>
      <c r="AG1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10.012744192230576</v>
      </c>
      <c r="AH18" s="354">
        <f>Rdson1*Table1[[#This Row],[Irms BuCtrl]]^2</f>
        <v>0.421071194287998</v>
      </c>
      <c r="AI18" s="354">
        <f>CHOOSE(Table1[[#This Row],[Mode Digit]], (Table1[[#This Row],[Vin]]*Table1[[#This Row],[Iout]]/2)*(Fsw)*(Tr_buck+Tf_buck), 0, (Table1[[#This Row],[Vin]]*Table1[[#This Row],[Avg IL]]/2)*(Fsw/1)*(Tr_buck+Tf_buck))</f>
        <v>2.5298635344514047</v>
      </c>
      <c r="AJ18">
        <f>IF(Table1[[#This Row],[Vin]]&gt;Vout, IF(Table1[[#This Row],[Iout]]&gt;Table1[[#This Row],[Ripple Current pk-pk]]/2,0,ABS(Table1[[#This Row],[Iout]]-Table1[[#This Row],[Ripple Current pk-pk]]/2)*Vsd_Q1*Deadtime*Fsw),0)</f>
        <v>0</v>
      </c>
      <c r="AK18" s="354">
        <f>(Table1[[#This Row],[Dead Time Loss BuCtrl]]+Table1[[#This Row],[Transition Loss BuCtrl]]+Table1[[#This Row],[RDS(on) Loss BuCtrl]]*(1+RdsonTopTc*Ta-RdsonTopTc*25))/(1-Table1[[#This Row],[RDS(on) Loss BuCtrl]]*RdsonTopTc*ThetaJA_Q1)</f>
        <v>3.282671997128169</v>
      </c>
      <c r="AL18" s="354">
        <f>CHOOSE(Table1[[#This Row],[Mode Digit]],SQRT((Fsw*(Table1[[#This Row],[t2_Ph_I]]+0))*((Table1[[#This Row],[I_0]]*Table1[[#This Row],[I_1]]+((Table1[[#This Row],[I_0]]-Table1[[#This Row],[I_1]])^2)/3))),0,SQRT((Fsw*(Table1[[#This Row],[t3_Ph_III]]+0))*((Table1[[#This Row],[I_0]]*Table1[[#This Row],[I_2]]+((Table1[[#This Row],[I_0]]-Table1[[#This Row],[I_2]])^2)/3))))</f>
        <v>6.6672384064482202</v>
      </c>
      <c r="AM18" s="354">
        <f>Rdson2*Table1[[#This Row],[Irms BuSync]]^2</f>
        <v>0.18669868546735649</v>
      </c>
      <c r="AN1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8" s="354">
        <f>(Table1[[#This Row],[Deadtime Loss BuSync]]+Table1[[#This Row],[RDS(on) Loss BuSync]]*(1+RdsonBotTc*Ta-RdsonBotTc*25))/(1-Table1[[#This Row],[RDS(on) Loss BuSync]]*RdsonBotTc*ThetaJA_Q2)</f>
        <v>0.79991233351637692</v>
      </c>
      <c r="AP18" s="354">
        <f>CHOOSE(Table1[[#This Row],[Mode Digit]],0,SQRT((Fsw*(Table1[[#This Row],[t1_Ph_II]]+0))*((Table1[[#This Row],[I_0]]*Table1[[#This Row],[I_1]]+((Table1[[#This Row],[I_0]]-Table1[[#This Row],[I_1]])^2)/3))),SQRT((Fsw*(Table1[[#This Row],[t2_Ph_I]]+0))*((Table1[[#This Row],[I_1]]*Table1[[#This Row],[I_2]]+((Table1[[#This Row],[I_1]]-Table1[[#This Row],[I_2]])^2)/3))))</f>
        <v>0</v>
      </c>
      <c r="AQ18" s="354">
        <f>Rdson4*Table1[[#This Row],[Irms BoCtlr]]^2</f>
        <v>0</v>
      </c>
      <c r="AR18" s="354">
        <f>CHOOSE(Table1[[#This Row],[Mode Digit]], 0, (Vout*Table1[[#This Row],[Iin]]/2)*(Fsw)*(Tr_boost+Tf_boost), (Vout*Iout/2)*(Fsw/1)*(Tr_boost+Tf_boost))</f>
        <v>0</v>
      </c>
      <c r="AS18">
        <f>IF(Table1[[#This Row],[Vin]]&gt;Vout, 0, IF(Table1[[#This Row],[Iin]]&gt;Table1[[#This Row],[Ripple Current pk-pk]]/2,0,ABS(Table1[[#This Row],[Iin]]-Table1[[#This Row],[Ripple Current pk-pk]]/2)*Vsd_Q4*Deadtime*Fsw))</f>
        <v>0</v>
      </c>
      <c r="AT18" s="354">
        <f>(Table1[[#This Row],[Dead Time Loss BoCtlr]]+Table1[[#This Row],[Transition Loss BoCtlr]]+Table1[[#This Row],[RDS(on) Loss BoCtlr]]*(1+RdsonTopTc*Ta-RdsonTopTc*25))/(1-Table1[[#This Row],[RDS(on) Loss BoCtlr]]*RdsonTopTc*ThetaJA_Q4)</f>
        <v>0</v>
      </c>
      <c r="AU1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12.029427011602229</v>
      </c>
      <c r="AV18" s="354">
        <f>Rdson3*Table1[[#This Row],[Irms BoSync]]^2</f>
        <v>0.60776987975535446</v>
      </c>
      <c r="AW1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8" s="354">
        <f>(Table1[[#This Row],[Deadtime Loss BoSync]]+Table1[[#This Row],[RDS(on) Loss BoSync]]*(1+RdsonBotTc*Ta-RdsonBotTc*25))/(1-Table1[[#This Row],[RDS(on) Loss BoSync]]*RdsonBotTc*ThetaJA_Q3)</f>
        <v>0.71156165817847028</v>
      </c>
      <c r="AY18" s="354">
        <f>CHOOSE(Table1[[#This Row],[Mode Digit]], Rdson3*Table1[[#This Row],[Irms Lf]]^2, Rdson1*Table1[[#This Row],[Irms Lf]]^2, 0)</f>
        <v>0.60776987975535446</v>
      </c>
      <c r="AZ18" s="354">
        <f>CHOOSE(Table1[[#This Row],[Mode Digit]], 2*Deadtime*Fsw*IF(VfdSky_Q2&gt;0,VfdSky_Q2,0)*Table1[[#This Row],[Iout]], 2*Deadtime*Fsw*IF(VfdSky_Q3&gt;0,VfdSky_Q3,0)*Table1[[#This Row],[Iin]], 2*Deadtime*Fsw*IF(VfdSky_Q2&gt;0,VfdSky_Q2,0)*Table1[[#This Row],[Iout]]+2*Deadtime*Fsw*IF(VfdSky_Q3&gt;0,VfdSky_Q3,0)*Table1[[#This Row],[Iin]])</f>
        <v>0</v>
      </c>
      <c r="BA18" s="354">
        <f>CHOOSE(Table1[[#This Row],[Mode Digit]], IF(QrrSky_Q2&gt;0,QrrSky_Q2,Qrr_Q2)*Fsw*(Table1[[#This Row],[Vin]]-Table1[[#This Row],[Iout]]*Rdson1),0,  IF(QrrSky_Q2&gt;0,QrrSky_Q2,Qrr_Q2)*Fsw*(Table1[[#This Row],[Vin]]-Table1[[#This Row],[Iout]]*Rdson1)+IF(QrrSky_Q3&gt;0,QrrSky_Q3,Qrr_Q3)*Fsw*Vout)</f>
        <v>0.25451520000000005</v>
      </c>
      <c r="BB18" s="354">
        <f>CHOOSE(Table1[[#This Row],[Mode Digit]],0, IF(QrrSky_Q3&gt;0,QrrSky_Q3,Qrr_Q3)*Fsw*Vout,  IF(QrrSky_Q2&gt;0,QrrSky_Q2,Qrr_Q2)*Fsw*(Table1[[#This Row],[Vin]]-Table1[[#This Row],[Iout]]*Rdson1)+IF(QrrSky_Q3&gt;0,QrrSky_Q3,Qrr_Q3)*Fsw*Vout)</f>
        <v>0</v>
      </c>
      <c r="BC18" s="354">
        <f>CHOOSE(Table1[[#This Row],[Mode Digit]], Rs*Table1[[#This Row],[Irms BuSync]]^2, Rs*Table1[[#This Row],[Irms BoCtlr]]^2, Rs*(Table1[[#This Row],[Irms BuSync]]^2+Table1[[#This Row],[Irms BoCtlr]]^2))</f>
        <v>0.11113016992104552</v>
      </c>
      <c r="BD18" s="354">
        <f t="shared" si="1"/>
        <v>1.44</v>
      </c>
      <c r="BE18" s="354">
        <f>IF(Vout&gt;8, Iq*Vout, Iq*Table1[[#This Row],[Vin]])</f>
        <v>4.3799999999999999E-2</v>
      </c>
      <c r="BF18" s="354">
        <f>CHOOSE(Table1[[#This Row],[Mode Digit]], (Qg_Q1+Qg_Q2)*Fsw, (Qg_Q3+Qg_Q4)*Fsw, (Qg_Q1+Qg_Q2+Qg_Q3+Qg_Q4)*Fsw)*IF(Vout&gt;8, Vout, Table1[[#This Row],[Vin]])</f>
        <v>0.47303999999999996</v>
      </c>
      <c r="BG18" s="354">
        <f t="shared" si="2"/>
        <v>0.45605042016806729</v>
      </c>
      <c r="BH18" s="354">
        <f>Table1[[#This Row],[IQ Loss]]+Table1[[#This Row],[Switching Current Loss]]</f>
        <v>0.51683999999999997</v>
      </c>
      <c r="BI1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8.4589888639219257</v>
      </c>
      <c r="BJ18">
        <f>Vout*Table1[[#This Row],[Iout]]</f>
        <v>175.2</v>
      </c>
      <c r="BK18" s="550">
        <f>Table1[[#This Row],[Pout]]/(Table1[[#This Row],[Pout]]+Table1[[#This Row],[Total Loss]])</f>
        <v>0.95394187392488905</v>
      </c>
      <c r="BL1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196.96031982769014</v>
      </c>
      <c r="BM18" s="559">
        <f>IF(Table1[[#This Row],[Vin]]&gt;Vout, Table1[[#This Row],[Total Sync Bu MOSFET Loss]]*ThetaJA_Q2, ThetaJA_Q3*Table1[[#This Row],[Total Sync Bo MOSFET Loss]])</f>
        <v>47.994740010982618</v>
      </c>
      <c r="BN18" s="9"/>
      <c r="BO18" s="4">
        <f>Table1[[#This Row],[EFF, h]]*100</f>
        <v>95.394187392488902</v>
      </c>
      <c r="BP18" s="354">
        <f>Table1[[#This Row],[Total Inductor Loss]]</f>
        <v>1.2772279460147808</v>
      </c>
      <c r="BQ18" s="354">
        <f>Table1[[#This Row],[Total Control Bu MOSFET Loss]]+Table1[[#This Row],[Total Sync Bu MOSFET Loss]]+Table1[[#This Row],[Total Control Bo MOSFET Loss]]+Table1[[#This Row],[Total Sync Bo MOSFET Loss]]+Table1[[#This Row],[Reverse Recovery Loss MOSFET D BUCK]]+Table1[[#This Row],[Reverse Recovery Loss MOSFET D BOOST]]</f>
        <v>5.0486611888230168</v>
      </c>
      <c r="BR18" s="354">
        <f>Table1[[#This Row],[Total Control Bu MOSFET Loss]]+Table1[[#This Row],[Reverse Recovery Loss MOSFET D BUCK]]*0.66</f>
        <v>3.450652029128169</v>
      </c>
      <c r="BS18" s="354">
        <f>Table1[[#This Row],[Total Sync Bu MOSFET Loss]]+Table1[[#This Row],[Reverse Recovery Loss MOSFET D BUCK]]*0.33</f>
        <v>0.88390234951637692</v>
      </c>
      <c r="BT18" s="354">
        <f xml:space="preserve"> Table1[[#This Row],[Total Control Bo MOSFET Loss]]+Table1[[#This Row],[Reverse Recovery Loss MOSFET D BOOST]]*0.66</f>
        <v>0</v>
      </c>
      <c r="BU18" s="354">
        <f xml:space="preserve"> Table1[[#This Row],[Total Sync Bo MOSFET Loss]]+Table1[[#This Row],[Reverse Recovery Loss MOSFET D BOOST]]*0.33</f>
        <v>0.71156165817847028</v>
      </c>
      <c r="BV18" s="354">
        <f>Table1[[#This Row],[Isense Shunt Loss]]</f>
        <v>0.11113016992104552</v>
      </c>
      <c r="BZ18" t="s">
        <v>143</v>
      </c>
      <c r="CB18" s="18"/>
      <c r="CC18" s="19"/>
    </row>
    <row r="19" spans="1:92" x14ac:dyDescent="0.2">
      <c r="A19" s="35" t="s">
        <v>12</v>
      </c>
      <c r="B19" s="39">
        <f>Rdcr*1000</f>
        <v>5.8</v>
      </c>
      <c r="C19" s="442" t="s">
        <v>638</v>
      </c>
      <c r="D19" s="440" t="s">
        <v>641</v>
      </c>
      <c r="G19">
        <v>10</v>
      </c>
      <c r="H19" s="555">
        <f>VIN_min+(VIN_max-VIN_min)*(Table1[[#This Row],[Step]]/200)</f>
        <v>21.4</v>
      </c>
      <c r="I19" s="4" t="str">
        <f>IF(Mode = 2,IF(Table1[[#This Row],[Vin]]&gt;Vout, "BUCK","BOOST"),IF(Table1[[#This Row],[Vin]]&gt;VIN_BB_to_buck, "BUCK", IF(Table1[[#This Row],[Vin]]&lt;=VIN_boost_to_BB,"BOOST","BUCK-BST")))</f>
        <v>BUCK</v>
      </c>
      <c r="J19">
        <f>IF(Table1[[#This Row],[Mode]]="BOOST",2, IF(Table1[[#This Row],[Mode]]="BUCK", 1,3))</f>
        <v>1</v>
      </c>
      <c r="K19">
        <f t="shared" si="0"/>
        <v>12</v>
      </c>
      <c r="L19" s="4">
        <f>Vout*Table1[[#This Row],[Iout]]/(Table1[[#This Row],[Vin]]*Efficiency)</f>
        <v>8.6178061977373339</v>
      </c>
      <c r="M19" s="711">
        <f>MIN(1/Fsw,CHOOSE(Table1[[#This Row],[Mode Digit]],(Vout+(Rdson2+Rs+Rdcr)*Table1[[#This Row],[Iout]])/(Table1[[#This Row],[Vin]]+(Rs+Rdson2-Rdson1)*Table1[[#This Row],[Iout]])/Fsw,(Vout+(Rdson3+Rdcr)*Table1[[#This Row],[Iin]]-Table1[[#This Row],[Vin]])/(Vout+(Rdson3-Rdson4-Rs)*Table1[[#This Row],[Iin]])/Fsw,t1_Ph_II))</f>
        <v>1.1471457458391664E-6</v>
      </c>
      <c r="N19" s="602">
        <f>CHOOSE(Table1[[#This Row],[Mode Digit]],1/Fsw-Table1[[#This Row],[t1_Ph_II]],1/Fsw-Table1[[#This Row],[t1_Ph_II]],(Vout/Fsw-Table1[[#This Row],[Vin]]*t1_Ph_II)/(Table1[[#This Row],[Vin]]+Vout))</f>
        <v>5.195209208275003E-7</v>
      </c>
      <c r="O19" s="602">
        <f>1/Fsw-(Table1[[#This Row],[t1_Ph_II]]+Table1[[#This Row],[t2_Ph_I]])</f>
        <v>0</v>
      </c>
      <c r="P1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10.522615327328346</v>
      </c>
      <c r="Q19" s="4">
        <f>CHOOSE(Table1[[#This Row],[Mode Digit]],Table1[[#This Row],[I_0]]+1/Lf*(Table1[[#This Row],[Vin]]-Vout)*Table1[[#This Row],[t1_Ph_II]],Table1[[#This Row],[I_0]]+1/Lf*Table1[[#This Row],[Vin]]*Table1[[#This Row],[t1_Ph_II]],Table1[[#This Row],[I_0]]+(Table1[[#This Row],[Vin]]-Vout)/L*Table1[[#This Row],[t1_Ph_II]])</f>
        <v>13.477384672671652</v>
      </c>
      <c r="R19" s="4">
        <f>CHOOSE(Table1[[#This Row],[Mode Digit]],0,0,Table1[[#This Row],[I_1]]+Table1[[#This Row],[Vin]]/L*Table1[[#This Row],[t2_Ph_I]])</f>
        <v>0</v>
      </c>
      <c r="S19" s="4">
        <f>Fsw*(Table1[[#This Row],[I_0]]*Table1[[#This Row],[t1_Ph_II]]+Table1[[#This Row],[I_1]]*Table1[[#This Row],[t2_Ph_I]]+Table1[[#This Row],[I_2]]*Table1[[#This Row],[t3_Ph_III]])</f>
        <v>11.44365402200372</v>
      </c>
      <c r="T19" s="354">
        <f>MIN(1,CHOOSE(Table1[[#This Row],[Mode Digit]],(Vout+(Rdson2+Rs+Rdcr)*Table1[[#This Row],[Iout]])/(Table1[[#This Row],[Vin]]+(Rs+Rdson2-Rdson1)*Table1[[#This Row],[Iout]]),1,Fsw*Table1[[#This Row],[t2_Ph_I]]+Table1[[#This Row],[t1_Ph_II]]))</f>
        <v>0.68828744750349979</v>
      </c>
      <c r="U19" s="354">
        <f>MIN(1,CHOOSE(Table1[[#This Row],[Mode Digit]],0,(Vout+(Rdson3+Rdcr)*Table1[[#This Row],[Iin]]-Table1[[#This Row],[Vin]])/(Vout+(Rdson3-Rdson4-Rs)*Table1[[#This Row],[Iin]]),Fsw*Table1[[#This Row],[t1_Ph_II]]+Table1[[#This Row],[t3_Ph_III]]))</f>
        <v>0</v>
      </c>
      <c r="V19" s="4">
        <f>MAX(Table1[[#This Row],[I_0]:[I_2]])-MIN(Table1[[#This Row],[I_0]:[I_1]])</f>
        <v>2.9547693453433066</v>
      </c>
      <c r="W1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12.030276603512283</v>
      </c>
      <c r="X19" s="354">
        <f>(Table1[[#This Row],[Irms Lf]]^2*Rdcr*(1+Ltc*Ta-Ltc*25))/(1-Table1[[#This Row],[Irms Lf]]^2*Rdcr*Ltc*ThetaCa)</f>
        <v>0.89984782805234487</v>
      </c>
      <c r="Y19" s="354">
        <f>ABS(7.759*10^-3*Fsw^0.9458*(0.00787*Table1[[#This Row],[Ripple Current pk-pk]])^2.304)</f>
        <v>0.39011560876017426</v>
      </c>
      <c r="Z19" s="354">
        <f>Table1[[#This Row],[DCR    Loss]]+Table1[[#This Row],[Core Loss]]</f>
        <v>1.2899634368125192</v>
      </c>
      <c r="AA19" s="4">
        <f>IF(Table1[[#This Row],[Vin]]&gt;Vout, Table1[[#This Row],[Ripple Current pk-pk]]/SQRT(12), SQRT(Table1[[#This Row],[Duty Cycle BOOST Leg]]/(1-Table1[[#This Row],[Duty Cycle BOOST Leg]]))*SQRT(Table1[[#This Row],[Iout]]^2+(Table1[[#This Row],[Ripple Current pk-pk]]^2)/12))</f>
        <v>0.85296843846360626</v>
      </c>
      <c r="AB19" s="354">
        <f>RCoutEsr*Table1[[#This Row],[Irms Cout]]^2</f>
        <v>3.6377757850752142E-3</v>
      </c>
      <c r="AC19" s="354">
        <f>Table1[[#This Row],[Cout ESR Loss]]</f>
        <v>3.6377757850752142E-3</v>
      </c>
      <c r="AD19" s="354">
        <f>IF(Table1[[#This Row],[Vin]]&gt;Vout, SQRT(Table1[[#This Row],[Duty Cycle BUCK Leg]]*(1-Table1[[#This Row],[Duty Cycle BUCK Leg]]))*SQRT(Table1[[#This Row],[Iout]]^2+(Table1[[#This Row],[Ripple Current pk-pk]]^2)/12), Table1[[#This Row],[Ripple Current pk-pk]]/SQRT(12))</f>
        <v>5.5723409739116407</v>
      </c>
      <c r="AE19" s="354">
        <f>RCinEsr*Table1[[#This Row],[Irms Cin]]^2</f>
        <v>6.2101967859069067E-2</v>
      </c>
      <c r="AF19" s="549">
        <f>Table1[[#This Row],[Cin ESR Loss]]</f>
        <v>6.2101967859069067E-2</v>
      </c>
      <c r="AG1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9.9806893310253795</v>
      </c>
      <c r="AH19" s="354">
        <f>Rdson1*Table1[[#This Row],[Irms BuCtrl]]^2</f>
        <v>0.41837946999426417</v>
      </c>
      <c r="AI19" s="354">
        <f>CHOOSE(Table1[[#This Row],[Mode Digit]], (Table1[[#This Row],[Vin]]*Table1[[#This Row],[Iout]]/2)*(Fsw)*(Tr_buck+Tf_buck), 0, (Table1[[#This Row],[Vin]]*Table1[[#This Row],[Avg IL]]/2)*(Fsw/1)*(Tr_buck+Tf_buck))</f>
        <v>2.5465230309153366</v>
      </c>
      <c r="AJ19">
        <f>IF(Table1[[#This Row],[Vin]]&gt;Vout, IF(Table1[[#This Row],[Iout]]&gt;Table1[[#This Row],[Ripple Current pk-pk]]/2,0,ABS(Table1[[#This Row],[Iout]]-Table1[[#This Row],[Ripple Current pk-pk]]/2)*Vsd_Q1*Deadtime*Fsw),0)</f>
        <v>0</v>
      </c>
      <c r="AK19" s="354">
        <f>(Table1[[#This Row],[Dead Time Loss BuCtrl]]+Table1[[#This Row],[Transition Loss BuCtrl]]+Table1[[#This Row],[RDS(on) Loss BuCtrl]]*(1+RdsonTopTc*Ta-RdsonTopTc*25))/(1-Table1[[#This Row],[RDS(on) Loss BuCtrl]]*RdsonTopTc*ThetaJA_Q1)</f>
        <v>3.2958414796560689</v>
      </c>
      <c r="AL19" s="354">
        <f>CHOOSE(Table1[[#This Row],[Mode Digit]],SQRT((Fsw*(Table1[[#This Row],[t2_Ph_I]]+0))*((Table1[[#This Row],[I_0]]*Table1[[#This Row],[I_1]]+((Table1[[#This Row],[I_0]]-Table1[[#This Row],[I_1]])^2)/3))),0,SQRT((Fsw*(Table1[[#This Row],[t3_Ph_III]]+0))*((Table1[[#This Row],[I_0]]*Table1[[#This Row],[I_2]]+((Table1[[#This Row],[I_0]]-Table1[[#This Row],[I_2]])^2)/3))))</f>
        <v>6.7166506262102965</v>
      </c>
      <c r="AM19" s="354">
        <f>Rdson2*Table1[[#This Row],[Irms BuSync]]^2</f>
        <v>0.18947626166519893</v>
      </c>
      <c r="AN1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9" s="354">
        <f>(Table1[[#This Row],[Deadtime Loss BuSync]]+Table1[[#This Row],[RDS(on) Loss BuSync]]*(1+RdsonBotTc*Ta-RdsonBotTc*25))/(1-Table1[[#This Row],[RDS(on) Loss BuSync]]*RdsonBotTc*ThetaJA_Q2)</f>
        <v>0.80338087542934766</v>
      </c>
      <c r="AP19" s="354">
        <f>CHOOSE(Table1[[#This Row],[Mode Digit]],0,SQRT((Fsw*(Table1[[#This Row],[t1_Ph_II]]+0))*((Table1[[#This Row],[I_0]]*Table1[[#This Row],[I_1]]+((Table1[[#This Row],[I_0]]-Table1[[#This Row],[I_1]])^2)/3))),SQRT((Fsw*(Table1[[#This Row],[t2_Ph_I]]+0))*((Table1[[#This Row],[I_1]]*Table1[[#This Row],[I_2]]+((Table1[[#This Row],[I_1]]-Table1[[#This Row],[I_2]])^2)/3))))</f>
        <v>0</v>
      </c>
      <c r="AQ19" s="354">
        <f>Rdson4*Table1[[#This Row],[Irms BoCtlr]]^2</f>
        <v>0</v>
      </c>
      <c r="AR19" s="354">
        <f>CHOOSE(Table1[[#This Row],[Mode Digit]], 0, (Vout*Table1[[#This Row],[Iin]]/2)*(Fsw)*(Tr_boost+Tf_boost), (Vout*Iout/2)*(Fsw/1)*(Tr_boost+Tf_boost))</f>
        <v>0</v>
      </c>
      <c r="AS19">
        <f>IF(Table1[[#This Row],[Vin]]&gt;Vout, 0, IF(Table1[[#This Row],[Iin]]&gt;Table1[[#This Row],[Ripple Current pk-pk]]/2,0,ABS(Table1[[#This Row],[Iin]]-Table1[[#This Row],[Ripple Current pk-pk]]/2)*Vsd_Q4*Deadtime*Fsw))</f>
        <v>0</v>
      </c>
      <c r="AT19" s="354">
        <f>(Table1[[#This Row],[Dead Time Loss BoCtlr]]+Table1[[#This Row],[Transition Loss BoCtlr]]+Table1[[#This Row],[RDS(on) Loss BoCtlr]]*(1+RdsonTopTc*Ta-RdsonTopTc*25))/(1-Table1[[#This Row],[RDS(on) Loss BoCtlr]]*RdsonTopTc*ThetaJA_Q4)</f>
        <v>0</v>
      </c>
      <c r="AU1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12.030276603512283</v>
      </c>
      <c r="AV19" s="354">
        <f>Rdson3*Table1[[#This Row],[Irms BoSync]]^2</f>
        <v>0.60785573165946316</v>
      </c>
      <c r="AW1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9" s="354">
        <f>(Table1[[#This Row],[Deadtime Loss BoSync]]+Table1[[#This Row],[RDS(on) Loss BoSync]]*(1+RdsonBotTc*Ta-RdsonBotTc*25))/(1-Table1[[#This Row],[RDS(on) Loss BoSync]]*RdsonBotTc*ThetaJA_Q3)</f>
        <v>0.71167933939222783</v>
      </c>
      <c r="AY19" s="354">
        <f>CHOOSE(Table1[[#This Row],[Mode Digit]], Rdson3*Table1[[#This Row],[Irms Lf]]^2, Rdson1*Table1[[#This Row],[Irms Lf]]^2, 0)</f>
        <v>0.60785573165946316</v>
      </c>
      <c r="AZ19" s="354">
        <f>CHOOSE(Table1[[#This Row],[Mode Digit]], 2*Deadtime*Fsw*IF(VfdSky_Q2&gt;0,VfdSky_Q2,0)*Table1[[#This Row],[Iout]], 2*Deadtime*Fsw*IF(VfdSky_Q3&gt;0,VfdSky_Q3,0)*Table1[[#This Row],[Iin]], 2*Deadtime*Fsw*IF(VfdSky_Q2&gt;0,VfdSky_Q2,0)*Table1[[#This Row],[Iout]]+2*Deadtime*Fsw*IF(VfdSky_Q3&gt;0,VfdSky_Q3,0)*Table1[[#This Row],[Iin]])</f>
        <v>0</v>
      </c>
      <c r="BA19" s="354">
        <f>CHOOSE(Table1[[#This Row],[Mode Digit]], IF(QrrSky_Q2&gt;0,QrrSky_Q2,Qrr_Q2)*Fsw*(Table1[[#This Row],[Vin]]-Table1[[#This Row],[Iout]]*Rdson1),0,  IF(QrrSky_Q2&gt;0,QrrSky_Q2,Qrr_Q2)*Fsw*(Table1[[#This Row],[Vin]]-Table1[[#This Row],[Iout]]*Rdson1)+IF(QrrSky_Q3&gt;0,QrrSky_Q3,Qrr_Q3)*Fsw*Vout)</f>
        <v>0.25619520000000001</v>
      </c>
      <c r="BB19" s="354">
        <f>CHOOSE(Table1[[#This Row],[Mode Digit]],0, IF(QrrSky_Q3&gt;0,QrrSky_Q3,Qrr_Q3)*Fsw*Vout,  IF(QrrSky_Q2&gt;0,QrrSky_Q2,Qrr_Q2)*Fsw*(Table1[[#This Row],[Vin]]-Table1[[#This Row],[Iout]]*Rdson1)+IF(QrrSky_Q3&gt;0,QrrSky_Q3,Qrr_Q3)*Fsw*Vout)</f>
        <v>0</v>
      </c>
      <c r="BC19" s="354">
        <f>CHOOSE(Table1[[#This Row],[Mode Digit]], Rs*Table1[[#This Row],[Irms BuSync]]^2, Rs*Table1[[#This Row],[Irms BoCtlr]]^2, Rs*(Table1[[#This Row],[Irms BuSync]]^2+Table1[[#This Row],[Irms BoCtlr]]^2))</f>
        <v>0.11278348908642792</v>
      </c>
      <c r="BD19" s="354">
        <f t="shared" si="1"/>
        <v>1.44</v>
      </c>
      <c r="BE19" s="354">
        <f>IF(Vout&gt;8, Iq*Vout, Iq*Table1[[#This Row],[Vin]])</f>
        <v>4.3799999999999999E-2</v>
      </c>
      <c r="BF19" s="354">
        <f>CHOOSE(Table1[[#This Row],[Mode Digit]], (Qg_Q1+Qg_Q2)*Fsw, (Qg_Q3+Qg_Q4)*Fsw, (Qg_Q1+Qg_Q2+Qg_Q3+Qg_Q4)*Fsw)*IF(Vout&gt;8, Vout, Table1[[#This Row],[Vin]])</f>
        <v>0.47303999999999996</v>
      </c>
      <c r="BG19" s="354">
        <f t="shared" si="2"/>
        <v>0.45605042016806729</v>
      </c>
      <c r="BH19" s="354">
        <f>Table1[[#This Row],[IQ Loss]]+Table1[[#This Row],[Switching Current Loss]]</f>
        <v>0.51683999999999997</v>
      </c>
      <c r="BI1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8.4924235640207346</v>
      </c>
      <c r="BJ19">
        <f>Vout*Table1[[#This Row],[Iout]]</f>
        <v>175.2</v>
      </c>
      <c r="BK19" s="550">
        <f>Table1[[#This Row],[Pout]]/(Table1[[#This Row],[Pout]]+Table1[[#This Row],[Total Loss]])</f>
        <v>0.95376824259133941</v>
      </c>
      <c r="BL1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197.75048877936413</v>
      </c>
      <c r="BM19" s="559">
        <f>IF(Table1[[#This Row],[Vin]]&gt;Vout, Table1[[#This Row],[Total Sync Bu MOSFET Loss]]*ThetaJA_Q2, ThetaJA_Q3*Table1[[#This Row],[Total Sync Bo MOSFET Loss]])</f>
        <v>48.202852525760861</v>
      </c>
      <c r="BN19" s="9"/>
      <c r="BO19" s="4">
        <f>Table1[[#This Row],[EFF, h]]*100</f>
        <v>95.37682425913394</v>
      </c>
      <c r="BP19" s="354">
        <f>Table1[[#This Row],[Total Inductor Loss]]</f>
        <v>1.2899634368125192</v>
      </c>
      <c r="BQ19" s="354">
        <f>Table1[[#This Row],[Total Control Bu MOSFET Loss]]+Table1[[#This Row],[Total Sync Bu MOSFET Loss]]+Table1[[#This Row],[Total Control Bo MOSFET Loss]]+Table1[[#This Row],[Total Sync Bo MOSFET Loss]]+Table1[[#This Row],[Reverse Recovery Loss MOSFET D BUCK]]+Table1[[#This Row],[Reverse Recovery Loss MOSFET D BOOST]]</f>
        <v>5.0670968944776442</v>
      </c>
      <c r="BR19" s="354">
        <f>Table1[[#This Row],[Total Control Bu MOSFET Loss]]+Table1[[#This Row],[Reverse Recovery Loss MOSFET D BUCK]]*0.66</f>
        <v>3.4649303116560688</v>
      </c>
      <c r="BS19" s="354">
        <f>Table1[[#This Row],[Total Sync Bu MOSFET Loss]]+Table1[[#This Row],[Reverse Recovery Loss MOSFET D BUCK]]*0.33</f>
        <v>0.88792529142934762</v>
      </c>
      <c r="BT19" s="354">
        <f xml:space="preserve"> Table1[[#This Row],[Total Control Bo MOSFET Loss]]+Table1[[#This Row],[Reverse Recovery Loss MOSFET D BOOST]]*0.66</f>
        <v>0</v>
      </c>
      <c r="BU19" s="354">
        <f xml:space="preserve"> Table1[[#This Row],[Total Sync Bo MOSFET Loss]]+Table1[[#This Row],[Reverse Recovery Loss MOSFET D BOOST]]*0.33</f>
        <v>0.71167933939222783</v>
      </c>
      <c r="BV19" s="354">
        <f>Table1[[#This Row],[Isense Shunt Loss]]</f>
        <v>0.11278348908642792</v>
      </c>
      <c r="BZ19" t="s">
        <v>144</v>
      </c>
      <c r="CB19" s="18"/>
      <c r="CC19" s="19"/>
    </row>
    <row r="20" spans="1:92" x14ac:dyDescent="0.2">
      <c r="A20" s="35" t="s">
        <v>86</v>
      </c>
      <c r="B20" s="39">
        <f>Ltc*1000000</f>
        <v>4000</v>
      </c>
      <c r="C20" s="441" t="s">
        <v>85</v>
      </c>
      <c r="D20" s="21" t="s">
        <v>99</v>
      </c>
      <c r="G20">
        <v>11</v>
      </c>
      <c r="H20" s="555">
        <f>VIN_min+(VIN_max-VIN_min)*(Table1[[#This Row],[Step]]/200)</f>
        <v>21.54</v>
      </c>
      <c r="I20" s="4" t="str">
        <f>IF(Mode = 2,IF(Table1[[#This Row],[Vin]]&gt;Vout, "BUCK","BOOST"),IF(Table1[[#This Row],[Vin]]&gt;VIN_BB_to_buck, "BUCK", IF(Table1[[#This Row],[Vin]]&lt;=VIN_boost_to_BB,"BOOST","BUCK-BST")))</f>
        <v>BUCK</v>
      </c>
      <c r="J20">
        <f>IF(Table1[[#This Row],[Mode]]="BOOST",2, IF(Table1[[#This Row],[Mode]]="BUCK", 1,3))</f>
        <v>1</v>
      </c>
      <c r="K20">
        <f t="shared" si="0"/>
        <v>12</v>
      </c>
      <c r="L20" s="4">
        <f>Vout*Table1[[#This Row],[Iout]]/(Table1[[#This Row],[Vin]]*Efficiency)</f>
        <v>8.5617944582905743</v>
      </c>
      <c r="M20" s="711">
        <f>MIN(1/Fsw,CHOOSE(Table1[[#This Row],[Mode Digit]],(Vout+(Rdson2+Rs+Rdcr)*Table1[[#This Row],[Iout]])/(Table1[[#This Row],[Vin]]+(Rs+Rdson2-Rdson1)*Table1[[#This Row],[Iout]])/Fsw,(Vout+(Rdson3+Rdcr)*Table1[[#This Row],[Iin]]-Table1[[#This Row],[Vin]])/(Vout+(Rdson3-Rdson4-Rs)*Table1[[#This Row],[Iin]])/Fsw,t1_Ph_II))</f>
        <v>1.1397002008963065E-6</v>
      </c>
      <c r="N20" s="602">
        <f>CHOOSE(Table1[[#This Row],[Mode Digit]],1/Fsw-Table1[[#This Row],[t1_Ph_II]],1/Fsw-Table1[[#This Row],[t1_Ph_II]],(Vout/Fsw-Table1[[#This Row],[Vin]]*t1_Ph_II)/(Table1[[#This Row],[Vin]]+Vout))</f>
        <v>5.2696646577036016E-7</v>
      </c>
      <c r="O20" s="602">
        <f>1/Fsw-(Table1[[#This Row],[t1_Ph_II]]+Table1[[#This Row],[t2_Ph_I]])</f>
        <v>0</v>
      </c>
      <c r="P2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10.50198496321584</v>
      </c>
      <c r="Q20" s="4">
        <f>CHOOSE(Table1[[#This Row],[Mode Digit]],Table1[[#This Row],[I_0]]+1/Lf*(Table1[[#This Row],[Vin]]-Vout)*Table1[[#This Row],[t1_Ph_II]],Table1[[#This Row],[I_0]]+1/Lf*Table1[[#This Row],[Vin]]*Table1[[#This Row],[t1_Ph_II]],Table1[[#This Row],[I_0]]+(Table1[[#This Row],[Vin]]-Vout)/L*Table1[[#This Row],[t1_Ph_II]])</f>
        <v>13.49801503678416</v>
      </c>
      <c r="R20" s="4">
        <f>CHOOSE(Table1[[#This Row],[Mode Digit]],0,0,Table1[[#This Row],[I_1]]+Table1[[#This Row],[Vin]]/L*Table1[[#This Row],[t2_Ph_I]])</f>
        <v>0</v>
      </c>
      <c r="S20" s="4">
        <f>Fsw*(Table1[[#This Row],[I_0]]*Table1[[#This Row],[t1_Ph_II]]+Table1[[#This Row],[I_1]]*Table1[[#This Row],[t2_Ph_I]]+Table1[[#This Row],[I_2]]*Table1[[#This Row],[t3_Ph_III]])</f>
        <v>11.449269390741845</v>
      </c>
      <c r="T20" s="354">
        <f>MIN(1,CHOOSE(Table1[[#This Row],[Mode Digit]],(Vout+(Rdson2+Rs+Rdcr)*Table1[[#This Row],[Iout]])/(Table1[[#This Row],[Vin]]+(Rs+Rdson2-Rdson1)*Table1[[#This Row],[Iout]]),1,Fsw*Table1[[#This Row],[t2_Ph_I]]+Table1[[#This Row],[t1_Ph_II]]))</f>
        <v>0.68382012053778396</v>
      </c>
      <c r="U20" s="354">
        <f>MIN(1,CHOOSE(Table1[[#This Row],[Mode Digit]],0,(Vout+(Rdson3+Rdcr)*Table1[[#This Row],[Iin]]-Table1[[#This Row],[Vin]])/(Vout+(Rdson3-Rdson4-Rs)*Table1[[#This Row],[Iin]]),Fsw*Table1[[#This Row],[t1_Ph_II]]+Table1[[#This Row],[t3_Ph_III]]))</f>
        <v>0</v>
      </c>
      <c r="V20" s="4">
        <f>MAX(Table1[[#This Row],[I_0]:[I_2]])-MIN(Table1[[#This Row],[I_0]:[I_1]])</f>
        <v>2.9960300735683205</v>
      </c>
      <c r="W2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12.031126977558827</v>
      </c>
      <c r="X20" s="354">
        <f>(Table1[[#This Row],[Irms Lf]]^2*Rdcr*(1+Ltc*Ta-Ltc*25))/(1-Table1[[#This Row],[Irms Lf]]^2*Rdcr*Ltc*ThetaCa)</f>
        <v>0.89998420566229376</v>
      </c>
      <c r="Y20" s="354">
        <f>ABS(7.759*10^-3*Fsw^0.9458*(0.00787*Table1[[#This Row],[Ripple Current pk-pk]])^2.304)</f>
        <v>0.40278135618269306</v>
      </c>
      <c r="Z20" s="354">
        <f>Table1[[#This Row],[DCR    Loss]]+Table1[[#This Row],[Core Loss]]</f>
        <v>1.3027655618449869</v>
      </c>
      <c r="AA20" s="4">
        <f>IF(Table1[[#This Row],[Vin]]&gt;Vout, Table1[[#This Row],[Ripple Current pk-pk]]/SQRT(12), SQRT(Table1[[#This Row],[Duty Cycle BOOST Leg]]/(1-Table1[[#This Row],[Duty Cycle BOOST Leg]]))*SQRT(Table1[[#This Row],[Iout]]^2+(Table1[[#This Row],[Ripple Current pk-pk]]^2)/12))</f>
        <v>0.86487938473744208</v>
      </c>
      <c r="AB20" s="354">
        <f>RCoutEsr*Table1[[#This Row],[Irms Cout]]^2</f>
        <v>3.7400817507190821E-3</v>
      </c>
      <c r="AC20" s="354">
        <f>Table1[[#This Row],[Cout ESR Loss]]</f>
        <v>3.7400817507190821E-3</v>
      </c>
      <c r="AD20" s="354">
        <f>IF(Table1[[#This Row],[Vin]]&gt;Vout, SQRT(Table1[[#This Row],[Duty Cycle BUCK Leg]]*(1-Table1[[#This Row],[Duty Cycle BUCK Leg]]))*SQRT(Table1[[#This Row],[Iout]]^2+(Table1[[#This Row],[Ripple Current pk-pk]]^2)/12), Table1[[#This Row],[Ripple Current pk-pk]]/SQRT(12))</f>
        <v>5.5942821032115582</v>
      </c>
      <c r="AE20" s="354">
        <f>RCinEsr*Table1[[#This Row],[Irms Cin]]^2</f>
        <v>6.2591984500626266E-2</v>
      </c>
      <c r="AF20" s="549">
        <f>Table1[[#This Row],[Cin ESR Loss]]</f>
        <v>6.2591984500626266E-2</v>
      </c>
      <c r="AG2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9.9489499942536881</v>
      </c>
      <c r="AH20" s="354">
        <f>Rdson1*Table1[[#This Row],[Irms BuCtrl]]^2</f>
        <v>0.41572274515027402</v>
      </c>
      <c r="AI20" s="354">
        <f>CHOOSE(Table1[[#This Row],[Mode Digit]], (Table1[[#This Row],[Vin]]*Table1[[#This Row],[Iout]]/2)*(Fsw)*(Tr_buck+Tf_buck), 0, (Table1[[#This Row],[Vin]]*Table1[[#This Row],[Avg IL]]/2)*(Fsw/1)*(Tr_buck+Tf_buck))</f>
        <v>2.563182527379269</v>
      </c>
      <c r="AJ20">
        <f>IF(Table1[[#This Row],[Vin]]&gt;Vout, IF(Table1[[#This Row],[Iout]]&gt;Table1[[#This Row],[Ripple Current pk-pk]]/2,0,ABS(Table1[[#This Row],[Iout]]-Table1[[#This Row],[Ripple Current pk-pk]]/2)*Vsd_Q1*Deadtime*Fsw),0)</f>
        <v>0</v>
      </c>
      <c r="AK20" s="354">
        <f>(Table1[[#This Row],[Dead Time Loss BuCtrl]]+Table1[[#This Row],[Transition Loss BuCtrl]]+Table1[[#This Row],[RDS(on) Loss BuCtrl]]*(1+RdsonTopTc*Ta-RdsonTopTc*25))/(1-Table1[[#This Row],[RDS(on) Loss BuCtrl]]*RdsonTopTc*ThetaJA_Q1)</f>
        <v>3.3090618153492928</v>
      </c>
      <c r="AL20" s="354">
        <f>CHOOSE(Table1[[#This Row],[Mode Digit]],SQRT((Fsw*(Table1[[#This Row],[t2_Ph_I]]+0))*((Table1[[#This Row],[I_0]]*Table1[[#This Row],[I_1]]+((Table1[[#This Row],[I_0]]-Table1[[#This Row],[I_1]])^2)/3))),0,SQRT((Fsw*(Table1[[#This Row],[t3_Ph_III]]+0))*((Table1[[#This Row],[I_0]]*Table1[[#This Row],[I_2]]+((Table1[[#This Row],[I_0]]-Table1[[#This Row],[I_2]])^2)/3))))</f>
        <v>6.7650876093353993</v>
      </c>
      <c r="AM20" s="354">
        <f>Rdson2*Table1[[#This Row],[Irms BuSync]]^2</f>
        <v>0.1922189235203301</v>
      </c>
      <c r="AN2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0" s="354">
        <f>(Table1[[#This Row],[Deadtime Loss BuSync]]+Table1[[#This Row],[RDS(on) Loss BuSync]]*(1+RdsonBotTc*Ta-RdsonBotTc*25))/(1-Table1[[#This Row],[RDS(on) Loss BuSync]]*RdsonBotTc*ThetaJA_Q2)</f>
        <v>0.80681057452034755</v>
      </c>
      <c r="AP20" s="354">
        <f>CHOOSE(Table1[[#This Row],[Mode Digit]],0,SQRT((Fsw*(Table1[[#This Row],[t1_Ph_II]]+0))*((Table1[[#This Row],[I_0]]*Table1[[#This Row],[I_1]]+((Table1[[#This Row],[I_0]]-Table1[[#This Row],[I_1]])^2)/3))),SQRT((Fsw*(Table1[[#This Row],[t2_Ph_I]]+0))*((Table1[[#This Row],[I_1]]*Table1[[#This Row],[I_2]]+((Table1[[#This Row],[I_1]]-Table1[[#This Row],[I_2]])^2)/3))))</f>
        <v>0</v>
      </c>
      <c r="AQ20" s="354">
        <f>Rdson4*Table1[[#This Row],[Irms BoCtlr]]^2</f>
        <v>0</v>
      </c>
      <c r="AR20" s="354">
        <f>CHOOSE(Table1[[#This Row],[Mode Digit]], 0, (Vout*Table1[[#This Row],[Iin]]/2)*(Fsw)*(Tr_boost+Tf_boost), (Vout*Iout/2)*(Fsw/1)*(Tr_boost+Tf_boost))</f>
        <v>0</v>
      </c>
      <c r="AS20">
        <f>IF(Table1[[#This Row],[Vin]]&gt;Vout, 0, IF(Table1[[#This Row],[Iin]]&gt;Table1[[#This Row],[Ripple Current pk-pk]]/2,0,ABS(Table1[[#This Row],[Iin]]-Table1[[#This Row],[Ripple Current pk-pk]]/2)*Vsd_Q4*Deadtime*Fsw))</f>
        <v>0</v>
      </c>
      <c r="AT20" s="354">
        <f>(Table1[[#This Row],[Dead Time Loss BoCtlr]]+Table1[[#This Row],[Transition Loss BoCtlr]]+Table1[[#This Row],[RDS(on) Loss BoCtlr]]*(1+RdsonTopTc*Ta-RdsonTopTc*25))/(1-Table1[[#This Row],[RDS(on) Loss BoCtlr]]*RdsonTopTc*ThetaJA_Q4)</f>
        <v>0</v>
      </c>
      <c r="AU2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12.031126977558827</v>
      </c>
      <c r="AV20" s="354">
        <f>Rdson3*Table1[[#This Row],[Irms BoSync]]^2</f>
        <v>0.60794166867060406</v>
      </c>
      <c r="AW2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0" s="354">
        <f>(Table1[[#This Row],[Deadtime Loss BoSync]]+Table1[[#This Row],[RDS(on) Loss BoSync]]*(1+RdsonBotTc*Ta-RdsonBotTc*25))/(1-Table1[[#This Row],[RDS(on) Loss BoSync]]*RdsonBotTc*ThetaJA_Q3)</f>
        <v>0.71179714295257812</v>
      </c>
      <c r="AY20" s="354">
        <f>CHOOSE(Table1[[#This Row],[Mode Digit]], Rdson3*Table1[[#This Row],[Irms Lf]]^2, Rdson1*Table1[[#This Row],[Irms Lf]]^2, 0)</f>
        <v>0.60794166867060406</v>
      </c>
      <c r="AZ20" s="354">
        <f>CHOOSE(Table1[[#This Row],[Mode Digit]], 2*Deadtime*Fsw*IF(VfdSky_Q2&gt;0,VfdSky_Q2,0)*Table1[[#This Row],[Iout]], 2*Deadtime*Fsw*IF(VfdSky_Q3&gt;0,VfdSky_Q3,0)*Table1[[#This Row],[Iin]], 2*Deadtime*Fsw*IF(VfdSky_Q2&gt;0,VfdSky_Q2,0)*Table1[[#This Row],[Iout]]+2*Deadtime*Fsw*IF(VfdSky_Q3&gt;0,VfdSky_Q3,0)*Table1[[#This Row],[Iin]])</f>
        <v>0</v>
      </c>
      <c r="BA20" s="354">
        <f>CHOOSE(Table1[[#This Row],[Mode Digit]], IF(QrrSky_Q2&gt;0,QrrSky_Q2,Qrr_Q2)*Fsw*(Table1[[#This Row],[Vin]]-Table1[[#This Row],[Iout]]*Rdson1),0,  IF(QrrSky_Q2&gt;0,QrrSky_Q2,Qrr_Q2)*Fsw*(Table1[[#This Row],[Vin]]-Table1[[#This Row],[Iout]]*Rdson1)+IF(QrrSky_Q3&gt;0,QrrSky_Q3,Qrr_Q3)*Fsw*Vout)</f>
        <v>0.25787519999999997</v>
      </c>
      <c r="BB20" s="354">
        <f>CHOOSE(Table1[[#This Row],[Mode Digit]],0, IF(QrrSky_Q3&gt;0,QrrSky_Q3,Qrr_Q3)*Fsw*Vout,  IF(QrrSky_Q2&gt;0,QrrSky_Q2,Qrr_Q2)*Fsw*(Table1[[#This Row],[Vin]]-Table1[[#This Row],[Iout]]*Rdson1)+IF(QrrSky_Q3&gt;0,QrrSky_Q3,Qrr_Q3)*Fsw*Vout)</f>
        <v>0</v>
      </c>
      <c r="BC20" s="354">
        <f>CHOOSE(Table1[[#This Row],[Mode Digit]], Rs*Table1[[#This Row],[Irms BuSync]]^2, Rs*Table1[[#This Row],[Irms BoCtlr]]^2, Rs*(Table1[[#This Row],[Irms BuSync]]^2+Table1[[#This Row],[Irms BoCtlr]]^2))</f>
        <v>0.11441602590495836</v>
      </c>
      <c r="BD20" s="354">
        <f t="shared" si="1"/>
        <v>1.44</v>
      </c>
      <c r="BE20" s="354">
        <f>IF(Vout&gt;8, Iq*Vout, Iq*Table1[[#This Row],[Vin]])</f>
        <v>4.3799999999999999E-2</v>
      </c>
      <c r="BF20" s="354">
        <f>CHOOSE(Table1[[#This Row],[Mode Digit]], (Qg_Q1+Qg_Q2)*Fsw, (Qg_Q3+Qg_Q4)*Fsw, (Qg_Q1+Qg_Q2+Qg_Q3+Qg_Q4)*Fsw)*IF(Vout&gt;8, Vout, Table1[[#This Row],[Vin]])</f>
        <v>0.47303999999999996</v>
      </c>
      <c r="BG20" s="354">
        <f t="shared" si="2"/>
        <v>0.45605042016806729</v>
      </c>
      <c r="BH20" s="354">
        <f>Table1[[#This Row],[IQ Loss]]+Table1[[#This Row],[Switching Current Loss]]</f>
        <v>0.51683999999999997</v>
      </c>
      <c r="BI2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8.5258983868235099</v>
      </c>
      <c r="BJ20">
        <f>Vout*Table1[[#This Row],[Iout]]</f>
        <v>175.2</v>
      </c>
      <c r="BK20" s="550">
        <f>Table1[[#This Row],[Pout]]/(Table1[[#This Row],[Pout]]+Table1[[#This Row],[Total Loss]])</f>
        <v>0.95359446620381871</v>
      </c>
      <c r="BL2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198.54370892095756</v>
      </c>
      <c r="BM20" s="559">
        <f>IF(Table1[[#This Row],[Vin]]&gt;Vout, Table1[[#This Row],[Total Sync Bu MOSFET Loss]]*ThetaJA_Q2, ThetaJA_Q3*Table1[[#This Row],[Total Sync Bo MOSFET Loss]])</f>
        <v>48.40863447122085</v>
      </c>
      <c r="BN20" s="9"/>
      <c r="BO20" s="4">
        <f>Table1[[#This Row],[EFF, h]]*100</f>
        <v>95.359446620381874</v>
      </c>
      <c r="BP20" s="354">
        <f>Table1[[#This Row],[Total Inductor Loss]]</f>
        <v>1.3027655618449869</v>
      </c>
      <c r="BQ20" s="354">
        <f>Table1[[#This Row],[Total Control Bu MOSFET Loss]]+Table1[[#This Row],[Total Sync Bu MOSFET Loss]]+Table1[[#This Row],[Total Control Bo MOSFET Loss]]+Table1[[#This Row],[Total Sync Bo MOSFET Loss]]+Table1[[#This Row],[Reverse Recovery Loss MOSFET D BUCK]]+Table1[[#This Row],[Reverse Recovery Loss MOSFET D BOOST]]</f>
        <v>5.0855447328222185</v>
      </c>
      <c r="BR20" s="354">
        <f>Table1[[#This Row],[Total Control Bu MOSFET Loss]]+Table1[[#This Row],[Reverse Recovery Loss MOSFET D BUCK]]*0.66</f>
        <v>3.4792594473492926</v>
      </c>
      <c r="BS20" s="354">
        <f>Table1[[#This Row],[Total Sync Bu MOSFET Loss]]+Table1[[#This Row],[Reverse Recovery Loss MOSFET D BUCK]]*0.33</f>
        <v>0.89190939052034757</v>
      </c>
      <c r="BT20" s="354">
        <f xml:space="preserve"> Table1[[#This Row],[Total Control Bo MOSFET Loss]]+Table1[[#This Row],[Reverse Recovery Loss MOSFET D BOOST]]*0.66</f>
        <v>0</v>
      </c>
      <c r="BU20" s="354">
        <f xml:space="preserve"> Table1[[#This Row],[Total Sync Bo MOSFET Loss]]+Table1[[#This Row],[Reverse Recovery Loss MOSFET D BOOST]]*0.33</f>
        <v>0.71179714295257812</v>
      </c>
      <c r="BV20" s="354">
        <f>Table1[[#This Row],[Isense Shunt Loss]]</f>
        <v>0.11441602590495836</v>
      </c>
      <c r="CB20" s="18"/>
      <c r="CC20" s="19"/>
    </row>
    <row r="21" spans="1:92" x14ac:dyDescent="0.2">
      <c r="A21" s="25" t="s">
        <v>157</v>
      </c>
      <c r="B21" s="39">
        <f>ThetaCa</f>
        <v>20</v>
      </c>
      <c r="C21" s="441" t="s">
        <v>237</v>
      </c>
      <c r="D21" s="26" t="s">
        <v>158</v>
      </c>
      <c r="G21">
        <v>12</v>
      </c>
      <c r="H21" s="555">
        <f>VIN_min+(VIN_max-VIN_min)*(Table1[[#This Row],[Step]]/200)</f>
        <v>21.68</v>
      </c>
      <c r="I21" s="4" t="str">
        <f>IF(Mode = 2,IF(Table1[[#This Row],[Vin]]&gt;Vout, "BUCK","BOOST"),IF(Table1[[#This Row],[Vin]]&gt;VIN_BB_to_buck, "BUCK", IF(Table1[[#This Row],[Vin]]&lt;=VIN_boost_to_BB,"BOOST","BUCK-BST")))</f>
        <v>BUCK</v>
      </c>
      <c r="J21">
        <f>IF(Table1[[#This Row],[Mode]]="BOOST",2, IF(Table1[[#This Row],[Mode]]="BUCK", 1,3))</f>
        <v>1</v>
      </c>
      <c r="K21">
        <f t="shared" si="0"/>
        <v>12</v>
      </c>
      <c r="L21" s="4">
        <f>Vout*Table1[[#This Row],[Iout]]/(Table1[[#This Row],[Vin]]*Efficiency)</f>
        <v>8.506506117692755</v>
      </c>
      <c r="M21" s="711">
        <f>MIN(1/Fsw,CHOOSE(Table1[[#This Row],[Mode Digit]],(Vout+(Rdson2+Rs+Rdcr)*Table1[[#This Row],[Iout]])/(Table1[[#This Row],[Vin]]+(Rs+Rdson2-Rdson1)*Table1[[#This Row],[Iout]])/Fsw,(Vout+(Rdson3+Rdcr)*Table1[[#This Row],[Iin]]-Table1[[#This Row],[Vin]])/(Vout+(Rdson3-Rdson4-Rs)*Table1[[#This Row],[Iin]])/Fsw,t1_Ph_II))</f>
        <v>1.1323506832488867E-6</v>
      </c>
      <c r="N21" s="602">
        <f>CHOOSE(Table1[[#This Row],[Mode Digit]],1/Fsw-Table1[[#This Row],[t1_Ph_II]],1/Fsw-Table1[[#This Row],[t1_Ph_II]],(Vout/Fsw-Table1[[#This Row],[Vin]]*t1_Ph_II)/(Table1[[#This Row],[Vin]]+Vout))</f>
        <v>5.3431598341777991E-7</v>
      </c>
      <c r="O21" s="602">
        <f>1/Fsw-(Table1[[#This Row],[t1_Ph_II]]+Table1[[#This Row],[t2_Ph_I]])</f>
        <v>0</v>
      </c>
      <c r="P2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10.481620674734447</v>
      </c>
      <c r="Q21" s="4">
        <f>CHOOSE(Table1[[#This Row],[Mode Digit]],Table1[[#This Row],[I_0]]+1/Lf*(Table1[[#This Row],[Vin]]-Vout)*Table1[[#This Row],[t1_Ph_II]],Table1[[#This Row],[I_0]]+1/Lf*Table1[[#This Row],[Vin]]*Table1[[#This Row],[t1_Ph_II]],Table1[[#This Row],[I_0]]+(Table1[[#This Row],[Vin]]-Vout)/L*Table1[[#This Row],[t1_Ph_II]])</f>
        <v>13.518379325265553</v>
      </c>
      <c r="R21" s="4">
        <f>CHOOSE(Table1[[#This Row],[Mode Digit]],0,0,Table1[[#This Row],[I_1]]+Table1[[#This Row],[Vin]]/L*Table1[[#This Row],[t2_Ph_I]])</f>
        <v>0</v>
      </c>
      <c r="S21" s="4">
        <f>Fsw*(Table1[[#This Row],[I_0]]*Table1[[#This Row],[t1_Ph_II]]+Table1[[#This Row],[I_1]]*Table1[[#This Row],[t2_Ph_I]]+Table1[[#This Row],[I_2]]*Table1[[#This Row],[t3_Ph_III]])</f>
        <v>11.455173885591035</v>
      </c>
      <c r="T21" s="354">
        <f>MIN(1,CHOOSE(Table1[[#This Row],[Mode Digit]],(Vout+(Rdson2+Rs+Rdcr)*Table1[[#This Row],[Iout]])/(Table1[[#This Row],[Vin]]+(Rs+Rdson2-Rdson1)*Table1[[#This Row],[Iout]]),1,Fsw*Table1[[#This Row],[t2_Ph_I]]+Table1[[#This Row],[t1_Ph_II]]))</f>
        <v>0.67941040994933211</v>
      </c>
      <c r="U21" s="354">
        <f>MIN(1,CHOOSE(Table1[[#This Row],[Mode Digit]],0,(Vout+(Rdson3+Rdcr)*Table1[[#This Row],[Iin]]-Table1[[#This Row],[Vin]])/(Vout+(Rdson3-Rdson4-Rs)*Table1[[#This Row],[Iin]]),Fsw*Table1[[#This Row],[t1_Ph_II]]+Table1[[#This Row],[t3_Ph_III]]))</f>
        <v>0</v>
      </c>
      <c r="V21" s="4">
        <f>MAX(Table1[[#This Row],[I_0]:[I_2]])-MIN(Table1[[#This Row],[I_0]:[I_1]])</f>
        <v>3.0367586505311053</v>
      </c>
      <c r="W2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12.031977889155685</v>
      </c>
      <c r="X21" s="354">
        <f>(Table1[[#This Row],[Irms Lf]]^2*Rdcr*(1+Ltc*Ta-Ltc*25))/(1-Table1[[#This Row],[Irms Lf]]^2*Rdcr*Ltc*ThetaCa)</f>
        <v>0.90012068190890759</v>
      </c>
      <c r="Y21" s="354">
        <f>ABS(7.759*10^-3*Fsw^0.9458*(0.00787*Table1[[#This Row],[Ripple Current pk-pk]])^2.304)</f>
        <v>0.41550883889127527</v>
      </c>
      <c r="Z21" s="354">
        <f>Table1[[#This Row],[DCR    Loss]]+Table1[[#This Row],[Core Loss]]</f>
        <v>1.3156295208001829</v>
      </c>
      <c r="AA21" s="4">
        <f>IF(Table1[[#This Row],[Vin]]&gt;Vout, Table1[[#This Row],[Ripple Current pk-pk]]/SQRT(12), SQRT(Table1[[#This Row],[Duty Cycle BOOST Leg]]/(1-Table1[[#This Row],[Duty Cycle BOOST Leg]]))*SQRT(Table1[[#This Row],[Iout]]^2+(Table1[[#This Row],[Ripple Current pk-pk]]^2)/12))</f>
        <v>0.87663671217402916</v>
      </c>
      <c r="AB21" s="354">
        <f>RCoutEsr*Table1[[#This Row],[Irms Cout]]^2</f>
        <v>3.842459625656458E-3</v>
      </c>
      <c r="AC21" s="354">
        <f>Table1[[#This Row],[Cout ESR Loss]]</f>
        <v>3.842459625656458E-3</v>
      </c>
      <c r="AD21" s="354">
        <f>IF(Table1[[#This Row],[Vin]]&gt;Vout, SQRT(Table1[[#This Row],[Duty Cycle BUCK Leg]]*(1-Table1[[#This Row],[Duty Cycle BUCK Leg]]))*SQRT(Table1[[#This Row],[Iout]]^2+(Table1[[#This Row],[Ripple Current pk-pk]]^2)/12), Table1[[#This Row],[Ripple Current pk-pk]]/SQRT(12))</f>
        <v>5.6153629429894085</v>
      </c>
      <c r="AE21" s="354">
        <f>RCinEsr*Table1[[#This Row],[Irms Cin]]^2</f>
        <v>6.3064601962997346E-2</v>
      </c>
      <c r="AF21" s="549">
        <f>Table1[[#This Row],[Cin ESR Loss]]</f>
        <v>6.3064601962997346E-2</v>
      </c>
      <c r="AG2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9.9175208820854017</v>
      </c>
      <c r="AH21" s="354">
        <f>Rdson1*Table1[[#This Row],[Irms BuCtrl]]^2</f>
        <v>0.4131003258757201</v>
      </c>
      <c r="AI21" s="354">
        <f>CHOOSE(Table1[[#This Row],[Mode Digit]], (Table1[[#This Row],[Vin]]*Table1[[#This Row],[Iout]]/2)*(Fsw)*(Tr_buck+Tf_buck), 0, (Table1[[#This Row],[Vin]]*Table1[[#This Row],[Avg IL]]/2)*(Fsw/1)*(Tr_buck+Tf_buck))</f>
        <v>2.5798420238432005</v>
      </c>
      <c r="AJ21">
        <f>IF(Table1[[#This Row],[Vin]]&gt;Vout, IF(Table1[[#This Row],[Iout]]&gt;Table1[[#This Row],[Ripple Current pk-pk]]/2,0,ABS(Table1[[#This Row],[Iout]]-Table1[[#This Row],[Ripple Current pk-pk]]/2)*Vsd_Q1*Deadtime*Fsw),0)</f>
        <v>0</v>
      </c>
      <c r="AK21" s="354">
        <f>(Table1[[#This Row],[Dead Time Loss BuCtrl]]+Table1[[#This Row],[Transition Loss BuCtrl]]+Table1[[#This Row],[RDS(on) Loss BuCtrl]]*(1+RdsonTopTc*Ta-RdsonTopTc*25))/(1-Table1[[#This Row],[RDS(on) Loss BuCtrl]]*RdsonTopTc*ThetaJA_Q1)</f>
        <v>3.3223318816315497</v>
      </c>
      <c r="AL21" s="354">
        <f>CHOOSE(Table1[[#This Row],[Mode Digit]],SQRT((Fsw*(Table1[[#This Row],[t2_Ph_I]]+0))*((Table1[[#This Row],[I_0]]*Table1[[#This Row],[I_1]]+((Table1[[#This Row],[I_0]]-Table1[[#This Row],[I_1]])^2)/3))),0,SQRT((Fsw*(Table1[[#This Row],[t3_Ph_III]]+0))*((Table1[[#This Row],[I_0]]*Table1[[#This Row],[I_2]]+((Table1[[#This Row],[I_0]]-Table1[[#This Row],[I_2]])^2)/3))))</f>
        <v>6.8125818511436078</v>
      </c>
      <c r="AM21" s="354">
        <f>Rdson2*Table1[[#This Row],[Irms BuSync]]^2</f>
        <v>0.19492734020983135</v>
      </c>
      <c r="AN2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1" s="354">
        <f>(Table1[[#This Row],[Deadtime Loss BuSync]]+Table1[[#This Row],[RDS(on) Loss BuSync]]*(1+RdsonBotTc*Ta-RdsonBotTc*25))/(1-Table1[[#This Row],[RDS(on) Loss BuSync]]*RdsonBotTc*ThetaJA_Q2)</f>
        <v>0.81020209839885504</v>
      </c>
      <c r="AP21" s="354">
        <f>CHOOSE(Table1[[#This Row],[Mode Digit]],0,SQRT((Fsw*(Table1[[#This Row],[t1_Ph_II]]+0))*((Table1[[#This Row],[I_0]]*Table1[[#This Row],[I_1]]+((Table1[[#This Row],[I_0]]-Table1[[#This Row],[I_1]])^2)/3))),SQRT((Fsw*(Table1[[#This Row],[t2_Ph_I]]+0))*((Table1[[#This Row],[I_1]]*Table1[[#This Row],[I_2]]+((Table1[[#This Row],[I_1]]-Table1[[#This Row],[I_2]])^2)/3))))</f>
        <v>0</v>
      </c>
      <c r="AQ21" s="354">
        <f>Rdson4*Table1[[#This Row],[Irms BoCtlr]]^2</f>
        <v>0</v>
      </c>
      <c r="AR21" s="354">
        <f>CHOOSE(Table1[[#This Row],[Mode Digit]], 0, (Vout*Table1[[#This Row],[Iin]]/2)*(Fsw)*(Tr_boost+Tf_boost), (Vout*Iout/2)*(Fsw/1)*(Tr_boost+Tf_boost))</f>
        <v>0</v>
      </c>
      <c r="AS21">
        <f>IF(Table1[[#This Row],[Vin]]&gt;Vout, 0, IF(Table1[[#This Row],[Iin]]&gt;Table1[[#This Row],[Ripple Current pk-pk]]/2,0,ABS(Table1[[#This Row],[Iin]]-Table1[[#This Row],[Ripple Current pk-pk]]/2)*Vsd_Q4*Deadtime*Fsw))</f>
        <v>0</v>
      </c>
      <c r="AT21" s="354">
        <f>(Table1[[#This Row],[Dead Time Loss BoCtlr]]+Table1[[#This Row],[Transition Loss BoCtlr]]+Table1[[#This Row],[RDS(on) Loss BoCtlr]]*(1+RdsonTopTc*Ta-RdsonTopTc*25))/(1-Table1[[#This Row],[RDS(on) Loss BoCtlr]]*RdsonTopTc*ThetaJA_Q4)</f>
        <v>0</v>
      </c>
      <c r="AU2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12.031977889155685</v>
      </c>
      <c r="AV21" s="354">
        <f>Rdson3*Table1[[#This Row],[Irms BoSync]]^2</f>
        <v>0.60802766608555159</v>
      </c>
      <c r="AW2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1" s="354">
        <f>(Table1[[#This Row],[Deadtime Loss BoSync]]+Table1[[#This Row],[RDS(on) Loss BoSync]]*(1+RdsonBotTc*Ta-RdsonBotTc*25))/(1-Table1[[#This Row],[RDS(on) Loss BoSync]]*RdsonBotTc*ThetaJA_Q3)</f>
        <v>0.71191503501088294</v>
      </c>
      <c r="AY21" s="354">
        <f>CHOOSE(Table1[[#This Row],[Mode Digit]], Rdson3*Table1[[#This Row],[Irms Lf]]^2, Rdson1*Table1[[#This Row],[Irms Lf]]^2, 0)</f>
        <v>0.60802766608555159</v>
      </c>
      <c r="AZ21" s="354">
        <f>CHOOSE(Table1[[#This Row],[Mode Digit]], 2*Deadtime*Fsw*IF(VfdSky_Q2&gt;0,VfdSky_Q2,0)*Table1[[#This Row],[Iout]], 2*Deadtime*Fsw*IF(VfdSky_Q3&gt;0,VfdSky_Q3,0)*Table1[[#This Row],[Iin]], 2*Deadtime*Fsw*IF(VfdSky_Q2&gt;0,VfdSky_Q2,0)*Table1[[#This Row],[Iout]]+2*Deadtime*Fsw*IF(VfdSky_Q3&gt;0,VfdSky_Q3,0)*Table1[[#This Row],[Iin]])</f>
        <v>0</v>
      </c>
      <c r="BA21" s="354">
        <f>CHOOSE(Table1[[#This Row],[Mode Digit]], IF(QrrSky_Q2&gt;0,QrrSky_Q2,Qrr_Q2)*Fsw*(Table1[[#This Row],[Vin]]-Table1[[#This Row],[Iout]]*Rdson1),0,  IF(QrrSky_Q2&gt;0,QrrSky_Q2,Qrr_Q2)*Fsw*(Table1[[#This Row],[Vin]]-Table1[[#This Row],[Iout]]*Rdson1)+IF(QrrSky_Q3&gt;0,QrrSky_Q3,Qrr_Q3)*Fsw*Vout)</f>
        <v>0.25955519999999999</v>
      </c>
      <c r="BB21" s="354">
        <f>CHOOSE(Table1[[#This Row],[Mode Digit]],0, IF(QrrSky_Q3&gt;0,QrrSky_Q3,Qrr_Q3)*Fsw*Vout,  IF(QrrSky_Q2&gt;0,QrrSky_Q2,Qrr_Q2)*Fsw*(Table1[[#This Row],[Vin]]-Table1[[#This Row],[Iout]]*Rdson1)+IF(QrrSky_Q3&gt;0,QrrSky_Q3,Qrr_Q3)*Fsw*Vout)</f>
        <v>0</v>
      </c>
      <c r="BC21" s="354">
        <f>CHOOSE(Table1[[#This Row],[Mode Digit]], Rs*Table1[[#This Row],[Irms BuSync]]^2, Rs*Table1[[#This Row],[Irms BoCtlr]]^2, Rs*(Table1[[#This Row],[Irms BuSync]]^2+Table1[[#This Row],[Irms BoCtlr]]^2))</f>
        <v>0.11602817869632817</v>
      </c>
      <c r="BD21" s="354">
        <f t="shared" si="1"/>
        <v>1.44</v>
      </c>
      <c r="BE21" s="354">
        <f>IF(Vout&gt;8, Iq*Vout, Iq*Table1[[#This Row],[Vin]])</f>
        <v>4.3799999999999999E-2</v>
      </c>
      <c r="BF21" s="354">
        <f>CHOOSE(Table1[[#This Row],[Mode Digit]], (Qg_Q1+Qg_Q2)*Fsw, (Qg_Q3+Qg_Q4)*Fsw, (Qg_Q1+Qg_Q2+Qg_Q3+Qg_Q4)*Fsw)*IF(Vout&gt;8, Vout, Table1[[#This Row],[Vin]])</f>
        <v>0.47303999999999996</v>
      </c>
      <c r="BG21" s="354">
        <f t="shared" si="2"/>
        <v>0.45605042016806729</v>
      </c>
      <c r="BH21" s="354">
        <f>Table1[[#This Row],[IQ Loss]]+Table1[[#This Row],[Switching Current Loss]]</f>
        <v>0.51683999999999997</v>
      </c>
      <c r="BI2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8.559408976126452</v>
      </c>
      <c r="BJ21">
        <f>Vout*Table1[[#This Row],[Iout]]</f>
        <v>175.2</v>
      </c>
      <c r="BK21" s="550">
        <f>Table1[[#This Row],[Pout]]/(Table1[[#This Row],[Pout]]+Table1[[#This Row],[Total Loss]])</f>
        <v>0.95342056755723192</v>
      </c>
      <c r="BL2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199.33991289789299</v>
      </c>
      <c r="BM21" s="559">
        <f>IF(Table1[[#This Row],[Vin]]&gt;Vout, Table1[[#This Row],[Total Sync Bu MOSFET Loss]]*ThetaJA_Q2, ThetaJA_Q3*Table1[[#This Row],[Total Sync Bo MOSFET Loss]])</f>
        <v>48.6121259039313</v>
      </c>
      <c r="BN21" s="9"/>
      <c r="BO21" s="4">
        <f>Table1[[#This Row],[EFF, h]]*100</f>
        <v>95.342056755723192</v>
      </c>
      <c r="BP21" s="354">
        <f>Table1[[#This Row],[Total Inductor Loss]]</f>
        <v>1.3156295208001829</v>
      </c>
      <c r="BQ21" s="354">
        <f>Table1[[#This Row],[Total Control Bu MOSFET Loss]]+Table1[[#This Row],[Total Sync Bu MOSFET Loss]]+Table1[[#This Row],[Total Control Bo MOSFET Loss]]+Table1[[#This Row],[Total Sync Bo MOSFET Loss]]+Table1[[#This Row],[Reverse Recovery Loss MOSFET D BUCK]]+Table1[[#This Row],[Reverse Recovery Loss MOSFET D BOOST]]</f>
        <v>5.1040042150412885</v>
      </c>
      <c r="BR21" s="354">
        <f>Table1[[#This Row],[Total Control Bu MOSFET Loss]]+Table1[[#This Row],[Reverse Recovery Loss MOSFET D BUCK]]*0.66</f>
        <v>3.4936383136315499</v>
      </c>
      <c r="BS21" s="354">
        <f>Table1[[#This Row],[Total Sync Bu MOSFET Loss]]+Table1[[#This Row],[Reverse Recovery Loss MOSFET D BUCK]]*0.33</f>
        <v>0.89585531439885502</v>
      </c>
      <c r="BT21" s="354">
        <f xml:space="preserve"> Table1[[#This Row],[Total Control Bo MOSFET Loss]]+Table1[[#This Row],[Reverse Recovery Loss MOSFET D BOOST]]*0.66</f>
        <v>0</v>
      </c>
      <c r="BU21" s="354">
        <f xml:space="preserve"> Table1[[#This Row],[Total Sync Bo MOSFET Loss]]+Table1[[#This Row],[Reverse Recovery Loss MOSFET D BOOST]]*0.33</f>
        <v>0.71191503501088294</v>
      </c>
      <c r="BV21" s="354">
        <f>Table1[[#This Row],[Isense Shunt Loss]]</f>
        <v>0.11602817869632817</v>
      </c>
      <c r="CB21" s="18"/>
      <c r="CC21" s="19"/>
    </row>
    <row r="22" spans="1:92" x14ac:dyDescent="0.2">
      <c r="A22" s="36" t="s">
        <v>61</v>
      </c>
      <c r="B22" s="39">
        <f>Cin*1000000</f>
        <v>100</v>
      </c>
      <c r="C22" s="443" t="s">
        <v>639</v>
      </c>
      <c r="D22" s="440" t="s">
        <v>657</v>
      </c>
      <c r="G22">
        <v>13</v>
      </c>
      <c r="H22" s="555">
        <f>VIN_min+(VIN_max-VIN_min)*(Table1[[#This Row],[Step]]/200)</f>
        <v>21.82</v>
      </c>
      <c r="I22" s="4" t="str">
        <f>IF(Mode = 2,IF(Table1[[#This Row],[Vin]]&gt;Vout, "BUCK","BOOST"),IF(Table1[[#This Row],[Vin]]&gt;VIN_BB_to_buck, "BUCK", IF(Table1[[#This Row],[Vin]]&lt;=VIN_boost_to_BB,"BOOST","BUCK-BST")))</f>
        <v>BUCK</v>
      </c>
      <c r="J22">
        <f>IF(Table1[[#This Row],[Mode]]="BOOST",2, IF(Table1[[#This Row],[Mode]]="BUCK", 1,3))</f>
        <v>1</v>
      </c>
      <c r="K22">
        <f t="shared" si="0"/>
        <v>12</v>
      </c>
      <c r="L22" s="4">
        <f>Vout*Table1[[#This Row],[Iout]]/(Table1[[#This Row],[Vin]]*Efficiency)</f>
        <v>8.4519272516763948</v>
      </c>
      <c r="M22" s="711">
        <f>MIN(1/Fsw,CHOOSE(Table1[[#This Row],[Mode Digit]],(Vout+(Rdson2+Rs+Rdcr)*Table1[[#This Row],[Iout]])/(Table1[[#This Row],[Vin]]+(Rs+Rdson2-Rdson1)*Table1[[#This Row],[Iout]])/Fsw,(Vout+(Rdson3+Rdcr)*Table1[[#This Row],[Iin]]-Table1[[#This Row],[Vin]])/(Vout+(Rdson3-Rdson4-Rs)*Table1[[#This Row],[Iin]])/Fsw,t1_Ph_II))</f>
        <v>1.1250953470633104E-6</v>
      </c>
      <c r="N22" s="602">
        <f>CHOOSE(Table1[[#This Row],[Mode Digit]],1/Fsw-Table1[[#This Row],[t1_Ph_II]],1/Fsw-Table1[[#This Row],[t1_Ph_II]],(Vout/Fsw-Table1[[#This Row],[Vin]]*t1_Ph_II)/(Table1[[#This Row],[Vin]]+Vout))</f>
        <v>5.4157131960335625E-7</v>
      </c>
      <c r="O22" s="602">
        <f>1/Fsw-(Table1[[#This Row],[t1_Ph_II]]+Table1[[#This Row],[t2_Ph_I]])</f>
        <v>0</v>
      </c>
      <c r="P2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10.461517347386913</v>
      </c>
      <c r="Q22" s="4">
        <f>CHOOSE(Table1[[#This Row],[Mode Digit]],Table1[[#This Row],[I_0]]+1/Lf*(Table1[[#This Row],[Vin]]-Vout)*Table1[[#This Row],[t1_Ph_II]],Table1[[#This Row],[I_0]]+1/Lf*Table1[[#This Row],[Vin]]*Table1[[#This Row],[t1_Ph_II]],Table1[[#This Row],[I_0]]+(Table1[[#This Row],[Vin]]-Vout)/L*Table1[[#This Row],[t1_Ph_II]])</f>
        <v>13.538482652613087</v>
      </c>
      <c r="R22" s="4">
        <f>CHOOSE(Table1[[#This Row],[Mode Digit]],0,0,Table1[[#This Row],[I_1]]+Table1[[#This Row],[Vin]]/L*Table1[[#This Row],[t2_Ph_I]])</f>
        <v>0</v>
      </c>
      <c r="S22" s="4">
        <f>Fsw*(Table1[[#This Row],[I_0]]*Table1[[#This Row],[t1_Ph_II]]+Table1[[#This Row],[I_1]]*Table1[[#This Row],[t2_Ph_I]]+Table1[[#This Row],[I_2]]*Table1[[#This Row],[t3_Ph_III]])</f>
        <v>11.461355043821962</v>
      </c>
      <c r="T22" s="354">
        <f>MIN(1,CHOOSE(Table1[[#This Row],[Mode Digit]],(Vout+(Rdson2+Rs+Rdcr)*Table1[[#This Row],[Iout]])/(Table1[[#This Row],[Vin]]+(Rs+Rdson2-Rdson1)*Table1[[#This Row],[Iout]]),1,Fsw*Table1[[#This Row],[t2_Ph_I]]+Table1[[#This Row],[t1_Ph_II]]))</f>
        <v>0.67505720823798621</v>
      </c>
      <c r="U22" s="354">
        <f>MIN(1,CHOOSE(Table1[[#This Row],[Mode Digit]],0,(Vout+(Rdson3+Rdcr)*Table1[[#This Row],[Iin]]-Table1[[#This Row],[Vin]])/(Vout+(Rdson3-Rdson4-Rs)*Table1[[#This Row],[Iin]]),Fsw*Table1[[#This Row],[t1_Ph_II]]+Table1[[#This Row],[t3_Ph_III]]))</f>
        <v>0</v>
      </c>
      <c r="V22" s="4">
        <f>MAX(Table1[[#This Row],[I_0]:[I_2]])-MIN(Table1[[#This Row],[I_0]:[I_1]])</f>
        <v>3.0769653052261745</v>
      </c>
      <c r="W2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12.032829105858568</v>
      </c>
      <c r="X22" s="354">
        <f>(Table1[[#This Row],[Irms Lf]]^2*Rdcr*(1+Ltc*Ta-Ltc*25))/(1-Table1[[#This Row],[Irms Lf]]^2*Rdcr*Ltc*ThetaCa)</f>
        <v>0.90025721952998705</v>
      </c>
      <c r="Y22" s="354">
        <f>ABS(7.759*10^-3*Fsw^0.9458*(0.00787*Table1[[#This Row],[Ripple Current pk-pk]])^2.304)</f>
        <v>0.42829347367472315</v>
      </c>
      <c r="Z22" s="354">
        <f>Table1[[#This Row],[DCR    Loss]]+Table1[[#This Row],[Core Loss]]</f>
        <v>1.3285506932047102</v>
      </c>
      <c r="AA22" s="4">
        <f>IF(Table1[[#This Row],[Vin]]&gt;Vout, Table1[[#This Row],[Ripple Current pk-pk]]/SQRT(12), SQRT(Table1[[#This Row],[Duty Cycle BOOST Leg]]/(1-Table1[[#This Row],[Duty Cycle BOOST Leg]]))*SQRT(Table1[[#This Row],[Iout]]^2+(Table1[[#This Row],[Ripple Current pk-pk]]^2)/12))</f>
        <v>0.88824337362973549</v>
      </c>
      <c r="AB22" s="354">
        <f>RCoutEsr*Table1[[#This Row],[Irms Cout]]^2</f>
        <v>3.9448814539856693E-3</v>
      </c>
      <c r="AC22" s="354">
        <f>Table1[[#This Row],[Cout ESR Loss]]</f>
        <v>3.9448814539856693E-3</v>
      </c>
      <c r="AD22" s="354">
        <f>IF(Table1[[#This Row],[Vin]]&gt;Vout, SQRT(Table1[[#This Row],[Duty Cycle BUCK Leg]]*(1-Table1[[#This Row],[Duty Cycle BUCK Leg]]))*SQRT(Table1[[#This Row],[Iout]]^2+(Table1[[#This Row],[Ripple Current pk-pk]]^2)/12), Table1[[#This Row],[Ripple Current pk-pk]]/SQRT(12))</f>
        <v>5.6356172782718392</v>
      </c>
      <c r="AE22" s="354">
        <f>RCinEsr*Table1[[#This Row],[Irms Cin]]^2</f>
        <v>6.3520364214312189E-2</v>
      </c>
      <c r="AF22" s="549">
        <f>Table1[[#This Row],[Cin ESR Loss]]</f>
        <v>6.3520364214312189E-2</v>
      </c>
      <c r="AG2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9.8863968218204494</v>
      </c>
      <c r="AH22" s="354">
        <f>Rdson1*Table1[[#This Row],[Irms BuCtrl]]^2</f>
        <v>0.41051153689770631</v>
      </c>
      <c r="AI22" s="354">
        <f>CHOOSE(Table1[[#This Row],[Mode Digit]], (Table1[[#This Row],[Vin]]*Table1[[#This Row],[Iout]]/2)*(Fsw)*(Tr_buck+Tf_buck), 0, (Table1[[#This Row],[Vin]]*Table1[[#This Row],[Avg IL]]/2)*(Fsw/1)*(Tr_buck+Tf_buck))</f>
        <v>2.5965015203071338</v>
      </c>
      <c r="AJ22">
        <f>IF(Table1[[#This Row],[Vin]]&gt;Vout, IF(Table1[[#This Row],[Iout]]&gt;Table1[[#This Row],[Ripple Current pk-pk]]/2,0,ABS(Table1[[#This Row],[Iout]]-Table1[[#This Row],[Ripple Current pk-pk]]/2)*Vsd_Q1*Deadtime*Fsw),0)</f>
        <v>0</v>
      </c>
      <c r="AK22" s="354">
        <f>(Table1[[#This Row],[Dead Time Loss BuCtrl]]+Table1[[#This Row],[Transition Loss BuCtrl]]+Table1[[#This Row],[RDS(on) Loss BuCtrl]]*(1+RdsonTopTc*Ta-RdsonTopTc*25))/(1-Table1[[#This Row],[RDS(on) Loss BuCtrl]]*RdsonTopTc*ThetaJA_Q1)</f>
        <v>3.3356505891857298</v>
      </c>
      <c r="AL22" s="354">
        <f>CHOOSE(Table1[[#This Row],[Mode Digit]],SQRT((Fsw*(Table1[[#This Row],[t2_Ph_I]]+0))*((Table1[[#This Row],[I_0]]*Table1[[#This Row],[I_1]]+((Table1[[#This Row],[I_0]]-Table1[[#This Row],[I_1]])^2)/3))),0,SQRT((Fsw*(Table1[[#This Row],[t3_Ph_III]]+0))*((Table1[[#This Row],[I_0]]*Table1[[#This Row],[I_2]]+((Table1[[#This Row],[I_0]]-Table1[[#This Row],[I_2]])^2)/3))))</f>
        <v>6.8591642473624752</v>
      </c>
      <c r="AM22" s="354">
        <f>Rdson2*Table1[[#This Row],[Irms BuSync]]^2</f>
        <v>0.19760216352364168</v>
      </c>
      <c r="AN2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2" s="354">
        <f>(Table1[[#This Row],[Deadtime Loss BuSync]]+Table1[[#This Row],[RDS(on) Loss BuSync]]*(1+RdsonBotTc*Ta-RdsonBotTc*25))/(1-Table1[[#This Row],[RDS(on) Loss BuSync]]*RdsonBotTc*ThetaJA_Q2)</f>
        <v>0.81355609896801429</v>
      </c>
      <c r="AP22" s="354">
        <f>CHOOSE(Table1[[#This Row],[Mode Digit]],0,SQRT((Fsw*(Table1[[#This Row],[t1_Ph_II]]+0))*((Table1[[#This Row],[I_0]]*Table1[[#This Row],[I_1]]+((Table1[[#This Row],[I_0]]-Table1[[#This Row],[I_1]])^2)/3))),SQRT((Fsw*(Table1[[#This Row],[t2_Ph_I]]+0))*((Table1[[#This Row],[I_1]]*Table1[[#This Row],[I_2]]+((Table1[[#This Row],[I_1]]-Table1[[#This Row],[I_2]])^2)/3))))</f>
        <v>0</v>
      </c>
      <c r="AQ22" s="354">
        <f>Rdson4*Table1[[#This Row],[Irms BoCtlr]]^2</f>
        <v>0</v>
      </c>
      <c r="AR22" s="354">
        <f>CHOOSE(Table1[[#This Row],[Mode Digit]], 0, (Vout*Table1[[#This Row],[Iin]]/2)*(Fsw)*(Tr_boost+Tf_boost), (Vout*Iout/2)*(Fsw/1)*(Tr_boost+Tf_boost))</f>
        <v>0</v>
      </c>
      <c r="AS22">
        <f>IF(Table1[[#This Row],[Vin]]&gt;Vout, 0, IF(Table1[[#This Row],[Iin]]&gt;Table1[[#This Row],[Ripple Current pk-pk]]/2,0,ABS(Table1[[#This Row],[Iin]]-Table1[[#This Row],[Ripple Current pk-pk]]/2)*Vsd_Q4*Deadtime*Fsw))</f>
        <v>0</v>
      </c>
      <c r="AT22" s="354">
        <f>(Table1[[#This Row],[Dead Time Loss BoCtlr]]+Table1[[#This Row],[Transition Loss BoCtlr]]+Table1[[#This Row],[RDS(on) Loss BoCtlr]]*(1+RdsonTopTc*Ta-RdsonTopTc*25))/(1-Table1[[#This Row],[RDS(on) Loss BoCtlr]]*RdsonTopTc*ThetaJA_Q4)</f>
        <v>0</v>
      </c>
      <c r="AU2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12.032829105858568</v>
      </c>
      <c r="AV22" s="354">
        <f>Rdson3*Table1[[#This Row],[Irms BoSync]]^2</f>
        <v>0.60811370042134794</v>
      </c>
      <c r="AW2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2" s="354">
        <f>(Table1[[#This Row],[Deadtime Loss BoSync]]+Table1[[#This Row],[RDS(on) Loss BoSync]]*(1+RdsonBotTc*Ta-RdsonBotTc*25))/(1-Table1[[#This Row],[RDS(on) Loss BoSync]]*RdsonBotTc*ThetaJA_Q3)</f>
        <v>0.71203298338493093</v>
      </c>
      <c r="AY22" s="354">
        <f>CHOOSE(Table1[[#This Row],[Mode Digit]], Rdson3*Table1[[#This Row],[Irms Lf]]^2, Rdson1*Table1[[#This Row],[Irms Lf]]^2, 0)</f>
        <v>0.60811370042134794</v>
      </c>
      <c r="AZ22" s="354">
        <f>CHOOSE(Table1[[#This Row],[Mode Digit]], 2*Deadtime*Fsw*IF(VfdSky_Q2&gt;0,VfdSky_Q2,0)*Table1[[#This Row],[Iout]], 2*Deadtime*Fsw*IF(VfdSky_Q3&gt;0,VfdSky_Q3,0)*Table1[[#This Row],[Iin]], 2*Deadtime*Fsw*IF(VfdSky_Q2&gt;0,VfdSky_Q2,0)*Table1[[#This Row],[Iout]]+2*Deadtime*Fsw*IF(VfdSky_Q3&gt;0,VfdSky_Q3,0)*Table1[[#This Row],[Iin]])</f>
        <v>0</v>
      </c>
      <c r="BA22" s="354">
        <f>CHOOSE(Table1[[#This Row],[Mode Digit]], IF(QrrSky_Q2&gt;0,QrrSky_Q2,Qrr_Q2)*Fsw*(Table1[[#This Row],[Vin]]-Table1[[#This Row],[Iout]]*Rdson1),0,  IF(QrrSky_Q2&gt;0,QrrSky_Q2,Qrr_Q2)*Fsw*(Table1[[#This Row],[Vin]]-Table1[[#This Row],[Iout]]*Rdson1)+IF(QrrSky_Q3&gt;0,QrrSky_Q3,Qrr_Q3)*Fsw*Vout)</f>
        <v>0.2612352</v>
      </c>
      <c r="BB22" s="354">
        <f>CHOOSE(Table1[[#This Row],[Mode Digit]],0, IF(QrrSky_Q3&gt;0,QrrSky_Q3,Qrr_Q3)*Fsw*Vout,  IF(QrrSky_Q2&gt;0,QrrSky_Q2,Qrr_Q2)*Fsw*(Table1[[#This Row],[Vin]]-Table1[[#This Row],[Iout]]*Rdson1)+IF(QrrSky_Q3&gt;0,QrrSky_Q3,Qrr_Q3)*Fsw*Vout)</f>
        <v>0</v>
      </c>
      <c r="BC22" s="354">
        <f>CHOOSE(Table1[[#This Row],[Mode Digit]], Rs*Table1[[#This Row],[Irms BuSync]]^2, Rs*Table1[[#This Row],[Irms BoCtlr]]^2, Rs*(Table1[[#This Row],[Irms BuSync]]^2+Table1[[#This Row],[Irms BoCtlr]]^2))</f>
        <v>0.11762033543073909</v>
      </c>
      <c r="BD22" s="354">
        <f t="shared" si="1"/>
        <v>1.44</v>
      </c>
      <c r="BE22" s="354">
        <f>IF(Vout&gt;8, Iq*Vout, Iq*Table1[[#This Row],[Vin]])</f>
        <v>4.3799999999999999E-2</v>
      </c>
      <c r="BF22" s="354">
        <f>CHOOSE(Table1[[#This Row],[Mode Digit]], (Qg_Q1+Qg_Q2)*Fsw, (Qg_Q3+Qg_Q4)*Fsw, (Qg_Q1+Qg_Q2+Qg_Q3+Qg_Q4)*Fsw)*IF(Vout&gt;8, Vout, Table1[[#This Row],[Vin]])</f>
        <v>0.47303999999999996</v>
      </c>
      <c r="BG22" s="354">
        <f t="shared" si="2"/>
        <v>0.45605042016806729</v>
      </c>
      <c r="BH22" s="354">
        <f>Table1[[#This Row],[IQ Loss]]+Table1[[#This Row],[Switching Current Loss]]</f>
        <v>0.51683999999999997</v>
      </c>
      <c r="BI2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8.5929511458424219</v>
      </c>
      <c r="BJ22">
        <f>Vout*Table1[[#This Row],[Iout]]</f>
        <v>175.2</v>
      </c>
      <c r="BK22" s="550">
        <f>Table1[[#This Row],[Pout]]/(Table1[[#This Row],[Pout]]+Table1[[#This Row],[Total Loss]])</f>
        <v>0.95324656853121759</v>
      </c>
      <c r="BL2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200.13903535114378</v>
      </c>
      <c r="BM22" s="559">
        <f>IF(Table1[[#This Row],[Vin]]&gt;Vout, Table1[[#This Row],[Total Sync Bu MOSFET Loss]]*ThetaJA_Q2, ThetaJA_Q3*Table1[[#This Row],[Total Sync Bo MOSFET Loss]])</f>
        <v>48.813365938080857</v>
      </c>
      <c r="BN22" s="9"/>
      <c r="BO22" s="4">
        <f>Table1[[#This Row],[EFF, h]]*100</f>
        <v>95.324656853121752</v>
      </c>
      <c r="BP22" s="354">
        <f>Table1[[#This Row],[Total Inductor Loss]]</f>
        <v>1.3285506932047102</v>
      </c>
      <c r="BQ22" s="354">
        <f>Table1[[#This Row],[Total Control Bu MOSFET Loss]]+Table1[[#This Row],[Total Sync Bu MOSFET Loss]]+Table1[[#This Row],[Total Control Bo MOSFET Loss]]+Table1[[#This Row],[Total Sync Bo MOSFET Loss]]+Table1[[#This Row],[Reverse Recovery Loss MOSFET D BUCK]]+Table1[[#This Row],[Reverse Recovery Loss MOSFET D BOOST]]</f>
        <v>5.1224748715386745</v>
      </c>
      <c r="BR22" s="354">
        <f>Table1[[#This Row],[Total Control Bu MOSFET Loss]]+Table1[[#This Row],[Reverse Recovery Loss MOSFET D BUCK]]*0.66</f>
        <v>3.5080658211857298</v>
      </c>
      <c r="BS22" s="354">
        <f>Table1[[#This Row],[Total Sync Bu MOSFET Loss]]+Table1[[#This Row],[Reverse Recovery Loss MOSFET D BUCK]]*0.33</f>
        <v>0.89976371496801433</v>
      </c>
      <c r="BT22" s="354">
        <f xml:space="preserve"> Table1[[#This Row],[Total Control Bo MOSFET Loss]]+Table1[[#This Row],[Reverse Recovery Loss MOSFET D BOOST]]*0.66</f>
        <v>0</v>
      </c>
      <c r="BU22" s="354">
        <f xml:space="preserve"> Table1[[#This Row],[Total Sync Bo MOSFET Loss]]+Table1[[#This Row],[Reverse Recovery Loss MOSFET D BOOST]]*0.33</f>
        <v>0.71203298338493093</v>
      </c>
      <c r="BV22" s="354">
        <f>Table1[[#This Row],[Isense Shunt Loss]]</f>
        <v>0.11762033543073909</v>
      </c>
      <c r="CB22" s="18"/>
      <c r="CC22" s="19"/>
    </row>
    <row r="23" spans="1:92" x14ac:dyDescent="0.2">
      <c r="A23" s="36" t="s">
        <v>89</v>
      </c>
      <c r="B23" s="39">
        <f>RCinEsr*1000</f>
        <v>2</v>
      </c>
      <c r="C23" s="442" t="s">
        <v>638</v>
      </c>
      <c r="D23" s="440" t="s">
        <v>653</v>
      </c>
      <c r="G23">
        <v>14</v>
      </c>
      <c r="H23" s="555">
        <f>VIN_min+(VIN_max-VIN_min)*(Table1[[#This Row],[Step]]/200)</f>
        <v>21.96</v>
      </c>
      <c r="I23" s="4" t="str">
        <f>IF(Mode = 2,IF(Table1[[#This Row],[Vin]]&gt;Vout, "BUCK","BOOST"),IF(Table1[[#This Row],[Vin]]&gt;VIN_BB_to_buck, "BUCK", IF(Table1[[#This Row],[Vin]]&lt;=VIN_boost_to_BB,"BOOST","BUCK-BST")))</f>
        <v>BUCK</v>
      </c>
      <c r="J23">
        <f>IF(Table1[[#This Row],[Mode]]="BOOST",2, IF(Table1[[#This Row],[Mode]]="BUCK", 1,3))</f>
        <v>1</v>
      </c>
      <c r="K23">
        <f t="shared" si="0"/>
        <v>12</v>
      </c>
      <c r="L23" s="4">
        <f>Vout*Table1[[#This Row],[Iout]]/(Table1[[#This Row],[Vin]]*Efficiency)</f>
        <v>8.3980442910555073</v>
      </c>
      <c r="M23" s="711">
        <f>MIN(1/Fsw,CHOOSE(Table1[[#This Row],[Mode Digit]],(Vout+(Rdson2+Rs+Rdcr)*Table1[[#This Row],[Iout]])/(Table1[[#This Row],[Vin]]+(Rs+Rdson2-Rdson1)*Table1[[#This Row],[Iout]])/Fsw,(Vout+(Rdson3+Rdcr)*Table1[[#This Row],[Iin]]-Table1[[#This Row],[Vin]])/(Vout+(Rdson3-Rdson4-Rs)*Table1[[#This Row],[Iin]])/Fsw,t1_Ph_II))</f>
        <v>1.1179323935122025E-6</v>
      </c>
      <c r="N23" s="602">
        <f>CHOOSE(Table1[[#This Row],[Mode Digit]],1/Fsw-Table1[[#This Row],[t1_Ph_II]],1/Fsw-Table1[[#This Row],[t1_Ph_II]],(Vout/Fsw-Table1[[#This Row],[Vin]]*t1_Ph_II)/(Table1[[#This Row],[Vin]]+Vout))</f>
        <v>5.4873427315446414E-7</v>
      </c>
      <c r="O23" s="602">
        <f>1/Fsw-(Table1[[#This Row],[t1_Ph_II]]+Table1[[#This Row],[t2_Ph_I]])</f>
        <v>0</v>
      </c>
      <c r="P2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10.441669996922384</v>
      </c>
      <c r="Q23" s="4">
        <f>CHOOSE(Table1[[#This Row],[Mode Digit]],Table1[[#This Row],[I_0]]+1/Lf*(Table1[[#This Row],[Vin]]-Vout)*Table1[[#This Row],[t1_Ph_II]],Table1[[#This Row],[I_0]]+1/Lf*Table1[[#This Row],[Vin]]*Table1[[#This Row],[t1_Ph_II]],Table1[[#This Row],[I_0]]+(Table1[[#This Row],[Vin]]-Vout)/L*Table1[[#This Row],[t1_Ph_II]])</f>
        <v>13.558330003077616</v>
      </c>
      <c r="R23" s="4">
        <f>CHOOSE(Table1[[#This Row],[Mode Digit]],0,0,Table1[[#This Row],[I_1]]+Table1[[#This Row],[Vin]]/L*Table1[[#This Row],[t2_Ph_I]])</f>
        <v>0</v>
      </c>
      <c r="S23" s="4">
        <f>Fsw*(Table1[[#This Row],[I_0]]*Table1[[#This Row],[t1_Ph_II]]+Table1[[#This Row],[I_1]]*Table1[[#This Row],[t2_Ph_I]]+Table1[[#This Row],[I_2]]*Table1[[#This Row],[t3_Ph_III]])</f>
        <v>11.467800894810692</v>
      </c>
      <c r="T23" s="354">
        <f>MIN(1,CHOOSE(Table1[[#This Row],[Mode Digit]],(Vout+(Rdson2+Rs+Rdcr)*Table1[[#This Row],[Iout]])/(Table1[[#This Row],[Vin]]+(Rs+Rdson2-Rdson1)*Table1[[#This Row],[Iout]]),1,Fsw*Table1[[#This Row],[t2_Ph_I]]+Table1[[#This Row],[t1_Ph_II]]))</f>
        <v>0.67075943610732147</v>
      </c>
      <c r="U23" s="354">
        <f>MIN(1,CHOOSE(Table1[[#This Row],[Mode Digit]],0,(Vout+(Rdson3+Rdcr)*Table1[[#This Row],[Iin]]-Table1[[#This Row],[Vin]])/(Vout+(Rdson3-Rdson4-Rs)*Table1[[#This Row],[Iin]]),Fsw*Table1[[#This Row],[t1_Ph_II]]+Table1[[#This Row],[t3_Ph_III]]))</f>
        <v>0</v>
      </c>
      <c r="V23" s="4">
        <f>MAX(Table1[[#This Row],[I_0]:[I_2]])-MIN(Table1[[#This Row],[I_0]:[I_1]])</f>
        <v>3.1166600061552323</v>
      </c>
      <c r="W2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12.03368040679287</v>
      </c>
      <c r="X23" s="354">
        <f>(Table1[[#This Row],[Irms Lf]]^2*Rdcr*(1+Ltc*Ta-Ltc*25))/(1-Table1[[#This Row],[Irms Lf]]^2*Rdcr*Ltc*ThetaCa)</f>
        <v>0.90039378310581708</v>
      </c>
      <c r="Y23" s="354">
        <f>ABS(7.759*10^-3*Fsw^0.9458*(0.00787*Table1[[#This Row],[Ripple Current pk-pk]])^2.304)</f>
        <v>0.44113084927661728</v>
      </c>
      <c r="Z23" s="354">
        <f>Table1[[#This Row],[DCR    Loss]]+Table1[[#This Row],[Core Loss]]</f>
        <v>1.3415246323824344</v>
      </c>
      <c r="AA23" s="4">
        <f>IF(Table1[[#This Row],[Vin]]&gt;Vout, Table1[[#This Row],[Ripple Current pk-pk]]/SQRT(12), SQRT(Table1[[#This Row],[Duty Cycle BOOST Leg]]/(1-Table1[[#This Row],[Duty Cycle BOOST Leg]]))*SQRT(Table1[[#This Row],[Iout]]^2+(Table1[[#This Row],[Ripple Current pk-pk]]^2)/12))</f>
        <v>0.89970224676313204</v>
      </c>
      <c r="AB23" s="354">
        <f>RCoutEsr*Table1[[#This Row],[Irms Cout]]^2</f>
        <v>4.0473206641531388E-3</v>
      </c>
      <c r="AC23" s="354">
        <f>Table1[[#This Row],[Cout ESR Loss]]</f>
        <v>4.0473206641531388E-3</v>
      </c>
      <c r="AD23" s="354">
        <f>IF(Table1[[#This Row],[Vin]]&gt;Vout, SQRT(Table1[[#This Row],[Duty Cycle BUCK Leg]]*(1-Table1[[#This Row],[Duty Cycle BUCK Leg]]))*SQRT(Table1[[#This Row],[Iout]]^2+(Table1[[#This Row],[Ripple Current pk-pk]]^2)/12), Table1[[#This Row],[Ripple Current pk-pk]]/SQRT(12))</f>
        <v>5.6550771877793045</v>
      </c>
      <c r="AE23" s="354">
        <f>RCinEsr*Table1[[#This Row],[Irms Cin]]^2</f>
        <v>6.3959795999483773E-2</v>
      </c>
      <c r="AF23" s="549">
        <f>Table1[[#This Row],[Cin ESR Loss]]</f>
        <v>6.3959795999483773E-2</v>
      </c>
      <c r="AG2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9.8555727639108248</v>
      </c>
      <c r="AH23" s="354">
        <f>Rdson1*Table1[[#This Row],[Irms BuCtrl]]^2</f>
        <v>0.40795572091991167</v>
      </c>
      <c r="AI23" s="354">
        <f>CHOOSE(Table1[[#This Row],[Mode Digit]], (Table1[[#This Row],[Vin]]*Table1[[#This Row],[Iout]]/2)*(Fsw)*(Tr_buck+Tf_buck), 0, (Table1[[#This Row],[Vin]]*Table1[[#This Row],[Avg IL]]/2)*(Fsw/1)*(Tr_buck+Tf_buck))</f>
        <v>2.6131610167710653</v>
      </c>
      <c r="AJ23">
        <f>IF(Table1[[#This Row],[Vin]]&gt;Vout, IF(Table1[[#This Row],[Iout]]&gt;Table1[[#This Row],[Ripple Current pk-pk]]/2,0,ABS(Table1[[#This Row],[Iout]]-Table1[[#This Row],[Ripple Current pk-pk]]/2)*Vsd_Q1*Deadtime*Fsw),0)</f>
        <v>0</v>
      </c>
      <c r="AK23" s="354">
        <f>(Table1[[#This Row],[Dead Time Loss BuCtrl]]+Table1[[#This Row],[Transition Loss BuCtrl]]+Table1[[#This Row],[RDS(on) Loss BuCtrl]]*(1+RdsonTopTc*Ta-RdsonTopTc*25))/(1-Table1[[#This Row],[RDS(on) Loss BuCtrl]]*RdsonTopTc*ThetaJA_Q1)</f>
        <v>3.3490168807180889</v>
      </c>
      <c r="AL23" s="354">
        <f>CHOOSE(Table1[[#This Row],[Mode Digit]],SQRT((Fsw*(Table1[[#This Row],[t2_Ph_I]]+0))*((Table1[[#This Row],[I_0]]*Table1[[#This Row],[I_1]]+((Table1[[#This Row],[I_0]]-Table1[[#This Row],[I_1]])^2)/3))),0,SQRT((Fsw*(Table1[[#This Row],[t3_Ph_III]]+0))*((Table1[[#This Row],[I_0]]*Table1[[#This Row],[I_2]]+((Table1[[#This Row],[I_0]]-Table1[[#This Row],[I_2]])^2)/3))))</f>
        <v>6.9048642005538206</v>
      </c>
      <c r="AM23" s="354">
        <f>Rdson2*Table1[[#This Row],[Irms BuSync]]^2</f>
        <v>0.20024402843797698</v>
      </c>
      <c r="AN2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3" s="354">
        <f>(Table1[[#This Row],[Deadtime Loss BuSync]]+Table1[[#This Row],[RDS(on) Loss BuSync]]*(1+RdsonBotTc*Ta-RdsonBotTc*25))/(1-Table1[[#This Row],[RDS(on) Loss BuSync]]*RdsonBotTc*ThetaJA_Q2)</f>
        <v>0.81687321289916603</v>
      </c>
      <c r="AP23" s="354">
        <f>CHOOSE(Table1[[#This Row],[Mode Digit]],0,SQRT((Fsw*(Table1[[#This Row],[t1_Ph_II]]+0))*((Table1[[#This Row],[I_0]]*Table1[[#This Row],[I_1]]+((Table1[[#This Row],[I_0]]-Table1[[#This Row],[I_1]])^2)/3))),SQRT((Fsw*(Table1[[#This Row],[t2_Ph_I]]+0))*((Table1[[#This Row],[I_1]]*Table1[[#This Row],[I_2]]+((Table1[[#This Row],[I_1]]-Table1[[#This Row],[I_2]])^2)/3))))</f>
        <v>0</v>
      </c>
      <c r="AQ23" s="354">
        <f>Rdson4*Table1[[#This Row],[Irms BoCtlr]]^2</f>
        <v>0</v>
      </c>
      <c r="AR23" s="354">
        <f>CHOOSE(Table1[[#This Row],[Mode Digit]], 0, (Vout*Table1[[#This Row],[Iin]]/2)*(Fsw)*(Tr_boost+Tf_boost), (Vout*Iout/2)*(Fsw/1)*(Tr_boost+Tf_boost))</f>
        <v>0</v>
      </c>
      <c r="AS23">
        <f>IF(Table1[[#This Row],[Vin]]&gt;Vout, 0, IF(Table1[[#This Row],[Iin]]&gt;Table1[[#This Row],[Ripple Current pk-pk]]/2,0,ABS(Table1[[#This Row],[Iin]]-Table1[[#This Row],[Ripple Current pk-pk]]/2)*Vsd_Q4*Deadtime*Fsw))</f>
        <v>0</v>
      </c>
      <c r="AT23" s="354">
        <f>(Table1[[#This Row],[Dead Time Loss BoCtlr]]+Table1[[#This Row],[Transition Loss BoCtlr]]+Table1[[#This Row],[RDS(on) Loss BoCtlr]]*(1+RdsonTopTc*Ta-RdsonTopTc*25))/(1-Table1[[#This Row],[RDS(on) Loss BoCtlr]]*RdsonTopTc*ThetaJA_Q4)</f>
        <v>0</v>
      </c>
      <c r="AU2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12.03368040679287</v>
      </c>
      <c r="AV23" s="354">
        <f>Rdson3*Table1[[#This Row],[Irms BoSync]]^2</f>
        <v>0.60819974935788867</v>
      </c>
      <c r="AW2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3" s="354">
        <f>(Table1[[#This Row],[Deadtime Loss BoSync]]+Table1[[#This Row],[RDS(on) Loss BoSync]]*(1+RdsonBotTc*Ta-RdsonBotTc*25))/(1-Table1[[#This Row],[RDS(on) Loss BoSync]]*RdsonBotTc*ThetaJA_Q3)</f>
        <v>0.7121509574806143</v>
      </c>
      <c r="AY23" s="354">
        <f>CHOOSE(Table1[[#This Row],[Mode Digit]], Rdson3*Table1[[#This Row],[Irms Lf]]^2, Rdson1*Table1[[#This Row],[Irms Lf]]^2, 0)</f>
        <v>0.60819974935788867</v>
      </c>
      <c r="AZ23" s="354">
        <f>CHOOSE(Table1[[#This Row],[Mode Digit]], 2*Deadtime*Fsw*IF(VfdSky_Q2&gt;0,VfdSky_Q2,0)*Table1[[#This Row],[Iout]], 2*Deadtime*Fsw*IF(VfdSky_Q3&gt;0,VfdSky_Q3,0)*Table1[[#This Row],[Iin]], 2*Deadtime*Fsw*IF(VfdSky_Q2&gt;0,VfdSky_Q2,0)*Table1[[#This Row],[Iout]]+2*Deadtime*Fsw*IF(VfdSky_Q3&gt;0,VfdSky_Q3,0)*Table1[[#This Row],[Iin]])</f>
        <v>0</v>
      </c>
      <c r="BA23" s="354">
        <f>CHOOSE(Table1[[#This Row],[Mode Digit]], IF(QrrSky_Q2&gt;0,QrrSky_Q2,Qrr_Q2)*Fsw*(Table1[[#This Row],[Vin]]-Table1[[#This Row],[Iout]]*Rdson1),0,  IF(QrrSky_Q2&gt;0,QrrSky_Q2,Qrr_Q2)*Fsw*(Table1[[#This Row],[Vin]]-Table1[[#This Row],[Iout]]*Rdson1)+IF(QrrSky_Q3&gt;0,QrrSky_Q3,Qrr_Q3)*Fsw*Vout)</f>
        <v>0.26291520000000002</v>
      </c>
      <c r="BB23" s="354">
        <f>CHOOSE(Table1[[#This Row],[Mode Digit]],0, IF(QrrSky_Q3&gt;0,QrrSky_Q3,Qrr_Q3)*Fsw*Vout,  IF(QrrSky_Q2&gt;0,QrrSky_Q2,Qrr_Q2)*Fsw*(Table1[[#This Row],[Vin]]-Table1[[#This Row],[Iout]]*Rdson1)+IF(QrrSky_Q3&gt;0,QrrSky_Q3,Qrr_Q3)*Fsw*Vout)</f>
        <v>0</v>
      </c>
      <c r="BC23" s="354">
        <f>CHOOSE(Table1[[#This Row],[Mode Digit]], Rs*Table1[[#This Row],[Irms BuSync]]^2, Rs*Table1[[#This Row],[Irms BoCtlr]]^2, Rs*(Table1[[#This Row],[Irms BuSync]]^2+Table1[[#This Row],[Irms BoCtlr]]^2))</f>
        <v>0.11919287407022439</v>
      </c>
      <c r="BD23" s="354">
        <f t="shared" si="1"/>
        <v>1.44</v>
      </c>
      <c r="BE23" s="354">
        <f>IF(Vout&gt;8, Iq*Vout, Iq*Table1[[#This Row],[Vin]])</f>
        <v>4.3799999999999999E-2</v>
      </c>
      <c r="BF23" s="354">
        <f>CHOOSE(Table1[[#This Row],[Mode Digit]], (Qg_Q1+Qg_Q2)*Fsw, (Qg_Q3+Qg_Q4)*Fsw, (Qg_Q1+Qg_Q2+Qg_Q3+Qg_Q4)*Fsw)*IF(Vout&gt;8, Vout, Table1[[#This Row],[Vin]])</f>
        <v>0.47303999999999996</v>
      </c>
      <c r="BG23" s="354">
        <f t="shared" si="2"/>
        <v>0.45605042016806729</v>
      </c>
      <c r="BH23" s="354">
        <f>Table1[[#This Row],[IQ Loss]]+Table1[[#This Row],[Switching Current Loss]]</f>
        <v>0.51683999999999997</v>
      </c>
      <c r="BI2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8.6265208742141652</v>
      </c>
      <c r="BJ23">
        <f>Vout*Table1[[#This Row],[Iout]]</f>
        <v>175.2</v>
      </c>
      <c r="BK23" s="550">
        <f>Table1[[#This Row],[Pout]]/(Table1[[#This Row],[Pout]]+Table1[[#This Row],[Total Loss]])</f>
        <v>0.9530724901217219</v>
      </c>
      <c r="BL2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200.94101284308533</v>
      </c>
      <c r="BM23" s="559">
        <f>IF(Table1[[#This Row],[Vin]]&gt;Vout, Table1[[#This Row],[Total Sync Bu MOSFET Loss]]*ThetaJA_Q2, ThetaJA_Q3*Table1[[#This Row],[Total Sync Bo MOSFET Loss]])</f>
        <v>49.012392773949962</v>
      </c>
      <c r="BN23" s="9"/>
      <c r="BO23" s="4">
        <f>Table1[[#This Row],[EFF, h]]*100</f>
        <v>95.307249012172193</v>
      </c>
      <c r="BP23" s="354">
        <f>Table1[[#This Row],[Total Inductor Loss]]</f>
        <v>1.3415246323824344</v>
      </c>
      <c r="BQ23" s="354">
        <f>Table1[[#This Row],[Total Control Bu MOSFET Loss]]+Table1[[#This Row],[Total Sync Bu MOSFET Loss]]+Table1[[#This Row],[Total Control Bo MOSFET Loss]]+Table1[[#This Row],[Total Sync Bo MOSFET Loss]]+Table1[[#This Row],[Reverse Recovery Loss MOSFET D BUCK]]+Table1[[#This Row],[Reverse Recovery Loss MOSFET D BOOST]]</f>
        <v>5.1409562510978697</v>
      </c>
      <c r="BR23" s="354">
        <f>Table1[[#This Row],[Total Control Bu MOSFET Loss]]+Table1[[#This Row],[Reverse Recovery Loss MOSFET D BUCK]]*0.66</f>
        <v>3.5225409127180889</v>
      </c>
      <c r="BS23" s="354">
        <f>Table1[[#This Row],[Total Sync Bu MOSFET Loss]]+Table1[[#This Row],[Reverse Recovery Loss MOSFET D BUCK]]*0.33</f>
        <v>0.90363522889916603</v>
      </c>
      <c r="BT23" s="354">
        <f xml:space="preserve"> Table1[[#This Row],[Total Control Bo MOSFET Loss]]+Table1[[#This Row],[Reverse Recovery Loss MOSFET D BOOST]]*0.66</f>
        <v>0</v>
      </c>
      <c r="BU23" s="354">
        <f xml:space="preserve"> Table1[[#This Row],[Total Sync Bo MOSFET Loss]]+Table1[[#This Row],[Reverse Recovery Loss MOSFET D BOOST]]*0.33</f>
        <v>0.7121509574806143</v>
      </c>
      <c r="BV23" s="354">
        <f>Table1[[#This Row],[Isense Shunt Loss]]</f>
        <v>0.11919287407022439</v>
      </c>
      <c r="CB23" s="18"/>
      <c r="CC23" s="19"/>
    </row>
    <row r="24" spans="1:92" x14ac:dyDescent="0.2">
      <c r="A24" s="35" t="s">
        <v>27</v>
      </c>
      <c r="B24" s="39">
        <f>Cout*1000000</f>
        <v>100</v>
      </c>
      <c r="C24" s="441" t="s">
        <v>639</v>
      </c>
      <c r="D24" s="440" t="s">
        <v>656</v>
      </c>
      <c r="G24">
        <v>15</v>
      </c>
      <c r="H24" s="555">
        <f>VIN_min+(VIN_max-VIN_min)*(Table1[[#This Row],[Step]]/200)</f>
        <v>22.1</v>
      </c>
      <c r="I24" s="4" t="str">
        <f>IF(Mode = 2,IF(Table1[[#This Row],[Vin]]&gt;Vout, "BUCK","BOOST"),IF(Table1[[#This Row],[Vin]]&gt;VIN_BB_to_buck, "BUCK", IF(Table1[[#This Row],[Vin]]&lt;=VIN_boost_to_BB,"BOOST","BUCK-BST")))</f>
        <v>BUCK</v>
      </c>
      <c r="J24">
        <f>IF(Table1[[#This Row],[Mode]]="BOOST",2, IF(Table1[[#This Row],[Mode]]="BUCK", 1,3))</f>
        <v>1</v>
      </c>
      <c r="K24">
        <f t="shared" si="0"/>
        <v>12</v>
      </c>
      <c r="L24" s="4">
        <f>Vout*Table1[[#This Row],[Iout]]/(Table1[[#This Row],[Vin]]*Efficiency)</f>
        <v>8.3448440104786847</v>
      </c>
      <c r="M24" s="711">
        <f>MIN(1/Fsw,CHOOSE(Table1[[#This Row],[Mode Digit]],(Vout+(Rdson2+Rs+Rdcr)*Table1[[#This Row],[Iout]])/(Table1[[#This Row],[Vin]]+(Rs+Rdson2-Rdson1)*Table1[[#This Row],[Iout]])/Fsw,(Vout+(Rdson3+Rdcr)*Table1[[#This Row],[Iin]]-Table1[[#This Row],[Vin]])/(Vout+(Rdson3-Rdson4-Rs)*Table1[[#This Row],[Iin]])/Fsw,t1_Ph_II))</f>
        <v>1.110860069287543E-6</v>
      </c>
      <c r="N24" s="602">
        <f>CHOOSE(Table1[[#This Row],[Mode Digit]],1/Fsw-Table1[[#This Row],[t1_Ph_II]],1/Fsw-Table1[[#This Row],[t1_Ph_II]],(Vout/Fsw-Table1[[#This Row],[Vin]]*t1_Ph_II)/(Table1[[#This Row],[Vin]]+Vout))</f>
        <v>5.5580659737912362E-7</v>
      </c>
      <c r="O24" s="602">
        <f>1/Fsw-(Table1[[#This Row],[t1_Ph_II]]+Table1[[#This Row],[t2_Ph_I]])</f>
        <v>0</v>
      </c>
      <c r="P2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10.422073765216558</v>
      </c>
      <c r="Q24" s="4">
        <f>CHOOSE(Table1[[#This Row],[Mode Digit]],Table1[[#This Row],[I_0]]+1/Lf*(Table1[[#This Row],[Vin]]-Vout)*Table1[[#This Row],[t1_Ph_II]],Table1[[#This Row],[I_0]]+1/Lf*Table1[[#This Row],[Vin]]*Table1[[#This Row],[t1_Ph_II]],Table1[[#This Row],[I_0]]+(Table1[[#This Row],[Vin]]-Vout)/L*Table1[[#This Row],[t1_Ph_II]])</f>
        <v>13.577926234783442</v>
      </c>
      <c r="R24" s="4">
        <f>CHOOSE(Table1[[#This Row],[Mode Digit]],0,0,Table1[[#This Row],[I_1]]+Table1[[#This Row],[Vin]]/L*Table1[[#This Row],[t2_Ph_I]])</f>
        <v>0</v>
      </c>
      <c r="S24" s="4">
        <f>Fsw*(Table1[[#This Row],[I_0]]*Table1[[#This Row],[t1_Ph_II]]+Table1[[#This Row],[I_1]]*Table1[[#This Row],[t2_Ph_I]]+Table1[[#This Row],[I_2]]*Table1[[#This Row],[t3_Ph_III]])</f>
        <v>11.474499938980843</v>
      </c>
      <c r="T24" s="354">
        <f>MIN(1,CHOOSE(Table1[[#This Row],[Mode Digit]],(Vout+(Rdson2+Rs+Rdcr)*Table1[[#This Row],[Iout]])/(Table1[[#This Row],[Vin]]+(Rs+Rdson2-Rdson1)*Table1[[#This Row],[Iout]]),1,Fsw*Table1[[#This Row],[t2_Ph_I]]+Table1[[#This Row],[t1_Ph_II]]))</f>
        <v>0.66651604157252586</v>
      </c>
      <c r="U24" s="354">
        <f>MIN(1,CHOOSE(Table1[[#This Row],[Mode Digit]],0,(Vout+(Rdson3+Rdcr)*Table1[[#This Row],[Iin]]-Table1[[#This Row],[Vin]])/(Vout+(Rdson3-Rdson4-Rs)*Table1[[#This Row],[Iin]]),Fsw*Table1[[#This Row],[t1_Ph_II]]+Table1[[#This Row],[t3_Ph_III]]))</f>
        <v>0</v>
      </c>
      <c r="V24" s="4">
        <f>MAX(Table1[[#This Row],[I_0]:[I_2]])-MIN(Table1[[#This Row],[I_0]:[I_1]])</f>
        <v>3.1558524695668844</v>
      </c>
      <c r="W2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12.034531582110121</v>
      </c>
      <c r="X24" s="354">
        <f>(Table1[[#This Row],[Irms Lf]]^2*Rdcr*(1+Ltc*Ta-Ltc*25))/(1-Table1[[#This Row],[Irms Lf]]^2*Rdcr*Ltc*ThetaCa)</f>
        <v>0.90053033897279733</v>
      </c>
      <c r="Y24" s="354">
        <f>ABS(7.759*10^-3*Fsw^0.9458*(0.00787*Table1[[#This Row],[Ripple Current pk-pk]])^2.304)</f>
        <v>0.45401672059610781</v>
      </c>
      <c r="Z24" s="354">
        <f>Table1[[#This Row],[DCR    Loss]]+Table1[[#This Row],[Core Loss]]</f>
        <v>1.3545470595689051</v>
      </c>
      <c r="AA24" s="4">
        <f>IF(Table1[[#This Row],[Vin]]&gt;Vout, Table1[[#This Row],[Ripple Current pk-pk]]/SQRT(12), SQRT(Table1[[#This Row],[Duty Cycle BOOST Leg]]/(1-Table1[[#This Row],[Duty Cycle BOOST Leg]]))*SQRT(Table1[[#This Row],[Iout]]^2+(Table1[[#This Row],[Ripple Current pk-pk]]^2)/12))</f>
        <v>0.91101613641359303</v>
      </c>
      <c r="AB24" s="354">
        <f>RCoutEsr*Table1[[#This Row],[Irms Cout]]^2</f>
        <v>4.1497520040297518E-3</v>
      </c>
      <c r="AC24" s="354">
        <f>Table1[[#This Row],[Cout ESR Loss]]</f>
        <v>4.1497520040297518E-3</v>
      </c>
      <c r="AD24" s="354">
        <f>IF(Table1[[#This Row],[Vin]]&gt;Vout, SQRT(Table1[[#This Row],[Duty Cycle BUCK Leg]]*(1-Table1[[#This Row],[Duty Cycle BUCK Leg]]))*SQRT(Table1[[#This Row],[Iout]]^2+(Table1[[#This Row],[Ripple Current pk-pk]]^2)/12), Table1[[#This Row],[Ripple Current pk-pk]]/SQRT(12))</f>
        <v>5.6737731547429986</v>
      </c>
      <c r="AE24" s="354">
        <f>RCinEsr*Table1[[#This Row],[Irms Cin]]^2</f>
        <v>6.4383403622964644E-2</v>
      </c>
      <c r="AF24" s="549">
        <f>Table1[[#This Row],[Cin ESR Loss]]</f>
        <v>6.4383403622964644E-2</v>
      </c>
      <c r="AG2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9.8250437781360773</v>
      </c>
      <c r="AH24" s="354">
        <f>Rdson1*Table1[[#This Row],[Irms BuCtrl]]^2</f>
        <v>0.40543223801761991</v>
      </c>
      <c r="AI24" s="354">
        <f>CHOOSE(Table1[[#This Row],[Mode Digit]], (Table1[[#This Row],[Vin]]*Table1[[#This Row],[Iout]]/2)*(Fsw)*(Tr_buck+Tf_buck), 0, (Table1[[#This Row],[Vin]]*Table1[[#This Row],[Avg IL]]/2)*(Fsw/1)*(Tr_buck+Tf_buck))</f>
        <v>2.6298205132349981</v>
      </c>
      <c r="AJ24">
        <f>IF(Table1[[#This Row],[Vin]]&gt;Vout, IF(Table1[[#This Row],[Iout]]&gt;Table1[[#This Row],[Ripple Current pk-pk]]/2,0,ABS(Table1[[#This Row],[Iout]]-Table1[[#This Row],[Ripple Current pk-pk]]/2)*Vsd_Q1*Deadtime*Fsw),0)</f>
        <v>0</v>
      </c>
      <c r="AK24" s="354">
        <f>(Table1[[#This Row],[Dead Time Loss BuCtrl]]+Table1[[#This Row],[Transition Loss BuCtrl]]+Table1[[#This Row],[RDS(on) Loss BuCtrl]]*(1+RdsonTopTc*Ta-RdsonTopTc*25))/(1-Table1[[#This Row],[RDS(on) Loss BuCtrl]]*RdsonTopTc*ThetaJA_Q1)</f>
        <v>3.3624297297775882</v>
      </c>
      <c r="AL24" s="354">
        <f>CHOOSE(Table1[[#This Row],[Mode Digit]],SQRT((Fsw*(Table1[[#This Row],[t2_Ph_I]]+0))*((Table1[[#This Row],[I_0]]*Table1[[#This Row],[I_1]]+((Table1[[#This Row],[I_0]]-Table1[[#This Row],[I_1]])^2)/3))),0,SQRT((Fsw*(Table1[[#This Row],[t3_Ph_III]]+0))*((Table1[[#This Row],[I_0]]*Table1[[#This Row],[I_2]]+((Table1[[#This Row],[I_0]]-Table1[[#This Row],[I_2]])^2)/3))))</f>
        <v>6.9497097175720599</v>
      </c>
      <c r="AM24" s="354">
        <f>Rdson2*Table1[[#This Row],[Irms BuSync]]^2</f>
        <v>0.20285355366576521</v>
      </c>
      <c r="AN2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4" s="354">
        <f>(Table1[[#This Row],[Deadtime Loss BuSync]]+Table1[[#This Row],[RDS(on) Loss BuSync]]*(1+RdsonBotTc*Ta-RdsonBotTc*25))/(1-Table1[[#This Row],[RDS(on) Loss BuSync]]*RdsonBotTc*ThetaJA_Q2)</f>
        <v>0.82015406208874098</v>
      </c>
      <c r="AP24" s="354">
        <f>CHOOSE(Table1[[#This Row],[Mode Digit]],0,SQRT((Fsw*(Table1[[#This Row],[t1_Ph_II]]+0))*((Table1[[#This Row],[I_0]]*Table1[[#This Row],[I_1]]+((Table1[[#This Row],[I_0]]-Table1[[#This Row],[I_1]])^2)/3))),SQRT((Fsw*(Table1[[#This Row],[t2_Ph_I]]+0))*((Table1[[#This Row],[I_1]]*Table1[[#This Row],[I_2]]+((Table1[[#This Row],[I_1]]-Table1[[#This Row],[I_2]])^2)/3))))</f>
        <v>0</v>
      </c>
      <c r="AQ24" s="354">
        <f>Rdson4*Table1[[#This Row],[Irms BoCtlr]]^2</f>
        <v>0</v>
      </c>
      <c r="AR24" s="354">
        <f>CHOOSE(Table1[[#This Row],[Mode Digit]], 0, (Vout*Table1[[#This Row],[Iin]]/2)*(Fsw)*(Tr_boost+Tf_boost), (Vout*Iout/2)*(Fsw/1)*(Tr_boost+Tf_boost))</f>
        <v>0</v>
      </c>
      <c r="AS24">
        <f>IF(Table1[[#This Row],[Vin]]&gt;Vout, 0, IF(Table1[[#This Row],[Iin]]&gt;Table1[[#This Row],[Ripple Current pk-pk]]/2,0,ABS(Table1[[#This Row],[Iin]]-Table1[[#This Row],[Ripple Current pk-pk]]/2)*Vsd_Q4*Deadtime*Fsw))</f>
        <v>0</v>
      </c>
      <c r="AT24" s="354">
        <f>(Table1[[#This Row],[Dead Time Loss BoCtlr]]+Table1[[#This Row],[Transition Loss BoCtlr]]+Table1[[#This Row],[RDS(on) Loss BoCtlr]]*(1+RdsonTopTc*Ta-RdsonTopTc*25))/(1-Table1[[#This Row],[RDS(on) Loss BoCtlr]]*RdsonTopTc*ThetaJA_Q4)</f>
        <v>0</v>
      </c>
      <c r="AU2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12.034531582110121</v>
      </c>
      <c r="AV24" s="354">
        <f>Rdson3*Table1[[#This Row],[Irms BoSync]]^2</f>
        <v>0.60828579168338504</v>
      </c>
      <c r="AW2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4" s="354">
        <f>(Table1[[#This Row],[Deadtime Loss BoSync]]+Table1[[#This Row],[RDS(on) Loss BoSync]]*(1+RdsonBotTc*Ta-RdsonBotTc*25))/(1-Table1[[#This Row],[RDS(on) Loss BoSync]]*RdsonBotTc*ThetaJA_Q3)</f>
        <v>0.71226892821753163</v>
      </c>
      <c r="AY24" s="354">
        <f>CHOOSE(Table1[[#This Row],[Mode Digit]], Rdson3*Table1[[#This Row],[Irms Lf]]^2, Rdson1*Table1[[#This Row],[Irms Lf]]^2, 0)</f>
        <v>0.60828579168338504</v>
      </c>
      <c r="AZ24" s="354">
        <f>CHOOSE(Table1[[#This Row],[Mode Digit]], 2*Deadtime*Fsw*IF(VfdSky_Q2&gt;0,VfdSky_Q2,0)*Table1[[#This Row],[Iout]], 2*Deadtime*Fsw*IF(VfdSky_Q3&gt;0,VfdSky_Q3,0)*Table1[[#This Row],[Iin]], 2*Deadtime*Fsw*IF(VfdSky_Q2&gt;0,VfdSky_Q2,0)*Table1[[#This Row],[Iout]]+2*Deadtime*Fsw*IF(VfdSky_Q3&gt;0,VfdSky_Q3,0)*Table1[[#This Row],[Iin]])</f>
        <v>0</v>
      </c>
      <c r="BA24" s="354">
        <f>CHOOSE(Table1[[#This Row],[Mode Digit]], IF(QrrSky_Q2&gt;0,QrrSky_Q2,Qrr_Q2)*Fsw*(Table1[[#This Row],[Vin]]-Table1[[#This Row],[Iout]]*Rdson1),0,  IF(QrrSky_Q2&gt;0,QrrSky_Q2,Qrr_Q2)*Fsw*(Table1[[#This Row],[Vin]]-Table1[[#This Row],[Iout]]*Rdson1)+IF(QrrSky_Q3&gt;0,QrrSky_Q3,Qrr_Q3)*Fsw*Vout)</f>
        <v>0.26459520000000003</v>
      </c>
      <c r="BB24" s="354">
        <f>CHOOSE(Table1[[#This Row],[Mode Digit]],0, IF(QrrSky_Q3&gt;0,QrrSky_Q3,Qrr_Q3)*Fsw*Vout,  IF(QrrSky_Q2&gt;0,QrrSky_Q2,Qrr_Q2)*Fsw*(Table1[[#This Row],[Vin]]-Table1[[#This Row],[Iout]]*Rdson1)+IF(QrrSky_Q3&gt;0,QrrSky_Q3,Qrr_Q3)*Fsw*Vout)</f>
        <v>0</v>
      </c>
      <c r="BC24" s="354">
        <f>CHOOSE(Table1[[#This Row],[Mode Digit]], Rs*Table1[[#This Row],[Irms BuSync]]^2, Rs*Table1[[#This Row],[Irms BoCtlr]]^2, Rs*(Table1[[#This Row],[Irms BuSync]]^2+Table1[[#This Row],[Irms BoCtlr]]^2))</f>
        <v>0.1207461628962888</v>
      </c>
      <c r="BD24" s="354">
        <f t="shared" si="1"/>
        <v>1.44</v>
      </c>
      <c r="BE24" s="354">
        <f>IF(Vout&gt;8, Iq*Vout, Iq*Table1[[#This Row],[Vin]])</f>
        <v>4.3799999999999999E-2</v>
      </c>
      <c r="BF24" s="354">
        <f>CHOOSE(Table1[[#This Row],[Mode Digit]], (Qg_Q1+Qg_Q2)*Fsw, (Qg_Q3+Qg_Q4)*Fsw, (Qg_Q1+Qg_Q2+Qg_Q3+Qg_Q4)*Fsw)*IF(Vout&gt;8, Vout, Table1[[#This Row],[Vin]])</f>
        <v>0.47303999999999996</v>
      </c>
      <c r="BG24" s="354">
        <f t="shared" si="2"/>
        <v>0.45605042016806729</v>
      </c>
      <c r="BH24" s="354">
        <f>Table1[[#This Row],[IQ Loss]]+Table1[[#This Row],[Switching Current Loss]]</f>
        <v>0.51683999999999997</v>
      </c>
      <c r="BI2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8.6601142981760493</v>
      </c>
      <c r="BJ24">
        <f>Vout*Table1[[#This Row],[Iout]]</f>
        <v>175.2</v>
      </c>
      <c r="BK24" s="550">
        <f>Table1[[#This Row],[Pout]]/(Table1[[#This Row],[Pout]]+Table1[[#This Row],[Total Loss]])</f>
        <v>0.95289835247175225</v>
      </c>
      <c r="BL2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201.74578378665529</v>
      </c>
      <c r="BM24" s="559">
        <f>IF(Table1[[#This Row],[Vin]]&gt;Vout, Table1[[#This Row],[Total Sync Bu MOSFET Loss]]*ThetaJA_Q2, ThetaJA_Q3*Table1[[#This Row],[Total Sync Bo MOSFET Loss]])</f>
        <v>49.209243725324455</v>
      </c>
      <c r="BN24" s="9"/>
      <c r="BO24" s="4">
        <f>Table1[[#This Row],[EFF, h]]*100</f>
        <v>95.289835247175219</v>
      </c>
      <c r="BP24" s="354">
        <f>Table1[[#This Row],[Total Inductor Loss]]</f>
        <v>1.3545470595689051</v>
      </c>
      <c r="BQ24" s="354">
        <f>Table1[[#This Row],[Total Control Bu MOSFET Loss]]+Table1[[#This Row],[Total Sync Bu MOSFET Loss]]+Table1[[#This Row],[Total Control Bo MOSFET Loss]]+Table1[[#This Row],[Total Sync Bo MOSFET Loss]]+Table1[[#This Row],[Reverse Recovery Loss MOSFET D BUCK]]+Table1[[#This Row],[Reverse Recovery Loss MOSFET D BOOST]]</f>
        <v>5.1594479200838617</v>
      </c>
      <c r="BR24" s="354">
        <f>Table1[[#This Row],[Total Control Bu MOSFET Loss]]+Table1[[#This Row],[Reverse Recovery Loss MOSFET D BUCK]]*0.66</f>
        <v>3.5370625617775882</v>
      </c>
      <c r="BS24" s="354">
        <f>Table1[[#This Row],[Total Sync Bu MOSFET Loss]]+Table1[[#This Row],[Reverse Recovery Loss MOSFET D BUCK]]*0.33</f>
        <v>0.90747047808874104</v>
      </c>
      <c r="BT24" s="354">
        <f xml:space="preserve"> Table1[[#This Row],[Total Control Bo MOSFET Loss]]+Table1[[#This Row],[Reverse Recovery Loss MOSFET D BOOST]]*0.66</f>
        <v>0</v>
      </c>
      <c r="BU24" s="354">
        <f xml:space="preserve"> Table1[[#This Row],[Total Sync Bo MOSFET Loss]]+Table1[[#This Row],[Reverse Recovery Loss MOSFET D BOOST]]*0.33</f>
        <v>0.71226892821753163</v>
      </c>
      <c r="BV24" s="354">
        <f>Table1[[#This Row],[Isense Shunt Loss]]</f>
        <v>0.1207461628962888</v>
      </c>
      <c r="CB24" s="18"/>
      <c r="CC24" s="19"/>
    </row>
    <row r="25" spans="1:92" x14ac:dyDescent="0.2">
      <c r="A25" s="35" t="s">
        <v>88</v>
      </c>
      <c r="B25" s="40">
        <f>CoutEsr*1000</f>
        <v>5</v>
      </c>
      <c r="C25" s="442" t="s">
        <v>638</v>
      </c>
      <c r="D25" s="440" t="s">
        <v>655</v>
      </c>
      <c r="G25">
        <v>16</v>
      </c>
      <c r="H25" s="555">
        <f>VIN_min+(VIN_max-VIN_min)*(Table1[[#This Row],[Step]]/200)</f>
        <v>22.240000000000002</v>
      </c>
      <c r="I25" s="4" t="str">
        <f>IF(Mode = 2,IF(Table1[[#This Row],[Vin]]&gt;Vout, "BUCK","BOOST"),IF(Table1[[#This Row],[Vin]]&gt;VIN_BB_to_buck, "BUCK", IF(Table1[[#This Row],[Vin]]&lt;=VIN_boost_to_BB,"BOOST","BUCK-BST")))</f>
        <v>BUCK</v>
      </c>
      <c r="J25">
        <f>IF(Table1[[#This Row],[Mode]]="BOOST",2, IF(Table1[[#This Row],[Mode]]="BUCK", 1,3))</f>
        <v>1</v>
      </c>
      <c r="K25">
        <f t="shared" si="0"/>
        <v>12</v>
      </c>
      <c r="L25" s="4">
        <f>Vout*Table1[[#This Row],[Iout]]/(Table1[[#This Row],[Vin]]*Efficiency)</f>
        <v>8.2923135176069671</v>
      </c>
      <c r="M25" s="711">
        <f>MIN(1/Fsw,CHOOSE(Table1[[#This Row],[Mode Digit]],(Vout+(Rdson2+Rs+Rdcr)*Table1[[#This Row],[Iout]])/(Table1[[#This Row],[Vin]]+(Rs+Rdson2-Rdson1)*Table1[[#This Row],[Iout]])/Fsw,(Vout+(Rdson3+Rdcr)*Table1[[#This Row],[Iin]]-Table1[[#This Row],[Vin]])/(Vout+(Rdson3-Rdson4-Rs)*Table1[[#This Row],[Iin]])/Fsw,t1_Ph_II))</f>
        <v>1.1038766651698846E-6</v>
      </c>
      <c r="N25" s="602">
        <f>CHOOSE(Table1[[#This Row],[Mode Digit]],1/Fsw-Table1[[#This Row],[t1_Ph_II]],1/Fsw-Table1[[#This Row],[t1_Ph_II]],(Vout/Fsw-Table1[[#This Row],[Vin]]*t1_Ph_II)/(Table1[[#This Row],[Vin]]+Vout))</f>
        <v>5.6279000149678205E-7</v>
      </c>
      <c r="O25" s="602">
        <f>1/Fsw-(Table1[[#This Row],[t1_Ph_II]]+Table1[[#This Row],[t2_Ph_I]])</f>
        <v>0</v>
      </c>
      <c r="P2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10.402723916307211</v>
      </c>
      <c r="Q25" s="4">
        <f>CHOOSE(Table1[[#This Row],[Mode Digit]],Table1[[#This Row],[I_0]]+1/Lf*(Table1[[#This Row],[Vin]]-Vout)*Table1[[#This Row],[t1_Ph_II]],Table1[[#This Row],[I_0]]+1/Lf*Table1[[#This Row],[Vin]]*Table1[[#This Row],[t1_Ph_II]],Table1[[#This Row],[I_0]]+(Table1[[#This Row],[Vin]]-Vout)/L*Table1[[#This Row],[t1_Ph_II]])</f>
        <v>13.597276083692787</v>
      </c>
      <c r="R25" s="4">
        <f>CHOOSE(Table1[[#This Row],[Mode Digit]],0,0,Table1[[#This Row],[I_1]]+Table1[[#This Row],[Vin]]/L*Table1[[#This Row],[t2_Ph_I]])</f>
        <v>0</v>
      </c>
      <c r="S25" s="4">
        <f>Fsw*(Table1[[#This Row],[I_0]]*Table1[[#This Row],[t1_Ph_II]]+Table1[[#This Row],[I_1]]*Table1[[#This Row],[t2_Ph_I]]+Table1[[#This Row],[I_2]]*Table1[[#This Row],[t3_Ph_III]])</f>
        <v>11.481441127745898</v>
      </c>
      <c r="T25" s="354">
        <f>MIN(1,CHOOSE(Table1[[#This Row],[Mode Digit]],(Vout+(Rdson2+Rs+Rdcr)*Table1[[#This Row],[Iout]])/(Table1[[#This Row],[Vin]]+(Rs+Rdson2-Rdson1)*Table1[[#This Row],[Iout]]),1,Fsw*Table1[[#This Row],[t2_Ph_I]]+Table1[[#This Row],[t1_Ph_II]]))</f>
        <v>0.6623259991019308</v>
      </c>
      <c r="U25" s="354">
        <f>MIN(1,CHOOSE(Table1[[#This Row],[Mode Digit]],0,(Vout+(Rdson3+Rdcr)*Table1[[#This Row],[Iin]]-Table1[[#This Row],[Vin]])/(Vout+(Rdson3-Rdson4-Rs)*Table1[[#This Row],[Iin]]),Fsw*Table1[[#This Row],[t1_Ph_II]]+Table1[[#This Row],[t3_Ph_III]]))</f>
        <v>0</v>
      </c>
      <c r="V25" s="4">
        <f>MAX(Table1[[#This Row],[I_0]:[I_2]])-MIN(Table1[[#This Row],[I_0]:[I_1]])</f>
        <v>3.1945521673855755</v>
      </c>
      <c r="W2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12.035382432471584</v>
      </c>
      <c r="X25" s="354">
        <f>(Table1[[#This Row],[Irms Lf]]^2*Rdcr*(1+Ltc*Ta-Ltc*25))/(1-Table1[[#This Row],[Irms Lf]]^2*Rdcr*Ltc*ThetaCa)</f>
        <v>0.90066685514138678</v>
      </c>
      <c r="Y25" s="354">
        <f>ABS(7.759*10^-3*Fsw^0.9458*(0.00787*Table1[[#This Row],[Ripple Current pk-pk]])^2.304)</f>
        <v>0.46694700304263459</v>
      </c>
      <c r="Z25" s="354">
        <f>Table1[[#This Row],[DCR    Loss]]+Table1[[#This Row],[Core Loss]]</f>
        <v>1.3676138581840214</v>
      </c>
      <c r="AA25" s="4">
        <f>IF(Table1[[#This Row],[Vin]]&gt;Vout, Table1[[#This Row],[Ripple Current pk-pk]]/SQRT(12), SQRT(Table1[[#This Row],[Duty Cycle BOOST Leg]]/(1-Table1[[#This Row],[Duty Cycle BOOST Leg]]))*SQRT(Table1[[#This Row],[Iout]]^2+(Table1[[#This Row],[Ripple Current pk-pk]]^2)/12))</f>
        <v>0.92218777689018228</v>
      </c>
      <c r="AB25" s="354">
        <f>RCoutEsr*Table1[[#This Row],[Irms Cout]]^2</f>
        <v>4.2521514792282838E-3</v>
      </c>
      <c r="AC25" s="354">
        <f>Table1[[#This Row],[Cout ESR Loss]]</f>
        <v>4.2521514792282838E-3</v>
      </c>
      <c r="AD25" s="354">
        <f>IF(Table1[[#This Row],[Vin]]&gt;Vout, SQRT(Table1[[#This Row],[Duty Cycle BUCK Leg]]*(1-Table1[[#This Row],[Duty Cycle BUCK Leg]]))*SQRT(Table1[[#This Row],[Iout]]^2+(Table1[[#This Row],[Ripple Current pk-pk]]^2)/12), Table1[[#This Row],[Ripple Current pk-pk]]/SQRT(12))</f>
        <v>5.6917341687341594</v>
      </c>
      <c r="AE25" s="354">
        <f>RCinEsr*Table1[[#This Row],[Irms Cin]]^2</f>
        <v>6.4791675695071854E-2</v>
      </c>
      <c r="AF25" s="549">
        <f>Table1[[#This Row],[Cin ESR Loss]]</f>
        <v>6.4791675695071854E-2</v>
      </c>
      <c r="AG2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9.7948050499252179</v>
      </c>
      <c r="AH25" s="354">
        <f>Rdson1*Table1[[#This Row],[Irms BuCtrl]]^2</f>
        <v>0.40294046505737041</v>
      </c>
      <c r="AI25" s="354">
        <f>CHOOSE(Table1[[#This Row],[Mode Digit]], (Table1[[#This Row],[Vin]]*Table1[[#This Row],[Iout]]/2)*(Fsw)*(Tr_buck+Tf_buck), 0, (Table1[[#This Row],[Vin]]*Table1[[#This Row],[Avg IL]]/2)*(Fsw/1)*(Tr_buck+Tf_buck))</f>
        <v>2.6464800096989296</v>
      </c>
      <c r="AJ25">
        <f>IF(Table1[[#This Row],[Vin]]&gt;Vout, IF(Table1[[#This Row],[Iout]]&gt;Table1[[#This Row],[Ripple Current pk-pk]]/2,0,ABS(Table1[[#This Row],[Iout]]-Table1[[#This Row],[Ripple Current pk-pk]]/2)*Vsd_Q1*Deadtime*Fsw),0)</f>
        <v>0</v>
      </c>
      <c r="AK25" s="354">
        <f>(Table1[[#This Row],[Dead Time Loss BuCtrl]]+Table1[[#This Row],[Transition Loss BuCtrl]]+Table1[[#This Row],[RDS(on) Loss BuCtrl]]*(1+RdsonTopTc*Ta-RdsonTopTc*25))/(1-Table1[[#This Row],[RDS(on) Loss BuCtrl]]*RdsonTopTc*ThetaJA_Q1)</f>
        <v>3.3758881396274552</v>
      </c>
      <c r="AL25" s="354">
        <f>CHOOSE(Table1[[#This Row],[Mode Digit]],SQRT((Fsw*(Table1[[#This Row],[t2_Ph_I]]+0))*((Table1[[#This Row],[I_0]]*Table1[[#This Row],[I_1]]+((Table1[[#This Row],[I_0]]-Table1[[#This Row],[I_1]])^2)/3))),0,SQRT((Fsw*(Table1[[#This Row],[t3_Ph_III]]+0))*((Table1[[#This Row],[I_0]]*Table1[[#This Row],[I_2]]+((Table1[[#This Row],[I_0]]-Table1[[#This Row],[I_2]])^2)/3))))</f>
        <v>6.9937274989668481</v>
      </c>
      <c r="AM25" s="354">
        <f>Rdson2*Table1[[#This Row],[Irms BuSync]]^2</f>
        <v>0.20543134218518139</v>
      </c>
      <c r="AN2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5" s="354">
        <f>(Table1[[#This Row],[Deadtime Loss BuSync]]+Table1[[#This Row],[RDS(on) Loss BuSync]]*(1+RdsonBotTc*Ta-RdsonBotTc*25))/(1-Table1[[#This Row],[RDS(on) Loss BuSync]]*RdsonBotTc*ThetaJA_Q2)</f>
        <v>0.82339925409829551</v>
      </c>
      <c r="AP25" s="354">
        <f>CHOOSE(Table1[[#This Row],[Mode Digit]],0,SQRT((Fsw*(Table1[[#This Row],[t1_Ph_II]]+0))*((Table1[[#This Row],[I_0]]*Table1[[#This Row],[I_1]]+((Table1[[#This Row],[I_0]]-Table1[[#This Row],[I_1]])^2)/3))),SQRT((Fsw*(Table1[[#This Row],[t2_Ph_I]]+0))*((Table1[[#This Row],[I_1]]*Table1[[#This Row],[I_2]]+((Table1[[#This Row],[I_1]]-Table1[[#This Row],[I_2]])^2)/3))))</f>
        <v>0</v>
      </c>
      <c r="AQ25" s="354">
        <f>Rdson4*Table1[[#This Row],[Irms BoCtlr]]^2</f>
        <v>0</v>
      </c>
      <c r="AR25" s="354">
        <f>CHOOSE(Table1[[#This Row],[Mode Digit]], 0, (Vout*Table1[[#This Row],[Iin]]/2)*(Fsw)*(Tr_boost+Tf_boost), (Vout*Iout/2)*(Fsw/1)*(Tr_boost+Tf_boost))</f>
        <v>0</v>
      </c>
      <c r="AS25">
        <f>IF(Table1[[#This Row],[Vin]]&gt;Vout, 0, IF(Table1[[#This Row],[Iin]]&gt;Table1[[#This Row],[Ripple Current pk-pk]]/2,0,ABS(Table1[[#This Row],[Iin]]-Table1[[#This Row],[Ripple Current pk-pk]]/2)*Vsd_Q4*Deadtime*Fsw))</f>
        <v>0</v>
      </c>
      <c r="AT25" s="354">
        <f>(Table1[[#This Row],[Dead Time Loss BoCtlr]]+Table1[[#This Row],[Transition Loss BoCtlr]]+Table1[[#This Row],[RDS(on) Loss BoCtlr]]*(1+RdsonTopTc*Ta-RdsonTopTc*25))/(1-Table1[[#This Row],[RDS(on) Loss BoCtlr]]*RdsonTopTc*ThetaJA_Q4)</f>
        <v>0</v>
      </c>
      <c r="AU2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12.035382432471584</v>
      </c>
      <c r="AV25" s="354">
        <f>Rdson3*Table1[[#This Row],[Irms BoSync]]^2</f>
        <v>0.60837180724255169</v>
      </c>
      <c r="AW2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5" s="354">
        <f>(Table1[[#This Row],[Deadtime Loss BoSync]]+Table1[[#This Row],[RDS(on) Loss BoSync]]*(1+RdsonBotTc*Ta-RdsonBotTc*25))/(1-Table1[[#This Row],[RDS(on) Loss BoSync]]*RdsonBotTc*ThetaJA_Q3)</f>
        <v>0.71238686795830952</v>
      </c>
      <c r="AY25" s="354">
        <f>CHOOSE(Table1[[#This Row],[Mode Digit]], Rdson3*Table1[[#This Row],[Irms Lf]]^2, Rdson1*Table1[[#This Row],[Irms Lf]]^2, 0)</f>
        <v>0.60837180724255169</v>
      </c>
      <c r="AZ25" s="354">
        <f>CHOOSE(Table1[[#This Row],[Mode Digit]], 2*Deadtime*Fsw*IF(VfdSky_Q2&gt;0,VfdSky_Q2,0)*Table1[[#This Row],[Iout]], 2*Deadtime*Fsw*IF(VfdSky_Q3&gt;0,VfdSky_Q3,0)*Table1[[#This Row],[Iin]], 2*Deadtime*Fsw*IF(VfdSky_Q2&gt;0,VfdSky_Q2,0)*Table1[[#This Row],[Iout]]+2*Deadtime*Fsw*IF(VfdSky_Q3&gt;0,VfdSky_Q3,0)*Table1[[#This Row],[Iin]])</f>
        <v>0</v>
      </c>
      <c r="BA25" s="354">
        <f>CHOOSE(Table1[[#This Row],[Mode Digit]], IF(QrrSky_Q2&gt;0,QrrSky_Q2,Qrr_Q2)*Fsw*(Table1[[#This Row],[Vin]]-Table1[[#This Row],[Iout]]*Rdson1),0,  IF(QrrSky_Q2&gt;0,QrrSky_Q2,Qrr_Q2)*Fsw*(Table1[[#This Row],[Vin]]-Table1[[#This Row],[Iout]]*Rdson1)+IF(QrrSky_Q3&gt;0,QrrSky_Q3,Qrr_Q3)*Fsw*Vout)</f>
        <v>0.26627520000000005</v>
      </c>
      <c r="BB25" s="354">
        <f>CHOOSE(Table1[[#This Row],[Mode Digit]],0, IF(QrrSky_Q3&gt;0,QrrSky_Q3,Qrr_Q3)*Fsw*Vout,  IF(QrrSky_Q2&gt;0,QrrSky_Q2,Qrr_Q2)*Fsw*(Table1[[#This Row],[Vin]]-Table1[[#This Row],[Iout]]*Rdson1)+IF(QrrSky_Q3&gt;0,QrrSky_Q3,Qrr_Q3)*Fsw*Vout)</f>
        <v>0</v>
      </c>
      <c r="BC25" s="354">
        <f>CHOOSE(Table1[[#This Row],[Mode Digit]], Rs*Table1[[#This Row],[Irms BuSync]]^2, Rs*Table1[[#This Row],[Irms BoCtlr]]^2, Rs*(Table1[[#This Row],[Irms BuSync]]^2+Table1[[#This Row],[Irms BoCtlr]]^2))</f>
        <v>0.12228056082451272</v>
      </c>
      <c r="BD25" s="354">
        <f t="shared" si="1"/>
        <v>1.44</v>
      </c>
      <c r="BE25" s="354">
        <f>IF(Vout&gt;8, Iq*Vout, Iq*Table1[[#This Row],[Vin]])</f>
        <v>4.3799999999999999E-2</v>
      </c>
      <c r="BF25" s="354">
        <f>CHOOSE(Table1[[#This Row],[Mode Digit]], (Qg_Q1+Qg_Q2)*Fsw, (Qg_Q3+Qg_Q4)*Fsw, (Qg_Q1+Qg_Q2+Qg_Q3+Qg_Q4)*Fsw)*IF(Vout&gt;8, Vout, Table1[[#This Row],[Vin]])</f>
        <v>0.47303999999999996</v>
      </c>
      <c r="BG25" s="354">
        <f t="shared" si="2"/>
        <v>0.45605042016806729</v>
      </c>
      <c r="BH25" s="354">
        <f>Table1[[#This Row],[IQ Loss]]+Table1[[#This Row],[Switching Current Loss]]</f>
        <v>0.51683999999999997</v>
      </c>
      <c r="BI2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8.6937277078668949</v>
      </c>
      <c r="BJ25">
        <f>Vout*Table1[[#This Row],[Iout]]</f>
        <v>175.2</v>
      </c>
      <c r="BK25" s="550">
        <f>Table1[[#This Row],[Pout]]/(Table1[[#This Row],[Pout]]+Table1[[#This Row],[Total Loss]])</f>
        <v>0.95272417490129013</v>
      </c>
      <c r="BL2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202.55328837764731</v>
      </c>
      <c r="BM25" s="559">
        <f>IF(Table1[[#This Row],[Vin]]&gt;Vout, Table1[[#This Row],[Total Sync Bu MOSFET Loss]]*ThetaJA_Q2, ThetaJA_Q3*Table1[[#This Row],[Total Sync Bo MOSFET Loss]])</f>
        <v>49.403955245897734</v>
      </c>
      <c r="BN25" s="9"/>
      <c r="BO25" s="4">
        <f>Table1[[#This Row],[EFF, h]]*100</f>
        <v>95.272417490129016</v>
      </c>
      <c r="BP25" s="354">
        <f>Table1[[#This Row],[Total Inductor Loss]]</f>
        <v>1.3676138581840214</v>
      </c>
      <c r="BQ25" s="354">
        <f>Table1[[#This Row],[Total Control Bu MOSFET Loss]]+Table1[[#This Row],[Total Sync Bu MOSFET Loss]]+Table1[[#This Row],[Total Control Bo MOSFET Loss]]+Table1[[#This Row],[Total Sync Bo MOSFET Loss]]+Table1[[#This Row],[Reverse Recovery Loss MOSFET D BUCK]]+Table1[[#This Row],[Reverse Recovery Loss MOSFET D BOOST]]</f>
        <v>5.1779494616840598</v>
      </c>
      <c r="BR25" s="354">
        <f>Table1[[#This Row],[Total Control Bu MOSFET Loss]]+Table1[[#This Row],[Reverse Recovery Loss MOSFET D BUCK]]*0.66</f>
        <v>3.5516297716274554</v>
      </c>
      <c r="BS25" s="354">
        <f>Table1[[#This Row],[Total Sync Bu MOSFET Loss]]+Table1[[#This Row],[Reverse Recovery Loss MOSFET D BUCK]]*0.33</f>
        <v>0.91127007009829553</v>
      </c>
      <c r="BT25" s="354">
        <f xml:space="preserve"> Table1[[#This Row],[Total Control Bo MOSFET Loss]]+Table1[[#This Row],[Reverse Recovery Loss MOSFET D BOOST]]*0.66</f>
        <v>0</v>
      </c>
      <c r="BU25" s="354">
        <f xml:space="preserve"> Table1[[#This Row],[Total Sync Bo MOSFET Loss]]+Table1[[#This Row],[Reverse Recovery Loss MOSFET D BOOST]]*0.33</f>
        <v>0.71238686795830952</v>
      </c>
      <c r="BV25" s="354">
        <f>Table1[[#This Row],[Isense Shunt Loss]]</f>
        <v>0.12228056082451272</v>
      </c>
      <c r="BZ25" t="s">
        <v>149</v>
      </c>
      <c r="CA25" t="s">
        <v>4</v>
      </c>
      <c r="CB25" t="s">
        <v>6</v>
      </c>
      <c r="CC25" t="s">
        <v>5</v>
      </c>
      <c r="CD25" t="s">
        <v>150</v>
      </c>
      <c r="CE25" t="s">
        <v>151</v>
      </c>
    </row>
    <row r="26" spans="1:92" x14ac:dyDescent="0.2">
      <c r="A26" s="24" t="s">
        <v>114</v>
      </c>
      <c r="B26" s="37" t="s">
        <v>113</v>
      </c>
      <c r="C26" s="24" t="s">
        <v>80</v>
      </c>
      <c r="D26" s="17" t="s">
        <v>109</v>
      </c>
      <c r="G26">
        <v>17</v>
      </c>
      <c r="H26" s="555">
        <f>VIN_min+(VIN_max-VIN_min)*(Table1[[#This Row],[Step]]/200)</f>
        <v>22.38</v>
      </c>
      <c r="I26" s="4" t="str">
        <f>IF(Mode = 2,IF(Table1[[#This Row],[Vin]]&gt;Vout, "BUCK","BOOST"),IF(Table1[[#This Row],[Vin]]&gt;VIN_BB_to_buck, "BUCK", IF(Table1[[#This Row],[Vin]]&lt;=VIN_boost_to_BB,"BOOST","BUCK-BST")))</f>
        <v>BUCK</v>
      </c>
      <c r="J26">
        <f>IF(Table1[[#This Row],[Mode]]="BOOST",2, IF(Table1[[#This Row],[Mode]]="BUCK", 1,3))</f>
        <v>1</v>
      </c>
      <c r="K26">
        <f t="shared" si="0"/>
        <v>12</v>
      </c>
      <c r="L26" s="4">
        <f>Vout*Table1[[#This Row],[Iout]]/(Table1[[#This Row],[Vin]]*Efficiency)</f>
        <v>8.2404402426978969</v>
      </c>
      <c r="M26" s="711">
        <f>MIN(1/Fsw,CHOOSE(Table1[[#This Row],[Mode Digit]],(Vout+(Rdson2+Rs+Rdcr)*Table1[[#This Row],[Iout]])/(Table1[[#This Row],[Vin]]+(Rs+Rdson2-Rdson1)*Table1[[#This Row],[Iout]])/Fsw,(Vout+(Rdson3+Rdcr)*Table1[[#This Row],[Iin]]-Table1[[#This Row],[Vin]])/(Vout+(Rdson3-Rdson4-Rs)*Table1[[#This Row],[Iin]])/Fsw,t1_Ph_II))</f>
        <v>1.0969805146511973E-6</v>
      </c>
      <c r="N26" s="602">
        <f>CHOOSE(Table1[[#This Row],[Mode Digit]],1/Fsw-Table1[[#This Row],[t1_Ph_II]],1/Fsw-Table1[[#This Row],[t1_Ph_II]],(Vout/Fsw-Table1[[#This Row],[Vin]]*t1_Ph_II)/(Table1[[#This Row],[Vin]]+Vout))</f>
        <v>5.6968615201546934E-7</v>
      </c>
      <c r="O26" s="602">
        <f>1/Fsw-(Table1[[#This Row],[t1_Ph_II]]+Table1[[#This Row],[t2_Ph_I]])</f>
        <v>0</v>
      </c>
      <c r="P2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10.38361583257835</v>
      </c>
      <c r="Q26" s="4">
        <f>CHOOSE(Table1[[#This Row],[Mode Digit]],Table1[[#This Row],[I_0]]+1/Lf*(Table1[[#This Row],[Vin]]-Vout)*Table1[[#This Row],[t1_Ph_II]],Table1[[#This Row],[I_0]]+1/Lf*Table1[[#This Row],[Vin]]*Table1[[#This Row],[t1_Ph_II]],Table1[[#This Row],[I_0]]+(Table1[[#This Row],[Vin]]-Vout)/L*Table1[[#This Row],[t1_Ph_II]])</f>
        <v>13.616384167421652</v>
      </c>
      <c r="R26" s="4">
        <f>CHOOSE(Table1[[#This Row],[Mode Digit]],0,0,Table1[[#This Row],[I_1]]+Table1[[#This Row],[Vin]]/L*Table1[[#This Row],[t2_Ph_I]])</f>
        <v>0</v>
      </c>
      <c r="S26" s="4">
        <f>Fsw*(Table1[[#This Row],[I_0]]*Table1[[#This Row],[t1_Ph_II]]+Table1[[#This Row],[I_1]]*Table1[[#This Row],[t2_Ph_I]]+Table1[[#This Row],[I_2]]*Table1[[#This Row],[t3_Ph_III]])</f>
        <v>11.488613844398953</v>
      </c>
      <c r="T26" s="354">
        <f>MIN(1,CHOOSE(Table1[[#This Row],[Mode Digit]],(Vout+(Rdson2+Rs+Rdcr)*Table1[[#This Row],[Iout]])/(Table1[[#This Row],[Vin]]+(Rs+Rdson2-Rdson1)*Table1[[#This Row],[Iout]]),1,Fsw*Table1[[#This Row],[t2_Ph_I]]+Table1[[#This Row],[t1_Ph_II]]))</f>
        <v>0.65818830879071843</v>
      </c>
      <c r="U26" s="354">
        <f>MIN(1,CHOOSE(Table1[[#This Row],[Mode Digit]],0,(Vout+(Rdson3+Rdcr)*Table1[[#This Row],[Iin]]-Table1[[#This Row],[Vin]])/(Vout+(Rdson3-Rdson4-Rs)*Table1[[#This Row],[Iin]]),Fsw*Table1[[#This Row],[t1_Ph_II]]+Table1[[#This Row],[t3_Ph_III]]))</f>
        <v>0</v>
      </c>
      <c r="V26" s="4">
        <f>MAX(Table1[[#This Row],[I_0]:[I_2]])-MIN(Table1[[#This Row],[I_0]:[I_1]])</f>
        <v>3.2327683348433016</v>
      </c>
      <c r="W2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12.036232768557491</v>
      </c>
      <c r="X26" s="354">
        <f>(Table1[[#This Row],[Irms Lf]]^2*Rdcr*(1+Ltc*Ta-Ltc*25))/(1-Table1[[#This Row],[Irms Lf]]^2*Rdcr*Ltc*ThetaCa)</f>
        <v>0.90080330121812735</v>
      </c>
      <c r="Y26" s="354">
        <f>ABS(7.759*10^-3*Fsw^0.9458*(0.00787*Table1[[#This Row],[Ripple Current pk-pk]])^2.304)</f>
        <v>0.47991776704614708</v>
      </c>
      <c r="Z26" s="354">
        <f>Table1[[#This Row],[DCR    Loss]]+Table1[[#This Row],[Core Loss]]</f>
        <v>1.3807210682642745</v>
      </c>
      <c r="AA26" s="4">
        <f>IF(Table1[[#This Row],[Vin]]&gt;Vout, Table1[[#This Row],[Ripple Current pk-pk]]/SQRT(12), SQRT(Table1[[#This Row],[Duty Cycle BOOST Leg]]/(1-Table1[[#This Row],[Duty Cycle BOOST Leg]]))*SQRT(Table1[[#This Row],[Iout]]^2+(Table1[[#This Row],[Ripple Current pk-pk]]^2)/12))</f>
        <v>0.9332198341747393</v>
      </c>
      <c r="AB26" s="354">
        <f>RCoutEsr*Table1[[#This Row],[Irms Cout]]^2</f>
        <v>4.3544962944856401E-3</v>
      </c>
      <c r="AC26" s="354">
        <f>Table1[[#This Row],[Cout ESR Loss]]</f>
        <v>4.3544962944856401E-3</v>
      </c>
      <c r="AD26" s="354">
        <f>IF(Table1[[#This Row],[Vin]]&gt;Vout, SQRT(Table1[[#This Row],[Duty Cycle BUCK Leg]]*(1-Table1[[#This Row],[Duty Cycle BUCK Leg]]))*SQRT(Table1[[#This Row],[Iout]]^2+(Table1[[#This Row],[Ripple Current pk-pk]]^2)/12), Table1[[#This Row],[Ripple Current pk-pk]]/SQRT(12))</f>
        <v>5.7089878193859809</v>
      </c>
      <c r="AE26" s="354">
        <f>RCinEsr*Table1[[#This Row],[Irms Cin]]^2</f>
        <v>6.5185083843794997E-2</v>
      </c>
      <c r="AF26" s="549">
        <f>Table1[[#This Row],[Cin ESR Loss]]</f>
        <v>6.5185083843794997E-2</v>
      </c>
      <c r="AG2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9.7648518768184118</v>
      </c>
      <c r="AH26" s="354">
        <f>Rdson1*Table1[[#This Row],[Irms BuCtrl]]^2</f>
        <v>0.4004797951400571</v>
      </c>
      <c r="AI26" s="354">
        <f>CHOOSE(Table1[[#This Row],[Mode Digit]], (Table1[[#This Row],[Vin]]*Table1[[#This Row],[Iout]]/2)*(Fsw)*(Tr_buck+Tf_buck), 0, (Table1[[#This Row],[Vin]]*Table1[[#This Row],[Avg IL]]/2)*(Fsw/1)*(Tr_buck+Tf_buck))</f>
        <v>2.6631395061628615</v>
      </c>
      <c r="AJ26">
        <f>IF(Table1[[#This Row],[Vin]]&gt;Vout, IF(Table1[[#This Row],[Iout]]&gt;Table1[[#This Row],[Ripple Current pk-pk]]/2,0,ABS(Table1[[#This Row],[Iout]]-Table1[[#This Row],[Ripple Current pk-pk]]/2)*Vsd_Q1*Deadtime*Fsw),0)</f>
        <v>0</v>
      </c>
      <c r="AK26" s="354">
        <f>(Table1[[#This Row],[Dead Time Loss BuCtrl]]+Table1[[#This Row],[Transition Loss BuCtrl]]+Table1[[#This Row],[RDS(on) Loss BuCtrl]]*(1+RdsonTopTc*Ta-RdsonTopTc*25))/(1-Table1[[#This Row],[RDS(on) Loss BuCtrl]]*RdsonTopTc*ThetaJA_Q1)</f>
        <v>3.3893911421663523</v>
      </c>
      <c r="AL26" s="354">
        <f>CHOOSE(Table1[[#This Row],[Mode Digit]],SQRT((Fsw*(Table1[[#This Row],[t2_Ph_I]]+0))*((Table1[[#This Row],[I_0]]*Table1[[#This Row],[I_1]]+((Table1[[#This Row],[I_0]]-Table1[[#This Row],[I_1]])^2)/3))),0,SQRT((Fsw*(Table1[[#This Row],[t3_Ph_III]]+0))*((Table1[[#This Row],[I_0]]*Table1[[#This Row],[I_2]]+((Table1[[#This Row],[I_0]]-Table1[[#This Row],[I_2]])^2)/3))))</f>
        <v>7.0369430211344683</v>
      </c>
      <c r="AM26" s="354">
        <f>Rdson2*Table1[[#This Row],[Irms BuSync]]^2</f>
        <v>0.20797798174731102</v>
      </c>
      <c r="AN2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6" s="354">
        <f>(Table1[[#This Row],[Deadtime Loss BuSync]]+Table1[[#This Row],[RDS(on) Loss BuSync]]*(1+RdsonBotTc*Ta-RdsonBotTc*25))/(1-Table1[[#This Row],[RDS(on) Loss BuSync]]*RdsonBotTc*ThetaJA_Q2)</f>
        <v>0.82660938257843231</v>
      </c>
      <c r="AP26" s="354">
        <f>CHOOSE(Table1[[#This Row],[Mode Digit]],0,SQRT((Fsw*(Table1[[#This Row],[t1_Ph_II]]+0))*((Table1[[#This Row],[I_0]]*Table1[[#This Row],[I_1]]+((Table1[[#This Row],[I_0]]-Table1[[#This Row],[I_1]])^2)/3))),SQRT((Fsw*(Table1[[#This Row],[t2_Ph_I]]+0))*((Table1[[#This Row],[I_1]]*Table1[[#This Row],[I_2]]+((Table1[[#This Row],[I_1]]-Table1[[#This Row],[I_2]])^2)/3))))</f>
        <v>0</v>
      </c>
      <c r="AQ26" s="354">
        <f>Rdson4*Table1[[#This Row],[Irms BoCtlr]]^2</f>
        <v>0</v>
      </c>
      <c r="AR26" s="354">
        <f>CHOOSE(Table1[[#This Row],[Mode Digit]], 0, (Vout*Table1[[#This Row],[Iin]]/2)*(Fsw)*(Tr_boost+Tf_boost), (Vout*Iout/2)*(Fsw/1)*(Tr_boost+Tf_boost))</f>
        <v>0</v>
      </c>
      <c r="AS26">
        <f>IF(Table1[[#This Row],[Vin]]&gt;Vout, 0, IF(Table1[[#This Row],[Iin]]&gt;Table1[[#This Row],[Ripple Current pk-pk]]/2,0,ABS(Table1[[#This Row],[Iin]]-Table1[[#This Row],[Ripple Current pk-pk]]/2)*Vsd_Q4*Deadtime*Fsw))</f>
        <v>0</v>
      </c>
      <c r="AT26" s="354">
        <f>(Table1[[#This Row],[Dead Time Loss BoCtlr]]+Table1[[#This Row],[Transition Loss BoCtlr]]+Table1[[#This Row],[RDS(on) Loss BoCtlr]]*(1+RdsonTopTc*Ta-RdsonTopTc*25))/(1-Table1[[#This Row],[RDS(on) Loss BoCtlr]]*RdsonTopTc*ThetaJA_Q4)</f>
        <v>0</v>
      </c>
      <c r="AU2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12.036232768557491</v>
      </c>
      <c r="AV26" s="354">
        <f>Rdson3*Table1[[#This Row],[Irms BoSync]]^2</f>
        <v>0.60845777688736813</v>
      </c>
      <c r="AW2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6" s="354">
        <f>(Table1[[#This Row],[Deadtime Loss BoSync]]+Table1[[#This Row],[RDS(on) Loss BoSync]]*(1+RdsonBotTc*Ta-RdsonBotTc*25))/(1-Table1[[#This Row],[RDS(on) Loss BoSync]]*RdsonBotTc*ThetaJA_Q3)</f>
        <v>0.71250475044143669</v>
      </c>
      <c r="AY26" s="354">
        <f>CHOOSE(Table1[[#This Row],[Mode Digit]], Rdson3*Table1[[#This Row],[Irms Lf]]^2, Rdson1*Table1[[#This Row],[Irms Lf]]^2, 0)</f>
        <v>0.60845777688736813</v>
      </c>
      <c r="AZ26" s="354">
        <f>CHOOSE(Table1[[#This Row],[Mode Digit]], 2*Deadtime*Fsw*IF(VfdSky_Q2&gt;0,VfdSky_Q2,0)*Table1[[#This Row],[Iout]], 2*Deadtime*Fsw*IF(VfdSky_Q3&gt;0,VfdSky_Q3,0)*Table1[[#This Row],[Iin]], 2*Deadtime*Fsw*IF(VfdSky_Q2&gt;0,VfdSky_Q2,0)*Table1[[#This Row],[Iout]]+2*Deadtime*Fsw*IF(VfdSky_Q3&gt;0,VfdSky_Q3,0)*Table1[[#This Row],[Iin]])</f>
        <v>0</v>
      </c>
      <c r="BA26" s="354">
        <f>CHOOSE(Table1[[#This Row],[Mode Digit]], IF(QrrSky_Q2&gt;0,QrrSky_Q2,Qrr_Q2)*Fsw*(Table1[[#This Row],[Vin]]-Table1[[#This Row],[Iout]]*Rdson1),0,  IF(QrrSky_Q2&gt;0,QrrSky_Q2,Qrr_Q2)*Fsw*(Table1[[#This Row],[Vin]]-Table1[[#This Row],[Iout]]*Rdson1)+IF(QrrSky_Q3&gt;0,QrrSky_Q3,Qrr_Q3)*Fsw*Vout)</f>
        <v>0.2679552</v>
      </c>
      <c r="BB26" s="354">
        <f>CHOOSE(Table1[[#This Row],[Mode Digit]],0, IF(QrrSky_Q3&gt;0,QrrSky_Q3,Qrr_Q3)*Fsw*Vout,  IF(QrrSky_Q2&gt;0,QrrSky_Q2,Qrr_Q2)*Fsw*(Table1[[#This Row],[Vin]]-Table1[[#This Row],[Iout]]*Rdson1)+IF(QrrSky_Q3&gt;0,QrrSky_Q3,Qrr_Q3)*Fsw*Vout)</f>
        <v>0</v>
      </c>
      <c r="BC26" s="354">
        <f>CHOOSE(Table1[[#This Row],[Mode Digit]], Rs*Table1[[#This Row],[Irms BuSync]]^2, Rs*Table1[[#This Row],[Irms BoCtlr]]^2, Rs*(Table1[[#This Row],[Irms BuSync]]^2+Table1[[#This Row],[Irms BoCtlr]]^2))</f>
        <v>0.12379641770673275</v>
      </c>
      <c r="BD26" s="354">
        <f t="shared" si="1"/>
        <v>1.44</v>
      </c>
      <c r="BE26" s="354">
        <f>IF(Vout&gt;8, Iq*Vout, Iq*Table1[[#This Row],[Vin]])</f>
        <v>4.3799999999999999E-2</v>
      </c>
      <c r="BF26" s="354">
        <f>CHOOSE(Table1[[#This Row],[Mode Digit]], (Qg_Q1+Qg_Q2)*Fsw, (Qg_Q3+Qg_Q4)*Fsw, (Qg_Q1+Qg_Q2+Qg_Q3+Qg_Q4)*Fsw)*IF(Vout&gt;8, Vout, Table1[[#This Row],[Vin]])</f>
        <v>0.47303999999999996</v>
      </c>
      <c r="BG26" s="354">
        <f t="shared" si="2"/>
        <v>0.45605042016806729</v>
      </c>
      <c r="BH26" s="354">
        <f>Table1[[#This Row],[IQ Loss]]+Table1[[#This Row],[Switching Current Loss]]</f>
        <v>0.51683999999999997</v>
      </c>
      <c r="BI2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8.7273575412955111</v>
      </c>
      <c r="BJ26">
        <f>Vout*Table1[[#This Row],[Iout]]</f>
        <v>175.2</v>
      </c>
      <c r="BK26" s="550">
        <f>Table1[[#This Row],[Pout]]/(Table1[[#This Row],[Pout]]+Table1[[#This Row],[Total Loss]])</f>
        <v>0.9525499759363637</v>
      </c>
      <c r="BL2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203.36346852998113</v>
      </c>
      <c r="BM26" s="559">
        <f>IF(Table1[[#This Row],[Vin]]&gt;Vout, Table1[[#This Row],[Total Sync Bu MOSFET Loss]]*ThetaJA_Q2, ThetaJA_Q3*Table1[[#This Row],[Total Sync Bo MOSFET Loss]])</f>
        <v>49.596562954705938</v>
      </c>
      <c r="BN26" s="9"/>
      <c r="BO26" s="4">
        <f>Table1[[#This Row],[EFF, h]]*100</f>
        <v>95.254997593636375</v>
      </c>
      <c r="BP26" s="354">
        <f>Table1[[#This Row],[Total Inductor Loss]]</f>
        <v>1.3807210682642745</v>
      </c>
      <c r="BQ26" s="354">
        <f>Table1[[#This Row],[Total Control Bu MOSFET Loss]]+Table1[[#This Row],[Total Sync Bu MOSFET Loss]]+Table1[[#This Row],[Total Control Bo MOSFET Loss]]+Table1[[#This Row],[Total Sync Bo MOSFET Loss]]+Table1[[#This Row],[Reverse Recovery Loss MOSFET D BUCK]]+Table1[[#This Row],[Reverse Recovery Loss MOSFET D BOOST]]</f>
        <v>5.196460475186222</v>
      </c>
      <c r="BR26" s="354">
        <f>Table1[[#This Row],[Total Control Bu MOSFET Loss]]+Table1[[#This Row],[Reverse Recovery Loss MOSFET D BUCK]]*0.66</f>
        <v>3.5662415741663525</v>
      </c>
      <c r="BS26" s="354">
        <f>Table1[[#This Row],[Total Sync Bu MOSFET Loss]]+Table1[[#This Row],[Reverse Recovery Loss MOSFET D BUCK]]*0.33</f>
        <v>0.91503459857843228</v>
      </c>
      <c r="BT26" s="354">
        <f xml:space="preserve"> Table1[[#This Row],[Total Control Bo MOSFET Loss]]+Table1[[#This Row],[Reverse Recovery Loss MOSFET D BOOST]]*0.66</f>
        <v>0</v>
      </c>
      <c r="BU26" s="354">
        <f xml:space="preserve"> Table1[[#This Row],[Total Sync Bo MOSFET Loss]]+Table1[[#This Row],[Reverse Recovery Loss MOSFET D BOOST]]*0.33</f>
        <v>0.71250475044143669</v>
      </c>
      <c r="BV26" s="354">
        <f>Table1[[#This Row],[Isense Shunt Loss]]</f>
        <v>0.12379641770673275</v>
      </c>
      <c r="BZ26" t="s">
        <v>152</v>
      </c>
      <c r="CA26">
        <v>9.9989640000000009</v>
      </c>
      <c r="CB26">
        <v>0.1027</v>
      </c>
      <c r="CC26">
        <v>5.1211359999999999</v>
      </c>
      <c r="CD26">
        <v>61.870683235325004</v>
      </c>
      <c r="CE26">
        <v>324.12365701136014</v>
      </c>
    </row>
    <row r="27" spans="1:92" x14ac:dyDescent="0.2">
      <c r="A27" s="22" t="s">
        <v>65</v>
      </c>
      <c r="B27" s="5">
        <f>RdsonDRT</f>
        <v>1.5</v>
      </c>
      <c r="C27" s="444" t="s">
        <v>118</v>
      </c>
      <c r="D27" s="440" t="s">
        <v>680</v>
      </c>
      <c r="G27">
        <v>18</v>
      </c>
      <c r="H27" s="555">
        <f>VIN_min+(VIN_max-VIN_min)*(Table1[[#This Row],[Step]]/200)</f>
        <v>22.52</v>
      </c>
      <c r="I27" s="4" t="str">
        <f>IF(Mode = 2,IF(Table1[[#This Row],[Vin]]&gt;Vout, "BUCK","BOOST"),IF(Table1[[#This Row],[Vin]]&gt;VIN_BB_to_buck, "BUCK", IF(Table1[[#This Row],[Vin]]&lt;=VIN_boost_to_BB,"BOOST","BUCK-BST")))</f>
        <v>BUCK</v>
      </c>
      <c r="J27">
        <f>IF(Table1[[#This Row],[Mode]]="BOOST",2, IF(Table1[[#This Row],[Mode]]="BUCK", 1,3))</f>
        <v>1</v>
      </c>
      <c r="K27">
        <f t="shared" si="0"/>
        <v>12</v>
      </c>
      <c r="L27" s="4">
        <f>Vout*Table1[[#This Row],[Iout]]/(Table1[[#This Row],[Vin]]*Efficiency)</f>
        <v>8.1892119285781053</v>
      </c>
      <c r="M27" s="711">
        <f>MIN(1/Fsw,CHOOSE(Table1[[#This Row],[Mode Digit]],(Vout+(Rdson2+Rs+Rdcr)*Table1[[#This Row],[Iout]])/(Table1[[#This Row],[Vin]]+(Rs+Rdson2-Rdson1)*Table1[[#This Row],[Iout]])/Fsw,(Vout+(Rdson3+Rdcr)*Table1[[#This Row],[Iin]]-Table1[[#This Row],[Vin]])/(Vout+(Rdson3-Rdson4-Rs)*Table1[[#This Row],[Iin]])/Fsw,t1_Ph_II))</f>
        <v>1.0901699926090168E-6</v>
      </c>
      <c r="N27" s="602">
        <f>CHOOSE(Table1[[#This Row],[Mode Digit]],1/Fsw-Table1[[#This Row],[t1_Ph_II]],1/Fsw-Table1[[#This Row],[t1_Ph_II]],(Vout/Fsw-Table1[[#This Row],[Vin]]*t1_Ph_II)/(Table1[[#This Row],[Vin]]+Vout))</f>
        <v>5.7649667405764982E-7</v>
      </c>
      <c r="O27" s="602">
        <f>1/Fsw-(Table1[[#This Row],[t1_Ph_II]]+Table1[[#This Row],[t2_Ph_I]])</f>
        <v>0</v>
      </c>
      <c r="P2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10.364745011086475</v>
      </c>
      <c r="Q27" s="4">
        <f>CHOOSE(Table1[[#This Row],[Mode Digit]],Table1[[#This Row],[I_0]]+1/Lf*(Table1[[#This Row],[Vin]]-Vout)*Table1[[#This Row],[t1_Ph_II]],Table1[[#This Row],[I_0]]+1/Lf*Table1[[#This Row],[Vin]]*Table1[[#This Row],[t1_Ph_II]],Table1[[#This Row],[I_0]]+(Table1[[#This Row],[Vin]]-Vout)/L*Table1[[#This Row],[t1_Ph_II]])</f>
        <v>13.635254988913525</v>
      </c>
      <c r="R27" s="4">
        <f>CHOOSE(Table1[[#This Row],[Mode Digit]],0,0,Table1[[#This Row],[I_1]]+Table1[[#This Row],[Vin]]/L*Table1[[#This Row],[t2_Ph_I]])</f>
        <v>0</v>
      </c>
      <c r="S27" s="4">
        <f>Fsw*(Table1[[#This Row],[I_0]]*Table1[[#This Row],[t1_Ph_II]]+Table1[[#This Row],[I_1]]*Table1[[#This Row],[t2_Ph_I]]+Table1[[#This Row],[I_2]]*Table1[[#This Row],[t3_Ph_III]])</f>
        <v>11.496007885900266</v>
      </c>
      <c r="T27" s="354">
        <f>MIN(1,CHOOSE(Table1[[#This Row],[Mode Digit]],(Vout+(Rdson2+Rs+Rdcr)*Table1[[#This Row],[Iout]])/(Table1[[#This Row],[Vin]]+(Rs+Rdson2-Rdson1)*Table1[[#This Row],[Iout]]),1,Fsw*Table1[[#This Row],[t2_Ph_I]]+Table1[[#This Row],[t1_Ph_II]]))</f>
        <v>0.65410199556541015</v>
      </c>
      <c r="U27" s="354">
        <f>MIN(1,CHOOSE(Table1[[#This Row],[Mode Digit]],0,(Vout+(Rdson3+Rdcr)*Table1[[#This Row],[Iin]]-Table1[[#This Row],[Vin]])/(Vout+(Rdson3-Rdson4-Rs)*Table1[[#This Row],[Iin]]),Fsw*Table1[[#This Row],[t1_Ph_II]]+Table1[[#This Row],[t3_Ph_III]]))</f>
        <v>0</v>
      </c>
      <c r="V27" s="4">
        <f>MAX(Table1[[#This Row],[I_0]:[I_2]])-MIN(Table1[[#This Row],[I_0]:[I_1]])</f>
        <v>3.2705099778270501</v>
      </c>
      <c r="W2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12.037082410600538</v>
      </c>
      <c r="X27" s="354">
        <f>(Table1[[#This Row],[Irms Lf]]^2*Rdcr*(1+Ltc*Ta-Ltc*25))/(1-Table1[[#This Row],[Irms Lf]]^2*Rdcr*Ltc*ThetaCa)</f>
        <v>0.90093964833151963</v>
      </c>
      <c r="Y27" s="354">
        <f>ABS(7.759*10^-3*Fsw^0.9458*(0.00787*Table1[[#This Row],[Ripple Current pk-pk]])^2.304)</f>
        <v>0.49292523272347771</v>
      </c>
      <c r="Z27" s="354">
        <f>Table1[[#This Row],[DCR    Loss]]+Table1[[#This Row],[Core Loss]]</f>
        <v>1.3938648810549974</v>
      </c>
      <c r="AA27" s="4">
        <f>IF(Table1[[#This Row],[Vin]]&gt;Vout, Table1[[#This Row],[Ripple Current pk-pk]]/SQRT(12), SQRT(Table1[[#This Row],[Duty Cycle BOOST Leg]]/(1-Table1[[#This Row],[Duty Cycle BOOST Leg]]))*SQRT(Table1[[#This Row],[Iout]]^2+(Table1[[#This Row],[Ripple Current pk-pk]]^2)/12))</f>
        <v>0.94411490804290221</v>
      </c>
      <c r="AB27" s="354">
        <f>RCoutEsr*Table1[[#This Row],[Irms Cout]]^2</f>
        <v>4.456764797944289E-3</v>
      </c>
      <c r="AC27" s="354">
        <f>Table1[[#This Row],[Cout ESR Loss]]</f>
        <v>4.456764797944289E-3</v>
      </c>
      <c r="AD27" s="354">
        <f>IF(Table1[[#This Row],[Vin]]&gt;Vout, SQRT(Table1[[#This Row],[Duty Cycle BUCK Leg]]*(1-Table1[[#This Row],[Duty Cycle BUCK Leg]]))*SQRT(Table1[[#This Row],[Iout]]^2+(Table1[[#This Row],[Ripple Current pk-pk]]^2)/12), Table1[[#This Row],[Ripple Current pk-pk]]/SQRT(12))</f>
        <v>5.725560382787422</v>
      </c>
      <c r="AE27" s="354">
        <f>RCinEsr*Table1[[#This Row],[Irms Cin]]^2</f>
        <v>6.5564083393889708E-2</v>
      </c>
      <c r="AF27" s="549">
        <f>Table1[[#This Row],[Cin ESR Loss]]</f>
        <v>6.5564083393889708E-2</v>
      </c>
      <c r="AG2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9.7351796650621338</v>
      </c>
      <c r="AH27" s="354">
        <f>Rdson1*Table1[[#This Row],[Irms BuCtrl]]^2</f>
        <v>0.39804963706636504</v>
      </c>
      <c r="AI27" s="354">
        <f>CHOOSE(Table1[[#This Row],[Mode Digit]], (Table1[[#This Row],[Vin]]*Table1[[#This Row],[Iout]]/2)*(Fsw)*(Tr_buck+Tf_buck), 0, (Table1[[#This Row],[Vin]]*Table1[[#This Row],[Avg IL]]/2)*(Fsw/1)*(Tr_buck+Tf_buck))</f>
        <v>2.6797990026267939</v>
      </c>
      <c r="AJ27">
        <f>IF(Table1[[#This Row],[Vin]]&gt;Vout, IF(Table1[[#This Row],[Iout]]&gt;Table1[[#This Row],[Ripple Current pk-pk]]/2,0,ABS(Table1[[#This Row],[Iout]]-Table1[[#This Row],[Ripple Current pk-pk]]/2)*Vsd_Q1*Deadtime*Fsw),0)</f>
        <v>0</v>
      </c>
      <c r="AK27" s="354">
        <f>(Table1[[#This Row],[Dead Time Loss BuCtrl]]+Table1[[#This Row],[Transition Loss BuCtrl]]+Table1[[#This Row],[RDS(on) Loss BuCtrl]]*(1+RdsonTopTc*Ta-RdsonTopTc*25))/(1-Table1[[#This Row],[RDS(on) Loss BuCtrl]]*RdsonTopTc*ThetaJA_Q1)</f>
        <v>3.4029377968965386</v>
      </c>
      <c r="AL27" s="354">
        <f>CHOOSE(Table1[[#This Row],[Mode Digit]],SQRT((Fsw*(Table1[[#This Row],[t2_Ph_I]]+0))*((Table1[[#This Row],[I_0]]*Table1[[#This Row],[I_1]]+((Table1[[#This Row],[I_0]]-Table1[[#This Row],[I_1]])^2)/3))),0,SQRT((Fsw*(Table1[[#This Row],[t3_Ph_III]]+0))*((Table1[[#This Row],[I_0]]*Table1[[#This Row],[I_2]]+((Table1[[#This Row],[I_0]]-Table1[[#This Row],[I_2]])^2)/3))))</f>
        <v>7.0793806119285323</v>
      </c>
      <c r="AM27" s="354">
        <f>Rdson2*Table1[[#This Row],[Irms BuSync]]^2</f>
        <v>0.21049404536390834</v>
      </c>
      <c r="AN2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7" s="354">
        <f>(Table1[[#This Row],[Deadtime Loss BuSync]]+Table1[[#This Row],[RDS(on) Loss BuSync]]*(1+RdsonBotTc*Ta-RdsonBotTc*25))/(1-Table1[[#This Row],[RDS(on) Loss BuSync]]*RdsonBotTc*ThetaJA_Q2)</f>
        <v>0.82978502767730455</v>
      </c>
      <c r="AP27" s="354">
        <f>CHOOSE(Table1[[#This Row],[Mode Digit]],0,SQRT((Fsw*(Table1[[#This Row],[t1_Ph_II]]+0))*((Table1[[#This Row],[I_0]]*Table1[[#This Row],[I_1]]+((Table1[[#This Row],[I_0]]-Table1[[#This Row],[I_1]])^2)/3))),SQRT((Fsw*(Table1[[#This Row],[t2_Ph_I]]+0))*((Table1[[#This Row],[I_1]]*Table1[[#This Row],[I_2]]+((Table1[[#This Row],[I_1]]-Table1[[#This Row],[I_2]])^2)/3))))</f>
        <v>0</v>
      </c>
      <c r="AQ27" s="354">
        <f>Rdson4*Table1[[#This Row],[Irms BoCtlr]]^2</f>
        <v>0</v>
      </c>
      <c r="AR27" s="354">
        <f>CHOOSE(Table1[[#This Row],[Mode Digit]], 0, (Vout*Table1[[#This Row],[Iin]]/2)*(Fsw)*(Tr_boost+Tf_boost), (Vout*Iout/2)*(Fsw/1)*(Tr_boost+Tf_boost))</f>
        <v>0</v>
      </c>
      <c r="AS27">
        <f>IF(Table1[[#This Row],[Vin]]&gt;Vout, 0, IF(Table1[[#This Row],[Iin]]&gt;Table1[[#This Row],[Ripple Current pk-pk]]/2,0,ABS(Table1[[#This Row],[Iin]]-Table1[[#This Row],[Ripple Current pk-pk]]/2)*Vsd_Q4*Deadtime*Fsw))</f>
        <v>0</v>
      </c>
      <c r="AT27" s="354">
        <f>(Table1[[#This Row],[Dead Time Loss BoCtlr]]+Table1[[#This Row],[Transition Loss BoCtlr]]+Table1[[#This Row],[RDS(on) Loss BoCtlr]]*(1+RdsonTopTc*Ta-RdsonTopTc*25))/(1-Table1[[#This Row],[RDS(on) Loss BoCtlr]]*RdsonTopTc*ThetaJA_Q4)</f>
        <v>0</v>
      </c>
      <c r="AU2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12.037082410600538</v>
      </c>
      <c r="AV27" s="354">
        <f>Rdson3*Table1[[#This Row],[Irms BoSync]]^2</f>
        <v>0.60854368243027324</v>
      </c>
      <c r="AW2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7" s="354">
        <f>(Table1[[#This Row],[Deadtime Loss BoSync]]+Table1[[#This Row],[RDS(on) Loss BoSync]]*(1+RdsonBotTc*Ta-RdsonBotTc*25))/(1-Table1[[#This Row],[RDS(on) Loss BoSync]]*RdsonBotTc*ThetaJA_Q3)</f>
        <v>0.71262255071741665</v>
      </c>
      <c r="AY27" s="354">
        <f>CHOOSE(Table1[[#This Row],[Mode Digit]], Rdson3*Table1[[#This Row],[Irms Lf]]^2, Rdson1*Table1[[#This Row],[Irms Lf]]^2, 0)</f>
        <v>0.60854368243027324</v>
      </c>
      <c r="AZ27" s="354">
        <f>CHOOSE(Table1[[#This Row],[Mode Digit]], 2*Deadtime*Fsw*IF(VfdSky_Q2&gt;0,VfdSky_Q2,0)*Table1[[#This Row],[Iout]], 2*Deadtime*Fsw*IF(VfdSky_Q3&gt;0,VfdSky_Q3,0)*Table1[[#This Row],[Iin]], 2*Deadtime*Fsw*IF(VfdSky_Q2&gt;0,VfdSky_Q2,0)*Table1[[#This Row],[Iout]]+2*Deadtime*Fsw*IF(VfdSky_Q3&gt;0,VfdSky_Q3,0)*Table1[[#This Row],[Iin]])</f>
        <v>0</v>
      </c>
      <c r="BA27" s="354">
        <f>CHOOSE(Table1[[#This Row],[Mode Digit]], IF(QrrSky_Q2&gt;0,QrrSky_Q2,Qrr_Q2)*Fsw*(Table1[[#This Row],[Vin]]-Table1[[#This Row],[Iout]]*Rdson1),0,  IF(QrrSky_Q2&gt;0,QrrSky_Q2,Qrr_Q2)*Fsw*(Table1[[#This Row],[Vin]]-Table1[[#This Row],[Iout]]*Rdson1)+IF(QrrSky_Q3&gt;0,QrrSky_Q3,Qrr_Q3)*Fsw*Vout)</f>
        <v>0.26963520000000002</v>
      </c>
      <c r="BB27" s="354">
        <f>CHOOSE(Table1[[#This Row],[Mode Digit]],0, IF(QrrSky_Q3&gt;0,QrrSky_Q3,Qrr_Q3)*Fsw*Vout,  IF(QrrSky_Q2&gt;0,QrrSky_Q2,Qrr_Q2)*Fsw*(Table1[[#This Row],[Vin]]-Table1[[#This Row],[Iout]]*Rdson1)+IF(QrrSky_Q3&gt;0,QrrSky_Q3,Qrr_Q3)*Fsw*Vout)</f>
        <v>0</v>
      </c>
      <c r="BC27" s="354">
        <f>CHOOSE(Table1[[#This Row],[Mode Digit]], Rs*Table1[[#This Row],[Irms BuSync]]^2, Rs*Table1[[#This Row],[Irms BoCtlr]]^2, Rs*(Table1[[#This Row],[Irms BuSync]]^2+Table1[[#This Row],[Irms BoCtlr]]^2))</f>
        <v>0.12529407462137399</v>
      </c>
      <c r="BD27" s="354">
        <f t="shared" si="1"/>
        <v>1.44</v>
      </c>
      <c r="BE27" s="354">
        <f>IF(Vout&gt;8, Iq*Vout, Iq*Table1[[#This Row],[Vin]])</f>
        <v>4.3799999999999999E-2</v>
      </c>
      <c r="BF27" s="354">
        <f>CHOOSE(Table1[[#This Row],[Mode Digit]], (Qg_Q1+Qg_Q2)*Fsw, (Qg_Q3+Qg_Q4)*Fsw, (Qg_Q1+Qg_Q2+Qg_Q3+Qg_Q4)*Fsw)*IF(Vout&gt;8, Vout, Table1[[#This Row],[Vin]])</f>
        <v>0.47303999999999996</v>
      </c>
      <c r="BG27" s="354">
        <f t="shared" si="2"/>
        <v>0.45605042016806729</v>
      </c>
      <c r="BH27" s="354">
        <f>Table1[[#This Row],[IQ Loss]]+Table1[[#This Row],[Switching Current Loss]]</f>
        <v>0.51683999999999997</v>
      </c>
      <c r="BI2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8.7610003791594639</v>
      </c>
      <c r="BJ27">
        <f>Vout*Table1[[#This Row],[Iout]]</f>
        <v>175.2</v>
      </c>
      <c r="BK27" s="550">
        <f>Table1[[#This Row],[Pout]]/(Table1[[#This Row],[Pout]]+Table1[[#This Row],[Total Loss]])</f>
        <v>0.95237577333727097</v>
      </c>
      <c r="BL2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204.17626781379232</v>
      </c>
      <c r="BM27" s="559">
        <f>IF(Table1[[#This Row],[Vin]]&gt;Vout, Table1[[#This Row],[Total Sync Bu MOSFET Loss]]*ThetaJA_Q2, ThetaJA_Q3*Table1[[#This Row],[Total Sync Bo MOSFET Loss]])</f>
        <v>49.787101660638271</v>
      </c>
      <c r="BN27" s="9"/>
      <c r="BO27" s="4">
        <f>Table1[[#This Row],[EFF, h]]*100</f>
        <v>95.237577333727103</v>
      </c>
      <c r="BP27" s="354">
        <f>Table1[[#This Row],[Total Inductor Loss]]</f>
        <v>1.3938648810549974</v>
      </c>
      <c r="BQ27" s="354">
        <f>Table1[[#This Row],[Total Control Bu MOSFET Loss]]+Table1[[#This Row],[Total Sync Bu MOSFET Loss]]+Table1[[#This Row],[Total Control Bo MOSFET Loss]]+Table1[[#This Row],[Total Sync Bo MOSFET Loss]]+Table1[[#This Row],[Reverse Recovery Loss MOSFET D BUCK]]+Table1[[#This Row],[Reverse Recovery Loss MOSFET D BOOST]]</f>
        <v>5.2149805752912588</v>
      </c>
      <c r="BR27" s="354">
        <f>Table1[[#This Row],[Total Control Bu MOSFET Loss]]+Table1[[#This Row],[Reverse Recovery Loss MOSFET D BUCK]]*0.66</f>
        <v>3.5808970288965387</v>
      </c>
      <c r="BS27" s="354">
        <f>Table1[[#This Row],[Total Sync Bu MOSFET Loss]]+Table1[[#This Row],[Reverse Recovery Loss MOSFET D BUCK]]*0.33</f>
        <v>0.91876464367730459</v>
      </c>
      <c r="BT27" s="354">
        <f xml:space="preserve"> Table1[[#This Row],[Total Control Bo MOSFET Loss]]+Table1[[#This Row],[Reverse Recovery Loss MOSFET D BOOST]]*0.66</f>
        <v>0</v>
      </c>
      <c r="BU27" s="354">
        <f xml:space="preserve"> Table1[[#This Row],[Total Sync Bo MOSFET Loss]]+Table1[[#This Row],[Reverse Recovery Loss MOSFET D BOOST]]*0.33</f>
        <v>0.71262255071741665</v>
      </c>
      <c r="BV27" s="354">
        <f>Table1[[#This Row],[Isense Shunt Loss]]</f>
        <v>0.12529407462137399</v>
      </c>
      <c r="BZ27" t="s">
        <v>153</v>
      </c>
      <c r="CA27">
        <v>9.9986669999999993</v>
      </c>
      <c r="CB27">
        <v>0.1166</v>
      </c>
      <c r="CC27">
        <v>5.1212980000000003</v>
      </c>
      <c r="CD27">
        <v>64.729420570558148</v>
      </c>
      <c r="CE27">
        <v>325.37886459483997</v>
      </c>
    </row>
    <row r="28" spans="1:92" x14ac:dyDescent="0.2">
      <c r="A28" s="22" t="s">
        <v>148</v>
      </c>
      <c r="B28" s="5">
        <f>RdsonDRT2</f>
        <v>1</v>
      </c>
      <c r="C28" s="444" t="s">
        <v>118</v>
      </c>
      <c r="D28" s="440" t="s">
        <v>679</v>
      </c>
      <c r="G28">
        <v>19</v>
      </c>
      <c r="H28" s="555">
        <f>VIN_min+(VIN_max-VIN_min)*(Table1[[#This Row],[Step]]/200)</f>
        <v>22.66</v>
      </c>
      <c r="I28" s="4" t="str">
        <f>IF(Mode = 2,IF(Table1[[#This Row],[Vin]]&gt;Vout, "BUCK","BOOST"),IF(Table1[[#This Row],[Vin]]&gt;VIN_BB_to_buck, "BUCK", IF(Table1[[#This Row],[Vin]]&lt;=VIN_boost_to_BB,"BOOST","BUCK-BST")))</f>
        <v>BUCK</v>
      </c>
      <c r="J28">
        <f>IF(Table1[[#This Row],[Mode]]="BOOST",2, IF(Table1[[#This Row],[Mode]]="BUCK", 1,3))</f>
        <v>1</v>
      </c>
      <c r="K28">
        <f t="shared" si="0"/>
        <v>12</v>
      </c>
      <c r="L28" s="4">
        <f>Vout*Table1[[#This Row],[Iout]]/(Table1[[#This Row],[Vin]]*Efficiency)</f>
        <v>8.1386166209875981</v>
      </c>
      <c r="M28" s="711">
        <f>MIN(1/Fsw,CHOOSE(Table1[[#This Row],[Mode Digit]],(Vout+(Rdson2+Rs+Rdcr)*Table1[[#This Row],[Iout]])/(Table1[[#This Row],[Vin]]+(Rs+Rdson2-Rdson1)*Table1[[#This Row],[Iout]])/Fsw,(Vout+(Rdson3+Rdcr)*Table1[[#This Row],[Iin]]-Table1[[#This Row],[Vin]])/(Vout+(Rdson3-Rdson4-Rs)*Table1[[#This Row],[Iin]])/Fsw,t1_Ph_II))</f>
        <v>1.0834435140296753E-6</v>
      </c>
      <c r="N28" s="602">
        <f>CHOOSE(Table1[[#This Row],[Mode Digit]],1/Fsw-Table1[[#This Row],[t1_Ph_II]],1/Fsw-Table1[[#This Row],[t1_Ph_II]],(Vout/Fsw-Table1[[#This Row],[Vin]]*t1_Ph_II)/(Table1[[#This Row],[Vin]]+Vout))</f>
        <v>5.8322315263699133E-7</v>
      </c>
      <c r="O28" s="602">
        <f>1/Fsw-(Table1[[#This Row],[t1_Ph_II]]+Table1[[#This Row],[t2_Ph_I]])</f>
        <v>0</v>
      </c>
      <c r="P2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10.346107060022883</v>
      </c>
      <c r="Q28" s="4">
        <f>CHOOSE(Table1[[#This Row],[Mode Digit]],Table1[[#This Row],[I_0]]+1/Lf*(Table1[[#This Row],[Vin]]-Vout)*Table1[[#This Row],[t1_Ph_II]],Table1[[#This Row],[I_0]]+1/Lf*Table1[[#This Row],[Vin]]*Table1[[#This Row],[t1_Ph_II]],Table1[[#This Row],[I_0]]+(Table1[[#This Row],[Vin]]-Vout)/L*Table1[[#This Row],[t1_Ph_II]])</f>
        <v>13.653892939977119</v>
      </c>
      <c r="R28" s="4">
        <f>CHOOSE(Table1[[#This Row],[Mode Digit]],0,0,Table1[[#This Row],[I_1]]+Table1[[#This Row],[Vin]]/L*Table1[[#This Row],[t2_Ph_I]])</f>
        <v>0</v>
      </c>
      <c r="S28" s="4">
        <f>Fsw*(Table1[[#This Row],[I_0]]*Table1[[#This Row],[t1_Ph_II]]+Table1[[#This Row],[I_1]]*Table1[[#This Row],[t2_Ph_I]]+Table1[[#This Row],[I_2]]*Table1[[#This Row],[t3_Ph_III]])</f>
        <v>11.503613445515905</v>
      </c>
      <c r="T28" s="354">
        <f>MIN(1,CHOOSE(Table1[[#This Row],[Mode Digit]],(Vout+(Rdson2+Rs+Rdcr)*Table1[[#This Row],[Iout]])/(Table1[[#This Row],[Vin]]+(Rs+Rdson2-Rdson1)*Table1[[#This Row],[Iout]]),1,Fsw*Table1[[#This Row],[t2_Ph_I]]+Table1[[#This Row],[t1_Ph_II]]))</f>
        <v>0.65006610841780521</v>
      </c>
      <c r="U28" s="354">
        <f>MIN(1,CHOOSE(Table1[[#This Row],[Mode Digit]],0,(Vout+(Rdson3+Rdcr)*Table1[[#This Row],[Iin]]-Table1[[#This Row],[Vin]])/(Vout+(Rdson3-Rdson4-Rs)*Table1[[#This Row],[Iin]]),Fsw*Table1[[#This Row],[t1_Ph_II]]+Table1[[#This Row],[t3_Ph_III]]))</f>
        <v>0</v>
      </c>
      <c r="V28" s="4">
        <f>MAX(Table1[[#This Row],[I_0]:[I_2]])-MIN(Table1[[#This Row],[I_0]:[I_1]])</f>
        <v>3.3077858799542366</v>
      </c>
      <c r="W2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12.037931187942362</v>
      </c>
      <c r="X28" s="354">
        <f>(Table1[[#This Row],[Irms Lf]]^2*Rdcr*(1+Ltc*Ta-Ltc*25))/(1-Table1[[#This Row],[Irms Lf]]^2*Rdcr*Ltc*ThetaCa)</f>
        <v>0.9010758690615549</v>
      </c>
      <c r="Y28" s="354">
        <f>ABS(7.759*10^-3*Fsw^0.9458*(0.00787*Table1[[#This Row],[Ripple Current pk-pk]])^2.304)</f>
        <v>0.50596576470067733</v>
      </c>
      <c r="Z28" s="354">
        <f>Table1[[#This Row],[DCR    Loss]]+Table1[[#This Row],[Core Loss]]</f>
        <v>1.4070416337622322</v>
      </c>
      <c r="AA28" s="4">
        <f>IF(Table1[[#This Row],[Vin]]&gt;Vout, Table1[[#This Row],[Ripple Current pk-pk]]/SQRT(12), SQRT(Table1[[#This Row],[Duty Cycle BOOST Leg]]/(1-Table1[[#This Row],[Duty Cycle BOOST Leg]]))*SQRT(Table1[[#This Row],[Iout]]^2+(Table1[[#This Row],[Ripple Current pk-pk]]^2)/12))</f>
        <v>0.95487553410661086</v>
      </c>
      <c r="AB28" s="354">
        <f>RCoutEsr*Table1[[#This Row],[Irms Cout]]^2</f>
        <v>4.5589364281769266E-3</v>
      </c>
      <c r="AC28" s="354">
        <f>Table1[[#This Row],[Cout ESR Loss]]</f>
        <v>4.5589364281769266E-3</v>
      </c>
      <c r="AD28" s="354">
        <f>IF(Table1[[#This Row],[Vin]]&gt;Vout, SQRT(Table1[[#This Row],[Duty Cycle BUCK Leg]]*(1-Table1[[#This Row],[Duty Cycle BUCK Leg]]))*SQRT(Table1[[#This Row],[Iout]]^2+(Table1[[#This Row],[Ripple Current pk-pk]]^2)/12), Table1[[#This Row],[Ripple Current pk-pk]]/SQRT(12))</f>
        <v>5.7414769012404046</v>
      </c>
      <c r="AE28" s="354">
        <f>RCinEsr*Table1[[#This Row],[Irms Cin]]^2</f>
        <v>6.5929114014954243E-2</v>
      </c>
      <c r="AF28" s="549">
        <f>Table1[[#This Row],[Cin ESR Loss]]</f>
        <v>6.5929114014954243E-2</v>
      </c>
      <c r="AG2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9.7057839263318542</v>
      </c>
      <c r="AH28" s="354">
        <f>Rdson1*Table1[[#This Row],[Irms BuCtrl]]^2</f>
        <v>0.39564941482349558</v>
      </c>
      <c r="AI28" s="354">
        <f>CHOOSE(Table1[[#This Row],[Mode Digit]], (Table1[[#This Row],[Vin]]*Table1[[#This Row],[Iout]]/2)*(Fsw)*(Tr_buck+Tf_buck), 0, (Table1[[#This Row],[Vin]]*Table1[[#This Row],[Avg IL]]/2)*(Fsw/1)*(Tr_buck+Tf_buck))</f>
        <v>2.6964584990907259</v>
      </c>
      <c r="AJ28">
        <f>IF(Table1[[#This Row],[Vin]]&gt;Vout, IF(Table1[[#This Row],[Iout]]&gt;Table1[[#This Row],[Ripple Current pk-pk]]/2,0,ABS(Table1[[#This Row],[Iout]]-Table1[[#This Row],[Ripple Current pk-pk]]/2)*Vsd_Q1*Deadtime*Fsw),0)</f>
        <v>0</v>
      </c>
      <c r="AK28" s="354">
        <f>(Table1[[#This Row],[Dead Time Loss BuCtrl]]+Table1[[#This Row],[Transition Loss BuCtrl]]+Table1[[#This Row],[RDS(on) Loss BuCtrl]]*(1+RdsonTopTc*Ta-RdsonTopTc*25))/(1-Table1[[#This Row],[RDS(on) Loss BuCtrl]]*RdsonTopTc*ThetaJA_Q1)</f>
        <v>3.4165271899367062</v>
      </c>
      <c r="AL28" s="354">
        <f>CHOOSE(Table1[[#This Row],[Mode Digit]],SQRT((Fsw*(Table1[[#This Row],[t2_Ph_I]]+0))*((Table1[[#This Row],[I_0]]*Table1[[#This Row],[I_1]]+((Table1[[#This Row],[I_0]]-Table1[[#This Row],[I_1]])^2)/3))),0,SQRT((Fsw*(Table1[[#This Row],[t3_Ph_III]]+0))*((Table1[[#This Row],[I_0]]*Table1[[#This Row],[I_2]]+((Table1[[#This Row],[I_0]]-Table1[[#This Row],[I_2]])^2)/3))))</f>
        <v>7.1210635203594137</v>
      </c>
      <c r="AM28" s="354">
        <f>Rdson2*Table1[[#This Row],[Irms BuSync]]^2</f>
        <v>0.21298009177617316</v>
      </c>
      <c r="AN2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8" s="354">
        <f>(Table1[[#This Row],[Deadtime Loss BuSync]]+Table1[[#This Row],[RDS(on) Loss BuSync]]*(1+RdsonBotTc*Ta-RdsonBotTc*25))/(1-Table1[[#This Row],[RDS(on) Loss BuSync]]*RdsonBotTc*ThetaJA_Q2)</f>
        <v>0.83292675643437541</v>
      </c>
      <c r="AP28" s="354">
        <f>CHOOSE(Table1[[#This Row],[Mode Digit]],0,SQRT((Fsw*(Table1[[#This Row],[t1_Ph_II]]+0))*((Table1[[#This Row],[I_0]]*Table1[[#This Row],[I_1]]+((Table1[[#This Row],[I_0]]-Table1[[#This Row],[I_1]])^2)/3))),SQRT((Fsw*(Table1[[#This Row],[t2_Ph_I]]+0))*((Table1[[#This Row],[I_1]]*Table1[[#This Row],[I_2]]+((Table1[[#This Row],[I_1]]-Table1[[#This Row],[I_2]])^2)/3))))</f>
        <v>0</v>
      </c>
      <c r="AQ28" s="354">
        <f>Rdson4*Table1[[#This Row],[Irms BoCtlr]]^2</f>
        <v>0</v>
      </c>
      <c r="AR28" s="354">
        <f>CHOOSE(Table1[[#This Row],[Mode Digit]], 0, (Vout*Table1[[#This Row],[Iin]]/2)*(Fsw)*(Tr_boost+Tf_boost), (Vout*Iout/2)*(Fsw/1)*(Tr_boost+Tf_boost))</f>
        <v>0</v>
      </c>
      <c r="AS28">
        <f>IF(Table1[[#This Row],[Vin]]&gt;Vout, 0, IF(Table1[[#This Row],[Iin]]&gt;Table1[[#This Row],[Ripple Current pk-pk]]/2,0,ABS(Table1[[#This Row],[Iin]]-Table1[[#This Row],[Ripple Current pk-pk]]/2)*Vsd_Q4*Deadtime*Fsw))</f>
        <v>0</v>
      </c>
      <c r="AT28" s="354">
        <f>(Table1[[#This Row],[Dead Time Loss BoCtlr]]+Table1[[#This Row],[Transition Loss BoCtlr]]+Table1[[#This Row],[RDS(on) Loss BoCtlr]]*(1+RdsonTopTc*Ta-RdsonTopTc*25))/(1-Table1[[#This Row],[RDS(on) Loss BoCtlr]]*RdsonTopTc*ThetaJA_Q4)</f>
        <v>0</v>
      </c>
      <c r="AU2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12.037931187942362</v>
      </c>
      <c r="AV28" s="354">
        <f>Rdson3*Table1[[#This Row],[Irms BoSync]]^2</f>
        <v>0.60862950659966886</v>
      </c>
      <c r="AW2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8" s="354">
        <f>(Table1[[#This Row],[Deadtime Loss BoSync]]+Table1[[#This Row],[RDS(on) Loss BoSync]]*(1+RdsonBotTc*Ta-RdsonBotTc*25))/(1-Table1[[#This Row],[RDS(on) Loss BoSync]]*RdsonBotTc*ThetaJA_Q3)</f>
        <v>0.71274024508807221</v>
      </c>
      <c r="AY28" s="354">
        <f>CHOOSE(Table1[[#This Row],[Mode Digit]], Rdson3*Table1[[#This Row],[Irms Lf]]^2, Rdson1*Table1[[#This Row],[Irms Lf]]^2, 0)</f>
        <v>0.60862950659966886</v>
      </c>
      <c r="AZ28" s="354">
        <f>CHOOSE(Table1[[#This Row],[Mode Digit]], 2*Deadtime*Fsw*IF(VfdSky_Q2&gt;0,VfdSky_Q2,0)*Table1[[#This Row],[Iout]], 2*Deadtime*Fsw*IF(VfdSky_Q3&gt;0,VfdSky_Q3,0)*Table1[[#This Row],[Iin]], 2*Deadtime*Fsw*IF(VfdSky_Q2&gt;0,VfdSky_Q2,0)*Table1[[#This Row],[Iout]]+2*Deadtime*Fsw*IF(VfdSky_Q3&gt;0,VfdSky_Q3,0)*Table1[[#This Row],[Iin]])</f>
        <v>0</v>
      </c>
      <c r="BA28" s="354">
        <f>CHOOSE(Table1[[#This Row],[Mode Digit]], IF(QrrSky_Q2&gt;0,QrrSky_Q2,Qrr_Q2)*Fsw*(Table1[[#This Row],[Vin]]-Table1[[#This Row],[Iout]]*Rdson1),0,  IF(QrrSky_Q2&gt;0,QrrSky_Q2,Qrr_Q2)*Fsw*(Table1[[#This Row],[Vin]]-Table1[[#This Row],[Iout]]*Rdson1)+IF(QrrSky_Q3&gt;0,QrrSky_Q3,Qrr_Q3)*Fsw*Vout)</f>
        <v>0.27131520000000003</v>
      </c>
      <c r="BB28" s="354">
        <f>CHOOSE(Table1[[#This Row],[Mode Digit]],0, IF(QrrSky_Q3&gt;0,QrrSky_Q3,Qrr_Q3)*Fsw*Vout,  IF(QrrSky_Q2&gt;0,QrrSky_Q2,Qrr_Q2)*Fsw*(Table1[[#This Row],[Vin]]-Table1[[#This Row],[Iout]]*Rdson1)+IF(QrrSky_Q3&gt;0,QrrSky_Q3,Qrr_Q3)*Fsw*Vout)</f>
        <v>0</v>
      </c>
      <c r="BC28" s="354">
        <f>CHOOSE(Table1[[#This Row],[Mode Digit]], Rs*Table1[[#This Row],[Irms BuSync]]^2, Rs*Table1[[#This Row],[Irms BoCtlr]]^2, Rs*(Table1[[#This Row],[Irms BuSync]]^2+Table1[[#This Row],[Irms BoCtlr]]^2))</f>
        <v>0.12677386415248401</v>
      </c>
      <c r="BD28" s="354">
        <f t="shared" si="1"/>
        <v>1.44</v>
      </c>
      <c r="BE28" s="354">
        <f>IF(Vout&gt;8, Iq*Vout, Iq*Table1[[#This Row],[Vin]])</f>
        <v>4.3799999999999999E-2</v>
      </c>
      <c r="BF28" s="354">
        <f>CHOOSE(Table1[[#This Row],[Mode Digit]], (Qg_Q1+Qg_Q2)*Fsw, (Qg_Q3+Qg_Q4)*Fsw, (Qg_Q1+Qg_Q2+Qg_Q3+Qg_Q4)*Fsw)*IF(Vout&gt;8, Vout, Table1[[#This Row],[Vin]])</f>
        <v>0.47303999999999996</v>
      </c>
      <c r="BG28" s="354">
        <f t="shared" si="2"/>
        <v>0.45605042016806729</v>
      </c>
      <c r="BH28" s="354">
        <f>Table1[[#This Row],[IQ Loss]]+Table1[[#This Row],[Switching Current Loss]]</f>
        <v>0.51683999999999997</v>
      </c>
      <c r="BI2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8.7946529398170021</v>
      </c>
      <c r="BJ28">
        <f>Vout*Table1[[#This Row],[Iout]]</f>
        <v>175.2</v>
      </c>
      <c r="BK28" s="550">
        <f>Table1[[#This Row],[Pout]]/(Table1[[#This Row],[Pout]]+Table1[[#This Row],[Total Loss]])</f>
        <v>0.95220158412596012</v>
      </c>
      <c r="BL2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204.99163139620237</v>
      </c>
      <c r="BM28" s="559">
        <f>IF(Table1[[#This Row],[Vin]]&gt;Vout, Table1[[#This Row],[Total Sync Bu MOSFET Loss]]*ThetaJA_Q2, ThetaJA_Q3*Table1[[#This Row],[Total Sync Bo MOSFET Loss]])</f>
        <v>49.975605386062526</v>
      </c>
      <c r="BN28" s="9"/>
      <c r="BO28" s="4">
        <f>Table1[[#This Row],[EFF, h]]*100</f>
        <v>95.220158412596007</v>
      </c>
      <c r="BP28" s="354">
        <f>Table1[[#This Row],[Total Inductor Loss]]</f>
        <v>1.4070416337622322</v>
      </c>
      <c r="BQ28" s="354">
        <f>Table1[[#This Row],[Total Control Bu MOSFET Loss]]+Table1[[#This Row],[Total Sync Bu MOSFET Loss]]+Table1[[#This Row],[Total Control Bo MOSFET Loss]]+Table1[[#This Row],[Total Sync Bo MOSFET Loss]]+Table1[[#This Row],[Reverse Recovery Loss MOSFET D BUCK]]+Table1[[#This Row],[Reverse Recovery Loss MOSFET D BOOST]]</f>
        <v>5.2335093914591546</v>
      </c>
      <c r="BR28" s="354">
        <f>Table1[[#This Row],[Total Control Bu MOSFET Loss]]+Table1[[#This Row],[Reverse Recovery Loss MOSFET D BUCK]]*0.66</f>
        <v>3.5955952219367062</v>
      </c>
      <c r="BS28" s="354">
        <f>Table1[[#This Row],[Total Sync Bu MOSFET Loss]]+Table1[[#This Row],[Reverse Recovery Loss MOSFET D BUCK]]*0.33</f>
        <v>0.92246077243437541</v>
      </c>
      <c r="BT28" s="354">
        <f xml:space="preserve"> Table1[[#This Row],[Total Control Bo MOSFET Loss]]+Table1[[#This Row],[Reverse Recovery Loss MOSFET D BOOST]]*0.66</f>
        <v>0</v>
      </c>
      <c r="BU28" s="354">
        <f xml:space="preserve"> Table1[[#This Row],[Total Sync Bo MOSFET Loss]]+Table1[[#This Row],[Reverse Recovery Loss MOSFET D BOOST]]*0.33</f>
        <v>0.71274024508807221</v>
      </c>
      <c r="BV28" s="354">
        <f>Table1[[#This Row],[Isense Shunt Loss]]</f>
        <v>0.12677386415248401</v>
      </c>
      <c r="BZ28" t="s">
        <v>154</v>
      </c>
      <c r="CA28">
        <v>9.9987659999999998</v>
      </c>
      <c r="CB28">
        <v>0.14660000000000001</v>
      </c>
      <c r="CC28">
        <v>5.1213230000000003</v>
      </c>
      <c r="CD28">
        <v>69.885376918691776</v>
      </c>
      <c r="CE28">
        <v>323.52446193379996</v>
      </c>
    </row>
    <row r="29" spans="1:92" x14ac:dyDescent="0.2">
      <c r="A29" s="24" t="s">
        <v>115</v>
      </c>
      <c r="B29" s="15" t="s">
        <v>113</v>
      </c>
      <c r="C29" s="24" t="s">
        <v>80</v>
      </c>
      <c r="D29" s="17" t="s">
        <v>109</v>
      </c>
      <c r="G29">
        <v>20</v>
      </c>
      <c r="H29" s="555">
        <f>VIN_min+(VIN_max-VIN_min)*(Table1[[#This Row],[Step]]/200)</f>
        <v>22.8</v>
      </c>
      <c r="I29" s="4" t="str">
        <f>IF(Mode = 2,IF(Table1[[#This Row],[Vin]]&gt;Vout, "BUCK","BOOST"),IF(Table1[[#This Row],[Vin]]&gt;VIN_BB_to_buck, "BUCK", IF(Table1[[#This Row],[Vin]]&lt;=VIN_boost_to_BB,"BOOST","BUCK-BST")))</f>
        <v>BUCK</v>
      </c>
      <c r="J29">
        <f>IF(Table1[[#This Row],[Mode]]="BOOST",2, IF(Table1[[#This Row],[Mode]]="BUCK", 1,3))</f>
        <v>1</v>
      </c>
      <c r="K29">
        <f t="shared" si="0"/>
        <v>12</v>
      </c>
      <c r="L29" s="4">
        <f>Vout*Table1[[#This Row],[Iout]]/(Table1[[#This Row],[Vin]]*Efficiency)</f>
        <v>8.0886426592797775</v>
      </c>
      <c r="M29" s="711">
        <f>MIN(1/Fsw,CHOOSE(Table1[[#This Row],[Mode Digit]],(Vout+(Rdson2+Rs+Rdcr)*Table1[[#This Row],[Iout]])/(Table1[[#This Row],[Vin]]+(Rs+Rdson2-Rdson1)*Table1[[#This Row],[Iout]])/Fsw,(Vout+(Rdson3+Rdcr)*Table1[[#This Row],[Iin]]-Table1[[#This Row],[Vin]])/(Vout+(Rdson3-Rdson4-Rs)*Table1[[#This Row],[Iin]])/Fsw,t1_Ph_II))</f>
        <v>1.0767995327785078E-6</v>
      </c>
      <c r="N29" s="602">
        <f>CHOOSE(Table1[[#This Row],[Mode Digit]],1/Fsw-Table1[[#This Row],[t1_Ph_II]],1/Fsw-Table1[[#This Row],[t1_Ph_II]],(Vout/Fsw-Table1[[#This Row],[Vin]]*t1_Ph_II)/(Table1[[#This Row],[Vin]]+Vout))</f>
        <v>5.8986713388815889E-7</v>
      </c>
      <c r="O29" s="602">
        <f>1/Fsw-(Table1[[#This Row],[t1_Ph_II]]+Table1[[#This Row],[t2_Ph_I]])</f>
        <v>0</v>
      </c>
      <c r="P2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10.327697695306105</v>
      </c>
      <c r="Q29" s="4">
        <f>CHOOSE(Table1[[#This Row],[Mode Digit]],Table1[[#This Row],[I_0]]+1/Lf*(Table1[[#This Row],[Vin]]-Vout)*Table1[[#This Row],[t1_Ph_II]],Table1[[#This Row],[I_0]]+1/Lf*Table1[[#This Row],[Vin]]*Table1[[#This Row],[t1_Ph_II]],Table1[[#This Row],[I_0]]+(Table1[[#This Row],[Vin]]-Vout)/L*Table1[[#This Row],[t1_Ph_II]])</f>
        <v>13.672302304693893</v>
      </c>
      <c r="R29" s="4">
        <f>CHOOSE(Table1[[#This Row],[Mode Digit]],0,0,Table1[[#This Row],[I_1]]+Table1[[#This Row],[Vin]]/L*Table1[[#This Row],[t2_Ph_I]])</f>
        <v>0</v>
      </c>
      <c r="S29" s="4">
        <f>Fsw*(Table1[[#This Row],[I_0]]*Table1[[#This Row],[t1_Ph_II]]+Table1[[#This Row],[I_1]]*Table1[[#This Row],[t2_Ph_I]]+Table1[[#This Row],[I_2]]*Table1[[#This Row],[t3_Ph_III]])</f>
        <v>11.511421096263327</v>
      </c>
      <c r="T29" s="354">
        <f>MIN(1,CHOOSE(Table1[[#This Row],[Mode Digit]],(Vout+(Rdson2+Rs+Rdcr)*Table1[[#This Row],[Iout]])/(Table1[[#This Row],[Vin]]+(Rs+Rdson2-Rdson1)*Table1[[#This Row],[Iout]]),1,Fsw*Table1[[#This Row],[t2_Ph_I]]+Table1[[#This Row],[t1_Ph_II]]))</f>
        <v>0.64607971966710465</v>
      </c>
      <c r="U29" s="354">
        <f>MIN(1,CHOOSE(Table1[[#This Row],[Mode Digit]],0,(Vout+(Rdson3+Rdcr)*Table1[[#This Row],[Iin]]-Table1[[#This Row],[Vin]])/(Vout+(Rdson3-Rdson4-Rs)*Table1[[#This Row],[Iin]]),Fsw*Table1[[#This Row],[t1_Ph_II]]+Table1[[#This Row],[t3_Ph_III]]))</f>
        <v>0</v>
      </c>
      <c r="V29" s="4">
        <f>MAX(Table1[[#This Row],[I_0]:[I_2]])-MIN(Table1[[#This Row],[I_0]:[I_1]])</f>
        <v>3.3446046093877886</v>
      </c>
      <c r="W2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12.038778938611735</v>
      </c>
      <c r="X29" s="354">
        <f>(Table1[[#This Row],[Irms Lf]]^2*Rdcr*(1+Ltc*Ta-Ltc*25))/(1-Table1[[#This Row],[Irms Lf]]^2*Rdcr*Ltc*ThetaCa)</f>
        <v>0.90121193737269489</v>
      </c>
      <c r="Y29" s="354">
        <f>ABS(7.759*10^-3*Fsw^0.9458*(0.00787*Table1[[#This Row],[Ripple Current pk-pk]])^2.304)</f>
        <v>0.51903586709046623</v>
      </c>
      <c r="Z29" s="354">
        <f>Table1[[#This Row],[DCR    Loss]]+Table1[[#This Row],[Core Loss]]</f>
        <v>1.4202478044631612</v>
      </c>
      <c r="AA29" s="4">
        <f>IF(Table1[[#This Row],[Vin]]&gt;Vout, Table1[[#This Row],[Ripple Current pk-pk]]/SQRT(12), SQRT(Table1[[#This Row],[Duty Cycle BOOST Leg]]/(1-Table1[[#This Row],[Duty Cycle BOOST Leg]]))*SQRT(Table1[[#This Row],[Iout]]^2+(Table1[[#This Row],[Ripple Current pk-pk]]^2)/12))</f>
        <v>0.96550418578145147</v>
      </c>
      <c r="AB29" s="354">
        <f>RCoutEsr*Table1[[#This Row],[Irms Cout]]^2</f>
        <v>4.6609916638075182E-3</v>
      </c>
      <c r="AC29" s="354">
        <f>Table1[[#This Row],[Cout ESR Loss]]</f>
        <v>4.6609916638075182E-3</v>
      </c>
      <c r="AD29" s="354">
        <f>IF(Table1[[#This Row],[Vin]]&gt;Vout, SQRT(Table1[[#This Row],[Duty Cycle BUCK Leg]]*(1-Table1[[#This Row],[Duty Cycle BUCK Leg]]))*SQRT(Table1[[#This Row],[Iout]]^2+(Table1[[#This Row],[Ripple Current pk-pk]]^2)/12), Table1[[#This Row],[Ripple Current pk-pk]]/SQRT(12))</f>
        <v>5.7567612569954765</v>
      </c>
      <c r="AE29" s="354">
        <f>RCinEsr*Table1[[#This Row],[Irms Cin]]^2</f>
        <v>6.6280600340088272E-2</v>
      </c>
      <c r="AF29" s="549">
        <f>Table1[[#This Row],[Cin ESR Loss]]</f>
        <v>6.6280600340088272E-2</v>
      </c>
      <c r="AG2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9.6766602745765411</v>
      </c>
      <c r="AH29" s="354">
        <f>Rdson1*Table1[[#This Row],[Irms BuCtrl]]^2</f>
        <v>0.39327856709218456</v>
      </c>
      <c r="AI29" s="354">
        <f>CHOOSE(Table1[[#This Row],[Mode Digit]], (Table1[[#This Row],[Vin]]*Table1[[#This Row],[Iout]]/2)*(Fsw)*(Tr_buck+Tf_buck), 0, (Table1[[#This Row],[Vin]]*Table1[[#This Row],[Avg IL]]/2)*(Fsw/1)*(Tr_buck+Tf_buck))</f>
        <v>2.7131179955546578</v>
      </c>
      <c r="AJ29">
        <f>IF(Table1[[#This Row],[Vin]]&gt;Vout, IF(Table1[[#This Row],[Iout]]&gt;Table1[[#This Row],[Ripple Current pk-pk]]/2,0,ABS(Table1[[#This Row],[Iout]]-Table1[[#This Row],[Ripple Current pk-pk]]/2)*Vsd_Q1*Deadtime*Fsw),0)</f>
        <v>0</v>
      </c>
      <c r="AK29" s="354">
        <f>(Table1[[#This Row],[Dead Time Loss BuCtrl]]+Table1[[#This Row],[Transition Loss BuCtrl]]+Table1[[#This Row],[RDS(on) Loss BuCtrl]]*(1+RdsonTopTc*Ta-RdsonTopTc*25))/(1-Table1[[#This Row],[RDS(on) Loss BuCtrl]]*RdsonTopTc*ThetaJA_Q1)</f>
        <v>3.4301584330771866</v>
      </c>
      <c r="AL29" s="354">
        <f>CHOOSE(Table1[[#This Row],[Mode Digit]],SQRT((Fsw*(Table1[[#This Row],[t2_Ph_I]]+0))*((Table1[[#This Row],[I_0]]*Table1[[#This Row],[I_1]]+((Table1[[#This Row],[I_0]]-Table1[[#This Row],[I_1]])^2)/3))),0,SQRT((Fsw*(Table1[[#This Row],[t3_Ph_III]]+0))*((Table1[[#This Row],[I_0]]*Table1[[#This Row],[I_2]]+((Table1[[#This Row],[I_0]]-Table1[[#This Row],[I_2]])^2)/3))))</f>
        <v>7.1620139809409569</v>
      </c>
      <c r="AM29" s="354">
        <f>Rdson2*Table1[[#This Row],[Irms BuSync]]^2</f>
        <v>0.21543666590541372</v>
      </c>
      <c r="AN2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9" s="354">
        <f>(Table1[[#This Row],[Deadtime Loss BuSync]]+Table1[[#This Row],[RDS(on) Loss BuSync]]*(1+RdsonBotTc*Ta-RdsonBotTc*25))/(1-Table1[[#This Row],[RDS(on) Loss BuSync]]*RdsonBotTc*ThetaJA_Q2)</f>
        <v>0.83603512316006456</v>
      </c>
      <c r="AP29" s="354">
        <f>CHOOSE(Table1[[#This Row],[Mode Digit]],0,SQRT((Fsw*(Table1[[#This Row],[t1_Ph_II]]+0))*((Table1[[#This Row],[I_0]]*Table1[[#This Row],[I_1]]+((Table1[[#This Row],[I_0]]-Table1[[#This Row],[I_1]])^2)/3))),SQRT((Fsw*(Table1[[#This Row],[t2_Ph_I]]+0))*((Table1[[#This Row],[I_1]]*Table1[[#This Row],[I_2]]+((Table1[[#This Row],[I_1]]-Table1[[#This Row],[I_2]])^2)/3))))</f>
        <v>0</v>
      </c>
      <c r="AQ29" s="354">
        <f>Rdson4*Table1[[#This Row],[Irms BoCtlr]]^2</f>
        <v>0</v>
      </c>
      <c r="AR29" s="354">
        <f>CHOOSE(Table1[[#This Row],[Mode Digit]], 0, (Vout*Table1[[#This Row],[Iin]]/2)*(Fsw)*(Tr_boost+Tf_boost), (Vout*Iout/2)*(Fsw/1)*(Tr_boost+Tf_boost))</f>
        <v>0</v>
      </c>
      <c r="AS29">
        <f>IF(Table1[[#This Row],[Vin]]&gt;Vout, 0, IF(Table1[[#This Row],[Iin]]&gt;Table1[[#This Row],[Ripple Current pk-pk]]/2,0,ABS(Table1[[#This Row],[Iin]]-Table1[[#This Row],[Ripple Current pk-pk]]/2)*Vsd_Q4*Deadtime*Fsw))</f>
        <v>0</v>
      </c>
      <c r="AT29" s="354">
        <f>(Table1[[#This Row],[Dead Time Loss BoCtlr]]+Table1[[#This Row],[Transition Loss BoCtlr]]+Table1[[#This Row],[RDS(on) Loss BoCtlr]]*(1+RdsonTopTc*Ta-RdsonTopTc*25))/(1-Table1[[#This Row],[RDS(on) Loss BoCtlr]]*RdsonTopTc*ThetaJA_Q4)</f>
        <v>0</v>
      </c>
      <c r="AU2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12.038778938611735</v>
      </c>
      <c r="AV29" s="354">
        <f>Rdson3*Table1[[#This Row],[Irms BoSync]]^2</f>
        <v>0.60871523299759833</v>
      </c>
      <c r="AW2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9" s="354">
        <f>(Table1[[#This Row],[Deadtime Loss BoSync]]+Table1[[#This Row],[RDS(on) Loss BoSync]]*(1+RdsonBotTc*Ta-RdsonBotTc*25))/(1-Table1[[#This Row],[RDS(on) Loss BoSync]]*RdsonBotTc*ThetaJA_Q3)</f>
        <v>0.7128578110488154</v>
      </c>
      <c r="AY29" s="354">
        <f>CHOOSE(Table1[[#This Row],[Mode Digit]], Rdson3*Table1[[#This Row],[Irms Lf]]^2, Rdson1*Table1[[#This Row],[Irms Lf]]^2, 0)</f>
        <v>0.60871523299759833</v>
      </c>
      <c r="AZ29" s="354">
        <f>CHOOSE(Table1[[#This Row],[Mode Digit]], 2*Deadtime*Fsw*IF(VfdSky_Q2&gt;0,VfdSky_Q2,0)*Table1[[#This Row],[Iout]], 2*Deadtime*Fsw*IF(VfdSky_Q3&gt;0,VfdSky_Q3,0)*Table1[[#This Row],[Iin]], 2*Deadtime*Fsw*IF(VfdSky_Q2&gt;0,VfdSky_Q2,0)*Table1[[#This Row],[Iout]]+2*Deadtime*Fsw*IF(VfdSky_Q3&gt;0,VfdSky_Q3,0)*Table1[[#This Row],[Iin]])</f>
        <v>0</v>
      </c>
      <c r="BA29" s="354">
        <f>CHOOSE(Table1[[#This Row],[Mode Digit]], IF(QrrSky_Q2&gt;0,QrrSky_Q2,Qrr_Q2)*Fsw*(Table1[[#This Row],[Vin]]-Table1[[#This Row],[Iout]]*Rdson1),0,  IF(QrrSky_Q2&gt;0,QrrSky_Q2,Qrr_Q2)*Fsw*(Table1[[#This Row],[Vin]]-Table1[[#This Row],[Iout]]*Rdson1)+IF(QrrSky_Q3&gt;0,QrrSky_Q3,Qrr_Q3)*Fsw*Vout)</f>
        <v>0.27299519999999999</v>
      </c>
      <c r="BB29" s="354">
        <f>CHOOSE(Table1[[#This Row],[Mode Digit]],0, IF(QrrSky_Q3&gt;0,QrrSky_Q3,Qrr_Q3)*Fsw*Vout,  IF(QrrSky_Q2&gt;0,QrrSky_Q2,Qrr_Q2)*Fsw*(Table1[[#This Row],[Vin]]-Table1[[#This Row],[Iout]]*Rdson1)+IF(QrrSky_Q3&gt;0,QrrSky_Q3,Qrr_Q3)*Fsw*Vout)</f>
        <v>0</v>
      </c>
      <c r="BC29" s="354">
        <f>CHOOSE(Table1[[#This Row],[Mode Digit]], Rs*Table1[[#This Row],[Irms BuSync]]^2, Rs*Table1[[#This Row],[Irms BoCtlr]]^2, Rs*(Table1[[#This Row],[Irms BuSync]]^2+Table1[[#This Row],[Irms BoCtlr]]^2))</f>
        <v>0.12823611065798432</v>
      </c>
      <c r="BD29" s="354">
        <f t="shared" si="1"/>
        <v>1.44</v>
      </c>
      <c r="BE29" s="354">
        <f>IF(Vout&gt;8, Iq*Vout, Iq*Table1[[#This Row],[Vin]])</f>
        <v>4.3799999999999999E-2</v>
      </c>
      <c r="BF29" s="354">
        <f>CHOOSE(Table1[[#This Row],[Mode Digit]], (Qg_Q1+Qg_Q2)*Fsw, (Qg_Q3+Qg_Q4)*Fsw, (Qg_Q1+Qg_Q2+Qg_Q3+Qg_Q4)*Fsw)*IF(Vout&gt;8, Vout, Table1[[#This Row],[Vin]])</f>
        <v>0.47303999999999996</v>
      </c>
      <c r="BG29" s="354">
        <f t="shared" si="2"/>
        <v>0.45605042016806729</v>
      </c>
      <c r="BH29" s="354">
        <f>Table1[[#This Row],[IQ Loss]]+Table1[[#This Row],[Switching Current Loss]]</f>
        <v>0.51683999999999997</v>
      </c>
      <c r="BI2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8.8283120744111088</v>
      </c>
      <c r="BJ29">
        <f>Vout*Table1[[#This Row],[Iout]]</f>
        <v>175.2</v>
      </c>
      <c r="BK29" s="550">
        <f>Table1[[#This Row],[Pout]]/(Table1[[#This Row],[Pout]]+Table1[[#This Row],[Total Loss]])</f>
        <v>0.95202742461257039</v>
      </c>
      <c r="BL2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205.80950598463119</v>
      </c>
      <c r="BM29" s="559">
        <f>IF(Table1[[#This Row],[Vin]]&gt;Vout, Table1[[#This Row],[Total Sync Bu MOSFET Loss]]*ThetaJA_Q2, ThetaJA_Q3*Table1[[#This Row],[Total Sync Bo MOSFET Loss]])</f>
        <v>50.162107389603875</v>
      </c>
      <c r="BN29" s="9"/>
      <c r="BO29" s="4">
        <f>Table1[[#This Row],[EFF, h]]*100</f>
        <v>95.202742461257046</v>
      </c>
      <c r="BP29" s="354">
        <f>Table1[[#This Row],[Total Inductor Loss]]</f>
        <v>1.4202478044631612</v>
      </c>
      <c r="BQ29" s="354">
        <f>Table1[[#This Row],[Total Control Bu MOSFET Loss]]+Table1[[#This Row],[Total Sync Bu MOSFET Loss]]+Table1[[#This Row],[Total Control Bo MOSFET Loss]]+Table1[[#This Row],[Total Sync Bo MOSFET Loss]]+Table1[[#This Row],[Reverse Recovery Loss MOSFET D BUCK]]+Table1[[#This Row],[Reverse Recovery Loss MOSFET D BOOST]]</f>
        <v>5.252046567286067</v>
      </c>
      <c r="BR29" s="354">
        <f>Table1[[#This Row],[Total Control Bu MOSFET Loss]]+Table1[[#This Row],[Reverse Recovery Loss MOSFET D BUCK]]*0.66</f>
        <v>3.6103352650771865</v>
      </c>
      <c r="BS29" s="354">
        <f>Table1[[#This Row],[Total Sync Bu MOSFET Loss]]+Table1[[#This Row],[Reverse Recovery Loss MOSFET D BUCK]]*0.33</f>
        <v>0.92612353916006462</v>
      </c>
      <c r="BT29" s="354">
        <f xml:space="preserve"> Table1[[#This Row],[Total Control Bo MOSFET Loss]]+Table1[[#This Row],[Reverse Recovery Loss MOSFET D BOOST]]*0.66</f>
        <v>0</v>
      </c>
      <c r="BU29" s="354">
        <f xml:space="preserve"> Table1[[#This Row],[Total Sync Bo MOSFET Loss]]+Table1[[#This Row],[Reverse Recovery Loss MOSFET D BOOST]]*0.33</f>
        <v>0.7128578110488154</v>
      </c>
      <c r="BV29" s="354">
        <f>Table1[[#This Row],[Isense Shunt Loss]]</f>
        <v>0.12823611065798432</v>
      </c>
      <c r="BZ29" t="s">
        <v>155</v>
      </c>
      <c r="CA29">
        <v>9.9987899999999996</v>
      </c>
      <c r="CB29">
        <v>0.1958</v>
      </c>
      <c r="CC29">
        <v>5.1217600000000001</v>
      </c>
      <c r="CD29">
        <v>75.662516566515876</v>
      </c>
      <c r="CE29">
        <v>322.57199766699983</v>
      </c>
    </row>
    <row r="30" spans="1:92" x14ac:dyDescent="0.2">
      <c r="A30" s="22" t="s">
        <v>64</v>
      </c>
      <c r="B30" s="27">
        <f>RdsonDRB</f>
        <v>1.5</v>
      </c>
      <c r="C30" s="444" t="s">
        <v>118</v>
      </c>
      <c r="D30" s="440" t="s">
        <v>678</v>
      </c>
      <c r="G30">
        <v>21</v>
      </c>
      <c r="H30" s="555">
        <f>VIN_min+(VIN_max-VIN_min)*(Table1[[#This Row],[Step]]/200)</f>
        <v>22.94</v>
      </c>
      <c r="I30" s="4" t="str">
        <f>IF(Mode = 2,IF(Table1[[#This Row],[Vin]]&gt;Vout, "BUCK","BOOST"),IF(Table1[[#This Row],[Vin]]&gt;VIN_BB_to_buck, "BUCK", IF(Table1[[#This Row],[Vin]]&lt;=VIN_boost_to_BB,"BOOST","BUCK-BST")))</f>
        <v>BUCK</v>
      </c>
      <c r="J30">
        <f>IF(Table1[[#This Row],[Mode]]="BOOST",2, IF(Table1[[#This Row],[Mode]]="BUCK", 1,3))</f>
        <v>1</v>
      </c>
      <c r="K30">
        <f t="shared" si="0"/>
        <v>12</v>
      </c>
      <c r="L30" s="4">
        <f>Vout*Table1[[#This Row],[Iout]]/(Table1[[#This Row],[Vin]]*Efficiency)</f>
        <v>8.0392786674620282</v>
      </c>
      <c r="M30" s="711">
        <f>MIN(1/Fsw,CHOOSE(Table1[[#This Row],[Mode Digit]],(Vout+(Rdson2+Rs+Rdcr)*Table1[[#This Row],[Iout]])/(Table1[[#This Row],[Vin]]+(Rs+Rdson2-Rdson1)*Table1[[#This Row],[Iout]])/Fsw,(Vout+(Rdson3+Rdcr)*Table1[[#This Row],[Iin]]-Table1[[#This Row],[Vin]])/(Vout+(Rdson3-Rdson4-Rs)*Table1[[#This Row],[Iin]])/Fsw,t1_Ph_II))</f>
        <v>1.070236540415034E-6</v>
      </c>
      <c r="N30" s="602">
        <f>CHOOSE(Table1[[#This Row],[Mode Digit]],1/Fsw-Table1[[#This Row],[t1_Ph_II]],1/Fsw-Table1[[#This Row],[t1_Ph_II]],(Vout/Fsw-Table1[[#This Row],[Vin]]*t1_Ph_II)/(Table1[[#This Row],[Vin]]+Vout))</f>
        <v>5.9643012625163267E-7</v>
      </c>
      <c r="O30" s="602">
        <f>1/Fsw-(Table1[[#This Row],[t1_Ph_II]]+Table1[[#This Row],[t2_Ph_I]])</f>
        <v>0</v>
      </c>
      <c r="P3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10.309512737298981</v>
      </c>
      <c r="Q30" s="4">
        <f>CHOOSE(Table1[[#This Row],[Mode Digit]],Table1[[#This Row],[I_0]]+1/Lf*(Table1[[#This Row],[Vin]]-Vout)*Table1[[#This Row],[t1_Ph_II]],Table1[[#This Row],[I_0]]+1/Lf*Table1[[#This Row],[Vin]]*Table1[[#This Row],[t1_Ph_II]],Table1[[#This Row],[I_0]]+(Table1[[#This Row],[Vin]]-Vout)/L*Table1[[#This Row],[t1_Ph_II]])</f>
        <v>13.690487262701021</v>
      </c>
      <c r="R30" s="4">
        <f>CHOOSE(Table1[[#This Row],[Mode Digit]],0,0,Table1[[#This Row],[I_1]]+Table1[[#This Row],[Vin]]/L*Table1[[#This Row],[t2_Ph_I]])</f>
        <v>0</v>
      </c>
      <c r="S30" s="4">
        <f>Fsw*(Table1[[#This Row],[I_0]]*Table1[[#This Row],[t1_Ph_II]]+Table1[[#This Row],[I_1]]*Table1[[#This Row],[t2_Ph_I]]+Table1[[#This Row],[I_2]]*Table1[[#This Row],[t3_Ph_III]])</f>
        <v>11.519421775122439</v>
      </c>
      <c r="T30" s="354">
        <f>MIN(1,CHOOSE(Table1[[#This Row],[Mode Digit]],(Vout+(Rdson2+Rs+Rdcr)*Table1[[#This Row],[Iout]])/(Table1[[#This Row],[Vin]]+(Rs+Rdson2-Rdson1)*Table1[[#This Row],[Iout]]),1,Fsw*Table1[[#This Row],[t2_Ph_I]]+Table1[[#This Row],[t1_Ph_II]]))</f>
        <v>0.64214192424902039</v>
      </c>
      <c r="U30" s="354">
        <f>MIN(1,CHOOSE(Table1[[#This Row],[Mode Digit]],0,(Vout+(Rdson3+Rdcr)*Table1[[#This Row],[Iin]]-Table1[[#This Row],[Vin]])/(Vout+(Rdson3-Rdson4-Rs)*Table1[[#This Row],[Iin]]),Fsw*Table1[[#This Row],[t1_Ph_II]]+Table1[[#This Row],[t3_Ph_III]]))</f>
        <v>0</v>
      </c>
      <c r="V30" s="4">
        <f>MAX(Table1[[#This Row],[I_0]:[I_2]])-MIN(Table1[[#This Row],[I_0]:[I_1]])</f>
        <v>3.3809745254020402</v>
      </c>
      <c r="W3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12.039625508923363</v>
      </c>
      <c r="X30" s="354">
        <f>(Table1[[#This Row],[Irms Lf]]^2*Rdcr*(1+Ltc*Ta-Ltc*25))/(1-Table1[[#This Row],[Irms Lf]]^2*Rdcr*Ltc*ThetaCa)</f>
        <v>0.90134782855012718</v>
      </c>
      <c r="Y30" s="354">
        <f>ABS(7.759*10^-3*Fsw^0.9458*(0.00787*Table1[[#This Row],[Ripple Current pk-pk]])^2.304)</f>
        <v>0.53213217862338946</v>
      </c>
      <c r="Z30" s="354">
        <f>Table1[[#This Row],[DCR    Loss]]+Table1[[#This Row],[Core Loss]]</f>
        <v>1.4334800071735168</v>
      </c>
      <c r="AA30" s="4">
        <f>IF(Table1[[#This Row],[Vin]]&gt;Vout, Table1[[#This Row],[Ripple Current pk-pk]]/SQRT(12), SQRT(Table1[[#This Row],[Duty Cycle BOOST Leg]]/(1-Table1[[#This Row],[Duty Cycle BOOST Leg]]))*SQRT(Table1[[#This Row],[Iout]]^2+(Table1[[#This Row],[Ripple Current pk-pk]]^2)/12))</f>
        <v>0.97600327618206761</v>
      </c>
      <c r="AB30" s="354">
        <f>RCoutEsr*Table1[[#This Row],[Irms Cout]]^2</f>
        <v>4.7629119755906472E-3</v>
      </c>
      <c r="AC30" s="354">
        <f>Table1[[#This Row],[Cout ESR Loss]]</f>
        <v>4.7629119755906472E-3</v>
      </c>
      <c r="AD30" s="354">
        <f>IF(Table1[[#This Row],[Vin]]&gt;Vout, SQRT(Table1[[#This Row],[Duty Cycle BUCK Leg]]*(1-Table1[[#This Row],[Duty Cycle BUCK Leg]]))*SQRT(Table1[[#This Row],[Iout]]^2+(Table1[[#This Row],[Ripple Current pk-pk]]^2)/12), Table1[[#This Row],[Ripple Current pk-pk]]/SQRT(12))</f>
        <v>5.7714362405141824</v>
      </c>
      <c r="AE30" s="354">
        <f>RCinEsr*Table1[[#This Row],[Irms Cin]]^2</f>
        <v>6.6618952556640965E-2</v>
      </c>
      <c r="AF30" s="549">
        <f>Table1[[#This Row],[Cin ESR Loss]]</f>
        <v>6.6618952556640965E-2</v>
      </c>
      <c r="AG3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9.6478044229796573</v>
      </c>
      <c r="AH30" s="354">
        <f>Rdson1*Table1[[#This Row],[Irms BuCtrl]]^2</f>
        <v>0.3909365467730766</v>
      </c>
      <c r="AI30" s="354">
        <f>CHOOSE(Table1[[#This Row],[Mode Digit]], (Table1[[#This Row],[Vin]]*Table1[[#This Row],[Iout]]/2)*(Fsw)*(Tr_buck+Tf_buck), 0, (Table1[[#This Row],[Vin]]*Table1[[#This Row],[Avg IL]]/2)*(Fsw/1)*(Tr_buck+Tf_buck))</f>
        <v>2.7297774920185907</v>
      </c>
      <c r="AJ30">
        <f>IF(Table1[[#This Row],[Vin]]&gt;Vout, IF(Table1[[#This Row],[Iout]]&gt;Table1[[#This Row],[Ripple Current pk-pk]]/2,0,ABS(Table1[[#This Row],[Iout]]-Table1[[#This Row],[Ripple Current pk-pk]]/2)*Vsd_Q1*Deadtime*Fsw),0)</f>
        <v>0</v>
      </c>
      <c r="AK30" s="354">
        <f>(Table1[[#This Row],[Dead Time Loss BuCtrl]]+Table1[[#This Row],[Transition Loss BuCtrl]]+Table1[[#This Row],[RDS(on) Loss BuCtrl]]*(1+RdsonTopTc*Ta-RdsonTopTc*25))/(1-Table1[[#This Row],[RDS(on) Loss BuCtrl]]*RdsonTopTc*ThetaJA_Q1)</f>
        <v>3.4438306628754507</v>
      </c>
      <c r="AL30" s="354">
        <f>CHOOSE(Table1[[#This Row],[Mode Digit]],SQRT((Fsw*(Table1[[#This Row],[t2_Ph_I]]+0))*((Table1[[#This Row],[I_0]]*Table1[[#This Row],[I_1]]+((Table1[[#This Row],[I_0]]-Table1[[#This Row],[I_1]])^2)/3))),0,SQRT((Fsw*(Table1[[#This Row],[t3_Ph_III]]+0))*((Table1[[#This Row],[I_0]]*Table1[[#This Row],[I_2]]+((Table1[[#This Row],[I_0]]-Table1[[#This Row],[I_2]])^2)/3))))</f>
        <v>7.202253273181408</v>
      </c>
      <c r="AM30" s="354">
        <f>Rdson2*Table1[[#This Row],[Irms BuSync]]^2</f>
        <v>0.2178642992864197</v>
      </c>
      <c r="AN3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30" s="354">
        <f>(Table1[[#This Row],[Deadtime Loss BuSync]]+Table1[[#This Row],[RDS(on) Loss BuSync]]*(1+RdsonBotTc*Ta-RdsonBotTc*25))/(1-Table1[[#This Row],[RDS(on) Loss BuSync]]*RdsonBotTc*ThetaJA_Q2)</f>
        <v>0.8391106698018832</v>
      </c>
      <c r="AP30" s="354">
        <f>CHOOSE(Table1[[#This Row],[Mode Digit]],0,SQRT((Fsw*(Table1[[#This Row],[t1_Ph_II]]+0))*((Table1[[#This Row],[I_0]]*Table1[[#This Row],[I_1]]+((Table1[[#This Row],[I_0]]-Table1[[#This Row],[I_1]])^2)/3))),SQRT((Fsw*(Table1[[#This Row],[t2_Ph_I]]+0))*((Table1[[#This Row],[I_1]]*Table1[[#This Row],[I_2]]+((Table1[[#This Row],[I_1]]-Table1[[#This Row],[I_2]])^2)/3))))</f>
        <v>0</v>
      </c>
      <c r="AQ30" s="354">
        <f>Rdson4*Table1[[#This Row],[Irms BoCtlr]]^2</f>
        <v>0</v>
      </c>
      <c r="AR30" s="354">
        <f>CHOOSE(Table1[[#This Row],[Mode Digit]], 0, (Vout*Table1[[#This Row],[Iin]]/2)*(Fsw)*(Tr_boost+Tf_boost), (Vout*Iout/2)*(Fsw/1)*(Tr_boost+Tf_boost))</f>
        <v>0</v>
      </c>
      <c r="AS30">
        <f>IF(Table1[[#This Row],[Vin]]&gt;Vout, 0, IF(Table1[[#This Row],[Iin]]&gt;Table1[[#This Row],[Ripple Current pk-pk]]/2,0,ABS(Table1[[#This Row],[Iin]]-Table1[[#This Row],[Ripple Current pk-pk]]/2)*Vsd_Q4*Deadtime*Fsw))</f>
        <v>0</v>
      </c>
      <c r="AT30" s="354">
        <f>(Table1[[#This Row],[Dead Time Loss BoCtlr]]+Table1[[#This Row],[Transition Loss BoCtlr]]+Table1[[#This Row],[RDS(on) Loss BoCtlr]]*(1+RdsonTopTc*Ta-RdsonTopTc*25))/(1-Table1[[#This Row],[RDS(on) Loss BoCtlr]]*RdsonTopTc*ThetaJA_Q4)</f>
        <v>0</v>
      </c>
      <c r="AU3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12.039625508923363</v>
      </c>
      <c r="AV30" s="354">
        <f>Rdson3*Table1[[#This Row],[Irms BoSync]]^2</f>
        <v>0.60880084605949636</v>
      </c>
      <c r="AW3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30" s="354">
        <f>(Table1[[#This Row],[Deadtime Loss BoSync]]+Table1[[#This Row],[RDS(on) Loss BoSync]]*(1+RdsonBotTc*Ta-RdsonBotTc*25))/(1-Table1[[#This Row],[RDS(on) Loss BoSync]]*RdsonBotTc*ThetaJA_Q3)</f>
        <v>0.71297522723374396</v>
      </c>
      <c r="AY30" s="354">
        <f>CHOOSE(Table1[[#This Row],[Mode Digit]], Rdson3*Table1[[#This Row],[Irms Lf]]^2, Rdson1*Table1[[#This Row],[Irms Lf]]^2, 0)</f>
        <v>0.60880084605949636</v>
      </c>
      <c r="AZ30" s="354">
        <f>CHOOSE(Table1[[#This Row],[Mode Digit]], 2*Deadtime*Fsw*IF(VfdSky_Q2&gt;0,VfdSky_Q2,0)*Table1[[#This Row],[Iout]], 2*Deadtime*Fsw*IF(VfdSky_Q3&gt;0,VfdSky_Q3,0)*Table1[[#This Row],[Iin]], 2*Deadtime*Fsw*IF(VfdSky_Q2&gt;0,VfdSky_Q2,0)*Table1[[#This Row],[Iout]]+2*Deadtime*Fsw*IF(VfdSky_Q3&gt;0,VfdSky_Q3,0)*Table1[[#This Row],[Iin]])</f>
        <v>0</v>
      </c>
      <c r="BA30" s="354">
        <f>CHOOSE(Table1[[#This Row],[Mode Digit]], IF(QrrSky_Q2&gt;0,QrrSky_Q2,Qrr_Q2)*Fsw*(Table1[[#This Row],[Vin]]-Table1[[#This Row],[Iout]]*Rdson1),0,  IF(QrrSky_Q2&gt;0,QrrSky_Q2,Qrr_Q2)*Fsw*(Table1[[#This Row],[Vin]]-Table1[[#This Row],[Iout]]*Rdson1)+IF(QrrSky_Q3&gt;0,QrrSky_Q3,Qrr_Q3)*Fsw*Vout)</f>
        <v>0.27467520000000001</v>
      </c>
      <c r="BB30" s="354">
        <f>CHOOSE(Table1[[#This Row],[Mode Digit]],0, IF(QrrSky_Q3&gt;0,QrrSky_Q3,Qrr_Q3)*Fsw*Vout,  IF(QrrSky_Q2&gt;0,QrrSky_Q2,Qrr_Q2)*Fsw*(Table1[[#This Row],[Vin]]-Table1[[#This Row],[Iout]]*Rdson1)+IF(QrrSky_Q3&gt;0,QrrSky_Q3,Qrr_Q3)*Fsw*Vout)</f>
        <v>0</v>
      </c>
      <c r="BC30" s="354">
        <f>CHOOSE(Table1[[#This Row],[Mode Digit]], Rs*Table1[[#This Row],[Irms BuSync]]^2, Rs*Table1[[#This Row],[Irms BoCtlr]]^2, Rs*(Table1[[#This Row],[Irms BuSync]]^2+Table1[[#This Row],[Irms BoCtlr]]^2))</f>
        <v>0.12968113052763078</v>
      </c>
      <c r="BD30" s="354">
        <f t="shared" si="1"/>
        <v>1.44</v>
      </c>
      <c r="BE30" s="354">
        <f>IF(Vout&gt;8, Iq*Vout, Iq*Table1[[#This Row],[Vin]])</f>
        <v>4.3799999999999999E-2</v>
      </c>
      <c r="BF30" s="354">
        <f>CHOOSE(Table1[[#This Row],[Mode Digit]], (Qg_Q1+Qg_Q2)*Fsw, (Qg_Q3+Qg_Q4)*Fsw, (Qg_Q1+Qg_Q2+Qg_Q3+Qg_Q4)*Fsw)*IF(Vout&gt;8, Vout, Table1[[#This Row],[Vin]])</f>
        <v>0.47303999999999996</v>
      </c>
      <c r="BG30" s="354">
        <f t="shared" si="2"/>
        <v>0.45605042016806729</v>
      </c>
      <c r="BH30" s="354">
        <f>Table1[[#This Row],[IQ Loss]]+Table1[[#This Row],[Switching Current Loss]]</f>
        <v>0.51683999999999997</v>
      </c>
      <c r="BI3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8.8619747621444578</v>
      </c>
      <c r="BJ30">
        <f>Vout*Table1[[#This Row],[Iout]]</f>
        <v>175.2</v>
      </c>
      <c r="BK30" s="550">
        <f>Table1[[#This Row],[Pout]]/(Table1[[#This Row],[Pout]]+Table1[[#This Row],[Total Loss]])</f>
        <v>0.95185331042114263</v>
      </c>
      <c r="BL3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206.62983977252705</v>
      </c>
      <c r="BM30" s="559">
        <f>IF(Table1[[#This Row],[Vin]]&gt;Vout, Table1[[#This Row],[Total Sync Bu MOSFET Loss]]*ThetaJA_Q2, ThetaJA_Q3*Table1[[#This Row],[Total Sync Bo MOSFET Loss]])</f>
        <v>50.346640188112993</v>
      </c>
      <c r="BN30" s="9"/>
      <c r="BO30" s="4">
        <f>Table1[[#This Row],[EFF, h]]*100</f>
        <v>95.185331042114257</v>
      </c>
      <c r="BP30" s="354">
        <f>Table1[[#This Row],[Total Inductor Loss]]</f>
        <v>1.4334800071735168</v>
      </c>
      <c r="BQ30" s="354">
        <f>Table1[[#This Row],[Total Control Bu MOSFET Loss]]+Table1[[#This Row],[Total Sync Bu MOSFET Loss]]+Table1[[#This Row],[Total Control Bo MOSFET Loss]]+Table1[[#This Row],[Total Sync Bo MOSFET Loss]]+Table1[[#This Row],[Reverse Recovery Loss MOSFET D BUCK]]+Table1[[#This Row],[Reverse Recovery Loss MOSFET D BOOST]]</f>
        <v>5.2705917599110776</v>
      </c>
      <c r="BR30" s="354">
        <f>Table1[[#This Row],[Total Control Bu MOSFET Loss]]+Table1[[#This Row],[Reverse Recovery Loss MOSFET D BUCK]]*0.66</f>
        <v>3.6251162948754505</v>
      </c>
      <c r="BS30" s="354">
        <f>Table1[[#This Row],[Total Sync Bu MOSFET Loss]]+Table1[[#This Row],[Reverse Recovery Loss MOSFET D BUCK]]*0.33</f>
        <v>0.92975348580188322</v>
      </c>
      <c r="BT30" s="354">
        <f xml:space="preserve"> Table1[[#This Row],[Total Control Bo MOSFET Loss]]+Table1[[#This Row],[Reverse Recovery Loss MOSFET D BOOST]]*0.66</f>
        <v>0</v>
      </c>
      <c r="BU30" s="354">
        <f xml:space="preserve"> Table1[[#This Row],[Total Sync Bo MOSFET Loss]]+Table1[[#This Row],[Reverse Recovery Loss MOSFET D BOOST]]*0.33</f>
        <v>0.71297522723374396</v>
      </c>
      <c r="BV30" s="354">
        <f>Table1[[#This Row],[Isense Shunt Loss]]</f>
        <v>0.12968113052763078</v>
      </c>
      <c r="CA30">
        <v>9.9987659999999998</v>
      </c>
      <c r="CB30">
        <v>0.2681</v>
      </c>
      <c r="CC30">
        <v>5.1224080000000001</v>
      </c>
      <c r="CD30">
        <v>80.957553445887683</v>
      </c>
      <c r="CE30">
        <v>323.02506068319997</v>
      </c>
    </row>
    <row r="31" spans="1:92" x14ac:dyDescent="0.2">
      <c r="A31" s="22" t="s">
        <v>147</v>
      </c>
      <c r="B31" s="27">
        <v>1</v>
      </c>
      <c r="C31" s="444" t="s">
        <v>118</v>
      </c>
      <c r="D31" s="440" t="s">
        <v>677</v>
      </c>
      <c r="G31">
        <v>22</v>
      </c>
      <c r="H31" s="555">
        <f>VIN_min+(VIN_max-VIN_min)*(Table1[[#This Row],[Step]]/200)</f>
        <v>23.08</v>
      </c>
      <c r="I31" s="4" t="str">
        <f>IF(Mode = 2,IF(Table1[[#This Row],[Vin]]&gt;Vout, "BUCK","BOOST"),IF(Table1[[#This Row],[Vin]]&gt;VIN_BB_to_buck, "BUCK", IF(Table1[[#This Row],[Vin]]&lt;=VIN_boost_to_BB,"BOOST","BUCK-BST")))</f>
        <v>BUCK</v>
      </c>
      <c r="J31">
        <f>IF(Table1[[#This Row],[Mode]]="BOOST",2, IF(Table1[[#This Row],[Mode]]="BUCK", 1,3))</f>
        <v>1</v>
      </c>
      <c r="K31">
        <f t="shared" si="0"/>
        <v>12</v>
      </c>
      <c r="L31" s="4">
        <f>Vout*Table1[[#This Row],[Iout]]/(Table1[[#This Row],[Vin]]*Efficiency)</f>
        <v>7.9905135455623464</v>
      </c>
      <c r="M31" s="711">
        <f>MIN(1/Fsw,CHOOSE(Table1[[#This Row],[Mode Digit]],(Vout+(Rdson2+Rs+Rdcr)*Table1[[#This Row],[Iout]])/(Table1[[#This Row],[Vin]]+(Rs+Rdson2-Rdson1)*Table1[[#This Row],[Iout]])/Fsw,(Vout+(Rdson3+Rdcr)*Table1[[#This Row],[Iin]]-Table1[[#This Row],[Vin]])/(Vout+(Rdson3-Rdson4-Rs)*Table1[[#This Row],[Iin]])/Fsw,t1_Ph_II))</f>
        <v>1.0637530650512044E-6</v>
      </c>
      <c r="N31" s="602">
        <f>CHOOSE(Table1[[#This Row],[Mode Digit]],1/Fsw-Table1[[#This Row],[t1_Ph_II]],1/Fsw-Table1[[#This Row],[t1_Ph_II]],(Vout/Fsw-Table1[[#This Row],[Vin]]*t1_Ph_II)/(Table1[[#This Row],[Vin]]+Vout))</f>
        <v>6.0291360161546227E-7</v>
      </c>
      <c r="O31" s="602">
        <f>1/Fsw-(Table1[[#This Row],[t1_Ph_II]]+Table1[[#This Row],[t2_Ph_I]])</f>
        <v>0</v>
      </c>
      <c r="P3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10.291548107645035</v>
      </c>
      <c r="Q31" s="4">
        <f>CHOOSE(Table1[[#This Row],[Mode Digit]],Table1[[#This Row],[I_0]]+1/Lf*(Table1[[#This Row],[Vin]]-Vout)*Table1[[#This Row],[t1_Ph_II]],Table1[[#This Row],[I_0]]+1/Lf*Table1[[#This Row],[Vin]]*Table1[[#This Row],[t1_Ph_II]],Table1[[#This Row],[I_0]]+(Table1[[#This Row],[Vin]]-Vout)/L*Table1[[#This Row],[t1_Ph_II]])</f>
        <v>13.708451892354963</v>
      </c>
      <c r="R31" s="4">
        <f>CHOOSE(Table1[[#This Row],[Mode Digit]],0,0,Table1[[#This Row],[I_1]]+Table1[[#This Row],[Vin]]/L*Table1[[#This Row],[t2_Ph_I]])</f>
        <v>0</v>
      </c>
      <c r="S31" s="4">
        <f>Fsw*(Table1[[#This Row],[I_0]]*Table1[[#This Row],[t1_Ph_II]]+Table1[[#This Row],[I_1]]*Table1[[#This Row],[t2_Ph_I]]+Table1[[#This Row],[I_2]]*Table1[[#This Row],[t3_Ph_III]])</f>
        <v>11.527606767972815</v>
      </c>
      <c r="T31" s="354">
        <f>MIN(1,CHOOSE(Table1[[#This Row],[Mode Digit]],(Vout+(Rdson2+Rs+Rdcr)*Table1[[#This Row],[Iout]])/(Table1[[#This Row],[Vin]]+(Rs+Rdson2-Rdson1)*Table1[[#This Row],[Iout]]),1,Fsw*Table1[[#This Row],[t2_Ph_I]]+Table1[[#This Row],[t1_Ph_II]]))</f>
        <v>0.63825183903072269</v>
      </c>
      <c r="U31" s="354">
        <f>MIN(1,CHOOSE(Table1[[#This Row],[Mode Digit]],0,(Vout+(Rdson3+Rdcr)*Table1[[#This Row],[Iin]]-Table1[[#This Row],[Vin]])/(Vout+(Rdson3-Rdson4-Rs)*Table1[[#This Row],[Iin]]),Fsw*Table1[[#This Row],[t1_Ph_II]]+Table1[[#This Row],[t3_Ph_III]]))</f>
        <v>0</v>
      </c>
      <c r="V31" s="4">
        <f>MAX(Table1[[#This Row],[I_0]:[I_2]])-MIN(Table1[[#This Row],[I_0]:[I_1]])</f>
        <v>3.4169037847099286</v>
      </c>
      <c r="W3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12.040470753096148</v>
      </c>
      <c r="X31" s="354">
        <f>(Table1[[#This Row],[Irms Lf]]^2*Rdcr*(1+Ltc*Ta-Ltc*25))/(1-Table1[[#This Row],[Irms Lf]]^2*Rdcr*Ltc*ThetaCa)</f>
        <v>0.9014835191391104</v>
      </c>
      <c r="Y31" s="354">
        <f>ABS(7.759*10^-3*Fsw^0.9458*(0.00787*Table1[[#This Row],[Ripple Current pk-pk]])^2.304)</f>
        <v>0.54525146793074053</v>
      </c>
      <c r="Z31" s="354">
        <f>Table1[[#This Row],[DCR    Loss]]+Table1[[#This Row],[Core Loss]]</f>
        <v>1.4467349870698509</v>
      </c>
      <c r="AA31" s="4">
        <f>IF(Table1[[#This Row],[Vin]]&gt;Vout, Table1[[#This Row],[Ripple Current pk-pk]]/SQRT(12), SQRT(Table1[[#This Row],[Duty Cycle BOOST Leg]]/(1-Table1[[#This Row],[Duty Cycle BOOST Leg]]))*SQRT(Table1[[#This Row],[Iout]]^2+(Table1[[#This Row],[Ripple Current pk-pk]]^2)/12))</f>
        <v>0.9863751599486642</v>
      </c>
      <c r="AB31" s="354">
        <f>RCoutEsr*Table1[[#This Row],[Irms Cout]]^2</f>
        <v>4.8646797808187649E-3</v>
      </c>
      <c r="AC31" s="354">
        <f>Table1[[#This Row],[Cout ESR Loss]]</f>
        <v>4.8646797808187649E-3</v>
      </c>
      <c r="AD31" s="354">
        <f>IF(Table1[[#This Row],[Vin]]&gt;Vout, SQRT(Table1[[#This Row],[Duty Cycle BUCK Leg]]*(1-Table1[[#This Row],[Duty Cycle BUCK Leg]]))*SQRT(Table1[[#This Row],[Iout]]^2+(Table1[[#This Row],[Ripple Current pk-pk]]^2)/12), Table1[[#This Row],[Ripple Current pk-pk]]/SQRT(12))</f>
        <v>5.7855236137479018</v>
      </c>
      <c r="AE31" s="354">
        <f>RCinEsr*Table1[[#This Row],[Irms Cin]]^2</f>
        <v>6.6944566970469174E-2</v>
      </c>
      <c r="AF31" s="549">
        <f>Table1[[#This Row],[Cin ESR Loss]]</f>
        <v>6.6944566970469174E-2</v>
      </c>
      <c r="AG3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9.6192121810314948</v>
      </c>
      <c r="AH31" s="354">
        <f>Rdson1*Table1[[#This Row],[Irms BuCtrl]]^2</f>
        <v>0.38862282053155978</v>
      </c>
      <c r="AI31" s="354">
        <f>CHOOSE(Table1[[#This Row],[Mode Digit]], (Table1[[#This Row],[Vin]]*Table1[[#This Row],[Iout]]/2)*(Fsw)*(Tr_buck+Tf_buck), 0, (Table1[[#This Row],[Vin]]*Table1[[#This Row],[Avg IL]]/2)*(Fsw/1)*(Tr_buck+Tf_buck))</f>
        <v>2.7464369884825222</v>
      </c>
      <c r="AJ31">
        <f>IF(Table1[[#This Row],[Vin]]&gt;Vout, IF(Table1[[#This Row],[Iout]]&gt;Table1[[#This Row],[Ripple Current pk-pk]]/2,0,ABS(Table1[[#This Row],[Iout]]-Table1[[#This Row],[Ripple Current pk-pk]]/2)*Vsd_Q1*Deadtime*Fsw),0)</f>
        <v>0</v>
      </c>
      <c r="AK31" s="354">
        <f>(Table1[[#This Row],[Dead Time Loss BuCtrl]]+Table1[[#This Row],[Transition Loss BuCtrl]]+Table1[[#This Row],[RDS(on) Loss BuCtrl]]*(1+RdsonTopTc*Ta-RdsonTopTc*25))/(1-Table1[[#This Row],[RDS(on) Loss BuCtrl]]*RdsonTopTc*ThetaJA_Q1)</f>
        <v>3.4575430397898574</v>
      </c>
      <c r="AL31" s="354">
        <f>CHOOSE(Table1[[#This Row],[Mode Digit]],SQRT((Fsw*(Table1[[#This Row],[t2_Ph_I]]+0))*((Table1[[#This Row],[I_0]]*Table1[[#This Row],[I_1]]+((Table1[[#This Row],[I_0]]-Table1[[#This Row],[I_1]])^2)/3))),0,SQRT((Fsw*(Table1[[#This Row],[t3_Ph_III]]+0))*((Table1[[#This Row],[I_0]]*Table1[[#This Row],[I_2]]+((Table1[[#This Row],[I_0]]-Table1[[#This Row],[I_2]])^2)/3))))</f>
        <v>7.2418017766615961</v>
      </c>
      <c r="AM31" s="354">
        <f>Rdson2*Table1[[#This Row],[Irms BuSync]]^2</f>
        <v>0.22026351048432802</v>
      </c>
      <c r="AN3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31" s="354">
        <f>(Table1[[#This Row],[Deadtime Loss BuSync]]+Table1[[#This Row],[RDS(on) Loss BuSync]]*(1+RdsonBotTc*Ta-RdsonBotTc*25))/(1-Table1[[#This Row],[RDS(on) Loss BuSync]]*RdsonBotTc*ThetaJA_Q2)</f>
        <v>0.84215392629763086</v>
      </c>
      <c r="AP31" s="354">
        <f>CHOOSE(Table1[[#This Row],[Mode Digit]],0,SQRT((Fsw*(Table1[[#This Row],[t1_Ph_II]]+0))*((Table1[[#This Row],[I_0]]*Table1[[#This Row],[I_1]]+((Table1[[#This Row],[I_0]]-Table1[[#This Row],[I_1]])^2)/3))),SQRT((Fsw*(Table1[[#This Row],[t2_Ph_I]]+0))*((Table1[[#This Row],[I_1]]*Table1[[#This Row],[I_2]]+((Table1[[#This Row],[I_1]]-Table1[[#This Row],[I_2]])^2)/3))))</f>
        <v>0</v>
      </c>
      <c r="AQ31" s="354">
        <f>Rdson4*Table1[[#This Row],[Irms BoCtlr]]^2</f>
        <v>0</v>
      </c>
      <c r="AR31" s="354">
        <f>CHOOSE(Table1[[#This Row],[Mode Digit]], 0, (Vout*Table1[[#This Row],[Iin]]/2)*(Fsw)*(Tr_boost+Tf_boost), (Vout*Iout/2)*(Fsw/1)*(Tr_boost+Tf_boost))</f>
        <v>0</v>
      </c>
      <c r="AS31">
        <f>IF(Table1[[#This Row],[Vin]]&gt;Vout, 0, IF(Table1[[#This Row],[Iin]]&gt;Table1[[#This Row],[Ripple Current pk-pk]]/2,0,ABS(Table1[[#This Row],[Iin]]-Table1[[#This Row],[Ripple Current pk-pk]]/2)*Vsd_Q4*Deadtime*Fsw))</f>
        <v>0</v>
      </c>
      <c r="AT31" s="354">
        <f>(Table1[[#This Row],[Dead Time Loss BoCtlr]]+Table1[[#This Row],[Transition Loss BoCtlr]]+Table1[[#This Row],[RDS(on) Loss BoCtlr]]*(1+RdsonTopTc*Ta-RdsonTopTc*25))/(1-Table1[[#This Row],[RDS(on) Loss BoCtlr]]*RdsonTopTc*ThetaJA_Q4)</f>
        <v>0</v>
      </c>
      <c r="AU3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12.040470753096148</v>
      </c>
      <c r="AV31" s="354">
        <f>Rdson3*Table1[[#This Row],[Irms BoSync]]^2</f>
        <v>0.60888633101588774</v>
      </c>
      <c r="AW3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31" s="354">
        <f>(Table1[[#This Row],[Deadtime Loss BoSync]]+Table1[[#This Row],[RDS(on) Loss BoSync]]*(1+RdsonBotTc*Ta-RdsonBotTc*25))/(1-Table1[[#This Row],[RDS(on) Loss BoSync]]*RdsonBotTc*ThetaJA_Q3)</f>
        <v>0.71309247336339565</v>
      </c>
      <c r="AY31" s="354">
        <f>CHOOSE(Table1[[#This Row],[Mode Digit]], Rdson3*Table1[[#This Row],[Irms Lf]]^2, Rdson1*Table1[[#This Row],[Irms Lf]]^2, 0)</f>
        <v>0.60888633101588774</v>
      </c>
      <c r="AZ31" s="354">
        <f>CHOOSE(Table1[[#This Row],[Mode Digit]], 2*Deadtime*Fsw*IF(VfdSky_Q2&gt;0,VfdSky_Q2,0)*Table1[[#This Row],[Iout]], 2*Deadtime*Fsw*IF(VfdSky_Q3&gt;0,VfdSky_Q3,0)*Table1[[#This Row],[Iin]], 2*Deadtime*Fsw*IF(VfdSky_Q2&gt;0,VfdSky_Q2,0)*Table1[[#This Row],[Iout]]+2*Deadtime*Fsw*IF(VfdSky_Q3&gt;0,VfdSky_Q3,0)*Table1[[#This Row],[Iin]])</f>
        <v>0</v>
      </c>
      <c r="BA31" s="354">
        <f>CHOOSE(Table1[[#This Row],[Mode Digit]], IF(QrrSky_Q2&gt;0,QrrSky_Q2,Qrr_Q2)*Fsw*(Table1[[#This Row],[Vin]]-Table1[[#This Row],[Iout]]*Rdson1),0,  IF(QrrSky_Q2&gt;0,QrrSky_Q2,Qrr_Q2)*Fsw*(Table1[[#This Row],[Vin]]-Table1[[#This Row],[Iout]]*Rdson1)+IF(QrrSky_Q3&gt;0,QrrSky_Q3,Qrr_Q3)*Fsw*Vout)</f>
        <v>0.27635519999999997</v>
      </c>
      <c r="BB31" s="354">
        <f>CHOOSE(Table1[[#This Row],[Mode Digit]],0, IF(QrrSky_Q3&gt;0,QrrSky_Q3,Qrr_Q3)*Fsw*Vout,  IF(QrrSky_Q2&gt;0,QrrSky_Q2,Qrr_Q2)*Fsw*(Table1[[#This Row],[Vin]]-Table1[[#This Row],[Iout]]*Rdson1)+IF(QrrSky_Q3&gt;0,QrrSky_Q3,Qrr_Q3)*Fsw*Vout)</f>
        <v>0</v>
      </c>
      <c r="BC31" s="354">
        <f>CHOOSE(Table1[[#This Row],[Mode Digit]], Rs*Table1[[#This Row],[Irms BuSync]]^2, Rs*Table1[[#This Row],[Irms BoCtlr]]^2, Rs*(Table1[[#This Row],[Irms BuSync]]^2+Table1[[#This Row],[Irms BoCtlr]]^2))</f>
        <v>0.13110923243114761</v>
      </c>
      <c r="BD31" s="354">
        <f t="shared" si="1"/>
        <v>1.44</v>
      </c>
      <c r="BE31" s="354">
        <f>IF(Vout&gt;8, Iq*Vout, Iq*Table1[[#This Row],[Vin]])</f>
        <v>4.3799999999999999E-2</v>
      </c>
      <c r="BF31" s="354">
        <f>CHOOSE(Table1[[#This Row],[Mode Digit]], (Qg_Q1+Qg_Q2)*Fsw, (Qg_Q3+Qg_Q4)*Fsw, (Qg_Q1+Qg_Q2+Qg_Q3+Qg_Q4)*Fsw)*IF(Vout&gt;8, Vout, Table1[[#This Row],[Vin]])</f>
        <v>0.47303999999999996</v>
      </c>
      <c r="BG31" s="354">
        <f t="shared" si="2"/>
        <v>0.45605042016806729</v>
      </c>
      <c r="BH31" s="354">
        <f>Table1[[#This Row],[IQ Loss]]+Table1[[#This Row],[Switching Current Loss]]</f>
        <v>0.51683999999999997</v>
      </c>
      <c r="BI3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8.8956381057031706</v>
      </c>
      <c r="BJ31">
        <f>Vout*Table1[[#This Row],[Iout]]</f>
        <v>175.2</v>
      </c>
      <c r="BK31" s="550">
        <f>Table1[[#This Row],[Pout]]/(Table1[[#This Row],[Pout]]+Table1[[#This Row],[Total Loss]])</f>
        <v>0.95167925651451057</v>
      </c>
      <c r="BL3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207.45258238739146</v>
      </c>
      <c r="BM31" s="559">
        <f>IF(Table1[[#This Row],[Vin]]&gt;Vout, Table1[[#This Row],[Total Sync Bu MOSFET Loss]]*ThetaJA_Q2, ThetaJA_Q3*Table1[[#This Row],[Total Sync Bo MOSFET Loss]])</f>
        <v>50.529235577857854</v>
      </c>
      <c r="BN31" s="9"/>
      <c r="BO31" s="4">
        <f>Table1[[#This Row],[EFF, h]]*100</f>
        <v>95.167925651451057</v>
      </c>
      <c r="BP31" s="354">
        <f>Table1[[#This Row],[Total Inductor Loss]]</f>
        <v>1.4467349870698509</v>
      </c>
      <c r="BQ31" s="354">
        <f>Table1[[#This Row],[Total Control Bu MOSFET Loss]]+Table1[[#This Row],[Total Sync Bu MOSFET Loss]]+Table1[[#This Row],[Total Control Bo MOSFET Loss]]+Table1[[#This Row],[Total Sync Bo MOSFET Loss]]+Table1[[#This Row],[Reverse Recovery Loss MOSFET D BUCK]]+Table1[[#This Row],[Reverse Recovery Loss MOSFET D BOOST]]</f>
        <v>5.2891446394508845</v>
      </c>
      <c r="BR31" s="354">
        <f>Table1[[#This Row],[Total Control Bu MOSFET Loss]]+Table1[[#This Row],[Reverse Recovery Loss MOSFET D BUCK]]*0.66</f>
        <v>3.6399374717898576</v>
      </c>
      <c r="BS31" s="354">
        <f>Table1[[#This Row],[Total Sync Bu MOSFET Loss]]+Table1[[#This Row],[Reverse Recovery Loss MOSFET D BUCK]]*0.33</f>
        <v>0.93335114229763083</v>
      </c>
      <c r="BT31" s="354">
        <f xml:space="preserve"> Table1[[#This Row],[Total Control Bo MOSFET Loss]]+Table1[[#This Row],[Reverse Recovery Loss MOSFET D BOOST]]*0.66</f>
        <v>0</v>
      </c>
      <c r="BU31" s="354">
        <f xml:space="preserve"> Table1[[#This Row],[Total Sync Bo MOSFET Loss]]+Table1[[#This Row],[Reverse Recovery Loss MOSFET D BOOST]]*0.33</f>
        <v>0.71309247336339565</v>
      </c>
      <c r="BV31" s="354">
        <f>Table1[[#This Row],[Isense Shunt Loss]]</f>
        <v>0.13110923243114761</v>
      </c>
      <c r="CA31">
        <v>9.998704</v>
      </c>
      <c r="CB31">
        <v>0.36549999999999999</v>
      </c>
      <c r="CC31">
        <v>5.123094</v>
      </c>
      <c r="CD31">
        <v>85.419022273213088</v>
      </c>
      <c r="CE31">
        <v>319.63300692320018</v>
      </c>
    </row>
    <row r="32" spans="1:92" x14ac:dyDescent="0.2">
      <c r="A32" s="24" t="s">
        <v>66</v>
      </c>
      <c r="B32" s="15" t="s">
        <v>113</v>
      </c>
      <c r="C32" s="24" t="s">
        <v>80</v>
      </c>
      <c r="D32" s="17" t="s">
        <v>109</v>
      </c>
      <c r="G32">
        <v>23</v>
      </c>
      <c r="H32" s="555">
        <f>VIN_min+(VIN_max-VIN_min)*(Table1[[#This Row],[Step]]/200)</f>
        <v>23.22</v>
      </c>
      <c r="I32" s="4" t="str">
        <f>IF(Mode = 2,IF(Table1[[#This Row],[Vin]]&gt;Vout, "BUCK","BOOST"),IF(Table1[[#This Row],[Vin]]&gt;VIN_BB_to_buck, "BUCK", IF(Table1[[#This Row],[Vin]]&lt;=VIN_boost_to_BB,"BOOST","BUCK-BST")))</f>
        <v>BUCK</v>
      </c>
      <c r="J32">
        <f>IF(Table1[[#This Row],[Mode]]="BOOST",2, IF(Table1[[#This Row],[Mode]]="BUCK", 1,3))</f>
        <v>1</v>
      </c>
      <c r="K32">
        <f t="shared" si="0"/>
        <v>12</v>
      </c>
      <c r="L32" s="4">
        <f>Vout*Table1[[#This Row],[Iout]]/(Table1[[#This Row],[Vin]]*Efficiency)</f>
        <v>7.9423364613083098</v>
      </c>
      <c r="M32" s="711">
        <f>MIN(1/Fsw,CHOOSE(Table1[[#This Row],[Mode Digit]],(Vout+(Rdson2+Rs+Rdcr)*Table1[[#This Row],[Iout]])/(Table1[[#This Row],[Vin]]+(Rs+Rdson2-Rdson1)*Table1[[#This Row],[Iout]])/Fsw,(Vout+(Rdson3+Rdcr)*Table1[[#This Row],[Iin]]-Table1[[#This Row],[Vin]])/(Vout+(Rdson3-Rdson4-Rs)*Table1[[#This Row],[Iin]])/Fsw,t1_Ph_II))</f>
        <v>1.057347670250896E-6</v>
      </c>
      <c r="N32" s="602">
        <f>CHOOSE(Table1[[#This Row],[Mode Digit]],1/Fsw-Table1[[#This Row],[t1_Ph_II]],1/Fsw-Table1[[#This Row],[t1_Ph_II]],(Vout/Fsw-Table1[[#This Row],[Vin]]*t1_Ph_II)/(Table1[[#This Row],[Vin]]+Vout))</f>
        <v>6.0931899641577069E-7</v>
      </c>
      <c r="O32" s="602">
        <f>1/Fsw-(Table1[[#This Row],[t1_Ph_II]]+Table1[[#This Row],[t2_Ph_I]])</f>
        <v>0</v>
      </c>
      <c r="P3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10.273799826219182</v>
      </c>
      <c r="Q32" s="4">
        <f>CHOOSE(Table1[[#This Row],[Mode Digit]],Table1[[#This Row],[I_0]]+1/Lf*(Table1[[#This Row],[Vin]]-Vout)*Table1[[#This Row],[t1_Ph_II]],Table1[[#This Row],[I_0]]+1/Lf*Table1[[#This Row],[Vin]]*Table1[[#This Row],[t1_Ph_II]],Table1[[#This Row],[I_0]]+(Table1[[#This Row],[Vin]]-Vout)/L*Table1[[#This Row],[t1_Ph_II]])</f>
        <v>13.726200173780819</v>
      </c>
      <c r="R32" s="4">
        <f>CHOOSE(Table1[[#This Row],[Mode Digit]],0,0,Table1[[#This Row],[I_1]]+Table1[[#This Row],[Vin]]/L*Table1[[#This Row],[t2_Ph_I]])</f>
        <v>0</v>
      </c>
      <c r="S32" s="4">
        <f>Fsw*(Table1[[#This Row],[I_0]]*Table1[[#This Row],[t1_Ph_II]]+Table1[[#This Row],[I_1]]*Table1[[#This Row],[t2_Ph_I]]+Table1[[#This Row],[I_2]]*Table1[[#This Row],[t3_Ph_III]])</f>
        <v>11.535967695220211</v>
      </c>
      <c r="T32" s="354">
        <f>MIN(1,CHOOSE(Table1[[#This Row],[Mode Digit]],(Vout+(Rdson2+Rs+Rdcr)*Table1[[#This Row],[Iout]])/(Table1[[#This Row],[Vin]]+(Rs+Rdson2-Rdson1)*Table1[[#This Row],[Iout]]),1,Fsw*Table1[[#This Row],[t2_Ph_I]]+Table1[[#This Row],[t1_Ph_II]]))</f>
        <v>0.63440860215053763</v>
      </c>
      <c r="U32" s="354">
        <f>MIN(1,CHOOSE(Table1[[#This Row],[Mode Digit]],0,(Vout+(Rdson3+Rdcr)*Table1[[#This Row],[Iin]]-Table1[[#This Row],[Vin]])/(Vout+(Rdson3-Rdson4-Rs)*Table1[[#This Row],[Iin]]),Fsw*Table1[[#This Row],[t1_Ph_II]]+Table1[[#This Row],[t3_Ph_III]]))</f>
        <v>0</v>
      </c>
      <c r="V32" s="4">
        <f>MAX(Table1[[#This Row],[I_0]:[I_2]])-MIN(Table1[[#This Row],[I_0]:[I_1]])</f>
        <v>3.4524003475616372</v>
      </c>
      <c r="W3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12.041314532889961</v>
      </c>
      <c r="X32" s="354">
        <f>(Table1[[#This Row],[Irms Lf]]^2*Rdcr*(1+Ltc*Ta-Ltc*25))/(1-Table1[[#This Row],[Irms Lf]]^2*Rdcr*Ltc*ThetaCa)</f>
        <v>0.90161898688726194</v>
      </c>
      <c r="Y32" s="354">
        <f>ABS(7.759*10^-3*Fsw^0.9458*(0.00787*Table1[[#This Row],[Ripple Current pk-pk]])^2.304)</f>
        <v>0.55839062897701663</v>
      </c>
      <c r="Z32" s="354">
        <f>Table1[[#This Row],[DCR    Loss]]+Table1[[#This Row],[Core Loss]]</f>
        <v>1.4600096158642786</v>
      </c>
      <c r="AA32" s="4">
        <f>IF(Table1[[#This Row],[Vin]]&gt;Vout, Table1[[#This Row],[Ripple Current pk-pk]]/SQRT(12), SQRT(Table1[[#This Row],[Duty Cycle BOOST Leg]]/(1-Table1[[#This Row],[Duty Cycle BOOST Leg]]))*SQRT(Table1[[#This Row],[Iout]]^2+(Table1[[#This Row],[Ripple Current pk-pk]]^2)/12))</f>
        <v>0.99662213500753449</v>
      </c>
      <c r="AB32" s="354">
        <f>RCoutEsr*Table1[[#This Row],[Irms Cout]]^2</f>
        <v>4.9662783999348814E-3</v>
      </c>
      <c r="AC32" s="354">
        <f>Table1[[#This Row],[Cout ESR Loss]]</f>
        <v>4.9662783999348814E-3</v>
      </c>
      <c r="AD32" s="354">
        <f>IF(Table1[[#This Row],[Vin]]&gt;Vout, SQRT(Table1[[#This Row],[Duty Cycle BUCK Leg]]*(1-Table1[[#This Row],[Duty Cycle BUCK Leg]]))*SQRT(Table1[[#This Row],[Iout]]^2+(Table1[[#This Row],[Ripple Current pk-pk]]^2)/12), Table1[[#This Row],[Ripple Current pk-pk]]/SQRT(12))</f>
        <v>5.7990441688715642</v>
      </c>
      <c r="AE32" s="354">
        <f>RCinEsr*Table1[[#This Row],[Irms Cin]]^2</f>
        <v>6.7257826545046584E-2</v>
      </c>
      <c r="AF32" s="549">
        <f>Table1[[#This Row],[Cin ESR Loss]]</f>
        <v>6.7257826545046584E-2</v>
      </c>
      <c r="AG3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9.5908794517080675</v>
      </c>
      <c r="AH32" s="354">
        <f>Rdson1*Table1[[#This Row],[Irms BuCtrl]]^2</f>
        <v>0.38633686836022346</v>
      </c>
      <c r="AI32" s="354">
        <f>CHOOSE(Table1[[#This Row],[Mode Digit]], (Table1[[#This Row],[Vin]]*Table1[[#This Row],[Iout]]/2)*(Fsw)*(Tr_buck+Tf_buck), 0, (Table1[[#This Row],[Vin]]*Table1[[#This Row],[Avg IL]]/2)*(Fsw/1)*(Tr_buck+Tf_buck))</f>
        <v>2.7630964849464541</v>
      </c>
      <c r="AJ32">
        <f>IF(Table1[[#This Row],[Vin]]&gt;Vout, IF(Table1[[#This Row],[Iout]]&gt;Table1[[#This Row],[Ripple Current pk-pk]]/2,0,ABS(Table1[[#This Row],[Iout]]-Table1[[#This Row],[Ripple Current pk-pk]]/2)*Vsd_Q1*Deadtime*Fsw),0)</f>
        <v>0</v>
      </c>
      <c r="AK32" s="354">
        <f>(Table1[[#This Row],[Dead Time Loss BuCtrl]]+Table1[[#This Row],[Transition Loss BuCtrl]]+Table1[[#This Row],[RDS(on) Loss BuCtrl]]*(1+RdsonTopTc*Ta-RdsonTopTc*25))/(1-Table1[[#This Row],[RDS(on) Loss BuCtrl]]*RdsonTopTc*ThetaJA_Q1)</f>
        <v>3.4712947473498188</v>
      </c>
      <c r="AL32" s="354">
        <f>CHOOSE(Table1[[#This Row],[Mode Digit]],SQRT((Fsw*(Table1[[#This Row],[t2_Ph_I]]+0))*((Table1[[#This Row],[I_0]]*Table1[[#This Row],[I_1]]+((Table1[[#This Row],[I_0]]-Table1[[#This Row],[I_1]])^2)/3))),0,SQRT((Fsw*(Table1[[#This Row],[t3_Ph_III]]+0))*((Table1[[#This Row],[I_0]]*Table1[[#This Row],[I_2]]+((Table1[[#This Row],[I_0]]-Table1[[#This Row],[I_2]])^2)/3))))</f>
        <v>7.2806790220961499</v>
      </c>
      <c r="AM32" s="354">
        <f>Rdson2*Table1[[#This Row],[Irms BuSync]]^2</f>
        <v>0.22263480549572204</v>
      </c>
      <c r="AN3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32" s="354">
        <f>(Table1[[#This Row],[Deadtime Loss BuSync]]+Table1[[#This Row],[RDS(on) Loss BuSync]]*(1+RdsonBotTc*Ta-RdsonBotTc*25))/(1-Table1[[#This Row],[RDS(on) Loss BuSync]]*RdsonBotTc*ThetaJA_Q2)</f>
        <v>0.84516541091620023</v>
      </c>
      <c r="AP32" s="354">
        <f>CHOOSE(Table1[[#This Row],[Mode Digit]],0,SQRT((Fsw*(Table1[[#This Row],[t1_Ph_II]]+0))*((Table1[[#This Row],[I_0]]*Table1[[#This Row],[I_1]]+((Table1[[#This Row],[I_0]]-Table1[[#This Row],[I_1]])^2)/3))),SQRT((Fsw*(Table1[[#This Row],[t2_Ph_I]]+0))*((Table1[[#This Row],[I_1]]*Table1[[#This Row],[I_2]]+((Table1[[#This Row],[I_1]]-Table1[[#This Row],[I_2]])^2)/3))))</f>
        <v>0</v>
      </c>
      <c r="AQ32" s="354">
        <f>Rdson4*Table1[[#This Row],[Irms BoCtlr]]^2</f>
        <v>0</v>
      </c>
      <c r="AR32" s="354">
        <f>CHOOSE(Table1[[#This Row],[Mode Digit]], 0, (Vout*Table1[[#This Row],[Iin]]/2)*(Fsw)*(Tr_boost+Tf_boost), (Vout*Iout/2)*(Fsw/1)*(Tr_boost+Tf_boost))</f>
        <v>0</v>
      </c>
      <c r="AS32">
        <f>IF(Table1[[#This Row],[Vin]]&gt;Vout, 0, IF(Table1[[#This Row],[Iin]]&gt;Table1[[#This Row],[Ripple Current pk-pk]]/2,0,ABS(Table1[[#This Row],[Iin]]-Table1[[#This Row],[Ripple Current pk-pk]]/2)*Vsd_Q4*Deadtime*Fsw))</f>
        <v>0</v>
      </c>
      <c r="AT32" s="354">
        <f>(Table1[[#This Row],[Dead Time Loss BoCtlr]]+Table1[[#This Row],[Transition Loss BoCtlr]]+Table1[[#This Row],[RDS(on) Loss BoCtlr]]*(1+RdsonTopTc*Ta-RdsonTopTc*25))/(1-Table1[[#This Row],[RDS(on) Loss BoCtlr]]*RdsonTopTc*ThetaJA_Q4)</f>
        <v>0</v>
      </c>
      <c r="AU3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12.041314532889961</v>
      </c>
      <c r="AV32" s="354">
        <f>Rdson3*Table1[[#This Row],[Irms BoSync]]^2</f>
        <v>0.60897167385594542</v>
      </c>
      <c r="AW3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32" s="354">
        <f>(Table1[[#This Row],[Deadtime Loss BoSync]]+Table1[[#This Row],[RDS(on) Loss BoSync]]*(1+RdsonBotTc*Ta-RdsonBotTc*25))/(1-Table1[[#This Row],[RDS(on) Loss BoSync]]*RdsonBotTc*ThetaJA_Q3)</f>
        <v>0.71320953019503774</v>
      </c>
      <c r="AY32" s="354">
        <f>CHOOSE(Table1[[#This Row],[Mode Digit]], Rdson3*Table1[[#This Row],[Irms Lf]]^2, Rdson1*Table1[[#This Row],[Irms Lf]]^2, 0)</f>
        <v>0.60897167385594542</v>
      </c>
      <c r="AZ32" s="354">
        <f>CHOOSE(Table1[[#This Row],[Mode Digit]], 2*Deadtime*Fsw*IF(VfdSky_Q2&gt;0,VfdSky_Q2,0)*Table1[[#This Row],[Iout]], 2*Deadtime*Fsw*IF(VfdSky_Q3&gt;0,VfdSky_Q3,0)*Table1[[#This Row],[Iin]], 2*Deadtime*Fsw*IF(VfdSky_Q2&gt;0,VfdSky_Q2,0)*Table1[[#This Row],[Iout]]+2*Deadtime*Fsw*IF(VfdSky_Q3&gt;0,VfdSky_Q3,0)*Table1[[#This Row],[Iin]])</f>
        <v>0</v>
      </c>
      <c r="BA32" s="354">
        <f>CHOOSE(Table1[[#This Row],[Mode Digit]], IF(QrrSky_Q2&gt;0,QrrSky_Q2,Qrr_Q2)*Fsw*(Table1[[#This Row],[Vin]]-Table1[[#This Row],[Iout]]*Rdson1),0,  IF(QrrSky_Q2&gt;0,QrrSky_Q2,Qrr_Q2)*Fsw*(Table1[[#This Row],[Vin]]-Table1[[#This Row],[Iout]]*Rdson1)+IF(QrrSky_Q3&gt;0,QrrSky_Q3,Qrr_Q3)*Fsw*Vout)</f>
        <v>0.27803519999999998</v>
      </c>
      <c r="BB32" s="354">
        <f>CHOOSE(Table1[[#This Row],[Mode Digit]],0, IF(QrrSky_Q3&gt;0,QrrSky_Q3,Qrr_Q3)*Fsw*Vout,  IF(QrrSky_Q2&gt;0,QrrSky_Q2,Qrr_Q2)*Fsw*(Table1[[#This Row],[Vin]]-Table1[[#This Row],[Iout]]*Rdson1)+IF(QrrSky_Q3&gt;0,QrrSky_Q3,Qrr_Q3)*Fsw*Vout)</f>
        <v>0</v>
      </c>
      <c r="BC32" s="354">
        <f>CHOOSE(Table1[[#This Row],[Mode Digit]], Rs*Table1[[#This Row],[Irms BuSync]]^2, Rs*Table1[[#This Row],[Irms BoCtlr]]^2, Rs*(Table1[[#This Row],[Irms BuSync]]^2+Table1[[#This Row],[Irms BoCtlr]]^2))</f>
        <v>0.13252071755697739</v>
      </c>
      <c r="BD32" s="354">
        <f t="shared" si="1"/>
        <v>1.44</v>
      </c>
      <c r="BE32" s="354">
        <f>IF(Vout&gt;8, Iq*Vout, Iq*Table1[[#This Row],[Vin]])</f>
        <v>4.3799999999999999E-2</v>
      </c>
      <c r="BF32" s="354">
        <f>CHOOSE(Table1[[#This Row],[Mode Digit]], (Qg_Q1+Qg_Q2)*Fsw, (Qg_Q3+Qg_Q4)*Fsw, (Qg_Q1+Qg_Q2+Qg_Q3+Qg_Q4)*Fsw)*IF(Vout&gt;8, Vout, Table1[[#This Row],[Vin]])</f>
        <v>0.47303999999999996</v>
      </c>
      <c r="BG32" s="354">
        <f t="shared" si="2"/>
        <v>0.45605042016806729</v>
      </c>
      <c r="BH32" s="354">
        <f>Table1[[#This Row],[IQ Loss]]+Table1[[#This Row],[Switching Current Loss]]</f>
        <v>0.51683999999999997</v>
      </c>
      <c r="BI3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8.9292993268272944</v>
      </c>
      <c r="BJ32">
        <f>Vout*Table1[[#This Row],[Iout]]</f>
        <v>175.2</v>
      </c>
      <c r="BK32" s="550">
        <f>Table1[[#This Row],[Pout]]/(Table1[[#This Row],[Pout]]+Table1[[#This Row],[Total Loss]])</f>
        <v>0.95150527721838607</v>
      </c>
      <c r="BL3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208.27768484098914</v>
      </c>
      <c r="BM32" s="559">
        <f>IF(Table1[[#This Row],[Vin]]&gt;Vout, Table1[[#This Row],[Total Sync Bu MOSFET Loss]]*ThetaJA_Q2, ThetaJA_Q3*Table1[[#This Row],[Total Sync Bo MOSFET Loss]])</f>
        <v>50.709924654972014</v>
      </c>
      <c r="BN32" s="9"/>
      <c r="BO32" s="4">
        <f>Table1[[#This Row],[EFF, h]]*100</f>
        <v>95.150527721838614</v>
      </c>
      <c r="BP32" s="354">
        <f>Table1[[#This Row],[Total Inductor Loss]]</f>
        <v>1.4600096158642786</v>
      </c>
      <c r="BQ32" s="354">
        <f>Table1[[#This Row],[Total Control Bu MOSFET Loss]]+Table1[[#This Row],[Total Sync Bu MOSFET Loss]]+Table1[[#This Row],[Total Control Bo MOSFET Loss]]+Table1[[#This Row],[Total Sync Bo MOSFET Loss]]+Table1[[#This Row],[Reverse Recovery Loss MOSFET D BUCK]]+Table1[[#This Row],[Reverse Recovery Loss MOSFET D BOOST]]</f>
        <v>5.3077048884610569</v>
      </c>
      <c r="BR32" s="354">
        <f>Table1[[#This Row],[Total Control Bu MOSFET Loss]]+Table1[[#This Row],[Reverse Recovery Loss MOSFET D BUCK]]*0.66</f>
        <v>3.6547979793498189</v>
      </c>
      <c r="BS32" s="354">
        <f>Table1[[#This Row],[Total Sync Bu MOSFET Loss]]+Table1[[#This Row],[Reverse Recovery Loss MOSFET D BUCK]]*0.33</f>
        <v>0.93691702691620027</v>
      </c>
      <c r="BT32" s="354">
        <f xml:space="preserve"> Table1[[#This Row],[Total Control Bo MOSFET Loss]]+Table1[[#This Row],[Reverse Recovery Loss MOSFET D BOOST]]*0.66</f>
        <v>0</v>
      </c>
      <c r="BU32" s="354">
        <f xml:space="preserve"> Table1[[#This Row],[Total Sync Bo MOSFET Loss]]+Table1[[#This Row],[Reverse Recovery Loss MOSFET D BOOST]]*0.33</f>
        <v>0.71320953019503774</v>
      </c>
      <c r="BV32" s="354">
        <f>Table1[[#This Row],[Isense Shunt Loss]]</f>
        <v>0.13252071755697739</v>
      </c>
      <c r="CA32">
        <v>9.9987290000000009</v>
      </c>
      <c r="CB32">
        <v>0.49059999999999998</v>
      </c>
      <c r="CC32">
        <v>5.1238169999999998</v>
      </c>
      <c r="CD32">
        <v>88.551850267052174</v>
      </c>
      <c r="CE32">
        <v>324.98153184230057</v>
      </c>
    </row>
    <row r="33" spans="1:83" x14ac:dyDescent="0.2">
      <c r="A33" s="22" t="s">
        <v>66</v>
      </c>
      <c r="B33" s="5">
        <f>Deadtime*1000000000</f>
        <v>40.095238095238095</v>
      </c>
      <c r="C33" s="440" t="s">
        <v>79</v>
      </c>
      <c r="D33" s="21" t="s">
        <v>100</v>
      </c>
      <c r="G33">
        <v>24</v>
      </c>
      <c r="H33" s="555">
        <f>VIN_min+(VIN_max-VIN_min)*(Table1[[#This Row],[Step]]/200)</f>
        <v>23.36</v>
      </c>
      <c r="I33" s="4" t="str">
        <f>IF(Mode = 2,IF(Table1[[#This Row],[Vin]]&gt;Vout, "BUCK","BOOST"),IF(Table1[[#This Row],[Vin]]&gt;VIN_BB_to_buck, "BUCK", IF(Table1[[#This Row],[Vin]]&lt;=VIN_boost_to_BB,"BOOST","BUCK-BST")))</f>
        <v>BUCK</v>
      </c>
      <c r="J33">
        <f>IF(Table1[[#This Row],[Mode]]="BOOST",2, IF(Table1[[#This Row],[Mode]]="BUCK", 1,3))</f>
        <v>1</v>
      </c>
      <c r="K33">
        <f t="shared" si="0"/>
        <v>12</v>
      </c>
      <c r="L33" s="4">
        <f>Vout*Table1[[#This Row],[Iout]]/(Table1[[#This Row],[Vin]]*Efficiency)</f>
        <v>7.8947368421052628</v>
      </c>
      <c r="M33" s="711">
        <f>MIN(1/Fsw,CHOOSE(Table1[[#This Row],[Mode Digit]],(Vout+(Rdson2+Rs+Rdcr)*Table1[[#This Row],[Iout]])/(Table1[[#This Row],[Vin]]+(Rs+Rdson2-Rdson1)*Table1[[#This Row],[Iout]])/Fsw,(Vout+(Rdson3+Rdcr)*Table1[[#This Row],[Iin]]-Table1[[#This Row],[Vin]])/(Vout+(Rdson3-Rdson4-Rs)*Table1[[#This Row],[Iin]])/Fsw,t1_Ph_II))</f>
        <v>1.0510189539689326E-6</v>
      </c>
      <c r="N33" s="602">
        <f>CHOOSE(Table1[[#This Row],[Mode Digit]],1/Fsw-Table1[[#This Row],[t1_Ph_II]],1/Fsw-Table1[[#This Row],[t1_Ph_II]],(Vout/Fsw-Table1[[#This Row],[Vin]]*t1_Ph_II)/(Table1[[#This Row],[Vin]]+Vout))</f>
        <v>6.1564771269773402E-7</v>
      </c>
      <c r="O33" s="602">
        <f>1/Fsw-(Table1[[#This Row],[t1_Ph_II]]+Table1[[#This Row],[t2_Ph_I]])</f>
        <v>0</v>
      </c>
      <c r="P3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10.256264008187907</v>
      </c>
      <c r="Q33" s="4">
        <f>CHOOSE(Table1[[#This Row],[Mode Digit]],Table1[[#This Row],[I_0]]+1/Lf*(Table1[[#This Row],[Vin]]-Vout)*Table1[[#This Row],[t1_Ph_II]],Table1[[#This Row],[I_0]]+1/Lf*Table1[[#This Row],[Vin]]*Table1[[#This Row],[t1_Ph_II]],Table1[[#This Row],[I_0]]+(Table1[[#This Row],[Vin]]-Vout)/L*Table1[[#This Row],[t1_Ph_II]])</f>
        <v>13.743735991812093</v>
      </c>
      <c r="R33" s="4">
        <f>CHOOSE(Table1[[#This Row],[Mode Digit]],0,0,Table1[[#This Row],[I_1]]+Table1[[#This Row],[Vin]]/L*Table1[[#This Row],[t2_Ph_I]])</f>
        <v>0</v>
      </c>
      <c r="S33" s="4">
        <f>Fsw*(Table1[[#This Row],[I_0]]*Table1[[#This Row],[t1_Ph_II]]+Table1[[#This Row],[I_1]]*Table1[[#This Row],[t2_Ph_I]]+Table1[[#This Row],[I_2]]*Table1[[#This Row],[t3_Ph_III]])</f>
        <v>11.544496498077303</v>
      </c>
      <c r="T33" s="354">
        <f>MIN(1,CHOOSE(Table1[[#This Row],[Mode Digit]],(Vout+(Rdson2+Rs+Rdcr)*Table1[[#This Row],[Iout]])/(Table1[[#This Row],[Vin]]+(Rs+Rdson2-Rdson1)*Table1[[#This Row],[Iout]]),1,Fsw*Table1[[#This Row],[t2_Ph_I]]+Table1[[#This Row],[t1_Ph_II]]))</f>
        <v>0.63061137238135956</v>
      </c>
      <c r="U33" s="354">
        <f>MIN(1,CHOOSE(Table1[[#This Row],[Mode Digit]],0,(Vout+(Rdson3+Rdcr)*Table1[[#This Row],[Iin]]-Table1[[#This Row],[Vin]])/(Vout+(Rdson3-Rdson4-Rs)*Table1[[#This Row],[Iin]]),Fsw*Table1[[#This Row],[t1_Ph_II]]+Table1[[#This Row],[t3_Ph_III]]))</f>
        <v>0</v>
      </c>
      <c r="V33" s="4">
        <f>MAX(Table1[[#This Row],[I_0]:[I_2]])-MIN(Table1[[#This Row],[I_0]:[I_1]])</f>
        <v>3.4874719836241859</v>
      </c>
      <c r="W3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12.042156717259868</v>
      </c>
      <c r="X33" s="354">
        <f>(Table1[[#This Row],[Irms Lf]]^2*Rdcr*(1+Ltc*Ta-Ltc*25))/(1-Table1[[#This Row],[Irms Lf]]^2*Rdcr*Ltc*ThetaCa)</f>
        <v>0.90175421068961614</v>
      </c>
      <c r="Y33" s="354">
        <f>ABS(7.759*10^-3*Fsw^0.9458*(0.00787*Table1[[#This Row],[Ripple Current pk-pk]])^2.304)</f>
        <v>0.57154667663924841</v>
      </c>
      <c r="Z33" s="354">
        <f>Table1[[#This Row],[DCR    Loss]]+Table1[[#This Row],[Core Loss]]</f>
        <v>1.4733008873288647</v>
      </c>
      <c r="AA33" s="4">
        <f>IF(Table1[[#This Row],[Vin]]&gt;Vout, Table1[[#This Row],[Ripple Current pk-pk]]/SQRT(12), SQRT(Table1[[#This Row],[Duty Cycle BOOST Leg]]/(1-Table1[[#This Row],[Duty Cycle BOOST Leg]]))*SQRT(Table1[[#This Row],[Iout]]^2+(Table1[[#This Row],[Ripple Current pk-pk]]^2)/12))</f>
        <v>1.0067464442683509</v>
      </c>
      <c r="AB33" s="354">
        <f>RCoutEsr*Table1[[#This Row],[Irms Cout]]^2</f>
        <v>5.0676920152348389E-3</v>
      </c>
      <c r="AC33" s="354">
        <f>Table1[[#This Row],[Cout ESR Loss]]</f>
        <v>5.0676920152348389E-3</v>
      </c>
      <c r="AD33" s="354">
        <f>IF(Table1[[#This Row],[Vin]]&gt;Vout, SQRT(Table1[[#This Row],[Duty Cycle BUCK Leg]]*(1-Table1[[#This Row],[Duty Cycle BUCK Leg]]))*SQRT(Table1[[#This Row],[Iout]]^2+(Table1[[#This Row],[Ripple Current pk-pk]]^2)/12), Table1[[#This Row],[Ripple Current pk-pk]]/SQRT(12))</f>
        <v>5.8120177828654143</v>
      </c>
      <c r="AE33" s="354">
        <f>RCinEsr*Table1[[#This Row],[Irms Cin]]^2</f>
        <v>6.7559101416687611E-2</v>
      </c>
      <c r="AF33" s="549">
        <f>Table1[[#This Row],[Cin ESR Loss]]</f>
        <v>6.7559101416687611E-2</v>
      </c>
      <c r="AG3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9.5628022287519059</v>
      </c>
      <c r="AH33" s="354">
        <f>Rdson1*Table1[[#This Row],[Irms BuCtrl]]^2</f>
        <v>0.38407818315813419</v>
      </c>
      <c r="AI33" s="354">
        <f>CHOOSE(Table1[[#This Row],[Mode Digit]], (Table1[[#This Row],[Vin]]*Table1[[#This Row],[Iout]]/2)*(Fsw)*(Tr_buck+Tf_buck), 0, (Table1[[#This Row],[Vin]]*Table1[[#This Row],[Avg IL]]/2)*(Fsw/1)*(Tr_buck+Tf_buck))</f>
        <v>2.7797559814103865</v>
      </c>
      <c r="AJ33">
        <f>IF(Table1[[#This Row],[Vin]]&gt;Vout, IF(Table1[[#This Row],[Iout]]&gt;Table1[[#This Row],[Ripple Current pk-pk]]/2,0,ABS(Table1[[#This Row],[Iout]]-Table1[[#This Row],[Ripple Current pk-pk]]/2)*Vsd_Q1*Deadtime*Fsw),0)</f>
        <v>0</v>
      </c>
      <c r="AK33" s="354">
        <f>(Table1[[#This Row],[Dead Time Loss BuCtrl]]+Table1[[#This Row],[Transition Loss BuCtrl]]+Table1[[#This Row],[RDS(on) Loss BuCtrl]]*(1+RdsonTopTc*Ta-RdsonTopTc*25))/(1-Table1[[#This Row],[RDS(on) Loss BuCtrl]]*RdsonTopTc*ThetaJA_Q1)</f>
        <v>3.4850849913605462</v>
      </c>
      <c r="AL33" s="354">
        <f>CHOOSE(Table1[[#This Row],[Mode Digit]],SQRT((Fsw*(Table1[[#This Row],[t2_Ph_I]]+0))*((Table1[[#This Row],[I_0]]*Table1[[#This Row],[I_1]]+((Table1[[#This Row],[I_0]]-Table1[[#This Row],[I_1]])^2)/3))),0,SQRT((Fsw*(Table1[[#This Row],[t3_Ph_III]]+0))*((Table1[[#This Row],[I_0]]*Table1[[#This Row],[I_2]]+((Table1[[#This Row],[I_0]]-Table1[[#This Row],[I_2]])^2)/3))))</f>
        <v>7.3189037387319509</v>
      </c>
      <c r="AM33" s="354">
        <f>Rdson2*Table1[[#This Row],[Irms BuSync]]^2</f>
        <v>0.22497867813466307</v>
      </c>
      <c r="AN3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33" s="354">
        <f>(Table1[[#This Row],[Deadtime Loss BuSync]]+Table1[[#This Row],[RDS(on) Loss BuSync]]*(1+RdsonBotTc*Ta-RdsonBotTc*25))/(1-Table1[[#This Row],[RDS(on) Loss BuSync]]*RdsonBotTc*ThetaJA_Q2)</f>
        <v>0.8481456305865015</v>
      </c>
      <c r="AP33" s="354">
        <f>CHOOSE(Table1[[#This Row],[Mode Digit]],0,SQRT((Fsw*(Table1[[#This Row],[t1_Ph_II]]+0))*((Table1[[#This Row],[I_0]]*Table1[[#This Row],[I_1]]+((Table1[[#This Row],[I_0]]-Table1[[#This Row],[I_1]])^2)/3))),SQRT((Fsw*(Table1[[#This Row],[t2_Ph_I]]+0))*((Table1[[#This Row],[I_1]]*Table1[[#This Row],[I_2]]+((Table1[[#This Row],[I_1]]-Table1[[#This Row],[I_2]])^2)/3))))</f>
        <v>0</v>
      </c>
      <c r="AQ33" s="354">
        <f>Rdson4*Table1[[#This Row],[Irms BoCtlr]]^2</f>
        <v>0</v>
      </c>
      <c r="AR33" s="354">
        <f>CHOOSE(Table1[[#This Row],[Mode Digit]], 0, (Vout*Table1[[#This Row],[Iin]]/2)*(Fsw)*(Tr_boost+Tf_boost), (Vout*Iout/2)*(Fsw/1)*(Tr_boost+Tf_boost))</f>
        <v>0</v>
      </c>
      <c r="AS33">
        <f>IF(Table1[[#This Row],[Vin]]&gt;Vout, 0, IF(Table1[[#This Row],[Iin]]&gt;Table1[[#This Row],[Ripple Current pk-pk]]/2,0,ABS(Table1[[#This Row],[Iin]]-Table1[[#This Row],[Ripple Current pk-pk]]/2)*Vsd_Q4*Deadtime*Fsw))</f>
        <v>0</v>
      </c>
      <c r="AT33" s="354">
        <f>(Table1[[#This Row],[Dead Time Loss BoCtlr]]+Table1[[#This Row],[Transition Loss BoCtlr]]+Table1[[#This Row],[RDS(on) Loss BoCtlr]]*(1+RdsonTopTc*Ta-RdsonTopTc*25))/(1-Table1[[#This Row],[RDS(on) Loss BoCtlr]]*RdsonTopTc*ThetaJA_Q4)</f>
        <v>0</v>
      </c>
      <c r="AU3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12.042156717259868</v>
      </c>
      <c r="AV33" s="354">
        <f>Rdson3*Table1[[#This Row],[Irms BoSync]]^2</f>
        <v>0.60905686129279735</v>
      </c>
      <c r="AW3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33" s="354">
        <f>(Table1[[#This Row],[Deadtime Loss BoSync]]+Table1[[#This Row],[RDS(on) Loss BoSync]]*(1+RdsonBotTc*Ta-RdsonBotTc*25))/(1-Table1[[#This Row],[RDS(on) Loss BoSync]]*RdsonBotTc*ThetaJA_Q3)</f>
        <v>0.71332637947534305</v>
      </c>
      <c r="AY33" s="354">
        <f>CHOOSE(Table1[[#This Row],[Mode Digit]], Rdson3*Table1[[#This Row],[Irms Lf]]^2, Rdson1*Table1[[#This Row],[Irms Lf]]^2, 0)</f>
        <v>0.60905686129279735</v>
      </c>
      <c r="AZ33" s="354">
        <f>CHOOSE(Table1[[#This Row],[Mode Digit]], 2*Deadtime*Fsw*IF(VfdSky_Q2&gt;0,VfdSky_Q2,0)*Table1[[#This Row],[Iout]], 2*Deadtime*Fsw*IF(VfdSky_Q3&gt;0,VfdSky_Q3,0)*Table1[[#This Row],[Iin]], 2*Deadtime*Fsw*IF(VfdSky_Q2&gt;0,VfdSky_Q2,0)*Table1[[#This Row],[Iout]]+2*Deadtime*Fsw*IF(VfdSky_Q3&gt;0,VfdSky_Q3,0)*Table1[[#This Row],[Iin]])</f>
        <v>0</v>
      </c>
      <c r="BA33" s="354">
        <f>CHOOSE(Table1[[#This Row],[Mode Digit]], IF(QrrSky_Q2&gt;0,QrrSky_Q2,Qrr_Q2)*Fsw*(Table1[[#This Row],[Vin]]-Table1[[#This Row],[Iout]]*Rdson1),0,  IF(QrrSky_Q2&gt;0,QrrSky_Q2,Qrr_Q2)*Fsw*(Table1[[#This Row],[Vin]]-Table1[[#This Row],[Iout]]*Rdson1)+IF(QrrSky_Q3&gt;0,QrrSky_Q3,Qrr_Q3)*Fsw*Vout)</f>
        <v>0.2797152</v>
      </c>
      <c r="BB33" s="354">
        <f>CHOOSE(Table1[[#This Row],[Mode Digit]],0, IF(QrrSky_Q3&gt;0,QrrSky_Q3,Qrr_Q3)*Fsw*Vout,  IF(QrrSky_Q2&gt;0,QrrSky_Q2,Qrr_Q2)*Fsw*(Table1[[#This Row],[Vin]]-Table1[[#This Row],[Iout]]*Rdson1)+IF(QrrSky_Q3&gt;0,QrrSky_Q3,Qrr_Q3)*Fsw*Vout)</f>
        <v>0</v>
      </c>
      <c r="BC33" s="354">
        <f>CHOOSE(Table1[[#This Row],[Mode Digit]], Rs*Table1[[#This Row],[Irms BuSync]]^2, Rs*Table1[[#This Row],[Irms BoCtlr]]^2, Rs*(Table1[[#This Row],[Irms BuSync]]^2+Table1[[#This Row],[Irms BoCtlr]]^2))</f>
        <v>0.13391587984206133</v>
      </c>
      <c r="BD33" s="354">
        <f t="shared" si="1"/>
        <v>1.44</v>
      </c>
      <c r="BE33" s="354">
        <f>IF(Vout&gt;8, Iq*Vout, Iq*Table1[[#This Row],[Vin]])</f>
        <v>4.3799999999999999E-2</v>
      </c>
      <c r="BF33" s="354">
        <f>CHOOSE(Table1[[#This Row],[Mode Digit]], (Qg_Q1+Qg_Q2)*Fsw, (Qg_Q3+Qg_Q4)*Fsw, (Qg_Q1+Qg_Q2+Qg_Q3+Qg_Q4)*Fsw)*IF(Vout&gt;8, Vout, Table1[[#This Row],[Vin]])</f>
        <v>0.47303999999999996</v>
      </c>
      <c r="BG33" s="354">
        <f t="shared" si="2"/>
        <v>0.45605042016806729</v>
      </c>
      <c r="BH33" s="354">
        <f>Table1[[#This Row],[IQ Loss]]+Table1[[#This Row],[Switching Current Loss]]</f>
        <v>0.51683999999999997</v>
      </c>
      <c r="BI3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8.9629557620252402</v>
      </c>
      <c r="BJ33">
        <f>Vout*Table1[[#This Row],[Iout]]</f>
        <v>175.2</v>
      </c>
      <c r="BK33" s="550">
        <f>Table1[[#This Row],[Pout]]/(Table1[[#This Row],[Pout]]+Table1[[#This Row],[Total Loss]])</f>
        <v>0.95133138624465197</v>
      </c>
      <c r="BL3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209.10509948163278</v>
      </c>
      <c r="BM33" s="559">
        <f>IF(Table1[[#This Row],[Vin]]&gt;Vout, Table1[[#This Row],[Total Sync Bu MOSFET Loss]]*ThetaJA_Q2, ThetaJA_Q3*Table1[[#This Row],[Total Sync Bo MOSFET Loss]])</f>
        <v>50.888737835190092</v>
      </c>
      <c r="BN33" s="9"/>
      <c r="BO33" s="4">
        <f>Table1[[#This Row],[EFF, h]]*100</f>
        <v>95.133138624465204</v>
      </c>
      <c r="BP33" s="354">
        <f>Table1[[#This Row],[Total Inductor Loss]]</f>
        <v>1.4733008873288647</v>
      </c>
      <c r="BQ33" s="354">
        <f>Table1[[#This Row],[Total Control Bu MOSFET Loss]]+Table1[[#This Row],[Total Sync Bu MOSFET Loss]]+Table1[[#This Row],[Total Control Bo MOSFET Loss]]+Table1[[#This Row],[Total Sync Bo MOSFET Loss]]+Table1[[#This Row],[Reverse Recovery Loss MOSFET D BUCK]]+Table1[[#This Row],[Reverse Recovery Loss MOSFET D BOOST]]</f>
        <v>5.3262722014223911</v>
      </c>
      <c r="BR33" s="354">
        <f>Table1[[#This Row],[Total Control Bu MOSFET Loss]]+Table1[[#This Row],[Reverse Recovery Loss MOSFET D BUCK]]*0.66</f>
        <v>3.6696970233605462</v>
      </c>
      <c r="BS33" s="354">
        <f>Table1[[#This Row],[Total Sync Bu MOSFET Loss]]+Table1[[#This Row],[Reverse Recovery Loss MOSFET D BUCK]]*0.33</f>
        <v>0.94045164658650149</v>
      </c>
      <c r="BT33" s="354">
        <f xml:space="preserve"> Table1[[#This Row],[Total Control Bo MOSFET Loss]]+Table1[[#This Row],[Reverse Recovery Loss MOSFET D BOOST]]*0.66</f>
        <v>0</v>
      </c>
      <c r="BU33" s="354">
        <f xml:space="preserve"> Table1[[#This Row],[Total Sync Bo MOSFET Loss]]+Table1[[#This Row],[Reverse Recovery Loss MOSFET D BOOST]]*0.33</f>
        <v>0.71332637947534305</v>
      </c>
      <c r="BV33" s="354">
        <f>Table1[[#This Row],[Isense Shunt Loss]]</f>
        <v>0.13391587984206133</v>
      </c>
      <c r="CA33">
        <v>9.9986420000000003</v>
      </c>
      <c r="CB33">
        <v>0.64549999999999996</v>
      </c>
      <c r="CC33">
        <v>5.1237300000000001</v>
      </c>
      <c r="CD33">
        <v>90.41893857119905</v>
      </c>
      <c r="CE33">
        <v>350.45848473660021</v>
      </c>
    </row>
    <row r="34" spans="1:83" x14ac:dyDescent="0.2">
      <c r="A34" s="24" t="s">
        <v>56</v>
      </c>
      <c r="B34" s="15" t="s">
        <v>113</v>
      </c>
      <c r="C34" s="24" t="s">
        <v>80</v>
      </c>
      <c r="D34" s="17" t="s">
        <v>109</v>
      </c>
      <c r="G34">
        <v>25</v>
      </c>
      <c r="H34" s="555">
        <f>VIN_min+(VIN_max-VIN_min)*(Table1[[#This Row],[Step]]/200)</f>
        <v>23.5</v>
      </c>
      <c r="I34" s="4" t="str">
        <f>IF(Mode = 2,IF(Table1[[#This Row],[Vin]]&gt;Vout, "BUCK","BOOST"),IF(Table1[[#This Row],[Vin]]&gt;VIN_BB_to_buck, "BUCK", IF(Table1[[#This Row],[Vin]]&lt;=VIN_boost_to_BB,"BOOST","BUCK-BST")))</f>
        <v>BUCK</v>
      </c>
      <c r="J34">
        <f>IF(Table1[[#This Row],[Mode]]="BOOST",2, IF(Table1[[#This Row],[Mode]]="BUCK", 1,3))</f>
        <v>1</v>
      </c>
      <c r="K34">
        <f t="shared" si="0"/>
        <v>12</v>
      </c>
      <c r="L34" s="4">
        <f>Vout*Table1[[#This Row],[Iout]]/(Table1[[#This Row],[Vin]]*Efficiency)</f>
        <v>7.8477043673012314</v>
      </c>
      <c r="M34" s="711">
        <f>MIN(1/Fsw,CHOOSE(Table1[[#This Row],[Mode Digit]],(Vout+(Rdson2+Rs+Rdcr)*Table1[[#This Row],[Iout]])/(Table1[[#This Row],[Vin]]+(Rs+Rdson2-Rdson1)*Table1[[#This Row],[Iout]])/Fsw,(Vout+(Rdson3+Rdcr)*Table1[[#This Row],[Iin]]-Table1[[#This Row],[Vin]])/(Vout+(Rdson3-Rdson4-Rs)*Table1[[#This Row],[Iin]])/Fsw,t1_Ph_II))</f>
        <v>1.0447655475279785E-6</v>
      </c>
      <c r="N34" s="602">
        <f>CHOOSE(Table1[[#This Row],[Mode Digit]],1/Fsw-Table1[[#This Row],[t1_Ph_II]],1/Fsw-Table1[[#This Row],[t1_Ph_II]],(Vout/Fsw-Table1[[#This Row],[Vin]]*t1_Ph_II)/(Table1[[#This Row],[Vin]]+Vout))</f>
        <v>6.2190111913868816E-7</v>
      </c>
      <c r="O34" s="602">
        <f>1/Fsw-(Table1[[#This Row],[t1_Ph_II]]+Table1[[#This Row],[t2_Ph_I]])</f>
        <v>0</v>
      </c>
      <c r="P3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10.23893686117443</v>
      </c>
      <c r="Q34" s="4">
        <f>CHOOSE(Table1[[#This Row],[Mode Digit]],Table1[[#This Row],[I_0]]+1/Lf*(Table1[[#This Row],[Vin]]-Vout)*Table1[[#This Row],[t1_Ph_II]],Table1[[#This Row],[I_0]]+1/Lf*Table1[[#This Row],[Vin]]*Table1[[#This Row],[t1_Ph_II]],Table1[[#This Row],[I_0]]+(Table1[[#This Row],[Vin]]-Vout)/L*Table1[[#This Row],[t1_Ph_II]])</f>
        <v>13.76106313882557</v>
      </c>
      <c r="R34" s="4">
        <f>CHOOSE(Table1[[#This Row],[Mode Digit]],0,0,Table1[[#This Row],[I_1]]+Table1[[#This Row],[Vin]]/L*Table1[[#This Row],[t2_Ph_I]])</f>
        <v>0</v>
      </c>
      <c r="S34" s="4">
        <f>Fsw*(Table1[[#This Row],[I_0]]*Table1[[#This Row],[t1_Ph_II]]+Table1[[#This Row],[I_1]]*Table1[[#This Row],[t2_Ph_I]]+Table1[[#This Row],[I_2]]*Table1[[#This Row],[t3_Ph_III]])</f>
        <v>11.553185425465845</v>
      </c>
      <c r="T34" s="354">
        <f>MIN(1,CHOOSE(Table1[[#This Row],[Mode Digit]],(Vout+(Rdson2+Rs+Rdcr)*Table1[[#This Row],[Iout]])/(Table1[[#This Row],[Vin]]+(Rs+Rdson2-Rdson1)*Table1[[#This Row],[Iout]]),1,Fsw*Table1[[#This Row],[t2_Ph_I]]+Table1[[#This Row],[t1_Ph_II]]))</f>
        <v>0.62685932851678705</v>
      </c>
      <c r="U34" s="354">
        <f>MIN(1,CHOOSE(Table1[[#This Row],[Mode Digit]],0,(Vout+(Rdson3+Rdcr)*Table1[[#This Row],[Iin]]-Table1[[#This Row],[Vin]])/(Vout+(Rdson3-Rdson4-Rs)*Table1[[#This Row],[Iin]]),Fsw*Table1[[#This Row],[t1_Ph_II]]+Table1[[#This Row],[t3_Ph_III]]))</f>
        <v>0</v>
      </c>
      <c r="V34" s="4">
        <f>MAX(Table1[[#This Row],[I_0]:[I_2]])-MIN(Table1[[#This Row],[I_0]:[I_1]])</f>
        <v>3.5221262776511395</v>
      </c>
      <c r="W3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12.042997182026991</v>
      </c>
      <c r="X34" s="354">
        <f>(Table1[[#This Row],[Irms Lf]]^2*Rdcr*(1+Ltc*Ta-Ltc*25))/(1-Table1[[#This Row],[Irms Lf]]^2*Rdcr*Ltc*ThetaCa)</f>
        <v>0.90188917053632423</v>
      </c>
      <c r="Y34" s="354">
        <f>ABS(7.759*10^-3*Fsw^0.9458*(0.00787*Table1[[#This Row],[Ripple Current pk-pk]])^2.304)</f>
        <v>0.5847167424303612</v>
      </c>
      <c r="Z34" s="354">
        <f>Table1[[#This Row],[DCR    Loss]]+Table1[[#This Row],[Core Loss]]</f>
        <v>1.4866059129666853</v>
      </c>
      <c r="AA34" s="4">
        <f>IF(Table1[[#This Row],[Vin]]&gt;Vout, Table1[[#This Row],[Ripple Current pk-pk]]/SQRT(12), SQRT(Table1[[#This Row],[Duty Cycle BOOST Leg]]/(1-Table1[[#This Row],[Duty Cycle BOOST Leg]]))*SQRT(Table1[[#This Row],[Iout]]^2+(Table1[[#This Row],[Ripple Current pk-pk]]^2)/12))</f>
        <v>1.0167502772608701</v>
      </c>
      <c r="AB34" s="354">
        <f>RCoutEsr*Table1[[#This Row],[Irms Cout]]^2</f>
        <v>5.1689056315502814E-3</v>
      </c>
      <c r="AC34" s="354">
        <f>Table1[[#This Row],[Cout ESR Loss]]</f>
        <v>5.1689056315502814E-3</v>
      </c>
      <c r="AD34" s="354">
        <f>IF(Table1[[#This Row],[Vin]]&gt;Vout, SQRT(Table1[[#This Row],[Duty Cycle BUCK Leg]]*(1-Table1[[#This Row],[Duty Cycle BUCK Leg]]))*SQRT(Table1[[#This Row],[Iout]]^2+(Table1[[#This Row],[Ripple Current pk-pk]]^2)/12), Table1[[#This Row],[Ripple Current pk-pk]]/SQRT(12))</f>
        <v>5.8244634682982062</v>
      </c>
      <c r="AE34" s="354">
        <f>RCinEsr*Table1[[#This Row],[Irms Cin]]^2</f>
        <v>6.7848749387080742E-2</v>
      </c>
      <c r="AF34" s="549">
        <f>Table1[[#This Row],[Cin ESR Loss]]</f>
        <v>6.7848749387080742E-2</v>
      </c>
      <c r="AG3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9.5349765940504216</v>
      </c>
      <c r="AH34" s="354">
        <f>Rdson1*Table1[[#This Row],[Irms BuCtrl]]^2</f>
        <v>0.38184627032617541</v>
      </c>
      <c r="AI34" s="354">
        <f>CHOOSE(Table1[[#This Row],[Mode Digit]], (Table1[[#This Row],[Vin]]*Table1[[#This Row],[Iout]]/2)*(Fsw)*(Tr_buck+Tf_buck), 0, (Table1[[#This Row],[Vin]]*Table1[[#This Row],[Avg IL]]/2)*(Fsw/1)*(Tr_buck+Tf_buck))</f>
        <v>2.7964154778743184</v>
      </c>
      <c r="AJ34">
        <f>IF(Table1[[#This Row],[Vin]]&gt;Vout, IF(Table1[[#This Row],[Iout]]&gt;Table1[[#This Row],[Ripple Current pk-pk]]/2,0,ABS(Table1[[#This Row],[Iout]]-Table1[[#This Row],[Ripple Current pk-pk]]/2)*Vsd_Q1*Deadtime*Fsw),0)</f>
        <v>0</v>
      </c>
      <c r="AK34" s="354">
        <f>(Table1[[#This Row],[Dead Time Loss BuCtrl]]+Table1[[#This Row],[Transition Loss BuCtrl]]+Table1[[#This Row],[RDS(on) Loss BuCtrl]]*(1+RdsonTopTc*Ta-RdsonTopTc*25))/(1-Table1[[#This Row],[RDS(on) Loss BuCtrl]]*RdsonTopTc*ThetaJA_Q1)</f>
        <v>3.4989129991407326</v>
      </c>
      <c r="AL34" s="354">
        <f>CHOOSE(Table1[[#This Row],[Mode Digit]],SQRT((Fsw*(Table1[[#This Row],[t2_Ph_I]]+0))*((Table1[[#This Row],[I_0]]*Table1[[#This Row],[I_1]]+((Table1[[#This Row],[I_0]]-Table1[[#This Row],[I_1]])^2)/3))),0,SQRT((Fsw*(Table1[[#This Row],[t3_Ph_III]]+0))*((Table1[[#This Row],[I_0]]*Table1[[#This Row],[I_2]]+((Table1[[#This Row],[I_0]]-Table1[[#This Row],[I_2]])^2)/3))))</f>
        <v>7.3564938984016468</v>
      </c>
      <c r="AM34" s="354">
        <f>Rdson2*Table1[[#This Row],[Irms BuSync]]^2</f>
        <v>0.2272956104043268</v>
      </c>
      <c r="AN3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34" s="354">
        <f>(Table1[[#This Row],[Deadtime Loss BuSync]]+Table1[[#This Row],[RDS(on) Loss BuSync]]*(1+RdsonBotTc*Ta-RdsonBotTc*25))/(1-Table1[[#This Row],[RDS(on) Loss BuSync]]*RdsonBotTc*ThetaJA_Q2)</f>
        <v>0.85109508121500776</v>
      </c>
      <c r="AP34" s="354">
        <f>CHOOSE(Table1[[#This Row],[Mode Digit]],0,SQRT((Fsw*(Table1[[#This Row],[t1_Ph_II]]+0))*((Table1[[#This Row],[I_0]]*Table1[[#This Row],[I_1]]+((Table1[[#This Row],[I_0]]-Table1[[#This Row],[I_1]])^2)/3))),SQRT((Fsw*(Table1[[#This Row],[t2_Ph_I]]+0))*((Table1[[#This Row],[I_1]]*Table1[[#This Row],[I_2]]+((Table1[[#This Row],[I_1]]-Table1[[#This Row],[I_2]])^2)/3))))</f>
        <v>0</v>
      </c>
      <c r="AQ34" s="354">
        <f>Rdson4*Table1[[#This Row],[Irms BoCtlr]]^2</f>
        <v>0</v>
      </c>
      <c r="AR34" s="354">
        <f>CHOOSE(Table1[[#This Row],[Mode Digit]], 0, (Vout*Table1[[#This Row],[Iin]]/2)*(Fsw)*(Tr_boost+Tf_boost), (Vout*Iout/2)*(Fsw/1)*(Tr_boost+Tf_boost))</f>
        <v>0</v>
      </c>
      <c r="AS34">
        <f>IF(Table1[[#This Row],[Vin]]&gt;Vout, 0, IF(Table1[[#This Row],[Iin]]&gt;Table1[[#This Row],[Ripple Current pk-pk]]/2,0,ABS(Table1[[#This Row],[Iin]]-Table1[[#This Row],[Ripple Current pk-pk]]/2)*Vsd_Q4*Deadtime*Fsw))</f>
        <v>0</v>
      </c>
      <c r="AT34" s="354">
        <f>(Table1[[#This Row],[Dead Time Loss BoCtlr]]+Table1[[#This Row],[Transition Loss BoCtlr]]+Table1[[#This Row],[RDS(on) Loss BoCtlr]]*(1+RdsonTopTc*Ta-RdsonTopTc*25))/(1-Table1[[#This Row],[RDS(on) Loss BoCtlr]]*RdsonTopTc*ThetaJA_Q4)</f>
        <v>0</v>
      </c>
      <c r="AU3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12.042997182026991</v>
      </c>
      <c r="AV34" s="354">
        <f>Rdson3*Table1[[#This Row],[Irms BoSync]]^2</f>
        <v>0.60914188073050224</v>
      </c>
      <c r="AW3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34" s="354">
        <f>(Table1[[#This Row],[Deadtime Loss BoSync]]+Table1[[#This Row],[RDS(on) Loss BoSync]]*(1+RdsonBotTc*Ta-RdsonBotTc*25))/(1-Table1[[#This Row],[RDS(on) Loss BoSync]]*RdsonBotTc*ThetaJA_Q3)</f>
        <v>0.71344300389534065</v>
      </c>
      <c r="AY34" s="354">
        <f>CHOOSE(Table1[[#This Row],[Mode Digit]], Rdson3*Table1[[#This Row],[Irms Lf]]^2, Rdson1*Table1[[#This Row],[Irms Lf]]^2, 0)</f>
        <v>0.60914188073050224</v>
      </c>
      <c r="AZ34" s="354">
        <f>CHOOSE(Table1[[#This Row],[Mode Digit]], 2*Deadtime*Fsw*IF(VfdSky_Q2&gt;0,VfdSky_Q2,0)*Table1[[#This Row],[Iout]], 2*Deadtime*Fsw*IF(VfdSky_Q3&gt;0,VfdSky_Q3,0)*Table1[[#This Row],[Iin]], 2*Deadtime*Fsw*IF(VfdSky_Q2&gt;0,VfdSky_Q2,0)*Table1[[#This Row],[Iout]]+2*Deadtime*Fsw*IF(VfdSky_Q3&gt;0,VfdSky_Q3,0)*Table1[[#This Row],[Iin]])</f>
        <v>0</v>
      </c>
      <c r="BA34" s="354">
        <f>CHOOSE(Table1[[#This Row],[Mode Digit]], IF(QrrSky_Q2&gt;0,QrrSky_Q2,Qrr_Q2)*Fsw*(Table1[[#This Row],[Vin]]-Table1[[#This Row],[Iout]]*Rdson1),0,  IF(QrrSky_Q2&gt;0,QrrSky_Q2,Qrr_Q2)*Fsw*(Table1[[#This Row],[Vin]]-Table1[[#This Row],[Iout]]*Rdson1)+IF(QrrSky_Q3&gt;0,QrrSky_Q3,Qrr_Q3)*Fsw*Vout)</f>
        <v>0.28139520000000001</v>
      </c>
      <c r="BB34" s="354">
        <f>CHOOSE(Table1[[#This Row],[Mode Digit]],0, IF(QrrSky_Q3&gt;0,QrrSky_Q3,Qrr_Q3)*Fsw*Vout,  IF(QrrSky_Q2&gt;0,QrrSky_Q2,Qrr_Q2)*Fsw*(Table1[[#This Row],[Vin]]-Table1[[#This Row],[Iout]]*Rdson1)+IF(QrrSky_Q3&gt;0,QrrSky_Q3,Qrr_Q3)*Fsw*Vout)</f>
        <v>0</v>
      </c>
      <c r="BC34" s="354">
        <f>CHOOSE(Table1[[#This Row],[Mode Digit]], Rs*Table1[[#This Row],[Irms BuSync]]^2, Rs*Table1[[#This Row],[Irms BoCtlr]]^2, Rs*(Table1[[#This Row],[Irms BuSync]]^2+Table1[[#This Row],[Irms BoCtlr]]^2))</f>
        <v>0.13529500619305165</v>
      </c>
      <c r="BD34" s="354">
        <f t="shared" si="1"/>
        <v>1.44</v>
      </c>
      <c r="BE34" s="354">
        <f>IF(Vout&gt;8, Iq*Vout, Iq*Table1[[#This Row],[Vin]])</f>
        <v>4.3799999999999999E-2</v>
      </c>
      <c r="BF34" s="354">
        <f>CHOOSE(Table1[[#This Row],[Mode Digit]], (Qg_Q1+Qg_Q2)*Fsw, (Qg_Q3+Qg_Q4)*Fsw, (Qg_Q1+Qg_Q2+Qg_Q3+Qg_Q4)*Fsw)*IF(Vout&gt;8, Vout, Table1[[#This Row],[Vin]])</f>
        <v>0.47303999999999996</v>
      </c>
      <c r="BG34" s="354">
        <f t="shared" si="2"/>
        <v>0.45605042016806729</v>
      </c>
      <c r="BH34" s="354">
        <f>Table1[[#This Row],[IQ Loss]]+Table1[[#This Row],[Switching Current Loss]]</f>
        <v>0.51683999999999997</v>
      </c>
      <c r="BI3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8.9966048584294498</v>
      </c>
      <c r="BJ34">
        <f>Vout*Table1[[#This Row],[Iout]]</f>
        <v>175.2</v>
      </c>
      <c r="BK34" s="550">
        <f>Table1[[#This Row],[Pout]]/(Table1[[#This Row],[Pout]]+Table1[[#This Row],[Total Loss]])</f>
        <v>0.95115759671388023</v>
      </c>
      <c r="BL3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209.93477994844395</v>
      </c>
      <c r="BM34" s="559">
        <f>IF(Table1[[#This Row],[Vin]]&gt;Vout, Table1[[#This Row],[Total Sync Bu MOSFET Loss]]*ThetaJA_Q2, ThetaJA_Q3*Table1[[#This Row],[Total Sync Bo MOSFET Loss]])</f>
        <v>51.065704872900469</v>
      </c>
      <c r="BN34" s="9"/>
      <c r="BO34" s="4">
        <f>Table1[[#This Row],[EFF, h]]*100</f>
        <v>95.11575967138802</v>
      </c>
      <c r="BP34" s="354">
        <f>Table1[[#This Row],[Total Inductor Loss]]</f>
        <v>1.4866059129666853</v>
      </c>
      <c r="BQ34" s="354">
        <f>Table1[[#This Row],[Total Control Bu MOSFET Loss]]+Table1[[#This Row],[Total Sync Bu MOSFET Loss]]+Table1[[#This Row],[Total Control Bo MOSFET Loss]]+Table1[[#This Row],[Total Sync Bo MOSFET Loss]]+Table1[[#This Row],[Reverse Recovery Loss MOSFET D BUCK]]+Table1[[#This Row],[Reverse Recovery Loss MOSFET D BOOST]]</f>
        <v>5.3448462842510818</v>
      </c>
      <c r="BR34" s="354">
        <f>Table1[[#This Row],[Total Control Bu MOSFET Loss]]+Table1[[#This Row],[Reverse Recovery Loss MOSFET D BUCK]]*0.66</f>
        <v>3.6846338311407325</v>
      </c>
      <c r="BS34" s="354">
        <f>Table1[[#This Row],[Total Sync Bu MOSFET Loss]]+Table1[[#This Row],[Reverse Recovery Loss MOSFET D BUCK]]*0.33</f>
        <v>0.94395549721500782</v>
      </c>
      <c r="BT34" s="354">
        <f xml:space="preserve"> Table1[[#This Row],[Total Control Bo MOSFET Loss]]+Table1[[#This Row],[Reverse Recovery Loss MOSFET D BOOST]]*0.66</f>
        <v>0</v>
      </c>
      <c r="BU34" s="354">
        <f xml:space="preserve"> Table1[[#This Row],[Total Sync Bo MOSFET Loss]]+Table1[[#This Row],[Reverse Recovery Loss MOSFET D BOOST]]*0.33</f>
        <v>0.71344300389534065</v>
      </c>
      <c r="BV34" s="354">
        <f>Table1[[#This Row],[Isense Shunt Loss]]</f>
        <v>0.13529500619305165</v>
      </c>
      <c r="CA34">
        <v>9.9986049999999995</v>
      </c>
      <c r="CB34">
        <v>0.83240000000000003</v>
      </c>
      <c r="CC34">
        <v>5.1231559999999998</v>
      </c>
      <c r="CD34">
        <v>91.678946361105133</v>
      </c>
      <c r="CE34">
        <v>387.05996035199956</v>
      </c>
    </row>
    <row r="35" spans="1:83" x14ac:dyDescent="0.2">
      <c r="A35" s="22" t="s">
        <v>156</v>
      </c>
      <c r="B35" s="5">
        <f>Iq*1000</f>
        <v>3</v>
      </c>
      <c r="C35" s="440" t="s">
        <v>68</v>
      </c>
      <c r="D35" s="21" t="s">
        <v>159</v>
      </c>
      <c r="G35">
        <v>26</v>
      </c>
      <c r="H35" s="555">
        <f>VIN_min+(VIN_max-VIN_min)*(Table1[[#This Row],[Step]]/200)</f>
        <v>23.64</v>
      </c>
      <c r="I35" s="4" t="str">
        <f>IF(Mode = 2,IF(Table1[[#This Row],[Vin]]&gt;Vout, "BUCK","BOOST"),IF(Table1[[#This Row],[Vin]]&gt;VIN_BB_to_buck, "BUCK", IF(Table1[[#This Row],[Vin]]&lt;=VIN_boost_to_BB,"BOOST","BUCK-BST")))</f>
        <v>BUCK</v>
      </c>
      <c r="J35">
        <f>IF(Table1[[#This Row],[Mode]]="BOOST",2, IF(Table1[[#This Row],[Mode]]="BUCK", 1,3))</f>
        <v>1</v>
      </c>
      <c r="K35">
        <f t="shared" si="0"/>
        <v>12</v>
      </c>
      <c r="L35" s="4">
        <f>Vout*Table1[[#This Row],[Iout]]/(Table1[[#This Row],[Vin]]*Efficiency)</f>
        <v>7.8012289607266903</v>
      </c>
      <c r="M35" s="711">
        <f>MIN(1/Fsw,CHOOSE(Table1[[#This Row],[Mode Digit]],(Vout+(Rdson2+Rs+Rdcr)*Table1[[#This Row],[Iout]])/(Table1[[#This Row],[Vin]]+(Rs+Rdson2-Rdson1)*Table1[[#This Row],[Iout]])/Fsw,(Vout+(Rdson3+Rdcr)*Table1[[#This Row],[Iin]]-Table1[[#This Row],[Vin]])/(Vout+(Rdson3-Rdson4-Rs)*Table1[[#This Row],[Iin]])/Fsw,t1_Ph_II))</f>
        <v>1.0385861146317419E-6</v>
      </c>
      <c r="N35" s="602">
        <f>CHOOSE(Table1[[#This Row],[Mode Digit]],1/Fsw-Table1[[#This Row],[t1_Ph_II]],1/Fsw-Table1[[#This Row],[t1_Ph_II]],(Vout/Fsw-Table1[[#This Row],[Vin]]*t1_Ph_II)/(Table1[[#This Row],[Vin]]+Vout))</f>
        <v>6.280805520349248E-7</v>
      </c>
      <c r="O35" s="602">
        <f>1/Fsw-(Table1[[#This Row],[t1_Ph_II]]+Table1[[#This Row],[t2_Ph_I]])</f>
        <v>0</v>
      </c>
      <c r="P3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10.221814682524442</v>
      </c>
      <c r="Q35" s="4">
        <f>CHOOSE(Table1[[#This Row],[Mode Digit]],Table1[[#This Row],[I_0]]+1/Lf*(Table1[[#This Row],[Vin]]-Vout)*Table1[[#This Row],[t1_Ph_II]],Table1[[#This Row],[I_0]]+1/Lf*Table1[[#This Row],[Vin]]*Table1[[#This Row],[t1_Ph_II]],Table1[[#This Row],[I_0]]+(Table1[[#This Row],[Vin]]-Vout)/L*Table1[[#This Row],[t1_Ph_II]])</f>
        <v>13.778185317475559</v>
      </c>
      <c r="R35" s="4">
        <f>CHOOSE(Table1[[#This Row],[Mode Digit]],0,0,Table1[[#This Row],[I_1]]+Table1[[#This Row],[Vin]]/L*Table1[[#This Row],[t2_Ph_I]])</f>
        <v>0</v>
      </c>
      <c r="S35" s="4">
        <f>Fsw*(Table1[[#This Row],[I_0]]*Table1[[#This Row],[t1_Ph_II]]+Table1[[#This Row],[I_1]]*Table1[[#This Row],[t2_Ph_I]]+Table1[[#This Row],[I_2]]*Table1[[#This Row],[t3_Ph_III]])</f>
        <v>11.562027021508978</v>
      </c>
      <c r="T35" s="354">
        <f>MIN(1,CHOOSE(Table1[[#This Row],[Mode Digit]],(Vout+(Rdson2+Rs+Rdcr)*Table1[[#This Row],[Iout]])/(Table1[[#This Row],[Vin]]+(Rs+Rdson2-Rdson1)*Table1[[#This Row],[Iout]]),1,Fsw*Table1[[#This Row],[t2_Ph_I]]+Table1[[#This Row],[t1_Ph_II]]))</f>
        <v>0.62315166877904515</v>
      </c>
      <c r="U35" s="354">
        <f>MIN(1,CHOOSE(Table1[[#This Row],[Mode Digit]],0,(Vout+(Rdson3+Rdcr)*Table1[[#This Row],[Iin]]-Table1[[#This Row],[Vin]])/(Vout+(Rdson3-Rdson4-Rs)*Table1[[#This Row],[Iin]]),Fsw*Table1[[#This Row],[t1_Ph_II]]+Table1[[#This Row],[t3_Ph_III]]))</f>
        <v>0</v>
      </c>
      <c r="V35" s="4">
        <f>MAX(Table1[[#This Row],[I_0]:[I_2]])-MIN(Table1[[#This Row],[I_0]:[I_1]])</f>
        <v>3.5563706349511168</v>
      </c>
      <c r="W3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12.043835809565071</v>
      </c>
      <c r="X35" s="354">
        <f>(Table1[[#This Row],[Irms Lf]]^2*Rdcr*(1+Ltc*Ta-Ltc*25))/(1-Table1[[#This Row],[Irms Lf]]^2*Rdcr*Ltc*ThetaCa)</f>
        <v>0.90202384746284803</v>
      </c>
      <c r="Y35" s="354">
        <f>ABS(7.759*10^-3*Fsw^0.9458*(0.00787*Table1[[#This Row],[Ripple Current pk-pk]])^2.304)</f>
        <v>0.59789807036348053</v>
      </c>
      <c r="Z35" s="354">
        <f>Table1[[#This Row],[DCR    Loss]]+Table1[[#This Row],[Core Loss]]</f>
        <v>1.4999219178263286</v>
      </c>
      <c r="AA35" s="4">
        <f>IF(Table1[[#This Row],[Vin]]&gt;Vout, Table1[[#This Row],[Ripple Current pk-pk]]/SQRT(12), SQRT(Table1[[#This Row],[Duty Cycle BOOST Leg]]/(1-Table1[[#This Row],[Duty Cycle BOOST Leg]]))*SQRT(Table1[[#This Row],[Iout]]^2+(Table1[[#This Row],[Ripple Current pk-pk]]^2)/12))</f>
        <v>1.0266357717135539</v>
      </c>
      <c r="AB35" s="354">
        <f>RCoutEsr*Table1[[#This Row],[Irms Cout]]^2</f>
        <v>5.2699050388094219E-3</v>
      </c>
      <c r="AC35" s="354">
        <f>Table1[[#This Row],[Cout ESR Loss]]</f>
        <v>5.2699050388094219E-3</v>
      </c>
      <c r="AD35" s="354">
        <f>IF(Table1[[#This Row],[Vin]]&gt;Vout, SQRT(Table1[[#This Row],[Duty Cycle BUCK Leg]]*(1-Table1[[#This Row],[Duty Cycle BUCK Leg]]))*SQRT(Table1[[#This Row],[Iout]]^2+(Table1[[#This Row],[Ripple Current pk-pk]]^2)/12), Table1[[#This Row],[Ripple Current pk-pk]]/SQRT(12))</f>
        <v>5.8363994206298644</v>
      </c>
      <c r="AE35" s="354">
        <f>RCinEsr*Table1[[#This Row],[Irms Cin]]^2</f>
        <v>6.8127116394257226E-2</v>
      </c>
      <c r="AF35" s="549">
        <f>Table1[[#This Row],[Cin ESR Loss]]</f>
        <v>6.8127116394257226E-2</v>
      </c>
      <c r="AG3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9.5073987151076587</v>
      </c>
      <c r="AH35" s="354">
        <f>Rdson1*Table1[[#This Row],[Irms BuCtrl]]^2</f>
        <v>0.37964064737772923</v>
      </c>
      <c r="AI35" s="354">
        <f>CHOOSE(Table1[[#This Row],[Mode Digit]], (Table1[[#This Row],[Vin]]*Table1[[#This Row],[Iout]]/2)*(Fsw)*(Tr_buck+Tf_buck), 0, (Table1[[#This Row],[Vin]]*Table1[[#This Row],[Avg IL]]/2)*(Fsw/1)*(Tr_buck+Tf_buck))</f>
        <v>2.8130749743382508</v>
      </c>
      <c r="AJ35">
        <f>IF(Table1[[#This Row],[Vin]]&gt;Vout, IF(Table1[[#This Row],[Iout]]&gt;Table1[[#This Row],[Ripple Current pk-pk]]/2,0,ABS(Table1[[#This Row],[Iout]]-Table1[[#This Row],[Ripple Current pk-pk]]/2)*Vsd_Q1*Deadtime*Fsw),0)</f>
        <v>0</v>
      </c>
      <c r="AK35" s="354">
        <f>(Table1[[#This Row],[Dead Time Loss BuCtrl]]+Table1[[#This Row],[Transition Loss BuCtrl]]+Table1[[#This Row],[RDS(on) Loss BuCtrl]]*(1+RdsonTopTc*Ta-RdsonTopTc*25))/(1-Table1[[#This Row],[RDS(on) Loss BuCtrl]]*RdsonTopTc*ThetaJA_Q1)</f>
        <v>3.5127780187915696</v>
      </c>
      <c r="AL35" s="354">
        <f>CHOOSE(Table1[[#This Row],[Mode Digit]],SQRT((Fsw*(Table1[[#This Row],[t2_Ph_I]]+0))*((Table1[[#This Row],[I_0]]*Table1[[#This Row],[I_1]]+((Table1[[#This Row],[I_0]]-Table1[[#This Row],[I_1]])^2)/3))),0,SQRT((Fsw*(Table1[[#This Row],[t3_Ph_III]]+0))*((Table1[[#This Row],[I_0]]*Table1[[#This Row],[I_2]]+((Table1[[#This Row],[I_0]]-Table1[[#This Row],[I_2]])^2)/3))))</f>
        <v>7.3934667565176193</v>
      </c>
      <c r="AM35" s="354">
        <f>Rdson2*Table1[[#This Row],[Irms BuSync]]^2</f>
        <v>0.22958607285487093</v>
      </c>
      <c r="AN3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35" s="354">
        <f>(Table1[[#This Row],[Deadtime Loss BuSync]]+Table1[[#This Row],[RDS(on) Loss BuSync]]*(1+RdsonBotTc*Ta-RdsonBotTc*25))/(1-Table1[[#This Row],[RDS(on) Loss BuSync]]*RdsonBotTc*ThetaJA_Q2)</f>
        <v>0.8540142479923819</v>
      </c>
      <c r="AP35" s="354">
        <f>CHOOSE(Table1[[#This Row],[Mode Digit]],0,SQRT((Fsw*(Table1[[#This Row],[t1_Ph_II]]+0))*((Table1[[#This Row],[I_0]]*Table1[[#This Row],[I_1]]+((Table1[[#This Row],[I_0]]-Table1[[#This Row],[I_1]])^2)/3))),SQRT((Fsw*(Table1[[#This Row],[t2_Ph_I]]+0))*((Table1[[#This Row],[I_1]]*Table1[[#This Row],[I_2]]+((Table1[[#This Row],[I_1]]-Table1[[#This Row],[I_2]])^2)/3))))</f>
        <v>0</v>
      </c>
      <c r="AQ35" s="354">
        <f>Rdson4*Table1[[#This Row],[Irms BoCtlr]]^2</f>
        <v>0</v>
      </c>
      <c r="AR35" s="354">
        <f>CHOOSE(Table1[[#This Row],[Mode Digit]], 0, (Vout*Table1[[#This Row],[Iin]]/2)*(Fsw)*(Tr_boost+Tf_boost), (Vout*Iout/2)*(Fsw/1)*(Tr_boost+Tf_boost))</f>
        <v>0</v>
      </c>
      <c r="AS35">
        <f>IF(Table1[[#This Row],[Vin]]&gt;Vout, 0, IF(Table1[[#This Row],[Iin]]&gt;Table1[[#This Row],[Ripple Current pk-pk]]/2,0,ABS(Table1[[#This Row],[Iin]]-Table1[[#This Row],[Ripple Current pk-pk]]/2)*Vsd_Q4*Deadtime*Fsw))</f>
        <v>0</v>
      </c>
      <c r="AT35" s="354">
        <f>(Table1[[#This Row],[Dead Time Loss BoCtlr]]+Table1[[#This Row],[Transition Loss BoCtlr]]+Table1[[#This Row],[RDS(on) Loss BoCtlr]]*(1+RdsonTopTc*Ta-RdsonTopTc*25))/(1-Table1[[#This Row],[RDS(on) Loss BoCtlr]]*RdsonTopTc*ThetaJA_Q4)</f>
        <v>0</v>
      </c>
      <c r="AU3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12.043835809565071</v>
      </c>
      <c r="AV35" s="354">
        <f>Rdson3*Table1[[#This Row],[Irms BoSync]]^2</f>
        <v>0.60922672023260016</v>
      </c>
      <c r="AW3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35" s="354">
        <f>(Table1[[#This Row],[Deadtime Loss BoSync]]+Table1[[#This Row],[RDS(on) Loss BoSync]]*(1+RdsonBotTc*Ta-RdsonBotTc*25))/(1-Table1[[#This Row],[RDS(on) Loss BoSync]]*RdsonBotTc*ThetaJA_Q3)</f>
        <v>0.71355938704751409</v>
      </c>
      <c r="AY35" s="354">
        <f>CHOOSE(Table1[[#This Row],[Mode Digit]], Rdson3*Table1[[#This Row],[Irms Lf]]^2, Rdson1*Table1[[#This Row],[Irms Lf]]^2, 0)</f>
        <v>0.60922672023260016</v>
      </c>
      <c r="AZ35" s="354">
        <f>CHOOSE(Table1[[#This Row],[Mode Digit]], 2*Deadtime*Fsw*IF(VfdSky_Q2&gt;0,VfdSky_Q2,0)*Table1[[#This Row],[Iout]], 2*Deadtime*Fsw*IF(VfdSky_Q3&gt;0,VfdSky_Q3,0)*Table1[[#This Row],[Iin]], 2*Deadtime*Fsw*IF(VfdSky_Q2&gt;0,VfdSky_Q2,0)*Table1[[#This Row],[Iout]]+2*Deadtime*Fsw*IF(VfdSky_Q3&gt;0,VfdSky_Q3,0)*Table1[[#This Row],[Iin]])</f>
        <v>0</v>
      </c>
      <c r="BA35" s="354">
        <f>CHOOSE(Table1[[#This Row],[Mode Digit]], IF(QrrSky_Q2&gt;0,QrrSky_Q2,Qrr_Q2)*Fsw*(Table1[[#This Row],[Vin]]-Table1[[#This Row],[Iout]]*Rdson1),0,  IF(QrrSky_Q2&gt;0,QrrSky_Q2,Qrr_Q2)*Fsw*(Table1[[#This Row],[Vin]]-Table1[[#This Row],[Iout]]*Rdson1)+IF(QrrSky_Q3&gt;0,QrrSky_Q3,Qrr_Q3)*Fsw*Vout)</f>
        <v>0.28307520000000003</v>
      </c>
      <c r="BB35" s="354">
        <f>CHOOSE(Table1[[#This Row],[Mode Digit]],0, IF(QrrSky_Q3&gt;0,QrrSky_Q3,Qrr_Q3)*Fsw*Vout,  IF(QrrSky_Q2&gt;0,QrrSky_Q2,Qrr_Q2)*Fsw*(Table1[[#This Row],[Vin]]-Table1[[#This Row],[Iout]]*Rdson1)+IF(QrrSky_Q3&gt;0,QrrSky_Q3,Qrr_Q3)*Fsw*Vout)</f>
        <v>0</v>
      </c>
      <c r="BC35" s="354">
        <f>CHOOSE(Table1[[#This Row],[Mode Digit]], Rs*Table1[[#This Row],[Irms BuSync]]^2, Rs*Table1[[#This Row],[Irms BoCtlr]]^2, Rs*(Table1[[#This Row],[Irms BuSync]]^2+Table1[[#This Row],[Irms BoCtlr]]^2))</f>
        <v>0.13665837669932793</v>
      </c>
      <c r="BD35" s="354">
        <f t="shared" si="1"/>
        <v>1.44</v>
      </c>
      <c r="BE35" s="354">
        <f>IF(Vout&gt;8, Iq*Vout, Iq*Table1[[#This Row],[Vin]])</f>
        <v>4.3799999999999999E-2</v>
      </c>
      <c r="BF35" s="354">
        <f>CHOOSE(Table1[[#This Row],[Mode Digit]], (Qg_Q1+Qg_Q2)*Fsw, (Qg_Q3+Qg_Q4)*Fsw, (Qg_Q1+Qg_Q2+Qg_Q3+Qg_Q4)*Fsw)*IF(Vout&gt;8, Vout, Table1[[#This Row],[Vin]])</f>
        <v>0.47303999999999996</v>
      </c>
      <c r="BG35" s="354">
        <f t="shared" si="2"/>
        <v>0.45605042016806729</v>
      </c>
      <c r="BH35" s="354">
        <f>Table1[[#This Row],[IQ Loss]]+Table1[[#This Row],[Switching Current Loss]]</f>
        <v>0.51683999999999997</v>
      </c>
      <c r="BI3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9.0302441697901887</v>
      </c>
      <c r="BJ35">
        <f>Vout*Table1[[#This Row],[Iout]]</f>
        <v>175.2</v>
      </c>
      <c r="BK35" s="550">
        <f>Table1[[#This Row],[Pout]]/(Table1[[#This Row],[Pout]]+Table1[[#This Row],[Total Loss]])</f>
        <v>0.95098392117709107</v>
      </c>
      <c r="BL3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210.76668112749417</v>
      </c>
      <c r="BM35" s="559">
        <f>IF(Table1[[#This Row],[Vin]]&gt;Vout, Table1[[#This Row],[Total Sync Bu MOSFET Loss]]*ThetaJA_Q2, ThetaJA_Q3*Table1[[#This Row],[Total Sync Bo MOSFET Loss]])</f>
        <v>51.240854879542916</v>
      </c>
      <c r="BN35" s="9"/>
      <c r="BO35" s="4">
        <f>Table1[[#This Row],[EFF, h]]*100</f>
        <v>95.09839211770911</v>
      </c>
      <c r="BP35" s="354">
        <f>Table1[[#This Row],[Total Inductor Loss]]</f>
        <v>1.4999219178263286</v>
      </c>
      <c r="BQ35" s="354">
        <f>Table1[[#This Row],[Total Control Bu MOSFET Loss]]+Table1[[#This Row],[Total Sync Bu MOSFET Loss]]+Table1[[#This Row],[Total Control Bo MOSFET Loss]]+Table1[[#This Row],[Total Sync Bo MOSFET Loss]]+Table1[[#This Row],[Reverse Recovery Loss MOSFET D BUCK]]+Table1[[#This Row],[Reverse Recovery Loss MOSFET D BOOST]]</f>
        <v>5.3634268538314656</v>
      </c>
      <c r="BR35" s="354">
        <f>Table1[[#This Row],[Total Control Bu MOSFET Loss]]+Table1[[#This Row],[Reverse Recovery Loss MOSFET D BUCK]]*0.66</f>
        <v>3.6996076507915694</v>
      </c>
      <c r="BS35" s="354">
        <f>Table1[[#This Row],[Total Sync Bu MOSFET Loss]]+Table1[[#This Row],[Reverse Recovery Loss MOSFET D BUCK]]*0.33</f>
        <v>0.94742906399238191</v>
      </c>
      <c r="BT35" s="354">
        <f xml:space="preserve"> Table1[[#This Row],[Total Control Bo MOSFET Loss]]+Table1[[#This Row],[Reverse Recovery Loss MOSFET D BOOST]]*0.66</f>
        <v>0</v>
      </c>
      <c r="BU35" s="354">
        <f xml:space="preserve"> Table1[[#This Row],[Total Sync Bo MOSFET Loss]]+Table1[[#This Row],[Reverse Recovery Loss MOSFET D BOOST]]*0.33</f>
        <v>0.71355938704751409</v>
      </c>
      <c r="BV35" s="354">
        <f>Table1[[#This Row],[Isense Shunt Loss]]</f>
        <v>0.13665837669932793</v>
      </c>
      <c r="CA35">
        <v>9.9986049999999995</v>
      </c>
      <c r="CB35">
        <v>1.0528999999999999</v>
      </c>
      <c r="CC35">
        <v>5.1218219999999999</v>
      </c>
      <c r="CD35">
        <v>92.889938966292178</v>
      </c>
      <c r="CE35">
        <v>412.77762981700039</v>
      </c>
    </row>
    <row r="36" spans="1:83" x14ac:dyDescent="0.2">
      <c r="A36" s="24" t="s">
        <v>725</v>
      </c>
      <c r="B36" s="15" t="s">
        <v>113</v>
      </c>
      <c r="C36" s="24" t="s">
        <v>80</v>
      </c>
      <c r="D36" s="17" t="s">
        <v>109</v>
      </c>
      <c r="G36">
        <v>27</v>
      </c>
      <c r="H36" s="555">
        <f>VIN_min+(VIN_max-VIN_min)*(Table1[[#This Row],[Step]]/200)</f>
        <v>23.78</v>
      </c>
      <c r="I36" s="4" t="str">
        <f>IF(Mode = 2,IF(Table1[[#This Row],[Vin]]&gt;Vout, "BUCK","BOOST"),IF(Table1[[#This Row],[Vin]]&gt;VIN_BB_to_buck, "BUCK", IF(Table1[[#This Row],[Vin]]&lt;=VIN_boost_to_BB,"BOOST","BUCK-BST")))</f>
        <v>BUCK</v>
      </c>
      <c r="J36">
        <f>IF(Table1[[#This Row],[Mode]]="BOOST",2, IF(Table1[[#This Row],[Mode]]="BUCK", 1,3))</f>
        <v>1</v>
      </c>
      <c r="K36">
        <f t="shared" si="0"/>
        <v>12</v>
      </c>
      <c r="L36" s="4">
        <f>Vout*Table1[[#This Row],[Iout]]/(Table1[[#This Row],[Vin]]*Efficiency)</f>
        <v>7.7553007834978525</v>
      </c>
      <c r="M36" s="711">
        <f>MIN(1/Fsw,CHOOSE(Table1[[#This Row],[Mode Digit]],(Vout+(Rdson2+Rs+Rdcr)*Table1[[#This Row],[Iout]])/(Table1[[#This Row],[Vin]]+(Rs+Rdson2-Rdson1)*Table1[[#This Row],[Iout]])/Fsw,(Vout+(Rdson3+Rdcr)*Table1[[#This Row],[Iin]]-Table1[[#This Row],[Vin]])/(Vout+(Rdson3-Rdson4-Rs)*Table1[[#This Row],[Iin]])/Fsw,t1_Ph_II))</f>
        <v>1.0324793504129916E-6</v>
      </c>
      <c r="N36" s="602">
        <f>CHOOSE(Table1[[#This Row],[Mode Digit]],1/Fsw-Table1[[#This Row],[t1_Ph_II]],1/Fsw-Table1[[#This Row],[t1_Ph_II]],(Vout/Fsw-Table1[[#This Row],[Vin]]*t1_Ph_II)/(Table1[[#This Row],[Vin]]+Vout))</f>
        <v>6.3418731625367509E-7</v>
      </c>
      <c r="O36" s="602">
        <f>1/Fsw-(Table1[[#This Row],[t1_Ph_II]]+Table1[[#This Row],[t2_Ph_I]])</f>
        <v>0</v>
      </c>
      <c r="P3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10.20489385666832</v>
      </c>
      <c r="Q36" s="4">
        <f>CHOOSE(Table1[[#This Row],[Mode Digit]],Table1[[#This Row],[I_0]]+1/Lf*(Table1[[#This Row],[Vin]]-Vout)*Table1[[#This Row],[t1_Ph_II]],Table1[[#This Row],[I_0]]+1/Lf*Table1[[#This Row],[Vin]]*Table1[[#This Row],[t1_Ph_II]],Table1[[#This Row],[I_0]]+(Table1[[#This Row],[Vin]]-Vout)/L*Table1[[#This Row],[t1_Ph_II]])</f>
        <v>13.795106143331678</v>
      </c>
      <c r="R36" s="4">
        <f>CHOOSE(Table1[[#This Row],[Mode Digit]],0,0,Table1[[#This Row],[I_1]]+Table1[[#This Row],[Vin]]/L*Table1[[#This Row],[t2_Ph_I]])</f>
        <v>0</v>
      </c>
      <c r="S36" s="4">
        <f>Fsw*(Table1[[#This Row],[I_0]]*Table1[[#This Row],[t1_Ph_II]]+Table1[[#This Row],[I_1]]*Table1[[#This Row],[t2_Ph_I]]+Table1[[#This Row],[I_2]]*Table1[[#This Row],[t3_Ph_III]])</f>
        <v>11.571014113584322</v>
      </c>
      <c r="T36" s="354">
        <f>MIN(1,CHOOSE(Table1[[#This Row],[Mode Digit]],(Vout+(Rdson2+Rs+Rdcr)*Table1[[#This Row],[Iout]])/(Table1[[#This Row],[Vin]]+(Rs+Rdson2-Rdson1)*Table1[[#This Row],[Iout]]),1,Fsw*Table1[[#This Row],[t2_Ph_I]]+Table1[[#This Row],[t1_Ph_II]]))</f>
        <v>0.61948761024779497</v>
      </c>
      <c r="U36" s="354">
        <f>MIN(1,CHOOSE(Table1[[#This Row],[Mode Digit]],0,(Vout+(Rdson3+Rdcr)*Table1[[#This Row],[Iin]]-Table1[[#This Row],[Vin]])/(Vout+(Rdson3-Rdson4-Rs)*Table1[[#This Row],[Iin]]),Fsw*Table1[[#This Row],[t1_Ph_II]]+Table1[[#This Row],[t3_Ph_III]]))</f>
        <v>0</v>
      </c>
      <c r="V36" s="4">
        <f>MAX(Table1[[#This Row],[I_0]:[I_2]])-MIN(Table1[[#This Row],[I_0]:[I_1]])</f>
        <v>3.5902122866633572</v>
      </c>
      <c r="W3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12.044672488501947</v>
      </c>
      <c r="X36" s="354">
        <f>(Table1[[#This Row],[Irms Lf]]^2*Rdcr*(1+Ltc*Ta-Ltc*25))/(1-Table1[[#This Row],[Irms Lf]]^2*Rdcr*Ltc*ThetaCa)</f>
        <v>0.90215822350252062</v>
      </c>
      <c r="Y36" s="354">
        <f>ABS(7.759*10^-3*Fsw^0.9458*(0.00787*Table1[[#This Row],[Ripple Current pk-pk]])^2.304)</f>
        <v>0.61108801295394122</v>
      </c>
      <c r="Z36" s="354">
        <f>Table1[[#This Row],[DCR    Loss]]+Table1[[#This Row],[Core Loss]]</f>
        <v>1.5132462364564618</v>
      </c>
      <c r="AA36" s="4">
        <f>IF(Table1[[#This Row],[Vin]]&gt;Vout, Table1[[#This Row],[Ripple Current pk-pk]]/SQRT(12), SQRT(Table1[[#This Row],[Duty Cycle BOOST Leg]]/(1-Table1[[#This Row],[Duty Cycle BOOST Leg]]))*SQRT(Table1[[#This Row],[Iout]]^2+(Table1[[#This Row],[Ripple Current pk-pk]]^2)/12))</f>
        <v>1.0364050150764956</v>
      </c>
      <c r="AB36" s="354">
        <f>RCoutEsr*Table1[[#This Row],[Irms Cout]]^2</f>
        <v>5.3706767763785556E-3</v>
      </c>
      <c r="AC36" s="354">
        <f>Table1[[#This Row],[Cout ESR Loss]]</f>
        <v>5.3706767763785556E-3</v>
      </c>
      <c r="AD36" s="354">
        <f>IF(Table1[[#This Row],[Vin]]&gt;Vout, SQRT(Table1[[#This Row],[Duty Cycle BUCK Leg]]*(1-Table1[[#This Row],[Duty Cycle BUCK Leg]]))*SQRT(Table1[[#This Row],[Iout]]^2+(Table1[[#This Row],[Ripple Current pk-pk]]^2)/12), Table1[[#This Row],[Ripple Current pk-pk]]/SQRT(12))</f>
        <v>5.8478430623205542</v>
      </c>
      <c r="AE36" s="354">
        <f>RCinEsr*Table1[[#This Row],[Irms Cin]]^2</f>
        <v>6.8394536963061275E-2</v>
      </c>
      <c r="AF36" s="549">
        <f>Table1[[#This Row],[Cin ESR Loss]]</f>
        <v>6.8394536963061275E-2</v>
      </c>
      <c r="AG3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9.4800648426055005</v>
      </c>
      <c r="AH36" s="354">
        <f>Rdson1*Table1[[#This Row],[Irms BuCtrl]]^2</f>
        <v>0.37746084356402043</v>
      </c>
      <c r="AI36" s="354">
        <f>CHOOSE(Table1[[#This Row],[Mode Digit]], (Table1[[#This Row],[Vin]]*Table1[[#This Row],[Iout]]/2)*(Fsw)*(Tr_buck+Tf_buck), 0, (Table1[[#This Row],[Vin]]*Table1[[#This Row],[Avg IL]]/2)*(Fsw/1)*(Tr_buck+Tf_buck))</f>
        <v>2.8297344708021828</v>
      </c>
      <c r="AJ36">
        <f>IF(Table1[[#This Row],[Vin]]&gt;Vout, IF(Table1[[#This Row],[Iout]]&gt;Table1[[#This Row],[Ripple Current pk-pk]]/2,0,ABS(Table1[[#This Row],[Iout]]-Table1[[#This Row],[Ripple Current pk-pk]]/2)*Vsd_Q1*Deadtime*Fsw),0)</f>
        <v>0</v>
      </c>
      <c r="AK36" s="354">
        <f>(Table1[[#This Row],[Dead Time Loss BuCtrl]]+Table1[[#This Row],[Transition Loss BuCtrl]]+Table1[[#This Row],[RDS(on) Loss BuCtrl]]*(1+RdsonTopTc*Ta-RdsonTopTc*25))/(1-Table1[[#This Row],[RDS(on) Loss BuCtrl]]*RdsonTopTc*ThetaJA_Q1)</f>
        <v>3.5266793184955949</v>
      </c>
      <c r="AL36" s="354">
        <f>CHOOSE(Table1[[#This Row],[Mode Digit]],SQRT((Fsw*(Table1[[#This Row],[t2_Ph_I]]+0))*((Table1[[#This Row],[I_0]]*Table1[[#This Row],[I_1]]+((Table1[[#This Row],[I_0]]-Table1[[#This Row],[I_1]])^2)/3))),0,SQRT((Fsw*(Table1[[#This Row],[t3_Ph_III]]+0))*((Table1[[#This Row],[I_0]]*Table1[[#This Row],[I_2]]+((Table1[[#This Row],[I_0]]-Table1[[#This Row],[I_2]])^2)/3))))</f>
        <v>7.4298388902634223</v>
      </c>
      <c r="AM36" s="354">
        <f>Rdson2*Table1[[#This Row],[Irms BuSync]]^2</f>
        <v>0.2318505249281374</v>
      </c>
      <c r="AN3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36" s="354">
        <f>(Table1[[#This Row],[Deadtime Loss BuSync]]+Table1[[#This Row],[RDS(on) Loss BuSync]]*(1+RdsonBotTc*Ta-RdsonBotTc*25))/(1-Table1[[#This Row],[RDS(on) Loss BuSync]]*RdsonBotTc*ThetaJA_Q2)</f>
        <v>0.85690360568963519</v>
      </c>
      <c r="AP36" s="354">
        <f>CHOOSE(Table1[[#This Row],[Mode Digit]],0,SQRT((Fsw*(Table1[[#This Row],[t1_Ph_II]]+0))*((Table1[[#This Row],[I_0]]*Table1[[#This Row],[I_1]]+((Table1[[#This Row],[I_0]]-Table1[[#This Row],[I_1]])^2)/3))),SQRT((Fsw*(Table1[[#This Row],[t2_Ph_I]]+0))*((Table1[[#This Row],[I_1]]*Table1[[#This Row],[I_2]]+((Table1[[#This Row],[I_1]]-Table1[[#This Row],[I_2]])^2)/3))))</f>
        <v>0</v>
      </c>
      <c r="AQ36" s="354">
        <f>Rdson4*Table1[[#This Row],[Irms BoCtlr]]^2</f>
        <v>0</v>
      </c>
      <c r="AR36" s="354">
        <f>CHOOSE(Table1[[#This Row],[Mode Digit]], 0, (Vout*Table1[[#This Row],[Iin]]/2)*(Fsw)*(Tr_boost+Tf_boost), (Vout*Iout/2)*(Fsw/1)*(Tr_boost+Tf_boost))</f>
        <v>0</v>
      </c>
      <c r="AS36">
        <f>IF(Table1[[#This Row],[Vin]]&gt;Vout, 0, IF(Table1[[#This Row],[Iin]]&gt;Table1[[#This Row],[Ripple Current pk-pk]]/2,0,ABS(Table1[[#This Row],[Iin]]-Table1[[#This Row],[Ripple Current pk-pk]]/2)*Vsd_Q4*Deadtime*Fsw))</f>
        <v>0</v>
      </c>
      <c r="AT36" s="354">
        <f>(Table1[[#This Row],[Dead Time Loss BoCtlr]]+Table1[[#This Row],[Transition Loss BoCtlr]]+Table1[[#This Row],[RDS(on) Loss BoCtlr]]*(1+RdsonTopTc*Ta-RdsonTopTc*25))/(1-Table1[[#This Row],[RDS(on) Loss BoCtlr]]*RdsonTopTc*ThetaJA_Q4)</f>
        <v>0</v>
      </c>
      <c r="AU3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12.044672488501947</v>
      </c>
      <c r="AV36" s="354">
        <f>Rdson3*Table1[[#This Row],[Irms BoSync]]^2</f>
        <v>0.60931136849215795</v>
      </c>
      <c r="AW3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36" s="354">
        <f>(Table1[[#This Row],[Deadtime Loss BoSync]]+Table1[[#This Row],[RDS(on) Loss BoSync]]*(1+RdsonBotTc*Ta-RdsonBotTc*25))/(1-Table1[[#This Row],[RDS(on) Loss BoSync]]*RdsonBotTc*ThetaJA_Q3)</f>
        <v>0.71367551338493884</v>
      </c>
      <c r="AY36" s="354">
        <f>CHOOSE(Table1[[#This Row],[Mode Digit]], Rdson3*Table1[[#This Row],[Irms Lf]]^2, Rdson1*Table1[[#This Row],[Irms Lf]]^2, 0)</f>
        <v>0.60931136849215795</v>
      </c>
      <c r="AZ36" s="354">
        <f>CHOOSE(Table1[[#This Row],[Mode Digit]], 2*Deadtime*Fsw*IF(VfdSky_Q2&gt;0,VfdSky_Q2,0)*Table1[[#This Row],[Iout]], 2*Deadtime*Fsw*IF(VfdSky_Q3&gt;0,VfdSky_Q3,0)*Table1[[#This Row],[Iin]], 2*Deadtime*Fsw*IF(VfdSky_Q2&gt;0,VfdSky_Q2,0)*Table1[[#This Row],[Iout]]+2*Deadtime*Fsw*IF(VfdSky_Q3&gt;0,VfdSky_Q3,0)*Table1[[#This Row],[Iin]])</f>
        <v>0</v>
      </c>
      <c r="BA36" s="354">
        <f>CHOOSE(Table1[[#This Row],[Mode Digit]], IF(QrrSky_Q2&gt;0,QrrSky_Q2,Qrr_Q2)*Fsw*(Table1[[#This Row],[Vin]]-Table1[[#This Row],[Iout]]*Rdson1),0,  IF(QrrSky_Q2&gt;0,QrrSky_Q2,Qrr_Q2)*Fsw*(Table1[[#This Row],[Vin]]-Table1[[#This Row],[Iout]]*Rdson1)+IF(QrrSky_Q3&gt;0,QrrSky_Q3,Qrr_Q3)*Fsw*Vout)</f>
        <v>0.28475520000000004</v>
      </c>
      <c r="BB36" s="354">
        <f>CHOOSE(Table1[[#This Row],[Mode Digit]],0, IF(QrrSky_Q3&gt;0,QrrSky_Q3,Qrr_Q3)*Fsw*Vout,  IF(QrrSky_Q2&gt;0,QrrSky_Q2,Qrr_Q2)*Fsw*(Table1[[#This Row],[Vin]]-Table1[[#This Row],[Iout]]*Rdson1)+IF(QrrSky_Q3&gt;0,QrrSky_Q3,Qrr_Q3)*Fsw*Vout)</f>
        <v>0</v>
      </c>
      <c r="BC36" s="354">
        <f>CHOOSE(Table1[[#This Row],[Mode Digit]], Rs*Table1[[#This Row],[Irms BuSync]]^2, Rs*Table1[[#This Row],[Irms BoCtlr]]^2, Rs*(Table1[[#This Row],[Irms BuSync]]^2+Table1[[#This Row],[Irms BoCtlr]]^2))</f>
        <v>0.13800626483817699</v>
      </c>
      <c r="BD36" s="354">
        <f t="shared" si="1"/>
        <v>1.44</v>
      </c>
      <c r="BE36" s="354">
        <f>IF(Vout&gt;8, Iq*Vout, Iq*Table1[[#This Row],[Vin]])</f>
        <v>4.3799999999999999E-2</v>
      </c>
      <c r="BF36" s="354">
        <f>CHOOSE(Table1[[#This Row],[Mode Digit]], (Qg_Q1+Qg_Q2)*Fsw, (Qg_Q3+Qg_Q4)*Fsw, (Qg_Q1+Qg_Q2+Qg_Q3+Qg_Q4)*Fsw)*IF(Vout&gt;8, Vout, Table1[[#This Row],[Vin]])</f>
        <v>0.47303999999999996</v>
      </c>
      <c r="BG36" s="354">
        <f t="shared" si="2"/>
        <v>0.45605042016806729</v>
      </c>
      <c r="BH36" s="354">
        <f>Table1[[#This Row],[IQ Loss]]+Table1[[#This Row],[Switching Current Loss]]</f>
        <v>0.51683999999999997</v>
      </c>
      <c r="BI3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9.0638713526042487</v>
      </c>
      <c r="BJ36">
        <f>Vout*Table1[[#This Row],[Iout]]</f>
        <v>175.2</v>
      </c>
      <c r="BK36" s="550">
        <f>Table1[[#This Row],[Pout]]/(Table1[[#This Row],[Pout]]+Table1[[#This Row],[Total Loss]])</f>
        <v>0.95081037163677207</v>
      </c>
      <c r="BL3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211.60075910973569</v>
      </c>
      <c r="BM36" s="559">
        <f>IF(Table1[[#This Row],[Vin]]&gt;Vout, Table1[[#This Row],[Total Sync Bu MOSFET Loss]]*ThetaJA_Q2, ThetaJA_Q3*Table1[[#This Row],[Total Sync Bo MOSFET Loss]])</f>
        <v>51.414216341378115</v>
      </c>
      <c r="BN36" s="9"/>
      <c r="BO36" s="4">
        <f>Table1[[#This Row],[EFF, h]]*100</f>
        <v>95.081037163677209</v>
      </c>
      <c r="BP36" s="354">
        <f>Table1[[#This Row],[Total Inductor Loss]]</f>
        <v>1.5132462364564618</v>
      </c>
      <c r="BQ36" s="354">
        <f>Table1[[#This Row],[Total Control Bu MOSFET Loss]]+Table1[[#This Row],[Total Sync Bu MOSFET Loss]]+Table1[[#This Row],[Total Control Bo MOSFET Loss]]+Table1[[#This Row],[Total Sync Bo MOSFET Loss]]+Table1[[#This Row],[Reverse Recovery Loss MOSFET D BUCK]]+Table1[[#This Row],[Reverse Recovery Loss MOSFET D BOOST]]</f>
        <v>5.3820136375701688</v>
      </c>
      <c r="BR36" s="354">
        <f>Table1[[#This Row],[Total Control Bu MOSFET Loss]]+Table1[[#This Row],[Reverse Recovery Loss MOSFET D BUCK]]*0.66</f>
        <v>3.7146177504955951</v>
      </c>
      <c r="BS36" s="354">
        <f>Table1[[#This Row],[Total Sync Bu MOSFET Loss]]+Table1[[#This Row],[Reverse Recovery Loss MOSFET D BUCK]]*0.33</f>
        <v>0.95087282168963516</v>
      </c>
      <c r="BT36" s="354">
        <f xml:space="preserve"> Table1[[#This Row],[Total Control Bo MOSFET Loss]]+Table1[[#This Row],[Reverse Recovery Loss MOSFET D BOOST]]*0.66</f>
        <v>0</v>
      </c>
      <c r="BU36" s="354">
        <f xml:space="preserve"> Table1[[#This Row],[Total Sync Bo MOSFET Loss]]+Table1[[#This Row],[Reverse Recovery Loss MOSFET D BOOST]]*0.33</f>
        <v>0.71367551338493884</v>
      </c>
      <c r="BV36" s="354">
        <f>Table1[[#This Row],[Isense Shunt Loss]]</f>
        <v>0.13800626483817699</v>
      </c>
      <c r="CA36">
        <v>9.9986669999999993</v>
      </c>
      <c r="CB36">
        <v>1.3092999999999999</v>
      </c>
      <c r="CC36">
        <v>5.1195649999999997</v>
      </c>
      <c r="CD36">
        <v>93.690364214923264</v>
      </c>
      <c r="CE36">
        <v>451.42072788069993</v>
      </c>
    </row>
    <row r="37" spans="1:83" x14ac:dyDescent="0.2">
      <c r="A37" s="23" t="s">
        <v>75</v>
      </c>
      <c r="B37" s="5">
        <f>Rdson1*1000</f>
        <v>4.2</v>
      </c>
      <c r="C37" s="442" t="s">
        <v>638</v>
      </c>
      <c r="D37" s="440" t="s">
        <v>728</v>
      </c>
      <c r="G37">
        <v>28</v>
      </c>
      <c r="H37" s="555">
        <f>VIN_min+(VIN_max-VIN_min)*(Table1[[#This Row],[Step]]/200)</f>
        <v>23.92</v>
      </c>
      <c r="I37" s="4" t="str">
        <f>IF(Mode = 2,IF(Table1[[#This Row],[Vin]]&gt;Vout, "BUCK","BOOST"),IF(Table1[[#This Row],[Vin]]&gt;VIN_BB_to_buck, "BUCK", IF(Table1[[#This Row],[Vin]]&lt;=VIN_boost_to_BB,"BOOST","BUCK-BST")))</f>
        <v>BUCK</v>
      </c>
      <c r="J37">
        <f>IF(Table1[[#This Row],[Mode]]="BOOST",2, IF(Table1[[#This Row],[Mode]]="BUCK", 1,3))</f>
        <v>1</v>
      </c>
      <c r="K37">
        <f t="shared" si="0"/>
        <v>12</v>
      </c>
      <c r="L37" s="4">
        <f>Vout*Table1[[#This Row],[Iout]]/(Table1[[#This Row],[Vin]]*Efficiency)</f>
        <v>7.7099102270726982</v>
      </c>
      <c r="M37" s="711">
        <f>MIN(1/Fsw,CHOOSE(Table1[[#This Row],[Mode Digit]],(Vout+(Rdson2+Rs+Rdcr)*Table1[[#This Row],[Iout]])/(Table1[[#This Row],[Vin]]+(Rs+Rdson2-Rdson1)*Table1[[#This Row],[Iout]])/Fsw,(Vout+(Rdson3+Rdcr)*Table1[[#This Row],[Iin]]-Table1[[#This Row],[Vin]])/(Vout+(Rdson3-Rdson4-Rs)*Table1[[#This Row],[Iin]])/Fsw,t1_Ph_II))</f>
        <v>1.0264439805149616E-6</v>
      </c>
      <c r="N37" s="602">
        <f>CHOOSE(Table1[[#This Row],[Mode Digit]],1/Fsw-Table1[[#This Row],[t1_Ph_II]],1/Fsw-Table1[[#This Row],[t1_Ph_II]],(Vout/Fsw-Table1[[#This Row],[Vin]]*t1_Ph_II)/(Table1[[#This Row],[Vin]]+Vout))</f>
        <v>6.4022268615170503E-7</v>
      </c>
      <c r="O37" s="602">
        <f>1/Fsw-(Table1[[#This Row],[t1_Ph_II]]+Table1[[#This Row],[t2_Ph_I]])</f>
        <v>0</v>
      </c>
      <c r="P3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10.188170852575862</v>
      </c>
      <c r="Q37" s="4">
        <f>CHOOSE(Table1[[#This Row],[Mode Digit]],Table1[[#This Row],[I_0]]+1/Lf*(Table1[[#This Row],[Vin]]-Vout)*Table1[[#This Row],[t1_Ph_II]],Table1[[#This Row],[I_0]]+1/Lf*Table1[[#This Row],[Vin]]*Table1[[#This Row],[t1_Ph_II]],Table1[[#This Row],[I_0]]+(Table1[[#This Row],[Vin]]-Vout)/L*Table1[[#This Row],[t1_Ph_II]])</f>
        <v>13.811829147424136</v>
      </c>
      <c r="R37" s="4">
        <f>CHOOSE(Table1[[#This Row],[Mode Digit]],0,0,Table1[[#This Row],[I_1]]+Table1[[#This Row],[Vin]]/L*Table1[[#This Row],[t2_Ph_I]])</f>
        <v>0</v>
      </c>
      <c r="S37" s="4">
        <f>Fsw*(Table1[[#This Row],[I_0]]*Table1[[#This Row],[t1_Ph_II]]+Table1[[#This Row],[I_1]]*Table1[[#This Row],[t2_Ph_I]]+Table1[[#This Row],[I_2]]*Table1[[#This Row],[t3_Ph_III]])</f>
        <v>11.580139800910063</v>
      </c>
      <c r="T37" s="354">
        <f>MIN(1,CHOOSE(Table1[[#This Row],[Mode Digit]],(Vout+(Rdson2+Rs+Rdcr)*Table1[[#This Row],[Iout]])/(Table1[[#This Row],[Vin]]+(Rs+Rdson2-Rdson1)*Table1[[#This Row],[Iout]]),1,Fsw*Table1[[#This Row],[t2_Ph_I]]+Table1[[#This Row],[t1_Ph_II]]))</f>
        <v>0.615866388308977</v>
      </c>
      <c r="U37" s="354">
        <f>MIN(1,CHOOSE(Table1[[#This Row],[Mode Digit]],0,(Vout+(Rdson3+Rdcr)*Table1[[#This Row],[Iin]]-Table1[[#This Row],[Vin]])/(Vout+(Rdson3-Rdson4-Rs)*Table1[[#This Row],[Iin]]),Fsw*Table1[[#This Row],[t1_Ph_II]]+Table1[[#This Row],[t3_Ph_III]]))</f>
        <v>0</v>
      </c>
      <c r="V37" s="4">
        <f>MAX(Table1[[#This Row],[I_0]:[I_2]])-MIN(Table1[[#This Row],[I_0]:[I_1]])</f>
        <v>3.6236582948482745</v>
      </c>
      <c r="W3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12.045507113435223</v>
      </c>
      <c r="X37" s="354">
        <f>(Table1[[#This Row],[Irms Lf]]^2*Rdcr*(1+Ltc*Ta-Ltc*25))/(1-Table1[[#This Row],[Irms Lf]]^2*Rdcr*Ltc*ThetaCa)</f>
        <v>0.90229228164136199</v>
      </c>
      <c r="Y37" s="354">
        <f>ABS(7.759*10^-3*Fsw^0.9458*(0.00787*Table1[[#This Row],[Ripple Current pk-pk]])^2.304)</f>
        <v>0.62428402735565114</v>
      </c>
      <c r="Z37" s="354">
        <f>Table1[[#This Row],[DCR    Loss]]+Table1[[#This Row],[Core Loss]]</f>
        <v>1.5265763089970132</v>
      </c>
      <c r="AA37" s="4">
        <f>IF(Table1[[#This Row],[Vin]]&gt;Vout, Table1[[#This Row],[Ripple Current pk-pk]]/SQRT(12), SQRT(Table1[[#This Row],[Duty Cycle BOOST Leg]]/(1-Table1[[#This Row],[Duty Cycle BOOST Leg]]))*SQRT(Table1[[#This Row],[Iout]]^2+(Table1[[#This Row],[Ripple Current pk-pk]]^2)/12))</f>
        <v>1.0460600459909359</v>
      </c>
      <c r="AB37" s="354">
        <f>RCoutEsr*Table1[[#This Row],[Irms Cout]]^2</f>
        <v>5.4712080990927947E-3</v>
      </c>
      <c r="AC37" s="354">
        <f>Table1[[#This Row],[Cout ESR Loss]]</f>
        <v>5.4712080990927947E-3</v>
      </c>
      <c r="AD37" s="354">
        <f>IF(Table1[[#This Row],[Vin]]&gt;Vout, SQRT(Table1[[#This Row],[Duty Cycle BUCK Leg]]*(1-Table1[[#This Row],[Duty Cycle BUCK Leg]]))*SQRT(Table1[[#This Row],[Iout]]^2+(Table1[[#This Row],[Ripple Current pk-pk]]^2)/12), Table1[[#This Row],[Ripple Current pk-pk]]/SQRT(12))</f>
        <v>5.8588110840052918</v>
      </c>
      <c r="AE37" s="354">
        <f>RCinEsr*Table1[[#This Row],[Irms Cin]]^2</f>
        <v>6.8651334636126521E-2</v>
      </c>
      <c r="AF37" s="549">
        <f>Table1[[#This Row],[Cin ESR Loss]]</f>
        <v>6.8651334636126521E-2</v>
      </c>
      <c r="AG3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9.452971308050591</v>
      </c>
      <c r="AH37" s="354">
        <f>Rdson1*Table1[[#This Row],[Irms BuCtrl]]^2</f>
        <v>0.37530639951347644</v>
      </c>
      <c r="AI37" s="354">
        <f>CHOOSE(Table1[[#This Row],[Mode Digit]], (Table1[[#This Row],[Vin]]*Table1[[#This Row],[Iout]]/2)*(Fsw)*(Tr_buck+Tf_buck), 0, (Table1[[#This Row],[Vin]]*Table1[[#This Row],[Avg IL]]/2)*(Fsw/1)*(Tr_buck+Tf_buck))</f>
        <v>2.8463939672661147</v>
      </c>
      <c r="AJ37">
        <f>IF(Table1[[#This Row],[Vin]]&gt;Vout, IF(Table1[[#This Row],[Iout]]&gt;Table1[[#This Row],[Ripple Current pk-pk]]/2,0,ABS(Table1[[#This Row],[Iout]]-Table1[[#This Row],[Ripple Current pk-pk]]/2)*Vsd_Q1*Deadtime*Fsw),0)</f>
        <v>0</v>
      </c>
      <c r="AK37" s="354">
        <f>(Table1[[#This Row],[Dead Time Loss BuCtrl]]+Table1[[#This Row],[Transition Loss BuCtrl]]+Table1[[#This Row],[RDS(on) Loss BuCtrl]]*(1+RdsonTopTc*Ta-RdsonTopTc*25))/(1-Table1[[#This Row],[RDS(on) Loss BuCtrl]]*RdsonTopTc*ThetaJA_Q1)</f>
        <v>3.5406161858439678</v>
      </c>
      <c r="AL37" s="354">
        <f>CHOOSE(Table1[[#This Row],[Mode Digit]],SQRT((Fsw*(Table1[[#This Row],[t2_Ph_I]]+0))*((Table1[[#This Row],[I_0]]*Table1[[#This Row],[I_1]]+((Table1[[#This Row],[I_0]]-Table1[[#This Row],[I_1]])^2)/3))),0,SQRT((Fsw*(Table1[[#This Row],[t3_Ph_III]]+0))*((Table1[[#This Row],[I_0]]*Table1[[#This Row],[I_2]]+((Table1[[#This Row],[I_0]]-Table1[[#This Row],[I_2]])^2)/3))))</f>
        <v>7.4656262342144375</v>
      </c>
      <c r="AM37" s="354">
        <f>Rdson2*Table1[[#This Row],[Irms BuSync]]^2</f>
        <v>0.23408941528976157</v>
      </c>
      <c r="AN3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37" s="354">
        <f>(Table1[[#This Row],[Deadtime Loss BuSync]]+Table1[[#This Row],[RDS(on) Loss BuSync]]*(1+RdsonBotTc*Ta-RdsonBotTc*25))/(1-Table1[[#This Row],[RDS(on) Loss BuSync]]*RdsonBotTc*ThetaJA_Q2)</f>
        <v>0.85976361894424647</v>
      </c>
      <c r="AP37" s="354">
        <f>CHOOSE(Table1[[#This Row],[Mode Digit]],0,SQRT((Fsw*(Table1[[#This Row],[t1_Ph_II]]+0))*((Table1[[#This Row],[I_0]]*Table1[[#This Row],[I_1]]+((Table1[[#This Row],[I_0]]-Table1[[#This Row],[I_1]])^2)/3))),SQRT((Fsw*(Table1[[#This Row],[t2_Ph_I]]+0))*((Table1[[#This Row],[I_1]]*Table1[[#This Row],[I_2]]+((Table1[[#This Row],[I_1]]-Table1[[#This Row],[I_2]])^2)/3))))</f>
        <v>0</v>
      </c>
      <c r="AQ37" s="354">
        <f>Rdson4*Table1[[#This Row],[Irms BoCtlr]]^2</f>
        <v>0</v>
      </c>
      <c r="AR37" s="354">
        <f>CHOOSE(Table1[[#This Row],[Mode Digit]], 0, (Vout*Table1[[#This Row],[Iin]]/2)*(Fsw)*(Tr_boost+Tf_boost), (Vout*Iout/2)*(Fsw/1)*(Tr_boost+Tf_boost))</f>
        <v>0</v>
      </c>
      <c r="AS37">
        <f>IF(Table1[[#This Row],[Vin]]&gt;Vout, 0, IF(Table1[[#This Row],[Iin]]&gt;Table1[[#This Row],[Ripple Current pk-pk]]/2,0,ABS(Table1[[#This Row],[Iin]]-Table1[[#This Row],[Ripple Current pk-pk]]/2)*Vsd_Q4*Deadtime*Fsw))</f>
        <v>0</v>
      </c>
      <c r="AT37" s="354">
        <f>(Table1[[#This Row],[Dead Time Loss BoCtlr]]+Table1[[#This Row],[Transition Loss BoCtlr]]+Table1[[#This Row],[RDS(on) Loss BoCtlr]]*(1+RdsonTopTc*Ta-RdsonTopTc*25))/(1-Table1[[#This Row],[RDS(on) Loss BoCtlr]]*RdsonTopTc*ThetaJA_Q4)</f>
        <v>0</v>
      </c>
      <c r="AU3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12.045507113435223</v>
      </c>
      <c r="AV37" s="354">
        <f>Rdson3*Table1[[#This Row],[Irms BoSync]]^2</f>
        <v>0.60939581480323801</v>
      </c>
      <c r="AW3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37" s="354">
        <f>(Table1[[#This Row],[Deadtime Loss BoSync]]+Table1[[#This Row],[RDS(on) Loss BoSync]]*(1+RdsonBotTc*Ta-RdsonBotTc*25))/(1-Table1[[#This Row],[RDS(on) Loss BoSync]]*RdsonBotTc*ThetaJA_Q3)</f>
        <v>0.71379136818235966</v>
      </c>
      <c r="AY37" s="354">
        <f>CHOOSE(Table1[[#This Row],[Mode Digit]], Rdson3*Table1[[#This Row],[Irms Lf]]^2, Rdson1*Table1[[#This Row],[Irms Lf]]^2, 0)</f>
        <v>0.60939581480323801</v>
      </c>
      <c r="AZ37" s="354">
        <f>CHOOSE(Table1[[#This Row],[Mode Digit]], 2*Deadtime*Fsw*IF(VfdSky_Q2&gt;0,VfdSky_Q2,0)*Table1[[#This Row],[Iout]], 2*Deadtime*Fsw*IF(VfdSky_Q3&gt;0,VfdSky_Q3,0)*Table1[[#This Row],[Iin]], 2*Deadtime*Fsw*IF(VfdSky_Q2&gt;0,VfdSky_Q2,0)*Table1[[#This Row],[Iout]]+2*Deadtime*Fsw*IF(VfdSky_Q3&gt;0,VfdSky_Q3,0)*Table1[[#This Row],[Iin]])</f>
        <v>0</v>
      </c>
      <c r="BA37" s="354">
        <f>CHOOSE(Table1[[#This Row],[Mode Digit]], IF(QrrSky_Q2&gt;0,QrrSky_Q2,Qrr_Q2)*Fsw*(Table1[[#This Row],[Vin]]-Table1[[#This Row],[Iout]]*Rdson1),0,  IF(QrrSky_Q2&gt;0,QrrSky_Q2,Qrr_Q2)*Fsw*(Table1[[#This Row],[Vin]]-Table1[[#This Row],[Iout]]*Rdson1)+IF(QrrSky_Q3&gt;0,QrrSky_Q3,Qrr_Q3)*Fsw*Vout)</f>
        <v>0.28643520000000006</v>
      </c>
      <c r="BB37" s="354">
        <f>CHOOSE(Table1[[#This Row],[Mode Digit]],0, IF(QrrSky_Q3&gt;0,QrrSky_Q3,Qrr_Q3)*Fsw*Vout,  IF(QrrSky_Q2&gt;0,QrrSky_Q2,Qrr_Q2)*Fsw*(Table1[[#This Row],[Vin]]-Table1[[#This Row],[Iout]]*Rdson1)+IF(QrrSky_Q3&gt;0,QrrSky_Q3,Qrr_Q3)*Fsw*Vout)</f>
        <v>0</v>
      </c>
      <c r="BC37" s="354">
        <f>CHOOSE(Table1[[#This Row],[Mode Digit]], Rs*Table1[[#This Row],[Irms BuSync]]^2, Rs*Table1[[#This Row],[Irms BoCtlr]]^2, Rs*(Table1[[#This Row],[Irms BuSync]]^2+Table1[[#This Row],[Irms BoCtlr]]^2))</f>
        <v>0.1393389376724771</v>
      </c>
      <c r="BD37" s="354">
        <f t="shared" si="1"/>
        <v>1.44</v>
      </c>
      <c r="BE37" s="354">
        <f>IF(Vout&gt;8, Iq*Vout, Iq*Table1[[#This Row],[Vin]])</f>
        <v>4.3799999999999999E-2</v>
      </c>
      <c r="BF37" s="354">
        <f>CHOOSE(Table1[[#This Row],[Mode Digit]], (Qg_Q1+Qg_Q2)*Fsw, (Qg_Q3+Qg_Q4)*Fsw, (Qg_Q1+Qg_Q2+Qg_Q3+Qg_Q4)*Fsw)*IF(Vout&gt;8, Vout, Table1[[#This Row],[Vin]])</f>
        <v>0.47303999999999996</v>
      </c>
      <c r="BG37" s="354">
        <f t="shared" si="2"/>
        <v>0.45605042016806729</v>
      </c>
      <c r="BH37" s="354">
        <f>Table1[[#This Row],[IQ Loss]]+Table1[[#This Row],[Switching Current Loss]]</f>
        <v>0.51683999999999997</v>
      </c>
      <c r="BI3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9.0974841623752827</v>
      </c>
      <c r="BJ37">
        <f>Vout*Table1[[#This Row],[Iout]]</f>
        <v>175.2</v>
      </c>
      <c r="BK37" s="550">
        <f>Table1[[#This Row],[Pout]]/(Table1[[#This Row],[Pout]]+Table1[[#This Row],[Total Loss]])</f>
        <v>0.95063695956717487</v>
      </c>
      <c r="BL3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212.43697115063807</v>
      </c>
      <c r="BM37" s="559">
        <f>IF(Table1[[#This Row],[Vin]]&gt;Vout, Table1[[#This Row],[Total Sync Bu MOSFET Loss]]*ThetaJA_Q2, ThetaJA_Q3*Table1[[#This Row],[Total Sync Bo MOSFET Loss]])</f>
        <v>51.585817136654789</v>
      </c>
      <c r="BN37" s="9"/>
      <c r="BO37" s="4">
        <f>Table1[[#This Row],[EFF, h]]*100</f>
        <v>95.063695956717481</v>
      </c>
      <c r="BP37" s="354">
        <f>Table1[[#This Row],[Total Inductor Loss]]</f>
        <v>1.5265763089970132</v>
      </c>
      <c r="BQ37" s="354">
        <f>Table1[[#This Row],[Total Control Bu MOSFET Loss]]+Table1[[#This Row],[Total Sync Bu MOSFET Loss]]+Table1[[#This Row],[Total Control Bo MOSFET Loss]]+Table1[[#This Row],[Total Sync Bo MOSFET Loss]]+Table1[[#This Row],[Reverse Recovery Loss MOSFET D BUCK]]+Table1[[#This Row],[Reverse Recovery Loss MOSFET D BOOST]]</f>
        <v>5.4006063729705733</v>
      </c>
      <c r="BR37" s="354">
        <f>Table1[[#This Row],[Total Control Bu MOSFET Loss]]+Table1[[#This Row],[Reverse Recovery Loss MOSFET D BUCK]]*0.66</f>
        <v>3.7296634178439678</v>
      </c>
      <c r="BS37" s="354">
        <f>Table1[[#This Row],[Total Sync Bu MOSFET Loss]]+Table1[[#This Row],[Reverse Recovery Loss MOSFET D BUCK]]*0.33</f>
        <v>0.9542872349442465</v>
      </c>
      <c r="BT37" s="354">
        <f xml:space="preserve"> Table1[[#This Row],[Total Control Bo MOSFET Loss]]+Table1[[#This Row],[Reverse Recovery Loss MOSFET D BOOST]]*0.66</f>
        <v>0</v>
      </c>
      <c r="BU37" s="354">
        <f xml:space="preserve"> Table1[[#This Row],[Total Sync Bo MOSFET Loss]]+Table1[[#This Row],[Reverse Recovery Loss MOSFET D BOOST]]*0.33</f>
        <v>0.71379136818235966</v>
      </c>
      <c r="BV37" s="354">
        <f>Table1[[#This Row],[Isense Shunt Loss]]</f>
        <v>0.1393389376724771</v>
      </c>
      <c r="CA37">
        <v>9.9985429999999997</v>
      </c>
      <c r="CB37">
        <v>1.6020000000000001</v>
      </c>
      <c r="CC37">
        <v>5.1182809999999996</v>
      </c>
      <c r="CD37">
        <v>93.864473327748414</v>
      </c>
      <c r="CE37">
        <v>535.96589716749952</v>
      </c>
    </row>
    <row r="38" spans="1:83" x14ac:dyDescent="0.2">
      <c r="A38" s="22" t="s">
        <v>83</v>
      </c>
      <c r="B38" s="5">
        <f>RdsonTopTc*1000000</f>
        <v>4000</v>
      </c>
      <c r="C38" s="440" t="s">
        <v>85</v>
      </c>
      <c r="D38" s="21" t="s">
        <v>111</v>
      </c>
      <c r="G38">
        <v>29</v>
      </c>
      <c r="H38" s="555">
        <f>VIN_min+(VIN_max-VIN_min)*(Table1[[#This Row],[Step]]/200)</f>
        <v>24.06</v>
      </c>
      <c r="I38" s="4" t="str">
        <f>IF(Mode = 2,IF(Table1[[#This Row],[Vin]]&gt;Vout, "BUCK","BOOST"),IF(Table1[[#This Row],[Vin]]&gt;VIN_BB_to_buck, "BUCK", IF(Table1[[#This Row],[Vin]]&lt;=VIN_boost_to_BB,"BOOST","BUCK-BST")))</f>
        <v>BUCK</v>
      </c>
      <c r="J38">
        <f>IF(Table1[[#This Row],[Mode]]="BOOST",2, IF(Table1[[#This Row],[Mode]]="BUCK", 1,3))</f>
        <v>1</v>
      </c>
      <c r="K38">
        <f t="shared" si="0"/>
        <v>12</v>
      </c>
      <c r="L38" s="4">
        <f>Vout*Table1[[#This Row],[Iout]]/(Table1[[#This Row],[Vin]]*Efficiency)</f>
        <v>7.6650479065494155</v>
      </c>
      <c r="M38" s="711">
        <f>MIN(1/Fsw,CHOOSE(Table1[[#This Row],[Mode Digit]],(Vout+(Rdson2+Rs+Rdcr)*Table1[[#This Row],[Iout]])/(Table1[[#This Row],[Vin]]+(Rs+Rdson2-Rdson1)*Table1[[#This Row],[Iout]])/Fsw,(Vout+(Rdson3+Rdcr)*Table1[[#This Row],[Iin]]-Table1[[#This Row],[Vin]])/(Vout+(Rdson3-Rdson4-Rs)*Table1[[#This Row],[Iin]])/Fsw,t1_Ph_II))</f>
        <v>1.0204787602047876E-6</v>
      </c>
      <c r="N38" s="602">
        <f>CHOOSE(Table1[[#This Row],[Mode Digit]],1/Fsw-Table1[[#This Row],[t1_Ph_II]],1/Fsw-Table1[[#This Row],[t1_Ph_II]],(Vout/Fsw-Table1[[#This Row],[Vin]]*t1_Ph_II)/(Table1[[#This Row],[Vin]]+Vout))</f>
        <v>6.4618790646187904E-7</v>
      </c>
      <c r="O38" s="602">
        <f>1/Fsw-(Table1[[#This Row],[t1_Ph_II]]+Table1[[#This Row],[t2_Ph_I]])</f>
        <v>0</v>
      </c>
      <c r="P3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10.171642221299756</v>
      </c>
      <c r="Q38" s="4">
        <f>CHOOSE(Table1[[#This Row],[Mode Digit]],Table1[[#This Row],[I_0]]+1/Lf*(Table1[[#This Row],[Vin]]-Vout)*Table1[[#This Row],[t1_Ph_II]],Table1[[#This Row],[I_0]]+1/Lf*Table1[[#This Row],[Vin]]*Table1[[#This Row],[t1_Ph_II]],Table1[[#This Row],[I_0]]+(Table1[[#This Row],[Vin]]-Vout)/L*Table1[[#This Row],[t1_Ph_II]])</f>
        <v>13.828357778700244</v>
      </c>
      <c r="R38" s="4">
        <f>CHOOSE(Table1[[#This Row],[Mode Digit]],0,0,Table1[[#This Row],[I_1]]+Table1[[#This Row],[Vin]]/L*Table1[[#This Row],[t2_Ph_I]])</f>
        <v>0</v>
      </c>
      <c r="S38" s="4">
        <f>Fsw*(Table1[[#This Row],[I_0]]*Table1[[#This Row],[t1_Ph_II]]+Table1[[#This Row],[I_1]]*Table1[[#This Row],[t2_Ph_I]]+Table1[[#This Row],[I_2]]*Table1[[#This Row],[t3_Ph_III]])</f>
        <v>11.589397443637678</v>
      </c>
      <c r="T38" s="354">
        <f>MIN(1,CHOOSE(Table1[[#This Row],[Mode Digit]],(Vout+(Rdson2+Rs+Rdcr)*Table1[[#This Row],[Iout]])/(Table1[[#This Row],[Vin]]+(Rs+Rdson2-Rdson1)*Table1[[#This Row],[Iout]]),1,Fsw*Table1[[#This Row],[t2_Ph_I]]+Table1[[#This Row],[t1_Ph_II]]))</f>
        <v>0.6122872561228726</v>
      </c>
      <c r="U38" s="354">
        <f>MIN(1,CHOOSE(Table1[[#This Row],[Mode Digit]],0,(Vout+(Rdson3+Rdcr)*Table1[[#This Row],[Iin]]-Table1[[#This Row],[Vin]])/(Vout+(Rdson3-Rdson4-Rs)*Table1[[#This Row],[Iin]]),Fsw*Table1[[#This Row],[t1_Ph_II]]+Table1[[#This Row],[t3_Ph_III]]))</f>
        <v>0</v>
      </c>
      <c r="V38" s="4">
        <f>MAX(Table1[[#This Row],[I_0]:[I_2]])-MIN(Table1[[#This Row],[I_0]:[I_1]])</f>
        <v>3.6567155574004886</v>
      </c>
      <c r="W3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12.046339584661304</v>
      </c>
      <c r="X38" s="354">
        <f>(Table1[[#This Row],[Irms Lf]]^2*Rdcr*(1+Ltc*Ta-Ltc*25))/(1-Table1[[#This Row],[Irms Lf]]^2*Rdcr*Ltc*ThetaCa)</f>
        <v>0.9024260057750142</v>
      </c>
      <c r="Y38" s="354">
        <f>ABS(7.759*10^-3*Fsw^0.9458*(0.00787*Table1[[#This Row],[Ripple Current pk-pk]])^2.304)</f>
        <v>0.63748367162834119</v>
      </c>
      <c r="Z38" s="354">
        <f>Table1[[#This Row],[DCR    Loss]]+Table1[[#This Row],[Core Loss]]</f>
        <v>1.5399096774033554</v>
      </c>
      <c r="AA38" s="4">
        <f>IF(Table1[[#This Row],[Vin]]&gt;Vout, Table1[[#This Row],[Ripple Current pk-pk]]/SQRT(12), SQRT(Table1[[#This Row],[Duty Cycle BOOST Leg]]/(1-Table1[[#This Row],[Duty Cycle BOOST Leg]]))*SQRT(Table1[[#This Row],[Iout]]^2+(Table1[[#This Row],[Ripple Current pk-pk]]^2)/12))</f>
        <v>1.0556028557075323</v>
      </c>
      <c r="AB38" s="354">
        <f>RCoutEsr*Table1[[#This Row],[Irms Cout]]^2</f>
        <v>5.5714869448894866E-3</v>
      </c>
      <c r="AC38" s="354">
        <f>Table1[[#This Row],[Cout ESR Loss]]</f>
        <v>5.5714869448894866E-3</v>
      </c>
      <c r="AD38" s="354">
        <f>IF(Table1[[#This Row],[Vin]]&gt;Vout, SQRT(Table1[[#This Row],[Duty Cycle BUCK Leg]]*(1-Table1[[#This Row],[Duty Cycle BUCK Leg]]))*SQRT(Table1[[#This Row],[Iout]]^2+(Table1[[#This Row],[Ripple Current pk-pk]]^2)/12), Table1[[#This Row],[Ripple Current pk-pk]]/SQRT(12))</f>
        <v>5.869319482968641</v>
      </c>
      <c r="AE38" s="354">
        <f>RCinEsr*Table1[[#This Row],[Irms Cin]]^2</f>
        <v>6.889782238631055E-2</v>
      </c>
      <c r="AF38" s="549">
        <f>Table1[[#This Row],[Cin ESR Loss]]</f>
        <v>6.889782238631055E-2</v>
      </c>
      <c r="AG3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9.4261145215033224</v>
      </c>
      <c r="AH38" s="354">
        <f>Rdson1*Table1[[#This Row],[Irms BuCtrl]]^2</f>
        <v>0.37317686688448243</v>
      </c>
      <c r="AI38" s="354">
        <f>CHOOSE(Table1[[#This Row],[Mode Digit]], (Table1[[#This Row],[Vin]]*Table1[[#This Row],[Iout]]/2)*(Fsw)*(Tr_buck+Tf_buck), 0, (Table1[[#This Row],[Vin]]*Table1[[#This Row],[Avg IL]]/2)*(Fsw/1)*(Tr_buck+Tf_buck))</f>
        <v>2.8630534637300467</v>
      </c>
      <c r="AJ38">
        <f>IF(Table1[[#This Row],[Vin]]&gt;Vout, IF(Table1[[#This Row],[Iout]]&gt;Table1[[#This Row],[Ripple Current pk-pk]]/2,0,ABS(Table1[[#This Row],[Iout]]-Table1[[#This Row],[Ripple Current pk-pk]]/2)*Vsd_Q1*Deadtime*Fsw),0)</f>
        <v>0</v>
      </c>
      <c r="AK38" s="354">
        <f>(Table1[[#This Row],[Dead Time Loss BuCtrl]]+Table1[[#This Row],[Transition Loss BuCtrl]]+Table1[[#This Row],[RDS(on) Loss BuCtrl]]*(1+RdsonTopTc*Ta-RdsonTopTc*25))/(1-Table1[[#This Row],[RDS(on) Loss BuCtrl]]*RdsonTopTc*ThetaJA_Q1)</f>
        <v>3.5545879271908016</v>
      </c>
      <c r="AL38" s="354">
        <f>CHOOSE(Table1[[#This Row],[Mode Digit]],SQRT((Fsw*(Table1[[#This Row],[t2_Ph_I]]+0))*((Table1[[#This Row],[I_0]]*Table1[[#This Row],[I_1]]+((Table1[[#This Row],[I_0]]-Table1[[#This Row],[I_1]])^2)/3))),0,SQRT((Fsw*(Table1[[#This Row],[t3_Ph_III]]+0))*((Table1[[#This Row],[I_0]]*Table1[[#This Row],[I_2]]+((Table1[[#This Row],[I_0]]-Table1[[#This Row],[I_2]])^2)/3))))</f>
        <v>7.5008441135969539</v>
      </c>
      <c r="AM38" s="354">
        <f>Rdson2*Table1[[#This Row],[Irms BuSync]]^2</f>
        <v>0.23630318214922474</v>
      </c>
      <c r="AN3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38" s="354">
        <f>(Table1[[#This Row],[Deadtime Loss BuSync]]+Table1[[#This Row],[RDS(on) Loss BuSync]]*(1+RdsonBotTc*Ta-RdsonBotTc*25))/(1-Table1[[#This Row],[RDS(on) Loss BuSync]]*RdsonBotTc*ThetaJA_Q2)</f>
        <v>0.86259474253663693</v>
      </c>
      <c r="AP38" s="354">
        <f>CHOOSE(Table1[[#This Row],[Mode Digit]],0,SQRT((Fsw*(Table1[[#This Row],[t1_Ph_II]]+0))*((Table1[[#This Row],[I_0]]*Table1[[#This Row],[I_1]]+((Table1[[#This Row],[I_0]]-Table1[[#This Row],[I_1]])^2)/3))),SQRT((Fsw*(Table1[[#This Row],[t2_Ph_I]]+0))*((Table1[[#This Row],[I_1]]*Table1[[#This Row],[I_2]]+((Table1[[#This Row],[I_1]]-Table1[[#This Row],[I_2]])^2)/3))))</f>
        <v>0</v>
      </c>
      <c r="AQ38" s="354">
        <f>Rdson4*Table1[[#This Row],[Irms BoCtlr]]^2</f>
        <v>0</v>
      </c>
      <c r="AR38" s="354">
        <f>CHOOSE(Table1[[#This Row],[Mode Digit]], 0, (Vout*Table1[[#This Row],[Iin]]/2)*(Fsw)*(Tr_boost+Tf_boost), (Vout*Iout/2)*(Fsw/1)*(Tr_boost+Tf_boost))</f>
        <v>0</v>
      </c>
      <c r="AS38">
        <f>IF(Table1[[#This Row],[Vin]]&gt;Vout, 0, IF(Table1[[#This Row],[Iin]]&gt;Table1[[#This Row],[Ripple Current pk-pk]]/2,0,ABS(Table1[[#This Row],[Iin]]-Table1[[#This Row],[Ripple Current pk-pk]]/2)*Vsd_Q4*Deadtime*Fsw))</f>
        <v>0</v>
      </c>
      <c r="AT38" s="354">
        <f>(Table1[[#This Row],[Dead Time Loss BoCtlr]]+Table1[[#This Row],[Transition Loss BoCtlr]]+Table1[[#This Row],[RDS(on) Loss BoCtlr]]*(1+RdsonTopTc*Ta-RdsonTopTc*25))/(1-Table1[[#This Row],[RDS(on) Loss BoCtlr]]*RdsonTopTc*ThetaJA_Q4)</f>
        <v>0</v>
      </c>
      <c r="AU3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12.046339584661304</v>
      </c>
      <c r="AV38" s="354">
        <f>Rdson3*Table1[[#This Row],[Irms BoSync]]^2</f>
        <v>0.60948004903370723</v>
      </c>
      <c r="AW3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38" s="354">
        <f>(Table1[[#This Row],[Deadtime Loss BoSync]]+Table1[[#This Row],[RDS(on) Loss BoSync]]*(1+RdsonBotTc*Ta-RdsonBotTc*25))/(1-Table1[[#This Row],[RDS(on) Loss BoSync]]*RdsonBotTc*ThetaJA_Q3)</f>
        <v>0.71390693749909595</v>
      </c>
      <c r="AY38" s="354">
        <f>CHOOSE(Table1[[#This Row],[Mode Digit]], Rdson3*Table1[[#This Row],[Irms Lf]]^2, Rdson1*Table1[[#This Row],[Irms Lf]]^2, 0)</f>
        <v>0.60948004903370723</v>
      </c>
      <c r="AZ38" s="354">
        <f>CHOOSE(Table1[[#This Row],[Mode Digit]], 2*Deadtime*Fsw*IF(VfdSky_Q2&gt;0,VfdSky_Q2,0)*Table1[[#This Row],[Iout]], 2*Deadtime*Fsw*IF(VfdSky_Q3&gt;0,VfdSky_Q3,0)*Table1[[#This Row],[Iin]], 2*Deadtime*Fsw*IF(VfdSky_Q2&gt;0,VfdSky_Q2,0)*Table1[[#This Row],[Iout]]+2*Deadtime*Fsw*IF(VfdSky_Q3&gt;0,VfdSky_Q3,0)*Table1[[#This Row],[Iin]])</f>
        <v>0</v>
      </c>
      <c r="BA38" s="354">
        <f>CHOOSE(Table1[[#This Row],[Mode Digit]], IF(QrrSky_Q2&gt;0,QrrSky_Q2,Qrr_Q2)*Fsw*(Table1[[#This Row],[Vin]]-Table1[[#This Row],[Iout]]*Rdson1),0,  IF(QrrSky_Q2&gt;0,QrrSky_Q2,Qrr_Q2)*Fsw*(Table1[[#This Row],[Vin]]-Table1[[#This Row],[Iout]]*Rdson1)+IF(QrrSky_Q3&gt;0,QrrSky_Q3,Qrr_Q3)*Fsw*Vout)</f>
        <v>0.28811520000000002</v>
      </c>
      <c r="BB38" s="354">
        <f>CHOOSE(Table1[[#This Row],[Mode Digit]],0, IF(QrrSky_Q3&gt;0,QrrSky_Q3,Qrr_Q3)*Fsw*Vout,  IF(QrrSky_Q2&gt;0,QrrSky_Q2,Qrr_Q2)*Fsw*(Table1[[#This Row],[Vin]]-Table1[[#This Row],[Iout]]*Rdson1)+IF(QrrSky_Q3&gt;0,QrrSky_Q3,Qrr_Q3)*Fsw*Vout)</f>
        <v>0</v>
      </c>
      <c r="BC38" s="354">
        <f>CHOOSE(Table1[[#This Row],[Mode Digit]], Rs*Table1[[#This Row],[Irms BuSync]]^2, Rs*Table1[[#This Row],[Irms BoCtlr]]^2, Rs*(Table1[[#This Row],[Irms BuSync]]^2+Table1[[#This Row],[Irms BoCtlr]]^2))</f>
        <v>0.1406566560412052</v>
      </c>
      <c r="BD38" s="354">
        <f t="shared" si="1"/>
        <v>1.44</v>
      </c>
      <c r="BE38" s="354">
        <f>IF(Vout&gt;8, Iq*Vout, Iq*Table1[[#This Row],[Vin]])</f>
        <v>4.3799999999999999E-2</v>
      </c>
      <c r="BF38" s="354">
        <f>CHOOSE(Table1[[#This Row],[Mode Digit]], (Qg_Q1+Qg_Q2)*Fsw, (Qg_Q3+Qg_Q4)*Fsw, (Qg_Q1+Qg_Q2+Qg_Q3+Qg_Q4)*Fsw)*IF(Vout&gt;8, Vout, Table1[[#This Row],[Vin]])</f>
        <v>0.47303999999999996</v>
      </c>
      <c r="BG38" s="354">
        <f t="shared" si="2"/>
        <v>0.45605042016806729</v>
      </c>
      <c r="BH38" s="354">
        <f>Table1[[#This Row],[IQ Loss]]+Table1[[#This Row],[Switching Current Loss]]</f>
        <v>0.51683999999999997</v>
      </c>
      <c r="BI3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9.1310804500022957</v>
      </c>
      <c r="BJ38">
        <f>Vout*Table1[[#This Row],[Iout]]</f>
        <v>175.2</v>
      </c>
      <c r="BK38" s="550">
        <f>Table1[[#This Row],[Pout]]/(Table1[[#This Row],[Pout]]+Table1[[#This Row],[Total Loss]])</f>
        <v>0.95046369593390956</v>
      </c>
      <c r="BL3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213.2752756314481</v>
      </c>
      <c r="BM38" s="559">
        <f>IF(Table1[[#This Row],[Vin]]&gt;Vout, Table1[[#This Row],[Total Sync Bu MOSFET Loss]]*ThetaJA_Q2, ThetaJA_Q3*Table1[[#This Row],[Total Sync Bo MOSFET Loss]])</f>
        <v>51.755684552198218</v>
      </c>
      <c r="BN38" s="9"/>
      <c r="BO38" s="4">
        <f>Table1[[#This Row],[EFF, h]]*100</f>
        <v>95.046369593390949</v>
      </c>
      <c r="BP38" s="354">
        <f>Table1[[#This Row],[Total Inductor Loss]]</f>
        <v>1.5399096774033554</v>
      </c>
      <c r="BQ38" s="354">
        <f>Table1[[#This Row],[Total Control Bu MOSFET Loss]]+Table1[[#This Row],[Total Sync Bu MOSFET Loss]]+Table1[[#This Row],[Total Control Bo MOSFET Loss]]+Table1[[#This Row],[Total Sync Bo MOSFET Loss]]+Table1[[#This Row],[Reverse Recovery Loss MOSFET D BUCK]]+Table1[[#This Row],[Reverse Recovery Loss MOSFET D BOOST]]</f>
        <v>5.4192048072265342</v>
      </c>
      <c r="BR38" s="354">
        <f>Table1[[#This Row],[Total Control Bu MOSFET Loss]]+Table1[[#This Row],[Reverse Recovery Loss MOSFET D BUCK]]*0.66</f>
        <v>3.7447439591908016</v>
      </c>
      <c r="BS38" s="354">
        <f>Table1[[#This Row],[Total Sync Bu MOSFET Loss]]+Table1[[#This Row],[Reverse Recovery Loss MOSFET D BUCK]]*0.33</f>
        <v>0.95767275853663691</v>
      </c>
      <c r="BT38" s="354">
        <f xml:space="preserve"> Table1[[#This Row],[Total Control Bo MOSFET Loss]]+Table1[[#This Row],[Reverse Recovery Loss MOSFET D BOOST]]*0.66</f>
        <v>0</v>
      </c>
      <c r="BU38" s="354">
        <f xml:space="preserve"> Table1[[#This Row],[Total Sync Bo MOSFET Loss]]+Table1[[#This Row],[Reverse Recovery Loss MOSFET D BOOST]]*0.33</f>
        <v>0.71390693749909595</v>
      </c>
      <c r="BV38" s="354">
        <f>Table1[[#This Row],[Isense Shunt Loss]]</f>
        <v>0.1406566560412052</v>
      </c>
      <c r="CA38">
        <v>9.9985429999999997</v>
      </c>
      <c r="CB38">
        <v>1.9350000000000001</v>
      </c>
      <c r="CC38">
        <v>5.117146</v>
      </c>
      <c r="CD38">
        <v>94.224527198076927</v>
      </c>
      <c r="CE38">
        <v>606.92116405899924</v>
      </c>
    </row>
    <row r="39" spans="1:83" x14ac:dyDescent="0.2">
      <c r="A39" s="23" t="s">
        <v>74</v>
      </c>
      <c r="B39" s="5">
        <f>Qg_Q1*1000000000</f>
        <v>27</v>
      </c>
      <c r="C39" s="440" t="s">
        <v>69</v>
      </c>
      <c r="D39" s="21" t="s">
        <v>101</v>
      </c>
      <c r="G39">
        <v>30</v>
      </c>
      <c r="H39" s="555">
        <f>VIN_min+(VIN_max-VIN_min)*(Table1[[#This Row],[Step]]/200)</f>
        <v>24.2</v>
      </c>
      <c r="I39" s="4" t="str">
        <f>IF(Mode = 2,IF(Table1[[#This Row],[Vin]]&gt;Vout, "BUCK","BOOST"),IF(Table1[[#This Row],[Vin]]&gt;VIN_BB_to_buck, "BUCK", IF(Table1[[#This Row],[Vin]]&lt;=VIN_boost_to_BB,"BOOST","BUCK-BST")))</f>
        <v>BUCK</v>
      </c>
      <c r="J39">
        <f>IF(Table1[[#This Row],[Mode]]="BOOST",2, IF(Table1[[#This Row],[Mode]]="BUCK", 1,3))</f>
        <v>1</v>
      </c>
      <c r="K39">
        <f t="shared" si="0"/>
        <v>12</v>
      </c>
      <c r="L39" s="4">
        <f>Vout*Table1[[#This Row],[Iout]]/(Table1[[#This Row],[Vin]]*Efficiency)</f>
        <v>7.6207046541974774</v>
      </c>
      <c r="M39" s="711">
        <f>MIN(1/Fsw,CHOOSE(Table1[[#This Row],[Mode Digit]],(Vout+(Rdson2+Rs+Rdcr)*Table1[[#This Row],[Iout]])/(Table1[[#This Row],[Vin]]+(Rs+Rdson2-Rdson1)*Table1[[#This Row],[Iout]])/Fsw,(Vout+(Rdson3+Rdcr)*Table1[[#This Row],[Iin]]-Table1[[#This Row],[Vin]])/(Vout+(Rdson3-Rdson4-Rs)*Table1[[#This Row],[Iin]])/Fsw,t1_Ph_II))</f>
        <v>1.0145824735176778E-6</v>
      </c>
      <c r="N39" s="602">
        <f>CHOOSE(Table1[[#This Row],[Mode Digit]],1/Fsw-Table1[[#This Row],[t1_Ph_II]],1/Fsw-Table1[[#This Row],[t1_Ph_II]],(Vout/Fsw-Table1[[#This Row],[Vin]]*t1_Ph_II)/(Table1[[#This Row],[Vin]]+Vout))</f>
        <v>6.5208419314898888E-7</v>
      </c>
      <c r="O39" s="602">
        <f>1/Fsw-(Table1[[#This Row],[t1_Ph_II]]+Table1[[#This Row],[t2_Ph_I]])</f>
        <v>0</v>
      </c>
      <c r="P3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10.155304593604223</v>
      </c>
      <c r="Q39" s="4">
        <f>CHOOSE(Table1[[#This Row],[Mode Digit]],Table1[[#This Row],[I_0]]+1/Lf*(Table1[[#This Row],[Vin]]-Vout)*Table1[[#This Row],[t1_Ph_II]],Table1[[#This Row],[I_0]]+1/Lf*Table1[[#This Row],[Vin]]*Table1[[#This Row],[t1_Ph_II]],Table1[[#This Row],[I_0]]+(Table1[[#This Row],[Vin]]-Vout)/L*Table1[[#This Row],[t1_Ph_II]])</f>
        <v>13.844695406395779</v>
      </c>
      <c r="R39" s="4">
        <f>CHOOSE(Table1[[#This Row],[Mode Digit]],0,0,Table1[[#This Row],[I_1]]+Table1[[#This Row],[Vin]]/L*Table1[[#This Row],[t2_Ph_I]])</f>
        <v>0</v>
      </c>
      <c r="S39" s="4">
        <f>Fsw*(Table1[[#This Row],[I_0]]*Table1[[#This Row],[t1_Ph_II]]+Table1[[#This Row],[I_1]]*Table1[[#This Row],[t2_Ph_I]]+Table1[[#This Row],[I_2]]*Table1[[#This Row],[t3_Ph_III]])</f>
        <v>11.598780652426507</v>
      </c>
      <c r="T39" s="354">
        <f>MIN(1,CHOOSE(Table1[[#This Row],[Mode Digit]],(Vout+(Rdson2+Rs+Rdcr)*Table1[[#This Row],[Iout]])/(Table1[[#This Row],[Vin]]+(Rs+Rdson2-Rdson1)*Table1[[#This Row],[Iout]]),1,Fsw*Table1[[#This Row],[t2_Ph_I]]+Table1[[#This Row],[t1_Ph_II]]))</f>
        <v>0.6087494841106067</v>
      </c>
      <c r="U39" s="354">
        <f>MIN(1,CHOOSE(Table1[[#This Row],[Mode Digit]],0,(Vout+(Rdson3+Rdcr)*Table1[[#This Row],[Iin]]-Table1[[#This Row],[Vin]])/(Vout+(Rdson3-Rdson4-Rs)*Table1[[#This Row],[Iin]]),Fsw*Table1[[#This Row],[t1_Ph_II]]+Table1[[#This Row],[t3_Ph_III]]))</f>
        <v>0</v>
      </c>
      <c r="V39" s="4">
        <f>MAX(Table1[[#This Row],[I_0]:[I_2]])-MIN(Table1[[#This Row],[I_0]:[I_1]])</f>
        <v>3.6893908127915562</v>
      </c>
      <c r="W3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12.047169807917234</v>
      </c>
      <c r="X39" s="354">
        <f>(Table1[[#This Row],[Irms Lf]]^2*Rdcr*(1+Ltc*Ta-Ltc*25))/(1-Table1[[#This Row],[Irms Lf]]^2*Rdcr*Ltc*ThetaCa)</f>
        <v>0.90255938066770958</v>
      </c>
      <c r="Y39" s="354">
        <f>ABS(7.759*10^-3*Fsw^0.9458*(0.00787*Table1[[#This Row],[Ripple Current pk-pk]])^2.304)</f>
        <v>0.65068460113222704</v>
      </c>
      <c r="Z39" s="354">
        <f>Table1[[#This Row],[DCR    Loss]]+Table1[[#This Row],[Core Loss]]</f>
        <v>1.5532439817999366</v>
      </c>
      <c r="AA39" s="4">
        <f>IF(Table1[[#This Row],[Vin]]&gt;Vout, Table1[[#This Row],[Ripple Current pk-pk]]/SQRT(12), SQRT(Table1[[#This Row],[Duty Cycle BOOST Leg]]/(1-Table1[[#This Row],[Duty Cycle BOOST Leg]]))*SQRT(Table1[[#This Row],[Iout]]^2+(Table1[[#This Row],[Ripple Current pk-pk]]^2)/12))</f>
        <v>1.0650353894554687</v>
      </c>
      <c r="AB39" s="354">
        <f>RCoutEsr*Table1[[#This Row],[Irms Cout]]^2</f>
        <v>5.6715019039628098E-3</v>
      </c>
      <c r="AC39" s="354">
        <f>Table1[[#This Row],[Cout ESR Loss]]</f>
        <v>5.6715019039628098E-3</v>
      </c>
      <c r="AD39" s="354">
        <f>IF(Table1[[#This Row],[Vin]]&gt;Vout, SQRT(Table1[[#This Row],[Duty Cycle BUCK Leg]]*(1-Table1[[#This Row],[Duty Cycle BUCK Leg]]))*SQRT(Table1[[#This Row],[Iout]]^2+(Table1[[#This Row],[Ripple Current pk-pk]]^2)/12), Table1[[#This Row],[Ripple Current pk-pk]]/SQRT(12))</f>
        <v>5.8793835991320833</v>
      </c>
      <c r="AE39" s="354">
        <f>RCinEsr*Table1[[#This Row],[Irms Cin]]^2</f>
        <v>6.9134303011486667E-2</v>
      </c>
      <c r="AF39" s="549">
        <f>Table1[[#This Row],[Cin ESR Loss]]</f>
        <v>6.9134303011486667E-2</v>
      </c>
      <c r="AG3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9.3994909693855924</v>
      </c>
      <c r="AH39" s="354">
        <f>Rdson1*Table1[[#This Row],[Irms BuCtrl]]^2</f>
        <v>0.37107180803095752</v>
      </c>
      <c r="AI39" s="354">
        <f>CHOOSE(Table1[[#This Row],[Mode Digit]], (Table1[[#This Row],[Vin]]*Table1[[#This Row],[Iout]]/2)*(Fsw)*(Tr_buck+Tf_buck), 0, (Table1[[#This Row],[Vin]]*Table1[[#This Row],[Avg IL]]/2)*(Fsw/1)*(Tr_buck+Tf_buck))</f>
        <v>2.879712960193979</v>
      </c>
      <c r="AJ39">
        <f>IF(Table1[[#This Row],[Vin]]&gt;Vout, IF(Table1[[#This Row],[Iout]]&gt;Table1[[#This Row],[Ripple Current pk-pk]]/2,0,ABS(Table1[[#This Row],[Iout]]-Table1[[#This Row],[Ripple Current pk-pk]]/2)*Vsd_Q1*Deadtime*Fsw),0)</f>
        <v>0</v>
      </c>
      <c r="AK39" s="354">
        <f>(Table1[[#This Row],[Dead Time Loss BuCtrl]]+Table1[[#This Row],[Transition Loss BuCtrl]]+Table1[[#This Row],[RDS(on) Loss BuCtrl]]*(1+RdsonTopTc*Ta-RdsonTopTc*25))/(1-Table1[[#This Row],[RDS(on) Loss BuCtrl]]*RdsonTopTc*ThetaJA_Q1)</f>
        <v>3.5685938670333135</v>
      </c>
      <c r="AL39" s="354">
        <f>CHOOSE(Table1[[#This Row],[Mode Digit]],SQRT((Fsw*(Table1[[#This Row],[t2_Ph_I]]+0))*((Table1[[#This Row],[I_0]]*Table1[[#This Row],[I_1]]+((Table1[[#This Row],[I_0]]-Table1[[#This Row],[I_1]])^2)/3))),0,SQRT((Fsw*(Table1[[#This Row],[t3_Ph_III]]+0))*((Table1[[#This Row],[I_0]]*Table1[[#This Row],[I_2]]+((Table1[[#This Row],[I_0]]-Table1[[#This Row],[I_2]])^2)/3))))</f>
        <v>7.5355072753751138</v>
      </c>
      <c r="AM39" s="354">
        <f>Rdson2*Table1[[#This Row],[Irms BuSync]]^2</f>
        <v>0.23849225356837137</v>
      </c>
      <c r="AN3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39" s="354">
        <f>(Table1[[#This Row],[Deadtime Loss BuSync]]+Table1[[#This Row],[RDS(on) Loss BuSync]]*(1+RdsonBotTc*Ta-RdsonBotTc*25))/(1-Table1[[#This Row],[RDS(on) Loss BuSync]]*RdsonBotTc*ThetaJA_Q2)</f>
        <v>0.86539742165739941</v>
      </c>
      <c r="AP39" s="354">
        <f>CHOOSE(Table1[[#This Row],[Mode Digit]],0,SQRT((Fsw*(Table1[[#This Row],[t1_Ph_II]]+0))*((Table1[[#This Row],[I_0]]*Table1[[#This Row],[I_1]]+((Table1[[#This Row],[I_0]]-Table1[[#This Row],[I_1]])^2)/3))),SQRT((Fsw*(Table1[[#This Row],[t2_Ph_I]]+0))*((Table1[[#This Row],[I_1]]*Table1[[#This Row],[I_2]]+((Table1[[#This Row],[I_1]]-Table1[[#This Row],[I_2]])^2)/3))))</f>
        <v>0</v>
      </c>
      <c r="AQ39" s="354">
        <f>Rdson4*Table1[[#This Row],[Irms BoCtlr]]^2</f>
        <v>0</v>
      </c>
      <c r="AR39" s="354">
        <f>CHOOSE(Table1[[#This Row],[Mode Digit]], 0, (Vout*Table1[[#This Row],[Iin]]/2)*(Fsw)*(Tr_boost+Tf_boost), (Vout*Iout/2)*(Fsw/1)*(Tr_boost+Tf_boost))</f>
        <v>0</v>
      </c>
      <c r="AS39">
        <f>IF(Table1[[#This Row],[Vin]]&gt;Vout, 0, IF(Table1[[#This Row],[Iin]]&gt;Table1[[#This Row],[Ripple Current pk-pk]]/2,0,ABS(Table1[[#This Row],[Iin]]-Table1[[#This Row],[Ripple Current pk-pk]]/2)*Vsd_Q4*Deadtime*Fsw))</f>
        <v>0</v>
      </c>
      <c r="AT39" s="354">
        <f>(Table1[[#This Row],[Dead Time Loss BoCtlr]]+Table1[[#This Row],[Transition Loss BoCtlr]]+Table1[[#This Row],[RDS(on) Loss BoCtlr]]*(1+RdsonTopTc*Ta-RdsonTopTc*25))/(1-Table1[[#This Row],[RDS(on) Loss BoCtlr]]*RdsonTopTc*ThetaJA_Q4)</f>
        <v>0</v>
      </c>
      <c r="AU3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12.047169807917234</v>
      </c>
      <c r="AV39" s="354">
        <f>Rdson3*Table1[[#This Row],[Irms BoSync]]^2</f>
        <v>0.60956406159932885</v>
      </c>
      <c r="AW3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39" s="354">
        <f>(Table1[[#This Row],[Deadtime Loss BoSync]]+Table1[[#This Row],[RDS(on) Loss BoSync]]*(1+RdsonBotTc*Ta-RdsonBotTc*25))/(1-Table1[[#This Row],[RDS(on) Loss BoSync]]*RdsonBotTc*ThetaJA_Q3)</f>
        <v>0.71402220814369499</v>
      </c>
      <c r="AY39" s="354">
        <f>CHOOSE(Table1[[#This Row],[Mode Digit]], Rdson3*Table1[[#This Row],[Irms Lf]]^2, Rdson1*Table1[[#This Row],[Irms Lf]]^2, 0)</f>
        <v>0.60956406159932885</v>
      </c>
      <c r="AZ39" s="354">
        <f>CHOOSE(Table1[[#This Row],[Mode Digit]], 2*Deadtime*Fsw*IF(VfdSky_Q2&gt;0,VfdSky_Q2,0)*Table1[[#This Row],[Iout]], 2*Deadtime*Fsw*IF(VfdSky_Q3&gt;0,VfdSky_Q3,0)*Table1[[#This Row],[Iin]], 2*Deadtime*Fsw*IF(VfdSky_Q2&gt;0,VfdSky_Q2,0)*Table1[[#This Row],[Iout]]+2*Deadtime*Fsw*IF(VfdSky_Q3&gt;0,VfdSky_Q3,0)*Table1[[#This Row],[Iin]])</f>
        <v>0</v>
      </c>
      <c r="BA39" s="354">
        <f>CHOOSE(Table1[[#This Row],[Mode Digit]], IF(QrrSky_Q2&gt;0,QrrSky_Q2,Qrr_Q2)*Fsw*(Table1[[#This Row],[Vin]]-Table1[[#This Row],[Iout]]*Rdson1),0,  IF(QrrSky_Q2&gt;0,QrrSky_Q2,Qrr_Q2)*Fsw*(Table1[[#This Row],[Vin]]-Table1[[#This Row],[Iout]]*Rdson1)+IF(QrrSky_Q3&gt;0,QrrSky_Q3,Qrr_Q3)*Fsw*Vout)</f>
        <v>0.28979519999999998</v>
      </c>
      <c r="BB39" s="354">
        <f>CHOOSE(Table1[[#This Row],[Mode Digit]],0, IF(QrrSky_Q3&gt;0,QrrSky_Q3,Qrr_Q3)*Fsw*Vout,  IF(QrrSky_Q2&gt;0,QrrSky_Q2,Qrr_Q2)*Fsw*(Table1[[#This Row],[Vin]]-Table1[[#This Row],[Iout]]*Rdson1)+IF(QrrSky_Q3&gt;0,QrrSky_Q3,Qrr_Q3)*Fsw*Vout)</f>
        <v>0</v>
      </c>
      <c r="BC39" s="354">
        <f>CHOOSE(Table1[[#This Row],[Mode Digit]], Rs*Table1[[#This Row],[Irms BuSync]]^2, Rs*Table1[[#This Row],[Irms BoCtlr]]^2, Rs*(Table1[[#This Row],[Irms BuSync]]^2+Table1[[#This Row],[Irms BoCtlr]]^2))</f>
        <v>0.14195967474307819</v>
      </c>
      <c r="BD39" s="354">
        <f t="shared" si="1"/>
        <v>1.44</v>
      </c>
      <c r="BE39" s="354">
        <f>IF(Vout&gt;8, Iq*Vout, Iq*Table1[[#This Row],[Vin]])</f>
        <v>4.3799999999999999E-2</v>
      </c>
      <c r="BF39" s="354">
        <f>CHOOSE(Table1[[#This Row],[Mode Digit]], (Qg_Q1+Qg_Q2)*Fsw, (Qg_Q3+Qg_Q4)*Fsw, (Qg_Q1+Qg_Q2+Qg_Q3+Qg_Q4)*Fsw)*IF(Vout&gt;8, Vout, Table1[[#This Row],[Vin]])</f>
        <v>0.47303999999999996</v>
      </c>
      <c r="BG39" s="354">
        <f t="shared" si="2"/>
        <v>0.45605042016806729</v>
      </c>
      <c r="BH39" s="354">
        <f>Table1[[#This Row],[IQ Loss]]+Table1[[#This Row],[Switching Current Loss]]</f>
        <v>0.51683999999999997</v>
      </c>
      <c r="BI3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9.1646581582928732</v>
      </c>
      <c r="BJ39">
        <f>Vout*Table1[[#This Row],[Iout]]</f>
        <v>175.2</v>
      </c>
      <c r="BK39" s="550">
        <f>Table1[[#This Row],[Pout]]/(Table1[[#This Row],[Pout]]+Table1[[#This Row],[Total Loss]])</f>
        <v>0.95029059121285475</v>
      </c>
      <c r="BL3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214.11563202199881</v>
      </c>
      <c r="BM39" s="559">
        <f>IF(Table1[[#This Row],[Vin]]&gt;Vout, Table1[[#This Row],[Total Sync Bu MOSFET Loss]]*ThetaJA_Q2, ThetaJA_Q3*Table1[[#This Row],[Total Sync Bo MOSFET Loss]])</f>
        <v>51.923845299443968</v>
      </c>
      <c r="BN39" s="9"/>
      <c r="BO39" s="4">
        <f>Table1[[#This Row],[EFF, h]]*100</f>
        <v>95.029059121285471</v>
      </c>
      <c r="BP39" s="354">
        <f>Table1[[#This Row],[Total Inductor Loss]]</f>
        <v>1.5532439817999366</v>
      </c>
      <c r="BQ39" s="354">
        <f>Table1[[#This Row],[Total Control Bu MOSFET Loss]]+Table1[[#This Row],[Total Sync Bu MOSFET Loss]]+Table1[[#This Row],[Total Control Bo MOSFET Loss]]+Table1[[#This Row],[Total Sync Bo MOSFET Loss]]+Table1[[#This Row],[Reverse Recovery Loss MOSFET D BUCK]]+Table1[[#This Row],[Reverse Recovery Loss MOSFET D BOOST]]</f>
        <v>5.4378086968344084</v>
      </c>
      <c r="BR39" s="354">
        <f>Table1[[#This Row],[Total Control Bu MOSFET Loss]]+Table1[[#This Row],[Reverse Recovery Loss MOSFET D BUCK]]*0.66</f>
        <v>3.7598586990333134</v>
      </c>
      <c r="BS39" s="354">
        <f>Table1[[#This Row],[Total Sync Bu MOSFET Loss]]+Table1[[#This Row],[Reverse Recovery Loss MOSFET D BUCK]]*0.33</f>
        <v>0.96102983765739936</v>
      </c>
      <c r="BT39" s="354">
        <f xml:space="preserve"> Table1[[#This Row],[Total Control Bo MOSFET Loss]]+Table1[[#This Row],[Reverse Recovery Loss MOSFET D BOOST]]*0.66</f>
        <v>0</v>
      </c>
      <c r="BU39" s="354">
        <f xml:space="preserve"> Table1[[#This Row],[Total Sync Bo MOSFET Loss]]+Table1[[#This Row],[Reverse Recovery Loss MOSFET D BOOST]]*0.33</f>
        <v>0.71402220814369499</v>
      </c>
      <c r="BV39" s="354">
        <f>Table1[[#This Row],[Isense Shunt Loss]]</f>
        <v>0.14195967474307819</v>
      </c>
      <c r="CA39">
        <v>9.9985060000000008</v>
      </c>
      <c r="CB39">
        <v>2.31</v>
      </c>
      <c r="CC39">
        <v>5.1166349999999996</v>
      </c>
      <c r="CD39">
        <v>94.492663502717292</v>
      </c>
      <c r="CE39">
        <v>688.87413060200208</v>
      </c>
    </row>
    <row r="40" spans="1:83" x14ac:dyDescent="0.2">
      <c r="A40" s="23" t="s">
        <v>128</v>
      </c>
      <c r="B40" s="5">
        <f>Qgd_Q1*1000000000</f>
        <v>6.2</v>
      </c>
      <c r="C40" s="440" t="s">
        <v>69</v>
      </c>
      <c r="D40" s="21" t="s">
        <v>129</v>
      </c>
      <c r="G40">
        <v>31</v>
      </c>
      <c r="H40" s="555">
        <f>VIN_min+(VIN_max-VIN_min)*(Table1[[#This Row],[Step]]/200)</f>
        <v>24.34</v>
      </c>
      <c r="I40" s="4" t="str">
        <f>IF(Mode = 2,IF(Table1[[#This Row],[Vin]]&gt;Vout, "BUCK","BOOST"),IF(Table1[[#This Row],[Vin]]&gt;VIN_BB_to_buck, "BUCK", IF(Table1[[#This Row],[Vin]]&lt;=VIN_boost_to_BB,"BOOST","BUCK-BST")))</f>
        <v>BUCK</v>
      </c>
      <c r="J40">
        <f>IF(Table1[[#This Row],[Mode]]="BOOST",2, IF(Table1[[#This Row],[Mode]]="BUCK", 1,3))</f>
        <v>1</v>
      </c>
      <c r="K40">
        <f t="shared" si="0"/>
        <v>12</v>
      </c>
      <c r="L40" s="4">
        <f>Vout*Table1[[#This Row],[Iout]]/(Table1[[#This Row],[Vin]]*Efficiency)</f>
        <v>7.5768715132119535</v>
      </c>
      <c r="M40" s="711">
        <f>MIN(1/Fsw,CHOOSE(Table1[[#This Row],[Mode Digit]],(Vout+(Rdson2+Rs+Rdcr)*Table1[[#This Row],[Iout]])/(Table1[[#This Row],[Vin]]+(Rs+Rdson2-Rdson1)*Table1[[#This Row],[Iout]])/Fsw,(Vout+(Rdson3+Rdcr)*Table1[[#This Row],[Iin]]-Table1[[#This Row],[Vin]])/(Vout+(Rdson3-Rdson4-Rs)*Table1[[#This Row],[Iin]])/Fsw,t1_Ph_II))</f>
        <v>1.0087539324305841E-6</v>
      </c>
      <c r="N40" s="602">
        <f>CHOOSE(Table1[[#This Row],[Mode Digit]],1/Fsw-Table1[[#This Row],[t1_Ph_II]],1/Fsw-Table1[[#This Row],[t1_Ph_II]],(Vout/Fsw-Table1[[#This Row],[Vin]]*t1_Ph_II)/(Table1[[#This Row],[Vin]]+Vout))</f>
        <v>6.579127342360826E-7</v>
      </c>
      <c r="O40" s="602">
        <f>1/Fsw-(Table1[[#This Row],[t1_Ph_II]]+Table1[[#This Row],[t2_Ph_I]])</f>
        <v>0</v>
      </c>
      <c r="P4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10.1391546776754</v>
      </c>
      <c r="Q40" s="4">
        <f>CHOOSE(Table1[[#This Row],[Mode Digit]],Table1[[#This Row],[I_0]]+1/Lf*(Table1[[#This Row],[Vin]]-Vout)*Table1[[#This Row],[t1_Ph_II]],Table1[[#This Row],[I_0]]+1/Lf*Table1[[#This Row],[Vin]]*Table1[[#This Row],[t1_Ph_II]],Table1[[#This Row],[I_0]]+(Table1[[#This Row],[Vin]]-Vout)/L*Table1[[#This Row],[t1_Ph_II]])</f>
        <v>13.8608453223246</v>
      </c>
      <c r="R40" s="4">
        <f>CHOOSE(Table1[[#This Row],[Mode Digit]],0,0,Table1[[#This Row],[I_1]]+Table1[[#This Row],[Vin]]/L*Table1[[#This Row],[t2_Ph_I]])</f>
        <v>0</v>
      </c>
      <c r="S40" s="4">
        <f>Fsw*(Table1[[#This Row],[I_0]]*Table1[[#This Row],[t1_Ph_II]]+Table1[[#This Row],[I_1]]*Table1[[#This Row],[t2_Ph_I]]+Table1[[#This Row],[I_2]]*Table1[[#This Row],[t3_Ph_III]])</f>
        <v>11.608283278476604</v>
      </c>
      <c r="T40" s="354">
        <f>MIN(1,CHOOSE(Table1[[#This Row],[Mode Digit]],(Vout+(Rdson2+Rs+Rdcr)*Table1[[#This Row],[Iout]])/(Table1[[#This Row],[Vin]]+(Rs+Rdson2-Rdson1)*Table1[[#This Row],[Iout]]),1,Fsw*Table1[[#This Row],[t2_Ph_I]]+Table1[[#This Row],[t1_Ph_II]]))</f>
        <v>0.60525235945835043</v>
      </c>
      <c r="U40" s="354">
        <f>MIN(1,CHOOSE(Table1[[#This Row],[Mode Digit]],0,(Vout+(Rdson3+Rdcr)*Table1[[#This Row],[Iin]]-Table1[[#This Row],[Vin]])/(Vout+(Rdson3-Rdson4-Rs)*Table1[[#This Row],[Iin]]),Fsw*Table1[[#This Row],[t1_Ph_II]]+Table1[[#This Row],[t3_Ph_III]]))</f>
        <v>0</v>
      </c>
      <c r="V40" s="4">
        <f>MAX(Table1[[#This Row],[I_0]:[I_2]])-MIN(Table1[[#This Row],[I_0]:[I_1]])</f>
        <v>3.7216906446492004</v>
      </c>
      <c r="W4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12.047997694134592</v>
      </c>
      <c r="X40" s="354">
        <f>(Table1[[#This Row],[Irms Lf]]^2*Rdcr*(1+Ltc*Ta-Ltc*25))/(1-Table1[[#This Row],[Irms Lf]]^2*Rdcr*Ltc*ThetaCa)</f>
        <v>0.90269239191315509</v>
      </c>
      <c r="Y40" s="354">
        <f>ABS(7.759*10^-3*Fsw^0.9458*(0.00787*Table1[[#This Row],[Ripple Current pk-pk]])^2.304)</f>
        <v>0.66388456504649618</v>
      </c>
      <c r="Z40" s="354">
        <f>Table1[[#This Row],[DCR    Loss]]+Table1[[#This Row],[Core Loss]]</f>
        <v>1.5665769569596513</v>
      </c>
      <c r="AA40" s="4">
        <f>IF(Table1[[#This Row],[Vin]]&gt;Vout, Table1[[#This Row],[Ripple Current pk-pk]]/SQRT(12), SQRT(Table1[[#This Row],[Duty Cycle BOOST Leg]]/(1-Table1[[#This Row],[Duty Cycle BOOST Leg]]))*SQRT(Table1[[#This Row],[Iout]]^2+(Table1[[#This Row],[Ripple Current pk-pk]]^2)/12))</f>
        <v>1.0743595477643639</v>
      </c>
      <c r="AB40" s="354">
        <f>RCoutEsr*Table1[[#This Row],[Irms Cout]]^2</f>
        <v>5.7712421893622431E-3</v>
      </c>
      <c r="AC40" s="354">
        <f>Table1[[#This Row],[Cout ESR Loss]]</f>
        <v>5.7712421893622431E-3</v>
      </c>
      <c r="AD40" s="354">
        <f>IF(Table1[[#This Row],[Vin]]&gt;Vout, SQRT(Table1[[#This Row],[Duty Cycle BUCK Leg]]*(1-Table1[[#This Row],[Duty Cycle BUCK Leg]]))*SQRT(Table1[[#This Row],[Iout]]^2+(Table1[[#This Row],[Ripple Current pk-pk]]^2)/12), Table1[[#This Row],[Ripple Current pk-pk]]/SQRT(12))</f>
        <v>5.8890181487469979</v>
      </c>
      <c r="AE40" s="354">
        <f>RCinEsr*Table1[[#This Row],[Irms Cin]]^2</f>
        <v>6.9361069512543047E-2</v>
      </c>
      <c r="AF40" s="549">
        <f>Table1[[#This Row],[Cin ESR Loss]]</f>
        <v>6.9361069512543047E-2</v>
      </c>
      <c r="AG4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9.3730972123640051</v>
      </c>
      <c r="AH40" s="354">
        <f>Rdson1*Table1[[#This Row],[Irms BuCtrl]]^2</f>
        <v>0.36899079568018878</v>
      </c>
      <c r="AI40" s="354">
        <f>CHOOSE(Table1[[#This Row],[Mode Digit]], (Table1[[#This Row],[Vin]]*Table1[[#This Row],[Iout]]/2)*(Fsw)*(Tr_buck+Tf_buck), 0, (Table1[[#This Row],[Vin]]*Table1[[#This Row],[Avg IL]]/2)*(Fsw/1)*(Tr_buck+Tf_buck))</f>
        <v>2.896372456657911</v>
      </c>
      <c r="AJ40">
        <f>IF(Table1[[#This Row],[Vin]]&gt;Vout, IF(Table1[[#This Row],[Iout]]&gt;Table1[[#This Row],[Ripple Current pk-pk]]/2,0,ABS(Table1[[#This Row],[Iout]]-Table1[[#This Row],[Ripple Current pk-pk]]/2)*Vsd_Q1*Deadtime*Fsw),0)</f>
        <v>0</v>
      </c>
      <c r="AK40" s="354">
        <f>(Table1[[#This Row],[Dead Time Loss BuCtrl]]+Table1[[#This Row],[Transition Loss BuCtrl]]+Table1[[#This Row],[RDS(on) Loss BuCtrl]]*(1+RdsonTopTc*Ta-RdsonTopTc*25))/(1-Table1[[#This Row],[RDS(on) Loss BuCtrl]]*RdsonTopTc*ThetaJA_Q1)</f>
        <v>3.5826333474165679</v>
      </c>
      <c r="AL40" s="354">
        <f>CHOOSE(Table1[[#This Row],[Mode Digit]],SQRT((Fsw*(Table1[[#This Row],[t2_Ph_I]]+0))*((Table1[[#This Row],[I_0]]*Table1[[#This Row],[I_1]]+((Table1[[#This Row],[I_0]]-Table1[[#This Row],[I_1]])^2)/3))),0,SQRT((Fsw*(Table1[[#This Row],[t3_Ph_III]]+0))*((Table1[[#This Row],[I_0]]*Table1[[#This Row],[I_2]]+((Table1[[#This Row],[I_0]]-Table1[[#This Row],[I_2]])^2)/3))))</f>
        <v>7.5696299173372124</v>
      </c>
      <c r="AM40" s="354">
        <f>Rdson2*Table1[[#This Row],[Irms BuSync]]^2</f>
        <v>0.24065704775887564</v>
      </c>
      <c r="AN4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40" s="354">
        <f>(Table1[[#This Row],[Deadtime Loss BuSync]]+Table1[[#This Row],[RDS(on) Loss BuSync]]*(1+RdsonBotTc*Ta-RdsonBotTc*25))/(1-Table1[[#This Row],[RDS(on) Loss BuSync]]*RdsonBotTc*ThetaJA_Q2)</f>
        <v>0.86817209216563918</v>
      </c>
      <c r="AP40" s="354">
        <f>CHOOSE(Table1[[#This Row],[Mode Digit]],0,SQRT((Fsw*(Table1[[#This Row],[t1_Ph_II]]+0))*((Table1[[#This Row],[I_0]]*Table1[[#This Row],[I_1]]+((Table1[[#This Row],[I_0]]-Table1[[#This Row],[I_1]])^2)/3))),SQRT((Fsw*(Table1[[#This Row],[t2_Ph_I]]+0))*((Table1[[#This Row],[I_1]]*Table1[[#This Row],[I_2]]+((Table1[[#This Row],[I_1]]-Table1[[#This Row],[I_2]])^2)/3))))</f>
        <v>0</v>
      </c>
      <c r="AQ40" s="354">
        <f>Rdson4*Table1[[#This Row],[Irms BoCtlr]]^2</f>
        <v>0</v>
      </c>
      <c r="AR40" s="354">
        <f>CHOOSE(Table1[[#This Row],[Mode Digit]], 0, (Vout*Table1[[#This Row],[Iin]]/2)*(Fsw)*(Tr_boost+Tf_boost), (Vout*Iout/2)*(Fsw/1)*(Tr_boost+Tf_boost))</f>
        <v>0</v>
      </c>
      <c r="AS40">
        <f>IF(Table1[[#This Row],[Vin]]&gt;Vout, 0, IF(Table1[[#This Row],[Iin]]&gt;Table1[[#This Row],[Ripple Current pk-pk]]/2,0,ABS(Table1[[#This Row],[Iin]]-Table1[[#This Row],[Ripple Current pk-pk]]/2)*Vsd_Q4*Deadtime*Fsw))</f>
        <v>0</v>
      </c>
      <c r="AT40" s="354">
        <f>(Table1[[#This Row],[Dead Time Loss BoCtlr]]+Table1[[#This Row],[Transition Loss BoCtlr]]+Table1[[#This Row],[RDS(on) Loss BoCtlr]]*(1+RdsonTopTc*Ta-RdsonTopTc*25))/(1-Table1[[#This Row],[RDS(on) Loss BoCtlr]]*RdsonTopTc*ThetaJA_Q4)</f>
        <v>0</v>
      </c>
      <c r="AU4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12.047997694134592</v>
      </c>
      <c r="AV40" s="354">
        <f>Rdson3*Table1[[#This Row],[Irms BoSync]]^2</f>
        <v>0.60964784343906431</v>
      </c>
      <c r="AW4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40" s="354">
        <f>(Table1[[#This Row],[Deadtime Loss BoSync]]+Table1[[#This Row],[RDS(on) Loss BoSync]]*(1+RdsonBotTc*Ta-RdsonBotTc*25))/(1-Table1[[#This Row],[RDS(on) Loss BoSync]]*RdsonBotTc*ThetaJA_Q3)</f>
        <v>0.71413716764023671</v>
      </c>
      <c r="AY40" s="354">
        <f>CHOOSE(Table1[[#This Row],[Mode Digit]], Rdson3*Table1[[#This Row],[Irms Lf]]^2, Rdson1*Table1[[#This Row],[Irms Lf]]^2, 0)</f>
        <v>0.60964784343906431</v>
      </c>
      <c r="AZ40" s="354">
        <f>CHOOSE(Table1[[#This Row],[Mode Digit]], 2*Deadtime*Fsw*IF(VfdSky_Q2&gt;0,VfdSky_Q2,0)*Table1[[#This Row],[Iout]], 2*Deadtime*Fsw*IF(VfdSky_Q3&gt;0,VfdSky_Q3,0)*Table1[[#This Row],[Iin]], 2*Deadtime*Fsw*IF(VfdSky_Q2&gt;0,VfdSky_Q2,0)*Table1[[#This Row],[Iout]]+2*Deadtime*Fsw*IF(VfdSky_Q3&gt;0,VfdSky_Q3,0)*Table1[[#This Row],[Iin]])</f>
        <v>0</v>
      </c>
      <c r="BA40" s="354">
        <f>CHOOSE(Table1[[#This Row],[Mode Digit]], IF(QrrSky_Q2&gt;0,QrrSky_Q2,Qrr_Q2)*Fsw*(Table1[[#This Row],[Vin]]-Table1[[#This Row],[Iout]]*Rdson1),0,  IF(QrrSky_Q2&gt;0,QrrSky_Q2,Qrr_Q2)*Fsw*(Table1[[#This Row],[Vin]]-Table1[[#This Row],[Iout]]*Rdson1)+IF(QrrSky_Q3&gt;0,QrrSky_Q3,Qrr_Q3)*Fsw*Vout)</f>
        <v>0.29147519999999999</v>
      </c>
      <c r="BB40" s="354">
        <f>CHOOSE(Table1[[#This Row],[Mode Digit]],0, IF(QrrSky_Q3&gt;0,QrrSky_Q3,Qrr_Q3)*Fsw*Vout,  IF(QrrSky_Q2&gt;0,QrrSky_Q2,Qrr_Q2)*Fsw*(Table1[[#This Row],[Vin]]-Table1[[#This Row],[Iout]]*Rdson1)+IF(QrrSky_Q3&gt;0,QrrSky_Q3,Qrr_Q3)*Fsw*Vout)</f>
        <v>0</v>
      </c>
      <c r="BC40" s="354">
        <f>CHOOSE(Table1[[#This Row],[Mode Digit]], Rs*Table1[[#This Row],[Irms BuSync]]^2, Rs*Table1[[#This Row],[Irms BoCtlr]]^2, Rs*(Table1[[#This Row],[Irms BuSync]]^2+Table1[[#This Row],[Irms BoCtlr]]^2))</f>
        <v>0.14324824271361644</v>
      </c>
      <c r="BD40" s="354">
        <f t="shared" si="1"/>
        <v>1.44</v>
      </c>
      <c r="BE40" s="354">
        <f>IF(Vout&gt;8, Iq*Vout, Iq*Table1[[#This Row],[Vin]])</f>
        <v>4.3799999999999999E-2</v>
      </c>
      <c r="BF40" s="354">
        <f>CHOOSE(Table1[[#This Row],[Mode Digit]], (Qg_Q1+Qg_Q2)*Fsw, (Qg_Q3+Qg_Q4)*Fsw, (Qg_Q1+Qg_Q2+Qg_Q3+Qg_Q4)*Fsw)*IF(Vout&gt;8, Vout, Table1[[#This Row],[Vin]])</f>
        <v>0.47303999999999996</v>
      </c>
      <c r="BG40" s="354">
        <f t="shared" si="2"/>
        <v>0.45605042016806729</v>
      </c>
      <c r="BH40" s="354">
        <f>Table1[[#This Row],[IQ Loss]]+Table1[[#This Row],[Switching Current Loss]]</f>
        <v>0.51683999999999997</v>
      </c>
      <c r="BI4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9.198215318597617</v>
      </c>
      <c r="BJ40">
        <f>Vout*Table1[[#This Row],[Iout]]</f>
        <v>175.2</v>
      </c>
      <c r="BK40" s="550">
        <f>Table1[[#This Row],[Pout]]/(Table1[[#This Row],[Pout]]+Table1[[#This Row],[Total Loss]])</f>
        <v>0.95011765540840387</v>
      </c>
      <c r="BL4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214.95800084499407</v>
      </c>
      <c r="BM40" s="559">
        <f>IF(Table1[[#This Row],[Vin]]&gt;Vout, Table1[[#This Row],[Total Sync Bu MOSFET Loss]]*ThetaJA_Q2, ThetaJA_Q3*Table1[[#This Row],[Total Sync Bo MOSFET Loss]])</f>
        <v>52.090325529938347</v>
      </c>
      <c r="BN40" s="9"/>
      <c r="BO40" s="4">
        <f>Table1[[#This Row],[EFF, h]]*100</f>
        <v>95.011765540840386</v>
      </c>
      <c r="BP40" s="354">
        <f>Table1[[#This Row],[Total Inductor Loss]]</f>
        <v>1.5665769569596513</v>
      </c>
      <c r="BQ40" s="354">
        <f>Table1[[#This Row],[Total Control Bu MOSFET Loss]]+Table1[[#This Row],[Total Sync Bu MOSFET Loss]]+Table1[[#This Row],[Total Control Bo MOSFET Loss]]+Table1[[#This Row],[Total Sync Bo MOSFET Loss]]+Table1[[#This Row],[Reverse Recovery Loss MOSFET D BUCK]]+Table1[[#This Row],[Reverse Recovery Loss MOSFET D BOOST]]</f>
        <v>5.4564178072224436</v>
      </c>
      <c r="BR40" s="354">
        <f>Table1[[#This Row],[Total Control Bu MOSFET Loss]]+Table1[[#This Row],[Reverse Recovery Loss MOSFET D BUCK]]*0.66</f>
        <v>3.7750069794165677</v>
      </c>
      <c r="BS40" s="354">
        <f>Table1[[#This Row],[Total Sync Bu MOSFET Loss]]+Table1[[#This Row],[Reverse Recovery Loss MOSFET D BUCK]]*0.33</f>
        <v>0.96435890816563918</v>
      </c>
      <c r="BT40" s="354">
        <f xml:space="preserve"> Table1[[#This Row],[Total Control Bo MOSFET Loss]]+Table1[[#This Row],[Reverse Recovery Loss MOSFET D BOOST]]*0.66</f>
        <v>0</v>
      </c>
      <c r="BU40" s="354">
        <f xml:space="preserve"> Table1[[#This Row],[Total Sync Bo MOSFET Loss]]+Table1[[#This Row],[Reverse Recovery Loss MOSFET D BOOST]]*0.33</f>
        <v>0.71413716764023671</v>
      </c>
      <c r="BV40" s="354">
        <f>Table1[[#This Row],[Isense Shunt Loss]]</f>
        <v>0.14324824271361644</v>
      </c>
      <c r="CA40">
        <v>9.9984319999999993</v>
      </c>
      <c r="CB40">
        <v>2.7269999999999999</v>
      </c>
      <c r="CC40">
        <v>5.115812</v>
      </c>
      <c r="CD40">
        <v>94.558770424517263</v>
      </c>
      <c r="CE40">
        <v>802.77694931200062</v>
      </c>
    </row>
    <row r="41" spans="1:83" x14ac:dyDescent="0.2">
      <c r="A41" s="23" t="s">
        <v>146</v>
      </c>
      <c r="B41" s="5">
        <f>Qgs_Q1*1000000000</f>
        <v>6.2</v>
      </c>
      <c r="C41" s="440" t="s">
        <v>69</v>
      </c>
      <c r="D41" s="21"/>
      <c r="G41">
        <v>32</v>
      </c>
      <c r="H41" s="555">
        <f>VIN_min+(VIN_max-VIN_min)*(Table1[[#This Row],[Step]]/200)</f>
        <v>24.48</v>
      </c>
      <c r="I41" s="4" t="str">
        <f>IF(Mode = 2,IF(Table1[[#This Row],[Vin]]&gt;Vout, "BUCK","BOOST"),IF(Table1[[#This Row],[Vin]]&gt;VIN_BB_to_buck, "BUCK", IF(Table1[[#This Row],[Vin]]&lt;=VIN_boost_to_BB,"BOOST","BUCK-BST")))</f>
        <v>BUCK</v>
      </c>
      <c r="J41">
        <f>IF(Table1[[#This Row],[Mode]]="BOOST",2, IF(Table1[[#This Row],[Mode]]="BUCK", 1,3))</f>
        <v>1</v>
      </c>
      <c r="K41">
        <f t="shared" si="0"/>
        <v>12</v>
      </c>
      <c r="L41" s="4">
        <f>Vout*Table1[[#This Row],[Iout]]/(Table1[[#This Row],[Vin]]*Efficiency)</f>
        <v>7.5335397316821462</v>
      </c>
      <c r="M41" s="711">
        <f>MIN(1/Fsw,CHOOSE(Table1[[#This Row],[Mode Digit]],(Vout+(Rdson2+Rs+Rdcr)*Table1[[#This Row],[Iout]])/(Table1[[#This Row],[Vin]]+(Rs+Rdson2-Rdson1)*Table1[[#This Row],[Iout]])/Fsw,(Vout+(Rdson3+Rdcr)*Table1[[#This Row],[Iin]]-Table1[[#This Row],[Vin]])/(Vout+(Rdson3-Rdson4-Rs)*Table1[[#This Row],[Iin]])/Fsw,t1_Ph_II))</f>
        <v>1.0029919760641914E-6</v>
      </c>
      <c r="N41" s="602">
        <f>CHOOSE(Table1[[#This Row],[Mode Digit]],1/Fsw-Table1[[#This Row],[t1_Ph_II]],1/Fsw-Table1[[#This Row],[t1_Ph_II]],(Vout/Fsw-Table1[[#This Row],[Vin]]*t1_Ph_II)/(Table1[[#This Row],[Vin]]+Vout))</f>
        <v>6.6367469060247524E-7</v>
      </c>
      <c r="O41" s="602">
        <f>1/Fsw-(Table1[[#This Row],[t1_Ph_II]]+Table1[[#This Row],[t2_Ph_I]])</f>
        <v>0</v>
      </c>
      <c r="P4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10.123189256910187</v>
      </c>
      <c r="Q41" s="4">
        <f>CHOOSE(Table1[[#This Row],[Mode Digit]],Table1[[#This Row],[I_0]]+1/Lf*(Table1[[#This Row],[Vin]]-Vout)*Table1[[#This Row],[t1_Ph_II]],Table1[[#This Row],[I_0]]+1/Lf*Table1[[#This Row],[Vin]]*Table1[[#This Row],[t1_Ph_II]],Table1[[#This Row],[I_0]]+(Table1[[#This Row],[Vin]]-Vout)/L*Table1[[#This Row],[t1_Ph_II]])</f>
        <v>13.876810743089813</v>
      </c>
      <c r="R41" s="4">
        <f>CHOOSE(Table1[[#This Row],[Mode Digit]],0,0,Table1[[#This Row],[I_1]]+Table1[[#This Row],[Vin]]/L*Table1[[#This Row],[t2_Ph_I]])</f>
        <v>0</v>
      </c>
      <c r="S41" s="4">
        <f>Fsw*(Table1[[#This Row],[I_0]]*Table1[[#This Row],[t1_Ph_II]]+Table1[[#This Row],[I_1]]*Table1[[#This Row],[t2_Ph_I]]+Table1[[#This Row],[I_2]]*Table1[[#This Row],[t3_Ph_III]])</f>
        <v>11.617899403997628</v>
      </c>
      <c r="T41" s="354">
        <f>MIN(1,CHOOSE(Table1[[#This Row],[Mode Digit]],(Vout+(Rdson2+Rs+Rdcr)*Table1[[#This Row],[Iout]])/(Table1[[#This Row],[Vin]]+(Rs+Rdson2-Rdson1)*Table1[[#This Row],[Iout]]),1,Fsw*Table1[[#This Row],[t2_Ph_I]]+Table1[[#This Row],[t1_Ph_II]]))</f>
        <v>0.60179518563851486</v>
      </c>
      <c r="U41" s="354">
        <f>MIN(1,CHOOSE(Table1[[#This Row],[Mode Digit]],0,(Vout+(Rdson3+Rdcr)*Table1[[#This Row],[Iin]]-Table1[[#This Row],[Vin]])/(Vout+(Rdson3-Rdson4-Rs)*Table1[[#This Row],[Iin]]),Fsw*Table1[[#This Row],[t1_Ph_II]]+Table1[[#This Row],[t3_Ph_III]]))</f>
        <v>0</v>
      </c>
      <c r="V41" s="4">
        <f>MAX(Table1[[#This Row],[I_0]:[I_2]])-MIN(Table1[[#This Row],[I_0]:[I_1]])</f>
        <v>3.7536214861796253</v>
      </c>
      <c r="W4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12.048823159204904</v>
      </c>
      <c r="X41" s="354">
        <f>(Table1[[#This Row],[Irms Lf]]^2*Rdcr*(1+Ltc*Ta-Ltc*25))/(1-Table1[[#This Row],[Irms Lf]]^2*Rdcr*Ltc*ThetaCa)</f>
        <v>0.90282502589724067</v>
      </c>
      <c r="Y41" s="354">
        <f>ABS(7.759*10^-3*Fsw^0.9458*(0.00787*Table1[[#This Row],[Ripple Current pk-pk]])^2.304)</f>
        <v>0.67708140300810482</v>
      </c>
      <c r="Z41" s="354">
        <f>Table1[[#This Row],[DCR    Loss]]+Table1[[#This Row],[Core Loss]]</f>
        <v>1.5799064289053455</v>
      </c>
      <c r="AA41" s="4">
        <f>IF(Table1[[#This Row],[Vin]]&gt;Vout, Table1[[#This Row],[Ripple Current pk-pk]]/SQRT(12), SQRT(Table1[[#This Row],[Duty Cycle BOOST Leg]]/(1-Table1[[#This Row],[Duty Cycle BOOST Leg]]))*SQRT(Table1[[#This Row],[Iout]]^2+(Table1[[#This Row],[Ripple Current pk-pk]]^2)/12))</f>
        <v>1.0835771877408851</v>
      </c>
      <c r="AB41" s="354">
        <f>RCoutEsr*Table1[[#This Row],[Irms Cout]]^2</f>
        <v>5.8706976089622264E-3</v>
      </c>
      <c r="AC41" s="354">
        <f>Table1[[#This Row],[Cout ESR Loss]]</f>
        <v>5.8706976089622264E-3</v>
      </c>
      <c r="AD41" s="354">
        <f>IF(Table1[[#This Row],[Vin]]&gt;Vout, SQRT(Table1[[#This Row],[Duty Cycle BUCK Leg]]*(1-Table1[[#This Row],[Duty Cycle BUCK Leg]]))*SQRT(Table1[[#This Row],[Iout]]^2+(Table1[[#This Row],[Ripple Current pk-pk]]^2)/12), Table1[[#This Row],[Ripple Current pk-pk]]/SQRT(12))</f>
        <v>5.8982372559687235</v>
      </c>
      <c r="AE41" s="354">
        <f>RCinEsr*Table1[[#This Row],[Irms Cin]]^2</f>
        <v>6.9578405455394912E-2</v>
      </c>
      <c r="AF41" s="549">
        <f>Table1[[#This Row],[Cin ESR Loss]]</f>
        <v>6.9578405455394912E-2</v>
      </c>
      <c r="AG4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9.3469298833054673</v>
      </c>
      <c r="AH41" s="354">
        <f>Rdson1*Table1[[#This Row],[Irms BuCtrl]]^2</f>
        <v>0.36693341262240087</v>
      </c>
      <c r="AI41" s="354">
        <f>CHOOSE(Table1[[#This Row],[Mode Digit]], (Table1[[#This Row],[Vin]]*Table1[[#This Row],[Iout]]/2)*(Fsw)*(Tr_buck+Tf_buck), 0, (Table1[[#This Row],[Vin]]*Table1[[#This Row],[Avg IL]]/2)*(Fsw/1)*(Tr_buck+Tf_buck))</f>
        <v>2.9130319531218434</v>
      </c>
      <c r="AJ41">
        <f>IF(Table1[[#This Row],[Vin]]&gt;Vout, IF(Table1[[#This Row],[Iout]]&gt;Table1[[#This Row],[Ripple Current pk-pk]]/2,0,ABS(Table1[[#This Row],[Iout]]-Table1[[#This Row],[Ripple Current pk-pk]]/2)*Vsd_Q1*Deadtime*Fsw),0)</f>
        <v>0</v>
      </c>
      <c r="AK41" s="354">
        <f>(Table1[[#This Row],[Dead Time Loss BuCtrl]]+Table1[[#This Row],[Transition Loss BuCtrl]]+Table1[[#This Row],[RDS(on) Loss BuCtrl]]*(1+RdsonTopTc*Ta-RdsonTopTc*25))/(1-Table1[[#This Row],[RDS(on) Loss BuCtrl]]*RdsonTopTc*ThetaJA_Q1)</f>
        <v>3.5967057273616909</v>
      </c>
      <c r="AL41" s="354">
        <f>CHOOSE(Table1[[#This Row],[Mode Digit]],SQRT((Fsw*(Table1[[#This Row],[t2_Ph_I]]+0))*((Table1[[#This Row],[I_0]]*Table1[[#This Row],[I_1]]+((Table1[[#This Row],[I_0]]-Table1[[#This Row],[I_1]])^2)/3))),0,SQRT((Fsw*(Table1[[#This Row],[t3_Ph_III]]+0))*((Table1[[#This Row],[I_0]]*Table1[[#This Row],[I_2]]+((Table1[[#This Row],[I_0]]-Table1[[#This Row],[I_2]])^2)/3))))</f>
        <v>7.603225715337123</v>
      </c>
      <c r="AM41" s="354">
        <f>Rdson2*Table1[[#This Row],[Irms BuSync]]^2</f>
        <v>0.24279797336912762</v>
      </c>
      <c r="AN4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41" s="354">
        <f>(Table1[[#This Row],[Deadtime Loss BuSync]]+Table1[[#This Row],[RDS(on) Loss BuSync]]*(1+RdsonBotTc*Ta-RdsonBotTc*25))/(1-Table1[[#This Row],[RDS(on) Loss BuSync]]*RdsonBotTc*ThetaJA_Q2)</f>
        <v>0.87091918083878606</v>
      </c>
      <c r="AP41" s="354">
        <f>CHOOSE(Table1[[#This Row],[Mode Digit]],0,SQRT((Fsw*(Table1[[#This Row],[t1_Ph_II]]+0))*((Table1[[#This Row],[I_0]]*Table1[[#This Row],[I_1]]+((Table1[[#This Row],[I_0]]-Table1[[#This Row],[I_1]])^2)/3))),SQRT((Fsw*(Table1[[#This Row],[t2_Ph_I]]+0))*((Table1[[#This Row],[I_1]]*Table1[[#This Row],[I_2]]+((Table1[[#This Row],[I_1]]-Table1[[#This Row],[I_2]])^2)/3))))</f>
        <v>0</v>
      </c>
      <c r="AQ41" s="354">
        <f>Rdson4*Table1[[#This Row],[Irms BoCtlr]]^2</f>
        <v>0</v>
      </c>
      <c r="AR41" s="354">
        <f>CHOOSE(Table1[[#This Row],[Mode Digit]], 0, (Vout*Table1[[#This Row],[Iin]]/2)*(Fsw)*(Tr_boost+Tf_boost), (Vout*Iout/2)*(Fsw/1)*(Tr_boost+Tf_boost))</f>
        <v>0</v>
      </c>
      <c r="AS41">
        <f>IF(Table1[[#This Row],[Vin]]&gt;Vout, 0, IF(Table1[[#This Row],[Iin]]&gt;Table1[[#This Row],[Ripple Current pk-pk]]/2,0,ABS(Table1[[#This Row],[Iin]]-Table1[[#This Row],[Ripple Current pk-pk]]/2)*Vsd_Q4*Deadtime*Fsw))</f>
        <v>0</v>
      </c>
      <c r="AT41" s="354">
        <f>(Table1[[#This Row],[Dead Time Loss BoCtlr]]+Table1[[#This Row],[Transition Loss BoCtlr]]+Table1[[#This Row],[RDS(on) Loss BoCtlr]]*(1+RdsonTopTc*Ta-RdsonTopTc*25))/(1-Table1[[#This Row],[RDS(on) Loss BoCtlr]]*RdsonTopTc*ThetaJA_Q4)</f>
        <v>0</v>
      </c>
      <c r="AU4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12.048823159204904</v>
      </c>
      <c r="AV41" s="354">
        <f>Rdson3*Table1[[#This Row],[Irms BoSync]]^2</f>
        <v>0.60973138599152843</v>
      </c>
      <c r="AW4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41" s="354">
        <f>(Table1[[#This Row],[Deadtime Loss BoSync]]+Table1[[#This Row],[RDS(on) Loss BoSync]]*(1+RdsonBotTc*Ta-RdsonBotTc*25))/(1-Table1[[#This Row],[RDS(on) Loss BoSync]]*RdsonBotTc*ThetaJA_Q3)</f>
        <v>0.71425180419620959</v>
      </c>
      <c r="AY41" s="354">
        <f>CHOOSE(Table1[[#This Row],[Mode Digit]], Rdson3*Table1[[#This Row],[Irms Lf]]^2, Rdson1*Table1[[#This Row],[Irms Lf]]^2, 0)</f>
        <v>0.60973138599152843</v>
      </c>
      <c r="AZ41" s="354">
        <f>CHOOSE(Table1[[#This Row],[Mode Digit]], 2*Deadtime*Fsw*IF(VfdSky_Q2&gt;0,VfdSky_Q2,0)*Table1[[#This Row],[Iout]], 2*Deadtime*Fsw*IF(VfdSky_Q3&gt;0,VfdSky_Q3,0)*Table1[[#This Row],[Iin]], 2*Deadtime*Fsw*IF(VfdSky_Q2&gt;0,VfdSky_Q2,0)*Table1[[#This Row],[Iout]]+2*Deadtime*Fsw*IF(VfdSky_Q3&gt;0,VfdSky_Q3,0)*Table1[[#This Row],[Iin]])</f>
        <v>0</v>
      </c>
      <c r="BA41" s="354">
        <f>CHOOSE(Table1[[#This Row],[Mode Digit]], IF(QrrSky_Q2&gt;0,QrrSky_Q2,Qrr_Q2)*Fsw*(Table1[[#This Row],[Vin]]-Table1[[#This Row],[Iout]]*Rdson1),0,  IF(QrrSky_Q2&gt;0,QrrSky_Q2,Qrr_Q2)*Fsw*(Table1[[#This Row],[Vin]]-Table1[[#This Row],[Iout]]*Rdson1)+IF(QrrSky_Q3&gt;0,QrrSky_Q3,Qrr_Q3)*Fsw*Vout)</f>
        <v>0.2931552</v>
      </c>
      <c r="BB41" s="354">
        <f>CHOOSE(Table1[[#This Row],[Mode Digit]],0, IF(QrrSky_Q3&gt;0,QrrSky_Q3,Qrr_Q3)*Fsw*Vout,  IF(QrrSky_Q2&gt;0,QrrSky_Q2,Qrr_Q2)*Fsw*(Table1[[#This Row],[Vin]]-Table1[[#This Row],[Iout]]*Rdson1)+IF(QrrSky_Q3&gt;0,QrrSky_Q3,Qrr_Q3)*Fsw*Vout)</f>
        <v>0</v>
      </c>
      <c r="BC41" s="354">
        <f>CHOOSE(Table1[[#This Row],[Mode Digit]], Rs*Table1[[#This Row],[Irms BuSync]]^2, Rs*Table1[[#This Row],[Irms BoCtlr]]^2, Rs*(Table1[[#This Row],[Irms BuSync]]^2+Table1[[#This Row],[Irms BoCtlr]]^2))</f>
        <v>0.14452260319590926</v>
      </c>
      <c r="BD41" s="354">
        <f t="shared" si="1"/>
        <v>1.44</v>
      </c>
      <c r="BE41" s="354">
        <f>IF(Vout&gt;8, Iq*Vout, Iq*Table1[[#This Row],[Vin]])</f>
        <v>4.3799999999999999E-2</v>
      </c>
      <c r="BF41" s="354">
        <f>CHOOSE(Table1[[#This Row],[Mode Digit]], (Qg_Q1+Qg_Q2)*Fsw, (Qg_Q3+Qg_Q4)*Fsw, (Qg_Q1+Qg_Q2+Qg_Q3+Qg_Q4)*Fsw)*IF(Vout&gt;8, Vout, Table1[[#This Row],[Vin]])</f>
        <v>0.47303999999999996</v>
      </c>
      <c r="BG41" s="354">
        <f t="shared" si="2"/>
        <v>0.45605042016806729</v>
      </c>
      <c r="BH41" s="354">
        <f>Table1[[#This Row],[IQ Loss]]+Table1[[#This Row],[Switching Current Loss]]</f>
        <v>0.51683999999999997</v>
      </c>
      <c r="BI4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9.2317500475622989</v>
      </c>
      <c r="BJ41">
        <f>Vout*Table1[[#This Row],[Iout]]</f>
        <v>175.2</v>
      </c>
      <c r="BK41" s="550">
        <f>Table1[[#This Row],[Pout]]/(Table1[[#This Row],[Pout]]+Table1[[#This Row],[Total Loss]])</f>
        <v>0.94994489807106663</v>
      </c>
      <c r="BL4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215.80234364170144</v>
      </c>
      <c r="BM41" s="559">
        <f>IF(Table1[[#This Row],[Vin]]&gt;Vout, Table1[[#This Row],[Total Sync Bu MOSFET Loss]]*ThetaJA_Q2, ThetaJA_Q3*Table1[[#This Row],[Total Sync Bo MOSFET Loss]])</f>
        <v>52.255150850327162</v>
      </c>
      <c r="BN41" s="9"/>
      <c r="BO41" s="4">
        <f>Table1[[#This Row],[EFF, h]]*100</f>
        <v>94.99448980710666</v>
      </c>
      <c r="BP41" s="354">
        <f>Table1[[#This Row],[Total Inductor Loss]]</f>
        <v>1.5799064289053455</v>
      </c>
      <c r="BQ41" s="354">
        <f>Table1[[#This Row],[Total Control Bu MOSFET Loss]]+Table1[[#This Row],[Total Sync Bu MOSFET Loss]]+Table1[[#This Row],[Total Control Bo MOSFET Loss]]+Table1[[#This Row],[Total Sync Bo MOSFET Loss]]+Table1[[#This Row],[Reverse Recovery Loss MOSFET D BUCK]]+Table1[[#This Row],[Reverse Recovery Loss MOSFET D BOOST]]</f>
        <v>5.4750319123966866</v>
      </c>
      <c r="BR41" s="354">
        <f>Table1[[#This Row],[Total Control Bu MOSFET Loss]]+Table1[[#This Row],[Reverse Recovery Loss MOSFET D BUCK]]*0.66</f>
        <v>3.7901881593616911</v>
      </c>
      <c r="BS41" s="354">
        <f>Table1[[#This Row],[Total Sync Bu MOSFET Loss]]+Table1[[#This Row],[Reverse Recovery Loss MOSFET D BUCK]]*0.33</f>
        <v>0.96766039683878602</v>
      </c>
      <c r="BT41" s="354">
        <f xml:space="preserve"> Table1[[#This Row],[Total Control Bo MOSFET Loss]]+Table1[[#This Row],[Reverse Recovery Loss MOSFET D BOOST]]*0.66</f>
        <v>0</v>
      </c>
      <c r="BU41" s="354">
        <f xml:space="preserve"> Table1[[#This Row],[Total Sync Bo MOSFET Loss]]+Table1[[#This Row],[Reverse Recovery Loss MOSFET D BOOST]]*0.33</f>
        <v>0.71425180419620959</v>
      </c>
      <c r="BV41" s="354">
        <f>Table1[[#This Row],[Isense Shunt Loss]]</f>
        <v>0.14452260319590926</v>
      </c>
      <c r="CA41">
        <v>9.9985180000000007</v>
      </c>
      <c r="CB41">
        <v>3.1859999999999999</v>
      </c>
      <c r="CC41">
        <v>5.1148889999999998</v>
      </c>
      <c r="CD41">
        <v>94.58411932633652</v>
      </c>
      <c r="CE41">
        <v>933.10990806000302</v>
      </c>
    </row>
    <row r="42" spans="1:83" x14ac:dyDescent="0.2">
      <c r="A42" s="23" t="s">
        <v>93</v>
      </c>
      <c r="B42" s="5">
        <f>Rgate1</f>
        <v>4.7</v>
      </c>
      <c r="C42" s="444" t="s">
        <v>118</v>
      </c>
      <c r="D42" s="21" t="s">
        <v>102</v>
      </c>
      <c r="G42">
        <v>33</v>
      </c>
      <c r="H42" s="555">
        <f>VIN_min+(VIN_max-VIN_min)*(Table1[[#This Row],[Step]]/200)</f>
        <v>24.62</v>
      </c>
      <c r="I42" s="4" t="str">
        <f>IF(Mode = 2,IF(Table1[[#This Row],[Vin]]&gt;Vout, "BUCK","BOOST"),IF(Table1[[#This Row],[Vin]]&gt;VIN_BB_to_buck, "BUCK", IF(Table1[[#This Row],[Vin]]&lt;=VIN_boost_to_BB,"BOOST","BUCK-BST")))</f>
        <v>BUCK</v>
      </c>
      <c r="J42">
        <f>IF(Table1[[#This Row],[Mode]]="BOOST",2, IF(Table1[[#This Row],[Mode]]="BUCK", 1,3))</f>
        <v>1</v>
      </c>
      <c r="K42">
        <f t="shared" si="0"/>
        <v>12</v>
      </c>
      <c r="L42" s="4">
        <f>Vout*Table1[[#This Row],[Iout]]/(Table1[[#This Row],[Vin]]*Efficiency)</f>
        <v>7.4907007567660004</v>
      </c>
      <c r="M42" s="711">
        <f>MIN(1/Fsw,CHOOSE(Table1[[#This Row],[Mode Digit]],(Vout+(Rdson2+Rs+Rdcr)*Table1[[#This Row],[Iout]])/(Table1[[#This Row],[Vin]]+(Rs+Rdson2-Rdson1)*Table1[[#This Row],[Iout]])/Fsw,(Vout+(Rdson3+Rdcr)*Table1[[#This Row],[Iin]]-Table1[[#This Row],[Vin]])/(Vout+(Rdson3-Rdson4-Rs)*Table1[[#This Row],[Iin]])/Fsw,t1_Ph_II))</f>
        <v>9.9729546991210259E-7</v>
      </c>
      <c r="N42" s="602">
        <f>CHOOSE(Table1[[#This Row],[Mode Digit]],1/Fsw-Table1[[#This Row],[t1_Ph_II]],1/Fsw-Table1[[#This Row],[t1_Ph_II]],(Vout/Fsw-Table1[[#This Row],[Vin]]*t1_Ph_II)/(Table1[[#This Row],[Vin]]+Vout))</f>
        <v>6.6937119675456407E-7</v>
      </c>
      <c r="O42" s="602">
        <f>1/Fsw-(Table1[[#This Row],[t1_Ph_II]]+Table1[[#This Row],[t2_Ph_I]])</f>
        <v>0</v>
      </c>
      <c r="P4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10.107405187780442</v>
      </c>
      <c r="Q42" s="4">
        <f>CHOOSE(Table1[[#This Row],[Mode Digit]],Table1[[#This Row],[I_0]]+1/Lf*(Table1[[#This Row],[Vin]]-Vout)*Table1[[#This Row],[t1_Ph_II]],Table1[[#This Row],[I_0]]+1/Lf*Table1[[#This Row],[Vin]]*Table1[[#This Row],[t1_Ph_II]],Table1[[#This Row],[I_0]]+(Table1[[#This Row],[Vin]]-Vout)/L*Table1[[#This Row],[t1_Ph_II]])</f>
        <v>13.89259481221956</v>
      </c>
      <c r="R42" s="4">
        <f>CHOOSE(Table1[[#This Row],[Mode Digit]],0,0,Table1[[#This Row],[I_1]]+Table1[[#This Row],[Vin]]/L*Table1[[#This Row],[t2_Ph_I]])</f>
        <v>0</v>
      </c>
      <c r="S42" s="4">
        <f>Fsw*(Table1[[#This Row],[I_0]]*Table1[[#This Row],[t1_Ph_II]]+Table1[[#This Row],[I_1]]*Table1[[#This Row],[t2_Ph_I]]+Table1[[#This Row],[I_2]]*Table1[[#This Row],[t3_Ph_III]])</f>
        <v>11.627623333092705</v>
      </c>
      <c r="T42" s="354">
        <f>MIN(1,CHOOSE(Table1[[#This Row],[Mode Digit]],(Vout+(Rdson2+Rs+Rdcr)*Table1[[#This Row],[Iout]])/(Table1[[#This Row],[Vin]]+(Rs+Rdson2-Rdson1)*Table1[[#This Row],[Iout]]),1,Fsw*Table1[[#This Row],[t2_Ph_I]]+Table1[[#This Row],[t1_Ph_II]]))</f>
        <v>0.59837728194726159</v>
      </c>
      <c r="U42" s="354">
        <f>MIN(1,CHOOSE(Table1[[#This Row],[Mode Digit]],0,(Vout+(Rdson3+Rdcr)*Table1[[#This Row],[Iin]]-Table1[[#This Row],[Vin]])/(Vout+(Rdson3-Rdson4-Rs)*Table1[[#This Row],[Iin]]),Fsw*Table1[[#This Row],[t1_Ph_II]]+Table1[[#This Row],[t3_Ph_III]]))</f>
        <v>0</v>
      </c>
      <c r="V42" s="4">
        <f>MAX(Table1[[#This Row],[I_0]:[I_2]])-MIN(Table1[[#This Row],[I_0]:[I_1]])</f>
        <v>3.7851896244391181</v>
      </c>
      <c r="W4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12.04964612375595</v>
      </c>
      <c r="X42" s="354">
        <f>(Table1[[#This Row],[Irms Lf]]^2*Rdcr*(1+Ltc*Ta-Ltc*25))/(1-Table1[[#This Row],[Irms Lf]]^2*Rdcr*Ltc*ThetaCa)</f>
        <v>0.90295726976247914</v>
      </c>
      <c r="Y42" s="354">
        <f>ABS(7.759*10^-3*Fsw^0.9458*(0.00787*Table1[[#This Row],[Ripple Current pk-pk]])^2.304)</f>
        <v>0.69027304186731098</v>
      </c>
      <c r="Z42" s="354">
        <f>Table1[[#This Row],[DCR    Loss]]+Table1[[#This Row],[Core Loss]]</f>
        <v>1.5932303116297901</v>
      </c>
      <c r="AA42" s="4">
        <f>IF(Table1[[#This Row],[Vin]]&gt;Vout, Table1[[#This Row],[Ripple Current pk-pk]]/SQRT(12), SQRT(Table1[[#This Row],[Duty Cycle BOOST Leg]]/(1-Table1[[#This Row],[Duty Cycle BOOST Leg]]))*SQRT(Table1[[#This Row],[Iout]]^2+(Table1[[#This Row],[Ripple Current pk-pk]]^2)/12))</f>
        <v>1.0926901243018516</v>
      </c>
      <c r="AB42" s="354">
        <f>RCoutEsr*Table1[[#This Row],[Irms Cout]]^2</f>
        <v>5.9698585387339799E-3</v>
      </c>
      <c r="AC42" s="354">
        <f>Table1[[#This Row],[Cout ESR Loss]]</f>
        <v>5.9698585387339799E-3</v>
      </c>
      <c r="AD42" s="354">
        <f>IF(Table1[[#This Row],[Vin]]&gt;Vout, SQRT(Table1[[#This Row],[Duty Cycle BUCK Leg]]*(1-Table1[[#This Row],[Duty Cycle BUCK Leg]]))*SQRT(Table1[[#This Row],[Iout]]^2+(Table1[[#This Row],[Ripple Current pk-pk]]^2)/12), Table1[[#This Row],[Ripple Current pk-pk]]/SQRT(12))</f>
        <v>5.9070544824714144</v>
      </c>
      <c r="AE42" s="354">
        <f>RCinEsr*Table1[[#This Row],[Irms Cin]]^2</f>
        <v>6.9786585317771252E-2</v>
      </c>
      <c r="AF42" s="549">
        <f>Table1[[#This Row],[Cin ESR Loss]]</f>
        <v>6.9786585317771252E-2</v>
      </c>
      <c r="AG4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9.320985685302233</v>
      </c>
      <c r="AH42" s="354">
        <f>Rdson1*Table1[[#This Row],[Irms BuCtrl]]^2</f>
        <v>0.36489925141155843</v>
      </c>
      <c r="AI42" s="354">
        <f>CHOOSE(Table1[[#This Row],[Mode Digit]], (Table1[[#This Row],[Vin]]*Table1[[#This Row],[Iout]]/2)*(Fsw)*(Tr_buck+Tf_buck), 0, (Table1[[#This Row],[Vin]]*Table1[[#This Row],[Avg IL]]/2)*(Fsw/1)*(Tr_buck+Tf_buck))</f>
        <v>2.9296914495857753</v>
      </c>
      <c r="AJ42">
        <f>IF(Table1[[#This Row],[Vin]]&gt;Vout, IF(Table1[[#This Row],[Iout]]&gt;Table1[[#This Row],[Ripple Current pk-pk]]/2,0,ABS(Table1[[#This Row],[Iout]]-Table1[[#This Row],[Ripple Current pk-pk]]/2)*Vsd_Q1*Deadtime*Fsw),0)</f>
        <v>0</v>
      </c>
      <c r="AK42" s="354">
        <f>(Table1[[#This Row],[Dead Time Loss BuCtrl]]+Table1[[#This Row],[Transition Loss BuCtrl]]+Table1[[#This Row],[RDS(on) Loss BuCtrl]]*(1+RdsonTopTc*Ta-RdsonTopTc*25))/(1-Table1[[#This Row],[RDS(on) Loss BuCtrl]]*RdsonTopTc*ThetaJA_Q1)</f>
        <v>3.6108103823164601</v>
      </c>
      <c r="AL42" s="354">
        <f>CHOOSE(Table1[[#This Row],[Mode Digit]],SQRT((Fsw*(Table1[[#This Row],[t2_Ph_I]]+0))*((Table1[[#This Row],[I_0]]*Table1[[#This Row],[I_1]]+((Table1[[#This Row],[I_0]]-Table1[[#This Row],[I_1]])^2)/3))),0,SQRT((Fsw*(Table1[[#This Row],[t3_Ph_III]]+0))*((Table1[[#This Row],[I_0]]*Table1[[#This Row],[I_2]]+((Table1[[#This Row],[I_0]]-Table1[[#This Row],[I_2]])^2)/3))))</f>
        <v>7.6363078488322929</v>
      </c>
      <c r="AM42" s="354">
        <f>Rdson2*Table1[[#This Row],[Irms BuSync]]^2</f>
        <v>0.2449154297609783</v>
      </c>
      <c r="AN4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42" s="354">
        <f>(Table1[[#This Row],[Deadtime Loss BuSync]]+Table1[[#This Row],[RDS(on) Loss BuSync]]*(1+RdsonBotTc*Ta-RdsonBotTc*25))/(1-Table1[[#This Row],[RDS(on) Loss BuSync]]*RdsonBotTc*ThetaJA_Q2)</f>
        <v>0.87363910561420688</v>
      </c>
      <c r="AP42" s="354">
        <f>CHOOSE(Table1[[#This Row],[Mode Digit]],0,SQRT((Fsw*(Table1[[#This Row],[t1_Ph_II]]+0))*((Table1[[#This Row],[I_0]]*Table1[[#This Row],[I_1]]+((Table1[[#This Row],[I_0]]-Table1[[#This Row],[I_1]])^2)/3))),SQRT((Fsw*(Table1[[#This Row],[t2_Ph_I]]+0))*((Table1[[#This Row],[I_1]]*Table1[[#This Row],[I_2]]+((Table1[[#This Row],[I_1]]-Table1[[#This Row],[I_2]])^2)/3))))</f>
        <v>0</v>
      </c>
      <c r="AQ42" s="354">
        <f>Rdson4*Table1[[#This Row],[Irms BoCtlr]]^2</f>
        <v>0</v>
      </c>
      <c r="AR42" s="354">
        <f>CHOOSE(Table1[[#This Row],[Mode Digit]], 0, (Vout*Table1[[#This Row],[Iin]]/2)*(Fsw)*(Tr_boost+Tf_boost), (Vout*Iout/2)*(Fsw/1)*(Tr_boost+Tf_boost))</f>
        <v>0</v>
      </c>
      <c r="AS42">
        <f>IF(Table1[[#This Row],[Vin]]&gt;Vout, 0, IF(Table1[[#This Row],[Iin]]&gt;Table1[[#This Row],[Ripple Current pk-pk]]/2,0,ABS(Table1[[#This Row],[Iin]]-Table1[[#This Row],[Ripple Current pk-pk]]/2)*Vsd_Q4*Deadtime*Fsw))</f>
        <v>0</v>
      </c>
      <c r="AT42" s="354">
        <f>(Table1[[#This Row],[Dead Time Loss BoCtlr]]+Table1[[#This Row],[Transition Loss BoCtlr]]+Table1[[#This Row],[RDS(on) Loss BoCtlr]]*(1+RdsonTopTc*Ta-RdsonTopTc*25))/(1-Table1[[#This Row],[RDS(on) Loss BoCtlr]]*RdsonTopTc*ThetaJA_Q4)</f>
        <v>0</v>
      </c>
      <c r="AU4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12.04964612375595</v>
      </c>
      <c r="AV42" s="354">
        <f>Rdson3*Table1[[#This Row],[Irms BoSync]]^2</f>
        <v>0.60981468117253668</v>
      </c>
      <c r="AW4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42" s="354">
        <f>(Table1[[#This Row],[Deadtime Loss BoSync]]+Table1[[#This Row],[RDS(on) Loss BoSync]]*(1+RdsonBotTc*Ta-RdsonBotTc*25))/(1-Table1[[#This Row],[RDS(on) Loss BoSync]]*RdsonBotTc*ThetaJA_Q3)</f>
        <v>0.71436610667187483</v>
      </c>
      <c r="AY42" s="354">
        <f>CHOOSE(Table1[[#This Row],[Mode Digit]], Rdson3*Table1[[#This Row],[Irms Lf]]^2, Rdson1*Table1[[#This Row],[Irms Lf]]^2, 0)</f>
        <v>0.60981468117253668</v>
      </c>
      <c r="AZ42" s="354">
        <f>CHOOSE(Table1[[#This Row],[Mode Digit]], 2*Deadtime*Fsw*IF(VfdSky_Q2&gt;0,VfdSky_Q2,0)*Table1[[#This Row],[Iout]], 2*Deadtime*Fsw*IF(VfdSky_Q3&gt;0,VfdSky_Q3,0)*Table1[[#This Row],[Iin]], 2*Deadtime*Fsw*IF(VfdSky_Q2&gt;0,VfdSky_Q2,0)*Table1[[#This Row],[Iout]]+2*Deadtime*Fsw*IF(VfdSky_Q3&gt;0,VfdSky_Q3,0)*Table1[[#This Row],[Iin]])</f>
        <v>0</v>
      </c>
      <c r="BA42" s="354">
        <f>CHOOSE(Table1[[#This Row],[Mode Digit]], IF(QrrSky_Q2&gt;0,QrrSky_Q2,Qrr_Q2)*Fsw*(Table1[[#This Row],[Vin]]-Table1[[#This Row],[Iout]]*Rdson1),0,  IF(QrrSky_Q2&gt;0,QrrSky_Q2,Qrr_Q2)*Fsw*(Table1[[#This Row],[Vin]]-Table1[[#This Row],[Iout]]*Rdson1)+IF(QrrSky_Q3&gt;0,QrrSky_Q3,Qrr_Q3)*Fsw*Vout)</f>
        <v>0.29483520000000002</v>
      </c>
      <c r="BB42" s="354">
        <f>CHOOSE(Table1[[#This Row],[Mode Digit]],0, IF(QrrSky_Q3&gt;0,QrrSky_Q3,Qrr_Q3)*Fsw*Vout,  IF(QrrSky_Q2&gt;0,QrrSky_Q2,Qrr_Q2)*Fsw*(Table1[[#This Row],[Vin]]-Table1[[#This Row],[Iout]]*Rdson1)+IF(QrrSky_Q3&gt;0,QrrSky_Q3,Qrr_Q3)*Fsw*Vout)</f>
        <v>0</v>
      </c>
      <c r="BC42" s="354">
        <f>CHOOSE(Table1[[#This Row],[Mode Digit]], Rs*Table1[[#This Row],[Irms BuSync]]^2, Rs*Table1[[#This Row],[Irms BoCtlr]]^2, Rs*(Table1[[#This Row],[Irms BuSync]]^2+Table1[[#This Row],[Irms BoCtlr]]^2))</f>
        <v>0.14578299390534422</v>
      </c>
      <c r="BD42" s="354">
        <f t="shared" si="1"/>
        <v>1.44</v>
      </c>
      <c r="BE42" s="354">
        <f>IF(Vout&gt;8, Iq*Vout, Iq*Table1[[#This Row],[Vin]])</f>
        <v>4.3799999999999999E-2</v>
      </c>
      <c r="BF42" s="354">
        <f>CHOOSE(Table1[[#This Row],[Mode Digit]], (Qg_Q1+Qg_Q2)*Fsw, (Qg_Q3+Qg_Q4)*Fsw, (Qg_Q1+Qg_Q2+Qg_Q3+Qg_Q4)*Fsw)*IF(Vout&gt;8, Vout, Table1[[#This Row],[Vin]])</f>
        <v>0.47303999999999996</v>
      </c>
      <c r="BG42" s="354">
        <f t="shared" si="2"/>
        <v>0.45605042016806729</v>
      </c>
      <c r="BH42" s="354">
        <f>Table1[[#This Row],[IQ Loss]]+Table1[[#This Row],[Switching Current Loss]]</f>
        <v>0.51683999999999997</v>
      </c>
      <c r="BI4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9.2652605439941809</v>
      </c>
      <c r="BJ42">
        <f>Vout*Table1[[#This Row],[Iout]]</f>
        <v>175.2</v>
      </c>
      <c r="BK42" s="550">
        <f>Table1[[#This Row],[Pout]]/(Table1[[#This Row],[Pout]]+Table1[[#This Row],[Total Loss]])</f>
        <v>0.94977232831444458</v>
      </c>
      <c r="BL4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216.64862293898761</v>
      </c>
      <c r="BM42" s="559">
        <f>IF(Table1[[#This Row],[Vin]]&gt;Vout, Table1[[#This Row],[Total Sync Bu MOSFET Loss]]*ThetaJA_Q2, ThetaJA_Q3*Table1[[#This Row],[Total Sync Bo MOSFET Loss]])</f>
        <v>52.418346336852416</v>
      </c>
      <c r="BN42" s="9"/>
      <c r="BO42" s="4">
        <f>Table1[[#This Row],[EFF, h]]*100</f>
        <v>94.977232831444454</v>
      </c>
      <c r="BP42" s="354">
        <f>Table1[[#This Row],[Total Inductor Loss]]</f>
        <v>1.5932303116297901</v>
      </c>
      <c r="BQ42" s="354">
        <f>Table1[[#This Row],[Total Control Bu MOSFET Loss]]+Table1[[#This Row],[Total Sync Bu MOSFET Loss]]+Table1[[#This Row],[Total Control Bo MOSFET Loss]]+Table1[[#This Row],[Total Sync Bo MOSFET Loss]]+Table1[[#This Row],[Reverse Recovery Loss MOSFET D BUCK]]+Table1[[#This Row],[Reverse Recovery Loss MOSFET D BOOST]]</f>
        <v>5.4936507946025417</v>
      </c>
      <c r="BR42" s="354">
        <f>Table1[[#This Row],[Total Control Bu MOSFET Loss]]+Table1[[#This Row],[Reverse Recovery Loss MOSFET D BUCK]]*0.66</f>
        <v>3.8054016143164602</v>
      </c>
      <c r="BS42" s="354">
        <f>Table1[[#This Row],[Total Sync Bu MOSFET Loss]]+Table1[[#This Row],[Reverse Recovery Loss MOSFET D BUCK]]*0.33</f>
        <v>0.97093472161420691</v>
      </c>
      <c r="BT42" s="354">
        <f xml:space="preserve"> Table1[[#This Row],[Total Control Bo MOSFET Loss]]+Table1[[#This Row],[Reverse Recovery Loss MOSFET D BOOST]]*0.66</f>
        <v>0</v>
      </c>
      <c r="BU42" s="354">
        <f xml:space="preserve"> Table1[[#This Row],[Total Sync Bo MOSFET Loss]]+Table1[[#This Row],[Reverse Recovery Loss MOSFET D BOOST]]*0.33</f>
        <v>0.71436610667187483</v>
      </c>
      <c r="BV42" s="354">
        <f>Table1[[#This Row],[Isense Shunt Loss]]</f>
        <v>0.14578299390534422</v>
      </c>
      <c r="CA42">
        <v>9.9984190000000002</v>
      </c>
      <c r="CB42">
        <v>3.6920000000000002</v>
      </c>
      <c r="CC42">
        <v>5.1137540000000001</v>
      </c>
      <c r="CD42">
        <v>94.441363374789603</v>
      </c>
      <c r="CE42">
        <v>1111.2391205219994</v>
      </c>
    </row>
    <row r="43" spans="1:83" x14ac:dyDescent="0.2">
      <c r="A43" s="23" t="s">
        <v>73</v>
      </c>
      <c r="B43" s="5">
        <f>Gfs_Q1</f>
        <v>80</v>
      </c>
      <c r="C43" s="440" t="s">
        <v>70</v>
      </c>
      <c r="D43" s="21" t="s">
        <v>103</v>
      </c>
      <c r="G43">
        <v>34</v>
      </c>
      <c r="H43" s="555">
        <f>VIN_min+(VIN_max-VIN_min)*(Table1[[#This Row],[Step]]/200)</f>
        <v>24.76</v>
      </c>
      <c r="I43" s="4" t="str">
        <f>IF(Mode = 2,IF(Table1[[#This Row],[Vin]]&gt;Vout, "BUCK","BOOST"),IF(Table1[[#This Row],[Vin]]&gt;VIN_BB_to_buck, "BUCK", IF(Table1[[#This Row],[Vin]]&lt;=VIN_boost_to_BB,"BOOST","BUCK-BST")))</f>
        <v>BUCK</v>
      </c>
      <c r="J43">
        <f>IF(Table1[[#This Row],[Mode]]="BOOST",2, IF(Table1[[#This Row],[Mode]]="BUCK", 1,3))</f>
        <v>1</v>
      </c>
      <c r="K43">
        <f t="shared" si="0"/>
        <v>12</v>
      </c>
      <c r="L43" s="4">
        <f>Vout*Table1[[#This Row],[Iout]]/(Table1[[#This Row],[Vin]]*Efficiency)</f>
        <v>7.4483462290621532</v>
      </c>
      <c r="M43" s="711">
        <f>MIN(1/Fsw,CHOOSE(Table1[[#This Row],[Mode Digit]],(Vout+(Rdson2+Rs+Rdcr)*Table1[[#This Row],[Iout]])/(Table1[[#This Row],[Vin]]+(Rs+Rdson2-Rdson1)*Table1[[#This Row],[Iout]])/Fsw,(Vout+(Rdson3+Rdcr)*Table1[[#This Row],[Iin]]-Table1[[#This Row],[Vin]])/(Vout+(Rdson3-Rdson4-Rs)*Table1[[#This Row],[Iin]])/Fsw,t1_Ph_II))</f>
        <v>9.9166330509614073E-7</v>
      </c>
      <c r="N43" s="602">
        <f>CHOOSE(Table1[[#This Row],[Mode Digit]],1/Fsw-Table1[[#This Row],[t1_Ph_II]],1/Fsw-Table1[[#This Row],[t1_Ph_II]],(Vout/Fsw-Table1[[#This Row],[Vin]]*t1_Ph_II)/(Table1[[#This Row],[Vin]]+Vout))</f>
        <v>6.7500336157052594E-7</v>
      </c>
      <c r="O43" s="602">
        <f>1/Fsw-(Table1[[#This Row],[t1_Ph_II]]+Table1[[#This Row],[t2_Ph_I]])</f>
        <v>0</v>
      </c>
      <c r="P4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10.091799397769547</v>
      </c>
      <c r="Q43" s="4">
        <f>CHOOSE(Table1[[#This Row],[Mode Digit]],Table1[[#This Row],[I_0]]+1/Lf*(Table1[[#This Row],[Vin]]-Vout)*Table1[[#This Row],[t1_Ph_II]],Table1[[#This Row],[I_0]]+1/Lf*Table1[[#This Row],[Vin]]*Table1[[#This Row],[t1_Ph_II]],Table1[[#This Row],[I_0]]+(Table1[[#This Row],[Vin]]-Vout)/L*Table1[[#This Row],[t1_Ph_II]])</f>
        <v>13.908200602230453</v>
      </c>
      <c r="R43" s="4">
        <f>CHOOSE(Table1[[#This Row],[Mode Digit]],0,0,Table1[[#This Row],[I_1]]+Table1[[#This Row],[Vin]]/L*Table1[[#This Row],[t2_Ph_I]])</f>
        <v>0</v>
      </c>
      <c r="S43" s="4">
        <f>Fsw*(Table1[[#This Row],[I_0]]*Table1[[#This Row],[t1_Ph_II]]+Table1[[#This Row],[I_1]]*Table1[[#This Row],[t2_Ph_I]]+Table1[[#This Row],[I_2]]*Table1[[#This Row],[t3_Ph_III]])</f>
        <v>11.637449583037297</v>
      </c>
      <c r="T43" s="354">
        <f>MIN(1,CHOOSE(Table1[[#This Row],[Mode Digit]],(Vout+(Rdson2+Rs+Rdcr)*Table1[[#This Row],[Iout]])/(Table1[[#This Row],[Vin]]+(Rs+Rdson2-Rdson1)*Table1[[#This Row],[Iout]]),1,Fsw*Table1[[#This Row],[t2_Ph_I]]+Table1[[#This Row],[t1_Ph_II]]))</f>
        <v>0.59499798305768448</v>
      </c>
      <c r="U43" s="354">
        <f>MIN(1,CHOOSE(Table1[[#This Row],[Mode Digit]],0,(Vout+(Rdson3+Rdcr)*Table1[[#This Row],[Iin]]-Table1[[#This Row],[Vin]])/(Vout+(Rdson3-Rdson4-Rs)*Table1[[#This Row],[Iin]]),Fsw*Table1[[#This Row],[t1_Ph_II]]+Table1[[#This Row],[t3_Ph_III]]))</f>
        <v>0</v>
      </c>
      <c r="V43" s="4">
        <f>MAX(Table1[[#This Row],[I_0]:[I_2]])-MIN(Table1[[#This Row],[I_0]:[I_1]])</f>
        <v>3.8164012044609059</v>
      </c>
      <c r="W4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12.050466512938447</v>
      </c>
      <c r="X43" s="354">
        <f>(Table1[[#This Row],[Irms Lf]]^2*Rdcr*(1+Ltc*Ta-Ltc*25))/(1-Table1[[#This Row],[Irms Lf]]^2*Rdcr*Ltc*ThetaCa)</f>
        <v>0.90308911137409276</v>
      </c>
      <c r="Y43" s="354">
        <f>ABS(7.759*10^-3*Fsw^0.9458*(0.00787*Table1[[#This Row],[Ripple Current pk-pk]])^2.304)</f>
        <v>0.70345749255641965</v>
      </c>
      <c r="Z43" s="354">
        <f>Table1[[#This Row],[DCR    Loss]]+Table1[[#This Row],[Core Loss]]</f>
        <v>1.6065466039305125</v>
      </c>
      <c r="AA43" s="4">
        <f>IF(Table1[[#This Row],[Vin]]&gt;Vout, Table1[[#This Row],[Ripple Current pk-pk]]/SQRT(12), SQRT(Table1[[#This Row],[Duty Cycle BOOST Leg]]/(1-Table1[[#This Row],[Duty Cycle BOOST Leg]]))*SQRT(Table1[[#This Row],[Iout]]^2+(Table1[[#This Row],[Ripple Current pk-pk]]^2)/12))</f>
        <v>1.1017001313655581</v>
      </c>
      <c r="AB43" s="354">
        <f>RCoutEsr*Table1[[#This Row],[Irms Cout]]^2</f>
        <v>6.0687158972544397E-3</v>
      </c>
      <c r="AC43" s="354">
        <f>Table1[[#This Row],[Cout ESR Loss]]</f>
        <v>6.0687158972544397E-3</v>
      </c>
      <c r="AD43" s="354">
        <f>IF(Table1[[#This Row],[Vin]]&gt;Vout, SQRT(Table1[[#This Row],[Duty Cycle BUCK Leg]]*(1-Table1[[#This Row],[Duty Cycle BUCK Leg]]))*SQRT(Table1[[#This Row],[Iout]]^2+(Table1[[#This Row],[Ripple Current pk-pk]]^2)/12), Table1[[#This Row],[Ripple Current pk-pk]]/SQRT(12))</f>
        <v>5.9154828552493237</v>
      </c>
      <c r="AE43" s="354">
        <f>RCinEsr*Table1[[#This Row],[Irms Cin]]^2</f>
        <v>6.9985874821497374E-2</v>
      </c>
      <c r="AF43" s="549">
        <f>Table1[[#This Row],[Cin ESR Loss]]</f>
        <v>6.9985874821497374E-2</v>
      </c>
      <c r="AG4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9.2952613897635956</v>
      </c>
      <c r="AH43" s="354">
        <f>Rdson1*Table1[[#This Row],[Irms BuCtrl]]^2</f>
        <v>0.36288791407692544</v>
      </c>
      <c r="AI43" s="354">
        <f>CHOOSE(Table1[[#This Row],[Mode Digit]], (Table1[[#This Row],[Vin]]*Table1[[#This Row],[Iout]]/2)*(Fsw)*(Tr_buck+Tf_buck), 0, (Table1[[#This Row],[Vin]]*Table1[[#This Row],[Avg IL]]/2)*(Fsw/1)*(Tr_buck+Tf_buck))</f>
        <v>2.9463509460497077</v>
      </c>
      <c r="AJ43">
        <f>IF(Table1[[#This Row],[Vin]]&gt;Vout, IF(Table1[[#This Row],[Iout]]&gt;Table1[[#This Row],[Ripple Current pk-pk]]/2,0,ABS(Table1[[#This Row],[Iout]]-Table1[[#This Row],[Ripple Current pk-pk]]/2)*Vsd_Q1*Deadtime*Fsw),0)</f>
        <v>0</v>
      </c>
      <c r="AK43" s="354">
        <f>(Table1[[#This Row],[Dead Time Loss BuCtrl]]+Table1[[#This Row],[Transition Loss BuCtrl]]+Table1[[#This Row],[RDS(on) Loss BuCtrl]]*(1+RdsonTopTc*Ta-RdsonTopTc*25))/(1-Table1[[#This Row],[RDS(on) Loss BuCtrl]]*RdsonTopTc*ThetaJA_Q1)</f>
        <v>3.6249467036272716</v>
      </c>
      <c r="AL43" s="354">
        <f>CHOOSE(Table1[[#This Row],[Mode Digit]],SQRT((Fsw*(Table1[[#This Row],[t2_Ph_I]]+0))*((Table1[[#This Row],[I_0]]*Table1[[#This Row],[I_1]]+((Table1[[#This Row],[I_0]]-Table1[[#This Row],[I_1]])^2)/3))),0,SQRT((Fsw*(Table1[[#This Row],[t3_Ph_III]]+0))*((Table1[[#This Row],[I_0]]*Table1[[#This Row],[I_2]]+((Table1[[#This Row],[I_0]]-Table1[[#This Row],[I_2]])^2)/3))))</f>
        <v>7.6688890248471475</v>
      </c>
      <c r="AM43" s="354">
        <f>Rdson2*Table1[[#This Row],[Irms BuSync]]^2</f>
        <v>0.24700980727676836</v>
      </c>
      <c r="AN4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43" s="354">
        <f>(Table1[[#This Row],[Deadtime Loss BuSync]]+Table1[[#This Row],[RDS(on) Loss BuSync]]*(1+RdsonBotTc*Ta-RdsonBotTc*25))/(1-Table1[[#This Row],[RDS(on) Loss BuSync]]*RdsonBotTc*ThetaJA_Q2)</f>
        <v>0.87633227582294171</v>
      </c>
      <c r="AP43" s="354">
        <f>CHOOSE(Table1[[#This Row],[Mode Digit]],0,SQRT((Fsw*(Table1[[#This Row],[t1_Ph_II]]+0))*((Table1[[#This Row],[I_0]]*Table1[[#This Row],[I_1]]+((Table1[[#This Row],[I_0]]-Table1[[#This Row],[I_1]])^2)/3))),SQRT((Fsw*(Table1[[#This Row],[t2_Ph_I]]+0))*((Table1[[#This Row],[I_1]]*Table1[[#This Row],[I_2]]+((Table1[[#This Row],[I_1]]-Table1[[#This Row],[I_2]])^2)/3))))</f>
        <v>0</v>
      </c>
      <c r="AQ43" s="354">
        <f>Rdson4*Table1[[#This Row],[Irms BoCtlr]]^2</f>
        <v>0</v>
      </c>
      <c r="AR43" s="354">
        <f>CHOOSE(Table1[[#This Row],[Mode Digit]], 0, (Vout*Table1[[#This Row],[Iin]]/2)*(Fsw)*(Tr_boost+Tf_boost), (Vout*Iout/2)*(Fsw/1)*(Tr_boost+Tf_boost))</f>
        <v>0</v>
      </c>
      <c r="AS43">
        <f>IF(Table1[[#This Row],[Vin]]&gt;Vout, 0, IF(Table1[[#This Row],[Iin]]&gt;Table1[[#This Row],[Ripple Current pk-pk]]/2,0,ABS(Table1[[#This Row],[Iin]]-Table1[[#This Row],[Ripple Current pk-pk]]/2)*Vsd_Q4*Deadtime*Fsw))</f>
        <v>0</v>
      </c>
      <c r="AT43" s="354">
        <f>(Table1[[#This Row],[Dead Time Loss BoCtlr]]+Table1[[#This Row],[Transition Loss BoCtlr]]+Table1[[#This Row],[RDS(on) Loss BoCtlr]]*(1+RdsonTopTc*Ta-RdsonTopTc*25))/(1-Table1[[#This Row],[RDS(on) Loss BoCtlr]]*RdsonTopTc*ThetaJA_Q4)</f>
        <v>0</v>
      </c>
      <c r="AU4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12.050466512938447</v>
      </c>
      <c r="AV43" s="354">
        <f>Rdson3*Table1[[#This Row],[Irms BoSync]]^2</f>
        <v>0.60989772135369391</v>
      </c>
      <c r="AW4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43" s="354">
        <f>(Table1[[#This Row],[Deadtime Loss BoSync]]+Table1[[#This Row],[RDS(on) Loss BoSync]]*(1+RdsonBotTc*Ta-RdsonBotTc*25))/(1-Table1[[#This Row],[RDS(on) Loss BoSync]]*RdsonBotTc*ThetaJA_Q3)</f>
        <v>0.7144800645510524</v>
      </c>
      <c r="AY43" s="354">
        <f>CHOOSE(Table1[[#This Row],[Mode Digit]], Rdson3*Table1[[#This Row],[Irms Lf]]^2, Rdson1*Table1[[#This Row],[Irms Lf]]^2, 0)</f>
        <v>0.60989772135369391</v>
      </c>
      <c r="AZ43" s="354">
        <f>CHOOSE(Table1[[#This Row],[Mode Digit]], 2*Deadtime*Fsw*IF(VfdSky_Q2&gt;0,VfdSky_Q2,0)*Table1[[#This Row],[Iout]], 2*Deadtime*Fsw*IF(VfdSky_Q3&gt;0,VfdSky_Q3,0)*Table1[[#This Row],[Iin]], 2*Deadtime*Fsw*IF(VfdSky_Q2&gt;0,VfdSky_Q2,0)*Table1[[#This Row],[Iout]]+2*Deadtime*Fsw*IF(VfdSky_Q3&gt;0,VfdSky_Q3,0)*Table1[[#This Row],[Iin]])</f>
        <v>0</v>
      </c>
      <c r="BA43" s="354">
        <f>CHOOSE(Table1[[#This Row],[Mode Digit]], IF(QrrSky_Q2&gt;0,QrrSky_Q2,Qrr_Q2)*Fsw*(Table1[[#This Row],[Vin]]-Table1[[#This Row],[Iout]]*Rdson1),0,  IF(QrrSky_Q2&gt;0,QrrSky_Q2,Qrr_Q2)*Fsw*(Table1[[#This Row],[Vin]]-Table1[[#This Row],[Iout]]*Rdson1)+IF(QrrSky_Q3&gt;0,QrrSky_Q3,Qrr_Q3)*Fsw*Vout)</f>
        <v>0.29651520000000003</v>
      </c>
      <c r="BB43" s="354">
        <f>CHOOSE(Table1[[#This Row],[Mode Digit]],0, IF(QrrSky_Q3&gt;0,QrrSky_Q3,Qrr_Q3)*Fsw*Vout,  IF(QrrSky_Q2&gt;0,QrrSky_Q2,Qrr_Q2)*Fsw*(Table1[[#This Row],[Vin]]-Table1[[#This Row],[Iout]]*Rdson1)+IF(QrrSky_Q3&gt;0,QrrSky_Q3,Qrr_Q3)*Fsw*Vout)</f>
        <v>0</v>
      </c>
      <c r="BC43" s="354">
        <f>CHOOSE(Table1[[#This Row],[Mode Digit]], Rs*Table1[[#This Row],[Irms BuSync]]^2, Rs*Table1[[#This Row],[Irms BoCtlr]]^2, Rs*(Table1[[#This Row],[Irms BuSync]]^2+Table1[[#This Row],[Irms BoCtlr]]^2))</f>
        <v>0.14702964718855258</v>
      </c>
      <c r="BD43" s="354">
        <f t="shared" si="1"/>
        <v>1.44</v>
      </c>
      <c r="BE43" s="354">
        <f>IF(Vout&gt;8, Iq*Vout, Iq*Table1[[#This Row],[Vin]])</f>
        <v>4.3799999999999999E-2</v>
      </c>
      <c r="BF43" s="354">
        <f>CHOOSE(Table1[[#This Row],[Mode Digit]], (Qg_Q1+Qg_Q2)*Fsw, (Qg_Q3+Qg_Q4)*Fsw, (Qg_Q1+Qg_Q2+Qg_Q3+Qg_Q4)*Fsw)*IF(Vout&gt;8, Vout, Table1[[#This Row],[Vin]])</f>
        <v>0.47303999999999996</v>
      </c>
      <c r="BG43" s="354">
        <f t="shared" si="2"/>
        <v>0.45605042016806729</v>
      </c>
      <c r="BH43" s="354">
        <f>Table1[[#This Row],[IQ Loss]]+Table1[[#This Row],[Switching Current Loss]]</f>
        <v>0.51683999999999997</v>
      </c>
      <c r="BI4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9.2987450858390819</v>
      </c>
      <c r="BJ43">
        <f>Vout*Table1[[#This Row],[Iout]]</f>
        <v>175.2</v>
      </c>
      <c r="BK43" s="550">
        <f>Table1[[#This Row],[Pout]]/(Table1[[#This Row],[Pout]]+Table1[[#This Row],[Total Loss]])</f>
        <v>0.94959995483160176</v>
      </c>
      <c r="BL4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217.49680221763629</v>
      </c>
      <c r="BM43" s="559">
        <f>IF(Table1[[#This Row],[Vin]]&gt;Vout, Table1[[#This Row],[Total Sync Bu MOSFET Loss]]*ThetaJA_Q2, ThetaJA_Q3*Table1[[#This Row],[Total Sync Bo MOSFET Loss]])</f>
        <v>52.579936549376505</v>
      </c>
      <c r="BN43" s="9"/>
      <c r="BO43" s="4">
        <f>Table1[[#This Row],[EFF, h]]*100</f>
        <v>94.959995483160171</v>
      </c>
      <c r="BP43" s="354">
        <f>Table1[[#This Row],[Total Inductor Loss]]</f>
        <v>1.6065466039305125</v>
      </c>
      <c r="BQ43" s="354">
        <f>Table1[[#This Row],[Total Control Bu MOSFET Loss]]+Table1[[#This Row],[Total Sync Bu MOSFET Loss]]+Table1[[#This Row],[Total Control Bo MOSFET Loss]]+Table1[[#This Row],[Total Sync Bo MOSFET Loss]]+Table1[[#This Row],[Reverse Recovery Loss MOSFET D BUCK]]+Table1[[#This Row],[Reverse Recovery Loss MOSFET D BOOST]]</f>
        <v>5.512274244001266</v>
      </c>
      <c r="BR43" s="354">
        <f>Table1[[#This Row],[Total Control Bu MOSFET Loss]]+Table1[[#This Row],[Reverse Recovery Loss MOSFET D BUCK]]*0.66</f>
        <v>3.8206467356272715</v>
      </c>
      <c r="BS43" s="354">
        <f>Table1[[#This Row],[Total Sync Bu MOSFET Loss]]+Table1[[#This Row],[Reverse Recovery Loss MOSFET D BUCK]]*0.33</f>
        <v>0.97418229182294169</v>
      </c>
      <c r="BT43" s="354">
        <f xml:space="preserve"> Table1[[#This Row],[Total Control Bo MOSFET Loss]]+Table1[[#This Row],[Reverse Recovery Loss MOSFET D BOOST]]*0.66</f>
        <v>0</v>
      </c>
      <c r="BU43" s="354">
        <f xml:space="preserve"> Table1[[#This Row],[Total Sync Bo MOSFET Loss]]+Table1[[#This Row],[Reverse Recovery Loss MOSFET D BOOST]]*0.33</f>
        <v>0.7144800645510524</v>
      </c>
      <c r="BV43" s="354">
        <f>Table1[[#This Row],[Isense Shunt Loss]]</f>
        <v>0.14702964718855258</v>
      </c>
      <c r="CA43">
        <v>9.998246</v>
      </c>
      <c r="CB43">
        <v>4.2430000000000003</v>
      </c>
      <c r="CC43">
        <v>5.1120590000000004</v>
      </c>
      <c r="CD43">
        <v>94.267178615859891</v>
      </c>
      <c r="CE43">
        <v>1319.0970775599953</v>
      </c>
    </row>
    <row r="44" spans="1:83" x14ac:dyDescent="0.2">
      <c r="A44" s="23" t="s">
        <v>95</v>
      </c>
      <c r="B44" s="5">
        <f>Vth_Q1</f>
        <v>2.2999999999999998</v>
      </c>
      <c r="C44" s="440" t="s">
        <v>0</v>
      </c>
      <c r="D44" s="21" t="s">
        <v>104</v>
      </c>
      <c r="G44">
        <v>35</v>
      </c>
      <c r="H44" s="555">
        <f>VIN_min+(VIN_max-VIN_min)*(Table1[[#This Row],[Step]]/200)</f>
        <v>24.9</v>
      </c>
      <c r="I44" s="4" t="str">
        <f>IF(Mode = 2,IF(Table1[[#This Row],[Vin]]&gt;Vout, "BUCK","BOOST"),IF(Table1[[#This Row],[Vin]]&gt;VIN_BB_to_buck, "BUCK", IF(Table1[[#This Row],[Vin]]&lt;=VIN_boost_to_BB,"BOOST","BUCK-BST")))</f>
        <v>BUCK</v>
      </c>
      <c r="J44">
        <f>IF(Table1[[#This Row],[Mode]]="BOOST",2, IF(Table1[[#This Row],[Mode]]="BUCK", 1,3))</f>
        <v>1</v>
      </c>
      <c r="K44">
        <f t="shared" si="0"/>
        <v>12</v>
      </c>
      <c r="L44" s="4">
        <f>Vout*Table1[[#This Row],[Iout]]/(Table1[[#This Row],[Vin]]*Efficiency)</f>
        <v>7.4064679771718458</v>
      </c>
      <c r="M44" s="711">
        <f>MIN(1/Fsw,CHOOSE(Table1[[#This Row],[Mode Digit]],(Vout+(Rdson2+Rs+Rdcr)*Table1[[#This Row],[Iout]])/(Table1[[#This Row],[Vin]]+(Rs+Rdson2-Rdson1)*Table1[[#This Row],[Iout]])/Fsw,(Vout+(Rdson3+Rdcr)*Table1[[#This Row],[Iin]]-Table1[[#This Row],[Vin]])/(Vout+(Rdson3-Rdson4-Rs)*Table1[[#This Row],[Iin]])/Fsw,t1_Ph_II))</f>
        <v>9.8609439764674425E-7</v>
      </c>
      <c r="N44" s="602">
        <f>CHOOSE(Table1[[#This Row],[Mode Digit]],1/Fsw-Table1[[#This Row],[t1_Ph_II]],1/Fsw-Table1[[#This Row],[t1_Ph_II]],(Vout/Fsw-Table1[[#This Row],[Vin]]*t1_Ph_II)/(Table1[[#This Row],[Vin]]+Vout))</f>
        <v>6.8057226901992241E-7</v>
      </c>
      <c r="O44" s="602">
        <f>1/Fsw-(Table1[[#This Row],[t1_Ph_II]]+Table1[[#This Row],[t2_Ph_I]])</f>
        <v>0</v>
      </c>
      <c r="P4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10.07636888337851</v>
      </c>
      <c r="Q44" s="4">
        <f>CHOOSE(Table1[[#This Row],[Mode Digit]],Table1[[#This Row],[I_0]]+1/Lf*(Table1[[#This Row],[Vin]]-Vout)*Table1[[#This Row],[t1_Ph_II]],Table1[[#This Row],[I_0]]+1/Lf*Table1[[#This Row],[Vin]]*Table1[[#This Row],[t1_Ph_II]],Table1[[#This Row],[I_0]]+(Table1[[#This Row],[Vin]]-Vout)/L*Table1[[#This Row],[t1_Ph_II]])</f>
        <v>13.92363111662149</v>
      </c>
      <c r="R44" s="4">
        <f>CHOOSE(Table1[[#This Row],[Mode Digit]],0,0,Table1[[#This Row],[I_1]]+Table1[[#This Row],[Vin]]/L*Table1[[#This Row],[t2_Ph_I]])</f>
        <v>0</v>
      </c>
      <c r="S44" s="4">
        <f>Fsw*(Table1[[#This Row],[I_0]]*Table1[[#This Row],[t1_Ph_II]]+Table1[[#This Row],[I_1]]*Table1[[#This Row],[t2_Ph_I]]+Table1[[#This Row],[I_2]]*Table1[[#This Row],[t3_Ph_III]])</f>
        <v>11.647372875934208</v>
      </c>
      <c r="T44" s="354">
        <f>MIN(1,CHOOSE(Table1[[#This Row],[Mode Digit]],(Vout+(Rdson2+Rs+Rdcr)*Table1[[#This Row],[Iout]])/(Table1[[#This Row],[Vin]]+(Rs+Rdson2-Rdson1)*Table1[[#This Row],[Iout]]),1,Fsw*Table1[[#This Row],[t2_Ph_I]]+Table1[[#This Row],[t1_Ph_II]]))</f>
        <v>0.59165663858804651</v>
      </c>
      <c r="U44" s="354">
        <f>MIN(1,CHOOSE(Table1[[#This Row],[Mode Digit]],0,(Vout+(Rdson3+Rdcr)*Table1[[#This Row],[Iin]]-Table1[[#This Row],[Vin]])/(Vout+(Rdson3-Rdson4-Rs)*Table1[[#This Row],[Iin]]),Fsw*Table1[[#This Row],[t1_Ph_II]]+Table1[[#This Row],[t3_Ph_III]]))</f>
        <v>0</v>
      </c>
      <c r="V44" s="4">
        <f>MAX(Table1[[#This Row],[I_0]:[I_2]])-MIN(Table1[[#This Row],[I_0]:[I_1]])</f>
        <v>3.8472622332429793</v>
      </c>
      <c r="W4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12.051284256222576</v>
      </c>
      <c r="X44" s="354">
        <f>(Table1[[#This Row],[Irms Lf]]^2*Rdcr*(1+Ltc*Ta-Ltc*25))/(1-Table1[[#This Row],[Irms Lf]]^2*Rdcr*Ltc*ThetaCa)</f>
        <v>0.90322053928766133</v>
      </c>
      <c r="Y44" s="354">
        <f>ABS(7.759*10^-3*Fsw^0.9458*(0.00787*Table1[[#This Row],[Ripple Current pk-pk]])^2.304)</f>
        <v>0.71663284706823749</v>
      </c>
      <c r="Z44" s="354">
        <f>Table1[[#This Row],[DCR    Loss]]+Table1[[#This Row],[Core Loss]]</f>
        <v>1.6198533863558988</v>
      </c>
      <c r="AA44" s="4">
        <f>IF(Table1[[#This Row],[Vin]]&gt;Vout, Table1[[#This Row],[Ripple Current pk-pk]]/SQRT(12), SQRT(Table1[[#This Row],[Duty Cycle BOOST Leg]]/(1-Table1[[#This Row],[Duty Cycle BOOST Leg]]))*SQRT(Table1[[#This Row],[Iout]]^2+(Table1[[#This Row],[Ripple Current pk-pk]]^2)/12))</f>
        <v>1.1106089430029575</v>
      </c>
      <c r="AB44" s="354">
        <f>RCoutEsr*Table1[[#This Row],[Irms Cout]]^2</f>
        <v>6.1672611213907328E-3</v>
      </c>
      <c r="AC44" s="354">
        <f>Table1[[#This Row],[Cout ESR Loss]]</f>
        <v>6.1672611213907328E-3</v>
      </c>
      <c r="AD44" s="354">
        <f>IF(Table1[[#This Row],[Vin]]&gt;Vout, SQRT(Table1[[#This Row],[Duty Cycle BUCK Leg]]*(1-Table1[[#This Row],[Duty Cycle BUCK Leg]]))*SQRT(Table1[[#This Row],[Iout]]^2+(Table1[[#This Row],[Ripple Current pk-pk]]^2)/12), Table1[[#This Row],[Ripple Current pk-pk]]/SQRT(12))</f>
        <v>5.9235348927374902</v>
      </c>
      <c r="AE44" s="354">
        <f>RCinEsr*Table1[[#This Row],[Irms Cin]]^2</f>
        <v>7.0176531250957103E-2</v>
      </c>
      <c r="AF44" s="549">
        <f>Table1[[#This Row],[Cin ESR Loss]]</f>
        <v>7.0176531250957103E-2</v>
      </c>
      <c r="AG4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9.2697538345715547</v>
      </c>
      <c r="AH44" s="354">
        <f>Rdson1*Table1[[#This Row],[Irms BuCtrl]]^2</f>
        <v>0.36089901184492701</v>
      </c>
      <c r="AI44" s="354">
        <f>CHOOSE(Table1[[#This Row],[Mode Digit]], (Table1[[#This Row],[Vin]]*Table1[[#This Row],[Iout]]/2)*(Fsw)*(Tr_buck+Tf_buck), 0, (Table1[[#This Row],[Vin]]*Table1[[#This Row],[Avg IL]]/2)*(Fsw/1)*(Tr_buck+Tf_buck))</f>
        <v>2.9630104425136392</v>
      </c>
      <c r="AJ44">
        <f>IF(Table1[[#This Row],[Vin]]&gt;Vout, IF(Table1[[#This Row],[Iout]]&gt;Table1[[#This Row],[Ripple Current pk-pk]]/2,0,ABS(Table1[[#This Row],[Iout]]-Table1[[#This Row],[Ripple Current pk-pk]]/2)*Vsd_Q1*Deadtime*Fsw),0)</f>
        <v>0</v>
      </c>
      <c r="AK44" s="354">
        <f>(Table1[[#This Row],[Dead Time Loss BuCtrl]]+Table1[[#This Row],[Transition Loss BuCtrl]]+Table1[[#This Row],[RDS(on) Loss BuCtrl]]*(1+RdsonTopTc*Ta-RdsonTopTc*25))/(1-Table1[[#This Row],[RDS(on) Loss BuCtrl]]*RdsonTopTc*ThetaJA_Q1)</f>
        <v>3.639114098031488</v>
      </c>
      <c r="AL44" s="354">
        <f>CHOOSE(Table1[[#This Row],[Mode Digit]],SQRT((Fsw*(Table1[[#This Row],[t2_Ph_I]]+0))*((Table1[[#This Row],[I_0]]*Table1[[#This Row],[I_1]]+((Table1[[#This Row],[I_0]]-Table1[[#This Row],[I_1]])^2)/3))),0,SQRT((Fsw*(Table1[[#This Row],[t3_Ph_III]]+0))*((Table1[[#This Row],[I_0]]*Table1[[#This Row],[I_2]]+((Table1[[#This Row],[I_0]]-Table1[[#This Row],[I_2]])^2)/3))))</f>
        <v>7.700981500479279</v>
      </c>
      <c r="AM44" s="354">
        <f>Rdson2*Table1[[#This Row],[Irms BuSync]]^2</f>
        <v>0.2490814874970412</v>
      </c>
      <c r="AN4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44" s="354">
        <f>(Table1[[#This Row],[Deadtime Loss BuSync]]+Table1[[#This Row],[RDS(on) Loss BuSync]]*(1+RdsonBotTc*Ta-RdsonBotTc*25))/(1-Table1[[#This Row],[RDS(on) Loss BuSync]]*RdsonBotTc*ThetaJA_Q2)</f>
        <v>0.87899909241586827</v>
      </c>
      <c r="AP44" s="354">
        <f>CHOOSE(Table1[[#This Row],[Mode Digit]],0,SQRT((Fsw*(Table1[[#This Row],[t1_Ph_II]]+0))*((Table1[[#This Row],[I_0]]*Table1[[#This Row],[I_1]]+((Table1[[#This Row],[I_0]]-Table1[[#This Row],[I_1]])^2)/3))),SQRT((Fsw*(Table1[[#This Row],[t2_Ph_I]]+0))*((Table1[[#This Row],[I_1]]*Table1[[#This Row],[I_2]]+((Table1[[#This Row],[I_1]]-Table1[[#This Row],[I_2]])^2)/3))))</f>
        <v>0</v>
      </c>
      <c r="AQ44" s="354">
        <f>Rdson4*Table1[[#This Row],[Irms BoCtlr]]^2</f>
        <v>0</v>
      </c>
      <c r="AR44" s="354">
        <f>CHOOSE(Table1[[#This Row],[Mode Digit]], 0, (Vout*Table1[[#This Row],[Iin]]/2)*(Fsw)*(Tr_boost+Tf_boost), (Vout*Iout/2)*(Fsw/1)*(Tr_boost+Tf_boost))</f>
        <v>0</v>
      </c>
      <c r="AS44">
        <f>IF(Table1[[#This Row],[Vin]]&gt;Vout, 0, IF(Table1[[#This Row],[Iin]]&gt;Table1[[#This Row],[Ripple Current pk-pk]]/2,0,ABS(Table1[[#This Row],[Iin]]-Table1[[#This Row],[Ripple Current pk-pk]]/2)*Vsd_Q4*Deadtime*Fsw))</f>
        <v>0</v>
      </c>
      <c r="AT44" s="354">
        <f>(Table1[[#This Row],[Dead Time Loss BoCtlr]]+Table1[[#This Row],[Transition Loss BoCtlr]]+Table1[[#This Row],[RDS(on) Loss BoCtlr]]*(1+RdsonTopTc*Ta-RdsonTopTc*25))/(1-Table1[[#This Row],[RDS(on) Loss BoCtlr]]*RdsonTopTc*ThetaJA_Q4)</f>
        <v>0</v>
      </c>
      <c r="AU4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12.051284256222576</v>
      </c>
      <c r="AV44" s="354">
        <f>Rdson3*Table1[[#This Row],[Irms BoSync]]^2</f>
        <v>0.60998049934196819</v>
      </c>
      <c r="AW4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44" s="354">
        <f>(Table1[[#This Row],[Deadtime Loss BoSync]]+Table1[[#This Row],[RDS(on) Loss BoSync]]*(1+RdsonBotTc*Ta-RdsonBotTc*25))/(1-Table1[[#This Row],[RDS(on) Loss BoSync]]*RdsonBotTc*ThetaJA_Q3)</f>
        <v>0.71459366791324774</v>
      </c>
      <c r="AY44" s="354">
        <f>CHOOSE(Table1[[#This Row],[Mode Digit]], Rdson3*Table1[[#This Row],[Irms Lf]]^2, Rdson1*Table1[[#This Row],[Irms Lf]]^2, 0)</f>
        <v>0.60998049934196819</v>
      </c>
      <c r="AZ44" s="354">
        <f>CHOOSE(Table1[[#This Row],[Mode Digit]], 2*Deadtime*Fsw*IF(VfdSky_Q2&gt;0,VfdSky_Q2,0)*Table1[[#This Row],[Iout]], 2*Deadtime*Fsw*IF(VfdSky_Q3&gt;0,VfdSky_Q3,0)*Table1[[#This Row],[Iin]], 2*Deadtime*Fsw*IF(VfdSky_Q2&gt;0,VfdSky_Q2,0)*Table1[[#This Row],[Iout]]+2*Deadtime*Fsw*IF(VfdSky_Q3&gt;0,VfdSky_Q3,0)*Table1[[#This Row],[Iin]])</f>
        <v>0</v>
      </c>
      <c r="BA44" s="354">
        <f>CHOOSE(Table1[[#This Row],[Mode Digit]], IF(QrrSky_Q2&gt;0,QrrSky_Q2,Qrr_Q2)*Fsw*(Table1[[#This Row],[Vin]]-Table1[[#This Row],[Iout]]*Rdson1),0,  IF(QrrSky_Q2&gt;0,QrrSky_Q2,Qrr_Q2)*Fsw*(Table1[[#This Row],[Vin]]-Table1[[#This Row],[Iout]]*Rdson1)+IF(QrrSky_Q3&gt;0,QrrSky_Q3,Qrr_Q3)*Fsw*Vout)</f>
        <v>0.29819519999999999</v>
      </c>
      <c r="BB44" s="354">
        <f>CHOOSE(Table1[[#This Row],[Mode Digit]],0, IF(QrrSky_Q3&gt;0,QrrSky_Q3,Qrr_Q3)*Fsw*Vout,  IF(QrrSky_Q2&gt;0,QrrSky_Q2,Qrr_Q2)*Fsw*(Table1[[#This Row],[Vin]]-Table1[[#This Row],[Iout]]*Rdson1)+IF(QrrSky_Q3&gt;0,QrrSky_Q3,Qrr_Q3)*Fsw*Vout)</f>
        <v>0</v>
      </c>
      <c r="BC44" s="354">
        <f>CHOOSE(Table1[[#This Row],[Mode Digit]], Rs*Table1[[#This Row],[Irms BuSync]]^2, Rs*Table1[[#This Row],[Irms BoCtlr]]^2, Rs*(Table1[[#This Row],[Irms BuSync]]^2+Table1[[#This Row],[Irms BoCtlr]]^2))</f>
        <v>0.14826279017681024</v>
      </c>
      <c r="BD44" s="354">
        <f t="shared" si="1"/>
        <v>1.44</v>
      </c>
      <c r="BE44" s="354">
        <f>IF(Vout&gt;8, Iq*Vout, Iq*Table1[[#This Row],[Vin]])</f>
        <v>4.3799999999999999E-2</v>
      </c>
      <c r="BF44" s="354">
        <f>CHOOSE(Table1[[#This Row],[Mode Digit]], (Qg_Q1+Qg_Q2)*Fsw, (Qg_Q3+Qg_Q4)*Fsw, (Qg_Q1+Qg_Q2+Qg_Q3+Qg_Q4)*Fsw)*IF(Vout&gt;8, Vout, Table1[[#This Row],[Vin]])</f>
        <v>0.47303999999999996</v>
      </c>
      <c r="BG44" s="354">
        <f t="shared" si="2"/>
        <v>0.45605042016806729</v>
      </c>
      <c r="BH44" s="354">
        <f>Table1[[#This Row],[IQ Loss]]+Table1[[#This Row],[Switching Current Loss]]</f>
        <v>0.51683999999999997</v>
      </c>
      <c r="BI4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9.3322020272656605</v>
      </c>
      <c r="BJ44">
        <f>Vout*Table1[[#This Row],[Iout]]</f>
        <v>175.2</v>
      </c>
      <c r="BK44" s="550">
        <f>Table1[[#This Row],[Pout]]/(Table1[[#This Row],[Pout]]+Table1[[#This Row],[Total Loss]])</f>
        <v>0.94942778591084731</v>
      </c>
      <c r="BL4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218.34684588188929</v>
      </c>
      <c r="BM44" s="559">
        <f>IF(Table1[[#This Row],[Vin]]&gt;Vout, Table1[[#This Row],[Total Sync Bu MOSFET Loss]]*ThetaJA_Q2, ThetaJA_Q3*Table1[[#This Row],[Total Sync Bo MOSFET Loss]])</f>
        <v>52.739945544952093</v>
      </c>
      <c r="BN44" s="9"/>
      <c r="BO44" s="4">
        <f>Table1[[#This Row],[EFF, h]]*100</f>
        <v>94.942778591084732</v>
      </c>
      <c r="BP44" s="354">
        <f>Table1[[#This Row],[Total Inductor Loss]]</f>
        <v>1.6198533863558988</v>
      </c>
      <c r="BQ44" s="354">
        <f>Table1[[#This Row],[Total Control Bu MOSFET Loss]]+Table1[[#This Row],[Total Sync Bu MOSFET Loss]]+Table1[[#This Row],[Total Control Bo MOSFET Loss]]+Table1[[#This Row],[Total Sync Bo MOSFET Loss]]+Table1[[#This Row],[Reverse Recovery Loss MOSFET D BUCK]]+Table1[[#This Row],[Reverse Recovery Loss MOSFET D BOOST]]</f>
        <v>5.5309020583606046</v>
      </c>
      <c r="BR44" s="354">
        <f>Table1[[#This Row],[Total Control Bu MOSFET Loss]]+Table1[[#This Row],[Reverse Recovery Loss MOSFET D BUCK]]*0.66</f>
        <v>3.8359229300314879</v>
      </c>
      <c r="BS44" s="354">
        <f>Table1[[#This Row],[Total Sync Bu MOSFET Loss]]+Table1[[#This Row],[Reverse Recovery Loss MOSFET D BUCK]]*0.33</f>
        <v>0.97740350841586832</v>
      </c>
      <c r="BT44" s="354">
        <f xml:space="preserve"> Table1[[#This Row],[Total Control Bo MOSFET Loss]]+Table1[[#This Row],[Reverse Recovery Loss MOSFET D BOOST]]*0.66</f>
        <v>0</v>
      </c>
      <c r="BU44" s="354">
        <f xml:space="preserve"> Table1[[#This Row],[Total Sync Bo MOSFET Loss]]+Table1[[#This Row],[Reverse Recovery Loss MOSFET D BOOST]]*0.33</f>
        <v>0.71459366791324774</v>
      </c>
      <c r="BV44" s="354">
        <f>Table1[[#This Row],[Isense Shunt Loss]]</f>
        <v>0.14826279017681024</v>
      </c>
      <c r="CA44">
        <v>9.9981469999999995</v>
      </c>
      <c r="CB44">
        <v>4.8490000000000002</v>
      </c>
      <c r="CC44">
        <v>5.1107740000000002</v>
      </c>
      <c r="CD44">
        <v>93.953815994681278</v>
      </c>
      <c r="CE44">
        <v>1594.7983209009985</v>
      </c>
    </row>
    <row r="45" spans="1:83" x14ac:dyDescent="0.2">
      <c r="A45" s="28" t="s">
        <v>145</v>
      </c>
      <c r="B45" s="447">
        <f>Vsp_Q1</f>
        <v>2.4499999999999997</v>
      </c>
      <c r="C45" s="445" t="s">
        <v>0</v>
      </c>
      <c r="G45">
        <v>36</v>
      </c>
      <c r="H45" s="555">
        <f>VIN_min+(VIN_max-VIN_min)*(Table1[[#This Row],[Step]]/200)</f>
        <v>25.04</v>
      </c>
      <c r="I45" s="4" t="str">
        <f>IF(Mode = 2,IF(Table1[[#This Row],[Vin]]&gt;Vout, "BUCK","BOOST"),IF(Table1[[#This Row],[Vin]]&gt;VIN_BB_to_buck, "BUCK", IF(Table1[[#This Row],[Vin]]&lt;=VIN_boost_to_BB,"BOOST","BUCK-BST")))</f>
        <v>BUCK</v>
      </c>
      <c r="J45">
        <f>IF(Table1[[#This Row],[Mode]]="BOOST",2, IF(Table1[[#This Row],[Mode]]="BUCK", 1,3))</f>
        <v>1</v>
      </c>
      <c r="K45">
        <f t="shared" si="0"/>
        <v>12</v>
      </c>
      <c r="L45" s="4">
        <f>Vout*Table1[[#This Row],[Iout]]/(Table1[[#This Row],[Vin]]*Efficiency)</f>
        <v>7.3650580124432494</v>
      </c>
      <c r="M45" s="711">
        <f>MIN(1/Fsw,CHOOSE(Table1[[#This Row],[Mode Digit]],(Vout+(Rdson2+Rs+Rdcr)*Table1[[#This Row],[Iout]])/(Table1[[#This Row],[Vin]]+(Rs+Rdson2-Rdson1)*Table1[[#This Row],[Iout]])/Fsw,(Vout+(Rdson3+Rdcr)*Table1[[#This Row],[Iin]]-Table1[[#This Row],[Vin]])/(Vout+(Rdson3-Rdson4-Rs)*Table1[[#This Row],[Iin]])/Fsw,t1_Ph_II))</f>
        <v>9.8058768780747237E-7</v>
      </c>
      <c r="N45" s="602">
        <f>CHOOSE(Table1[[#This Row],[Mode Digit]],1/Fsw-Table1[[#This Row],[t1_Ph_II]],1/Fsw-Table1[[#This Row],[t1_Ph_II]],(Vout/Fsw-Table1[[#This Row],[Vin]]*t1_Ph_II)/(Table1[[#This Row],[Vin]]+Vout))</f>
        <v>6.8607897885919429E-7</v>
      </c>
      <c r="O45" s="602">
        <f>1/Fsw-(Table1[[#This Row],[t1_Ph_II]]+Table1[[#This Row],[t2_Ph_I]])</f>
        <v>0</v>
      </c>
      <c r="P4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10.061110708198861</v>
      </c>
      <c r="Q45" s="4">
        <f>CHOOSE(Table1[[#This Row],[Mode Digit]],Table1[[#This Row],[I_0]]+1/Lf*(Table1[[#This Row],[Vin]]-Vout)*Table1[[#This Row],[t1_Ph_II]],Table1[[#This Row],[I_0]]+1/Lf*Table1[[#This Row],[Vin]]*Table1[[#This Row],[t1_Ph_II]],Table1[[#This Row],[I_0]]+(Table1[[#This Row],[Vin]]-Vout)/L*Table1[[#This Row],[t1_Ph_II]])</f>
        <v>13.938889291801138</v>
      </c>
      <c r="R45" s="4">
        <f>CHOOSE(Table1[[#This Row],[Mode Digit]],0,0,Table1[[#This Row],[I_1]]+Table1[[#This Row],[Vin]]/L*Table1[[#This Row],[t2_Ph_I]])</f>
        <v>0</v>
      </c>
      <c r="S45" s="4">
        <f>Fsw*(Table1[[#This Row],[I_0]]*Table1[[#This Row],[t1_Ph_II]]+Table1[[#This Row],[I_1]]*Table1[[#This Row],[t2_Ph_I]]+Table1[[#This Row],[I_2]]*Table1[[#This Row],[t3_Ph_III]])</f>
        <v>11.657388130726803</v>
      </c>
      <c r="T45" s="354">
        <f>MIN(1,CHOOSE(Table1[[#This Row],[Mode Digit]],(Vout+(Rdson2+Rs+Rdcr)*Table1[[#This Row],[Iout]])/(Table1[[#This Row],[Vin]]+(Rs+Rdson2-Rdson1)*Table1[[#This Row],[Iout]]),1,Fsw*Table1[[#This Row],[t2_Ph_I]]+Table1[[#This Row],[t1_Ph_II]]))</f>
        <v>0.58835261268448347</v>
      </c>
      <c r="U45" s="354">
        <f>MIN(1,CHOOSE(Table1[[#This Row],[Mode Digit]],0,(Vout+(Rdson3+Rdcr)*Table1[[#This Row],[Iin]]-Table1[[#This Row],[Vin]])/(Vout+(Rdson3-Rdson4-Rs)*Table1[[#This Row],[Iin]]),Fsw*Table1[[#This Row],[t1_Ph_II]]+Table1[[#This Row],[t3_Ph_III]]))</f>
        <v>0</v>
      </c>
      <c r="V45" s="4">
        <f>MAX(Table1[[#This Row],[I_0]:[I_2]])-MIN(Table1[[#This Row],[I_0]:[I_1]])</f>
        <v>3.8777785836022769</v>
      </c>
      <c r="W4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12.052099287203884</v>
      </c>
      <c r="X45" s="354">
        <f>(Table1[[#This Row],[Irms Lf]]^2*Rdcr*(1+Ltc*Ta-Ltc*25))/(1-Table1[[#This Row],[Irms Lf]]^2*Rdcr*Ltc*ThetaCa)</f>
        <v>0.9033515427182589</v>
      </c>
      <c r="Y45" s="354">
        <f>ABS(7.759*10^-3*Fsw^0.9458*(0.00787*Table1[[#This Row],[Ripple Current pk-pk]])^2.304)</f>
        <v>0.72979727554078666</v>
      </c>
      <c r="Z45" s="354">
        <f>Table1[[#This Row],[DCR    Loss]]+Table1[[#This Row],[Core Loss]]</f>
        <v>1.6331488182590457</v>
      </c>
      <c r="AA45" s="4">
        <f>IF(Table1[[#This Row],[Vin]]&gt;Vout, Table1[[#This Row],[Ripple Current pk-pk]]/SQRT(12), SQRT(Table1[[#This Row],[Duty Cycle BOOST Leg]]/(1-Table1[[#This Row],[Duty Cycle BOOST Leg]]))*SQRT(Table1[[#This Row],[Iout]]^2+(Table1[[#This Row],[Ripple Current pk-pk]]^2)/12))</f>
        <v>1.1194182545502702</v>
      </c>
      <c r="AB45" s="354">
        <f>RCoutEsr*Table1[[#This Row],[Irms Cout]]^2</f>
        <v>6.2654861431018687E-3</v>
      </c>
      <c r="AC45" s="354">
        <f>Table1[[#This Row],[Cout ESR Loss]]</f>
        <v>6.2654861431018687E-3</v>
      </c>
      <c r="AD45" s="354">
        <f>IF(Table1[[#This Row],[Vin]]&gt;Vout, SQRT(Table1[[#This Row],[Duty Cycle BUCK Leg]]*(1-Table1[[#This Row],[Duty Cycle BUCK Leg]]))*SQRT(Table1[[#This Row],[Iout]]^2+(Table1[[#This Row],[Ripple Current pk-pk]]^2)/12), Table1[[#This Row],[Ripple Current pk-pk]]/SQRT(12))</f>
        <v>5.9312226293733694</v>
      </c>
      <c r="AE45" s="354">
        <f>RCinEsr*Table1[[#This Row],[Irms Cin]]^2</f>
        <v>7.0358803758381494E-2</v>
      </c>
      <c r="AF45" s="549">
        <f>Table1[[#This Row],[Cin ESR Loss]]</f>
        <v>7.0358803758381494E-2</v>
      </c>
      <c r="AG4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9.2444599222978994</v>
      </c>
      <c r="AH45" s="354">
        <f>Rdson1*Table1[[#This Row],[Irms BuCtrl]]^2</f>
        <v>0.35893216487088281</v>
      </c>
      <c r="AI45" s="354">
        <f>CHOOSE(Table1[[#This Row],[Mode Digit]], (Table1[[#This Row],[Vin]]*Table1[[#This Row],[Iout]]/2)*(Fsw)*(Tr_buck+Tf_buck), 0, (Table1[[#This Row],[Vin]]*Table1[[#This Row],[Avg IL]]/2)*(Fsw/1)*(Tr_buck+Tf_buck))</f>
        <v>2.9796699389775716</v>
      </c>
      <c r="AJ45">
        <f>IF(Table1[[#This Row],[Vin]]&gt;Vout, IF(Table1[[#This Row],[Iout]]&gt;Table1[[#This Row],[Ripple Current pk-pk]]/2,0,ABS(Table1[[#This Row],[Iout]]-Table1[[#This Row],[Ripple Current pk-pk]]/2)*Vsd_Q1*Deadtime*Fsw),0)</f>
        <v>0</v>
      </c>
      <c r="AK45" s="354">
        <f>(Table1[[#This Row],[Dead Time Loss BuCtrl]]+Table1[[#This Row],[Transition Loss BuCtrl]]+Table1[[#This Row],[RDS(on) Loss BuCtrl]]*(1+RdsonTopTc*Ta-RdsonTopTc*25))/(1-Table1[[#This Row],[RDS(on) Loss BuCtrl]]*RdsonTopTc*ThetaJA_Q1)</f>
        <v>3.6533119871692743</v>
      </c>
      <c r="AL45" s="354">
        <f>CHOOSE(Table1[[#This Row],[Mode Digit]],SQRT((Fsw*(Table1[[#This Row],[t2_Ph_I]]+0))*((Table1[[#This Row],[I_0]]*Table1[[#This Row],[I_1]]+((Table1[[#This Row],[I_0]]-Table1[[#This Row],[I_1]])^2)/3))),0,SQRT((Fsw*(Table1[[#This Row],[t3_Ph_III]]+0))*((Table1[[#This Row],[I_0]]*Table1[[#This Row],[I_2]]+((Table1[[#This Row],[I_0]]-Table1[[#This Row],[I_2]])^2)/3))))</f>
        <v>7.7325971040555501</v>
      </c>
      <c r="AM45" s="354">
        <f>Rdson2*Table1[[#This Row],[Irms BuSync]]^2</f>
        <v>0.2511308434893228</v>
      </c>
      <c r="AN4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45" s="354">
        <f>(Table1[[#This Row],[Deadtime Loss BuSync]]+Table1[[#This Row],[RDS(on) Loss BuSync]]*(1+RdsonBotTc*Ta-RdsonBotTc*25))/(1-Table1[[#This Row],[RDS(on) Loss BuSync]]*RdsonBotTc*ThetaJA_Q2)</f>
        <v>0.8816399481825854</v>
      </c>
      <c r="AP45" s="354">
        <f>CHOOSE(Table1[[#This Row],[Mode Digit]],0,SQRT((Fsw*(Table1[[#This Row],[t1_Ph_II]]+0))*((Table1[[#This Row],[I_0]]*Table1[[#This Row],[I_1]]+((Table1[[#This Row],[I_0]]-Table1[[#This Row],[I_1]])^2)/3))),SQRT((Fsw*(Table1[[#This Row],[t2_Ph_I]]+0))*((Table1[[#This Row],[I_1]]*Table1[[#This Row],[I_2]]+((Table1[[#This Row],[I_1]]-Table1[[#This Row],[I_2]])^2)/3))))</f>
        <v>0</v>
      </c>
      <c r="AQ45" s="354">
        <f>Rdson4*Table1[[#This Row],[Irms BoCtlr]]^2</f>
        <v>0</v>
      </c>
      <c r="AR45" s="354">
        <f>CHOOSE(Table1[[#This Row],[Mode Digit]], 0, (Vout*Table1[[#This Row],[Iin]]/2)*(Fsw)*(Tr_boost+Tf_boost), (Vout*Iout/2)*(Fsw/1)*(Tr_boost+Tf_boost))</f>
        <v>0</v>
      </c>
      <c r="AS45">
        <f>IF(Table1[[#This Row],[Vin]]&gt;Vout, 0, IF(Table1[[#This Row],[Iin]]&gt;Table1[[#This Row],[Ripple Current pk-pk]]/2,0,ABS(Table1[[#This Row],[Iin]]-Table1[[#This Row],[Ripple Current pk-pk]]/2)*Vsd_Q4*Deadtime*Fsw))</f>
        <v>0</v>
      </c>
      <c r="AT45" s="354">
        <f>(Table1[[#This Row],[Dead Time Loss BoCtlr]]+Table1[[#This Row],[Transition Loss BoCtlr]]+Table1[[#This Row],[RDS(on) Loss BoCtlr]]*(1+RdsonTopTc*Ta-RdsonTopTc*25))/(1-Table1[[#This Row],[RDS(on) Loss BoCtlr]]*RdsonTopTc*ThetaJA_Q4)</f>
        <v>0</v>
      </c>
      <c r="AU4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12.052099287203884</v>
      </c>
      <c r="AV45" s="354">
        <f>Rdson3*Table1[[#This Row],[Irms BoSync]]^2</f>
        <v>0.61006300836020566</v>
      </c>
      <c r="AW4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45" s="354">
        <f>(Table1[[#This Row],[Deadtime Loss BoSync]]+Table1[[#This Row],[RDS(on) Loss BoSync]]*(1+RdsonBotTc*Ta-RdsonBotTc*25))/(1-Table1[[#This Row],[RDS(on) Loss BoSync]]*RdsonBotTc*ThetaJA_Q3)</f>
        <v>0.71470690740706289</v>
      </c>
      <c r="AY45" s="354">
        <f>CHOOSE(Table1[[#This Row],[Mode Digit]], Rdson3*Table1[[#This Row],[Irms Lf]]^2, Rdson1*Table1[[#This Row],[Irms Lf]]^2, 0)</f>
        <v>0.61006300836020566</v>
      </c>
      <c r="AZ45" s="354">
        <f>CHOOSE(Table1[[#This Row],[Mode Digit]], 2*Deadtime*Fsw*IF(VfdSky_Q2&gt;0,VfdSky_Q2,0)*Table1[[#This Row],[Iout]], 2*Deadtime*Fsw*IF(VfdSky_Q3&gt;0,VfdSky_Q3,0)*Table1[[#This Row],[Iin]], 2*Deadtime*Fsw*IF(VfdSky_Q2&gt;0,VfdSky_Q2,0)*Table1[[#This Row],[Iout]]+2*Deadtime*Fsw*IF(VfdSky_Q3&gt;0,VfdSky_Q3,0)*Table1[[#This Row],[Iin]])</f>
        <v>0</v>
      </c>
      <c r="BA45" s="354">
        <f>CHOOSE(Table1[[#This Row],[Mode Digit]], IF(QrrSky_Q2&gt;0,QrrSky_Q2,Qrr_Q2)*Fsw*(Table1[[#This Row],[Vin]]-Table1[[#This Row],[Iout]]*Rdson1),0,  IF(QrrSky_Q2&gt;0,QrrSky_Q2,Qrr_Q2)*Fsw*(Table1[[#This Row],[Vin]]-Table1[[#This Row],[Iout]]*Rdson1)+IF(QrrSky_Q3&gt;0,QrrSky_Q3,Qrr_Q3)*Fsw*Vout)</f>
        <v>0.29987520000000001</v>
      </c>
      <c r="BB45" s="354">
        <f>CHOOSE(Table1[[#This Row],[Mode Digit]],0, IF(QrrSky_Q3&gt;0,QrrSky_Q3,Qrr_Q3)*Fsw*Vout,  IF(QrrSky_Q2&gt;0,QrrSky_Q2,Qrr_Q2)*Fsw*(Table1[[#This Row],[Vin]]-Table1[[#This Row],[Iout]]*Rdson1)+IF(QrrSky_Q3&gt;0,QrrSky_Q3,Qrr_Q3)*Fsw*Vout)</f>
        <v>0</v>
      </c>
      <c r="BC45" s="354">
        <f>CHOOSE(Table1[[#This Row],[Mode Digit]], Rs*Table1[[#This Row],[Irms BuSync]]^2, Rs*Table1[[#This Row],[Irms BoCtlr]]^2, Rs*(Table1[[#This Row],[Irms BuSync]]^2+Table1[[#This Row],[Irms BoCtlr]]^2))</f>
        <v>0.1494826449341207</v>
      </c>
      <c r="BD45" s="354">
        <f t="shared" si="1"/>
        <v>1.44</v>
      </c>
      <c r="BE45" s="354">
        <f>IF(Vout&gt;8, Iq*Vout, Iq*Table1[[#This Row],[Vin]])</f>
        <v>4.3799999999999999E-2</v>
      </c>
      <c r="BF45" s="354">
        <f>CHOOSE(Table1[[#This Row],[Mode Digit]], (Qg_Q1+Qg_Q2)*Fsw, (Qg_Q3+Qg_Q4)*Fsw, (Qg_Q1+Qg_Q2+Qg_Q3+Qg_Q4)*Fsw)*IF(Vout&gt;8, Vout, Table1[[#This Row],[Vin]])</f>
        <v>0.47303999999999996</v>
      </c>
      <c r="BG45" s="354">
        <f t="shared" si="2"/>
        <v>0.45605042016806729</v>
      </c>
      <c r="BH45" s="354">
        <f>Table1[[#This Row],[IQ Loss]]+Table1[[#This Row],[Switching Current Loss]]</f>
        <v>0.51683999999999997</v>
      </c>
      <c r="BI4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9.3656297958535735</v>
      </c>
      <c r="BJ45">
        <f>Vout*Table1[[#This Row],[Iout]]</f>
        <v>175.2</v>
      </c>
      <c r="BK45" s="550">
        <f>Table1[[#This Row],[Pout]]/(Table1[[#This Row],[Pout]]+Table1[[#This Row],[Total Loss]])</f>
        <v>0.94925582945095022</v>
      </c>
      <c r="BL4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219.19871923015646</v>
      </c>
      <c r="BM45" s="559">
        <f>IF(Table1[[#This Row],[Vin]]&gt;Vout, Table1[[#This Row],[Total Sync Bu MOSFET Loss]]*ThetaJA_Q2, ThetaJA_Q3*Table1[[#This Row],[Total Sync Bo MOSFET Loss]])</f>
        <v>52.898396890955127</v>
      </c>
      <c r="BN45" s="9"/>
      <c r="BO45" s="4">
        <f>Table1[[#This Row],[EFF, h]]*100</f>
        <v>94.925582945095016</v>
      </c>
      <c r="BP45" s="354">
        <f>Table1[[#This Row],[Total Inductor Loss]]</f>
        <v>1.6331488182590457</v>
      </c>
      <c r="BQ45" s="354">
        <f>Table1[[#This Row],[Total Control Bu MOSFET Loss]]+Table1[[#This Row],[Total Sync Bu MOSFET Loss]]+Table1[[#This Row],[Total Control Bo MOSFET Loss]]+Table1[[#This Row],[Total Sync Bo MOSFET Loss]]+Table1[[#This Row],[Reverse Recovery Loss MOSFET D BUCK]]+Table1[[#This Row],[Reverse Recovery Loss MOSFET D BOOST]]</f>
        <v>5.5495340427589221</v>
      </c>
      <c r="BR45" s="354">
        <f>Table1[[#This Row],[Total Control Bu MOSFET Loss]]+Table1[[#This Row],[Reverse Recovery Loss MOSFET D BUCK]]*0.66</f>
        <v>3.8512296191692741</v>
      </c>
      <c r="BS45" s="354">
        <f>Table1[[#This Row],[Total Sync Bu MOSFET Loss]]+Table1[[#This Row],[Reverse Recovery Loss MOSFET D BUCK]]*0.33</f>
        <v>0.9805987641825854</v>
      </c>
      <c r="BT45" s="354">
        <f xml:space="preserve"> Table1[[#This Row],[Total Control Bo MOSFET Loss]]+Table1[[#This Row],[Reverse Recovery Loss MOSFET D BOOST]]*0.66</f>
        <v>0</v>
      </c>
      <c r="BU45" s="354">
        <f xml:space="preserve"> Table1[[#This Row],[Total Sync Bo MOSFET Loss]]+Table1[[#This Row],[Reverse Recovery Loss MOSFET D BOOST]]*0.33</f>
        <v>0.71470690740706289</v>
      </c>
      <c r="BV45" s="354">
        <f>Table1[[#This Row],[Isense Shunt Loss]]</f>
        <v>0.1494826449341207</v>
      </c>
      <c r="CA45">
        <v>9.9979859999999992</v>
      </c>
      <c r="CB45">
        <v>5.4960000000000004</v>
      </c>
      <c r="CC45">
        <v>5.1097890000000001</v>
      </c>
      <c r="CD45">
        <v>93.599771362833366</v>
      </c>
      <c r="CE45">
        <v>1920.3056923499939</v>
      </c>
    </row>
    <row r="46" spans="1:83" x14ac:dyDescent="0.2">
      <c r="A46" s="75" t="s">
        <v>235</v>
      </c>
      <c r="B46" s="5">
        <f>Vsd_Q1</f>
        <v>1</v>
      </c>
      <c r="C46" s="445" t="s">
        <v>0</v>
      </c>
      <c r="G46">
        <v>37</v>
      </c>
      <c r="H46" s="555">
        <f>VIN_min+(VIN_max-VIN_min)*(Table1[[#This Row],[Step]]/200)</f>
        <v>25.18</v>
      </c>
      <c r="I46" s="4" t="str">
        <f>IF(Mode = 2,IF(Table1[[#This Row],[Vin]]&gt;Vout, "BUCK","BOOST"),IF(Table1[[#This Row],[Vin]]&gt;VIN_BB_to_buck, "BUCK", IF(Table1[[#This Row],[Vin]]&lt;=VIN_boost_to_BB,"BOOST","BUCK-BST")))</f>
        <v>BUCK</v>
      </c>
      <c r="J46">
        <f>IF(Table1[[#This Row],[Mode]]="BOOST",2, IF(Table1[[#This Row],[Mode]]="BUCK", 1,3))</f>
        <v>1</v>
      </c>
      <c r="K46">
        <f t="shared" si="0"/>
        <v>12</v>
      </c>
      <c r="L46" s="4">
        <f>Vout*Table1[[#This Row],[Iout]]/(Table1[[#This Row],[Vin]]*Efficiency)</f>
        <v>7.324108523891141</v>
      </c>
      <c r="M46" s="711">
        <f>MIN(1/Fsw,CHOOSE(Table1[[#This Row],[Mode Digit]],(Vout+(Rdson2+Rs+Rdcr)*Table1[[#This Row],[Iout]])/(Table1[[#This Row],[Vin]]+(Rs+Rdson2-Rdson1)*Table1[[#This Row],[Iout]])/Fsw,(Vout+(Rdson3+Rdcr)*Table1[[#This Row],[Iin]]-Table1[[#This Row],[Vin]])/(Vout+(Rdson3-Rdson4-Rs)*Table1[[#This Row],[Iin]])/Fsw,t1_Ph_II))</f>
        <v>9.7514213936268666E-7</v>
      </c>
      <c r="N46" s="602">
        <f>CHOOSE(Table1[[#This Row],[Mode Digit]],1/Fsw-Table1[[#This Row],[t1_Ph_II]],1/Fsw-Table1[[#This Row],[t1_Ph_II]],(Vout/Fsw-Table1[[#This Row],[Vin]]*t1_Ph_II)/(Table1[[#This Row],[Vin]]+Vout))</f>
        <v>6.9152452730398001E-7</v>
      </c>
      <c r="O46" s="602">
        <f>1/Fsw-(Table1[[#This Row],[t1_Ph_II]]+Table1[[#This Row],[t2_Ph_I]])</f>
        <v>0</v>
      </c>
      <c r="P4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10.046022001049767</v>
      </c>
      <c r="Q46" s="4">
        <f>CHOOSE(Table1[[#This Row],[Mode Digit]],Table1[[#This Row],[I_0]]+1/Lf*(Table1[[#This Row],[Vin]]-Vout)*Table1[[#This Row],[t1_Ph_II]],Table1[[#This Row],[I_0]]+1/Lf*Table1[[#This Row],[Vin]]*Table1[[#This Row],[t1_Ph_II]],Table1[[#This Row],[I_0]]+(Table1[[#This Row],[Vin]]-Vout)/L*Table1[[#This Row],[t1_Ph_II]])</f>
        <v>13.953977998950231</v>
      </c>
      <c r="R46" s="4">
        <f>CHOOSE(Table1[[#This Row],[Mode Digit]],0,0,Table1[[#This Row],[I_1]]+Table1[[#This Row],[Vin]]/L*Table1[[#This Row],[t2_Ph_I]])</f>
        <v>0</v>
      </c>
      <c r="S46" s="4">
        <f>Fsw*(Table1[[#This Row],[I_0]]*Table1[[#This Row],[t1_Ph_II]]+Table1[[#This Row],[I_1]]*Table1[[#This Row],[t2_Ph_I]]+Table1[[#This Row],[I_2]]*Table1[[#This Row],[t3_Ph_III]])</f>
        <v>11.667490455553491</v>
      </c>
      <c r="T46" s="354">
        <f>MIN(1,CHOOSE(Table1[[#This Row],[Mode Digit]],(Vout+(Rdson2+Rs+Rdcr)*Table1[[#This Row],[Iout]])/(Table1[[#This Row],[Vin]]+(Rs+Rdson2-Rdson1)*Table1[[#This Row],[Iout]]),1,Fsw*Table1[[#This Row],[t2_Ph_I]]+Table1[[#This Row],[t1_Ph_II]]))</f>
        <v>0.58508528361761203</v>
      </c>
      <c r="U46" s="354">
        <f>MIN(1,CHOOSE(Table1[[#This Row],[Mode Digit]],0,(Vout+(Rdson3+Rdcr)*Table1[[#This Row],[Iin]]-Table1[[#This Row],[Vin]])/(Vout+(Rdson3-Rdson4-Rs)*Table1[[#This Row],[Iin]]),Fsw*Table1[[#This Row],[t1_Ph_II]]+Table1[[#This Row],[t3_Ph_III]]))</f>
        <v>0</v>
      </c>
      <c r="V46" s="4">
        <f>MAX(Table1[[#This Row],[I_0]:[I_2]])-MIN(Table1[[#This Row],[I_0]:[I_1]])</f>
        <v>3.9079559979004639</v>
      </c>
      <c r="W4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12.052911543418068</v>
      </c>
      <c r="X46" s="354">
        <f>(Table1[[#This Row],[Irms Lf]]^2*Rdcr*(1+Ltc*Ta-Ltc*25))/(1-Table1[[#This Row],[Irms Lf]]^2*Rdcr*Ltc*ThetaCa)</f>
        <v>0.90348211151099878</v>
      </c>
      <c r="Y46" s="354">
        <f>ABS(7.759*10^-3*Fsw^0.9458*(0.00787*Table1[[#This Row],[Ripple Current pk-pk]])^2.304)</f>
        <v>0.74294902344486846</v>
      </c>
      <c r="Z46" s="354">
        <f>Table1[[#This Row],[DCR    Loss]]+Table1[[#This Row],[Core Loss]]</f>
        <v>1.6464311349558671</v>
      </c>
      <c r="AA46" s="4">
        <f>IF(Table1[[#This Row],[Vin]]&gt;Vout, Table1[[#This Row],[Ripple Current pk-pk]]/SQRT(12), SQRT(Table1[[#This Row],[Duty Cycle BOOST Leg]]/(1-Table1[[#This Row],[Duty Cycle BOOST Leg]]))*SQRT(Table1[[#This Row],[Iout]]^2+(Table1[[#This Row],[Ripple Current pk-pk]]^2)/12))</f>
        <v>1.1281297236845227</v>
      </c>
      <c r="AB46" s="354">
        <f>RCoutEsr*Table1[[#This Row],[Irms Cout]]^2</f>
        <v>6.3633833673025879E-3</v>
      </c>
      <c r="AC46" s="354">
        <f>Table1[[#This Row],[Cout ESR Loss]]</f>
        <v>6.3633833673025879E-3</v>
      </c>
      <c r="AD46" s="354">
        <f>IF(Table1[[#This Row],[Vin]]&gt;Vout, SQRT(Table1[[#This Row],[Duty Cycle BUCK Leg]]*(1-Table1[[#This Row],[Duty Cycle BUCK Leg]]))*SQRT(Table1[[#This Row],[Iout]]^2+(Table1[[#This Row],[Ripple Current pk-pk]]^2)/12), Table1[[#This Row],[Ripple Current pk-pk]]/SQRT(12))</f>
        <v>5.9385576387106918</v>
      </c>
      <c r="AE46" s="354">
        <f>RCinEsr*Table1[[#This Row],[Irms Cin]]^2</f>
        <v>7.0532933656578214E-2</v>
      </c>
      <c r="AF46" s="549">
        <f>Table1[[#This Row],[Cin ESR Loss]]</f>
        <v>7.0532933656578214E-2</v>
      </c>
      <c r="AG4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9.2193766184803021</v>
      </c>
      <c r="AH46" s="354">
        <f>Rdson1*Table1[[#This Row],[Irms BuCtrl]]^2</f>
        <v>0.35698700198020145</v>
      </c>
      <c r="AI46" s="354">
        <f>CHOOSE(Table1[[#This Row],[Mode Digit]], (Table1[[#This Row],[Vin]]*Table1[[#This Row],[Iout]]/2)*(Fsw)*(Tr_buck+Tf_buck), 0, (Table1[[#This Row],[Vin]]*Table1[[#This Row],[Avg IL]]/2)*(Fsw/1)*(Tr_buck+Tf_buck))</f>
        <v>2.9963294354415035</v>
      </c>
      <c r="AJ46">
        <f>IF(Table1[[#This Row],[Vin]]&gt;Vout, IF(Table1[[#This Row],[Iout]]&gt;Table1[[#This Row],[Ripple Current pk-pk]]/2,0,ABS(Table1[[#This Row],[Iout]]-Table1[[#This Row],[Ripple Current pk-pk]]/2)*Vsd_Q1*Deadtime*Fsw),0)</f>
        <v>0</v>
      </c>
      <c r="AK46" s="354">
        <f>(Table1[[#This Row],[Dead Time Loss BuCtrl]]+Table1[[#This Row],[Transition Loss BuCtrl]]+Table1[[#This Row],[RDS(on) Loss BuCtrl]]*(1+RdsonTopTc*Ta-RdsonTopTc*25))/(1-Table1[[#This Row],[RDS(on) Loss BuCtrl]]*RdsonTopTc*ThetaJA_Q1)</f>
        <v>3.667539807114029</v>
      </c>
      <c r="AL46" s="354">
        <f>CHOOSE(Table1[[#This Row],[Mode Digit]],SQRT((Fsw*(Table1[[#This Row],[t2_Ph_I]]+0))*((Table1[[#This Row],[I_0]]*Table1[[#This Row],[I_1]]+((Table1[[#This Row],[I_0]]-Table1[[#This Row],[I_1]])^2)/3))),0,SQRT((Fsw*(Table1[[#This Row],[t3_Ph_III]]+0))*((Table1[[#This Row],[I_0]]*Table1[[#This Row],[I_2]]+((Table1[[#This Row],[I_0]]-Table1[[#This Row],[I_2]])^2)/3))))</f>
        <v>7.7637472550360123</v>
      </c>
      <c r="AM46" s="354">
        <f>Rdson2*Table1[[#This Row],[Irms BuSync]]^2</f>
        <v>0.25315824004833276</v>
      </c>
      <c r="AN4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46" s="354">
        <f>(Table1[[#This Row],[Deadtime Loss BuSync]]+Table1[[#This Row],[RDS(on) Loss BuSync]]*(1+RdsonBotTc*Ta-RdsonBotTc*25))/(1-Table1[[#This Row],[RDS(on) Loss BuSync]]*RdsonBotTc*ThetaJA_Q2)</f>
        <v>0.88425522796329536</v>
      </c>
      <c r="AP46" s="354">
        <f>CHOOSE(Table1[[#This Row],[Mode Digit]],0,SQRT((Fsw*(Table1[[#This Row],[t1_Ph_II]]+0))*((Table1[[#This Row],[I_0]]*Table1[[#This Row],[I_1]]+((Table1[[#This Row],[I_0]]-Table1[[#This Row],[I_1]])^2)/3))),SQRT((Fsw*(Table1[[#This Row],[t2_Ph_I]]+0))*((Table1[[#This Row],[I_1]]*Table1[[#This Row],[I_2]]+((Table1[[#This Row],[I_1]]-Table1[[#This Row],[I_2]])^2)/3))))</f>
        <v>0</v>
      </c>
      <c r="AQ46" s="354">
        <f>Rdson4*Table1[[#This Row],[Irms BoCtlr]]^2</f>
        <v>0</v>
      </c>
      <c r="AR46" s="354">
        <f>CHOOSE(Table1[[#This Row],[Mode Digit]], 0, (Vout*Table1[[#This Row],[Iin]]/2)*(Fsw)*(Tr_boost+Tf_boost), (Vout*Iout/2)*(Fsw/1)*(Tr_boost+Tf_boost))</f>
        <v>0</v>
      </c>
      <c r="AS46">
        <f>IF(Table1[[#This Row],[Vin]]&gt;Vout, 0, IF(Table1[[#This Row],[Iin]]&gt;Table1[[#This Row],[Ripple Current pk-pk]]/2,0,ABS(Table1[[#This Row],[Iin]]-Table1[[#This Row],[Ripple Current pk-pk]]/2)*Vsd_Q4*Deadtime*Fsw))</f>
        <v>0</v>
      </c>
      <c r="AT46" s="354">
        <f>(Table1[[#This Row],[Dead Time Loss BoCtlr]]+Table1[[#This Row],[Transition Loss BoCtlr]]+Table1[[#This Row],[RDS(on) Loss BoCtlr]]*(1+RdsonTopTc*Ta-RdsonTopTc*25))/(1-Table1[[#This Row],[RDS(on) Loss BoCtlr]]*RdsonTopTc*ThetaJA_Q4)</f>
        <v>0</v>
      </c>
      <c r="AU4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12.052911543418068</v>
      </c>
      <c r="AV46" s="354">
        <f>Rdson3*Table1[[#This Row],[Irms BoSync]]^2</f>
        <v>0.61014524202853426</v>
      </c>
      <c r="AW4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46" s="354">
        <f>(Table1[[#This Row],[Deadtime Loss BoSync]]+Table1[[#This Row],[RDS(on) Loss BoSync]]*(1+RdsonBotTc*Ta-RdsonBotTc*25))/(1-Table1[[#This Row],[RDS(on) Loss BoSync]]*RdsonBotTc*ThetaJA_Q3)</f>
        <v>0.71481977422481846</v>
      </c>
      <c r="AY46" s="354">
        <f>CHOOSE(Table1[[#This Row],[Mode Digit]], Rdson3*Table1[[#This Row],[Irms Lf]]^2, Rdson1*Table1[[#This Row],[Irms Lf]]^2, 0)</f>
        <v>0.61014524202853426</v>
      </c>
      <c r="AZ46" s="354">
        <f>CHOOSE(Table1[[#This Row],[Mode Digit]], 2*Deadtime*Fsw*IF(VfdSky_Q2&gt;0,VfdSky_Q2,0)*Table1[[#This Row],[Iout]], 2*Deadtime*Fsw*IF(VfdSky_Q3&gt;0,VfdSky_Q3,0)*Table1[[#This Row],[Iin]], 2*Deadtime*Fsw*IF(VfdSky_Q2&gt;0,VfdSky_Q2,0)*Table1[[#This Row],[Iout]]+2*Deadtime*Fsw*IF(VfdSky_Q3&gt;0,VfdSky_Q3,0)*Table1[[#This Row],[Iin]])</f>
        <v>0</v>
      </c>
      <c r="BA46" s="354">
        <f>CHOOSE(Table1[[#This Row],[Mode Digit]], IF(QrrSky_Q2&gt;0,QrrSky_Q2,Qrr_Q2)*Fsw*(Table1[[#This Row],[Vin]]-Table1[[#This Row],[Iout]]*Rdson1),0,  IF(QrrSky_Q2&gt;0,QrrSky_Q2,Qrr_Q2)*Fsw*(Table1[[#This Row],[Vin]]-Table1[[#This Row],[Iout]]*Rdson1)+IF(QrrSky_Q3&gt;0,QrrSky_Q3,Qrr_Q3)*Fsw*Vout)</f>
        <v>0.30155520000000002</v>
      </c>
      <c r="BB46" s="354">
        <f>CHOOSE(Table1[[#This Row],[Mode Digit]],0, IF(QrrSky_Q3&gt;0,QrrSky_Q3,Qrr_Q3)*Fsw*Vout,  IF(QrrSky_Q2&gt;0,QrrSky_Q2,Qrr_Q2)*Fsw*(Table1[[#This Row],[Vin]]-Table1[[#This Row],[Iout]]*Rdson1)+IF(QrrSky_Q3&gt;0,QrrSky_Q3,Qrr_Q3)*Fsw*Vout)</f>
        <v>0</v>
      </c>
      <c r="BC46" s="354">
        <f>CHOOSE(Table1[[#This Row],[Mode Digit]], Rs*Table1[[#This Row],[Irms BuSync]]^2, Rs*Table1[[#This Row],[Irms BoCtlr]]^2, Rs*(Table1[[#This Row],[Irms BuSync]]^2+Table1[[#This Row],[Irms BoCtlr]]^2))</f>
        <v>0.15068942860019804</v>
      </c>
      <c r="BD46" s="354">
        <f t="shared" si="1"/>
        <v>1.44</v>
      </c>
      <c r="BE46" s="354">
        <f>IF(Vout&gt;8, Iq*Vout, Iq*Table1[[#This Row],[Vin]])</f>
        <v>4.3799999999999999E-2</v>
      </c>
      <c r="BF46" s="354">
        <f>CHOOSE(Table1[[#This Row],[Mode Digit]], (Qg_Q1+Qg_Q2)*Fsw, (Qg_Q3+Qg_Q4)*Fsw, (Qg_Q1+Qg_Q2+Qg_Q3+Qg_Q4)*Fsw)*IF(Vout&gt;8, Vout, Table1[[#This Row],[Vin]])</f>
        <v>0.47303999999999996</v>
      </c>
      <c r="BG46" s="354">
        <f t="shared" si="2"/>
        <v>0.45605042016806729</v>
      </c>
      <c r="BH46" s="354">
        <f>Table1[[#This Row],[IQ Loss]]+Table1[[#This Row],[Switching Current Loss]]</f>
        <v>0.51683999999999997</v>
      </c>
      <c r="BI4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9.3990268898820908</v>
      </c>
      <c r="BJ46">
        <f>Vout*Table1[[#This Row],[Iout]]</f>
        <v>175.2</v>
      </c>
      <c r="BK46" s="550">
        <f>Table1[[#This Row],[Pout]]/(Table1[[#This Row],[Pout]]+Table1[[#This Row],[Total Loss]])</f>
        <v>0.94908409297580509</v>
      </c>
      <c r="BL4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220.05238842684173</v>
      </c>
      <c r="BM46" s="559">
        <f>IF(Table1[[#This Row],[Vin]]&gt;Vout, Table1[[#This Row],[Total Sync Bu MOSFET Loss]]*ThetaJA_Q2, ThetaJA_Q3*Table1[[#This Row],[Total Sync Bo MOSFET Loss]])</f>
        <v>53.05531367779772</v>
      </c>
      <c r="BN46" s="9"/>
      <c r="BO46" s="4">
        <f>Table1[[#This Row],[EFF, h]]*100</f>
        <v>94.908409297580505</v>
      </c>
      <c r="BP46" s="354">
        <f>Table1[[#This Row],[Total Inductor Loss]]</f>
        <v>1.6464311349558671</v>
      </c>
      <c r="BQ46" s="354">
        <f>Table1[[#This Row],[Total Control Bu MOSFET Loss]]+Table1[[#This Row],[Total Sync Bu MOSFET Loss]]+Table1[[#This Row],[Total Control Bo MOSFET Loss]]+Table1[[#This Row],[Total Sync Bo MOSFET Loss]]+Table1[[#This Row],[Reverse Recovery Loss MOSFET D BUCK]]+Table1[[#This Row],[Reverse Recovery Loss MOSFET D BOOST]]</f>
        <v>5.5681700093021433</v>
      </c>
      <c r="BR46" s="354">
        <f>Table1[[#This Row],[Total Control Bu MOSFET Loss]]+Table1[[#This Row],[Reverse Recovery Loss MOSFET D BUCK]]*0.66</f>
        <v>3.8665662391140292</v>
      </c>
      <c r="BS46" s="354">
        <f>Table1[[#This Row],[Total Sync Bu MOSFET Loss]]+Table1[[#This Row],[Reverse Recovery Loss MOSFET D BUCK]]*0.33</f>
        <v>0.98376844396329544</v>
      </c>
      <c r="BT46" s="354">
        <f xml:space="preserve"> Table1[[#This Row],[Total Control Bo MOSFET Loss]]+Table1[[#This Row],[Reverse Recovery Loss MOSFET D BOOST]]*0.66</f>
        <v>0</v>
      </c>
      <c r="BU46" s="354">
        <f xml:space="preserve"> Table1[[#This Row],[Total Sync Bo MOSFET Loss]]+Table1[[#This Row],[Reverse Recovery Loss MOSFET D BOOST]]*0.33</f>
        <v>0.71481977422481846</v>
      </c>
      <c r="BV46" s="354">
        <f>Table1[[#This Row],[Isense Shunt Loss]]</f>
        <v>0.15068942860019804</v>
      </c>
      <c r="CA46">
        <v>9.9978999999999996</v>
      </c>
      <c r="CB46">
        <v>6.1950000000000003</v>
      </c>
      <c r="CC46">
        <v>5.109191</v>
      </c>
      <c r="CD46">
        <v>93.156651672159526</v>
      </c>
      <c r="CE46">
        <v>2325.1351758999972</v>
      </c>
    </row>
    <row r="47" spans="1:83" ht="15.75" x14ac:dyDescent="0.3">
      <c r="A47" s="446" t="s">
        <v>644</v>
      </c>
      <c r="B47" s="5">
        <f>ThetaJA_Q1</f>
        <v>60</v>
      </c>
      <c r="C47" s="441" t="s">
        <v>237</v>
      </c>
      <c r="D47" s="21" t="s">
        <v>105</v>
      </c>
      <c r="G47">
        <v>38</v>
      </c>
      <c r="H47" s="555">
        <f>VIN_min+(VIN_max-VIN_min)*(Table1[[#This Row],[Step]]/200)</f>
        <v>25.32</v>
      </c>
      <c r="I47" s="4" t="str">
        <f>IF(Mode = 2,IF(Table1[[#This Row],[Vin]]&gt;Vout, "BUCK","BOOST"),IF(Table1[[#This Row],[Vin]]&gt;VIN_BB_to_buck, "BUCK", IF(Table1[[#This Row],[Vin]]&lt;=VIN_boost_to_BB,"BOOST","BUCK-BST")))</f>
        <v>BUCK</v>
      </c>
      <c r="J47">
        <f>IF(Table1[[#This Row],[Mode]]="BOOST",2, IF(Table1[[#This Row],[Mode]]="BUCK", 1,3))</f>
        <v>1</v>
      </c>
      <c r="K47">
        <f t="shared" si="0"/>
        <v>12</v>
      </c>
      <c r="L47" s="4">
        <f>Vout*Table1[[#This Row],[Iout]]/(Table1[[#This Row],[Vin]]*Efficiency)</f>
        <v>7.2836118732851087</v>
      </c>
      <c r="M47" s="711">
        <f>MIN(1/Fsw,CHOOSE(Table1[[#This Row],[Mode Digit]],(Vout+(Rdson2+Rs+Rdcr)*Table1[[#This Row],[Iout]])/(Table1[[#This Row],[Vin]]+(Rs+Rdson2-Rdson1)*Table1[[#This Row],[Iout]])/Fsw,(Vout+(Rdson3+Rdcr)*Table1[[#This Row],[Iin]]-Table1[[#This Row],[Vin]])/(Vout+(Rdson3-Rdson4-Rs)*Table1[[#This Row],[Iin]])/Fsw,t1_Ph_II))</f>
        <v>9.6975673898750827E-7</v>
      </c>
      <c r="N47" s="602">
        <f>CHOOSE(Table1[[#This Row],[Mode Digit]],1/Fsw-Table1[[#This Row],[t1_Ph_II]],1/Fsw-Table1[[#This Row],[t1_Ph_II]],(Vout/Fsw-Table1[[#This Row],[Vin]]*t1_Ph_II)/(Table1[[#This Row],[Vin]]+Vout))</f>
        <v>6.9690992767915839E-7</v>
      </c>
      <c r="O47" s="602">
        <f>1/Fsw-(Table1[[#This Row],[t1_Ph_II]]+Table1[[#This Row],[t2_Ph_I]])</f>
        <v>0</v>
      </c>
      <c r="P4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10.031099954176877</v>
      </c>
      <c r="Q47" s="4">
        <f>CHOOSE(Table1[[#This Row],[Mode Digit]],Table1[[#This Row],[I_0]]+1/Lf*(Table1[[#This Row],[Vin]]-Vout)*Table1[[#This Row],[t1_Ph_II]],Table1[[#This Row],[I_0]]+1/Lf*Table1[[#This Row],[Vin]]*Table1[[#This Row],[t1_Ph_II]],Table1[[#This Row],[I_0]]+(Table1[[#This Row],[Vin]]-Vout)/L*Table1[[#This Row],[t1_Ph_II]])</f>
        <v>13.968900045823123</v>
      </c>
      <c r="R47" s="4">
        <f>CHOOSE(Table1[[#This Row],[Mode Digit]],0,0,Table1[[#This Row],[I_1]]+Table1[[#This Row],[Vin]]/L*Table1[[#This Row],[t2_Ph_I]])</f>
        <v>0</v>
      </c>
      <c r="S47" s="4">
        <f>Fsw*(Table1[[#This Row],[I_0]]*Table1[[#This Row],[t1_Ph_II]]+Table1[[#This Row],[I_1]]*Table1[[#This Row],[t2_Ph_I]]+Table1[[#This Row],[I_2]]*Table1[[#This Row],[t3_Ph_III]])</f>
        <v>11.677675140427381</v>
      </c>
      <c r="T47" s="354">
        <f>MIN(1,CHOOSE(Table1[[#This Row],[Mode Digit]],(Vout+(Rdson2+Rs+Rdcr)*Table1[[#This Row],[Iout]])/(Table1[[#This Row],[Vin]]+(Rs+Rdson2-Rdson1)*Table1[[#This Row],[Iout]]),1,Fsw*Table1[[#This Row],[t2_Ph_I]]+Table1[[#This Row],[t1_Ph_II]]))</f>
        <v>0.5818540433925049</v>
      </c>
      <c r="U47" s="354">
        <f>MIN(1,CHOOSE(Table1[[#This Row],[Mode Digit]],0,(Vout+(Rdson3+Rdcr)*Table1[[#This Row],[Iin]]-Table1[[#This Row],[Vin]])/(Vout+(Rdson3-Rdson4-Rs)*Table1[[#This Row],[Iin]]),Fsw*Table1[[#This Row],[t1_Ph_II]]+Table1[[#This Row],[t3_Ph_III]]))</f>
        <v>0</v>
      </c>
      <c r="V47" s="4">
        <f>MAX(Table1[[#This Row],[I_0]:[I_2]])-MIN(Table1[[#This Row],[I_0]:[I_1]])</f>
        <v>3.9378000916462454</v>
      </c>
      <c r="W4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12.053720966164242</v>
      </c>
      <c r="X47" s="354">
        <f>(Table1[[#This Row],[Irms Lf]]^2*Rdcr*(1+Ltc*Ta-Ltc*25))/(1-Table1[[#This Row],[Irms Lf]]^2*Rdcr*Ltc*ThetaCa)</f>
        <v>0.9036122361129254</v>
      </c>
      <c r="Y47" s="354">
        <f>ABS(7.759*10^-3*Fsw^0.9458*(0.00787*Table1[[#This Row],[Ripple Current pk-pk]])^2.304)</f>
        <v>0.75608640887113621</v>
      </c>
      <c r="Z47" s="354">
        <f>Table1[[#This Row],[DCR    Loss]]+Table1[[#This Row],[Core Loss]]</f>
        <v>1.6596986449840616</v>
      </c>
      <c r="AA47" s="4">
        <f>IF(Table1[[#This Row],[Vin]]&gt;Vout, Table1[[#This Row],[Ripple Current pk-pk]]/SQRT(12), SQRT(Table1[[#This Row],[Duty Cycle BOOST Leg]]/(1-Table1[[#This Row],[Duty Cycle BOOST Leg]]))*SQRT(Table1[[#This Row],[Iout]]^2+(Table1[[#This Row],[Ripple Current pk-pk]]^2)/12))</f>
        <v>1.1367449714634466</v>
      </c>
      <c r="AB47" s="354">
        <f>RCoutEsr*Table1[[#This Row],[Irms Cout]]^2</f>
        <v>6.4609456507371604E-3</v>
      </c>
      <c r="AC47" s="354">
        <f>Table1[[#This Row],[Cout ESR Loss]]</f>
        <v>6.4609456507371604E-3</v>
      </c>
      <c r="AD47" s="354">
        <f>IF(Table1[[#This Row],[Vin]]&gt;Vout, SQRT(Table1[[#This Row],[Duty Cycle BUCK Leg]]*(1-Table1[[#This Row],[Duty Cycle BUCK Leg]]))*SQRT(Table1[[#This Row],[Iout]]^2+(Table1[[#This Row],[Ripple Current pk-pk]]^2)/12), Table1[[#This Row],[Ripple Current pk-pk]]/SQRT(12))</f>
        <v>5.9455510551875301</v>
      </c>
      <c r="AE47" s="354">
        <f>RCinEsr*Table1[[#This Row],[Irms Cin]]^2</f>
        <v>7.0699154699683103E-2</v>
      </c>
      <c r="AF47" s="549">
        <f>Table1[[#This Row],[Cin ESR Loss]]</f>
        <v>7.0699154699683103E-2</v>
      </c>
      <c r="AG4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9.1945009499550796</v>
      </c>
      <c r="AH47" s="354">
        <f>Rdson1*Table1[[#This Row],[Irms BuCtrl]]^2</f>
        <v>0.3550631604186445</v>
      </c>
      <c r="AI47" s="354">
        <f>CHOOSE(Table1[[#This Row],[Mode Digit]], (Table1[[#This Row],[Vin]]*Table1[[#This Row],[Iout]]/2)*(Fsw)*(Tr_buck+Tf_buck), 0, (Table1[[#This Row],[Vin]]*Table1[[#This Row],[Avg IL]]/2)*(Fsw/1)*(Tr_buck+Tf_buck))</f>
        <v>3.0129889319054364</v>
      </c>
      <c r="AJ47">
        <f>IF(Table1[[#This Row],[Vin]]&gt;Vout, IF(Table1[[#This Row],[Iout]]&gt;Table1[[#This Row],[Ripple Current pk-pk]]/2,0,ABS(Table1[[#This Row],[Iout]]-Table1[[#This Row],[Ripple Current pk-pk]]/2)*Vsd_Q1*Deadtime*Fsw),0)</f>
        <v>0</v>
      </c>
      <c r="AK47" s="354">
        <f>(Table1[[#This Row],[Dead Time Loss BuCtrl]]+Table1[[#This Row],[Transition Loss BuCtrl]]+Table1[[#This Row],[RDS(on) Loss BuCtrl]]*(1+RdsonTopTc*Ta-RdsonTopTc*25))/(1-Table1[[#This Row],[RDS(on) Loss BuCtrl]]*RdsonTopTc*ThetaJA_Q1)</f>
        <v>3.681797007920609</v>
      </c>
      <c r="AL47" s="354">
        <f>CHOOSE(Table1[[#This Row],[Mode Digit]],SQRT((Fsw*(Table1[[#This Row],[t2_Ph_I]]+0))*((Table1[[#This Row],[I_0]]*Table1[[#This Row],[I_1]]+((Table1[[#This Row],[I_0]]-Table1[[#This Row],[I_1]])^2)/3))),0,SQRT((Fsw*(Table1[[#This Row],[t3_Ph_III]]+0))*((Table1[[#This Row],[I_0]]*Table1[[#This Row],[I_2]]+((Table1[[#This Row],[I_0]]-Table1[[#This Row],[I_2]])^2)/3))))</f>
        <v>7.7944429827552524</v>
      </c>
      <c r="AM47" s="354">
        <f>Rdson2*Table1[[#This Row],[Irms BuSync]]^2</f>
        <v>0.25516403392797493</v>
      </c>
      <c r="AN4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47" s="354">
        <f>(Table1[[#This Row],[Deadtime Loss BuSync]]+Table1[[#This Row],[RDS(on) Loss BuSync]]*(1+RdsonBotTc*Ta-RdsonBotTc*25))/(1-Table1[[#This Row],[RDS(on) Loss BuSync]]*RdsonBotTc*ThetaJA_Q2)</f>
        <v>0.88684530885394941</v>
      </c>
      <c r="AP47" s="354">
        <f>CHOOSE(Table1[[#This Row],[Mode Digit]],0,SQRT((Fsw*(Table1[[#This Row],[t1_Ph_II]]+0))*((Table1[[#This Row],[I_0]]*Table1[[#This Row],[I_1]]+((Table1[[#This Row],[I_0]]-Table1[[#This Row],[I_1]])^2)/3))),SQRT((Fsw*(Table1[[#This Row],[t2_Ph_I]]+0))*((Table1[[#This Row],[I_1]]*Table1[[#This Row],[I_2]]+((Table1[[#This Row],[I_1]]-Table1[[#This Row],[I_2]])^2)/3))))</f>
        <v>0</v>
      </c>
      <c r="AQ47" s="354">
        <f>Rdson4*Table1[[#This Row],[Irms BoCtlr]]^2</f>
        <v>0</v>
      </c>
      <c r="AR47" s="354">
        <f>CHOOSE(Table1[[#This Row],[Mode Digit]], 0, (Vout*Table1[[#This Row],[Iin]]/2)*(Fsw)*(Tr_boost+Tf_boost), (Vout*Iout/2)*(Fsw/1)*(Tr_boost+Tf_boost))</f>
        <v>0</v>
      </c>
      <c r="AS47">
        <f>IF(Table1[[#This Row],[Vin]]&gt;Vout, 0, IF(Table1[[#This Row],[Iin]]&gt;Table1[[#This Row],[Ripple Current pk-pk]]/2,0,ABS(Table1[[#This Row],[Iin]]-Table1[[#This Row],[Ripple Current pk-pk]]/2)*Vsd_Q4*Deadtime*Fsw))</f>
        <v>0</v>
      </c>
      <c r="AT47" s="354">
        <f>(Table1[[#This Row],[Dead Time Loss BoCtlr]]+Table1[[#This Row],[Transition Loss BoCtlr]]+Table1[[#This Row],[RDS(on) Loss BoCtlr]]*(1+RdsonTopTc*Ta-RdsonTopTc*25))/(1-Table1[[#This Row],[RDS(on) Loss BoCtlr]]*RdsonTopTc*ThetaJA_Q4)</f>
        <v>0</v>
      </c>
      <c r="AU4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12.053720966164242</v>
      </c>
      <c r="AV47" s="354">
        <f>Rdson3*Table1[[#This Row],[Irms BoSync]]^2</f>
        <v>0.61022719434661921</v>
      </c>
      <c r="AW4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47" s="354">
        <f>(Table1[[#This Row],[Deadtime Loss BoSync]]+Table1[[#This Row],[RDS(on) Loss BoSync]]*(1+RdsonBotTc*Ta-RdsonBotTc*25))/(1-Table1[[#This Row],[RDS(on) Loss BoSync]]*RdsonBotTc*ThetaJA_Q3)</f>
        <v>0.7149322600783371</v>
      </c>
      <c r="AY47" s="354">
        <f>CHOOSE(Table1[[#This Row],[Mode Digit]], Rdson3*Table1[[#This Row],[Irms Lf]]^2, Rdson1*Table1[[#This Row],[Irms Lf]]^2, 0)</f>
        <v>0.61022719434661921</v>
      </c>
      <c r="AZ47" s="354">
        <f>CHOOSE(Table1[[#This Row],[Mode Digit]], 2*Deadtime*Fsw*IF(VfdSky_Q2&gt;0,VfdSky_Q2,0)*Table1[[#This Row],[Iout]], 2*Deadtime*Fsw*IF(VfdSky_Q3&gt;0,VfdSky_Q3,0)*Table1[[#This Row],[Iin]], 2*Deadtime*Fsw*IF(VfdSky_Q2&gt;0,VfdSky_Q2,0)*Table1[[#This Row],[Iout]]+2*Deadtime*Fsw*IF(VfdSky_Q3&gt;0,VfdSky_Q3,0)*Table1[[#This Row],[Iin]])</f>
        <v>0</v>
      </c>
      <c r="BA47" s="354">
        <f>CHOOSE(Table1[[#This Row],[Mode Digit]], IF(QrrSky_Q2&gt;0,QrrSky_Q2,Qrr_Q2)*Fsw*(Table1[[#This Row],[Vin]]-Table1[[#This Row],[Iout]]*Rdson1),0,  IF(QrrSky_Q2&gt;0,QrrSky_Q2,Qrr_Q2)*Fsw*(Table1[[#This Row],[Vin]]-Table1[[#This Row],[Iout]]*Rdson1)+IF(QrrSky_Q3&gt;0,QrrSky_Q3,Qrr_Q3)*Fsw*Vout)</f>
        <v>0.30323520000000004</v>
      </c>
      <c r="BB47" s="354">
        <f>CHOOSE(Table1[[#This Row],[Mode Digit]],0, IF(QrrSky_Q3&gt;0,QrrSky_Q3,Qrr_Q3)*Fsw*Vout,  IF(QrrSky_Q2&gt;0,QrrSky_Q2,Qrr_Q2)*Fsw*(Table1[[#This Row],[Vin]]-Table1[[#This Row],[Iout]]*Rdson1)+IF(QrrSky_Q3&gt;0,QrrSky_Q3,Qrr_Q3)*Fsw*Vout)</f>
        <v>0</v>
      </c>
      <c r="BC47" s="354">
        <f>CHOOSE(Table1[[#This Row],[Mode Digit]], Rs*Table1[[#This Row],[Irms BuSync]]^2, Rs*Table1[[#This Row],[Irms BoCtlr]]^2, Rs*(Table1[[#This Row],[Irms BuSync]]^2+Table1[[#This Row],[Irms BoCtlr]]^2))</f>
        <v>0.1518833535285565</v>
      </c>
      <c r="BD47" s="354">
        <f t="shared" si="1"/>
        <v>1.44</v>
      </c>
      <c r="BE47" s="354">
        <f>IF(Vout&gt;8, Iq*Vout, Iq*Table1[[#This Row],[Vin]])</f>
        <v>4.3799999999999999E-2</v>
      </c>
      <c r="BF47" s="354">
        <f>CHOOSE(Table1[[#This Row],[Mode Digit]], (Qg_Q1+Qg_Q2)*Fsw, (Qg_Q3+Qg_Q4)*Fsw, (Qg_Q1+Qg_Q2+Qg_Q3+Qg_Q4)*Fsw)*IF(Vout&gt;8, Vout, Table1[[#This Row],[Vin]])</f>
        <v>0.47303999999999996</v>
      </c>
      <c r="BG47" s="354">
        <f t="shared" si="2"/>
        <v>0.45605042016806729</v>
      </c>
      <c r="BH47" s="354">
        <f>Table1[[#This Row],[IQ Loss]]+Table1[[#This Row],[Switching Current Loss]]</f>
        <v>0.51683999999999997</v>
      </c>
      <c r="BI4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9.4323918757159344</v>
      </c>
      <c r="BJ47">
        <f>Vout*Table1[[#This Row],[Iout]]</f>
        <v>175.2</v>
      </c>
      <c r="BK47" s="550">
        <f>Table1[[#This Row],[Pout]]/(Table1[[#This Row],[Pout]]+Table1[[#This Row],[Total Loss]])</f>
        <v>0.94891258364856546</v>
      </c>
      <c r="BL4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220.90782047523655</v>
      </c>
      <c r="BM47" s="559">
        <f>IF(Table1[[#This Row],[Vin]]&gt;Vout, Table1[[#This Row],[Total Sync Bu MOSFET Loss]]*ThetaJA_Q2, ThetaJA_Q3*Table1[[#This Row],[Total Sync Bo MOSFET Loss]])</f>
        <v>53.210718531236964</v>
      </c>
      <c r="BN47" s="9"/>
      <c r="BO47" s="4">
        <f>Table1[[#This Row],[EFF, h]]*100</f>
        <v>94.89125836485654</v>
      </c>
      <c r="BP47" s="354">
        <f>Table1[[#This Row],[Total Inductor Loss]]</f>
        <v>1.6596986449840616</v>
      </c>
      <c r="BQ47" s="354">
        <f>Table1[[#This Row],[Total Control Bu MOSFET Loss]]+Table1[[#This Row],[Total Sync Bu MOSFET Loss]]+Table1[[#This Row],[Total Control Bo MOSFET Loss]]+Table1[[#This Row],[Total Sync Bo MOSFET Loss]]+Table1[[#This Row],[Reverse Recovery Loss MOSFET D BUCK]]+Table1[[#This Row],[Reverse Recovery Loss MOSFET D BOOST]]</f>
        <v>5.5868097768528955</v>
      </c>
      <c r="BR47" s="354">
        <f>Table1[[#This Row],[Total Control Bu MOSFET Loss]]+Table1[[#This Row],[Reverse Recovery Loss MOSFET D BUCK]]*0.66</f>
        <v>3.8819322399206091</v>
      </c>
      <c r="BS47" s="354">
        <f>Table1[[#This Row],[Total Sync Bu MOSFET Loss]]+Table1[[#This Row],[Reverse Recovery Loss MOSFET D BUCK]]*0.33</f>
        <v>0.98691292485394944</v>
      </c>
      <c r="BT47" s="354">
        <f xml:space="preserve"> Table1[[#This Row],[Total Control Bo MOSFET Loss]]+Table1[[#This Row],[Reverse Recovery Loss MOSFET D BOOST]]*0.66</f>
        <v>0</v>
      </c>
      <c r="BU47" s="354">
        <f xml:space="preserve"> Table1[[#This Row],[Total Sync Bo MOSFET Loss]]+Table1[[#This Row],[Reverse Recovery Loss MOSFET D BOOST]]*0.33</f>
        <v>0.7149322600783371</v>
      </c>
      <c r="BV47" s="354">
        <f>Table1[[#This Row],[Isense Shunt Loss]]</f>
        <v>0.1518833535285565</v>
      </c>
      <c r="CA47">
        <v>9.9976269999999996</v>
      </c>
      <c r="CB47">
        <v>6.9470000000000001</v>
      </c>
      <c r="CC47">
        <v>5.1086669999999996</v>
      </c>
      <c r="CD47">
        <v>92.656807634751772</v>
      </c>
      <c r="CE47">
        <v>2812.6290012010018</v>
      </c>
    </row>
    <row r="48" spans="1:83" x14ac:dyDescent="0.2">
      <c r="A48" s="24" t="s">
        <v>726</v>
      </c>
      <c r="B48" s="15" t="s">
        <v>113</v>
      </c>
      <c r="C48" s="24" t="s">
        <v>80</v>
      </c>
      <c r="D48" s="17" t="s">
        <v>109</v>
      </c>
      <c r="G48">
        <v>39</v>
      </c>
      <c r="H48" s="555">
        <f>VIN_min+(VIN_max-VIN_min)*(Table1[[#This Row],[Step]]/200)</f>
        <v>25.46</v>
      </c>
      <c r="I48" s="4" t="str">
        <f>IF(Mode = 2,IF(Table1[[#This Row],[Vin]]&gt;Vout, "BUCK","BOOST"),IF(Table1[[#This Row],[Vin]]&gt;VIN_BB_to_buck, "BUCK", IF(Table1[[#This Row],[Vin]]&lt;=VIN_boost_to_BB,"BOOST","BUCK-BST")))</f>
        <v>BUCK</v>
      </c>
      <c r="J48">
        <f>IF(Table1[[#This Row],[Mode]]="BOOST",2, IF(Table1[[#This Row],[Mode]]="BUCK", 1,3))</f>
        <v>1</v>
      </c>
      <c r="K48">
        <f t="shared" si="0"/>
        <v>12</v>
      </c>
      <c r="L48" s="4">
        <f>Vout*Table1[[#This Row],[Iout]]/(Table1[[#This Row],[Vin]]*Efficiency)</f>
        <v>7.2435605903998006</v>
      </c>
      <c r="M48" s="711">
        <f>MIN(1/Fsw,CHOOSE(Table1[[#This Row],[Mode Digit]],(Vout+(Rdson2+Rs+Rdcr)*Table1[[#This Row],[Iout]])/(Table1[[#This Row],[Vin]]+(Rs+Rdson2-Rdson1)*Table1[[#This Row],[Iout]])/Fsw,(Vout+(Rdson3+Rdcr)*Table1[[#This Row],[Iin]]-Table1[[#This Row],[Vin]])/(Vout+(Rdson3-Rdson4-Rs)*Table1[[#This Row],[Iin]])/Fsw,t1_Ph_II))</f>
        <v>9.6443049561919698E-7</v>
      </c>
      <c r="N48" s="602">
        <f>CHOOSE(Table1[[#This Row],[Mode Digit]],1/Fsw-Table1[[#This Row],[t1_Ph_II]],1/Fsw-Table1[[#This Row],[t1_Ph_II]],(Vout/Fsw-Table1[[#This Row],[Vin]]*t1_Ph_II)/(Table1[[#This Row],[Vin]]+Vout))</f>
        <v>7.0223617104746969E-7</v>
      </c>
      <c r="O48" s="602">
        <f>1/Fsw-(Table1[[#This Row],[t1_Ph_II]]+Table1[[#This Row],[t2_Ph_I]])</f>
        <v>0</v>
      </c>
      <c r="P4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10.016341821510515</v>
      </c>
      <c r="Q48" s="4">
        <f>CHOOSE(Table1[[#This Row],[Mode Digit]],Table1[[#This Row],[I_0]]+1/Lf*(Table1[[#This Row],[Vin]]-Vout)*Table1[[#This Row],[t1_Ph_II]],Table1[[#This Row],[I_0]]+1/Lf*Table1[[#This Row],[Vin]]*Table1[[#This Row],[t1_Ph_II]],Table1[[#This Row],[I_0]]+(Table1[[#This Row],[Vin]]-Vout)/L*Table1[[#This Row],[t1_Ph_II]])</f>
        <v>13.983658178489485</v>
      </c>
      <c r="R48" s="4">
        <f>CHOOSE(Table1[[#This Row],[Mode Digit]],0,0,Table1[[#This Row],[I_1]]+Table1[[#This Row],[Vin]]/L*Table1[[#This Row],[t2_Ph_I]])</f>
        <v>0</v>
      </c>
      <c r="S48" s="4">
        <f>Fsw*(Table1[[#This Row],[I_0]]*Table1[[#This Row],[t1_Ph_II]]+Table1[[#This Row],[I_1]]*Table1[[#This Row],[t2_Ph_I]]+Table1[[#This Row],[I_2]]*Table1[[#This Row],[t3_Ph_III]])</f>
        <v>11.687937650225859</v>
      </c>
      <c r="T48" s="354">
        <f>MIN(1,CHOOSE(Table1[[#This Row],[Mode Digit]],(Vout+(Rdson2+Rs+Rdcr)*Table1[[#This Row],[Iout]])/(Table1[[#This Row],[Vin]]+(Rs+Rdson2-Rdson1)*Table1[[#This Row],[Iout]]),1,Fsw*Table1[[#This Row],[t2_Ph_I]]+Table1[[#This Row],[t1_Ph_II]]))</f>
        <v>0.57865829737151819</v>
      </c>
      <c r="U48" s="354">
        <f>MIN(1,CHOOSE(Table1[[#This Row],[Mode Digit]],0,(Vout+(Rdson3+Rdcr)*Table1[[#This Row],[Iin]]-Table1[[#This Row],[Vin]])/(Vout+(Rdson3-Rdson4-Rs)*Table1[[#This Row],[Iin]]),Fsw*Table1[[#This Row],[t1_Ph_II]]+Table1[[#This Row],[t3_Ph_III]]))</f>
        <v>0</v>
      </c>
      <c r="V48" s="4">
        <f>MAX(Table1[[#This Row],[I_0]:[I_2]])-MIN(Table1[[#This Row],[I_0]:[I_1]])</f>
        <v>3.9673163569789693</v>
      </c>
      <c r="W4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12.054527500336242</v>
      </c>
      <c r="X48" s="354">
        <f>(Table1[[#This Row],[Irms Lf]]^2*Rdcr*(1+Ltc*Ta-Ltc*25))/(1-Table1[[#This Row],[Irms Lf]]^2*Rdcr*Ltc*ThetaCa)</f>
        <v>0.90374190754618289</v>
      </c>
      <c r="Y48" s="354">
        <f>ABS(7.759*10^-3*Fsw^0.9458*(0.00787*Table1[[#This Row],[Ripple Current pk-pk]])^2.304)</f>
        <v>0.76920781991339493</v>
      </c>
      <c r="Z48" s="354">
        <f>Table1[[#This Row],[DCR    Loss]]+Table1[[#This Row],[Core Loss]]</f>
        <v>1.6729497274595779</v>
      </c>
      <c r="AA48" s="4">
        <f>IF(Table1[[#This Row],[Vin]]&gt;Vout, Table1[[#This Row],[Ripple Current pk-pk]]/SQRT(12), SQRT(Table1[[#This Row],[Duty Cycle BOOST Leg]]/(1-Table1[[#This Row],[Duty Cycle BOOST Leg]]))*SQRT(Table1[[#This Row],[Iout]]^2+(Table1[[#This Row],[Ripple Current pk-pk]]^2)/12))</f>
        <v>1.1452655833311067</v>
      </c>
      <c r="AB48" s="354">
        <f>RCoutEsr*Table1[[#This Row],[Irms Cout]]^2</f>
        <v>6.5581662818137015E-3</v>
      </c>
      <c r="AC48" s="354">
        <f>Table1[[#This Row],[Cout ESR Loss]]</f>
        <v>6.5581662818137015E-3</v>
      </c>
      <c r="AD48" s="354">
        <f>IF(Table1[[#This Row],[Vin]]&gt;Vout, SQRT(Table1[[#This Row],[Duty Cycle BUCK Leg]]*(1-Table1[[#This Row],[Duty Cycle BUCK Leg]]))*SQRT(Table1[[#This Row],[Iout]]^2+(Table1[[#This Row],[Ripple Current pk-pk]]^2)/12), Table1[[#This Row],[Ripple Current pk-pk]]/SQRT(12))</f>
        <v>5.9522135946421528</v>
      </c>
      <c r="AE48" s="354">
        <f>RCinEsr*Table1[[#This Row],[Irms Cin]]^2</f>
        <v>7.0857693352485707E-2</v>
      </c>
      <c r="AF48" s="549">
        <f>Table1[[#This Row],[Cin ESR Loss]]</f>
        <v>7.0857693352485707E-2</v>
      </c>
      <c r="AG4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9.1698300032444084</v>
      </c>
      <c r="AH48" s="354">
        <f>Rdson1*Table1[[#This Row],[Irms BuCtrl]]^2</f>
        <v>0.35316028561128571</v>
      </c>
      <c r="AI48" s="354">
        <f>CHOOSE(Table1[[#This Row],[Mode Digit]], (Table1[[#This Row],[Vin]]*Table1[[#This Row],[Iout]]/2)*(Fsw)*(Tr_buck+Tf_buck), 0, (Table1[[#This Row],[Vin]]*Table1[[#This Row],[Avg IL]]/2)*(Fsw/1)*(Tr_buck+Tf_buck))</f>
        <v>3.0296484283693679</v>
      </c>
      <c r="AJ48">
        <f>IF(Table1[[#This Row],[Vin]]&gt;Vout, IF(Table1[[#This Row],[Iout]]&gt;Table1[[#This Row],[Ripple Current pk-pk]]/2,0,ABS(Table1[[#This Row],[Iout]]-Table1[[#This Row],[Ripple Current pk-pk]]/2)*Vsd_Q1*Deadtime*Fsw),0)</f>
        <v>0</v>
      </c>
      <c r="AK48" s="354">
        <f>(Table1[[#This Row],[Dead Time Loss BuCtrl]]+Table1[[#This Row],[Transition Loss BuCtrl]]+Table1[[#This Row],[RDS(on) Loss BuCtrl]]*(1+RdsonTopTc*Ta-RdsonTopTc*25))/(1-Table1[[#This Row],[RDS(on) Loss BuCtrl]]*RdsonTopTc*ThetaJA_Q1)</f>
        <v>3.6960830531905251</v>
      </c>
      <c r="AL48" s="354">
        <f>CHOOSE(Table1[[#This Row],[Mode Digit]],SQRT((Fsw*(Table1[[#This Row],[t2_Ph_I]]+0))*((Table1[[#This Row],[I_0]]*Table1[[#This Row],[I_1]]+((Table1[[#This Row],[I_0]]-Table1[[#This Row],[I_1]])^2)/3))),0,SQRT((Fsw*(Table1[[#This Row],[t3_Ph_III]]+0))*((Table1[[#This Row],[I_0]]*Table1[[#This Row],[I_2]]+((Table1[[#This Row],[I_0]]-Table1[[#This Row],[I_2]])^2)/3))))</f>
        <v>7.8246949440832134</v>
      </c>
      <c r="AM48" s="354">
        <f>Rdson2*Table1[[#This Row],[Irms BuSync]]^2</f>
        <v>0.2571485740654379</v>
      </c>
      <c r="AN4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48" s="354">
        <f>(Table1[[#This Row],[Deadtime Loss BuSync]]+Table1[[#This Row],[RDS(on) Loss BuSync]]*(1+RdsonBotTc*Ta-RdsonBotTc*25))/(1-Table1[[#This Row],[RDS(on) Loss BuSync]]*RdsonBotTc*ThetaJA_Q2)</f>
        <v>0.88941056040491417</v>
      </c>
      <c r="AP48" s="354">
        <f>CHOOSE(Table1[[#This Row],[Mode Digit]],0,SQRT((Fsw*(Table1[[#This Row],[t1_Ph_II]]+0))*((Table1[[#This Row],[I_0]]*Table1[[#This Row],[I_1]]+((Table1[[#This Row],[I_0]]-Table1[[#This Row],[I_1]])^2)/3))),SQRT((Fsw*(Table1[[#This Row],[t2_Ph_I]]+0))*((Table1[[#This Row],[I_1]]*Table1[[#This Row],[I_2]]+((Table1[[#This Row],[I_1]]-Table1[[#This Row],[I_2]])^2)/3))))</f>
        <v>0</v>
      </c>
      <c r="AQ48" s="354">
        <f>Rdson4*Table1[[#This Row],[Irms BoCtlr]]^2</f>
        <v>0</v>
      </c>
      <c r="AR48" s="354">
        <f>CHOOSE(Table1[[#This Row],[Mode Digit]], 0, (Vout*Table1[[#This Row],[Iin]]/2)*(Fsw)*(Tr_boost+Tf_boost), (Vout*Iout/2)*(Fsw/1)*(Tr_boost+Tf_boost))</f>
        <v>0</v>
      </c>
      <c r="AS48">
        <f>IF(Table1[[#This Row],[Vin]]&gt;Vout, 0, IF(Table1[[#This Row],[Iin]]&gt;Table1[[#This Row],[Ripple Current pk-pk]]/2,0,ABS(Table1[[#This Row],[Iin]]-Table1[[#This Row],[Ripple Current pk-pk]]/2)*Vsd_Q4*Deadtime*Fsw))</f>
        <v>0</v>
      </c>
      <c r="AT48" s="354">
        <f>(Table1[[#This Row],[Dead Time Loss BoCtlr]]+Table1[[#This Row],[Transition Loss BoCtlr]]+Table1[[#This Row],[RDS(on) Loss BoCtlr]]*(1+RdsonTopTc*Ta-RdsonTopTc*25))/(1-Table1[[#This Row],[RDS(on) Loss BoCtlr]]*RdsonTopTc*ThetaJA_Q4)</f>
        <v>0</v>
      </c>
      <c r="AU4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12.054527500336242</v>
      </c>
      <c r="AV48" s="354">
        <f>Rdson3*Table1[[#This Row],[Irms BoSync]]^2</f>
        <v>0.61030885967672355</v>
      </c>
      <c r="AW4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48" s="354">
        <f>(Table1[[#This Row],[Deadtime Loss BoSync]]+Table1[[#This Row],[RDS(on) Loss BoSync]]*(1+RdsonBotTc*Ta-RdsonBotTc*25))/(1-Table1[[#This Row],[RDS(on) Loss BoSync]]*RdsonBotTc*ThetaJA_Q3)</f>
        <v>0.71504435717582426</v>
      </c>
      <c r="AY48" s="354">
        <f>CHOOSE(Table1[[#This Row],[Mode Digit]], Rdson3*Table1[[#This Row],[Irms Lf]]^2, Rdson1*Table1[[#This Row],[Irms Lf]]^2, 0)</f>
        <v>0.61030885967672355</v>
      </c>
      <c r="AZ48" s="354">
        <f>CHOOSE(Table1[[#This Row],[Mode Digit]], 2*Deadtime*Fsw*IF(VfdSky_Q2&gt;0,VfdSky_Q2,0)*Table1[[#This Row],[Iout]], 2*Deadtime*Fsw*IF(VfdSky_Q3&gt;0,VfdSky_Q3,0)*Table1[[#This Row],[Iin]], 2*Deadtime*Fsw*IF(VfdSky_Q2&gt;0,VfdSky_Q2,0)*Table1[[#This Row],[Iout]]+2*Deadtime*Fsw*IF(VfdSky_Q3&gt;0,VfdSky_Q3,0)*Table1[[#This Row],[Iin]])</f>
        <v>0</v>
      </c>
      <c r="BA48" s="354">
        <f>CHOOSE(Table1[[#This Row],[Mode Digit]], IF(QrrSky_Q2&gt;0,QrrSky_Q2,Qrr_Q2)*Fsw*(Table1[[#This Row],[Vin]]-Table1[[#This Row],[Iout]]*Rdson1),0,  IF(QrrSky_Q2&gt;0,QrrSky_Q2,Qrr_Q2)*Fsw*(Table1[[#This Row],[Vin]]-Table1[[#This Row],[Iout]]*Rdson1)+IF(QrrSky_Q3&gt;0,QrrSky_Q3,Qrr_Q3)*Fsw*Vout)</f>
        <v>0.3049152</v>
      </c>
      <c r="BB48" s="354">
        <f>CHOOSE(Table1[[#This Row],[Mode Digit]],0, IF(QrrSky_Q3&gt;0,QrrSky_Q3,Qrr_Q3)*Fsw*Vout,  IF(QrrSky_Q2&gt;0,QrrSky_Q2,Qrr_Q2)*Fsw*(Table1[[#This Row],[Vin]]-Table1[[#This Row],[Iout]]*Rdson1)+IF(QrrSky_Q3&gt;0,QrrSky_Q3,Qrr_Q3)*Fsw*Vout)</f>
        <v>0</v>
      </c>
      <c r="BC48" s="354">
        <f>CHOOSE(Table1[[#This Row],[Mode Digit]], Rs*Table1[[#This Row],[Irms BuSync]]^2, Rs*Table1[[#This Row],[Irms BoCtlr]]^2, Rs*(Table1[[#This Row],[Irms BuSync]]^2+Table1[[#This Row],[Irms BoCtlr]]^2))</f>
        <v>0.15306462741990351</v>
      </c>
      <c r="BD48" s="354">
        <f t="shared" si="1"/>
        <v>1.44</v>
      </c>
      <c r="BE48" s="354">
        <f>IF(Vout&gt;8, Iq*Vout, Iq*Table1[[#This Row],[Vin]])</f>
        <v>4.3799999999999999E-2</v>
      </c>
      <c r="BF48" s="354">
        <f>CHOOSE(Table1[[#This Row],[Mode Digit]], (Qg_Q1+Qg_Q2)*Fsw, (Qg_Q3+Qg_Q4)*Fsw, (Qg_Q1+Qg_Q2+Qg_Q3+Qg_Q4)*Fsw)*IF(Vout&gt;8, Vout, Table1[[#This Row],[Vin]])</f>
        <v>0.47303999999999996</v>
      </c>
      <c r="BG48" s="354">
        <f t="shared" si="2"/>
        <v>0.45605042016806729</v>
      </c>
      <c r="BH48" s="354">
        <f>Table1[[#This Row],[IQ Loss]]+Table1[[#This Row],[Switching Current Loss]]</f>
        <v>0.51683999999999997</v>
      </c>
      <c r="BI4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9.4657233852850435</v>
      </c>
      <c r="BJ48">
        <f>Vout*Table1[[#This Row],[Iout]]</f>
        <v>175.2</v>
      </c>
      <c r="BK48" s="550">
        <f>Table1[[#This Row],[Pout]]/(Table1[[#This Row],[Pout]]+Table1[[#This Row],[Total Loss]])</f>
        <v>0.94874130828526404</v>
      </c>
      <c r="BL4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221.7649831914315</v>
      </c>
      <c r="BM48" s="559">
        <f>IF(Table1[[#This Row],[Vin]]&gt;Vout, Table1[[#This Row],[Total Sync Bu MOSFET Loss]]*ThetaJA_Q2, ThetaJA_Q3*Table1[[#This Row],[Total Sync Bo MOSFET Loss]])</f>
        <v>53.364633624294854</v>
      </c>
      <c r="BN48" s="9"/>
      <c r="BO48" s="4">
        <f>Table1[[#This Row],[EFF, h]]*100</f>
        <v>94.874130828526404</v>
      </c>
      <c r="BP48" s="354">
        <f>Table1[[#This Row],[Total Inductor Loss]]</f>
        <v>1.6729497274595779</v>
      </c>
      <c r="BQ48" s="354">
        <f>Table1[[#This Row],[Total Control Bu MOSFET Loss]]+Table1[[#This Row],[Total Sync Bu MOSFET Loss]]+Table1[[#This Row],[Total Control Bo MOSFET Loss]]+Table1[[#This Row],[Total Sync Bo MOSFET Loss]]+Table1[[#This Row],[Reverse Recovery Loss MOSFET D BUCK]]+Table1[[#This Row],[Reverse Recovery Loss MOSFET D BOOST]]</f>
        <v>5.6054531707712627</v>
      </c>
      <c r="BR48" s="354">
        <f>Table1[[#This Row],[Total Control Bu MOSFET Loss]]+Table1[[#This Row],[Reverse Recovery Loss MOSFET D BUCK]]*0.66</f>
        <v>3.8973270851905251</v>
      </c>
      <c r="BS48" s="354">
        <f>Table1[[#This Row],[Total Sync Bu MOSFET Loss]]+Table1[[#This Row],[Reverse Recovery Loss MOSFET D BUCK]]*0.33</f>
        <v>0.99003257640491416</v>
      </c>
      <c r="BT48" s="354">
        <f xml:space="preserve"> Table1[[#This Row],[Total Control Bo MOSFET Loss]]+Table1[[#This Row],[Reverse Recovery Loss MOSFET D BOOST]]*0.66</f>
        <v>0</v>
      </c>
      <c r="BU48" s="354">
        <f xml:space="preserve"> Table1[[#This Row],[Total Sync Bo MOSFET Loss]]+Table1[[#This Row],[Reverse Recovery Loss MOSFET D BOOST]]*0.33</f>
        <v>0.71504435717582426</v>
      </c>
      <c r="BV48" s="354">
        <f>Table1[[#This Row],[Isense Shunt Loss]]</f>
        <v>0.15306462741990351</v>
      </c>
      <c r="CA48">
        <v>9.9975280000000009</v>
      </c>
      <c r="CB48">
        <v>7.7530000000000001</v>
      </c>
      <c r="CC48">
        <v>5.10853</v>
      </c>
      <c r="CD48">
        <v>92.034336419785248</v>
      </c>
      <c r="CE48">
        <v>3427.976173640001</v>
      </c>
    </row>
    <row r="49" spans="1:83" x14ac:dyDescent="0.2">
      <c r="A49" s="23" t="s">
        <v>72</v>
      </c>
      <c r="B49" s="5">
        <f>Rdson2*1000</f>
        <v>4.2</v>
      </c>
      <c r="C49" s="442" t="s">
        <v>638</v>
      </c>
      <c r="D49" s="440" t="s">
        <v>727</v>
      </c>
      <c r="G49">
        <v>40</v>
      </c>
      <c r="H49" s="555">
        <f>VIN_min+(VIN_max-VIN_min)*(Table1[[#This Row],[Step]]/200)</f>
        <v>25.6</v>
      </c>
      <c r="I49" s="4" t="str">
        <f>IF(Mode = 2,IF(Table1[[#This Row],[Vin]]&gt;Vout, "BUCK","BOOST"),IF(Table1[[#This Row],[Vin]]&gt;VIN_BB_to_buck, "BUCK", IF(Table1[[#This Row],[Vin]]&lt;=VIN_boost_to_BB,"BOOST","BUCK-BST")))</f>
        <v>BUCK</v>
      </c>
      <c r="J49">
        <f>IF(Table1[[#This Row],[Mode]]="BOOST",2, IF(Table1[[#This Row],[Mode]]="BUCK", 1,3))</f>
        <v>1</v>
      </c>
      <c r="K49">
        <f t="shared" si="0"/>
        <v>12</v>
      </c>
      <c r="L49" s="4">
        <f>Vout*Table1[[#This Row],[Iout]]/(Table1[[#This Row],[Vin]]*Efficiency)</f>
        <v>7.2039473684210522</v>
      </c>
      <c r="M49" s="711">
        <f>MIN(1/Fsw,CHOOSE(Table1[[#This Row],[Mode Digit]],(Vout+(Rdson2+Rs+Rdcr)*Table1[[#This Row],[Iout]])/(Table1[[#This Row],[Vin]]+(Rs+Rdson2-Rdson1)*Table1[[#This Row],[Iout]])/Fsw,(Vout+(Rdson3+Rdcr)*Table1[[#This Row],[Iin]]-Table1[[#This Row],[Vin]])/(Vout+(Rdson3-Rdson4-Rs)*Table1[[#This Row],[Iin]])/Fsw,t1_Ph_II))</f>
        <v>9.5916243984913494E-7</v>
      </c>
      <c r="N49" s="602">
        <f>CHOOSE(Table1[[#This Row],[Mode Digit]],1/Fsw-Table1[[#This Row],[t1_Ph_II]],1/Fsw-Table1[[#This Row],[t1_Ph_II]],(Vout/Fsw-Table1[[#This Row],[Vin]]*t1_Ph_II)/(Table1[[#This Row],[Vin]]+Vout))</f>
        <v>7.0750422681753172E-7</v>
      </c>
      <c r="O49" s="602">
        <f>1/Fsw-(Table1[[#This Row],[t1_Ph_II]]+Table1[[#This Row],[t2_Ph_I]])</f>
        <v>0</v>
      </c>
      <c r="P4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10.001744916980968</v>
      </c>
      <c r="Q49" s="4">
        <f>CHOOSE(Table1[[#This Row],[Mode Digit]],Table1[[#This Row],[I_0]]+1/Lf*(Table1[[#This Row],[Vin]]-Vout)*Table1[[#This Row],[t1_Ph_II]],Table1[[#This Row],[I_0]]+1/Lf*Table1[[#This Row],[Vin]]*Table1[[#This Row],[t1_Ph_II]],Table1[[#This Row],[I_0]]+(Table1[[#This Row],[Vin]]-Vout)/L*Table1[[#This Row],[t1_Ph_II]])</f>
        <v>13.998255083019032</v>
      </c>
      <c r="R49" s="4">
        <f>CHOOSE(Table1[[#This Row],[Mode Digit]],0,0,Table1[[#This Row],[I_1]]+Table1[[#This Row],[Vin]]/L*Table1[[#This Row],[t2_Ph_I]])</f>
        <v>0</v>
      </c>
      <c r="S49" s="4">
        <f>Fsw*(Table1[[#This Row],[I_0]]*Table1[[#This Row],[t1_Ph_II]]+Table1[[#This Row],[I_1]]*Table1[[#This Row],[t2_Ph_I]]+Table1[[#This Row],[I_2]]*Table1[[#This Row],[t3_Ph_III]])</f>
        <v>11.698273617975667</v>
      </c>
      <c r="T49" s="354">
        <f>MIN(1,CHOOSE(Table1[[#This Row],[Mode Digit]],(Vout+(Rdson2+Rs+Rdcr)*Table1[[#This Row],[Iout]])/(Table1[[#This Row],[Vin]]+(Rs+Rdson2-Rdson1)*Table1[[#This Row],[Iout]]),1,Fsw*Table1[[#This Row],[t2_Ph_I]]+Table1[[#This Row],[t1_Ph_II]]))</f>
        <v>0.57549746390948098</v>
      </c>
      <c r="U49" s="354">
        <f>MIN(1,CHOOSE(Table1[[#This Row],[Mode Digit]],0,(Vout+(Rdson3+Rdcr)*Table1[[#This Row],[Iin]]-Table1[[#This Row],[Vin]])/(Vout+(Rdson3-Rdson4-Rs)*Table1[[#This Row],[Iin]]),Fsw*Table1[[#This Row],[t1_Ph_II]]+Table1[[#This Row],[t3_Ph_III]]))</f>
        <v>0</v>
      </c>
      <c r="V49" s="4">
        <f>MAX(Table1[[#This Row],[I_0]:[I_2]])-MIN(Table1[[#This Row],[I_0]:[I_1]])</f>
        <v>3.996510166038064</v>
      </c>
      <c r="W4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12.055331094261595</v>
      </c>
      <c r="X49" s="354">
        <f>(Table1[[#This Row],[Irms Lf]]^2*Rdcr*(1+Ltc*Ta-Ltc*25))/(1-Table1[[#This Row],[Irms Lf]]^2*Rdcr*Ltc*ThetaCa)</f>
        <v>0.903871117382397</v>
      </c>
      <c r="Y49" s="354">
        <f>ABS(7.759*10^-3*Fsw^0.9458*(0.00787*Table1[[#This Row],[Ripple Current pk-pk]])^2.304)</f>
        <v>0.78231171214492201</v>
      </c>
      <c r="Z49" s="354">
        <f>Table1[[#This Row],[DCR    Loss]]+Table1[[#This Row],[Core Loss]]</f>
        <v>1.6861828295273189</v>
      </c>
      <c r="AA49" s="4">
        <f>IF(Table1[[#This Row],[Vin]]&gt;Vout, Table1[[#This Row],[Ripple Current pk-pk]]/SQRT(12), SQRT(Table1[[#This Row],[Duty Cycle BOOST Leg]]/(1-Table1[[#This Row],[Duty Cycle BOOST Leg]]))*SQRT(Table1[[#This Row],[Iout]]^2+(Table1[[#This Row],[Ripple Current pk-pk]]^2)/12))</f>
        <v>1.1536931100905761</v>
      </c>
      <c r="AB49" s="354">
        <f>RCoutEsr*Table1[[#This Row],[Irms Cout]]^2</f>
        <v>6.6550389613523313E-3</v>
      </c>
      <c r="AC49" s="354">
        <f>Table1[[#This Row],[Cout ESR Loss]]</f>
        <v>6.6550389613523313E-3</v>
      </c>
      <c r="AD49" s="354">
        <f>IF(Table1[[#This Row],[Vin]]&gt;Vout, SQRT(Table1[[#This Row],[Duty Cycle BUCK Leg]]*(1-Table1[[#This Row],[Duty Cycle BUCK Leg]]))*SQRT(Table1[[#This Row],[Iout]]^2+(Table1[[#This Row],[Ripple Current pk-pk]]^2)/12), Table1[[#This Row],[Ripple Current pk-pk]]/SQRT(12))</f>
        <v>5.9585555736626503</v>
      </c>
      <c r="AE49" s="354">
        <f>RCinEsr*Table1[[#This Row],[Irms Cin]]^2</f>
        <v>7.1008769048852477E-2</v>
      </c>
      <c r="AF49" s="549">
        <f>Table1[[#This Row],[Cin ESR Loss]]</f>
        <v>7.1008769048852477E-2</v>
      </c>
      <c r="AG4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9.1453609229959145</v>
      </c>
      <c r="AH49" s="354">
        <f>Rdson1*Table1[[#This Row],[Irms BuCtrl]]^2</f>
        <v>0.35127803092981491</v>
      </c>
      <c r="AI49" s="354">
        <f>CHOOSE(Table1[[#This Row],[Mode Digit]], (Table1[[#This Row],[Vin]]*Table1[[#This Row],[Iout]]/2)*(Fsw)*(Tr_buck+Tf_buck), 0, (Table1[[#This Row],[Vin]]*Table1[[#This Row],[Avg IL]]/2)*(Fsw/1)*(Tr_buck+Tf_buck))</f>
        <v>3.0463079248333007</v>
      </c>
      <c r="AJ49">
        <f>IF(Table1[[#This Row],[Vin]]&gt;Vout, IF(Table1[[#This Row],[Iout]]&gt;Table1[[#This Row],[Ripple Current pk-pk]]/2,0,ABS(Table1[[#This Row],[Iout]]-Table1[[#This Row],[Ripple Current pk-pk]]/2)*Vsd_Q1*Deadtime*Fsw),0)</f>
        <v>0</v>
      </c>
      <c r="AK49" s="354">
        <f>(Table1[[#This Row],[Dead Time Loss BuCtrl]]+Table1[[#This Row],[Transition Loss BuCtrl]]+Table1[[#This Row],[RDS(on) Loss BuCtrl]]*(1+RdsonTopTc*Ta-RdsonTopTc*25))/(1-Table1[[#This Row],[RDS(on) Loss BuCtrl]]*RdsonTopTc*ThetaJA_Q1)</f>
        <v>3.710397419653416</v>
      </c>
      <c r="AL49" s="354">
        <f>CHOOSE(Table1[[#This Row],[Mode Digit]],SQRT((Fsw*(Table1[[#This Row],[t2_Ph_I]]+0))*((Table1[[#This Row],[I_0]]*Table1[[#This Row],[I_1]]+((Table1[[#This Row],[I_0]]-Table1[[#This Row],[I_1]])^2)/3))),0,SQRT((Fsw*(Table1[[#This Row],[t3_Ph_III]]+0))*((Table1[[#This Row],[I_0]]*Table1[[#This Row],[I_2]]+((Table1[[#This Row],[I_0]]-Table1[[#This Row],[I_2]])^2)/3))))</f>
        <v>7.8545134400807921</v>
      </c>
      <c r="AM49" s="354">
        <f>Rdson2*Table1[[#This Row],[Irms BuSync]]^2</f>
        <v>0.25911220179772121</v>
      </c>
      <c r="AN4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49" s="354">
        <f>(Table1[[#This Row],[Deadtime Loss BuSync]]+Table1[[#This Row],[RDS(on) Loss BuSync]]*(1+RdsonBotTc*Ta-RdsonBotTc*25))/(1-Table1[[#This Row],[RDS(on) Loss BuSync]]*RdsonBotTc*ThetaJA_Q2)</f>
        <v>0.89195134481339899</v>
      </c>
      <c r="AP49" s="354">
        <f>CHOOSE(Table1[[#This Row],[Mode Digit]],0,SQRT((Fsw*(Table1[[#This Row],[t1_Ph_II]]+0))*((Table1[[#This Row],[I_0]]*Table1[[#This Row],[I_1]]+((Table1[[#This Row],[I_0]]-Table1[[#This Row],[I_1]])^2)/3))),SQRT((Fsw*(Table1[[#This Row],[t2_Ph_I]]+0))*((Table1[[#This Row],[I_1]]*Table1[[#This Row],[I_2]]+((Table1[[#This Row],[I_1]]-Table1[[#This Row],[I_2]])^2)/3))))</f>
        <v>0</v>
      </c>
      <c r="AQ49" s="354">
        <f>Rdson4*Table1[[#This Row],[Irms BoCtlr]]^2</f>
        <v>0</v>
      </c>
      <c r="AR49" s="354">
        <f>CHOOSE(Table1[[#This Row],[Mode Digit]], 0, (Vout*Table1[[#This Row],[Iin]]/2)*(Fsw)*(Tr_boost+Tf_boost), (Vout*Iout/2)*(Fsw/1)*(Tr_boost+Tf_boost))</f>
        <v>0</v>
      </c>
      <c r="AS49">
        <f>IF(Table1[[#This Row],[Vin]]&gt;Vout, 0, IF(Table1[[#This Row],[Iin]]&gt;Table1[[#This Row],[Ripple Current pk-pk]]/2,0,ABS(Table1[[#This Row],[Iin]]-Table1[[#This Row],[Ripple Current pk-pk]]/2)*Vsd_Q4*Deadtime*Fsw))</f>
        <v>0</v>
      </c>
      <c r="AT49" s="354">
        <f>(Table1[[#This Row],[Dead Time Loss BoCtlr]]+Table1[[#This Row],[Transition Loss BoCtlr]]+Table1[[#This Row],[RDS(on) Loss BoCtlr]]*(1+RdsonTopTc*Ta-RdsonTopTc*25))/(1-Table1[[#This Row],[RDS(on) Loss BoCtlr]]*RdsonTopTc*ThetaJA_Q4)</f>
        <v>0</v>
      </c>
      <c r="AU4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12.055331094261595</v>
      </c>
      <c r="AV49" s="354">
        <f>Rdson3*Table1[[#This Row],[Irms BoSync]]^2</f>
        <v>0.61039023272753601</v>
      </c>
      <c r="AW4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49" s="354">
        <f>(Table1[[#This Row],[Deadtime Loss BoSync]]+Table1[[#This Row],[RDS(on) Loss BoSync]]*(1+RdsonBotTc*Ta-RdsonBotTc*25))/(1-Table1[[#This Row],[RDS(on) Loss BoSync]]*RdsonBotTc*ThetaJA_Q3)</f>
        <v>0.71515605819979522</v>
      </c>
      <c r="AY49" s="354">
        <f>CHOOSE(Table1[[#This Row],[Mode Digit]], Rdson3*Table1[[#This Row],[Irms Lf]]^2, Rdson1*Table1[[#This Row],[Irms Lf]]^2, 0)</f>
        <v>0.61039023272753601</v>
      </c>
      <c r="AZ49" s="354">
        <f>CHOOSE(Table1[[#This Row],[Mode Digit]], 2*Deadtime*Fsw*IF(VfdSky_Q2&gt;0,VfdSky_Q2,0)*Table1[[#This Row],[Iout]], 2*Deadtime*Fsw*IF(VfdSky_Q3&gt;0,VfdSky_Q3,0)*Table1[[#This Row],[Iin]], 2*Deadtime*Fsw*IF(VfdSky_Q2&gt;0,VfdSky_Q2,0)*Table1[[#This Row],[Iout]]+2*Deadtime*Fsw*IF(VfdSky_Q3&gt;0,VfdSky_Q3,0)*Table1[[#This Row],[Iin]])</f>
        <v>0</v>
      </c>
      <c r="BA49" s="354">
        <f>CHOOSE(Table1[[#This Row],[Mode Digit]], IF(QrrSky_Q2&gt;0,QrrSky_Q2,Qrr_Q2)*Fsw*(Table1[[#This Row],[Vin]]-Table1[[#This Row],[Iout]]*Rdson1),0,  IF(QrrSky_Q2&gt;0,QrrSky_Q2,Qrr_Q2)*Fsw*(Table1[[#This Row],[Vin]]-Table1[[#This Row],[Iout]]*Rdson1)+IF(QrrSky_Q3&gt;0,QrrSky_Q3,Qrr_Q3)*Fsw*Vout)</f>
        <v>0.30659520000000001</v>
      </c>
      <c r="BB49" s="354">
        <f>CHOOSE(Table1[[#This Row],[Mode Digit]],0, IF(QrrSky_Q3&gt;0,QrrSky_Q3,Qrr_Q3)*Fsw*Vout,  IF(QrrSky_Q2&gt;0,QrrSky_Q2,Qrr_Q2)*Fsw*(Table1[[#This Row],[Vin]]-Table1[[#This Row],[Iout]]*Rdson1)+IF(QrrSky_Q3&gt;0,QrrSky_Q3,Qrr_Q3)*Fsw*Vout)</f>
        <v>0</v>
      </c>
      <c r="BC49" s="354">
        <f>CHOOSE(Table1[[#This Row],[Mode Digit]], Rs*Table1[[#This Row],[Irms BuSync]]^2, Rs*Table1[[#This Row],[Irms BoCtlr]]^2, Rs*(Table1[[#This Row],[Irms BuSync]]^2+Table1[[#This Row],[Irms BoCtlr]]^2))</f>
        <v>0.15423345345102449</v>
      </c>
      <c r="BD49" s="354">
        <f t="shared" si="1"/>
        <v>1.44</v>
      </c>
      <c r="BE49" s="354">
        <f>IF(Vout&gt;8, Iq*Vout, Iq*Table1[[#This Row],[Vin]])</f>
        <v>4.3799999999999999E-2</v>
      </c>
      <c r="BF49" s="354">
        <f>CHOOSE(Table1[[#This Row],[Mode Digit]], (Qg_Q1+Qg_Q2)*Fsw, (Qg_Q3+Qg_Q4)*Fsw, (Qg_Q1+Qg_Q2+Qg_Q3+Qg_Q4)*Fsw)*IF(Vout&gt;8, Vout, Table1[[#This Row],[Vin]])</f>
        <v>0.47303999999999996</v>
      </c>
      <c r="BG49" s="354">
        <f t="shared" si="2"/>
        <v>0.45605042016806729</v>
      </c>
      <c r="BH49" s="354">
        <f>Table1[[#This Row],[IQ Loss]]+Table1[[#This Row],[Switching Current Loss]]</f>
        <v>0.51683999999999997</v>
      </c>
      <c r="BI4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9.499020113655158</v>
      </c>
      <c r="BJ49">
        <f>Vout*Table1[[#This Row],[Iout]]</f>
        <v>175.2</v>
      </c>
      <c r="BK49" s="550">
        <f>Table1[[#This Row],[Pout]]/(Table1[[#This Row],[Pout]]+Table1[[#This Row],[Total Loss]])</f>
        <v>0.9485702733679372</v>
      </c>
      <c r="BL4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222.62384517920495</v>
      </c>
      <c r="BM49" s="559">
        <f>IF(Table1[[#This Row],[Vin]]&gt;Vout, Table1[[#This Row],[Total Sync Bu MOSFET Loss]]*ThetaJA_Q2, ThetaJA_Q3*Table1[[#This Row],[Total Sync Bo MOSFET Loss]])</f>
        <v>53.517080688803937</v>
      </c>
      <c r="BN49" s="9"/>
      <c r="BO49" s="4">
        <f>Table1[[#This Row],[EFF, h]]*100</f>
        <v>94.85702733679372</v>
      </c>
      <c r="BP49" s="354">
        <f>Table1[[#This Row],[Total Inductor Loss]]</f>
        <v>1.6861828295273189</v>
      </c>
      <c r="BQ49" s="354">
        <f>Table1[[#This Row],[Total Control Bu MOSFET Loss]]+Table1[[#This Row],[Total Sync Bu MOSFET Loss]]+Table1[[#This Row],[Total Control Bo MOSFET Loss]]+Table1[[#This Row],[Total Sync Bo MOSFET Loss]]+Table1[[#This Row],[Reverse Recovery Loss MOSFET D BUCK]]+Table1[[#This Row],[Reverse Recovery Loss MOSFET D BOOST]]</f>
        <v>5.6241000226666111</v>
      </c>
      <c r="BR49" s="354">
        <f>Table1[[#This Row],[Total Control Bu MOSFET Loss]]+Table1[[#This Row],[Reverse Recovery Loss MOSFET D BUCK]]*0.66</f>
        <v>3.9127502516534158</v>
      </c>
      <c r="BS49" s="354">
        <f>Table1[[#This Row],[Total Sync Bu MOSFET Loss]]+Table1[[#This Row],[Reverse Recovery Loss MOSFET D BUCK]]*0.33</f>
        <v>0.99312776081339904</v>
      </c>
      <c r="BT49" s="354">
        <f xml:space="preserve"> Table1[[#This Row],[Total Control Bo MOSFET Loss]]+Table1[[#This Row],[Reverse Recovery Loss MOSFET D BOOST]]*0.66</f>
        <v>0</v>
      </c>
      <c r="BU49" s="354">
        <f xml:space="preserve"> Table1[[#This Row],[Total Sync Bo MOSFET Loss]]+Table1[[#This Row],[Reverse Recovery Loss MOSFET D BOOST]]*0.33</f>
        <v>0.71515605819979522</v>
      </c>
      <c r="BV49" s="354">
        <f>Table1[[#This Row],[Isense Shunt Loss]]</f>
        <v>0.15423345345102449</v>
      </c>
      <c r="CA49">
        <v>9.9970090000000003</v>
      </c>
      <c r="CB49">
        <v>8.6120000000000001</v>
      </c>
      <c r="CC49">
        <v>5.1085419999999999</v>
      </c>
      <c r="CD49">
        <v>91.346378256658895</v>
      </c>
      <c r="CE49">
        <v>4167.8065612820019</v>
      </c>
    </row>
    <row r="50" spans="1:83" x14ac:dyDescent="0.2">
      <c r="A50" s="23" t="s">
        <v>84</v>
      </c>
      <c r="B50" s="5">
        <f>RdsonBotTc*1000000</f>
        <v>4000</v>
      </c>
      <c r="C50" s="440" t="s">
        <v>85</v>
      </c>
      <c r="D50" s="21" t="s">
        <v>106</v>
      </c>
      <c r="G50">
        <v>41</v>
      </c>
      <c r="H50" s="555">
        <f>VIN_min+(VIN_max-VIN_min)*(Table1[[#This Row],[Step]]/200)</f>
        <v>25.74</v>
      </c>
      <c r="I50" s="4" t="str">
        <f>IF(Mode = 2,IF(Table1[[#This Row],[Vin]]&gt;Vout, "BUCK","BOOST"),IF(Table1[[#This Row],[Vin]]&gt;VIN_BB_to_buck, "BUCK", IF(Table1[[#This Row],[Vin]]&lt;=VIN_boost_to_BB,"BOOST","BUCK-BST")))</f>
        <v>BUCK</v>
      </c>
      <c r="J50">
        <f>IF(Table1[[#This Row],[Mode]]="BOOST",2, IF(Table1[[#This Row],[Mode]]="BUCK", 1,3))</f>
        <v>1</v>
      </c>
      <c r="K50">
        <f t="shared" si="0"/>
        <v>12</v>
      </c>
      <c r="L50" s="4">
        <f>Vout*Table1[[#This Row],[Iout]]/(Table1[[#This Row],[Vin]]*Efficiency)</f>
        <v>7.1647650595019021</v>
      </c>
      <c r="M50" s="711">
        <f>MIN(1/Fsw,CHOOSE(Table1[[#This Row],[Mode Digit]],(Vout+(Rdson2+Rs+Rdcr)*Table1[[#This Row],[Iout]])/(Table1[[#This Row],[Vin]]+(Rs+Rdson2-Rdson1)*Table1[[#This Row],[Iout]])/Fsw,(Vout+(Rdson3+Rdcr)*Table1[[#This Row],[Iin]]-Table1[[#This Row],[Vin]])/(Vout+(Rdson3-Rdson4-Rs)*Table1[[#This Row],[Iin]])/Fsw,t1_Ph_II))</f>
        <v>9.5395162333462677E-7</v>
      </c>
      <c r="N50" s="602">
        <f>CHOOSE(Table1[[#This Row],[Mode Digit]],1/Fsw-Table1[[#This Row],[t1_Ph_II]],1/Fsw-Table1[[#This Row],[t1_Ph_II]],(Vout/Fsw-Table1[[#This Row],[Vin]]*t1_Ph_II)/(Table1[[#This Row],[Vin]]+Vout))</f>
        <v>7.1271504333203989E-7</v>
      </c>
      <c r="O50" s="602">
        <f>1/Fsw-(Table1[[#This Row],[t1_Ph_II]]+Table1[[#This Row],[t2_Ph_I]])</f>
        <v>0</v>
      </c>
      <c r="P5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9.9873066128886858</v>
      </c>
      <c r="Q50" s="4">
        <f>CHOOSE(Table1[[#This Row],[Mode Digit]],Table1[[#This Row],[I_0]]+1/Lf*(Table1[[#This Row],[Vin]]-Vout)*Table1[[#This Row],[t1_Ph_II]],Table1[[#This Row],[I_0]]+1/Lf*Table1[[#This Row],[Vin]]*Table1[[#This Row],[t1_Ph_II]],Table1[[#This Row],[I_0]]+(Table1[[#This Row],[Vin]]-Vout)/L*Table1[[#This Row],[t1_Ph_II]])</f>
        <v>14.012693387111314</v>
      </c>
      <c r="R50" s="4">
        <f>CHOOSE(Table1[[#This Row],[Mode Digit]],0,0,Table1[[#This Row],[I_1]]+Table1[[#This Row],[Vin]]/L*Table1[[#This Row],[t2_Ph_I]])</f>
        <v>0</v>
      </c>
      <c r="S50" s="4">
        <f>Fsw*(Table1[[#This Row],[I_0]]*Table1[[#This Row],[t1_Ph_II]]+Table1[[#This Row],[I_1]]*Table1[[#This Row],[t2_Ph_I]]+Table1[[#This Row],[I_2]]*Table1[[#This Row],[t3_Ph_III]])</f>
        <v>11.708678838419665</v>
      </c>
      <c r="T50" s="354">
        <f>MIN(1,CHOOSE(Table1[[#This Row],[Mode Digit]],(Vout+(Rdson2+Rs+Rdcr)*Table1[[#This Row],[Iout]])/(Table1[[#This Row],[Vin]]+(Rs+Rdson2-Rdson1)*Table1[[#This Row],[Iout]]),1,Fsw*Table1[[#This Row],[t2_Ph_I]]+Table1[[#This Row],[t1_Ph_II]]))</f>
        <v>0.57237097400077608</v>
      </c>
      <c r="U50" s="354">
        <f>MIN(1,CHOOSE(Table1[[#This Row],[Mode Digit]],0,(Vout+(Rdson3+Rdcr)*Table1[[#This Row],[Iin]]-Table1[[#This Row],[Vin]])/(Vout+(Rdson3-Rdson4-Rs)*Table1[[#This Row],[Iin]]),Fsw*Table1[[#This Row],[t1_Ph_II]]+Table1[[#This Row],[t3_Ph_III]]))</f>
        <v>0</v>
      </c>
      <c r="V50" s="4">
        <f>MAX(Table1[[#This Row],[I_0]:[I_2]])-MIN(Table1[[#This Row],[I_0]:[I_1]])</f>
        <v>4.0253867742226284</v>
      </c>
      <c r="W5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12.056131699547766</v>
      </c>
      <c r="X50" s="354">
        <f>(Table1[[#This Row],[Irms Lf]]^2*Rdcr*(1+Ltc*Ta-Ltc*25))/(1-Table1[[#This Row],[Irms Lf]]^2*Rdcr*Ltc*ThetaCa)</f>
        <v>0.90399985771821534</v>
      </c>
      <c r="Y50" s="354">
        <f>ABS(7.759*10^-3*Fsw^0.9458*(0.00787*Table1[[#This Row],[Ripple Current pk-pk]])^2.304)</f>
        <v>0.79539660618467223</v>
      </c>
      <c r="Z50" s="354">
        <f>Table1[[#This Row],[DCR    Loss]]+Table1[[#This Row],[Core Loss]]</f>
        <v>1.6993964639028876</v>
      </c>
      <c r="AA50" s="4">
        <f>IF(Table1[[#This Row],[Vin]]&gt;Vout, Table1[[#This Row],[Ripple Current pk-pk]]/SQRT(12), SQRT(Table1[[#This Row],[Duty Cycle BOOST Leg]]/(1-Table1[[#This Row],[Duty Cycle BOOST Leg]]))*SQRT(Table1[[#This Row],[Iout]]^2+(Table1[[#This Row],[Ripple Current pk-pk]]^2)/12))</f>
        <v>1.1620290688448969</v>
      </c>
      <c r="AB50" s="354">
        <f>RCoutEsr*Table1[[#This Row],[Irms Cout]]^2</f>
        <v>6.7515577842026907E-3</v>
      </c>
      <c r="AC50" s="354">
        <f>Table1[[#This Row],[Cout ESR Loss]]</f>
        <v>6.7515577842026907E-3</v>
      </c>
      <c r="AD50" s="354">
        <f>IF(Table1[[#This Row],[Vin]]&gt;Vout, SQRT(Table1[[#This Row],[Duty Cycle BUCK Leg]]*(1-Table1[[#This Row],[Duty Cycle BUCK Leg]]))*SQRT(Table1[[#This Row],[Iout]]^2+(Table1[[#This Row],[Ripple Current pk-pk]]^2)/12), Table1[[#This Row],[Ripple Current pk-pk]]/SQRT(12))</f>
        <v>5.9645869278493935</v>
      </c>
      <c r="AE50" s="354">
        <f>RCinEsr*Table1[[#This Row],[Irms Cin]]^2</f>
        <v>7.1152594439743741E-2</v>
      </c>
      <c r="AF50" s="549">
        <f>Table1[[#This Row],[Cin ESR Loss]]</f>
        <v>7.1152594439743741E-2</v>
      </c>
      <c r="AG5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9.1210909104725548</v>
      </c>
      <c r="AH50" s="354">
        <f>Rdson1*Table1[[#This Row],[Irms BuCtrl]]^2</f>
        <v>0.34941605746784127</v>
      </c>
      <c r="AI50" s="354">
        <f>CHOOSE(Table1[[#This Row],[Mode Digit]], (Table1[[#This Row],[Vin]]*Table1[[#This Row],[Iout]]/2)*(Fsw)*(Tr_buck+Tf_buck), 0, (Table1[[#This Row],[Vin]]*Table1[[#This Row],[Avg IL]]/2)*(Fsw/1)*(Tr_buck+Tf_buck))</f>
        <v>3.0629674212972322</v>
      </c>
      <c r="AJ50">
        <f>IF(Table1[[#This Row],[Vin]]&gt;Vout, IF(Table1[[#This Row],[Iout]]&gt;Table1[[#This Row],[Ripple Current pk-pk]]/2,0,ABS(Table1[[#This Row],[Iout]]-Table1[[#This Row],[Ripple Current pk-pk]]/2)*Vsd_Q1*Deadtime*Fsw),0)</f>
        <v>0</v>
      </c>
      <c r="AK50" s="354">
        <f>(Table1[[#This Row],[Dead Time Loss BuCtrl]]+Table1[[#This Row],[Transition Loss BuCtrl]]+Table1[[#This Row],[RDS(on) Loss BuCtrl]]*(1+RdsonTopTc*Ta-RdsonTopTc*25))/(1-Table1[[#This Row],[RDS(on) Loss BuCtrl]]*RdsonTopTc*ThetaJA_Q1)</f>
        <v>3.724739596764028</v>
      </c>
      <c r="AL50" s="354">
        <f>CHOOSE(Table1[[#This Row],[Mode Digit]],SQRT((Fsw*(Table1[[#This Row],[t2_Ph_I]]+0))*((Table1[[#This Row],[I_0]]*Table1[[#This Row],[I_1]]+((Table1[[#This Row],[I_0]]-Table1[[#This Row],[I_1]])^2)/3))),0,SQRT((Fsw*(Table1[[#This Row],[t3_Ph_III]]+0))*((Table1[[#This Row],[I_0]]*Table1[[#This Row],[I_2]]+((Table1[[#This Row],[I_0]]-Table1[[#This Row],[I_2]])^2)/3))))</f>
        <v>7.88390843171935</v>
      </c>
      <c r="AM50" s="354">
        <f>Rdson2*Table1[[#This Row],[Irms BuSync]]^2</f>
        <v>0.26105525107088895</v>
      </c>
      <c r="AN5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50" s="354">
        <f>(Table1[[#This Row],[Deadtime Loss BuSync]]+Table1[[#This Row],[RDS(on) Loss BuSync]]*(1+RdsonBotTc*Ta-RdsonBotTc*25))/(1-Table1[[#This Row],[RDS(on) Loss BuSync]]*RdsonBotTc*ThetaJA_Q2)</f>
        <v>0.89446801710987722</v>
      </c>
      <c r="AP50" s="354">
        <f>CHOOSE(Table1[[#This Row],[Mode Digit]],0,SQRT((Fsw*(Table1[[#This Row],[t1_Ph_II]]+0))*((Table1[[#This Row],[I_0]]*Table1[[#This Row],[I_1]]+((Table1[[#This Row],[I_0]]-Table1[[#This Row],[I_1]])^2)/3))),SQRT((Fsw*(Table1[[#This Row],[t2_Ph_I]]+0))*((Table1[[#This Row],[I_1]]*Table1[[#This Row],[I_2]]+((Table1[[#This Row],[I_1]]-Table1[[#This Row],[I_2]])^2)/3))))</f>
        <v>0</v>
      </c>
      <c r="AQ50" s="354">
        <f>Rdson4*Table1[[#This Row],[Irms BoCtlr]]^2</f>
        <v>0</v>
      </c>
      <c r="AR50" s="354">
        <f>CHOOSE(Table1[[#This Row],[Mode Digit]], 0, (Vout*Table1[[#This Row],[Iin]]/2)*(Fsw)*(Tr_boost+Tf_boost), (Vout*Iout/2)*(Fsw/1)*(Tr_boost+Tf_boost))</f>
        <v>0</v>
      </c>
      <c r="AS50">
        <f>IF(Table1[[#This Row],[Vin]]&gt;Vout, 0, IF(Table1[[#This Row],[Iin]]&gt;Table1[[#This Row],[Ripple Current pk-pk]]/2,0,ABS(Table1[[#This Row],[Iin]]-Table1[[#This Row],[Ripple Current pk-pk]]/2)*Vsd_Q4*Deadtime*Fsw))</f>
        <v>0</v>
      </c>
      <c r="AT50" s="354">
        <f>(Table1[[#This Row],[Dead Time Loss BoCtlr]]+Table1[[#This Row],[Transition Loss BoCtlr]]+Table1[[#This Row],[RDS(on) Loss BoCtlr]]*(1+RdsonTopTc*Ta-RdsonTopTc*25))/(1-Table1[[#This Row],[RDS(on) Loss BoCtlr]]*RdsonTopTc*ThetaJA_Q4)</f>
        <v>0</v>
      </c>
      <c r="AU5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12.056131699547766</v>
      </c>
      <c r="AV50" s="354">
        <f>Rdson3*Table1[[#This Row],[Irms BoSync]]^2</f>
        <v>0.61047130853873022</v>
      </c>
      <c r="AW5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50" s="354">
        <f>(Table1[[#This Row],[Deadtime Loss BoSync]]+Table1[[#This Row],[RDS(on) Loss BoSync]]*(1+RdsonBotTc*Ta-RdsonBotTc*25))/(1-Table1[[#This Row],[RDS(on) Loss BoSync]]*RdsonBotTc*ThetaJA_Q3)</f>
        <v>0.71526735628599858</v>
      </c>
      <c r="AY50" s="354">
        <f>CHOOSE(Table1[[#This Row],[Mode Digit]], Rdson3*Table1[[#This Row],[Irms Lf]]^2, Rdson1*Table1[[#This Row],[Irms Lf]]^2, 0)</f>
        <v>0.61047130853873022</v>
      </c>
      <c r="AZ50" s="354">
        <f>CHOOSE(Table1[[#This Row],[Mode Digit]], 2*Deadtime*Fsw*IF(VfdSky_Q2&gt;0,VfdSky_Q2,0)*Table1[[#This Row],[Iout]], 2*Deadtime*Fsw*IF(VfdSky_Q3&gt;0,VfdSky_Q3,0)*Table1[[#This Row],[Iin]], 2*Deadtime*Fsw*IF(VfdSky_Q2&gt;0,VfdSky_Q2,0)*Table1[[#This Row],[Iout]]+2*Deadtime*Fsw*IF(VfdSky_Q3&gt;0,VfdSky_Q3,0)*Table1[[#This Row],[Iin]])</f>
        <v>0</v>
      </c>
      <c r="BA50" s="354">
        <f>CHOOSE(Table1[[#This Row],[Mode Digit]], IF(QrrSky_Q2&gt;0,QrrSky_Q2,Qrr_Q2)*Fsw*(Table1[[#This Row],[Vin]]-Table1[[#This Row],[Iout]]*Rdson1),0,  IF(QrrSky_Q2&gt;0,QrrSky_Q2,Qrr_Q2)*Fsw*(Table1[[#This Row],[Vin]]-Table1[[#This Row],[Iout]]*Rdson1)+IF(QrrSky_Q3&gt;0,QrrSky_Q3,Qrr_Q3)*Fsw*Vout)</f>
        <v>0.30827519999999997</v>
      </c>
      <c r="BB50" s="354">
        <f>CHOOSE(Table1[[#This Row],[Mode Digit]],0, IF(QrrSky_Q3&gt;0,QrrSky_Q3,Qrr_Q3)*Fsw*Vout,  IF(QrrSky_Q2&gt;0,QrrSky_Q2,Qrr_Q2)*Fsw*(Table1[[#This Row],[Vin]]-Table1[[#This Row],[Iout]]*Rdson1)+IF(QrrSky_Q3&gt;0,QrrSky_Q3,Qrr_Q3)*Fsw*Vout)</f>
        <v>0</v>
      </c>
      <c r="BC50" s="354">
        <f>CHOOSE(Table1[[#This Row],[Mode Digit]], Rs*Table1[[#This Row],[Irms BuSync]]^2, Rs*Table1[[#This Row],[Irms BoCtlr]]^2, Rs*(Table1[[#This Row],[Irms BuSync]]^2+Table1[[#This Row],[Irms BoCtlr]]^2))</f>
        <v>0.15539003039933866</v>
      </c>
      <c r="BD50" s="354">
        <f t="shared" si="1"/>
        <v>1.44</v>
      </c>
      <c r="BE50" s="354">
        <f>IF(Vout&gt;8, Iq*Vout, Iq*Table1[[#This Row],[Vin]])</f>
        <v>4.3799999999999999E-2</v>
      </c>
      <c r="BF50" s="354">
        <f>CHOOSE(Table1[[#This Row],[Mode Digit]], (Qg_Q1+Qg_Q2)*Fsw, (Qg_Q3+Qg_Q4)*Fsw, (Qg_Q1+Qg_Q2+Qg_Q3+Qg_Q4)*Fsw)*IF(Vout&gt;8, Vout, Table1[[#This Row],[Vin]])</f>
        <v>0.47303999999999996</v>
      </c>
      <c r="BG50" s="354">
        <f t="shared" si="2"/>
        <v>0.45605042016806729</v>
      </c>
      <c r="BH50" s="354">
        <f>Table1[[#This Row],[IQ Loss]]+Table1[[#This Row],[Switching Current Loss]]</f>
        <v>0.51683999999999997</v>
      </c>
      <c r="BI5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9.5322808166860753</v>
      </c>
      <c r="BJ50">
        <f>Vout*Table1[[#This Row],[Iout]]</f>
        <v>175.2</v>
      </c>
      <c r="BK50" s="550">
        <f>Table1[[#This Row],[Pout]]/(Table1[[#This Row],[Pout]]+Table1[[#This Row],[Total Loss]])</f>
        <v>0.94839948505726968</v>
      </c>
      <c r="BL5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223.48437580584169</v>
      </c>
      <c r="BM50" s="559">
        <f>IF(Table1[[#This Row],[Vin]]&gt;Vout, Table1[[#This Row],[Total Sync Bu MOSFET Loss]]*ThetaJA_Q2, ThetaJA_Q3*Table1[[#This Row],[Total Sync Bo MOSFET Loss]])</f>
        <v>53.668081026592631</v>
      </c>
      <c r="BN50" s="9"/>
      <c r="BO50" s="4">
        <f>Table1[[#This Row],[EFF, h]]*100</f>
        <v>94.839948505726966</v>
      </c>
      <c r="BP50" s="354">
        <f>Table1[[#This Row],[Total Inductor Loss]]</f>
        <v>1.6993964639028876</v>
      </c>
      <c r="BQ50" s="354">
        <f>Table1[[#This Row],[Total Control Bu MOSFET Loss]]+Table1[[#This Row],[Total Sync Bu MOSFET Loss]]+Table1[[#This Row],[Total Control Bo MOSFET Loss]]+Table1[[#This Row],[Total Sync Bo MOSFET Loss]]+Table1[[#This Row],[Reverse Recovery Loss MOSFET D BUCK]]+Table1[[#This Row],[Reverse Recovery Loss MOSFET D BOOST]]</f>
        <v>5.6427501701599034</v>
      </c>
      <c r="BR50" s="354">
        <f>Table1[[#This Row],[Total Control Bu MOSFET Loss]]+Table1[[#This Row],[Reverse Recovery Loss MOSFET D BUCK]]*0.66</f>
        <v>3.9282012287640278</v>
      </c>
      <c r="BS50" s="354">
        <f>Table1[[#This Row],[Total Sync Bu MOSFET Loss]]+Table1[[#This Row],[Reverse Recovery Loss MOSFET D BUCK]]*0.33</f>
        <v>0.99619883310987722</v>
      </c>
      <c r="BT50" s="354">
        <f xml:space="preserve"> Table1[[#This Row],[Total Control Bo MOSFET Loss]]+Table1[[#This Row],[Reverse Recovery Loss MOSFET D BOOST]]*0.66</f>
        <v>0</v>
      </c>
      <c r="BU50" s="354">
        <f xml:space="preserve"> Table1[[#This Row],[Total Sync Bo MOSFET Loss]]+Table1[[#This Row],[Reverse Recovery Loss MOSFET D BOOST]]*0.33</f>
        <v>0.71526735628599858</v>
      </c>
      <c r="BV50" s="354">
        <f>Table1[[#This Row],[Isense Shunt Loss]]</f>
        <v>0.15539003039933866</v>
      </c>
      <c r="CA50">
        <v>9.9969590000000004</v>
      </c>
      <c r="CB50">
        <v>9.5229999999999997</v>
      </c>
      <c r="CC50">
        <v>5.1087540000000002</v>
      </c>
      <c r="CD50">
        <v>90.547826191651922</v>
      </c>
      <c r="CE50">
        <v>5078.5816240809982</v>
      </c>
    </row>
    <row r="51" spans="1:83" x14ac:dyDescent="0.2">
      <c r="A51" s="23" t="s">
        <v>71</v>
      </c>
      <c r="B51" s="5">
        <f>Qg_Q2*1000000000</f>
        <v>27</v>
      </c>
      <c r="C51" s="440" t="s">
        <v>69</v>
      </c>
      <c r="D51" s="21" t="s">
        <v>101</v>
      </c>
      <c r="G51">
        <v>42</v>
      </c>
      <c r="H51" s="555">
        <f>VIN_min+(VIN_max-VIN_min)*(Table1[[#This Row],[Step]]/200)</f>
        <v>25.88</v>
      </c>
      <c r="I51" s="4" t="str">
        <f>IF(Mode = 2,IF(Table1[[#This Row],[Vin]]&gt;Vout, "BUCK","BOOST"),IF(Table1[[#This Row],[Vin]]&gt;VIN_BB_to_buck, "BUCK", IF(Table1[[#This Row],[Vin]]&lt;=VIN_boost_to_BB,"BOOST","BUCK-BST")))</f>
        <v>BUCK</v>
      </c>
      <c r="J51">
        <f>IF(Table1[[#This Row],[Mode]]="BOOST",2, IF(Table1[[#This Row],[Mode]]="BUCK", 1,3))</f>
        <v>1</v>
      </c>
      <c r="K51">
        <f t="shared" si="0"/>
        <v>12</v>
      </c>
      <c r="L51" s="4">
        <f>Vout*Table1[[#This Row],[Iout]]/(Table1[[#This Row],[Vin]]*Efficiency)</f>
        <v>7.1260066704628651</v>
      </c>
      <c r="M51" s="711">
        <f>MIN(1/Fsw,CHOOSE(Table1[[#This Row],[Mode Digit]],(Vout+(Rdson2+Rs+Rdcr)*Table1[[#This Row],[Iout]])/(Table1[[#This Row],[Vin]]+(Rs+Rdson2-Rdson1)*Table1[[#This Row],[Iout]])/Fsw,(Vout+(Rdson3+Rdcr)*Table1[[#This Row],[Iin]]-Table1[[#This Row],[Vin]])/(Vout+(Rdson3-Rdson4-Rs)*Table1[[#This Row],[Iin]])/Fsw,t1_Ph_II))</f>
        <v>9.4879711822976981E-7</v>
      </c>
      <c r="N51" s="602">
        <f>CHOOSE(Table1[[#This Row],[Mode Digit]],1/Fsw-Table1[[#This Row],[t1_Ph_II]],1/Fsw-Table1[[#This Row],[t1_Ph_II]],(Vout/Fsw-Table1[[#This Row],[Vin]]*t1_Ph_II)/(Table1[[#This Row],[Vin]]+Vout))</f>
        <v>7.1786954843689685E-7</v>
      </c>
      <c r="O51" s="602">
        <f>1/Fsw-(Table1[[#This Row],[t1_Ph_II]]+Table1[[#This Row],[t2_Ph_I]])</f>
        <v>0</v>
      </c>
      <c r="P5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9.9730243383273098</v>
      </c>
      <c r="Q51" s="4">
        <f>CHOOSE(Table1[[#This Row],[Mode Digit]],Table1[[#This Row],[I_0]]+1/Lf*(Table1[[#This Row],[Vin]]-Vout)*Table1[[#This Row],[t1_Ph_II]],Table1[[#This Row],[I_0]]+1/Lf*Table1[[#This Row],[Vin]]*Table1[[#This Row],[t1_Ph_II]],Table1[[#This Row],[I_0]]+(Table1[[#This Row],[Vin]]-Vout)/L*Table1[[#This Row],[t1_Ph_II]])</f>
        <v>14.02697566167269</v>
      </c>
      <c r="R51" s="4">
        <f>CHOOSE(Table1[[#This Row],[Mode Digit]],0,0,Table1[[#This Row],[I_1]]+Table1[[#This Row],[Vin]]/L*Table1[[#This Row],[t2_Ph_I]])</f>
        <v>0</v>
      </c>
      <c r="S51" s="4">
        <f>Fsw*(Table1[[#This Row],[I_0]]*Table1[[#This Row],[t1_Ph_II]]+Table1[[#This Row],[I_1]]*Table1[[#This Row],[t2_Ph_I]]+Table1[[#This Row],[I_2]]*Table1[[#This Row],[t3_Ph_III]])</f>
        <v>11.719149261852374</v>
      </c>
      <c r="T51" s="354">
        <f>MIN(1,CHOOSE(Table1[[#This Row],[Mode Digit]],(Vout+(Rdson2+Rs+Rdcr)*Table1[[#This Row],[Iout]])/(Table1[[#This Row],[Vin]]+(Rs+Rdson2-Rdson1)*Table1[[#This Row],[Iout]]),1,Fsw*Table1[[#This Row],[t2_Ph_I]]+Table1[[#This Row],[t1_Ph_II]]))</f>
        <v>0.56927827093786187</v>
      </c>
      <c r="U51" s="354">
        <f>MIN(1,CHOOSE(Table1[[#This Row],[Mode Digit]],0,(Vout+(Rdson3+Rdcr)*Table1[[#This Row],[Iin]]-Table1[[#This Row],[Vin]])/(Vout+(Rdson3-Rdson4-Rs)*Table1[[#This Row],[Iin]]),Fsw*Table1[[#This Row],[t1_Ph_II]]+Table1[[#This Row],[t3_Ph_III]]))</f>
        <v>0</v>
      </c>
      <c r="V51" s="4">
        <f>MAX(Table1[[#This Row],[I_0]:[I_2]])-MIN(Table1[[#This Row],[I_0]:[I_1]])</f>
        <v>4.0539513233453803</v>
      </c>
      <c r="W5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12.056929270935358</v>
      </c>
      <c r="X51" s="354">
        <f>(Table1[[#This Row],[Irms Lf]]^2*Rdcr*(1+Ltc*Ta-Ltc*25))/(1-Table1[[#This Row],[Irms Lf]]^2*Rdcr*Ltc*ThetaCa)</f>
        <v>0.90412812115194829</v>
      </c>
      <c r="Y51" s="354">
        <f>ABS(7.759*10^-3*Fsw^0.9458*(0.00787*Table1[[#This Row],[Ripple Current pk-pk]])^2.304)</f>
        <v>0.80846108535031147</v>
      </c>
      <c r="Z51" s="354">
        <f>Table1[[#This Row],[DCR    Loss]]+Table1[[#This Row],[Core Loss]]</f>
        <v>1.7125892065022597</v>
      </c>
      <c r="AA51" s="4">
        <f>IF(Table1[[#This Row],[Vin]]&gt;Vout, Table1[[#This Row],[Ripple Current pk-pk]]/SQRT(12), SQRT(Table1[[#This Row],[Duty Cycle BOOST Leg]]/(1-Table1[[#This Row],[Duty Cycle BOOST Leg]]))*SQRT(Table1[[#This Row],[Iout]]^2+(Table1[[#This Row],[Ripple Current pk-pk]]^2)/12))</f>
        <v>1.1702749439075475</v>
      </c>
      <c r="AB51" s="354">
        <f>RCoutEsr*Table1[[#This Row],[Irms Cout]]^2</f>
        <v>6.847717221689067E-3</v>
      </c>
      <c r="AC51" s="354">
        <f>Table1[[#This Row],[Cout ESR Loss]]</f>
        <v>6.847717221689067E-3</v>
      </c>
      <c r="AD51" s="354">
        <f>IF(Table1[[#This Row],[Vin]]&gt;Vout, SQRT(Table1[[#This Row],[Duty Cycle BUCK Leg]]*(1-Table1[[#This Row],[Duty Cycle BUCK Leg]]))*SQRT(Table1[[#This Row],[Iout]]^2+(Table1[[#This Row],[Ripple Current pk-pk]]^2)/12), Table1[[#This Row],[Ripple Current pk-pk]]/SQRT(12))</f>
        <v>5.9703172290631663</v>
      </c>
      <c r="AE51" s="354">
        <f>RCinEsr*Table1[[#This Row],[Irms Cin]]^2</f>
        <v>7.1289375631296961E-2</v>
      </c>
      <c r="AF51" s="549">
        <f>Table1[[#This Row],[Cin ESR Loss]]</f>
        <v>7.1289375631296961E-2</v>
      </c>
      <c r="AG5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9.0970172220909316</v>
      </c>
      <c r="AH51" s="354">
        <f>Rdson1*Table1[[#This Row],[Irms BuCtrl]]^2</f>
        <v>0.34757403382387991</v>
      </c>
      <c r="AI51" s="354">
        <f>CHOOSE(Table1[[#This Row],[Mode Digit]], (Table1[[#This Row],[Vin]]*Table1[[#This Row],[Iout]]/2)*(Fsw)*(Tr_buck+Tf_buck), 0, (Table1[[#This Row],[Vin]]*Table1[[#This Row],[Avg IL]]/2)*(Fsw/1)*(Tr_buck+Tf_buck))</f>
        <v>3.0796269177611646</v>
      </c>
      <c r="AJ51">
        <f>IF(Table1[[#This Row],[Vin]]&gt;Vout, IF(Table1[[#This Row],[Iout]]&gt;Table1[[#This Row],[Ripple Current pk-pk]]/2,0,ABS(Table1[[#This Row],[Iout]]-Table1[[#This Row],[Ripple Current pk-pk]]/2)*Vsd_Q1*Deadtime*Fsw),0)</f>
        <v>0</v>
      </c>
      <c r="AK51" s="354">
        <f>(Table1[[#This Row],[Dead Time Loss BuCtrl]]+Table1[[#This Row],[Transition Loss BuCtrl]]+Table1[[#This Row],[RDS(on) Loss BuCtrl]]*(1+RdsonTopTc*Ta-RdsonTopTc*25))/(1-Table1[[#This Row],[RDS(on) Loss BuCtrl]]*RdsonTopTc*ThetaJA_Q1)</f>
        <v>3.7391090863140954</v>
      </c>
      <c r="AL51" s="354">
        <f>CHOOSE(Table1[[#This Row],[Mode Digit]],SQRT((Fsw*(Table1[[#This Row],[t2_Ph_I]]+0))*((Table1[[#This Row],[I_0]]*Table1[[#This Row],[I_1]]+((Table1[[#This Row],[I_0]]-Table1[[#This Row],[I_1]])^2)/3))),0,SQRT((Fsw*(Table1[[#This Row],[t3_Ph_III]]+0))*((Table1[[#This Row],[I_0]]*Table1[[#This Row],[I_2]]+((Table1[[#This Row],[I_0]]-Table1[[#This Row],[I_2]])^2)/3))))</f>
        <v>7.9128895547277027</v>
      </c>
      <c r="AM51" s="354">
        <f>Rdson2*Table1[[#This Row],[Irms BuSync]]^2</f>
        <v>0.26297804864233892</v>
      </c>
      <c r="AN5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51" s="354">
        <f>(Table1[[#This Row],[Deadtime Loss BuSync]]+Table1[[#This Row],[RDS(on) Loss BuSync]]*(1+RdsonBotTc*Ta-RdsonBotTc*25))/(1-Table1[[#This Row],[RDS(on) Loss BuSync]]*RdsonBotTc*ThetaJA_Q2)</f>
        <v>0.89696092533872873</v>
      </c>
      <c r="AP51" s="354">
        <f>CHOOSE(Table1[[#This Row],[Mode Digit]],0,SQRT((Fsw*(Table1[[#This Row],[t1_Ph_II]]+0))*((Table1[[#This Row],[I_0]]*Table1[[#This Row],[I_1]]+((Table1[[#This Row],[I_0]]-Table1[[#This Row],[I_1]])^2)/3))),SQRT((Fsw*(Table1[[#This Row],[t2_Ph_I]]+0))*((Table1[[#This Row],[I_1]]*Table1[[#This Row],[I_2]]+((Table1[[#This Row],[I_1]]-Table1[[#This Row],[I_2]])^2)/3))))</f>
        <v>0</v>
      </c>
      <c r="AQ51" s="354">
        <f>Rdson4*Table1[[#This Row],[Irms BoCtlr]]^2</f>
        <v>0</v>
      </c>
      <c r="AR51" s="354">
        <f>CHOOSE(Table1[[#This Row],[Mode Digit]], 0, (Vout*Table1[[#This Row],[Iin]]/2)*(Fsw)*(Tr_boost+Tf_boost), (Vout*Iout/2)*(Fsw/1)*(Tr_boost+Tf_boost))</f>
        <v>0</v>
      </c>
      <c r="AS51">
        <f>IF(Table1[[#This Row],[Vin]]&gt;Vout, 0, IF(Table1[[#This Row],[Iin]]&gt;Table1[[#This Row],[Ripple Current pk-pk]]/2,0,ABS(Table1[[#This Row],[Iin]]-Table1[[#This Row],[Ripple Current pk-pk]]/2)*Vsd_Q4*Deadtime*Fsw))</f>
        <v>0</v>
      </c>
      <c r="AT51" s="354">
        <f>(Table1[[#This Row],[Dead Time Loss BoCtlr]]+Table1[[#This Row],[Transition Loss BoCtlr]]+Table1[[#This Row],[RDS(on) Loss BoCtlr]]*(1+RdsonTopTc*Ta-RdsonTopTc*25))/(1-Table1[[#This Row],[RDS(on) Loss BoCtlr]]*RdsonTopTc*ThetaJA_Q4)</f>
        <v>0</v>
      </c>
      <c r="AU5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12.056929270935358</v>
      </c>
      <c r="AV51" s="354">
        <f>Rdson3*Table1[[#This Row],[Irms BoSync]]^2</f>
        <v>0.61055208246621884</v>
      </c>
      <c r="AW5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51" s="354">
        <f>(Table1[[#This Row],[Deadtime Loss BoSync]]+Table1[[#This Row],[RDS(on) Loss BoSync]]*(1+RdsonBotTc*Ta-RdsonBotTc*25))/(1-Table1[[#This Row],[RDS(on) Loss BoSync]]*RdsonBotTc*ThetaJA_Q3)</f>
        <v>0.71537824500328751</v>
      </c>
      <c r="AY51" s="354">
        <f>CHOOSE(Table1[[#This Row],[Mode Digit]], Rdson3*Table1[[#This Row],[Irms Lf]]^2, Rdson1*Table1[[#This Row],[Irms Lf]]^2, 0)</f>
        <v>0.61055208246621884</v>
      </c>
      <c r="AZ51" s="354">
        <f>CHOOSE(Table1[[#This Row],[Mode Digit]], 2*Deadtime*Fsw*IF(VfdSky_Q2&gt;0,VfdSky_Q2,0)*Table1[[#This Row],[Iout]], 2*Deadtime*Fsw*IF(VfdSky_Q3&gt;0,VfdSky_Q3,0)*Table1[[#This Row],[Iin]], 2*Deadtime*Fsw*IF(VfdSky_Q2&gt;0,VfdSky_Q2,0)*Table1[[#This Row],[Iout]]+2*Deadtime*Fsw*IF(VfdSky_Q3&gt;0,VfdSky_Q3,0)*Table1[[#This Row],[Iin]])</f>
        <v>0</v>
      </c>
      <c r="BA51" s="354">
        <f>CHOOSE(Table1[[#This Row],[Mode Digit]], IF(QrrSky_Q2&gt;0,QrrSky_Q2,Qrr_Q2)*Fsw*(Table1[[#This Row],[Vin]]-Table1[[#This Row],[Iout]]*Rdson1),0,  IF(QrrSky_Q2&gt;0,QrrSky_Q2,Qrr_Q2)*Fsw*(Table1[[#This Row],[Vin]]-Table1[[#This Row],[Iout]]*Rdson1)+IF(QrrSky_Q3&gt;0,QrrSky_Q3,Qrr_Q3)*Fsw*Vout)</f>
        <v>0.30995519999999999</v>
      </c>
      <c r="BB51" s="354">
        <f>CHOOSE(Table1[[#This Row],[Mode Digit]],0, IF(QrrSky_Q3&gt;0,QrrSky_Q3,Qrr_Q3)*Fsw*Vout,  IF(QrrSky_Q2&gt;0,QrrSky_Q2,Qrr_Q2)*Fsw*(Table1[[#This Row],[Vin]]-Table1[[#This Row],[Iout]]*Rdson1)+IF(QrrSky_Q3&gt;0,QrrSky_Q3,Qrr_Q3)*Fsw*Vout)</f>
        <v>0</v>
      </c>
      <c r="BC51" s="354">
        <f>CHOOSE(Table1[[#This Row],[Mode Digit]], Rs*Table1[[#This Row],[Irms BuSync]]^2, Rs*Table1[[#This Row],[Irms BoCtlr]]^2, Rs*(Table1[[#This Row],[Irms BuSync]]^2+Table1[[#This Row],[Irms BoCtlr]]^2))</f>
        <v>0.15653455276329697</v>
      </c>
      <c r="BD51" s="354">
        <f t="shared" si="1"/>
        <v>1.44</v>
      </c>
      <c r="BE51" s="354">
        <f>IF(Vout&gt;8, Iq*Vout, Iq*Table1[[#This Row],[Vin]])</f>
        <v>4.3799999999999999E-2</v>
      </c>
      <c r="BF51" s="354">
        <f>CHOOSE(Table1[[#This Row],[Mode Digit]], (Qg_Q1+Qg_Q2)*Fsw, (Qg_Q3+Qg_Q4)*Fsw, (Qg_Q1+Qg_Q2+Qg_Q3+Qg_Q4)*Fsw)*IF(Vout&gt;8, Vout, Table1[[#This Row],[Vin]])</f>
        <v>0.47303999999999996</v>
      </c>
      <c r="BG51" s="354">
        <f t="shared" si="2"/>
        <v>0.45605042016806729</v>
      </c>
      <c r="BH51" s="354">
        <f>Table1[[#This Row],[IQ Loss]]+Table1[[#This Row],[Switching Current Loss]]</f>
        <v>0.51683999999999997</v>
      </c>
      <c r="BI5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9.5655043087746545</v>
      </c>
      <c r="BJ51">
        <f>Vout*Table1[[#This Row],[Iout]]</f>
        <v>175.2</v>
      </c>
      <c r="BK51" s="550">
        <f>Table1[[#This Row],[Pout]]/(Table1[[#This Row],[Pout]]+Table1[[#This Row],[Total Loss]])</f>
        <v>0.94822894920477652</v>
      </c>
      <c r="BL5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224.34654517884573</v>
      </c>
      <c r="BM51" s="559">
        <f>IF(Table1[[#This Row],[Vin]]&gt;Vout, Table1[[#This Row],[Total Sync Bu MOSFET Loss]]*ThetaJA_Q2, ThetaJA_Q3*Table1[[#This Row],[Total Sync Bo MOSFET Loss]])</f>
        <v>53.817655520323726</v>
      </c>
      <c r="BN51" s="9"/>
      <c r="BO51" s="4">
        <f>Table1[[#This Row],[EFF, h]]*100</f>
        <v>94.822894920477651</v>
      </c>
      <c r="BP51" s="354">
        <f>Table1[[#This Row],[Total Inductor Loss]]</f>
        <v>1.7125892065022597</v>
      </c>
      <c r="BQ51" s="354">
        <f>Table1[[#This Row],[Total Control Bu MOSFET Loss]]+Table1[[#This Row],[Total Sync Bu MOSFET Loss]]+Table1[[#This Row],[Total Control Bo MOSFET Loss]]+Table1[[#This Row],[Total Sync Bo MOSFET Loss]]+Table1[[#This Row],[Reverse Recovery Loss MOSFET D BUCK]]+Table1[[#This Row],[Reverse Recovery Loss MOSFET D BOOST]]</f>
        <v>5.661403456656112</v>
      </c>
      <c r="BR51" s="354">
        <f>Table1[[#This Row],[Total Control Bu MOSFET Loss]]+Table1[[#This Row],[Reverse Recovery Loss MOSFET D BUCK]]*0.66</f>
        <v>3.9436795183140956</v>
      </c>
      <c r="BS51" s="354">
        <f>Table1[[#This Row],[Total Sync Bu MOSFET Loss]]+Table1[[#This Row],[Reverse Recovery Loss MOSFET D BUCK]]*0.33</f>
        <v>0.99924614133872869</v>
      </c>
      <c r="BT51" s="354">
        <f xml:space="preserve"> Table1[[#This Row],[Total Control Bo MOSFET Loss]]+Table1[[#This Row],[Reverse Recovery Loss MOSFET D BOOST]]*0.66</f>
        <v>0</v>
      </c>
      <c r="BU51" s="354">
        <f xml:space="preserve"> Table1[[#This Row],[Total Sync Bo MOSFET Loss]]+Table1[[#This Row],[Reverse Recovery Loss MOSFET D BOOST]]*0.33</f>
        <v>0.71537824500328751</v>
      </c>
      <c r="BV51" s="354">
        <f>Table1[[#This Row],[Isense Shunt Loss]]</f>
        <v>0.15653455276329697</v>
      </c>
      <c r="CA51">
        <v>9.9964639999999996</v>
      </c>
      <c r="CB51">
        <v>10.493</v>
      </c>
      <c r="CC51">
        <v>5.1092279999999999</v>
      </c>
      <c r="CD51">
        <v>89.626660259106615</v>
      </c>
      <c r="CE51">
        <v>6204.9221585439973</v>
      </c>
    </row>
    <row r="52" spans="1:83" x14ac:dyDescent="0.2">
      <c r="A52" s="23" t="s">
        <v>94</v>
      </c>
      <c r="B52" s="5">
        <f>Rgate2</f>
        <v>4.7</v>
      </c>
      <c r="C52" s="444" t="s">
        <v>118</v>
      </c>
      <c r="D52" s="21" t="s">
        <v>102</v>
      </c>
      <c r="G52">
        <v>43</v>
      </c>
      <c r="H52" s="555">
        <f>VIN_min+(VIN_max-VIN_min)*(Table1[[#This Row],[Step]]/200)</f>
        <v>26.02</v>
      </c>
      <c r="I52" s="4" t="str">
        <f>IF(Mode = 2,IF(Table1[[#This Row],[Vin]]&gt;Vout, "BUCK","BOOST"),IF(Table1[[#This Row],[Vin]]&gt;VIN_BB_to_buck, "BUCK", IF(Table1[[#This Row],[Vin]]&lt;=VIN_boost_to_BB,"BOOST","BUCK-BST")))</f>
        <v>BUCK</v>
      </c>
      <c r="J52">
        <f>IF(Table1[[#This Row],[Mode]]="BOOST",2, IF(Table1[[#This Row],[Mode]]="BUCK", 1,3))</f>
        <v>1</v>
      </c>
      <c r="K52">
        <f t="shared" si="0"/>
        <v>12</v>
      </c>
      <c r="L52" s="4">
        <f>Vout*Table1[[#This Row],[Iout]]/(Table1[[#This Row],[Vin]]*Efficiency)</f>
        <v>7.0876653586310132</v>
      </c>
      <c r="M52" s="711">
        <f>MIN(1/Fsw,CHOOSE(Table1[[#This Row],[Mode Digit]],(Vout+(Rdson2+Rs+Rdcr)*Table1[[#This Row],[Iout]])/(Table1[[#This Row],[Vin]]+(Rs+Rdson2-Rdson1)*Table1[[#This Row],[Iout]])/Fsw,(Vout+(Rdson3+Rdcr)*Table1[[#This Row],[Iin]]-Table1[[#This Row],[Vin]])/(Vout+(Rdson3-Rdson4-Rs)*Table1[[#This Row],[Iin]])/Fsw,t1_Ph_II))</f>
        <v>9.4369801663467677E-7</v>
      </c>
      <c r="N52" s="602">
        <f>CHOOSE(Table1[[#This Row],[Mode Digit]],1/Fsw-Table1[[#This Row],[t1_Ph_II]],1/Fsw-Table1[[#This Row],[t1_Ph_II]],(Vout/Fsw-Table1[[#This Row],[Vin]]*t1_Ph_II)/(Table1[[#This Row],[Vin]]+Vout))</f>
        <v>7.2296865003198989E-7</v>
      </c>
      <c r="O52" s="602">
        <f>1/Fsw-(Table1[[#This Row],[t1_Ph_II]]+Table1[[#This Row],[t2_Ph_I]])</f>
        <v>0</v>
      </c>
      <c r="P5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9.9588955776575734</v>
      </c>
      <c r="Q52" s="4">
        <f>CHOOSE(Table1[[#This Row],[Mode Digit]],Table1[[#This Row],[I_0]]+1/Lf*(Table1[[#This Row],[Vin]]-Vout)*Table1[[#This Row],[t1_Ph_II]],Table1[[#This Row],[I_0]]+1/Lf*Table1[[#This Row],[Vin]]*Table1[[#This Row],[t1_Ph_II]],Table1[[#This Row],[I_0]]+(Table1[[#This Row],[Vin]]-Vout)/L*Table1[[#This Row],[t1_Ph_II]])</f>
        <v>14.041104422342425</v>
      </c>
      <c r="R52" s="4">
        <f>CHOOSE(Table1[[#This Row],[Mode Digit]],0,0,Table1[[#This Row],[I_1]]+Table1[[#This Row],[Vin]]/L*Table1[[#This Row],[t2_Ph_I]])</f>
        <v>0</v>
      </c>
      <c r="S52" s="4">
        <f>Fsw*(Table1[[#This Row],[I_0]]*Table1[[#This Row],[t1_Ph_II]]+Table1[[#This Row],[I_1]]*Table1[[#This Row],[t2_Ph_I]]+Table1[[#This Row],[I_2]]*Table1[[#This Row],[t3_Ph_III]])</f>
        <v>11.729680988211848</v>
      </c>
      <c r="T52" s="354">
        <f>MIN(1,CHOOSE(Table1[[#This Row],[Mode Digit]],(Vout+(Rdson2+Rs+Rdcr)*Table1[[#This Row],[Iout]])/(Table1[[#This Row],[Vin]]+(Rs+Rdson2-Rdson1)*Table1[[#This Row],[Iout]]),1,Fsw*Table1[[#This Row],[t2_Ph_I]]+Table1[[#This Row],[t1_Ph_II]]))</f>
        <v>0.56621880998080609</v>
      </c>
      <c r="U52" s="354">
        <f>MIN(1,CHOOSE(Table1[[#This Row],[Mode Digit]],0,(Vout+(Rdson3+Rdcr)*Table1[[#This Row],[Iin]]-Table1[[#This Row],[Vin]])/(Vout+(Rdson3-Rdson4-Rs)*Table1[[#This Row],[Iin]]),Fsw*Table1[[#This Row],[t1_Ph_II]]+Table1[[#This Row],[t3_Ph_III]]))</f>
        <v>0</v>
      </c>
      <c r="V52" s="4">
        <f>MAX(Table1[[#This Row],[I_0]:[I_2]])-MIN(Table1[[#This Row],[I_0]:[I_1]])</f>
        <v>4.0822088446848515</v>
      </c>
      <c r="W5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12.05772376615788</v>
      </c>
      <c r="X52" s="354">
        <f>(Table1[[#This Row],[Irms Lf]]^2*Rdcr*(1+Ltc*Ta-Ltc*25))/(1-Table1[[#This Row],[Irms Lf]]^2*Rdcr*Ltc*ThetaCa)</f>
        <v>0.90425590076125451</v>
      </c>
      <c r="Y52" s="354">
        <f>ABS(7.759*10^-3*Fsw^0.9458*(0.00787*Table1[[#This Row],[Ripple Current pk-pk]])^2.304)</f>
        <v>0.82150379339508517</v>
      </c>
      <c r="Z52" s="354">
        <f>Table1[[#This Row],[DCR    Loss]]+Table1[[#This Row],[Core Loss]]</f>
        <v>1.7257596941563396</v>
      </c>
      <c r="AA52" s="4">
        <f>IF(Table1[[#This Row],[Vin]]&gt;Vout, Table1[[#This Row],[Ripple Current pk-pk]]/SQRT(12), SQRT(Table1[[#This Row],[Duty Cycle BOOST Leg]]/(1-Table1[[#This Row],[Duty Cycle BOOST Leg]]))*SQRT(Table1[[#This Row],[Iout]]^2+(Table1[[#This Row],[Ripple Current pk-pk]]^2)/12))</f>
        <v>1.1784321876835351</v>
      </c>
      <c r="AB52" s="354">
        <f>RCoutEsr*Table1[[#This Row],[Irms Cout]]^2</f>
        <v>6.9435121048430125E-3</v>
      </c>
      <c r="AC52" s="354">
        <f>Table1[[#This Row],[Cout ESR Loss]]</f>
        <v>6.9435121048430125E-3</v>
      </c>
      <c r="AD52" s="354">
        <f>IF(Table1[[#This Row],[Vin]]&gt;Vout, SQRT(Table1[[#This Row],[Duty Cycle BUCK Leg]]*(1-Table1[[#This Row],[Duty Cycle BUCK Leg]]))*SQRT(Table1[[#This Row],[Iout]]^2+(Table1[[#This Row],[Ripple Current pk-pk]]^2)/12), Table1[[#This Row],[Ripple Current pk-pk]]/SQRT(12))</f>
        <v>5.975755701726059</v>
      </c>
      <c r="AE52" s="354">
        <f>RCinEsr*Table1[[#This Row],[Irms Cin]]^2</f>
        <v>7.1419312413423003E-2</v>
      </c>
      <c r="AF52" s="549">
        <f>Table1[[#This Row],[Cin ESR Loss]]</f>
        <v>7.1419312413423003E-2</v>
      </c>
      <c r="AG5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9.0731371680061343</v>
      </c>
      <c r="AH52" s="354">
        <f>Rdson1*Table1[[#This Row],[Irms BuCtrl]]^2</f>
        <v>0.34575163589170843</v>
      </c>
      <c r="AI52" s="354">
        <f>CHOOSE(Table1[[#This Row],[Mode Digit]], (Table1[[#This Row],[Vin]]*Table1[[#This Row],[Iout]]/2)*(Fsw)*(Tr_buck+Tf_buck), 0, (Table1[[#This Row],[Vin]]*Table1[[#This Row],[Avg IL]]/2)*(Fsw/1)*(Tr_buck+Tf_buck))</f>
        <v>3.0962864142250965</v>
      </c>
      <c r="AJ52">
        <f>IF(Table1[[#This Row],[Vin]]&gt;Vout, IF(Table1[[#This Row],[Iout]]&gt;Table1[[#This Row],[Ripple Current pk-pk]]/2,0,ABS(Table1[[#This Row],[Iout]]-Table1[[#This Row],[Ripple Current pk-pk]]/2)*Vsd_Q1*Deadtime*Fsw),0)</f>
        <v>0</v>
      </c>
      <c r="AK52" s="354">
        <f>(Table1[[#This Row],[Dead Time Loss BuCtrl]]+Table1[[#This Row],[Transition Loss BuCtrl]]+Table1[[#This Row],[RDS(on) Loss BuCtrl]]*(1+RdsonTopTc*Ta-RdsonTopTc*25))/(1-Table1[[#This Row],[RDS(on) Loss BuCtrl]]*RdsonTopTc*ThetaJA_Q1)</f>
        <v>3.7535054020584204</v>
      </c>
      <c r="AL52" s="354">
        <f>CHOOSE(Table1[[#This Row],[Mode Digit]],SQRT((Fsw*(Table1[[#This Row],[t2_Ph_I]]+0))*((Table1[[#This Row],[I_0]]*Table1[[#This Row],[I_1]]+((Table1[[#This Row],[I_0]]-Table1[[#This Row],[I_1]])^2)/3))),0,SQRT((Fsw*(Table1[[#This Row],[t3_Ph_III]]+0))*((Table1[[#This Row],[I_0]]*Table1[[#This Row],[I_2]]+((Table1[[#This Row],[I_0]]-Table1[[#This Row],[I_2]])^2)/3))))</f>
        <v>7.941466133625088</v>
      </c>
      <c r="AM52" s="354">
        <f>Rdson2*Table1[[#This Row],[Irms BuSync]]^2</f>
        <v>0.26488091427635968</v>
      </c>
      <c r="AN5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52" s="354">
        <f>(Table1[[#This Row],[Deadtime Loss BuSync]]+Table1[[#This Row],[RDS(on) Loss BuSync]]*(1+RdsonBotTc*Ta-RdsonBotTc*25))/(1-Table1[[#This Row],[RDS(on) Loss BuSync]]*RdsonBotTc*ThetaJA_Q2)</f>
        <v>0.89943041073330832</v>
      </c>
      <c r="AP52" s="354">
        <f>CHOOSE(Table1[[#This Row],[Mode Digit]],0,SQRT((Fsw*(Table1[[#This Row],[t1_Ph_II]]+0))*((Table1[[#This Row],[I_0]]*Table1[[#This Row],[I_1]]+((Table1[[#This Row],[I_0]]-Table1[[#This Row],[I_1]])^2)/3))),SQRT((Fsw*(Table1[[#This Row],[t2_Ph_I]]+0))*((Table1[[#This Row],[I_1]]*Table1[[#This Row],[I_2]]+((Table1[[#This Row],[I_1]]-Table1[[#This Row],[I_2]])^2)/3))))</f>
        <v>0</v>
      </c>
      <c r="AQ52" s="354">
        <f>Rdson4*Table1[[#This Row],[Irms BoCtlr]]^2</f>
        <v>0</v>
      </c>
      <c r="AR52" s="354">
        <f>CHOOSE(Table1[[#This Row],[Mode Digit]], 0, (Vout*Table1[[#This Row],[Iin]]/2)*(Fsw)*(Tr_boost+Tf_boost), (Vout*Iout/2)*(Fsw/1)*(Tr_boost+Tf_boost))</f>
        <v>0</v>
      </c>
      <c r="AS52">
        <f>IF(Table1[[#This Row],[Vin]]&gt;Vout, 0, IF(Table1[[#This Row],[Iin]]&gt;Table1[[#This Row],[Ripple Current pk-pk]]/2,0,ABS(Table1[[#This Row],[Iin]]-Table1[[#This Row],[Ripple Current pk-pk]]/2)*Vsd_Q4*Deadtime*Fsw))</f>
        <v>0</v>
      </c>
      <c r="AT52" s="354">
        <f>(Table1[[#This Row],[Dead Time Loss BoCtlr]]+Table1[[#This Row],[Transition Loss BoCtlr]]+Table1[[#This Row],[RDS(on) Loss BoCtlr]]*(1+RdsonTopTc*Ta-RdsonTopTc*25))/(1-Table1[[#This Row],[RDS(on) Loss BoCtlr]]*RdsonTopTc*ThetaJA_Q4)</f>
        <v>0</v>
      </c>
      <c r="AU5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12.05772376615788</v>
      </c>
      <c r="AV52" s="354">
        <f>Rdson3*Table1[[#This Row],[Irms BoSync]]^2</f>
        <v>0.61063255016806806</v>
      </c>
      <c r="AW5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52" s="354">
        <f>(Table1[[#This Row],[Deadtime Loss BoSync]]+Table1[[#This Row],[RDS(on) Loss BoSync]]*(1+RdsonBotTc*Ta-RdsonBotTc*25))/(1-Table1[[#This Row],[RDS(on) Loss BoSync]]*RdsonBotTc*ThetaJA_Q3)</f>
        <v>0.71548871833439087</v>
      </c>
      <c r="AY52" s="354">
        <f>CHOOSE(Table1[[#This Row],[Mode Digit]], Rdson3*Table1[[#This Row],[Irms Lf]]^2, Rdson1*Table1[[#This Row],[Irms Lf]]^2, 0)</f>
        <v>0.61063255016806806</v>
      </c>
      <c r="AZ52" s="354">
        <f>CHOOSE(Table1[[#This Row],[Mode Digit]], 2*Deadtime*Fsw*IF(VfdSky_Q2&gt;0,VfdSky_Q2,0)*Table1[[#This Row],[Iout]], 2*Deadtime*Fsw*IF(VfdSky_Q3&gt;0,VfdSky_Q3,0)*Table1[[#This Row],[Iin]], 2*Deadtime*Fsw*IF(VfdSky_Q2&gt;0,VfdSky_Q2,0)*Table1[[#This Row],[Iout]]+2*Deadtime*Fsw*IF(VfdSky_Q3&gt;0,VfdSky_Q3,0)*Table1[[#This Row],[Iin]])</f>
        <v>0</v>
      </c>
      <c r="BA52" s="354">
        <f>CHOOSE(Table1[[#This Row],[Mode Digit]], IF(QrrSky_Q2&gt;0,QrrSky_Q2,Qrr_Q2)*Fsw*(Table1[[#This Row],[Vin]]-Table1[[#This Row],[Iout]]*Rdson1),0,  IF(QrrSky_Q2&gt;0,QrrSky_Q2,Qrr_Q2)*Fsw*(Table1[[#This Row],[Vin]]-Table1[[#This Row],[Iout]]*Rdson1)+IF(QrrSky_Q3&gt;0,QrrSky_Q3,Qrr_Q3)*Fsw*Vout)</f>
        <v>0.3116352</v>
      </c>
      <c r="BB52" s="354">
        <f>CHOOSE(Table1[[#This Row],[Mode Digit]],0, IF(QrrSky_Q3&gt;0,QrrSky_Q3,Qrr_Q3)*Fsw*Vout,  IF(QrrSky_Q2&gt;0,QrrSky_Q2,Qrr_Q2)*Fsw*(Table1[[#This Row],[Vin]]-Table1[[#This Row],[Iout]]*Rdson1)+IF(QrrSky_Q3&gt;0,QrrSky_Q3,Qrr_Q3)*Fsw*Vout)</f>
        <v>0</v>
      </c>
      <c r="BC52" s="354">
        <f>CHOOSE(Table1[[#This Row],[Mode Digit]], Rs*Table1[[#This Row],[Irms BuSync]]^2, Rs*Table1[[#This Row],[Irms BoCtlr]]^2, Rs*(Table1[[#This Row],[Irms BuSync]]^2+Table1[[#This Row],[Irms BoCtlr]]^2))</f>
        <v>0.15766721087878552</v>
      </c>
      <c r="BD52" s="354">
        <f t="shared" si="1"/>
        <v>1.44</v>
      </c>
      <c r="BE52" s="354">
        <f>IF(Vout&gt;8, Iq*Vout, Iq*Table1[[#This Row],[Vin]])</f>
        <v>4.3799999999999999E-2</v>
      </c>
      <c r="BF52" s="354">
        <f>CHOOSE(Table1[[#This Row],[Mode Digit]], (Qg_Q1+Qg_Q2)*Fsw, (Qg_Q3+Qg_Q4)*Fsw, (Qg_Q1+Qg_Q2+Qg_Q3+Qg_Q4)*Fsw)*IF(Vout&gt;8, Vout, Table1[[#This Row],[Vin]])</f>
        <v>0.47303999999999996</v>
      </c>
      <c r="BG52" s="354">
        <f t="shared" si="2"/>
        <v>0.45605042016806729</v>
      </c>
      <c r="BH52" s="354">
        <f>Table1[[#This Row],[IQ Loss]]+Table1[[#This Row],[Switching Current Loss]]</f>
        <v>0.51683999999999997</v>
      </c>
      <c r="BI5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9.598689460679509</v>
      </c>
      <c r="BJ52">
        <f>Vout*Table1[[#This Row],[Iout]]</f>
        <v>175.2</v>
      </c>
      <c r="BK52" s="550">
        <f>Table1[[#This Row],[Pout]]/(Table1[[#This Row],[Pout]]+Table1[[#This Row],[Total Loss]])</f>
        <v>0.94805867136453981</v>
      </c>
      <c r="BL5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225.21032412350522</v>
      </c>
      <c r="BM52" s="559">
        <f>IF(Table1[[#This Row],[Vin]]&gt;Vout, Table1[[#This Row],[Total Sync Bu MOSFET Loss]]*ThetaJA_Q2, ThetaJA_Q3*Table1[[#This Row],[Total Sync Bo MOSFET Loss]])</f>
        <v>53.965824643998502</v>
      </c>
      <c r="BN52" s="9"/>
      <c r="BO52" s="4">
        <f>Table1[[#This Row],[EFF, h]]*100</f>
        <v>94.805867136453983</v>
      </c>
      <c r="BP52" s="354">
        <f>Table1[[#This Row],[Total Inductor Loss]]</f>
        <v>1.7257596941563396</v>
      </c>
      <c r="BQ52" s="354">
        <f>Table1[[#This Row],[Total Control Bu MOSFET Loss]]+Table1[[#This Row],[Total Sync Bu MOSFET Loss]]+Table1[[#This Row],[Total Control Bo MOSFET Loss]]+Table1[[#This Row],[Total Sync Bo MOSFET Loss]]+Table1[[#This Row],[Reverse Recovery Loss MOSFET D BUCK]]+Table1[[#This Row],[Reverse Recovery Loss MOSFET D BOOST]]</f>
        <v>5.6800597311261196</v>
      </c>
      <c r="BR52" s="354">
        <f>Table1[[#This Row],[Total Control Bu MOSFET Loss]]+Table1[[#This Row],[Reverse Recovery Loss MOSFET D BUCK]]*0.66</f>
        <v>3.9591846340584205</v>
      </c>
      <c r="BS52" s="354">
        <f>Table1[[#This Row],[Total Sync Bu MOSFET Loss]]+Table1[[#This Row],[Reverse Recovery Loss MOSFET D BUCK]]*0.33</f>
        <v>1.0022700267333082</v>
      </c>
      <c r="BT52" s="354">
        <f xml:space="preserve"> Table1[[#This Row],[Total Control Bo MOSFET Loss]]+Table1[[#This Row],[Reverse Recovery Loss MOSFET D BOOST]]*0.66</f>
        <v>0</v>
      </c>
      <c r="BU52" s="354">
        <f xml:space="preserve"> Table1[[#This Row],[Total Sync Bo MOSFET Loss]]+Table1[[#This Row],[Reverse Recovery Loss MOSFET D BOOST]]*0.33</f>
        <v>0.71548871833439087</v>
      </c>
      <c r="BV52" s="354">
        <f>Table1[[#This Row],[Isense Shunt Loss]]</f>
        <v>0.15766721087878552</v>
      </c>
      <c r="CA52">
        <v>9.9959819999999997</v>
      </c>
      <c r="CB52">
        <v>11.519</v>
      </c>
      <c r="CC52">
        <v>5.1101260000000002</v>
      </c>
      <c r="CD52">
        <v>88.591390420220321</v>
      </c>
      <c r="CE52">
        <v>7580.3207309739973</v>
      </c>
    </row>
    <row r="53" spans="1:83" x14ac:dyDescent="0.2">
      <c r="A53" s="23" t="s">
        <v>76</v>
      </c>
      <c r="B53" s="5">
        <f>Vsd_Q2</f>
        <v>1</v>
      </c>
      <c r="C53" s="440" t="s">
        <v>0</v>
      </c>
      <c r="D53" s="21" t="s">
        <v>107</v>
      </c>
      <c r="G53">
        <v>44</v>
      </c>
      <c r="H53" s="555">
        <f>VIN_min+(VIN_max-VIN_min)*(Table1[[#This Row],[Step]]/200)</f>
        <v>26.16</v>
      </c>
      <c r="I53" s="4" t="str">
        <f>IF(Mode = 2,IF(Table1[[#This Row],[Vin]]&gt;Vout, "BUCK","BOOST"),IF(Table1[[#This Row],[Vin]]&gt;VIN_BB_to_buck, "BUCK", IF(Table1[[#This Row],[Vin]]&lt;=VIN_boost_to_BB,"BOOST","BUCK-BST")))</f>
        <v>BUCK</v>
      </c>
      <c r="J53">
        <f>IF(Table1[[#This Row],[Mode]]="BOOST",2, IF(Table1[[#This Row],[Mode]]="BUCK", 1,3))</f>
        <v>1</v>
      </c>
      <c r="K53">
        <f t="shared" si="0"/>
        <v>12</v>
      </c>
      <c r="L53" s="4">
        <f>Vout*Table1[[#This Row],[Iout]]/(Table1[[#This Row],[Vin]]*Efficiency)</f>
        <v>7.0497344278126501</v>
      </c>
      <c r="M53" s="711">
        <f>MIN(1/Fsw,CHOOSE(Table1[[#This Row],[Mode Digit]],(Vout+(Rdson2+Rs+Rdcr)*Table1[[#This Row],[Iout]])/(Table1[[#This Row],[Vin]]+(Rs+Rdson2-Rdson1)*Table1[[#This Row],[Iout]])/Fsw,(Vout+(Rdson3+Rdcr)*Table1[[#This Row],[Iin]]-Table1[[#This Row],[Vin]])/(Vout+(Rdson3-Rdson4-Rs)*Table1[[#This Row],[Iin]])/Fsw,t1_Ph_II))</f>
        <v>9.3865343006236466E-7</v>
      </c>
      <c r="N53" s="602">
        <f>CHOOSE(Table1[[#This Row],[Mode Digit]],1/Fsw-Table1[[#This Row],[t1_Ph_II]],1/Fsw-Table1[[#This Row],[t1_Ph_II]],(Vout/Fsw-Table1[[#This Row],[Vin]]*t1_Ph_II)/(Table1[[#This Row],[Vin]]+Vout))</f>
        <v>7.28013236604302E-7</v>
      </c>
      <c r="O53" s="602">
        <f>1/Fsw-(Table1[[#This Row],[t1_Ph_II]]+Table1[[#This Row],[t2_Ph_I]])</f>
        <v>0</v>
      </c>
      <c r="P5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9.9449178690301263</v>
      </c>
      <c r="Q53" s="4">
        <f>CHOOSE(Table1[[#This Row],[Mode Digit]],Table1[[#This Row],[I_0]]+1/Lf*(Table1[[#This Row],[Vin]]-Vout)*Table1[[#This Row],[t1_Ph_II]],Table1[[#This Row],[I_0]]+1/Lf*Table1[[#This Row],[Vin]]*Table1[[#This Row],[t1_Ph_II]],Table1[[#This Row],[I_0]]+(Table1[[#This Row],[Vin]]-Vout)/L*Table1[[#This Row],[t1_Ph_II]])</f>
        <v>14.055082130969875</v>
      </c>
      <c r="R53" s="4">
        <f>CHOOSE(Table1[[#This Row],[Mode Digit]],0,0,Table1[[#This Row],[I_1]]+Table1[[#This Row],[Vin]]/L*Table1[[#This Row],[t2_Ph_I]])</f>
        <v>0</v>
      </c>
      <c r="S53" s="4">
        <f>Fsw*(Table1[[#This Row],[I_0]]*Table1[[#This Row],[t1_Ph_II]]+Table1[[#This Row],[I_1]]*Table1[[#This Row],[t2_Ph_I]]+Table1[[#This Row],[I_2]]*Table1[[#This Row],[t3_Ph_III]])</f>
        <v>11.74027026141618</v>
      </c>
      <c r="T53" s="354">
        <f>MIN(1,CHOOSE(Table1[[#This Row],[Mode Digit]],(Vout+(Rdson2+Rs+Rdcr)*Table1[[#This Row],[Iout]])/(Table1[[#This Row],[Vin]]+(Rs+Rdson2-Rdson1)*Table1[[#This Row],[Iout]]),1,Fsw*Table1[[#This Row],[t2_Ph_I]]+Table1[[#This Row],[t1_Ph_II]]))</f>
        <v>0.56319205803741879</v>
      </c>
      <c r="U53" s="354">
        <f>MIN(1,CHOOSE(Table1[[#This Row],[Mode Digit]],0,(Vout+(Rdson3+Rdcr)*Table1[[#This Row],[Iin]]-Table1[[#This Row],[Vin]])/(Vout+(Rdson3-Rdson4-Rs)*Table1[[#This Row],[Iin]]),Fsw*Table1[[#This Row],[t1_Ph_II]]+Table1[[#This Row],[t3_Ph_III]]))</f>
        <v>0</v>
      </c>
      <c r="V53" s="4">
        <f>MAX(Table1[[#This Row],[I_0]:[I_2]])-MIN(Table1[[#This Row],[I_0]:[I_1]])</f>
        <v>4.1101642619397492</v>
      </c>
      <c r="W5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12.058515145807847</v>
      </c>
      <c r="X53" s="354">
        <f>(Table1[[#This Row],[Irms Lf]]^2*Rdcr*(1+Ltc*Ta-Ltc*25))/(1-Table1[[#This Row],[Irms Lf]]^2*Rdcr*Ltc*ThetaCa)</f>
        <v>0.90438319008182821</v>
      </c>
      <c r="Y53" s="354">
        <f>ABS(7.759*10^-3*Fsw^0.9458*(0.00787*Table1[[#This Row],[Ripple Current pk-pk]])^2.304)</f>
        <v>0.83452343232565696</v>
      </c>
      <c r="Z53" s="354">
        <f>Table1[[#This Row],[DCR    Loss]]+Table1[[#This Row],[Core Loss]]</f>
        <v>1.7389066224074852</v>
      </c>
      <c r="AA53" s="4">
        <f>IF(Table1[[#This Row],[Vin]]&gt;Vout, Table1[[#This Row],[Ripple Current pk-pk]]/SQRT(12), SQRT(Table1[[#This Row],[Duty Cycle BOOST Leg]]/(1-Table1[[#This Row],[Duty Cycle BOOST Leg]]))*SQRT(Table1[[#This Row],[Iout]]^2+(Table1[[#This Row],[Ripple Current pk-pk]]^2)/12))</f>
        <v>1.1865022215222469</v>
      </c>
      <c r="AB53" s="354">
        <f>RCoutEsr*Table1[[#This Row],[Irms Cout]]^2</f>
        <v>7.0389376083861352E-3</v>
      </c>
      <c r="AC53" s="354">
        <f>Table1[[#This Row],[Cout ESR Loss]]</f>
        <v>7.0389376083861352E-3</v>
      </c>
      <c r="AD53" s="354">
        <f>IF(Table1[[#This Row],[Vin]]&gt;Vout, SQRT(Table1[[#This Row],[Duty Cycle BUCK Leg]]*(1-Table1[[#This Row],[Duty Cycle BUCK Leg]]))*SQRT(Table1[[#This Row],[Iout]]^2+(Table1[[#This Row],[Ripple Current pk-pk]]^2)/12), Table1[[#This Row],[Ripple Current pk-pk]]/SQRT(12))</f>
        <v>5.9809112382370788</v>
      </c>
      <c r="AE53" s="354">
        <f>RCinEsr*Table1[[#This Row],[Irms Cin]]^2</f>
        <v>7.1542598479341177E-2</v>
      </c>
      <c r="AF53" s="549">
        <f>Table1[[#This Row],[Cin ESR Loss]]</f>
        <v>7.1542598479341177E-2</v>
      </c>
      <c r="AG5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9.0494481107414</v>
      </c>
      <c r="AH53" s="354">
        <f>Rdson1*Table1[[#This Row],[Irms BuCtrl]]^2</f>
        <v>0.34394854665780461</v>
      </c>
      <c r="AI53" s="354">
        <f>CHOOSE(Table1[[#This Row],[Mode Digit]], (Table1[[#This Row],[Vin]]*Table1[[#This Row],[Iout]]/2)*(Fsw)*(Tr_buck+Tf_buck), 0, (Table1[[#This Row],[Vin]]*Table1[[#This Row],[Avg IL]]/2)*(Fsw/1)*(Tr_buck+Tf_buck))</f>
        <v>3.1129459106890285</v>
      </c>
      <c r="AJ53">
        <f>IF(Table1[[#This Row],[Vin]]&gt;Vout, IF(Table1[[#This Row],[Iout]]&gt;Table1[[#This Row],[Ripple Current pk-pk]]/2,0,ABS(Table1[[#This Row],[Iout]]-Table1[[#This Row],[Ripple Current pk-pk]]/2)*Vsd_Q1*Deadtime*Fsw),0)</f>
        <v>0</v>
      </c>
      <c r="AK53" s="354">
        <f>(Table1[[#This Row],[Dead Time Loss BuCtrl]]+Table1[[#This Row],[Transition Loss BuCtrl]]+Table1[[#This Row],[RDS(on) Loss BuCtrl]]*(1+RdsonTopTc*Ta-RdsonTopTc*25))/(1-Table1[[#This Row],[RDS(on) Loss BuCtrl]]*RdsonTopTc*ThetaJA_Q1)</f>
        <v>3.7679280693545913</v>
      </c>
      <c r="AL53" s="354">
        <f>CHOOSE(Table1[[#This Row],[Mode Digit]],SQRT((Fsw*(Table1[[#This Row],[t2_Ph_I]]+0))*((Table1[[#This Row],[I_0]]*Table1[[#This Row],[I_1]]+((Table1[[#This Row],[I_0]]-Table1[[#This Row],[I_1]])^2)/3))),0,SQRT((Fsw*(Table1[[#This Row],[t3_Ph_III]]+0))*((Table1[[#This Row],[I_0]]*Table1[[#This Row],[I_2]]+((Table1[[#This Row],[I_0]]-Table1[[#This Row],[I_2]])^2)/3))))</f>
        <v>7.9696471949940255</v>
      </c>
      <c r="AM53" s="354">
        <f>Rdson2*Table1[[#This Row],[Irms BuSync]]^2</f>
        <v>0.26676416093323979</v>
      </c>
      <c r="AN5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53" s="354">
        <f>(Table1[[#This Row],[Deadtime Loss BuSync]]+Table1[[#This Row],[RDS(on) Loss BuSync]]*(1+RdsonBotTc*Ta-RdsonBotTc*25))/(1-Table1[[#This Row],[RDS(on) Loss BuSync]]*RdsonBotTc*ThetaJA_Q2)</f>
        <v>0.90187680788565172</v>
      </c>
      <c r="AP53" s="354">
        <f>CHOOSE(Table1[[#This Row],[Mode Digit]],0,SQRT((Fsw*(Table1[[#This Row],[t1_Ph_II]]+0))*((Table1[[#This Row],[I_0]]*Table1[[#This Row],[I_1]]+((Table1[[#This Row],[I_0]]-Table1[[#This Row],[I_1]])^2)/3))),SQRT((Fsw*(Table1[[#This Row],[t2_Ph_I]]+0))*((Table1[[#This Row],[I_1]]*Table1[[#This Row],[I_2]]+((Table1[[#This Row],[I_1]]-Table1[[#This Row],[I_2]])^2)/3))))</f>
        <v>0</v>
      </c>
      <c r="AQ53" s="354">
        <f>Rdson4*Table1[[#This Row],[Irms BoCtlr]]^2</f>
        <v>0</v>
      </c>
      <c r="AR53" s="354">
        <f>CHOOSE(Table1[[#This Row],[Mode Digit]], 0, (Vout*Table1[[#This Row],[Iin]]/2)*(Fsw)*(Tr_boost+Tf_boost), (Vout*Iout/2)*(Fsw/1)*(Tr_boost+Tf_boost))</f>
        <v>0</v>
      </c>
      <c r="AS53">
        <f>IF(Table1[[#This Row],[Vin]]&gt;Vout, 0, IF(Table1[[#This Row],[Iin]]&gt;Table1[[#This Row],[Ripple Current pk-pk]]/2,0,ABS(Table1[[#This Row],[Iin]]-Table1[[#This Row],[Ripple Current pk-pk]]/2)*Vsd_Q4*Deadtime*Fsw))</f>
        <v>0</v>
      </c>
      <c r="AT53" s="354">
        <f>(Table1[[#This Row],[Dead Time Loss BoCtlr]]+Table1[[#This Row],[Transition Loss BoCtlr]]+Table1[[#This Row],[RDS(on) Loss BoCtlr]]*(1+RdsonTopTc*Ta-RdsonTopTc*25))/(1-Table1[[#This Row],[RDS(on) Loss BoCtlr]]*RdsonTopTc*ThetaJA_Q4)</f>
        <v>0</v>
      </c>
      <c r="AU5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12.058515145807847</v>
      </c>
      <c r="AV53" s="354">
        <f>Rdson3*Table1[[#This Row],[Irms BoSync]]^2</f>
        <v>0.61071270759104457</v>
      </c>
      <c r="AW5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53" s="354">
        <f>(Table1[[#This Row],[Deadtime Loss BoSync]]+Table1[[#This Row],[RDS(on) Loss BoSync]]*(1+RdsonBotTc*Ta-RdsonBotTc*25))/(1-Table1[[#This Row],[RDS(on) Loss BoSync]]*RdsonBotTc*ThetaJA_Q3)</f>
        <v>0.71559877065754696</v>
      </c>
      <c r="AY53" s="354">
        <f>CHOOSE(Table1[[#This Row],[Mode Digit]], Rdson3*Table1[[#This Row],[Irms Lf]]^2, Rdson1*Table1[[#This Row],[Irms Lf]]^2, 0)</f>
        <v>0.61071270759104457</v>
      </c>
      <c r="AZ53" s="354">
        <f>CHOOSE(Table1[[#This Row],[Mode Digit]], 2*Deadtime*Fsw*IF(VfdSky_Q2&gt;0,VfdSky_Q2,0)*Table1[[#This Row],[Iout]], 2*Deadtime*Fsw*IF(VfdSky_Q3&gt;0,VfdSky_Q3,0)*Table1[[#This Row],[Iin]], 2*Deadtime*Fsw*IF(VfdSky_Q2&gt;0,VfdSky_Q2,0)*Table1[[#This Row],[Iout]]+2*Deadtime*Fsw*IF(VfdSky_Q3&gt;0,VfdSky_Q3,0)*Table1[[#This Row],[Iin]])</f>
        <v>0</v>
      </c>
      <c r="BA53" s="354">
        <f>CHOOSE(Table1[[#This Row],[Mode Digit]], IF(QrrSky_Q2&gt;0,QrrSky_Q2,Qrr_Q2)*Fsw*(Table1[[#This Row],[Vin]]-Table1[[#This Row],[Iout]]*Rdson1),0,  IF(QrrSky_Q2&gt;0,QrrSky_Q2,Qrr_Q2)*Fsw*(Table1[[#This Row],[Vin]]-Table1[[#This Row],[Iout]]*Rdson1)+IF(QrrSky_Q3&gt;0,QrrSky_Q3,Qrr_Q3)*Fsw*Vout)</f>
        <v>0.31331520000000002</v>
      </c>
      <c r="BB53" s="354">
        <f>CHOOSE(Table1[[#This Row],[Mode Digit]],0, IF(QrrSky_Q3&gt;0,QrrSky_Q3,Qrr_Q3)*Fsw*Vout,  IF(QrrSky_Q2&gt;0,QrrSky_Q2,Qrr_Q2)*Fsw*(Table1[[#This Row],[Vin]]-Table1[[#This Row],[Iout]]*Rdson1)+IF(QrrSky_Q3&gt;0,QrrSky_Q3,Qrr_Q3)*Fsw*Vout)</f>
        <v>0</v>
      </c>
      <c r="BC53" s="354">
        <f>CHOOSE(Table1[[#This Row],[Mode Digit]], Rs*Table1[[#This Row],[Irms BuSync]]^2, Rs*Table1[[#This Row],[Irms BoCtlr]]^2, Rs*(Table1[[#This Row],[Irms BuSync]]^2+Table1[[#This Row],[Irms BoCtlr]]^2))</f>
        <v>0.15878819103169034</v>
      </c>
      <c r="BD53" s="354">
        <f t="shared" si="1"/>
        <v>1.44</v>
      </c>
      <c r="BE53" s="354">
        <f>IF(Vout&gt;8, Iq*Vout, Iq*Table1[[#This Row],[Vin]])</f>
        <v>4.3799999999999999E-2</v>
      </c>
      <c r="BF53" s="354">
        <f>CHOOSE(Table1[[#This Row],[Mode Digit]], (Qg_Q1+Qg_Q2)*Fsw, (Qg_Q3+Qg_Q4)*Fsw, (Qg_Q1+Qg_Q2+Qg_Q3+Qg_Q4)*Fsw)*IF(Vout&gt;8, Vout, Table1[[#This Row],[Vin]])</f>
        <v>0.47303999999999996</v>
      </c>
      <c r="BG53" s="354">
        <f t="shared" si="2"/>
        <v>0.45605042016806729</v>
      </c>
      <c r="BH53" s="354">
        <f>Table1[[#This Row],[IQ Loss]]+Table1[[#This Row],[Switching Current Loss]]</f>
        <v>0.51683999999999997</v>
      </c>
      <c r="BI5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9.6318351974246905</v>
      </c>
      <c r="BJ53">
        <f>Vout*Table1[[#This Row],[Iout]]</f>
        <v>175.2</v>
      </c>
      <c r="BK53" s="550">
        <f>Table1[[#This Row],[Pout]]/(Table1[[#This Row],[Pout]]+Table1[[#This Row],[Total Loss]])</f>
        <v>0.94788865680451295</v>
      </c>
      <c r="BL5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226.07568416127549</v>
      </c>
      <c r="BM53" s="559">
        <f>IF(Table1[[#This Row],[Vin]]&gt;Vout, Table1[[#This Row],[Total Sync Bu MOSFET Loss]]*ThetaJA_Q2, ThetaJA_Q3*Table1[[#This Row],[Total Sync Bo MOSFET Loss]])</f>
        <v>54.112608473139105</v>
      </c>
      <c r="BN53" s="9"/>
      <c r="BO53" s="4">
        <f>Table1[[#This Row],[EFF, h]]*100</f>
        <v>94.788865680451295</v>
      </c>
      <c r="BP53" s="354">
        <f>Table1[[#This Row],[Total Inductor Loss]]</f>
        <v>1.7389066224074852</v>
      </c>
      <c r="BQ53" s="354">
        <f>Table1[[#This Row],[Total Control Bu MOSFET Loss]]+Table1[[#This Row],[Total Sync Bu MOSFET Loss]]+Table1[[#This Row],[Total Control Bo MOSFET Loss]]+Table1[[#This Row],[Total Sync Bo MOSFET Loss]]+Table1[[#This Row],[Reverse Recovery Loss MOSFET D BUCK]]+Table1[[#This Row],[Reverse Recovery Loss MOSFET D BOOST]]</f>
        <v>5.6987188478977897</v>
      </c>
      <c r="BR53" s="354">
        <f>Table1[[#This Row],[Total Control Bu MOSFET Loss]]+Table1[[#This Row],[Reverse Recovery Loss MOSFET D BUCK]]*0.66</f>
        <v>3.9747161013545913</v>
      </c>
      <c r="BS53" s="354">
        <f>Table1[[#This Row],[Total Sync Bu MOSFET Loss]]+Table1[[#This Row],[Reverse Recovery Loss MOSFET D BUCK]]*0.33</f>
        <v>1.0052708238856518</v>
      </c>
      <c r="BT53" s="354">
        <f xml:space="preserve"> Table1[[#This Row],[Total Control Bo MOSFET Loss]]+Table1[[#This Row],[Reverse Recovery Loss MOSFET D BOOST]]*0.66</f>
        <v>0</v>
      </c>
      <c r="BU53" s="354">
        <f xml:space="preserve"> Table1[[#This Row],[Total Sync Bo MOSFET Loss]]+Table1[[#This Row],[Reverse Recovery Loss MOSFET D BOOST]]*0.33</f>
        <v>0.71559877065754696</v>
      </c>
      <c r="BV53" s="354">
        <f>Table1[[#This Row],[Isense Shunt Loss]]</f>
        <v>0.15878819103169034</v>
      </c>
      <c r="CA53">
        <v>9.9955739999999995</v>
      </c>
      <c r="CB53">
        <v>12.605</v>
      </c>
      <c r="CC53">
        <v>5.1111979999999999</v>
      </c>
      <c r="CD53">
        <v>87.386508098290477</v>
      </c>
      <c r="CE53">
        <v>9299.4335961019988</v>
      </c>
    </row>
    <row r="54" spans="1:83" x14ac:dyDescent="0.2">
      <c r="A54" s="23" t="s">
        <v>77</v>
      </c>
      <c r="B54" s="5">
        <f>Qrr_Q2*1000000000</f>
        <v>20</v>
      </c>
      <c r="C54" s="440" t="s">
        <v>69</v>
      </c>
      <c r="D54" s="21" t="s">
        <v>112</v>
      </c>
      <c r="G54">
        <v>45</v>
      </c>
      <c r="H54" s="555">
        <f>VIN_min+(VIN_max-VIN_min)*(Table1[[#This Row],[Step]]/200)</f>
        <v>26.3</v>
      </c>
      <c r="I54" s="4" t="str">
        <f>IF(Mode = 2,IF(Table1[[#This Row],[Vin]]&gt;Vout, "BUCK","BOOST"),IF(Table1[[#This Row],[Vin]]&gt;VIN_BB_to_buck, "BUCK", IF(Table1[[#This Row],[Vin]]&lt;=VIN_boost_to_BB,"BOOST","BUCK-BST")))</f>
        <v>BUCK</v>
      </c>
      <c r="J54">
        <f>IF(Table1[[#This Row],[Mode]]="BOOST",2, IF(Table1[[#This Row],[Mode]]="BUCK", 1,3))</f>
        <v>1</v>
      </c>
      <c r="K54">
        <f t="shared" si="0"/>
        <v>12</v>
      </c>
      <c r="L54" s="4">
        <f>Vout*Table1[[#This Row],[Iout]]/(Table1[[#This Row],[Vin]]*Efficiency)</f>
        <v>7.0122073243946366</v>
      </c>
      <c r="M54" s="711">
        <f>MIN(1/Fsw,CHOOSE(Table1[[#This Row],[Mode Digit]],(Vout+(Rdson2+Rs+Rdcr)*Table1[[#This Row],[Iout]])/(Table1[[#This Row],[Vin]]+(Rs+Rdson2-Rdson1)*Table1[[#This Row],[Iout]])/Fsw,(Vout+(Rdson3+Rdcr)*Table1[[#This Row],[Iin]]-Table1[[#This Row],[Vin]])/(Vout+(Rdson3-Rdson4-Rs)*Table1[[#This Row],[Iin]])/Fsw,t1_Ph_II))</f>
        <v>9.3366248892264836E-7</v>
      </c>
      <c r="N54" s="602">
        <f>CHOOSE(Table1[[#This Row],[Mode Digit]],1/Fsw-Table1[[#This Row],[t1_Ph_II]],1/Fsw-Table1[[#This Row],[t1_Ph_II]],(Vout/Fsw-Table1[[#This Row],[Vin]]*t1_Ph_II)/(Table1[[#This Row],[Vin]]+Vout))</f>
        <v>7.3300417774401831E-7</v>
      </c>
      <c r="O54" s="602">
        <f>1/Fsw-(Table1[[#This Row],[t1_Ph_II]]+Table1[[#This Row],[t2_Ph_I]])</f>
        <v>0</v>
      </c>
      <c r="P5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9.9310888029554949</v>
      </c>
      <c r="Q54" s="4">
        <f>CHOOSE(Table1[[#This Row],[Mode Digit]],Table1[[#This Row],[I_0]]+1/Lf*(Table1[[#This Row],[Vin]]-Vout)*Table1[[#This Row],[t1_Ph_II]],Table1[[#This Row],[I_0]]+1/Lf*Table1[[#This Row],[Vin]]*Table1[[#This Row],[t1_Ph_II]],Table1[[#This Row],[I_0]]+(Table1[[#This Row],[Vin]]-Vout)/L*Table1[[#This Row],[t1_Ph_II]])</f>
        <v>14.068911197044505</v>
      </c>
      <c r="R54" s="4">
        <f>CHOOSE(Table1[[#This Row],[Mode Digit]],0,0,Table1[[#This Row],[I_1]]+Table1[[#This Row],[Vin]]/L*Table1[[#This Row],[t2_Ph_I]])</f>
        <v>0</v>
      </c>
      <c r="S54" s="4">
        <f>Fsw*(Table1[[#This Row],[I_0]]*Table1[[#This Row],[t1_Ph_II]]+Table1[[#This Row],[I_1]]*Table1[[#This Row],[t2_Ph_I]]+Table1[[#This Row],[I_2]]*Table1[[#This Row],[t3_Ph_III]])</f>
        <v>11.750913463933493</v>
      </c>
      <c r="T54" s="354">
        <f>MIN(1,CHOOSE(Table1[[#This Row],[Mode Digit]],(Vout+(Rdson2+Rs+Rdcr)*Table1[[#This Row],[Iout]])/(Table1[[#This Row],[Vin]]+(Rs+Rdson2-Rdson1)*Table1[[#This Row],[Iout]]),1,Fsw*Table1[[#This Row],[t2_Ph_I]]+Table1[[#This Row],[t1_Ph_II]]))</f>
        <v>0.56019749335358904</v>
      </c>
      <c r="U54" s="354">
        <f>MIN(1,CHOOSE(Table1[[#This Row],[Mode Digit]],0,(Vout+(Rdson3+Rdcr)*Table1[[#This Row],[Iin]]-Table1[[#This Row],[Vin]])/(Vout+(Rdson3-Rdson4-Rs)*Table1[[#This Row],[Iin]]),Fsw*Table1[[#This Row],[t1_Ph_II]]+Table1[[#This Row],[t3_Ph_III]]))</f>
        <v>0</v>
      </c>
      <c r="V54" s="4">
        <f>MAX(Table1[[#This Row],[I_0]:[I_2]])-MIN(Table1[[#This Row],[I_0]:[I_1]])</f>
        <v>4.1378223940890102</v>
      </c>
      <c r="W5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12.05930337320881</v>
      </c>
      <c r="X54" s="354">
        <f>(Table1[[#This Row],[Irms Lf]]^2*Rdcr*(1+Ltc*Ta-Ltc*25))/(1-Table1[[#This Row],[Irms Lf]]^2*Rdcr*Ltc*ThetaCa)</f>
        <v>0.90450998308703079</v>
      </c>
      <c r="Y54" s="354">
        <f>ABS(7.759*10^-3*Fsw^0.9458*(0.00787*Table1[[#This Row],[Ripple Current pk-pk]])^2.304)</f>
        <v>0.84751876029804463</v>
      </c>
      <c r="Z54" s="354">
        <f>Table1[[#This Row],[DCR    Loss]]+Table1[[#This Row],[Core Loss]]</f>
        <v>1.7520287433850754</v>
      </c>
      <c r="AA54" s="4">
        <f>IF(Table1[[#This Row],[Vin]]&gt;Vout, Table1[[#This Row],[Ripple Current pk-pk]]/SQRT(12), SQRT(Table1[[#This Row],[Duty Cycle BOOST Leg]]/(1-Table1[[#This Row],[Duty Cycle BOOST Leg]]))*SQRT(Table1[[#This Row],[Iout]]^2+(Table1[[#This Row],[Ripple Current pk-pk]]^2)/12))</f>
        <v>1.1944864365430761</v>
      </c>
      <c r="AB54" s="354">
        <f>RCoutEsr*Table1[[#This Row],[Irms Cout]]^2</f>
        <v>7.1339892354268805E-3</v>
      </c>
      <c r="AC54" s="354">
        <f>Table1[[#This Row],[Cout ESR Loss]]</f>
        <v>7.1339892354268805E-3</v>
      </c>
      <c r="AD54" s="354">
        <f>IF(Table1[[#This Row],[Vin]]&gt;Vout, SQRT(Table1[[#This Row],[Duty Cycle BUCK Leg]]*(1-Table1[[#This Row],[Duty Cycle BUCK Leg]]))*SQRT(Table1[[#This Row],[Iout]]^2+(Table1[[#This Row],[Ripple Current pk-pk]]^2)/12), Table1[[#This Row],[Ripple Current pk-pk]]/SQRT(12))</f>
        <v>5.9857924135596754</v>
      </c>
      <c r="AE54" s="354">
        <f>RCinEsr*Table1[[#This Row],[Irms Cin]]^2</f>
        <v>7.1659421636457124E-2</v>
      </c>
      <c r="AF54" s="549">
        <f>Table1[[#This Row],[Cin ESR Loss]]</f>
        <v>7.1659421636457124E-2</v>
      </c>
      <c r="AG5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9.025947463860863</v>
      </c>
      <c r="AH54" s="354">
        <f>Rdson1*Table1[[#This Row],[Irms BuCtrl]]^2</f>
        <v>0.34216445600558071</v>
      </c>
      <c r="AI54" s="354">
        <f>CHOOSE(Table1[[#This Row],[Mode Digit]], (Table1[[#This Row],[Vin]]*Table1[[#This Row],[Iout]]/2)*(Fsw)*(Tr_buck+Tf_buck), 0, (Table1[[#This Row],[Vin]]*Table1[[#This Row],[Avg IL]]/2)*(Fsw/1)*(Tr_buck+Tf_buck))</f>
        <v>3.1296054071529609</v>
      </c>
      <c r="AJ54">
        <f>IF(Table1[[#This Row],[Vin]]&gt;Vout, IF(Table1[[#This Row],[Iout]]&gt;Table1[[#This Row],[Ripple Current pk-pk]]/2,0,ABS(Table1[[#This Row],[Iout]]-Table1[[#This Row],[Ripple Current pk-pk]]/2)*Vsd_Q1*Deadtime*Fsw),0)</f>
        <v>0</v>
      </c>
      <c r="AK54" s="354">
        <f>(Table1[[#This Row],[Dead Time Loss BuCtrl]]+Table1[[#This Row],[Transition Loss BuCtrl]]+Table1[[#This Row],[RDS(on) Loss BuCtrl]]*(1+RdsonTopTc*Ta-RdsonTopTc*25))/(1-Table1[[#This Row],[RDS(on) Loss BuCtrl]]*RdsonTopTc*ThetaJA_Q1)</f>
        <v>3.782376624815734</v>
      </c>
      <c r="AL54" s="354">
        <f>CHOOSE(Table1[[#This Row],[Mode Digit]],SQRT((Fsw*(Table1[[#This Row],[t2_Ph_I]]+0))*((Table1[[#This Row],[I_0]]*Table1[[#This Row],[I_1]]+((Table1[[#This Row],[I_0]]-Table1[[#This Row],[I_1]])^2)/3))),0,SQRT((Fsw*(Table1[[#This Row],[t3_Ph_III]]+0))*((Table1[[#This Row],[I_0]]*Table1[[#This Row],[I_2]]+((Table1[[#This Row],[I_0]]-Table1[[#This Row],[I_2]])^2)/3))))</f>
        <v>7.9974414800427907</v>
      </c>
      <c r="AM54" s="354">
        <f>Rdson2*Table1[[#This Row],[Irms BuSync]]^2</f>
        <v>0.26862809495217793</v>
      </c>
      <c r="AN5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54" s="354">
        <f>(Table1[[#This Row],[Deadtime Loss BuSync]]+Table1[[#This Row],[RDS(on) Loss BuSync]]*(1+RdsonBotTc*Ta-RdsonBotTc*25))/(1-Table1[[#This Row],[RDS(on) Loss BuSync]]*RdsonBotTc*ThetaJA_Q2)</f>
        <v>0.9043004449110108</v>
      </c>
      <c r="AP54" s="354">
        <f>CHOOSE(Table1[[#This Row],[Mode Digit]],0,SQRT((Fsw*(Table1[[#This Row],[t1_Ph_II]]+0))*((Table1[[#This Row],[I_0]]*Table1[[#This Row],[I_1]]+((Table1[[#This Row],[I_0]]-Table1[[#This Row],[I_1]])^2)/3))),SQRT((Fsw*(Table1[[#This Row],[t2_Ph_I]]+0))*((Table1[[#This Row],[I_1]]*Table1[[#This Row],[I_2]]+((Table1[[#This Row],[I_1]]-Table1[[#This Row],[I_2]])^2)/3))))</f>
        <v>0</v>
      </c>
      <c r="AQ54" s="354">
        <f>Rdson4*Table1[[#This Row],[Irms BoCtlr]]^2</f>
        <v>0</v>
      </c>
      <c r="AR54" s="354">
        <f>CHOOSE(Table1[[#This Row],[Mode Digit]], 0, (Vout*Table1[[#This Row],[Iin]]/2)*(Fsw)*(Tr_boost+Tf_boost), (Vout*Iout/2)*(Fsw/1)*(Tr_boost+Tf_boost))</f>
        <v>0</v>
      </c>
      <c r="AS54">
        <f>IF(Table1[[#This Row],[Vin]]&gt;Vout, 0, IF(Table1[[#This Row],[Iin]]&gt;Table1[[#This Row],[Ripple Current pk-pk]]/2,0,ABS(Table1[[#This Row],[Iin]]-Table1[[#This Row],[Ripple Current pk-pk]]/2)*Vsd_Q4*Deadtime*Fsw))</f>
        <v>0</v>
      </c>
      <c r="AT54" s="354">
        <f>(Table1[[#This Row],[Dead Time Loss BoCtlr]]+Table1[[#This Row],[Transition Loss BoCtlr]]+Table1[[#This Row],[RDS(on) Loss BoCtlr]]*(1+RdsonTopTc*Ta-RdsonTopTc*25))/(1-Table1[[#This Row],[RDS(on) Loss BoCtlr]]*RdsonTopTc*ThetaJA_Q4)</f>
        <v>0</v>
      </c>
      <c r="AU5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12.05930337320881</v>
      </c>
      <c r="AV54" s="354">
        <f>Rdson3*Table1[[#This Row],[Irms BoSync]]^2</f>
        <v>0.61079255095775864</v>
      </c>
      <c r="AW5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54" s="354">
        <f>(Table1[[#This Row],[Deadtime Loss BoSync]]+Table1[[#This Row],[RDS(on) Loss BoSync]]*(1+RdsonBotTc*Ta-RdsonBotTc*25))/(1-Table1[[#This Row],[RDS(on) Loss BoSync]]*RdsonBotTc*ThetaJA_Q3)</f>
        <v>0.7157083967289497</v>
      </c>
      <c r="AY54" s="354">
        <f>CHOOSE(Table1[[#This Row],[Mode Digit]], Rdson3*Table1[[#This Row],[Irms Lf]]^2, Rdson1*Table1[[#This Row],[Irms Lf]]^2, 0)</f>
        <v>0.61079255095775864</v>
      </c>
      <c r="AZ54" s="354">
        <f>CHOOSE(Table1[[#This Row],[Mode Digit]], 2*Deadtime*Fsw*IF(VfdSky_Q2&gt;0,VfdSky_Q2,0)*Table1[[#This Row],[Iout]], 2*Deadtime*Fsw*IF(VfdSky_Q3&gt;0,VfdSky_Q3,0)*Table1[[#This Row],[Iin]], 2*Deadtime*Fsw*IF(VfdSky_Q2&gt;0,VfdSky_Q2,0)*Table1[[#This Row],[Iout]]+2*Deadtime*Fsw*IF(VfdSky_Q3&gt;0,VfdSky_Q3,0)*Table1[[#This Row],[Iin]])</f>
        <v>0</v>
      </c>
      <c r="BA54" s="354">
        <f>CHOOSE(Table1[[#This Row],[Mode Digit]], IF(QrrSky_Q2&gt;0,QrrSky_Q2,Qrr_Q2)*Fsw*(Table1[[#This Row],[Vin]]-Table1[[#This Row],[Iout]]*Rdson1),0,  IF(QrrSky_Q2&gt;0,QrrSky_Q2,Qrr_Q2)*Fsw*(Table1[[#This Row],[Vin]]-Table1[[#This Row],[Iout]]*Rdson1)+IF(QrrSky_Q3&gt;0,QrrSky_Q3,Qrr_Q3)*Fsw*Vout)</f>
        <v>0.31499520000000003</v>
      </c>
      <c r="BB54" s="354">
        <f>CHOOSE(Table1[[#This Row],[Mode Digit]],0, IF(QrrSky_Q3&gt;0,QrrSky_Q3,Qrr_Q3)*Fsw*Vout,  IF(QrrSky_Q2&gt;0,QrrSky_Q2,Qrr_Q2)*Fsw*(Table1[[#This Row],[Vin]]-Table1[[#This Row],[Iout]]*Rdson1)+IF(QrrSky_Q3&gt;0,QrrSky_Q3,Qrr_Q3)*Fsw*Vout)</f>
        <v>0</v>
      </c>
      <c r="BC54" s="354">
        <f>CHOOSE(Table1[[#This Row],[Mode Digit]], Rs*Table1[[#This Row],[Irms BuSync]]^2, Rs*Table1[[#This Row],[Irms BoCtlr]]^2, Rs*(Table1[[#This Row],[Irms BuSync]]^2+Table1[[#This Row],[Irms BoCtlr]]^2))</f>
        <v>0.15989767556677256</v>
      </c>
      <c r="BD54" s="354">
        <f t="shared" si="1"/>
        <v>1.44</v>
      </c>
      <c r="BE54" s="354">
        <f>IF(Vout&gt;8, Iq*Vout, Iq*Table1[[#This Row],[Vin]])</f>
        <v>4.3799999999999999E-2</v>
      </c>
      <c r="BF54" s="354">
        <f>CHOOSE(Table1[[#This Row],[Mode Digit]], (Qg_Q1+Qg_Q2)*Fsw, (Qg_Q3+Qg_Q4)*Fsw, (Qg_Q1+Qg_Q2+Qg_Q3+Qg_Q4)*Fsw)*IF(Vout&gt;8, Vout, Table1[[#This Row],[Vin]])</f>
        <v>0.47303999999999996</v>
      </c>
      <c r="BG54" s="354">
        <f t="shared" si="2"/>
        <v>0.45605042016806729</v>
      </c>
      <c r="BH54" s="354">
        <f>Table1[[#This Row],[IQ Loss]]+Table1[[#This Row],[Switching Current Loss]]</f>
        <v>0.51683999999999997</v>
      </c>
      <c r="BI5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9.6649404962794261</v>
      </c>
      <c r="BJ54">
        <f>Vout*Table1[[#This Row],[Iout]]</f>
        <v>175.2</v>
      </c>
      <c r="BK54" s="550">
        <f>Table1[[#This Row],[Pout]]/(Table1[[#This Row],[Pout]]+Table1[[#This Row],[Total Loss]])</f>
        <v>0.94771891051741131</v>
      </c>
      <c r="BL5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226.94259748894405</v>
      </c>
      <c r="BM54" s="559">
        <f>IF(Table1[[#This Row],[Vin]]&gt;Vout, Table1[[#This Row],[Total Sync Bu MOSFET Loss]]*ThetaJA_Q2, ThetaJA_Q3*Table1[[#This Row],[Total Sync Bo MOSFET Loss]])</f>
        <v>54.25802669466065</v>
      </c>
      <c r="BN54" s="9"/>
      <c r="BO54" s="4">
        <f>Table1[[#This Row],[EFF, h]]*100</f>
        <v>94.771891051741136</v>
      </c>
      <c r="BP54" s="354">
        <f>Table1[[#This Row],[Total Inductor Loss]]</f>
        <v>1.7520287433850754</v>
      </c>
      <c r="BQ54" s="354">
        <f>Table1[[#This Row],[Total Control Bu MOSFET Loss]]+Table1[[#This Row],[Total Sync Bu MOSFET Loss]]+Table1[[#This Row],[Total Control Bo MOSFET Loss]]+Table1[[#This Row],[Total Sync Bo MOSFET Loss]]+Table1[[#This Row],[Reverse Recovery Loss MOSFET D BUCK]]+Table1[[#This Row],[Reverse Recovery Loss MOSFET D BOOST]]</f>
        <v>5.7173806664556945</v>
      </c>
      <c r="BR54" s="354">
        <f>Table1[[#This Row],[Total Control Bu MOSFET Loss]]+Table1[[#This Row],[Reverse Recovery Loss MOSFET D BUCK]]*0.66</f>
        <v>3.9902734568157339</v>
      </c>
      <c r="BS54" s="354">
        <f>Table1[[#This Row],[Total Sync Bu MOSFET Loss]]+Table1[[#This Row],[Reverse Recovery Loss MOSFET D BUCK]]*0.33</f>
        <v>1.0082488609110107</v>
      </c>
      <c r="BT54" s="354">
        <f xml:space="preserve"> Table1[[#This Row],[Total Control Bo MOSFET Loss]]+Table1[[#This Row],[Reverse Recovery Loss MOSFET D BOOST]]*0.66</f>
        <v>0</v>
      </c>
      <c r="BU54" s="354">
        <f xml:space="preserve"> Table1[[#This Row],[Total Sync Bo MOSFET Loss]]+Table1[[#This Row],[Reverse Recovery Loss MOSFET D BOOST]]*0.33</f>
        <v>0.7157083967289497</v>
      </c>
      <c r="BV54" s="354">
        <f>Table1[[#This Row],[Isense Shunt Loss]]</f>
        <v>0.15989767556677256</v>
      </c>
      <c r="CA54">
        <v>9.9949670000000008</v>
      </c>
      <c r="CB54">
        <v>13.75</v>
      </c>
      <c r="CC54">
        <v>5.1122329999999998</v>
      </c>
      <c r="CD54">
        <v>85.985113444924963</v>
      </c>
      <c r="CE54">
        <v>11457.230537720005</v>
      </c>
    </row>
    <row r="55" spans="1:83" x14ac:dyDescent="0.2">
      <c r="A55" s="23" t="s">
        <v>78</v>
      </c>
      <c r="B55" s="5">
        <f>Trr_Q2*1000000000</f>
        <v>40</v>
      </c>
      <c r="C55" s="440" t="s">
        <v>79</v>
      </c>
      <c r="D55" s="74" t="s">
        <v>108</v>
      </c>
      <c r="G55">
        <v>46</v>
      </c>
      <c r="H55" s="555">
        <f>VIN_min+(VIN_max-VIN_min)*(Table1[[#This Row],[Step]]/200)</f>
        <v>26.44</v>
      </c>
      <c r="I55" s="4" t="str">
        <f>IF(Mode = 2,IF(Table1[[#This Row],[Vin]]&gt;Vout, "BUCK","BOOST"),IF(Table1[[#This Row],[Vin]]&gt;VIN_BB_to_buck, "BUCK", IF(Table1[[#This Row],[Vin]]&lt;=VIN_boost_to_BB,"BOOST","BUCK-BST")))</f>
        <v>BUCK</v>
      </c>
      <c r="J55">
        <f>IF(Table1[[#This Row],[Mode]]="BOOST",2, IF(Table1[[#This Row],[Mode]]="BUCK", 1,3))</f>
        <v>1</v>
      </c>
      <c r="K55">
        <f t="shared" si="0"/>
        <v>12</v>
      </c>
      <c r="L55" s="4">
        <f>Vout*Table1[[#This Row],[Iout]]/(Table1[[#This Row],[Vin]]*Efficiency)</f>
        <v>6.9750776335695512</v>
      </c>
      <c r="M55" s="711">
        <f>MIN(1/Fsw,CHOOSE(Table1[[#This Row],[Mode Digit]],(Vout+(Rdson2+Rs+Rdcr)*Table1[[#This Row],[Iout]])/(Table1[[#This Row],[Vin]]+(Rs+Rdson2-Rdson1)*Table1[[#This Row],[Iout]])/Fsw,(Vout+(Rdson3+Rdcr)*Table1[[#This Row],[Iin]]-Table1[[#This Row],[Vin]])/(Vout+(Rdson3-Rdson4-Rs)*Table1[[#This Row],[Iin]])/Fsw,t1_Ph_II))</f>
        <v>9.2872434202241524E-7</v>
      </c>
      <c r="N55" s="602">
        <f>CHOOSE(Table1[[#This Row],[Mode Digit]],1/Fsw-Table1[[#This Row],[t1_Ph_II]],1/Fsw-Table1[[#This Row],[t1_Ph_II]],(Vout/Fsw-Table1[[#This Row],[Vin]]*t1_Ph_II)/(Table1[[#This Row],[Vin]]+Vout))</f>
        <v>7.3794232464425142E-7</v>
      </c>
      <c r="O55" s="602">
        <f>1/Fsw-(Table1[[#This Row],[t1_Ph_II]]+Table1[[#This Row],[t2_Ph_I]])</f>
        <v>0</v>
      </c>
      <c r="P5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9.917406020919433</v>
      </c>
      <c r="Q55" s="4">
        <f>CHOOSE(Table1[[#This Row],[Mode Digit]],Table1[[#This Row],[I_0]]+1/Lf*(Table1[[#This Row],[Vin]]-Vout)*Table1[[#This Row],[t1_Ph_II]],Table1[[#This Row],[I_0]]+1/Lf*Table1[[#This Row],[Vin]]*Table1[[#This Row],[t1_Ph_II]],Table1[[#This Row],[I_0]]+(Table1[[#This Row],[Vin]]-Vout)/L*Table1[[#This Row],[t1_Ph_II]])</f>
        <v>14.082593979080569</v>
      </c>
      <c r="R55" s="4">
        <f>CHOOSE(Table1[[#This Row],[Mode Digit]],0,0,Table1[[#This Row],[I_1]]+Table1[[#This Row],[Vin]]/L*Table1[[#This Row],[t2_Ph_I]])</f>
        <v>0</v>
      </c>
      <c r="S55" s="4">
        <f>Fsw*(Table1[[#This Row],[I_0]]*Table1[[#This Row],[t1_Ph_II]]+Table1[[#This Row],[I_1]]*Table1[[#This Row],[t2_Ph_I]]+Table1[[#This Row],[I_2]]*Table1[[#This Row],[t3_Ph_III]])</f>
        <v>11.761607111574834</v>
      </c>
      <c r="T55" s="354">
        <f>MIN(1,CHOOSE(Table1[[#This Row],[Mode Digit]],(Vout+(Rdson2+Rs+Rdcr)*Table1[[#This Row],[Iout]])/(Table1[[#This Row],[Vin]]+(Rs+Rdson2-Rdson1)*Table1[[#This Row],[Iout]]),1,Fsw*Table1[[#This Row],[t2_Ph_I]]+Table1[[#This Row],[t1_Ph_II]]))</f>
        <v>0.55723460521344914</v>
      </c>
      <c r="U55" s="354">
        <f>MIN(1,CHOOSE(Table1[[#This Row],[Mode Digit]],0,(Vout+(Rdson3+Rdcr)*Table1[[#This Row],[Iin]]-Table1[[#This Row],[Vin]])/(Vout+(Rdson3-Rdson4-Rs)*Table1[[#This Row],[Iin]]),Fsw*Table1[[#This Row],[t1_Ph_II]]+Table1[[#This Row],[t3_Ph_III]]))</f>
        <v>0</v>
      </c>
      <c r="V55" s="4">
        <f>MAX(Table1[[#This Row],[I_0]:[I_2]])-MIN(Table1[[#This Row],[I_0]:[I_1]])</f>
        <v>4.1651879581611357</v>
      </c>
      <c r="W5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12.060088414293137</v>
      </c>
      <c r="X55" s="354">
        <f>(Table1[[#This Row],[Irms Lf]]^2*Rdcr*(1+Ltc*Ta-Ltc*25))/(1-Table1[[#This Row],[Irms Lf]]^2*Rdcr*Ltc*ThetaCa)</f>
        <v>0.90463627416843462</v>
      </c>
      <c r="Y55" s="354">
        <f>ABS(7.759*10^-3*Fsw^0.9458*(0.00787*Table1[[#This Row],[Ripple Current pk-pk]])^2.304)</f>
        <v>0.86048858958897401</v>
      </c>
      <c r="Z55" s="354">
        <f>Table1[[#This Row],[DCR    Loss]]+Table1[[#This Row],[Core Loss]]</f>
        <v>1.7651248637574086</v>
      </c>
      <c r="AA55" s="4">
        <f>IF(Table1[[#This Row],[Vin]]&gt;Vout, Table1[[#This Row],[Ripple Current pk-pk]]/SQRT(12), SQRT(Table1[[#This Row],[Duty Cycle BOOST Leg]]/(1-Table1[[#This Row],[Duty Cycle BOOST Leg]]))*SQRT(Table1[[#This Row],[Iout]]^2+(Table1[[#This Row],[Ripple Current pk-pk]]^2)/12))</f>
        <v>1.2023861944348597</v>
      </c>
      <c r="AB55" s="354">
        <f>RCoutEsr*Table1[[#This Row],[Irms Cout]]^2</f>
        <v>7.2286628028377219E-3</v>
      </c>
      <c r="AC55" s="354">
        <f>Table1[[#This Row],[Cout ESR Loss]]</f>
        <v>7.2286628028377219E-3</v>
      </c>
      <c r="AD55" s="354">
        <f>IF(Table1[[#This Row],[Vin]]&gt;Vout, SQRT(Table1[[#This Row],[Duty Cycle BUCK Leg]]*(1-Table1[[#This Row],[Duty Cycle BUCK Leg]]))*SQRT(Table1[[#This Row],[Iout]]^2+(Table1[[#This Row],[Ripple Current pk-pk]]^2)/12), Table1[[#This Row],[Ripple Current pk-pk]]/SQRT(12))</f>
        <v>5.9904074990340712</v>
      </c>
      <c r="AE55" s="354">
        <f>RCinEsr*Table1[[#This Row],[Irms Cin]]^2</f>
        <v>7.1769964008967277E-2</v>
      </c>
      <c r="AF55" s="549">
        <f>Table1[[#This Row],[Cin ESR Loss]]</f>
        <v>7.1769964008967277E-2</v>
      </c>
      <c r="AG5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9.0026326906838072</v>
      </c>
      <c r="AH55" s="354">
        <f>Rdson1*Table1[[#This Row],[Irms BuCtrl]]^2</f>
        <v>0.34039906052614888</v>
      </c>
      <c r="AI55" s="354">
        <f>CHOOSE(Table1[[#This Row],[Mode Digit]], (Table1[[#This Row],[Vin]]*Table1[[#This Row],[Iout]]/2)*(Fsw)*(Tr_buck+Tf_buck), 0, (Table1[[#This Row],[Vin]]*Table1[[#This Row],[Avg IL]]/2)*(Fsw/1)*(Tr_buck+Tf_buck))</f>
        <v>3.1462649036168933</v>
      </c>
      <c r="AJ55">
        <f>IF(Table1[[#This Row],[Vin]]&gt;Vout, IF(Table1[[#This Row],[Iout]]&gt;Table1[[#This Row],[Ripple Current pk-pk]]/2,0,ABS(Table1[[#This Row],[Iout]]-Table1[[#This Row],[Ripple Current pk-pk]]/2)*Vsd_Q1*Deadtime*Fsw),0)</f>
        <v>0</v>
      </c>
      <c r="AK55" s="354">
        <f>(Table1[[#This Row],[Dead Time Loss BuCtrl]]+Table1[[#This Row],[Transition Loss BuCtrl]]+Table1[[#This Row],[RDS(on) Loss BuCtrl]]*(1+RdsonTopTc*Ta-RdsonTopTc*25))/(1-Table1[[#This Row],[RDS(on) Loss BuCtrl]]*RdsonTopTc*ThetaJA_Q1)</f>
        <v>3.7968506159757478</v>
      </c>
      <c r="AL55" s="354">
        <f>CHOOSE(Table1[[#This Row],[Mode Digit]],SQRT((Fsw*(Table1[[#This Row],[t2_Ph_I]]+0))*((Table1[[#This Row],[I_0]]*Table1[[#This Row],[I_1]]+((Table1[[#This Row],[I_0]]-Table1[[#This Row],[I_1]])^2)/3))),0,SQRT((Fsw*(Table1[[#This Row],[t3_Ph_III]]+0))*((Table1[[#This Row],[I_0]]*Table1[[#This Row],[I_2]]+((Table1[[#This Row],[I_0]]-Table1[[#This Row],[I_2]])^2)/3))))</f>
        <v>8.024857456503435</v>
      </c>
      <c r="AM55" s="354">
        <f>Rdson2*Table1[[#This Row],[Irms BuSync]]^2</f>
        <v>0.27047301622823494</v>
      </c>
      <c r="AN5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55" s="354">
        <f>(Table1[[#This Row],[Deadtime Loss BuSync]]+Table1[[#This Row],[RDS(on) Loss BuSync]]*(1+RdsonBotTc*Ta-RdsonBotTc*25))/(1-Table1[[#This Row],[RDS(on) Loss BuSync]]*RdsonBotTc*ThetaJA_Q2)</f>
        <v>0.90670164360740579</v>
      </c>
      <c r="AP55" s="354">
        <f>CHOOSE(Table1[[#This Row],[Mode Digit]],0,SQRT((Fsw*(Table1[[#This Row],[t1_Ph_II]]+0))*((Table1[[#This Row],[I_0]]*Table1[[#This Row],[I_1]]+((Table1[[#This Row],[I_0]]-Table1[[#This Row],[I_1]])^2)/3))),SQRT((Fsw*(Table1[[#This Row],[t2_Ph_I]]+0))*((Table1[[#This Row],[I_1]]*Table1[[#This Row],[I_2]]+((Table1[[#This Row],[I_1]]-Table1[[#This Row],[I_2]])^2)/3))))</f>
        <v>0</v>
      </c>
      <c r="AQ55" s="354">
        <f>Rdson4*Table1[[#This Row],[Irms BoCtlr]]^2</f>
        <v>0</v>
      </c>
      <c r="AR55" s="354">
        <f>CHOOSE(Table1[[#This Row],[Mode Digit]], 0, (Vout*Table1[[#This Row],[Iin]]/2)*(Fsw)*(Tr_boost+Tf_boost), (Vout*Iout/2)*(Fsw/1)*(Tr_boost+Tf_boost))</f>
        <v>0</v>
      </c>
      <c r="AS55">
        <f>IF(Table1[[#This Row],[Vin]]&gt;Vout, 0, IF(Table1[[#This Row],[Iin]]&gt;Table1[[#This Row],[Ripple Current pk-pk]]/2,0,ABS(Table1[[#This Row],[Iin]]-Table1[[#This Row],[Ripple Current pk-pk]]/2)*Vsd_Q4*Deadtime*Fsw))</f>
        <v>0</v>
      </c>
      <c r="AT55" s="354">
        <f>(Table1[[#This Row],[Dead Time Loss BoCtlr]]+Table1[[#This Row],[Transition Loss BoCtlr]]+Table1[[#This Row],[RDS(on) Loss BoCtlr]]*(1+RdsonTopTc*Ta-RdsonTopTc*25))/(1-Table1[[#This Row],[RDS(on) Loss BoCtlr]]*RdsonTopTc*ThetaJA_Q4)</f>
        <v>0</v>
      </c>
      <c r="AU5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12.060088414293137</v>
      </c>
      <c r="AV55" s="354">
        <f>Rdson3*Table1[[#This Row],[Irms BoSync]]^2</f>
        <v>0.61087207675438382</v>
      </c>
      <c r="AW5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55" s="354">
        <f>(Table1[[#This Row],[Deadtime Loss BoSync]]+Table1[[#This Row],[RDS(on) Loss BoSync]]*(1+RdsonBotTc*Ta-RdsonBotTc*25))/(1-Table1[[#This Row],[RDS(on) Loss BoSync]]*RdsonBotTc*ThetaJA_Q3)</f>
        <v>0.71581759166598036</v>
      </c>
      <c r="AY55" s="354">
        <f>CHOOSE(Table1[[#This Row],[Mode Digit]], Rdson3*Table1[[#This Row],[Irms Lf]]^2, Rdson1*Table1[[#This Row],[Irms Lf]]^2, 0)</f>
        <v>0.61087207675438382</v>
      </c>
      <c r="AZ55" s="354">
        <f>CHOOSE(Table1[[#This Row],[Mode Digit]], 2*Deadtime*Fsw*IF(VfdSky_Q2&gt;0,VfdSky_Q2,0)*Table1[[#This Row],[Iout]], 2*Deadtime*Fsw*IF(VfdSky_Q3&gt;0,VfdSky_Q3,0)*Table1[[#This Row],[Iin]], 2*Deadtime*Fsw*IF(VfdSky_Q2&gt;0,VfdSky_Q2,0)*Table1[[#This Row],[Iout]]+2*Deadtime*Fsw*IF(VfdSky_Q3&gt;0,VfdSky_Q3,0)*Table1[[#This Row],[Iin]])</f>
        <v>0</v>
      </c>
      <c r="BA55" s="354">
        <f>CHOOSE(Table1[[#This Row],[Mode Digit]], IF(QrrSky_Q2&gt;0,QrrSky_Q2,Qrr_Q2)*Fsw*(Table1[[#This Row],[Vin]]-Table1[[#This Row],[Iout]]*Rdson1),0,  IF(QrrSky_Q2&gt;0,QrrSky_Q2,Qrr_Q2)*Fsw*(Table1[[#This Row],[Vin]]-Table1[[#This Row],[Iout]]*Rdson1)+IF(QrrSky_Q3&gt;0,QrrSky_Q3,Qrr_Q3)*Fsw*Vout)</f>
        <v>0.31667520000000005</v>
      </c>
      <c r="BB55" s="354">
        <f>CHOOSE(Table1[[#This Row],[Mode Digit]],0, IF(QrrSky_Q3&gt;0,QrrSky_Q3,Qrr_Q3)*Fsw*Vout,  IF(QrrSky_Q2&gt;0,QrrSky_Q2,Qrr_Q2)*Fsw*(Table1[[#This Row],[Vin]]-Table1[[#This Row],[Iout]]*Rdson1)+IF(QrrSky_Q3&gt;0,QrrSky_Q3,Qrr_Q3)*Fsw*Vout)</f>
        <v>0</v>
      </c>
      <c r="BC55" s="354">
        <f>CHOOSE(Table1[[#This Row],[Mode Digit]], Rs*Table1[[#This Row],[Irms BuSync]]^2, Rs*Table1[[#This Row],[Irms BoCtlr]]^2, Rs*(Table1[[#This Row],[Irms BuSync]]^2+Table1[[#This Row],[Irms BoCtlr]]^2))</f>
        <v>0.16099584299299696</v>
      </c>
      <c r="BD55" s="354">
        <f t="shared" si="1"/>
        <v>1.44</v>
      </c>
      <c r="BE55" s="354">
        <f>IF(Vout&gt;8, Iq*Vout, Iq*Table1[[#This Row],[Vin]])</f>
        <v>4.3799999999999999E-2</v>
      </c>
      <c r="BF55" s="354">
        <f>CHOOSE(Table1[[#This Row],[Mode Digit]], (Qg_Q1+Qg_Q2)*Fsw, (Qg_Q3+Qg_Q4)*Fsw, (Qg_Q1+Qg_Q2+Qg_Q3+Qg_Q4)*Fsw)*IF(Vout&gt;8, Vout, Table1[[#This Row],[Vin]])</f>
        <v>0.47303999999999996</v>
      </c>
      <c r="BG55" s="354">
        <f t="shared" si="2"/>
        <v>0.45605042016806729</v>
      </c>
      <c r="BH55" s="354">
        <f>Table1[[#This Row],[IQ Loss]]+Table1[[#This Row],[Switching Current Loss]]</f>
        <v>0.51683999999999997</v>
      </c>
      <c r="BI5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9.6980043848113429</v>
      </c>
      <c r="BJ55">
        <f>Vout*Table1[[#This Row],[Iout]]</f>
        <v>175.2</v>
      </c>
      <c r="BK55" s="550">
        <f>Table1[[#This Row],[Pout]]/(Table1[[#This Row],[Pout]]+Table1[[#This Row],[Total Loss]])</f>
        <v>0.94754943723120022</v>
      </c>
      <c r="BL5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227.81103695854486</v>
      </c>
      <c r="BM55" s="559">
        <f>IF(Table1[[#This Row],[Vin]]&gt;Vout, Table1[[#This Row],[Total Sync Bu MOSFET Loss]]*ThetaJA_Q2, ThetaJA_Q3*Table1[[#This Row],[Total Sync Bo MOSFET Loss]])</f>
        <v>54.402098616444349</v>
      </c>
      <c r="BN55" s="9"/>
      <c r="BO55" s="4">
        <f>Table1[[#This Row],[EFF, h]]*100</f>
        <v>94.754943723120022</v>
      </c>
      <c r="BP55" s="354">
        <f>Table1[[#This Row],[Total Inductor Loss]]</f>
        <v>1.7651248637574086</v>
      </c>
      <c r="BQ55" s="354">
        <f>Table1[[#This Row],[Total Control Bu MOSFET Loss]]+Table1[[#This Row],[Total Sync Bu MOSFET Loss]]+Table1[[#This Row],[Total Control Bo MOSFET Loss]]+Table1[[#This Row],[Total Sync Bo MOSFET Loss]]+Table1[[#This Row],[Reverse Recovery Loss MOSFET D BUCK]]+Table1[[#This Row],[Reverse Recovery Loss MOSFET D BOOST]]</f>
        <v>5.7360450512491337</v>
      </c>
      <c r="BR55" s="354">
        <f>Table1[[#This Row],[Total Control Bu MOSFET Loss]]+Table1[[#This Row],[Reverse Recovery Loss MOSFET D BUCK]]*0.66</f>
        <v>4.005856247975748</v>
      </c>
      <c r="BS55" s="354">
        <f>Table1[[#This Row],[Total Sync Bu MOSFET Loss]]+Table1[[#This Row],[Reverse Recovery Loss MOSFET D BUCK]]*0.33</f>
        <v>1.0112044596074059</v>
      </c>
      <c r="BT55" s="354">
        <f xml:space="preserve"> Table1[[#This Row],[Total Control Bo MOSFET Loss]]+Table1[[#This Row],[Reverse Recovery Loss MOSFET D BOOST]]*0.66</f>
        <v>0</v>
      </c>
      <c r="BU55" s="354">
        <f xml:space="preserve"> Table1[[#This Row],[Total Sync Bo MOSFET Loss]]+Table1[[#This Row],[Reverse Recovery Loss MOSFET D BOOST]]*0.33</f>
        <v>0.71581759166598036</v>
      </c>
      <c r="BV55" s="354">
        <f>Table1[[#This Row],[Isense Shunt Loss]]</f>
        <v>0.16099584299299696</v>
      </c>
      <c r="CA55">
        <v>9.9943860000000004</v>
      </c>
      <c r="CB55">
        <v>14.954000000000001</v>
      </c>
      <c r="CC55">
        <v>5.1130310000000003</v>
      </c>
      <c r="CD55">
        <v>84.352650264578628</v>
      </c>
      <c r="CE55">
        <v>14183.318533699994</v>
      </c>
    </row>
    <row r="56" spans="1:83" ht="15.75" x14ac:dyDescent="0.3">
      <c r="A56" s="446" t="s">
        <v>643</v>
      </c>
      <c r="B56" s="5">
        <f>ThetaJA_Q2</f>
        <v>60</v>
      </c>
      <c r="C56" s="441" t="s">
        <v>237</v>
      </c>
      <c r="D56" s="74" t="s">
        <v>105</v>
      </c>
      <c r="E56" s="2"/>
      <c r="G56">
        <v>47</v>
      </c>
      <c r="H56" s="555">
        <f>VIN_min+(VIN_max-VIN_min)*(Table1[[#This Row],[Step]]/200)</f>
        <v>26.58</v>
      </c>
      <c r="I56" s="4" t="str">
        <f>IF(Mode = 2,IF(Table1[[#This Row],[Vin]]&gt;Vout, "BUCK","BOOST"),IF(Table1[[#This Row],[Vin]]&gt;VIN_BB_to_buck, "BUCK", IF(Table1[[#This Row],[Vin]]&lt;=VIN_boost_to_BB,"BOOST","BUCK-BST")))</f>
        <v>BUCK</v>
      </c>
      <c r="J56">
        <f>IF(Table1[[#This Row],[Mode]]="BOOST",2, IF(Table1[[#This Row],[Mode]]="BUCK", 1,3))</f>
        <v>1</v>
      </c>
      <c r="K56">
        <f t="shared" si="0"/>
        <v>12</v>
      </c>
      <c r="L56" s="4">
        <f>Vout*Table1[[#This Row],[Iout]]/(Table1[[#This Row],[Vin]]*Efficiency)</f>
        <v>6.9383390756801715</v>
      </c>
      <c r="M56" s="711">
        <f>MIN(1/Fsw,CHOOSE(Table1[[#This Row],[Mode Digit]],(Vout+(Rdson2+Rs+Rdcr)*Table1[[#This Row],[Iout]])/(Table1[[#This Row],[Vin]]+(Rs+Rdson2-Rdson1)*Table1[[#This Row],[Iout]])/Fsw,(Vout+(Rdson3+Rdcr)*Table1[[#This Row],[Iin]]-Table1[[#This Row],[Vin]])/(Vout+(Rdson3-Rdson4-Rs)*Table1[[#This Row],[Iin]])/Fsw,t1_Ph_II))</f>
        <v>9.2383815608167354E-7</v>
      </c>
      <c r="N56" s="602">
        <f>CHOOSE(Table1[[#This Row],[Mode Digit]],1/Fsw-Table1[[#This Row],[t1_Ph_II]],1/Fsw-Table1[[#This Row],[t1_Ph_II]],(Vout/Fsw-Table1[[#This Row],[Vin]]*t1_Ph_II)/(Table1[[#This Row],[Vin]]+Vout))</f>
        <v>7.4282851058499312E-7</v>
      </c>
      <c r="O56" s="602">
        <f>1/Fsw-(Table1[[#This Row],[t1_Ph_II]]+Table1[[#This Row],[t2_Ph_I]])</f>
        <v>0</v>
      </c>
      <c r="P5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9.903867214041961</v>
      </c>
      <c r="Q56" s="4">
        <f>CHOOSE(Table1[[#This Row],[Mode Digit]],Table1[[#This Row],[I_0]]+1/Lf*(Table1[[#This Row],[Vin]]-Vout)*Table1[[#This Row],[t1_Ph_II]],Table1[[#This Row],[I_0]]+1/Lf*Table1[[#This Row],[Vin]]*Table1[[#This Row],[t1_Ph_II]],Table1[[#This Row],[I_0]]+(Table1[[#This Row],[Vin]]-Vout)/L*Table1[[#This Row],[t1_Ph_II]])</f>
        <v>14.096132785958041</v>
      </c>
      <c r="R56" s="4">
        <f>CHOOSE(Table1[[#This Row],[Mode Digit]],0,0,Table1[[#This Row],[I_1]]+Table1[[#This Row],[Vin]]/L*Table1[[#This Row],[t2_Ph_I]])</f>
        <v>0</v>
      </c>
      <c r="S56" s="4">
        <f>Fsw*(Table1[[#This Row],[I_0]]*Table1[[#This Row],[t1_Ph_II]]+Table1[[#This Row],[I_1]]*Table1[[#This Row],[t2_Ph_I]]+Table1[[#This Row],[I_2]]*Table1[[#This Row],[t3_Ph_III]])</f>
        <v>11.77234784849986</v>
      </c>
      <c r="T56" s="354">
        <f>MIN(1,CHOOSE(Table1[[#This Row],[Mode Digit]],(Vout+(Rdson2+Rs+Rdcr)*Table1[[#This Row],[Iout]])/(Table1[[#This Row],[Vin]]+(Rs+Rdson2-Rdson1)*Table1[[#This Row],[Iout]]),1,Fsw*Table1[[#This Row],[t2_Ph_I]]+Table1[[#This Row],[t1_Ph_II]]))</f>
        <v>0.55430289364900409</v>
      </c>
      <c r="U56" s="354">
        <f>MIN(1,CHOOSE(Table1[[#This Row],[Mode Digit]],0,(Vout+(Rdson3+Rdcr)*Table1[[#This Row],[Iin]]-Table1[[#This Row],[Vin]])/(Vout+(Rdson3-Rdson4-Rs)*Table1[[#This Row],[Iin]]),Fsw*Table1[[#This Row],[t1_Ph_II]]+Table1[[#This Row],[t3_Ph_III]]))</f>
        <v>0</v>
      </c>
      <c r="V56" s="4">
        <f>MAX(Table1[[#This Row],[I_0]:[I_2]])-MIN(Table1[[#This Row],[I_0]:[I_1]])</f>
        <v>4.1922655719160797</v>
      </c>
      <c r="W5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12.060870237485192</v>
      </c>
      <c r="X56" s="354">
        <f>(Table1[[#This Row],[Irms Lf]]^2*Rdcr*(1+Ltc*Ta-Ltc*25))/(1-Table1[[#This Row],[Irms Lf]]^2*Rdcr*Ltc*ThetaCa)</f>
        <v>0.90476205811722044</v>
      </c>
      <c r="Y56" s="354">
        <f>ABS(7.759*10^-3*Fsw^0.9458*(0.00787*Table1[[#This Row],[Ripple Current pk-pk]])^2.304)</f>
        <v>0.87343178463995752</v>
      </c>
      <c r="Z56" s="354">
        <f>Table1[[#This Row],[DCR    Loss]]+Table1[[#This Row],[Core Loss]]</f>
        <v>1.778193842757178</v>
      </c>
      <c r="AA56" s="4">
        <f>IF(Table1[[#This Row],[Vin]]&gt;Vout, Table1[[#This Row],[Ripple Current pk-pk]]/SQRT(12), SQRT(Table1[[#This Row],[Duty Cycle BOOST Leg]]/(1-Table1[[#This Row],[Duty Cycle BOOST Leg]]))*SQRT(Table1[[#This Row],[Iout]]^2+(Table1[[#This Row],[Ripple Current pk-pk]]^2)/12))</f>
        <v>1.2102028282300745</v>
      </c>
      <c r="AB56" s="354">
        <f>RCoutEsr*Table1[[#This Row],[Irms Cout]]^2</f>
        <v>7.3229544272803565E-3</v>
      </c>
      <c r="AC56" s="354">
        <f>Table1[[#This Row],[Cout ESR Loss]]</f>
        <v>7.3229544272803565E-3</v>
      </c>
      <c r="AD56" s="354">
        <f>IF(Table1[[#This Row],[Vin]]&gt;Vout, SQRT(Table1[[#This Row],[Duty Cycle BUCK Leg]]*(1-Table1[[#This Row],[Duty Cycle BUCK Leg]]))*SQRT(Table1[[#This Row],[Iout]]^2+(Table1[[#This Row],[Ripple Current pk-pk]]^2)/12), Table1[[#This Row],[Ripple Current pk-pk]]/SQRT(12))</f>
        <v>5.9947644754633584</v>
      </c>
      <c r="AE56" s="354">
        <f>RCinEsr*Table1[[#This Row],[Irms Cin]]^2</f>
        <v>7.1874402232554951E-2</v>
      </c>
      <c r="AF56" s="549">
        <f>Table1[[#This Row],[Cin ESR Loss]]</f>
        <v>7.1874402232554951E-2</v>
      </c>
      <c r="AG5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8.9795013030388748</v>
      </c>
      <c r="AH56" s="354">
        <f>Rdson1*Table1[[#This Row],[Irms BuCtrl]]^2</f>
        <v>0.33865206333536285</v>
      </c>
      <c r="AI56" s="354">
        <f>CHOOSE(Table1[[#This Row],[Mode Digit]], (Table1[[#This Row],[Vin]]*Table1[[#This Row],[Iout]]/2)*(Fsw)*(Tr_buck+Tf_buck), 0, (Table1[[#This Row],[Vin]]*Table1[[#This Row],[Avg IL]]/2)*(Fsw/1)*(Tr_buck+Tf_buck))</f>
        <v>3.1629244000808248</v>
      </c>
      <c r="AJ56">
        <f>IF(Table1[[#This Row],[Vin]]&gt;Vout, IF(Table1[[#This Row],[Iout]]&gt;Table1[[#This Row],[Ripple Current pk-pk]]/2,0,ABS(Table1[[#This Row],[Iout]]-Table1[[#This Row],[Ripple Current pk-pk]]/2)*Vsd_Q1*Deadtime*Fsw),0)</f>
        <v>0</v>
      </c>
      <c r="AK56" s="354">
        <f>(Table1[[#This Row],[Dead Time Loss BuCtrl]]+Table1[[#This Row],[Transition Loss BuCtrl]]+Table1[[#This Row],[RDS(on) Loss BuCtrl]]*(1+RdsonTopTc*Ta-RdsonTopTc*25))/(1-Table1[[#This Row],[RDS(on) Loss BuCtrl]]*RdsonTopTc*ThetaJA_Q1)</f>
        <v>3.8113496009665213</v>
      </c>
      <c r="AL56" s="354">
        <f>CHOOSE(Table1[[#This Row],[Mode Digit]],SQRT((Fsw*(Table1[[#This Row],[t2_Ph_I]]+0))*((Table1[[#This Row],[I_0]]*Table1[[#This Row],[I_1]]+((Table1[[#This Row],[I_0]]-Table1[[#This Row],[I_1]])^2)/3))),0,SQRT((Fsw*(Table1[[#This Row],[t3_Ph_III]]+0))*((Table1[[#This Row],[I_0]]*Table1[[#This Row],[I_2]]+((Table1[[#This Row],[I_0]]-Table1[[#This Row],[I_2]])^2)/3))))</f>
        <v>8.0519033299077325</v>
      </c>
      <c r="AM56" s="354">
        <f>Rdson2*Table1[[#This Row],[Irms BuSync]]^2</f>
        <v>0.27229921838355281</v>
      </c>
      <c r="AN5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56" s="354">
        <f>(Table1[[#This Row],[Deadtime Loss BuSync]]+Table1[[#This Row],[RDS(on) Loss BuSync]]*(1+RdsonBotTc*Ta-RdsonBotTc*25))/(1-Table1[[#This Row],[RDS(on) Loss BuSync]]*RdsonBotTc*ThetaJA_Q2)</f>
        <v>0.90908071961037218</v>
      </c>
      <c r="AP56" s="354">
        <f>CHOOSE(Table1[[#This Row],[Mode Digit]],0,SQRT((Fsw*(Table1[[#This Row],[t1_Ph_II]]+0))*((Table1[[#This Row],[I_0]]*Table1[[#This Row],[I_1]]+((Table1[[#This Row],[I_0]]-Table1[[#This Row],[I_1]])^2)/3))),SQRT((Fsw*(Table1[[#This Row],[t2_Ph_I]]+0))*((Table1[[#This Row],[I_1]]*Table1[[#This Row],[I_2]]+((Table1[[#This Row],[I_1]]-Table1[[#This Row],[I_2]])^2)/3))))</f>
        <v>0</v>
      </c>
      <c r="AQ56" s="354">
        <f>Rdson4*Table1[[#This Row],[Irms BoCtlr]]^2</f>
        <v>0</v>
      </c>
      <c r="AR56" s="354">
        <f>CHOOSE(Table1[[#This Row],[Mode Digit]], 0, (Vout*Table1[[#This Row],[Iin]]/2)*(Fsw)*(Tr_boost+Tf_boost), (Vout*Iout/2)*(Fsw/1)*(Tr_boost+Tf_boost))</f>
        <v>0</v>
      </c>
      <c r="AS56">
        <f>IF(Table1[[#This Row],[Vin]]&gt;Vout, 0, IF(Table1[[#This Row],[Iin]]&gt;Table1[[#This Row],[Ripple Current pk-pk]]/2,0,ABS(Table1[[#This Row],[Iin]]-Table1[[#This Row],[Ripple Current pk-pk]]/2)*Vsd_Q4*Deadtime*Fsw))</f>
        <v>0</v>
      </c>
      <c r="AT56" s="354">
        <f>(Table1[[#This Row],[Dead Time Loss BoCtlr]]+Table1[[#This Row],[Transition Loss BoCtlr]]+Table1[[#This Row],[RDS(on) Loss BoCtlr]]*(1+RdsonTopTc*Ta-RdsonTopTc*25))/(1-Table1[[#This Row],[RDS(on) Loss BoCtlr]]*RdsonTopTc*ThetaJA_Q4)</f>
        <v>0</v>
      </c>
      <c r="AU5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12.060870237485192</v>
      </c>
      <c r="AV56" s="354">
        <f>Rdson3*Table1[[#This Row],[Irms BoSync]]^2</f>
        <v>0.61095128171891577</v>
      </c>
      <c r="AW5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56" s="354">
        <f>(Table1[[#This Row],[Deadtime Loss BoSync]]+Table1[[#This Row],[RDS(on) Loss BoSync]]*(1+RdsonBotTc*Ta-RdsonBotTc*25))/(1-Table1[[#This Row],[RDS(on) Loss BoSync]]*RdsonBotTc*ThetaJA_Q3)</f>
        <v>0.71592635093117518</v>
      </c>
      <c r="AY56" s="354">
        <f>CHOOSE(Table1[[#This Row],[Mode Digit]], Rdson3*Table1[[#This Row],[Irms Lf]]^2, Rdson1*Table1[[#This Row],[Irms Lf]]^2, 0)</f>
        <v>0.61095128171891577</v>
      </c>
      <c r="AZ56" s="354">
        <f>CHOOSE(Table1[[#This Row],[Mode Digit]], 2*Deadtime*Fsw*IF(VfdSky_Q2&gt;0,VfdSky_Q2,0)*Table1[[#This Row],[Iout]], 2*Deadtime*Fsw*IF(VfdSky_Q3&gt;0,VfdSky_Q3,0)*Table1[[#This Row],[Iin]], 2*Deadtime*Fsw*IF(VfdSky_Q2&gt;0,VfdSky_Q2,0)*Table1[[#This Row],[Iout]]+2*Deadtime*Fsw*IF(VfdSky_Q3&gt;0,VfdSky_Q3,0)*Table1[[#This Row],[Iin]])</f>
        <v>0</v>
      </c>
      <c r="BA56" s="354">
        <f>CHOOSE(Table1[[#This Row],[Mode Digit]], IF(QrrSky_Q2&gt;0,QrrSky_Q2,Qrr_Q2)*Fsw*(Table1[[#This Row],[Vin]]-Table1[[#This Row],[Iout]]*Rdson1),0,  IF(QrrSky_Q2&gt;0,QrrSky_Q2,Qrr_Q2)*Fsw*(Table1[[#This Row],[Vin]]-Table1[[#This Row],[Iout]]*Rdson1)+IF(QrrSky_Q3&gt;0,QrrSky_Q3,Qrr_Q3)*Fsw*Vout)</f>
        <v>0.3183552</v>
      </c>
      <c r="BB56" s="354">
        <f>CHOOSE(Table1[[#This Row],[Mode Digit]],0, IF(QrrSky_Q3&gt;0,QrrSky_Q3,Qrr_Q3)*Fsw*Vout,  IF(QrrSky_Q2&gt;0,QrrSky_Q2,Qrr_Q2)*Fsw*(Table1[[#This Row],[Vin]]-Table1[[#This Row],[Iout]]*Rdson1)+IF(QrrSky_Q3&gt;0,QrrSky_Q3,Qrr_Q3)*Fsw*Vout)</f>
        <v>0</v>
      </c>
      <c r="BC56" s="354">
        <f>CHOOSE(Table1[[#This Row],[Mode Digit]], Rs*Table1[[#This Row],[Irms BuSync]]^2, Rs*Table1[[#This Row],[Irms BoCtlr]]^2, Rs*(Table1[[#This Row],[Irms BuSync]]^2+Table1[[#This Row],[Irms BoCtlr]]^2))</f>
        <v>0.16208286808544808</v>
      </c>
      <c r="BD56" s="354">
        <f t="shared" si="1"/>
        <v>1.44</v>
      </c>
      <c r="BE56" s="354">
        <f>IF(Vout&gt;8, Iq*Vout, Iq*Table1[[#This Row],[Vin]])</f>
        <v>4.3799999999999999E-2</v>
      </c>
      <c r="BF56" s="354">
        <f>CHOOSE(Table1[[#This Row],[Mode Digit]], (Qg_Q1+Qg_Q2)*Fsw, (Qg_Q3+Qg_Q4)*Fsw, (Qg_Q1+Qg_Q2+Qg_Q3+Qg_Q4)*Fsw)*IF(Vout&gt;8, Vout, Table1[[#This Row],[Vin]])</f>
        <v>0.47303999999999996</v>
      </c>
      <c r="BG56" s="354">
        <f t="shared" si="2"/>
        <v>0.45605042016806729</v>
      </c>
      <c r="BH56" s="354">
        <f>Table1[[#This Row],[IQ Loss]]+Table1[[#This Row],[Switching Current Loss]]</f>
        <v>0.51683999999999997</v>
      </c>
      <c r="BI5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9.7310259390105305</v>
      </c>
      <c r="BJ56">
        <f>Vout*Table1[[#This Row],[Iout]]</f>
        <v>175.2</v>
      </c>
      <c r="BK56" s="550">
        <f>Table1[[#This Row],[Pout]]/(Table1[[#This Row],[Pout]]+Table1[[#This Row],[Total Loss]])</f>
        <v>0.9473802414191993</v>
      </c>
      <c r="BL5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228.68097605799127</v>
      </c>
      <c r="BM56" s="559">
        <f>IF(Table1[[#This Row],[Vin]]&gt;Vout, Table1[[#This Row],[Total Sync Bu MOSFET Loss]]*ThetaJA_Q2, ThetaJA_Q3*Table1[[#This Row],[Total Sync Bo MOSFET Loss]])</f>
        <v>54.544843176622329</v>
      </c>
      <c r="BN56" s="9"/>
      <c r="BO56" s="4">
        <f>Table1[[#This Row],[EFF, h]]*100</f>
        <v>94.738024141919936</v>
      </c>
      <c r="BP56" s="354">
        <f>Table1[[#This Row],[Total Inductor Loss]]</f>
        <v>1.778193842757178</v>
      </c>
      <c r="BQ56" s="354">
        <f>Table1[[#This Row],[Total Control Bu MOSFET Loss]]+Table1[[#This Row],[Total Sync Bu MOSFET Loss]]+Table1[[#This Row],[Total Control Bo MOSFET Loss]]+Table1[[#This Row],[Total Sync Bo MOSFET Loss]]+Table1[[#This Row],[Reverse Recovery Loss MOSFET D BUCK]]+Table1[[#This Row],[Reverse Recovery Loss MOSFET D BOOST]]</f>
        <v>5.7547118715080687</v>
      </c>
      <c r="BR56" s="354">
        <f>Table1[[#This Row],[Total Control Bu MOSFET Loss]]+Table1[[#This Row],[Reverse Recovery Loss MOSFET D BUCK]]*0.66</f>
        <v>4.021464032966521</v>
      </c>
      <c r="BS56" s="354">
        <f>Table1[[#This Row],[Total Sync Bu MOSFET Loss]]+Table1[[#This Row],[Reverse Recovery Loss MOSFET D BUCK]]*0.33</f>
        <v>1.0141379356103721</v>
      </c>
      <c r="BT56" s="354">
        <f xml:space="preserve"> Table1[[#This Row],[Total Control Bo MOSFET Loss]]+Table1[[#This Row],[Reverse Recovery Loss MOSFET D BOOST]]*0.66</f>
        <v>0</v>
      </c>
      <c r="BU56" s="354">
        <f xml:space="preserve"> Table1[[#This Row],[Total Sync Bo MOSFET Loss]]+Table1[[#This Row],[Reverse Recovery Loss MOSFET D BOOST]]*0.33</f>
        <v>0.71592635093117518</v>
      </c>
      <c r="BV56" s="354">
        <f>Table1[[#This Row],[Isense Shunt Loss]]</f>
        <v>0.16208286808544808</v>
      </c>
      <c r="CB56" s="18"/>
      <c r="CC56" s="19"/>
    </row>
    <row r="57" spans="1:83" x14ac:dyDescent="0.2">
      <c r="A57" s="24" t="s">
        <v>275</v>
      </c>
      <c r="B57" s="15" t="s">
        <v>113</v>
      </c>
      <c r="C57" s="24" t="s">
        <v>80</v>
      </c>
      <c r="D57" s="24" t="s">
        <v>245</v>
      </c>
      <c r="G57">
        <v>48</v>
      </c>
      <c r="H57" s="555">
        <f>VIN_min+(VIN_max-VIN_min)*(Table1[[#This Row],[Step]]/200)</f>
        <v>26.72</v>
      </c>
      <c r="I57" s="4" t="str">
        <f>IF(Mode = 2,IF(Table1[[#This Row],[Vin]]&gt;Vout, "BUCK","BOOST"),IF(Table1[[#This Row],[Vin]]&gt;VIN_BB_to_buck, "BUCK", IF(Table1[[#This Row],[Vin]]&lt;=VIN_boost_to_BB,"BOOST","BUCK-BST")))</f>
        <v>BUCK</v>
      </c>
      <c r="J57">
        <f>IF(Table1[[#This Row],[Mode]]="BOOST",2, IF(Table1[[#This Row],[Mode]]="BUCK", 1,3))</f>
        <v>1</v>
      </c>
      <c r="K57">
        <f t="shared" si="0"/>
        <v>12</v>
      </c>
      <c r="L57" s="4">
        <f>Vout*Table1[[#This Row],[Iout]]/(Table1[[#This Row],[Vin]]*Efficiency)</f>
        <v>6.901985502678853</v>
      </c>
      <c r="M57" s="711">
        <f>MIN(1/Fsw,CHOOSE(Table1[[#This Row],[Mode Digit]],(Vout+(Rdson2+Rs+Rdcr)*Table1[[#This Row],[Iout]])/(Table1[[#This Row],[Vin]]+(Rs+Rdson2-Rdson1)*Table1[[#This Row],[Iout]])/Fsw,(Vout+(Rdson3+Rdcr)*Table1[[#This Row],[Iin]]-Table1[[#This Row],[Vin]])/(Vout+(Rdson3-Rdson4-Rs)*Table1[[#This Row],[Iin]])/Fsw,t1_Ph_II))</f>
        <v>9.1900311526479741E-7</v>
      </c>
      <c r="N57" s="602">
        <f>CHOOSE(Table1[[#This Row],[Mode Digit]],1/Fsw-Table1[[#This Row],[t1_Ph_II]],1/Fsw-Table1[[#This Row],[t1_Ph_II]],(Vout/Fsw-Table1[[#This Row],[Vin]]*t1_Ph_II)/(Table1[[#This Row],[Vin]]+Vout))</f>
        <v>7.4766355140186925E-7</v>
      </c>
      <c r="O57" s="602">
        <f>1/Fsw-(Table1[[#This Row],[t1_Ph_II]]+Table1[[#This Row],[t2_Ph_I]])</f>
        <v>0</v>
      </c>
      <c r="P5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9.8904701217785327</v>
      </c>
      <c r="Q57" s="4">
        <f>CHOOSE(Table1[[#This Row],[Mode Digit]],Table1[[#This Row],[I_0]]+1/Lf*(Table1[[#This Row],[Vin]]-Vout)*Table1[[#This Row],[t1_Ph_II]],Table1[[#This Row],[I_0]]+1/Lf*Table1[[#This Row],[Vin]]*Table1[[#This Row],[t1_Ph_II]],Table1[[#This Row],[I_0]]+(Table1[[#This Row],[Vin]]-Vout)/L*Table1[[#This Row],[t1_Ph_II]])</f>
        <v>14.109529878221466</v>
      </c>
      <c r="R57" s="4">
        <f>CHOOSE(Table1[[#This Row],[Mode Digit]],0,0,Table1[[#This Row],[I_1]]+Table1[[#This Row],[Vin]]/L*Table1[[#This Row],[t2_Ph_I]])</f>
        <v>0</v>
      </c>
      <c r="S57" s="4">
        <f>Fsw*(Table1[[#This Row],[I_0]]*Table1[[#This Row],[t1_Ph_II]]+Table1[[#This Row],[I_1]]*Table1[[#This Row],[t2_Ph_I]]+Table1[[#This Row],[I_2]]*Table1[[#This Row],[t3_Ph_III]])</f>
        <v>11.783132442425829</v>
      </c>
      <c r="T57" s="354">
        <f>MIN(1,CHOOSE(Table1[[#This Row],[Mode Digit]],(Vout+(Rdson2+Rs+Rdcr)*Table1[[#This Row],[Iout]])/(Table1[[#This Row],[Vin]]+(Rs+Rdson2-Rdson1)*Table1[[#This Row],[Iout]]),1,Fsw*Table1[[#This Row],[t2_Ph_I]]+Table1[[#This Row],[t1_Ph_II]]))</f>
        <v>0.55140186915887845</v>
      </c>
      <c r="U57" s="354">
        <f>MIN(1,CHOOSE(Table1[[#This Row],[Mode Digit]],0,(Vout+(Rdson3+Rdcr)*Table1[[#This Row],[Iin]]-Table1[[#This Row],[Vin]])/(Vout+(Rdson3-Rdson4-Rs)*Table1[[#This Row],[Iin]]),Fsw*Table1[[#This Row],[t1_Ph_II]]+Table1[[#This Row],[t3_Ph_III]]))</f>
        <v>0</v>
      </c>
      <c r="V57" s="4">
        <f>MAX(Table1[[#This Row],[I_0]:[I_2]])-MIN(Table1[[#This Row],[I_0]:[I_1]])</f>
        <v>4.2190597564429329</v>
      </c>
      <c r="W5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12.061648813589695</v>
      </c>
      <c r="X57" s="354">
        <f>(Table1[[#This Row],[Irms Lf]]^2*Rdcr*(1+Ltc*Ta-Ltc*25))/(1-Table1[[#This Row],[Irms Lf]]^2*Rdcr*Ltc*ThetaCa)</f>
        <v>0.90488733010640154</v>
      </c>
      <c r="Y57" s="354">
        <f>ABS(7.759*10^-3*Fsw^0.9458*(0.00787*Table1[[#This Row],[Ripple Current pk-pk]])^2.304)</f>
        <v>0.88634726017152954</v>
      </c>
      <c r="Z57" s="354">
        <f>Table1[[#This Row],[DCR    Loss]]+Table1[[#This Row],[Core Loss]]</f>
        <v>1.7912345902779312</v>
      </c>
      <c r="AA57" s="4">
        <f>IF(Table1[[#This Row],[Vin]]&gt;Vout, Table1[[#This Row],[Ripple Current pk-pk]]/SQRT(12), SQRT(Table1[[#This Row],[Duty Cycle BOOST Leg]]/(1-Table1[[#This Row],[Duty Cycle BOOST Leg]]))*SQRT(Table1[[#This Row],[Iout]]^2+(Table1[[#This Row],[Ripple Current pk-pk]]^2)/12))</f>
        <v>1.2179376430547222</v>
      </c>
      <c r="AB57" s="354">
        <f>RCoutEsr*Table1[[#This Row],[Irms Cout]]^2</f>
        <v>7.4168605118484603E-3</v>
      </c>
      <c r="AC57" s="354">
        <f>Table1[[#This Row],[Cout ESR Loss]]</f>
        <v>7.4168605118484603E-3</v>
      </c>
      <c r="AD57" s="354">
        <f>IF(Table1[[#This Row],[Vin]]&gt;Vout, SQRT(Table1[[#This Row],[Duty Cycle BUCK Leg]]*(1-Table1[[#This Row],[Duty Cycle BUCK Leg]]))*SQRT(Table1[[#This Row],[Iout]]^2+(Table1[[#This Row],[Ripple Current pk-pk]]^2)/12), Table1[[#This Row],[Ripple Current pk-pk]]/SQRT(12))</f>
        <v>5.9988710455186975</v>
      </c>
      <c r="AE57" s="354">
        <f>RCinEsr*Table1[[#This Row],[Irms Cin]]^2</f>
        <v>7.1972907641525183E-2</v>
      </c>
      <c r="AF57" s="549">
        <f>Table1[[#This Row],[Cin ESR Loss]]</f>
        <v>7.1972907641525183E-2</v>
      </c>
      <c r="AG5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8.9565508600567494</v>
      </c>
      <c r="AH57" s="354">
        <f>Rdson1*Table1[[#This Row],[Irms BuCtrl]]^2</f>
        <v>0.33692317389688992</v>
      </c>
      <c r="AI57" s="354">
        <f>CHOOSE(Table1[[#This Row],[Mode Digit]], (Table1[[#This Row],[Vin]]*Table1[[#This Row],[Iout]]/2)*(Fsw)*(Tr_buck+Tf_buck), 0, (Table1[[#This Row],[Vin]]*Table1[[#This Row],[Avg IL]]/2)*(Fsw/1)*(Tr_buck+Tf_buck))</f>
        <v>3.1795838965447571</v>
      </c>
      <c r="AJ57">
        <f>IF(Table1[[#This Row],[Vin]]&gt;Vout, IF(Table1[[#This Row],[Iout]]&gt;Table1[[#This Row],[Ripple Current pk-pk]]/2,0,ABS(Table1[[#This Row],[Iout]]-Table1[[#This Row],[Ripple Current pk-pk]]/2)*Vsd_Q1*Deadtime*Fsw),0)</f>
        <v>0</v>
      </c>
      <c r="AK57" s="354">
        <f>(Table1[[#This Row],[Dead Time Loss BuCtrl]]+Table1[[#This Row],[Transition Loss BuCtrl]]+Table1[[#This Row],[RDS(on) Loss BuCtrl]]*(1+RdsonTopTc*Ta-RdsonTopTc*25))/(1-Table1[[#This Row],[RDS(on) Loss BuCtrl]]*RdsonTopTc*ThetaJA_Q1)</f>
        <v>3.8258731482066044</v>
      </c>
      <c r="AL57" s="354">
        <f>CHOOSE(Table1[[#This Row],[Mode Digit]],SQRT((Fsw*(Table1[[#This Row],[t2_Ph_I]]+0))*((Table1[[#This Row],[I_0]]*Table1[[#This Row],[I_1]]+((Table1[[#This Row],[I_0]]-Table1[[#This Row],[I_1]])^2)/3))),0,SQRT((Fsw*(Table1[[#This Row],[t3_Ph_III]]+0))*((Table1[[#This Row],[I_0]]*Table1[[#This Row],[I_2]]+((Table1[[#This Row],[I_0]]-Table1[[#This Row],[I_2]])^2)/3))))</f>
        <v>8.078587054280371</v>
      </c>
      <c r="AM57" s="354">
        <f>Rdson2*Table1[[#This Row],[Irms BuSync]]^2</f>
        <v>0.2741069889330629</v>
      </c>
      <c r="AN5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57" s="354">
        <f>(Table1[[#This Row],[Deadtime Loss BuSync]]+Table1[[#This Row],[RDS(on) Loss BuSync]]*(1+RdsonBotTc*Ta-RdsonBotTc*25))/(1-Table1[[#This Row],[RDS(on) Loss BuSync]]*RdsonBotTc*ThetaJA_Q2)</f>
        <v>0.91143798254307751</v>
      </c>
      <c r="AP57" s="354">
        <f>CHOOSE(Table1[[#This Row],[Mode Digit]],0,SQRT((Fsw*(Table1[[#This Row],[t1_Ph_II]]+0))*((Table1[[#This Row],[I_0]]*Table1[[#This Row],[I_1]]+((Table1[[#This Row],[I_0]]-Table1[[#This Row],[I_1]])^2)/3))),SQRT((Fsw*(Table1[[#This Row],[t2_Ph_I]]+0))*((Table1[[#This Row],[I_1]]*Table1[[#This Row],[I_2]]+((Table1[[#This Row],[I_1]]-Table1[[#This Row],[I_2]])^2)/3))))</f>
        <v>0</v>
      </c>
      <c r="AQ57" s="354">
        <f>Rdson4*Table1[[#This Row],[Irms BoCtlr]]^2</f>
        <v>0</v>
      </c>
      <c r="AR57" s="354">
        <f>CHOOSE(Table1[[#This Row],[Mode Digit]], 0, (Vout*Table1[[#This Row],[Iin]]/2)*(Fsw)*(Tr_boost+Tf_boost), (Vout*Iout/2)*(Fsw/1)*(Tr_boost+Tf_boost))</f>
        <v>0</v>
      </c>
      <c r="AS57">
        <f>IF(Table1[[#This Row],[Vin]]&gt;Vout, 0, IF(Table1[[#This Row],[Iin]]&gt;Table1[[#This Row],[Ripple Current pk-pk]]/2,0,ABS(Table1[[#This Row],[Iin]]-Table1[[#This Row],[Ripple Current pk-pk]]/2)*Vsd_Q4*Deadtime*Fsw))</f>
        <v>0</v>
      </c>
      <c r="AT57" s="354">
        <f>(Table1[[#This Row],[Dead Time Loss BoCtlr]]+Table1[[#This Row],[Transition Loss BoCtlr]]+Table1[[#This Row],[RDS(on) Loss BoCtlr]]*(1+RdsonTopTc*Ta-RdsonTopTc*25))/(1-Table1[[#This Row],[RDS(on) Loss BoCtlr]]*RdsonTopTc*ThetaJA_Q4)</f>
        <v>0</v>
      </c>
      <c r="AU5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12.061648813589695</v>
      </c>
      <c r="AV57" s="354">
        <f>Rdson3*Table1[[#This Row],[Irms BoSync]]^2</f>
        <v>0.61103016282995282</v>
      </c>
      <c r="AW5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57" s="354">
        <f>(Table1[[#This Row],[Deadtime Loss BoSync]]+Table1[[#This Row],[RDS(on) Loss BoSync]]*(1+RdsonBotTc*Ta-RdsonBotTc*25))/(1-Table1[[#This Row],[RDS(on) Loss BoSync]]*RdsonBotTc*ThetaJA_Q3)</f>
        <v>0.71603467031690382</v>
      </c>
      <c r="AY57" s="354">
        <f>CHOOSE(Table1[[#This Row],[Mode Digit]], Rdson3*Table1[[#This Row],[Irms Lf]]^2, Rdson1*Table1[[#This Row],[Irms Lf]]^2, 0)</f>
        <v>0.61103016282995282</v>
      </c>
      <c r="AZ57" s="354">
        <f>CHOOSE(Table1[[#This Row],[Mode Digit]], 2*Deadtime*Fsw*IF(VfdSky_Q2&gt;0,VfdSky_Q2,0)*Table1[[#This Row],[Iout]], 2*Deadtime*Fsw*IF(VfdSky_Q3&gt;0,VfdSky_Q3,0)*Table1[[#This Row],[Iin]], 2*Deadtime*Fsw*IF(VfdSky_Q2&gt;0,VfdSky_Q2,0)*Table1[[#This Row],[Iout]]+2*Deadtime*Fsw*IF(VfdSky_Q3&gt;0,VfdSky_Q3,0)*Table1[[#This Row],[Iin]])</f>
        <v>0</v>
      </c>
      <c r="BA57" s="354">
        <f>CHOOSE(Table1[[#This Row],[Mode Digit]], IF(QrrSky_Q2&gt;0,QrrSky_Q2,Qrr_Q2)*Fsw*(Table1[[#This Row],[Vin]]-Table1[[#This Row],[Iout]]*Rdson1),0,  IF(QrrSky_Q2&gt;0,QrrSky_Q2,Qrr_Q2)*Fsw*(Table1[[#This Row],[Vin]]-Table1[[#This Row],[Iout]]*Rdson1)+IF(QrrSky_Q3&gt;0,QrrSky_Q3,Qrr_Q3)*Fsw*Vout)</f>
        <v>0.32003520000000002</v>
      </c>
      <c r="BB57" s="354">
        <f>CHOOSE(Table1[[#This Row],[Mode Digit]],0, IF(QrrSky_Q3&gt;0,QrrSky_Q3,Qrr_Q3)*Fsw*Vout,  IF(QrrSky_Q2&gt;0,QrrSky_Q2,Qrr_Q2)*Fsw*(Table1[[#This Row],[Vin]]-Table1[[#This Row],[Iout]]*Rdson1)+IF(QrrSky_Q3&gt;0,QrrSky_Q3,Qrr_Q3)*Fsw*Vout)</f>
        <v>0</v>
      </c>
      <c r="BC57" s="354">
        <f>CHOOSE(Table1[[#This Row],[Mode Digit]], Rs*Table1[[#This Row],[Irms BuSync]]^2, Rs*Table1[[#This Row],[Irms BoCtlr]]^2, Rs*(Table1[[#This Row],[Irms BuSync]]^2+Table1[[#This Row],[Irms BoCtlr]]^2))</f>
        <v>0.163158921983966</v>
      </c>
      <c r="BD57" s="354">
        <f t="shared" si="1"/>
        <v>1.44</v>
      </c>
      <c r="BE57" s="354">
        <f>IF(Vout&gt;8, Iq*Vout, Iq*Table1[[#This Row],[Vin]])</f>
        <v>4.3799999999999999E-2</v>
      </c>
      <c r="BF57" s="354">
        <f>CHOOSE(Table1[[#This Row],[Mode Digit]], (Qg_Q1+Qg_Q2)*Fsw, (Qg_Q3+Qg_Q4)*Fsw, (Qg_Q1+Qg_Q2+Qg_Q3+Qg_Q4)*Fsw)*IF(Vout&gt;8, Vout, Table1[[#This Row],[Vin]])</f>
        <v>0.47303999999999996</v>
      </c>
      <c r="BG57" s="354">
        <f t="shared" si="2"/>
        <v>0.45605042016806729</v>
      </c>
      <c r="BH57" s="354">
        <f>Table1[[#This Row],[IQ Loss]]+Table1[[#This Row],[Switching Current Loss]]</f>
        <v>0.51683999999999997</v>
      </c>
      <c r="BI5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9.7640042814818564</v>
      </c>
      <c r="BJ57">
        <f>Vout*Table1[[#This Row],[Iout]]</f>
        <v>175.2</v>
      </c>
      <c r="BK57" s="550">
        <f>Table1[[#This Row],[Pout]]/(Table1[[#This Row],[Pout]]+Table1[[#This Row],[Total Loss]])</f>
        <v>0.94721132730981106</v>
      </c>
      <c r="BL5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229.55238889239627</v>
      </c>
      <c r="BM57" s="559">
        <f>IF(Table1[[#This Row],[Vin]]&gt;Vout, Table1[[#This Row],[Total Sync Bu MOSFET Loss]]*ThetaJA_Q2, ThetaJA_Q3*Table1[[#This Row],[Total Sync Bo MOSFET Loss]])</f>
        <v>54.686278952584651</v>
      </c>
      <c r="BN57" s="9"/>
      <c r="BO57" s="4">
        <f>Table1[[#This Row],[EFF, h]]*100</f>
        <v>94.721132730981111</v>
      </c>
      <c r="BP57" s="354">
        <f>Table1[[#This Row],[Total Inductor Loss]]</f>
        <v>1.7912345902779312</v>
      </c>
      <c r="BQ57" s="354">
        <f>Table1[[#This Row],[Total Control Bu MOSFET Loss]]+Table1[[#This Row],[Total Sync Bu MOSFET Loss]]+Table1[[#This Row],[Total Control Bo MOSFET Loss]]+Table1[[#This Row],[Total Sync Bo MOSFET Loss]]+Table1[[#This Row],[Reverse Recovery Loss MOSFET D BUCK]]+Table1[[#This Row],[Reverse Recovery Loss MOSFET D BOOST]]</f>
        <v>5.7733810010665865</v>
      </c>
      <c r="BR57" s="354">
        <f>Table1[[#This Row],[Total Control Bu MOSFET Loss]]+Table1[[#This Row],[Reverse Recovery Loss MOSFET D BUCK]]*0.66</f>
        <v>4.037096380206604</v>
      </c>
      <c r="BS57" s="354">
        <f>Table1[[#This Row],[Total Sync Bu MOSFET Loss]]+Table1[[#This Row],[Reverse Recovery Loss MOSFET D BUCK]]*0.33</f>
        <v>1.0170495985430774</v>
      </c>
      <c r="BT57" s="354">
        <f xml:space="preserve"> Table1[[#This Row],[Total Control Bo MOSFET Loss]]+Table1[[#This Row],[Reverse Recovery Loss MOSFET D BOOST]]*0.66</f>
        <v>0</v>
      </c>
      <c r="BU57" s="354">
        <f xml:space="preserve"> Table1[[#This Row],[Total Sync Bo MOSFET Loss]]+Table1[[#This Row],[Reverse Recovery Loss MOSFET D BOOST]]*0.33</f>
        <v>0.71603467031690382</v>
      </c>
      <c r="BV57" s="354">
        <f>Table1[[#This Row],[Isense Shunt Loss]]</f>
        <v>0.163158921983966</v>
      </c>
      <c r="CB57" s="18"/>
      <c r="CC57" s="19"/>
    </row>
    <row r="58" spans="1:83" x14ac:dyDescent="0.2">
      <c r="A58" s="23" t="s">
        <v>228</v>
      </c>
      <c r="B58" s="71">
        <f>VfdSky_Q2</f>
        <v>0</v>
      </c>
      <c r="C58" s="440" t="s">
        <v>0</v>
      </c>
      <c r="D58" s="74" t="s">
        <v>231</v>
      </c>
      <c r="G58">
        <v>49</v>
      </c>
      <c r="H58" s="555">
        <f>VIN_min+(VIN_max-VIN_min)*(Table1[[#This Row],[Step]]/200)</f>
        <v>26.86</v>
      </c>
      <c r="I58" s="4" t="str">
        <f>IF(Mode = 2,IF(Table1[[#This Row],[Vin]]&gt;Vout, "BUCK","BOOST"),IF(Table1[[#This Row],[Vin]]&gt;VIN_BB_to_buck, "BUCK", IF(Table1[[#This Row],[Vin]]&lt;=VIN_boost_to_BB,"BOOST","BUCK-BST")))</f>
        <v>BUCK</v>
      </c>
      <c r="J58">
        <f>IF(Table1[[#This Row],[Mode]]="BOOST",2, IF(Table1[[#This Row],[Mode]]="BUCK", 1,3))</f>
        <v>1</v>
      </c>
      <c r="K58">
        <f t="shared" si="0"/>
        <v>12</v>
      </c>
      <c r="L58" s="4">
        <f>Vout*Table1[[#This Row],[Iout]]/(Table1[[#This Row],[Vin]]*Efficiency)</f>
        <v>6.8660108946976521</v>
      </c>
      <c r="M58" s="711">
        <f>MIN(1/Fsw,CHOOSE(Table1[[#This Row],[Mode Digit]],(Vout+(Rdson2+Rs+Rdcr)*Table1[[#This Row],[Iout]])/(Table1[[#This Row],[Vin]]+(Rs+Rdson2-Rdson1)*Table1[[#This Row],[Iout]])/Fsw,(Vout+(Rdson3+Rdcr)*Table1[[#This Row],[Iin]]-Table1[[#This Row],[Vin]])/(Vout+(Rdson3-Rdson4-Rs)*Table1[[#This Row],[Iin]])/Fsw,t1_Ph_II))</f>
        <v>9.1421842072641628E-7</v>
      </c>
      <c r="N58" s="602">
        <f>CHOOSE(Table1[[#This Row],[Mode Digit]],1/Fsw-Table1[[#This Row],[t1_Ph_II]],1/Fsw-Table1[[#This Row],[t1_Ph_II]],(Vout/Fsw-Table1[[#This Row],[Vin]]*t1_Ph_II)/(Table1[[#This Row],[Vin]]+Vout))</f>
        <v>7.5244824594025038E-7</v>
      </c>
      <c r="O58" s="602">
        <f>1/Fsw-(Table1[[#This Row],[t1_Ph_II]]+Table1[[#This Row],[t2_Ph_I]])</f>
        <v>0</v>
      </c>
      <c r="P5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9.8772125306617689</v>
      </c>
      <c r="Q58" s="4">
        <f>CHOOSE(Table1[[#This Row],[Mode Digit]],Table1[[#This Row],[I_0]]+1/Lf*(Table1[[#This Row],[Vin]]-Vout)*Table1[[#This Row],[t1_Ph_II]],Table1[[#This Row],[I_0]]+1/Lf*Table1[[#This Row],[Vin]]*Table1[[#This Row],[t1_Ph_II]],Table1[[#This Row],[I_0]]+(Table1[[#This Row],[Vin]]-Vout)/L*Table1[[#This Row],[t1_Ph_II]])</f>
        <v>14.122787469338231</v>
      </c>
      <c r="R58" s="4">
        <f>CHOOSE(Table1[[#This Row],[Mode Digit]],0,0,Table1[[#This Row],[I_1]]+Table1[[#This Row],[Vin]]/L*Table1[[#This Row],[t2_Ph_I]])</f>
        <v>0</v>
      </c>
      <c r="S58" s="4">
        <f>Fsw*(Table1[[#This Row],[I_0]]*Table1[[#This Row],[t1_Ph_II]]+Table1[[#This Row],[I_1]]*Table1[[#This Row],[t2_Ph_I]]+Table1[[#This Row],[I_2]]*Table1[[#This Row],[t3_Ph_III]])</f>
        <v>11.793957780030762</v>
      </c>
      <c r="T58" s="354">
        <f>MIN(1,CHOOSE(Table1[[#This Row],[Mode Digit]],(Vout+(Rdson2+Rs+Rdcr)*Table1[[#This Row],[Iout]])/(Table1[[#This Row],[Vin]]+(Rs+Rdson2-Rdson1)*Table1[[#This Row],[Iout]]),1,Fsw*Table1[[#This Row],[t2_Ph_I]]+Table1[[#This Row],[t1_Ph_II]]))</f>
        <v>0.54853105243584976</v>
      </c>
      <c r="U58" s="354">
        <f>MIN(1,CHOOSE(Table1[[#This Row],[Mode Digit]],0,(Vout+(Rdson3+Rdcr)*Table1[[#This Row],[Iin]]-Table1[[#This Row],[Vin]])/(Vout+(Rdson3-Rdson4-Rs)*Table1[[#This Row],[Iin]]),Fsw*Table1[[#This Row],[t1_Ph_II]]+Table1[[#This Row],[t3_Ph_III]]))</f>
        <v>0</v>
      </c>
      <c r="V58" s="4">
        <f>MAX(Table1[[#This Row],[I_0]:[I_2]])-MIN(Table1[[#This Row],[I_0]:[I_1]])</f>
        <v>4.2455749386764623</v>
      </c>
      <c r="W5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12.062424115685031</v>
      </c>
      <c r="X58" s="354">
        <f>(Table1[[#This Row],[Irms Lf]]^2*Rdcr*(1+Ltc*Ta-Ltc*25))/(1-Table1[[#This Row],[Irms Lf]]^2*Rdcr*Ltc*ThetaCa)</f>
        <v>0.90501208567383118</v>
      </c>
      <c r="Y58" s="354">
        <f>ABS(7.759*10^-3*Fsw^0.9458*(0.00787*Table1[[#This Row],[Ripple Current pk-pk]])^2.304)</f>
        <v>0.89923397936515903</v>
      </c>
      <c r="Z58" s="354">
        <f>Table1[[#This Row],[DCR    Loss]]+Table1[[#This Row],[Core Loss]]</f>
        <v>1.8042460650389902</v>
      </c>
      <c r="AA58" s="4">
        <f>IF(Table1[[#This Row],[Vin]]&gt;Vout, Table1[[#This Row],[Ripple Current pk-pk]]/SQRT(12), SQRT(Table1[[#This Row],[Duty Cycle BOOST Leg]]/(1-Table1[[#This Row],[Duty Cycle BOOST Leg]]))*SQRT(Table1[[#This Row],[Iout]]^2+(Table1[[#This Row],[Ripple Current pk-pk]]^2)/12))</f>
        <v>1.2255919168547922</v>
      </c>
      <c r="AB58" s="354">
        <f>RCoutEsr*Table1[[#This Row],[Irms Cout]]^2</f>
        <v>7.51037773329902E-3</v>
      </c>
      <c r="AC58" s="354">
        <f>Table1[[#This Row],[Cout ESR Loss]]</f>
        <v>7.51037773329902E-3</v>
      </c>
      <c r="AD58" s="354">
        <f>IF(Table1[[#This Row],[Vin]]&gt;Vout, SQRT(Table1[[#This Row],[Duty Cycle BUCK Leg]]*(1-Table1[[#This Row],[Duty Cycle BUCK Leg]]))*SQRT(Table1[[#This Row],[Iout]]^2+(Table1[[#This Row],[Ripple Current pk-pk]]^2)/12), Table1[[#This Row],[Ripple Current pk-pk]]/SQRT(12))</f>
        <v>6.0027346455056891</v>
      </c>
      <c r="AE58" s="354">
        <f>RCinEsr*Table1[[#This Row],[Irms Cin]]^2</f>
        <v>7.2065646448708623E-2</v>
      </c>
      <c r="AF58" s="549">
        <f>Table1[[#This Row],[Cin ESR Loss]]</f>
        <v>7.2065646448708623E-2</v>
      </c>
      <c r="AG5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8.9337789669999008</v>
      </c>
      <c r="AH58" s="354">
        <f>Rdson1*Table1[[#This Row],[Irms BuCtrl]]^2</f>
        <v>0.33521210785108124</v>
      </c>
      <c r="AI58" s="354">
        <f>CHOOSE(Table1[[#This Row],[Mode Digit]], (Table1[[#This Row],[Vin]]*Table1[[#This Row],[Iout]]/2)*(Fsw)*(Tr_buck+Tf_buck), 0, (Table1[[#This Row],[Vin]]*Table1[[#This Row],[Avg IL]]/2)*(Fsw/1)*(Tr_buck+Tf_buck))</f>
        <v>3.1962433930086891</v>
      </c>
      <c r="AJ58">
        <f>IF(Table1[[#This Row],[Vin]]&gt;Vout, IF(Table1[[#This Row],[Iout]]&gt;Table1[[#This Row],[Ripple Current pk-pk]]/2,0,ABS(Table1[[#This Row],[Iout]]-Table1[[#This Row],[Ripple Current pk-pk]]/2)*Vsd_Q1*Deadtime*Fsw),0)</f>
        <v>0</v>
      </c>
      <c r="AK58" s="354">
        <f>(Table1[[#This Row],[Dead Time Loss BuCtrl]]+Table1[[#This Row],[Transition Loss BuCtrl]]+Table1[[#This Row],[RDS(on) Loss BuCtrl]]*(1+RdsonTopTc*Ta-RdsonTopTc*25))/(1-Table1[[#This Row],[RDS(on) Loss BuCtrl]]*RdsonTopTc*ThetaJA_Q1)</f>
        <v>3.8404208361008707</v>
      </c>
      <c r="AL58" s="354">
        <f>CHOOSE(Table1[[#This Row],[Mode Digit]],SQRT((Fsw*(Table1[[#This Row],[t2_Ph_I]]+0))*((Table1[[#This Row],[I_0]]*Table1[[#This Row],[I_1]]+((Table1[[#This Row],[I_0]]-Table1[[#This Row],[I_1]])^2)/3))),0,SQRT((Fsw*(Table1[[#This Row],[t3_Ph_III]]+0))*((Table1[[#This Row],[I_0]]*Table1[[#This Row],[I_2]]+((Table1[[#This Row],[I_0]]-Table1[[#This Row],[I_2]])^2)/3))))</f>
        <v>8.1049163422857102</v>
      </c>
      <c r="AM58" s="354">
        <f>Rdson2*Table1[[#This Row],[Irms BuSync]]^2</f>
        <v>0.27589660944488992</v>
      </c>
      <c r="AN5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58" s="354">
        <f>(Table1[[#This Row],[Deadtime Loss BuSync]]+Table1[[#This Row],[RDS(on) Loss BuSync]]*(1+RdsonBotTc*Ta-RdsonBotTc*25))/(1-Table1[[#This Row],[RDS(on) Loss BuSync]]*RdsonBotTc*ThetaJA_Q2)</f>
        <v>0.91377373616196889</v>
      </c>
      <c r="AP58" s="354">
        <f>CHOOSE(Table1[[#This Row],[Mode Digit]],0,SQRT((Fsw*(Table1[[#This Row],[t1_Ph_II]]+0))*((Table1[[#This Row],[I_0]]*Table1[[#This Row],[I_1]]+((Table1[[#This Row],[I_0]]-Table1[[#This Row],[I_1]])^2)/3))),SQRT((Fsw*(Table1[[#This Row],[t2_Ph_I]]+0))*((Table1[[#This Row],[I_1]]*Table1[[#This Row],[I_2]]+((Table1[[#This Row],[I_1]]-Table1[[#This Row],[I_2]])^2)/3))))</f>
        <v>0</v>
      </c>
      <c r="AQ58" s="354">
        <f>Rdson4*Table1[[#This Row],[Irms BoCtlr]]^2</f>
        <v>0</v>
      </c>
      <c r="AR58" s="354">
        <f>CHOOSE(Table1[[#This Row],[Mode Digit]], 0, (Vout*Table1[[#This Row],[Iin]]/2)*(Fsw)*(Tr_boost+Tf_boost), (Vout*Iout/2)*(Fsw/1)*(Tr_boost+Tf_boost))</f>
        <v>0</v>
      </c>
      <c r="AS58">
        <f>IF(Table1[[#This Row],[Vin]]&gt;Vout, 0, IF(Table1[[#This Row],[Iin]]&gt;Table1[[#This Row],[Ripple Current pk-pk]]/2,0,ABS(Table1[[#This Row],[Iin]]-Table1[[#This Row],[Ripple Current pk-pk]]/2)*Vsd_Q4*Deadtime*Fsw))</f>
        <v>0</v>
      </c>
      <c r="AT58" s="354">
        <f>(Table1[[#This Row],[Dead Time Loss BoCtlr]]+Table1[[#This Row],[Transition Loss BoCtlr]]+Table1[[#This Row],[RDS(on) Loss BoCtlr]]*(1+RdsonTopTc*Ta-RdsonTopTc*25))/(1-Table1[[#This Row],[RDS(on) Loss BoCtlr]]*RdsonTopTc*ThetaJA_Q4)</f>
        <v>0</v>
      </c>
      <c r="AU5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12.062424115685031</v>
      </c>
      <c r="AV58" s="354">
        <f>Rdson3*Table1[[#This Row],[Irms BoSync]]^2</f>
        <v>0.61110871729597138</v>
      </c>
      <c r="AW5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58" s="354">
        <f>(Table1[[#This Row],[Deadtime Loss BoSync]]+Table1[[#This Row],[RDS(on) Loss BoSync]]*(1+RdsonBotTc*Ta-RdsonBotTc*25))/(1-Table1[[#This Row],[RDS(on) Loss BoSync]]*RdsonBotTc*ThetaJA_Q3)</f>
        <v>0.71614254593072213</v>
      </c>
      <c r="AY58" s="354">
        <f>CHOOSE(Table1[[#This Row],[Mode Digit]], Rdson3*Table1[[#This Row],[Irms Lf]]^2, Rdson1*Table1[[#This Row],[Irms Lf]]^2, 0)</f>
        <v>0.61110871729597138</v>
      </c>
      <c r="AZ58" s="354">
        <f>CHOOSE(Table1[[#This Row],[Mode Digit]], 2*Deadtime*Fsw*IF(VfdSky_Q2&gt;0,VfdSky_Q2,0)*Table1[[#This Row],[Iout]], 2*Deadtime*Fsw*IF(VfdSky_Q3&gt;0,VfdSky_Q3,0)*Table1[[#This Row],[Iin]], 2*Deadtime*Fsw*IF(VfdSky_Q2&gt;0,VfdSky_Q2,0)*Table1[[#This Row],[Iout]]+2*Deadtime*Fsw*IF(VfdSky_Q3&gt;0,VfdSky_Q3,0)*Table1[[#This Row],[Iin]])</f>
        <v>0</v>
      </c>
      <c r="BA58" s="354">
        <f>CHOOSE(Table1[[#This Row],[Mode Digit]], IF(QrrSky_Q2&gt;0,QrrSky_Q2,Qrr_Q2)*Fsw*(Table1[[#This Row],[Vin]]-Table1[[#This Row],[Iout]]*Rdson1),0,  IF(QrrSky_Q2&gt;0,QrrSky_Q2,Qrr_Q2)*Fsw*(Table1[[#This Row],[Vin]]-Table1[[#This Row],[Iout]]*Rdson1)+IF(QrrSky_Q3&gt;0,QrrSky_Q3,Qrr_Q3)*Fsw*Vout)</f>
        <v>0.32171519999999998</v>
      </c>
      <c r="BB58" s="354">
        <f>CHOOSE(Table1[[#This Row],[Mode Digit]],0, IF(QrrSky_Q3&gt;0,QrrSky_Q3,Qrr_Q3)*Fsw*Vout,  IF(QrrSky_Q2&gt;0,QrrSky_Q2,Qrr_Q2)*Fsw*(Table1[[#This Row],[Vin]]-Table1[[#This Row],[Iout]]*Rdson1)+IF(QrrSky_Q3&gt;0,QrrSky_Q3,Qrr_Q3)*Fsw*Vout)</f>
        <v>0</v>
      </c>
      <c r="BC58" s="354">
        <f>CHOOSE(Table1[[#This Row],[Mode Digit]], Rs*Table1[[#This Row],[Irms BuSync]]^2, Rs*Table1[[#This Row],[Irms BoCtlr]]^2, Rs*(Table1[[#This Row],[Irms BuSync]]^2+Table1[[#This Row],[Irms BoCtlr]]^2))</f>
        <v>0.16422417228862493</v>
      </c>
      <c r="BD58" s="354">
        <f t="shared" si="1"/>
        <v>1.44</v>
      </c>
      <c r="BE58" s="354">
        <f>IF(Vout&gt;8, Iq*Vout, Iq*Table1[[#This Row],[Vin]])</f>
        <v>4.3799999999999999E-2</v>
      </c>
      <c r="BF58" s="354">
        <f>CHOOSE(Table1[[#This Row],[Mode Digit]], (Qg_Q1+Qg_Q2)*Fsw, (Qg_Q3+Qg_Q4)*Fsw, (Qg_Q1+Qg_Q2+Qg_Q3+Qg_Q4)*Fsw)*IF(Vout&gt;8, Vout, Table1[[#This Row],[Vin]])</f>
        <v>0.47303999999999996</v>
      </c>
      <c r="BG58" s="354">
        <f t="shared" si="2"/>
        <v>0.45605042016806729</v>
      </c>
      <c r="BH58" s="354">
        <f>Table1[[#This Row],[IQ Loss]]+Table1[[#This Row],[Switching Current Loss]]</f>
        <v>0.51683999999999997</v>
      </c>
      <c r="BI5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9.796938579703184</v>
      </c>
      <c r="BJ58">
        <f>Vout*Table1[[#This Row],[Iout]]</f>
        <v>175.2</v>
      </c>
      <c r="BK58" s="550">
        <f>Table1[[#This Row],[Pout]]/(Table1[[#This Row],[Pout]]+Table1[[#This Row],[Total Loss]])</f>
        <v>0.94704269889589376</v>
      </c>
      <c r="BL5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230.42525016605225</v>
      </c>
      <c r="BM58" s="559">
        <f>IF(Table1[[#This Row],[Vin]]&gt;Vout, Table1[[#This Row],[Total Sync Bu MOSFET Loss]]*ThetaJA_Q2, ThetaJA_Q3*Table1[[#This Row],[Total Sync Bo MOSFET Loss]])</f>
        <v>54.82642416971813</v>
      </c>
      <c r="BN58" s="9"/>
      <c r="BO58" s="4">
        <f>Table1[[#This Row],[EFF, h]]*100</f>
        <v>94.704269889589369</v>
      </c>
      <c r="BP58" s="354">
        <f>Table1[[#This Row],[Total Inductor Loss]]</f>
        <v>1.8042460650389902</v>
      </c>
      <c r="BQ58" s="354">
        <f>Table1[[#This Row],[Total Control Bu MOSFET Loss]]+Table1[[#This Row],[Total Sync Bu MOSFET Loss]]+Table1[[#This Row],[Total Control Bo MOSFET Loss]]+Table1[[#This Row],[Total Sync Bo MOSFET Loss]]+Table1[[#This Row],[Reverse Recovery Loss MOSFET D BUCK]]+Table1[[#This Row],[Reverse Recovery Loss MOSFET D BOOST]]</f>
        <v>5.7920523181935621</v>
      </c>
      <c r="BR58" s="354">
        <f>Table1[[#This Row],[Total Control Bu MOSFET Loss]]+Table1[[#This Row],[Reverse Recovery Loss MOSFET D BUCK]]*0.66</f>
        <v>4.0527528681008711</v>
      </c>
      <c r="BS58" s="354">
        <f>Table1[[#This Row],[Total Sync Bu MOSFET Loss]]+Table1[[#This Row],[Reverse Recovery Loss MOSFET D BUCK]]*0.33</f>
        <v>1.0199397521619689</v>
      </c>
      <c r="BT58" s="354">
        <f xml:space="preserve"> Table1[[#This Row],[Total Control Bo MOSFET Loss]]+Table1[[#This Row],[Reverse Recovery Loss MOSFET D BOOST]]*0.66</f>
        <v>0</v>
      </c>
      <c r="BU58" s="354">
        <f xml:space="preserve"> Table1[[#This Row],[Total Sync Bo MOSFET Loss]]+Table1[[#This Row],[Reverse Recovery Loss MOSFET D BOOST]]*0.33</f>
        <v>0.71614254593072213</v>
      </c>
      <c r="BV58" s="354">
        <f>Table1[[#This Row],[Isense Shunt Loss]]</f>
        <v>0.16422417228862493</v>
      </c>
      <c r="CB58" s="18"/>
      <c r="CC58" s="19"/>
    </row>
    <row r="59" spans="1:83" x14ac:dyDescent="0.2">
      <c r="A59" s="23" t="s">
        <v>229</v>
      </c>
      <c r="B59" s="71">
        <f>QrrSky_Q2*1000000000</f>
        <v>0</v>
      </c>
      <c r="C59" s="440" t="s">
        <v>69</v>
      </c>
      <c r="D59" s="74" t="s">
        <v>232</v>
      </c>
      <c r="G59">
        <v>50</v>
      </c>
      <c r="H59" s="555">
        <f>VIN_min+(VIN_max-VIN_min)*(Table1[[#This Row],[Step]]/200)</f>
        <v>27</v>
      </c>
      <c r="I59" s="4" t="str">
        <f>IF(Mode = 2,IF(Table1[[#This Row],[Vin]]&gt;Vout, "BUCK","BOOST"),IF(Table1[[#This Row],[Vin]]&gt;VIN_BB_to_buck, "BUCK", IF(Table1[[#This Row],[Vin]]&lt;=VIN_boost_to_BB,"BOOST","BUCK-BST")))</f>
        <v>BUCK</v>
      </c>
      <c r="J59">
        <f>IF(Table1[[#This Row],[Mode]]="BOOST",2, IF(Table1[[#This Row],[Mode]]="BUCK", 1,3))</f>
        <v>1</v>
      </c>
      <c r="K59">
        <f t="shared" si="0"/>
        <v>12</v>
      </c>
      <c r="L59" s="4">
        <f>Vout*Table1[[#This Row],[Iout]]/(Table1[[#This Row],[Vin]]*Efficiency)</f>
        <v>6.8304093567251458</v>
      </c>
      <c r="M59" s="711">
        <f>MIN(1/Fsw,CHOOSE(Table1[[#This Row],[Mode Digit]],(Vout+(Rdson2+Rs+Rdcr)*Table1[[#This Row],[Iout]])/(Table1[[#This Row],[Vin]]+(Rs+Rdson2-Rdson1)*Table1[[#This Row],[Iout]])/Fsw,(Vout+(Rdson3+Rdcr)*Table1[[#This Row],[Iin]]-Table1[[#This Row],[Vin]])/(Vout+(Rdson3-Rdson4-Rs)*Table1[[#This Row],[Iin]])/Fsw,t1_Ph_II))</f>
        <v>9.0948329017141447E-7</v>
      </c>
      <c r="N59" s="602">
        <f>CHOOSE(Table1[[#This Row],[Mode Digit]],1/Fsw-Table1[[#This Row],[t1_Ph_II]],1/Fsw-Table1[[#This Row],[t1_Ph_II]],(Vout/Fsw-Table1[[#This Row],[Vin]]*t1_Ph_II)/(Table1[[#This Row],[Vin]]+Vout))</f>
        <v>7.571833764952522E-7</v>
      </c>
      <c r="O59" s="602">
        <f>1/Fsw-(Table1[[#This Row],[t1_Ph_II]]+Table1[[#This Row],[t2_Ph_I]])</f>
        <v>0</v>
      </c>
      <c r="P5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9.8640922730822851</v>
      </c>
      <c r="Q59" s="4">
        <f>CHOOSE(Table1[[#This Row],[Mode Digit]],Table1[[#This Row],[I_0]]+1/Lf*(Table1[[#This Row],[Vin]]-Vout)*Table1[[#This Row],[t1_Ph_II]],Table1[[#This Row],[I_0]]+1/Lf*Table1[[#This Row],[Vin]]*Table1[[#This Row],[t1_Ph_II]],Table1[[#This Row],[I_0]]+(Table1[[#This Row],[Vin]]-Vout)/L*Table1[[#This Row],[t1_Ph_II]])</f>
        <v>14.135907726917717</v>
      </c>
      <c r="R59" s="4">
        <f>CHOOSE(Table1[[#This Row],[Mode Digit]],0,0,Table1[[#This Row],[I_1]]+Table1[[#This Row],[Vin]]/L*Table1[[#This Row],[t2_Ph_I]])</f>
        <v>0</v>
      </c>
      <c r="S59" s="4">
        <f>Fsw*(Table1[[#This Row],[I_0]]*Table1[[#This Row],[t1_Ph_II]]+Table1[[#This Row],[I_1]]*Table1[[#This Row],[t2_Ph_I]]+Table1[[#This Row],[I_2]]*Table1[[#This Row],[t3_Ph_III]])</f>
        <v>11.804820862542112</v>
      </c>
      <c r="T59" s="354">
        <f>MIN(1,CHOOSE(Table1[[#This Row],[Mode Digit]],(Vout+(Rdson2+Rs+Rdcr)*Table1[[#This Row],[Iout]])/(Table1[[#This Row],[Vin]]+(Rs+Rdson2-Rdson1)*Table1[[#This Row],[Iout]]),1,Fsw*Table1[[#This Row],[t2_Ph_I]]+Table1[[#This Row],[t1_Ph_II]]))</f>
        <v>0.5456899741028487</v>
      </c>
      <c r="U59" s="354">
        <f>MIN(1,CHOOSE(Table1[[#This Row],[Mode Digit]],0,(Vout+(Rdson3+Rdcr)*Table1[[#This Row],[Iin]]-Table1[[#This Row],[Vin]])/(Vout+(Rdson3-Rdson4-Rs)*Table1[[#This Row],[Iin]]),Fsw*Table1[[#This Row],[t1_Ph_II]]+Table1[[#This Row],[t3_Ph_III]]))</f>
        <v>0</v>
      </c>
      <c r="V59" s="4">
        <f>MAX(Table1[[#This Row],[I_0]:[I_2]])-MIN(Table1[[#This Row],[I_0]:[I_1]])</f>
        <v>4.2718154538354316</v>
      </c>
      <c r="W5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12.063196119021233</v>
      </c>
      <c r="X59" s="354">
        <f>(Table1[[#This Row],[Irms Lf]]^2*Rdcr*(1+Ltc*Ta-Ltc*25))/(1-Table1[[#This Row],[Irms Lf]]^2*Rdcr*Ltc*ThetaCa)</f>
        <v>0.90513632070594985</v>
      </c>
      <c r="Y59" s="354">
        <f>ABS(7.759*10^-3*Fsw^0.9458*(0.00787*Table1[[#This Row],[Ripple Current pk-pk]])^2.304)</f>
        <v>0.91209095211039881</v>
      </c>
      <c r="Z59" s="354">
        <f>Table1[[#This Row],[DCR    Loss]]+Table1[[#This Row],[Core Loss]]</f>
        <v>1.8172272728163485</v>
      </c>
      <c r="AA59" s="4">
        <f>IF(Table1[[#This Row],[Vin]]&gt;Vout, Table1[[#This Row],[Ripple Current pk-pk]]/SQRT(12), SQRT(Table1[[#This Row],[Duty Cycle BOOST Leg]]/(1-Table1[[#This Row],[Duty Cycle BOOST Leg]]))*SQRT(Table1[[#This Row],[Iout]]^2+(Table1[[#This Row],[Ripple Current pk-pk]]^2)/12))</f>
        <v>1.2331669011001449</v>
      </c>
      <c r="AB59" s="354">
        <f>RCoutEsr*Table1[[#This Row],[Irms Cout]]^2</f>
        <v>7.6035030298446729E-3</v>
      </c>
      <c r="AC59" s="354">
        <f>Table1[[#This Row],[Cout ESR Loss]]</f>
        <v>7.6035030298446729E-3</v>
      </c>
      <c r="AD59" s="354">
        <f>IF(Table1[[#This Row],[Vin]]&gt;Vout, SQRT(Table1[[#This Row],[Duty Cycle BUCK Leg]]*(1-Table1[[#This Row],[Duty Cycle BUCK Leg]]))*SQRT(Table1[[#This Row],[Iout]]^2+(Table1[[#This Row],[Ripple Current pk-pk]]^2)/12), Table1[[#This Row],[Ripple Current pk-pk]]/SQRT(12))</f>
        <v>6.0063624565309031</v>
      </c>
      <c r="AE59" s="354">
        <f>RCinEsr*Table1[[#This Row],[Irms Cin]]^2</f>
        <v>7.2152779918447887E-2</v>
      </c>
      <c r="AF59" s="549">
        <f>Table1[[#This Row],[Cin ESR Loss]]</f>
        <v>7.2152779918447887E-2</v>
      </c>
      <c r="AG5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8.9111832741280548</v>
      </c>
      <c r="AH59" s="354">
        <f>Rdson1*Table1[[#This Row],[Irms BuCtrl]]^2</f>
        <v>0.33351858684941837</v>
      </c>
      <c r="AI59" s="354">
        <f>CHOOSE(Table1[[#This Row],[Mode Digit]], (Table1[[#This Row],[Vin]]*Table1[[#This Row],[Iout]]/2)*(Fsw)*(Tr_buck+Tf_buck), 0, (Table1[[#This Row],[Vin]]*Table1[[#This Row],[Avg IL]]/2)*(Fsw/1)*(Tr_buck+Tf_buck))</f>
        <v>3.2129028894726215</v>
      </c>
      <c r="AJ59">
        <f>IF(Table1[[#This Row],[Vin]]&gt;Vout, IF(Table1[[#This Row],[Iout]]&gt;Table1[[#This Row],[Ripple Current pk-pk]]/2,0,ABS(Table1[[#This Row],[Iout]]-Table1[[#This Row],[Ripple Current pk-pk]]/2)*Vsd_Q1*Deadtime*Fsw),0)</f>
        <v>0</v>
      </c>
      <c r="AK59" s="354">
        <f>(Table1[[#This Row],[Dead Time Loss BuCtrl]]+Table1[[#This Row],[Transition Loss BuCtrl]]+Table1[[#This Row],[RDS(on) Loss BuCtrl]]*(1+RdsonTopTc*Ta-RdsonTopTc*25))/(1-Table1[[#This Row],[RDS(on) Loss BuCtrl]]*RdsonTopTc*ThetaJA_Q1)</f>
        <v>3.8549922527507312</v>
      </c>
      <c r="AL59" s="354">
        <f>CHOOSE(Table1[[#This Row],[Mode Digit]],SQRT((Fsw*(Table1[[#This Row],[t2_Ph_I]]+0))*((Table1[[#This Row],[I_0]]*Table1[[#This Row],[I_1]]+((Table1[[#This Row],[I_0]]-Table1[[#This Row],[I_1]])^2)/3))),0,SQRT((Fsw*(Table1[[#This Row],[t3_Ph_III]]+0))*((Table1[[#This Row],[I_0]]*Table1[[#This Row],[I_2]]+((Table1[[#This Row],[I_0]]-Table1[[#This Row],[I_2]])^2)/3))))</f>
        <v>8.1308986748617986</v>
      </c>
      <c r="AM59" s="354">
        <f>Rdson2*Table1[[#This Row],[Irms BuSync]]^2</f>
        <v>0.27766835569565135</v>
      </c>
      <c r="AN5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59" s="354">
        <f>(Table1[[#This Row],[Deadtime Loss BuSync]]+Table1[[#This Row],[RDS(on) Loss BuSync]]*(1+RdsonBotTc*Ta-RdsonBotTc*25))/(1-Table1[[#This Row],[RDS(on) Loss BuSync]]*RdsonBotTc*ThetaJA_Q2)</f>
        <v>0.91608827849811103</v>
      </c>
      <c r="AP59" s="354">
        <f>CHOOSE(Table1[[#This Row],[Mode Digit]],0,SQRT((Fsw*(Table1[[#This Row],[t1_Ph_II]]+0))*((Table1[[#This Row],[I_0]]*Table1[[#This Row],[I_1]]+((Table1[[#This Row],[I_0]]-Table1[[#This Row],[I_1]])^2)/3))),SQRT((Fsw*(Table1[[#This Row],[t2_Ph_I]]+0))*((Table1[[#This Row],[I_1]]*Table1[[#This Row],[I_2]]+((Table1[[#This Row],[I_1]]-Table1[[#This Row],[I_2]])^2)/3))))</f>
        <v>0</v>
      </c>
      <c r="AQ59" s="354">
        <f>Rdson4*Table1[[#This Row],[Irms BoCtlr]]^2</f>
        <v>0</v>
      </c>
      <c r="AR59" s="354">
        <f>CHOOSE(Table1[[#This Row],[Mode Digit]], 0, (Vout*Table1[[#This Row],[Iin]]/2)*(Fsw)*(Tr_boost+Tf_boost), (Vout*Iout/2)*(Fsw/1)*(Tr_boost+Tf_boost))</f>
        <v>0</v>
      </c>
      <c r="AS59">
        <f>IF(Table1[[#This Row],[Vin]]&gt;Vout, 0, IF(Table1[[#This Row],[Iin]]&gt;Table1[[#This Row],[Ripple Current pk-pk]]/2,0,ABS(Table1[[#This Row],[Iin]]-Table1[[#This Row],[Ripple Current pk-pk]]/2)*Vsd_Q4*Deadtime*Fsw))</f>
        <v>0</v>
      </c>
      <c r="AT59" s="354">
        <f>(Table1[[#This Row],[Dead Time Loss BoCtlr]]+Table1[[#This Row],[Transition Loss BoCtlr]]+Table1[[#This Row],[RDS(on) Loss BoCtlr]]*(1+RdsonTopTc*Ta-RdsonTopTc*25))/(1-Table1[[#This Row],[RDS(on) Loss BoCtlr]]*RdsonTopTc*ThetaJA_Q4)</f>
        <v>0</v>
      </c>
      <c r="AU5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12.063196119021233</v>
      </c>
      <c r="AV59" s="354">
        <f>Rdson3*Table1[[#This Row],[Irms BoSync]]^2</f>
        <v>0.61118694254506967</v>
      </c>
      <c r="AW5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59" s="354">
        <f>(Table1[[#This Row],[Deadtime Loss BoSync]]+Table1[[#This Row],[RDS(on) Loss BoSync]]*(1+RdsonBotTc*Ta-RdsonBotTc*25))/(1-Table1[[#This Row],[RDS(on) Loss BoSync]]*RdsonBotTc*ThetaJA_Q3)</f>
        <v>0.71624997418136394</v>
      </c>
      <c r="AY59" s="354">
        <f>CHOOSE(Table1[[#This Row],[Mode Digit]], Rdson3*Table1[[#This Row],[Irms Lf]]^2, Rdson1*Table1[[#This Row],[Irms Lf]]^2, 0)</f>
        <v>0.61118694254506967</v>
      </c>
      <c r="AZ59" s="354">
        <f>CHOOSE(Table1[[#This Row],[Mode Digit]], 2*Deadtime*Fsw*IF(VfdSky_Q2&gt;0,VfdSky_Q2,0)*Table1[[#This Row],[Iout]], 2*Deadtime*Fsw*IF(VfdSky_Q3&gt;0,VfdSky_Q3,0)*Table1[[#This Row],[Iin]], 2*Deadtime*Fsw*IF(VfdSky_Q2&gt;0,VfdSky_Q2,0)*Table1[[#This Row],[Iout]]+2*Deadtime*Fsw*IF(VfdSky_Q3&gt;0,VfdSky_Q3,0)*Table1[[#This Row],[Iin]])</f>
        <v>0</v>
      </c>
      <c r="BA59" s="354">
        <f>CHOOSE(Table1[[#This Row],[Mode Digit]], IF(QrrSky_Q2&gt;0,QrrSky_Q2,Qrr_Q2)*Fsw*(Table1[[#This Row],[Vin]]-Table1[[#This Row],[Iout]]*Rdson1),0,  IF(QrrSky_Q2&gt;0,QrrSky_Q2,Qrr_Q2)*Fsw*(Table1[[#This Row],[Vin]]-Table1[[#This Row],[Iout]]*Rdson1)+IF(QrrSky_Q3&gt;0,QrrSky_Q3,Qrr_Q3)*Fsw*Vout)</f>
        <v>0.32339519999999999</v>
      </c>
      <c r="BB59" s="354">
        <f>CHOOSE(Table1[[#This Row],[Mode Digit]],0, IF(QrrSky_Q3&gt;0,QrrSky_Q3,Qrr_Q3)*Fsw*Vout,  IF(QrrSky_Q2&gt;0,QrrSky_Q2,Qrr_Q2)*Fsw*(Table1[[#This Row],[Vin]]-Table1[[#This Row],[Iout]]*Rdson1)+IF(QrrSky_Q3&gt;0,QrrSky_Q3,Qrr_Q3)*Fsw*Vout)</f>
        <v>0</v>
      </c>
      <c r="BC59" s="354">
        <f>CHOOSE(Table1[[#This Row],[Mode Digit]], Rs*Table1[[#This Row],[Irms BuSync]]^2, Rs*Table1[[#This Row],[Irms BoCtlr]]^2, Rs*(Table1[[#This Row],[Irms BuSync]]^2+Table1[[#This Row],[Irms BoCtlr]]^2))</f>
        <v>0.1652787831521734</v>
      </c>
      <c r="BD59" s="354">
        <f t="shared" si="1"/>
        <v>1.44</v>
      </c>
      <c r="BE59" s="354">
        <f>IF(Vout&gt;8, Iq*Vout, Iq*Table1[[#This Row],[Vin]])</f>
        <v>4.3799999999999999E-2</v>
      </c>
      <c r="BF59" s="354">
        <f>CHOOSE(Table1[[#This Row],[Mode Digit]], (Qg_Q1+Qg_Q2)*Fsw, (Qg_Q3+Qg_Q4)*Fsw, (Qg_Q1+Qg_Q2+Qg_Q3+Qg_Q4)*Fsw)*IF(Vout&gt;8, Vout, Table1[[#This Row],[Vin]])</f>
        <v>0.47303999999999996</v>
      </c>
      <c r="BG59" s="354">
        <f t="shared" si="2"/>
        <v>0.45605042016806729</v>
      </c>
      <c r="BH59" s="354">
        <f>Table1[[#This Row],[IQ Loss]]+Table1[[#This Row],[Switching Current Loss]]</f>
        <v>0.51683999999999997</v>
      </c>
      <c r="BI5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9.8298280443470194</v>
      </c>
      <c r="BJ59">
        <f>Vout*Table1[[#This Row],[Iout]]</f>
        <v>175.2</v>
      </c>
      <c r="BK59" s="550">
        <f>Table1[[#This Row],[Pout]]/(Table1[[#This Row],[Pout]]+Table1[[#This Row],[Total Loss]])</f>
        <v>0.94687435994378677</v>
      </c>
      <c r="BL5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231.29953516504386</v>
      </c>
      <c r="BM59" s="559">
        <f>IF(Table1[[#This Row],[Vin]]&gt;Vout, Table1[[#This Row],[Total Sync Bu MOSFET Loss]]*ThetaJA_Q2, ThetaJA_Q3*Table1[[#This Row],[Total Sync Bo MOSFET Loss]])</f>
        <v>54.965296709886658</v>
      </c>
      <c r="BN59" s="9"/>
      <c r="BO59" s="4">
        <f>Table1[[#This Row],[EFF, h]]*100</f>
        <v>94.687435994378674</v>
      </c>
      <c r="BP59" s="354">
        <f>Table1[[#This Row],[Total Inductor Loss]]</f>
        <v>1.8172272728163485</v>
      </c>
      <c r="BQ59" s="354">
        <f>Table1[[#This Row],[Total Control Bu MOSFET Loss]]+Table1[[#This Row],[Total Sync Bu MOSFET Loss]]+Table1[[#This Row],[Total Control Bo MOSFET Loss]]+Table1[[#This Row],[Total Sync Bo MOSFET Loss]]+Table1[[#This Row],[Reverse Recovery Loss MOSFET D BUCK]]+Table1[[#This Row],[Reverse Recovery Loss MOSFET D BOOST]]</f>
        <v>5.8107257054302064</v>
      </c>
      <c r="BR59" s="354">
        <f>Table1[[#This Row],[Total Control Bu MOSFET Loss]]+Table1[[#This Row],[Reverse Recovery Loss MOSFET D BUCK]]*0.66</f>
        <v>4.0684330847507315</v>
      </c>
      <c r="BS59" s="354">
        <f>Table1[[#This Row],[Total Sync Bu MOSFET Loss]]+Table1[[#This Row],[Reverse Recovery Loss MOSFET D BUCK]]*0.33</f>
        <v>1.022808694498111</v>
      </c>
      <c r="BT59" s="354">
        <f xml:space="preserve"> Table1[[#This Row],[Total Control Bo MOSFET Loss]]+Table1[[#This Row],[Reverse Recovery Loss MOSFET D BOOST]]*0.66</f>
        <v>0</v>
      </c>
      <c r="BU59" s="354">
        <f xml:space="preserve"> Table1[[#This Row],[Total Sync Bo MOSFET Loss]]+Table1[[#This Row],[Reverse Recovery Loss MOSFET D BOOST]]*0.33</f>
        <v>0.71624997418136394</v>
      </c>
      <c r="BV59" s="354">
        <f>Table1[[#This Row],[Isense Shunt Loss]]</f>
        <v>0.1652787831521734</v>
      </c>
      <c r="CB59" s="18"/>
      <c r="CC59" s="19"/>
    </row>
    <row r="60" spans="1:83" x14ac:dyDescent="0.2">
      <c r="A60" s="23" t="s">
        <v>230</v>
      </c>
      <c r="B60" s="71">
        <f>Ireverse</f>
        <v>0</v>
      </c>
      <c r="C60" s="440" t="s">
        <v>68</v>
      </c>
      <c r="D60" s="74" t="s">
        <v>233</v>
      </c>
      <c r="E60" s="2"/>
      <c r="G60">
        <v>51</v>
      </c>
      <c r="H60" s="555">
        <f>VIN_min+(VIN_max-VIN_min)*(Table1[[#This Row],[Step]]/200)</f>
        <v>27.14</v>
      </c>
      <c r="I60" s="4" t="str">
        <f>IF(Mode = 2,IF(Table1[[#This Row],[Vin]]&gt;Vout, "BUCK","BOOST"),IF(Table1[[#This Row],[Vin]]&gt;VIN_BB_to_buck, "BUCK", IF(Table1[[#This Row],[Vin]]&lt;=VIN_boost_to_BB,"BOOST","BUCK-BST")))</f>
        <v>BUCK</v>
      </c>
      <c r="J60">
        <f>IF(Table1[[#This Row],[Mode]]="BOOST",2, IF(Table1[[#This Row],[Mode]]="BUCK", 1,3))</f>
        <v>1</v>
      </c>
      <c r="K60">
        <f t="shared" si="0"/>
        <v>12</v>
      </c>
      <c r="L60" s="4">
        <f>Vout*Table1[[#This Row],[Iout]]/(Table1[[#This Row],[Vin]]*Efficiency)</f>
        <v>6.7951751153861073</v>
      </c>
      <c r="M60" s="711">
        <f>MIN(1/Fsw,CHOOSE(Table1[[#This Row],[Mode Digit]],(Vout+(Rdson2+Rs+Rdcr)*Table1[[#This Row],[Iout]])/(Table1[[#This Row],[Vin]]+(Rs+Rdson2-Rdson1)*Table1[[#This Row],[Iout]])/Fsw,(Vout+(Rdson3+Rdcr)*Table1[[#This Row],[Iin]]-Table1[[#This Row],[Vin]])/(Vout+(Rdson3-Rdson4-Rs)*Table1[[#This Row],[Iin]])/Fsw,t1_Ph_II))</f>
        <v>9.0479695742853639E-7</v>
      </c>
      <c r="N60" s="602">
        <f>CHOOSE(Table1[[#This Row],[Mode Digit]],1/Fsw-Table1[[#This Row],[t1_Ph_II]],1/Fsw-Table1[[#This Row],[t1_Ph_II]],(Vout/Fsw-Table1[[#This Row],[Vin]]*t1_Ph_II)/(Table1[[#This Row],[Vin]]+Vout))</f>
        <v>7.6186970923813027E-7</v>
      </c>
      <c r="O60" s="602">
        <f>1/Fsw-(Table1[[#This Row],[t1_Ph_II]]+Table1[[#This Row],[t2_Ph_I]])</f>
        <v>0</v>
      </c>
      <c r="P6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9.8511072261072261</v>
      </c>
      <c r="Q60" s="4">
        <f>CHOOSE(Table1[[#This Row],[Mode Digit]],Table1[[#This Row],[I_0]]+1/Lf*(Table1[[#This Row],[Vin]]-Vout)*Table1[[#This Row],[t1_Ph_II]],Table1[[#This Row],[I_0]]+1/Lf*Table1[[#This Row],[Vin]]*Table1[[#This Row],[t1_Ph_II]],Table1[[#This Row],[I_0]]+(Table1[[#This Row],[Vin]]-Vout)/L*Table1[[#This Row],[t1_Ph_II]])</f>
        <v>14.148892773892774</v>
      </c>
      <c r="R60" s="4">
        <f>CHOOSE(Table1[[#This Row],[Mode Digit]],0,0,Table1[[#This Row],[I_1]]+Table1[[#This Row],[Vin]]/L*Table1[[#This Row],[t2_Ph_I]])</f>
        <v>0</v>
      </c>
      <c r="S60" s="4">
        <f>Fsw*(Table1[[#This Row],[I_0]]*Table1[[#This Row],[t1_Ph_II]]+Table1[[#This Row],[I_1]]*Table1[[#This Row],[t2_Ph_I]]+Table1[[#This Row],[I_2]]*Table1[[#This Row],[t3_Ph_III]])</f>
        <v>11.815718801502754</v>
      </c>
      <c r="T60" s="354">
        <f>MIN(1,CHOOSE(Table1[[#This Row],[Mode Digit]],(Vout+(Rdson2+Rs+Rdcr)*Table1[[#This Row],[Iout]])/(Table1[[#This Row],[Vin]]+(Rs+Rdson2-Rdson1)*Table1[[#This Row],[Iout]]),1,Fsw*Table1[[#This Row],[t2_Ph_I]]+Table1[[#This Row],[t1_Ph_II]]))</f>
        <v>0.54287817445712183</v>
      </c>
      <c r="U60" s="354">
        <f>MIN(1,CHOOSE(Table1[[#This Row],[Mode Digit]],0,(Vout+(Rdson3+Rdcr)*Table1[[#This Row],[Iin]]-Table1[[#This Row],[Vin]])/(Vout+(Rdson3-Rdson4-Rs)*Table1[[#This Row],[Iin]]),Fsw*Table1[[#This Row],[t1_Ph_II]]+Table1[[#This Row],[t3_Ph_III]]))</f>
        <v>0</v>
      </c>
      <c r="V60" s="4">
        <f>MAX(Table1[[#This Row],[I_0]:[I_2]])-MIN(Table1[[#This Row],[I_0]:[I_1]])</f>
        <v>4.2977855477855478</v>
      </c>
      <c r="W6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12.063964800922465</v>
      </c>
      <c r="X60" s="354">
        <f>(Table1[[#This Row],[Irms Lf]]^2*Rdcr*(1+Ltc*Ta-Ltc*25))/(1-Table1[[#This Row],[Irms Lf]]^2*Rdcr*Ltc*ThetaCa)</f>
        <v>0.9052600314222522</v>
      </c>
      <c r="Y60" s="354">
        <f>ABS(7.759*10^-3*Fsw^0.9458*(0.00787*Table1[[#This Row],[Ripple Current pk-pk]])^2.304)</f>
        <v>0.92491723331496545</v>
      </c>
      <c r="Z60" s="354">
        <f>Table1[[#This Row],[DCR    Loss]]+Table1[[#This Row],[Core Loss]]</f>
        <v>1.8301772647372176</v>
      </c>
      <c r="AA60" s="4">
        <f>IF(Table1[[#This Row],[Vin]]&gt;Vout, Table1[[#This Row],[Ripple Current pk-pk]]/SQRT(12), SQRT(Table1[[#This Row],[Duty Cycle BOOST Leg]]/(1-Table1[[#This Row],[Duty Cycle BOOST Leg]]))*SQRT(Table1[[#This Row],[Iout]]^2+(Table1[[#This Row],[Ripple Current pk-pk]]^2)/12))</f>
        <v>1.2406638214666348</v>
      </c>
      <c r="AB60" s="354">
        <f>RCoutEsr*Table1[[#This Row],[Irms Cout]]^2</f>
        <v>7.6962335894809695E-3</v>
      </c>
      <c r="AC60" s="354">
        <f>Table1[[#This Row],[Cout ESR Loss]]</f>
        <v>7.6962335894809695E-3</v>
      </c>
      <c r="AD60" s="354">
        <f>IF(Table1[[#This Row],[Vin]]&gt;Vout, SQRT(Table1[[#This Row],[Duty Cycle BUCK Leg]]*(1-Table1[[#This Row],[Duty Cycle BUCK Leg]]))*SQRT(Table1[[#This Row],[Iout]]^2+(Table1[[#This Row],[Ripple Current pk-pk]]^2)/12), Table1[[#This Row],[Ripple Current pk-pk]]/SQRT(12))</f>
        <v>6.0097614151048546</v>
      </c>
      <c r="AE60" s="354">
        <f>RCinEsr*Table1[[#This Row],[Irms Cin]]^2</f>
        <v>7.2234464532966211E-2</v>
      </c>
      <c r="AF60" s="549">
        <f>Table1[[#This Row],[Cin ESR Loss]]</f>
        <v>7.2234464532966211E-2</v>
      </c>
      <c r="AG6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8.8887614755980575</v>
      </c>
      <c r="AH60" s="354">
        <f>Rdson1*Table1[[#This Row],[Irms BuCtrl]]^2</f>
        <v>0.33184233839431992</v>
      </c>
      <c r="AI60" s="354">
        <f>CHOOSE(Table1[[#This Row],[Mode Digit]], (Table1[[#This Row],[Vin]]*Table1[[#This Row],[Iout]]/2)*(Fsw)*(Tr_buck+Tf_buck), 0, (Table1[[#This Row],[Vin]]*Table1[[#This Row],[Avg IL]]/2)*(Fsw/1)*(Tr_buck+Tf_buck))</f>
        <v>3.2295623859365534</v>
      </c>
      <c r="AJ60">
        <f>IF(Table1[[#This Row],[Vin]]&gt;Vout, IF(Table1[[#This Row],[Iout]]&gt;Table1[[#This Row],[Ripple Current pk-pk]]/2,0,ABS(Table1[[#This Row],[Iout]]-Table1[[#This Row],[Ripple Current pk-pk]]/2)*Vsd_Q1*Deadtime*Fsw),0)</f>
        <v>0</v>
      </c>
      <c r="AK60" s="354">
        <f>(Table1[[#This Row],[Dead Time Loss BuCtrl]]+Table1[[#This Row],[Transition Loss BuCtrl]]+Table1[[#This Row],[RDS(on) Loss BuCtrl]]*(1+RdsonTopTc*Ta-RdsonTopTc*25))/(1-Table1[[#This Row],[RDS(on) Loss BuCtrl]]*RdsonTopTc*ThetaJA_Q1)</f>
        <v>3.8695869956744389</v>
      </c>
      <c r="AL60" s="354">
        <f>CHOOSE(Table1[[#This Row],[Mode Digit]],SQRT((Fsw*(Table1[[#This Row],[t2_Ph_I]]+0))*((Table1[[#This Row],[I_0]]*Table1[[#This Row],[I_1]]+((Table1[[#This Row],[I_0]]-Table1[[#This Row],[I_1]])^2)/3))),0,SQRT((Fsw*(Table1[[#This Row],[t3_Ph_III]]+0))*((Table1[[#This Row],[I_0]]*Table1[[#This Row],[I_2]]+((Table1[[#This Row],[I_0]]-Table1[[#This Row],[I_2]])^2)/3))))</f>
        <v>8.1565413103729227</v>
      </c>
      <c r="AM60" s="354">
        <f>Rdson2*Table1[[#This Row],[Irms BuSync]]^2</f>
        <v>0.27942249782084416</v>
      </c>
      <c r="AN6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60" s="354">
        <f>(Table1[[#This Row],[Deadtime Loss BuSync]]+Table1[[#This Row],[RDS(on) Loss BuSync]]*(1+RdsonBotTc*Ta-RdsonBotTc*25))/(1-Table1[[#This Row],[RDS(on) Loss BuSync]]*RdsonBotTc*ThetaJA_Q2)</f>
        <v>0.91838190199436642</v>
      </c>
      <c r="AP60" s="354">
        <f>CHOOSE(Table1[[#This Row],[Mode Digit]],0,SQRT((Fsw*(Table1[[#This Row],[t1_Ph_II]]+0))*((Table1[[#This Row],[I_0]]*Table1[[#This Row],[I_1]]+((Table1[[#This Row],[I_0]]-Table1[[#This Row],[I_1]])^2)/3))),SQRT((Fsw*(Table1[[#This Row],[t2_Ph_I]]+0))*((Table1[[#This Row],[I_1]]*Table1[[#This Row],[I_2]]+((Table1[[#This Row],[I_1]]-Table1[[#This Row],[I_2]])^2)/3))))</f>
        <v>0</v>
      </c>
      <c r="AQ60" s="354">
        <f>Rdson4*Table1[[#This Row],[Irms BoCtlr]]^2</f>
        <v>0</v>
      </c>
      <c r="AR60" s="354">
        <f>CHOOSE(Table1[[#This Row],[Mode Digit]], 0, (Vout*Table1[[#This Row],[Iin]]/2)*(Fsw)*(Tr_boost+Tf_boost), (Vout*Iout/2)*(Fsw/1)*(Tr_boost+Tf_boost))</f>
        <v>0</v>
      </c>
      <c r="AS60">
        <f>IF(Table1[[#This Row],[Vin]]&gt;Vout, 0, IF(Table1[[#This Row],[Iin]]&gt;Table1[[#This Row],[Ripple Current pk-pk]]/2,0,ABS(Table1[[#This Row],[Iin]]-Table1[[#This Row],[Ripple Current pk-pk]]/2)*Vsd_Q4*Deadtime*Fsw))</f>
        <v>0</v>
      </c>
      <c r="AT60" s="354">
        <f>(Table1[[#This Row],[Dead Time Loss BoCtlr]]+Table1[[#This Row],[Transition Loss BoCtlr]]+Table1[[#This Row],[RDS(on) Loss BoCtlr]]*(1+RdsonTopTc*Ta-RdsonTopTc*25))/(1-Table1[[#This Row],[RDS(on) Loss BoCtlr]]*RdsonTopTc*ThetaJA_Q4)</f>
        <v>0</v>
      </c>
      <c r="AU6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12.063964800922465</v>
      </c>
      <c r="AV60" s="354">
        <f>Rdson3*Table1[[#This Row],[Irms BoSync]]^2</f>
        <v>0.61126483621516414</v>
      </c>
      <c r="AW6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60" s="354">
        <f>(Table1[[#This Row],[Deadtime Loss BoSync]]+Table1[[#This Row],[RDS(on) Loss BoSync]]*(1+RdsonBotTc*Ta-RdsonBotTc*25))/(1-Table1[[#This Row],[RDS(on) Loss BoSync]]*RdsonBotTc*ThetaJA_Q3)</f>
        <v>0.71635695176534997</v>
      </c>
      <c r="AY60" s="354">
        <f>CHOOSE(Table1[[#This Row],[Mode Digit]], Rdson3*Table1[[#This Row],[Irms Lf]]^2, Rdson1*Table1[[#This Row],[Irms Lf]]^2, 0)</f>
        <v>0.61126483621516414</v>
      </c>
      <c r="AZ60" s="354">
        <f>CHOOSE(Table1[[#This Row],[Mode Digit]], 2*Deadtime*Fsw*IF(VfdSky_Q2&gt;0,VfdSky_Q2,0)*Table1[[#This Row],[Iout]], 2*Deadtime*Fsw*IF(VfdSky_Q3&gt;0,VfdSky_Q3,0)*Table1[[#This Row],[Iin]], 2*Deadtime*Fsw*IF(VfdSky_Q2&gt;0,VfdSky_Q2,0)*Table1[[#This Row],[Iout]]+2*Deadtime*Fsw*IF(VfdSky_Q3&gt;0,VfdSky_Q3,0)*Table1[[#This Row],[Iin]])</f>
        <v>0</v>
      </c>
      <c r="BA60" s="354">
        <f>CHOOSE(Table1[[#This Row],[Mode Digit]], IF(QrrSky_Q2&gt;0,QrrSky_Q2,Qrr_Q2)*Fsw*(Table1[[#This Row],[Vin]]-Table1[[#This Row],[Iout]]*Rdson1),0,  IF(QrrSky_Q2&gt;0,QrrSky_Q2,Qrr_Q2)*Fsw*(Table1[[#This Row],[Vin]]-Table1[[#This Row],[Iout]]*Rdson1)+IF(QrrSky_Q3&gt;0,QrrSky_Q3,Qrr_Q3)*Fsw*Vout)</f>
        <v>0.32507520000000001</v>
      </c>
      <c r="BB60" s="354">
        <f>CHOOSE(Table1[[#This Row],[Mode Digit]],0, IF(QrrSky_Q3&gt;0,QrrSky_Q3,Qrr_Q3)*Fsw*Vout,  IF(QrrSky_Q2&gt;0,QrrSky_Q2,Qrr_Q2)*Fsw*(Table1[[#This Row],[Vin]]-Table1[[#This Row],[Iout]]*Rdson1)+IF(QrrSky_Q3&gt;0,QrrSky_Q3,Qrr_Q3)*Fsw*Vout)</f>
        <v>0</v>
      </c>
      <c r="BC60" s="354">
        <f>CHOOSE(Table1[[#This Row],[Mode Digit]], Rs*Table1[[#This Row],[Irms BuSync]]^2, Rs*Table1[[#This Row],[Irms BoCtlr]]^2, Rs*(Table1[[#This Row],[Irms BuSync]]^2+Table1[[#This Row],[Irms BoCtlr]]^2))</f>
        <v>0.1663229153695501</v>
      </c>
      <c r="BD60" s="354">
        <f t="shared" si="1"/>
        <v>1.44</v>
      </c>
      <c r="BE60" s="354">
        <f>IF(Vout&gt;8, Iq*Vout, Iq*Table1[[#This Row],[Vin]])</f>
        <v>4.3799999999999999E-2</v>
      </c>
      <c r="BF60" s="354">
        <f>CHOOSE(Table1[[#This Row],[Mode Digit]], (Qg_Q1+Qg_Q2)*Fsw, (Qg_Q3+Qg_Q4)*Fsw, (Qg_Q1+Qg_Q2+Qg_Q3+Qg_Q4)*Fsw)*IF(Vout&gt;8, Vout, Table1[[#This Row],[Vin]])</f>
        <v>0.47303999999999996</v>
      </c>
      <c r="BG60" s="354">
        <f t="shared" si="2"/>
        <v>0.45605042016806729</v>
      </c>
      <c r="BH60" s="354">
        <f>Table1[[#This Row],[IQ Loss]]+Table1[[#This Row],[Switching Current Loss]]</f>
        <v>0.51683999999999997</v>
      </c>
      <c r="BI6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9.862671927663369</v>
      </c>
      <c r="BJ60">
        <f>Vout*Table1[[#This Row],[Iout]]</f>
        <v>175.2</v>
      </c>
      <c r="BK60" s="550">
        <f>Table1[[#This Row],[Pout]]/(Table1[[#This Row],[Pout]]+Table1[[#This Row],[Total Loss]])</f>
        <v>0.94670631400200222</v>
      </c>
      <c r="BL6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232.17521974046633</v>
      </c>
      <c r="BM60" s="559">
        <f>IF(Table1[[#This Row],[Vin]]&gt;Vout, Table1[[#This Row],[Total Sync Bu MOSFET Loss]]*ThetaJA_Q2, ThetaJA_Q3*Table1[[#This Row],[Total Sync Bo MOSFET Loss]])</f>
        <v>55.102914119661989</v>
      </c>
      <c r="BN60" s="9"/>
      <c r="BO60" s="4">
        <f>Table1[[#This Row],[EFF, h]]*100</f>
        <v>94.670631400200222</v>
      </c>
      <c r="BP60" s="354">
        <f>Table1[[#This Row],[Total Inductor Loss]]</f>
        <v>1.8301772647372176</v>
      </c>
      <c r="BQ60" s="354">
        <f>Table1[[#This Row],[Total Control Bu MOSFET Loss]]+Table1[[#This Row],[Total Sync Bu MOSFET Loss]]+Table1[[#This Row],[Total Control Bo MOSFET Loss]]+Table1[[#This Row],[Total Sync Bo MOSFET Loss]]+Table1[[#This Row],[Reverse Recovery Loss MOSFET D BUCK]]+Table1[[#This Row],[Reverse Recovery Loss MOSFET D BOOST]]</f>
        <v>5.8294010494341553</v>
      </c>
      <c r="BR60" s="354">
        <f>Table1[[#This Row],[Total Control Bu MOSFET Loss]]+Table1[[#This Row],[Reverse Recovery Loss MOSFET D BUCK]]*0.66</f>
        <v>4.0841366276744386</v>
      </c>
      <c r="BS60" s="354">
        <f>Table1[[#This Row],[Total Sync Bu MOSFET Loss]]+Table1[[#This Row],[Reverse Recovery Loss MOSFET D BUCK]]*0.33</f>
        <v>1.0256567179943665</v>
      </c>
      <c r="BT60" s="354">
        <f xml:space="preserve"> Table1[[#This Row],[Total Control Bo MOSFET Loss]]+Table1[[#This Row],[Reverse Recovery Loss MOSFET D BOOST]]*0.66</f>
        <v>0</v>
      </c>
      <c r="BU60" s="354">
        <f xml:space="preserve"> Table1[[#This Row],[Total Sync Bo MOSFET Loss]]+Table1[[#This Row],[Reverse Recovery Loss MOSFET D BOOST]]*0.33</f>
        <v>0.71635695176534997</v>
      </c>
      <c r="BV60" s="354">
        <f>Table1[[#This Row],[Isense Shunt Loss]]</f>
        <v>0.1663229153695501</v>
      </c>
      <c r="CB60" s="18"/>
      <c r="CC60" s="19"/>
    </row>
    <row r="61" spans="1:83" x14ac:dyDescent="0.2">
      <c r="A61" s="24" t="s">
        <v>119</v>
      </c>
      <c r="B61" s="15" t="s">
        <v>113</v>
      </c>
      <c r="C61" s="24" t="s">
        <v>80</v>
      </c>
      <c r="D61" s="24" t="s">
        <v>245</v>
      </c>
      <c r="G61">
        <v>52</v>
      </c>
      <c r="H61" s="555">
        <f>VIN_min+(VIN_max-VIN_min)*(Table1[[#This Row],[Step]]/200)</f>
        <v>27.28</v>
      </c>
      <c r="I61" s="4" t="str">
        <f>IF(Mode = 2,IF(Table1[[#This Row],[Vin]]&gt;Vout, "BUCK","BOOST"),IF(Table1[[#This Row],[Vin]]&gt;VIN_BB_to_buck, "BUCK", IF(Table1[[#This Row],[Vin]]&lt;=VIN_boost_to_BB,"BOOST","BUCK-BST")))</f>
        <v>BUCK</v>
      </c>
      <c r="J61">
        <f>IF(Table1[[#This Row],[Mode]]="BOOST",2, IF(Table1[[#This Row],[Mode]]="BUCK", 1,3))</f>
        <v>1</v>
      </c>
      <c r="K61">
        <f t="shared" si="0"/>
        <v>12</v>
      </c>
      <c r="L61" s="4">
        <f>Vout*Table1[[#This Row],[Iout]]/(Table1[[#This Row],[Vin]]*Efficiency)</f>
        <v>6.7603025158203423</v>
      </c>
      <c r="M61" s="711">
        <f>MIN(1/Fsw,CHOOSE(Table1[[#This Row],[Mode Digit]],(Vout+(Rdson2+Rs+Rdcr)*Table1[[#This Row],[Iout]])/(Table1[[#This Row],[Vin]]+(Rs+Rdson2-Rdson1)*Table1[[#This Row],[Iout]])/Fsw,(Vout+(Rdson3+Rdcr)*Table1[[#This Row],[Iin]]-Table1[[#This Row],[Vin]])/(Vout+(Rdson3-Rdson4-Rs)*Table1[[#This Row],[Iin]])/Fsw,t1_Ph_II))</f>
        <v>9.0015867203710479E-7</v>
      </c>
      <c r="N61" s="602">
        <f>CHOOSE(Table1[[#This Row],[Mode Digit]],1/Fsw-Table1[[#This Row],[t1_Ph_II]],1/Fsw-Table1[[#This Row],[t1_Ph_II]],(Vout/Fsw-Table1[[#This Row],[Vin]]*t1_Ph_II)/(Table1[[#This Row],[Vin]]+Vout))</f>
        <v>7.6650799462956187E-7</v>
      </c>
      <c r="O61" s="602">
        <f>1/Fsw-(Table1[[#This Row],[t1_Ph_II]]+Table1[[#This Row],[t2_Ph_I]])</f>
        <v>0</v>
      </c>
      <c r="P6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9.8382553103351338</v>
      </c>
      <c r="Q61" s="4">
        <f>CHOOSE(Table1[[#This Row],[Mode Digit]],Table1[[#This Row],[I_0]]+1/Lf*(Table1[[#This Row],[Vin]]-Vout)*Table1[[#This Row],[t1_Ph_II]],Table1[[#This Row],[I_0]]+1/Lf*Table1[[#This Row],[Vin]]*Table1[[#This Row],[t1_Ph_II]],Table1[[#This Row],[I_0]]+(Table1[[#This Row],[Vin]]-Vout)/L*Table1[[#This Row],[t1_Ph_II]])</f>
        <v>14.161744689664864</v>
      </c>
      <c r="R61" s="4">
        <f>CHOOSE(Table1[[#This Row],[Mode Digit]],0,0,Table1[[#This Row],[I_1]]+Table1[[#This Row],[Vin]]/L*Table1[[#This Row],[t2_Ph_I]])</f>
        <v>0</v>
      </c>
      <c r="S61" s="4">
        <f>Fsw*(Table1[[#This Row],[I_0]]*Table1[[#This Row],[t1_Ph_II]]+Table1[[#This Row],[I_1]]*Table1[[#This Row],[t2_Ph_I]]+Table1[[#This Row],[I_2]]*Table1[[#This Row],[t3_Ph_III]])</f>
        <v>11.826648814706477</v>
      </c>
      <c r="T61" s="354">
        <f>MIN(1,CHOOSE(Table1[[#This Row],[Mode Digit]],(Vout+(Rdson2+Rs+Rdcr)*Table1[[#This Row],[Iout]])/(Table1[[#This Row],[Vin]]+(Rs+Rdson2-Rdson1)*Table1[[#This Row],[Iout]]),1,Fsw*Table1[[#This Row],[t2_Ph_I]]+Table1[[#This Row],[t1_Ph_II]]))</f>
        <v>0.5400952032222629</v>
      </c>
      <c r="U61" s="354">
        <f>MIN(1,CHOOSE(Table1[[#This Row],[Mode Digit]],0,(Vout+(Rdson3+Rdcr)*Table1[[#This Row],[Iin]]-Table1[[#This Row],[Vin]])/(Vout+(Rdson3-Rdson4-Rs)*Table1[[#This Row],[Iin]]),Fsw*Table1[[#This Row],[t1_Ph_II]]+Table1[[#This Row],[t3_Ph_III]]))</f>
        <v>0</v>
      </c>
      <c r="V61" s="4">
        <f>MAX(Table1[[#This Row],[I_0]:[I_2]])-MIN(Table1[[#This Row],[I_0]:[I_1]])</f>
        <v>4.3234893793297307</v>
      </c>
      <c r="W6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12.06473014069377</v>
      </c>
      <c r="X61" s="354">
        <f>(Table1[[#This Row],[Irms Lf]]^2*Rdcr*(1+Ltc*Ta-Ltc*25))/(1-Table1[[#This Row],[Irms Lf]]^2*Rdcr*Ltc*ThetaCa)</f>
        <v>0.90538321436042657</v>
      </c>
      <c r="Y61" s="354">
        <f>ABS(7.759*10^-3*Fsw^0.9458*(0.00787*Table1[[#This Row],[Ripple Current pk-pk]])^2.304)</f>
        <v>0.9377119212754581</v>
      </c>
      <c r="Z61" s="354">
        <f>Table1[[#This Row],[DCR    Loss]]+Table1[[#This Row],[Core Loss]]</f>
        <v>1.8430951356358847</v>
      </c>
      <c r="AA61" s="4">
        <f>IF(Table1[[#This Row],[Vin]]&gt;Vout, Table1[[#This Row],[Ripple Current pk-pk]]/SQRT(12), SQRT(Table1[[#This Row],[Duty Cycle BOOST Leg]]/(1-Table1[[#This Row],[Duty Cycle BOOST Leg]]))*SQRT(Table1[[#This Row],[Iout]]^2+(Table1[[#This Row],[Ripple Current pk-pk]]^2)/12))</f>
        <v>1.2480838784972541</v>
      </c>
      <c r="AB61" s="354">
        <f>RCoutEsr*Table1[[#This Row],[Irms Cout]]^2</f>
        <v>7.7885668388237433E-3</v>
      </c>
      <c r="AC61" s="354">
        <f>Table1[[#This Row],[Cout ESR Loss]]</f>
        <v>7.7885668388237433E-3</v>
      </c>
      <c r="AD61" s="354">
        <f>IF(Table1[[#This Row],[Vin]]&gt;Vout, SQRT(Table1[[#This Row],[Duty Cycle BUCK Leg]]*(1-Table1[[#This Row],[Duty Cycle BUCK Leg]]))*SQRT(Table1[[#This Row],[Iout]]^2+(Table1[[#This Row],[Ripple Current pk-pk]]^2)/12), Table1[[#This Row],[Ripple Current pk-pk]]/SQRT(12))</f>
        <v>6.012938223215091</v>
      </c>
      <c r="AE61" s="354">
        <f>RCinEsr*Table1[[#This Row],[Irms Cin]]^2</f>
        <v>7.2310852152402114E-2</v>
      </c>
      <c r="AF61" s="549">
        <f>Table1[[#This Row],[Cin ESR Loss]]</f>
        <v>7.2310852152402114E-2</v>
      </c>
      <c r="AG6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8.8665113083969391</v>
      </c>
      <c r="AH61" s="354">
        <f>Rdson1*Table1[[#This Row],[Irms BuCtrl]]^2</f>
        <v>0.33018309568410942</v>
      </c>
      <c r="AI61" s="354">
        <f>CHOOSE(Table1[[#This Row],[Mode Digit]], (Table1[[#This Row],[Vin]]*Table1[[#This Row],[Iout]]/2)*(Fsw)*(Tr_buck+Tf_buck), 0, (Table1[[#This Row],[Vin]]*Table1[[#This Row],[Avg IL]]/2)*(Fsw/1)*(Tr_buck+Tf_buck))</f>
        <v>3.2462218824004854</v>
      </c>
      <c r="AJ61">
        <f>IF(Table1[[#This Row],[Vin]]&gt;Vout, IF(Table1[[#This Row],[Iout]]&gt;Table1[[#This Row],[Ripple Current pk-pk]]/2,0,ABS(Table1[[#This Row],[Iout]]-Table1[[#This Row],[Ripple Current pk-pk]]/2)*Vsd_Q1*Deadtime*Fsw),0)</f>
        <v>0</v>
      </c>
      <c r="AK61" s="354">
        <f>(Table1[[#This Row],[Dead Time Loss BuCtrl]]+Table1[[#This Row],[Transition Loss BuCtrl]]+Table1[[#This Row],[RDS(on) Loss BuCtrl]]*(1+RdsonTopTc*Ta-RdsonTopTc*25))/(1-Table1[[#This Row],[RDS(on) Loss BuCtrl]]*RdsonTopTc*ThetaJA_Q1)</f>
        <v>3.8842046715371072</v>
      </c>
      <c r="AL61" s="354">
        <f>CHOOSE(Table1[[#This Row],[Mode Digit]],SQRT((Fsw*(Table1[[#This Row],[t2_Ph_I]]+0))*((Table1[[#This Row],[I_0]]*Table1[[#This Row],[I_1]]+((Table1[[#This Row],[I_0]]-Table1[[#This Row],[I_1]])^2)/3))),0,SQRT((Fsw*(Table1[[#This Row],[t3_Ph_III]]+0))*((Table1[[#This Row],[I_0]]*Table1[[#This Row],[I_2]]+((Table1[[#This Row],[I_0]]-Table1[[#This Row],[I_2]])^2)/3))))</f>
        <v>8.1818512933097196</v>
      </c>
      <c r="AM61" s="354">
        <f>Rdson2*Table1[[#This Row],[Irms BuSync]]^2</f>
        <v>0.28115930046050253</v>
      </c>
      <c r="AN6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61" s="354">
        <f>(Table1[[#This Row],[Deadtime Loss BuSync]]+Table1[[#This Row],[RDS(on) Loss BuSync]]*(1+RdsonBotTc*Ta-RdsonBotTc*25))/(1-Table1[[#This Row],[RDS(on) Loss BuSync]]*RdsonBotTc*ThetaJA_Q2)</f>
        <v>0.92065489363856057</v>
      </c>
      <c r="AP61" s="354">
        <f>CHOOSE(Table1[[#This Row],[Mode Digit]],0,SQRT((Fsw*(Table1[[#This Row],[t1_Ph_II]]+0))*((Table1[[#This Row],[I_0]]*Table1[[#This Row],[I_1]]+((Table1[[#This Row],[I_0]]-Table1[[#This Row],[I_1]])^2)/3))),SQRT((Fsw*(Table1[[#This Row],[t2_Ph_I]]+0))*((Table1[[#This Row],[I_1]]*Table1[[#This Row],[I_2]]+((Table1[[#This Row],[I_1]]-Table1[[#This Row],[I_2]])^2)/3))))</f>
        <v>0</v>
      </c>
      <c r="AQ61" s="354">
        <f>Rdson4*Table1[[#This Row],[Irms BoCtlr]]^2</f>
        <v>0</v>
      </c>
      <c r="AR61" s="354">
        <f>CHOOSE(Table1[[#This Row],[Mode Digit]], 0, (Vout*Table1[[#This Row],[Iin]]/2)*(Fsw)*(Tr_boost+Tf_boost), (Vout*Iout/2)*(Fsw/1)*(Tr_boost+Tf_boost))</f>
        <v>0</v>
      </c>
      <c r="AS61">
        <f>IF(Table1[[#This Row],[Vin]]&gt;Vout, 0, IF(Table1[[#This Row],[Iin]]&gt;Table1[[#This Row],[Ripple Current pk-pk]]/2,0,ABS(Table1[[#This Row],[Iin]]-Table1[[#This Row],[Ripple Current pk-pk]]/2)*Vsd_Q4*Deadtime*Fsw))</f>
        <v>0</v>
      </c>
      <c r="AT61" s="354">
        <f>(Table1[[#This Row],[Dead Time Loss BoCtlr]]+Table1[[#This Row],[Transition Loss BoCtlr]]+Table1[[#This Row],[RDS(on) Loss BoCtlr]]*(1+RdsonTopTc*Ta-RdsonTopTc*25))/(1-Table1[[#This Row],[RDS(on) Loss BoCtlr]]*RdsonTopTc*ThetaJA_Q4)</f>
        <v>0</v>
      </c>
      <c r="AU6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12.06473014069377</v>
      </c>
      <c r="AV61" s="354">
        <f>Rdson3*Table1[[#This Row],[Irms BoSync]]^2</f>
        <v>0.61134239614461194</v>
      </c>
      <c r="AW6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61" s="354">
        <f>(Table1[[#This Row],[Deadtime Loss BoSync]]+Table1[[#This Row],[RDS(on) Loss BoSync]]*(1+RdsonBotTc*Ta-RdsonBotTc*25))/(1-Table1[[#This Row],[RDS(on) Loss BoSync]]*RdsonBotTc*ThetaJA_Q3)</f>
        <v>0.71646347565417712</v>
      </c>
      <c r="AY61" s="354">
        <f>CHOOSE(Table1[[#This Row],[Mode Digit]], Rdson3*Table1[[#This Row],[Irms Lf]]^2, Rdson1*Table1[[#This Row],[Irms Lf]]^2, 0)</f>
        <v>0.61134239614461194</v>
      </c>
      <c r="AZ61" s="354">
        <f>CHOOSE(Table1[[#This Row],[Mode Digit]], 2*Deadtime*Fsw*IF(VfdSky_Q2&gt;0,VfdSky_Q2,0)*Table1[[#This Row],[Iout]], 2*Deadtime*Fsw*IF(VfdSky_Q3&gt;0,VfdSky_Q3,0)*Table1[[#This Row],[Iin]], 2*Deadtime*Fsw*IF(VfdSky_Q2&gt;0,VfdSky_Q2,0)*Table1[[#This Row],[Iout]]+2*Deadtime*Fsw*IF(VfdSky_Q3&gt;0,VfdSky_Q3,0)*Table1[[#This Row],[Iin]])</f>
        <v>0</v>
      </c>
      <c r="BA61" s="354">
        <f>CHOOSE(Table1[[#This Row],[Mode Digit]], IF(QrrSky_Q2&gt;0,QrrSky_Q2,Qrr_Q2)*Fsw*(Table1[[#This Row],[Vin]]-Table1[[#This Row],[Iout]]*Rdson1),0,  IF(QrrSky_Q2&gt;0,QrrSky_Q2,Qrr_Q2)*Fsw*(Table1[[#This Row],[Vin]]-Table1[[#This Row],[Iout]]*Rdson1)+IF(QrrSky_Q3&gt;0,QrrSky_Q3,Qrr_Q3)*Fsw*Vout)</f>
        <v>0.32675520000000002</v>
      </c>
      <c r="BB61" s="354">
        <f>CHOOSE(Table1[[#This Row],[Mode Digit]],0, IF(QrrSky_Q3&gt;0,QrrSky_Q3,Qrr_Q3)*Fsw*Vout,  IF(QrrSky_Q2&gt;0,QrrSky_Q2,Qrr_Q2)*Fsw*(Table1[[#This Row],[Vin]]-Table1[[#This Row],[Iout]]*Rdson1)+IF(QrrSky_Q3&gt;0,QrrSky_Q3,Qrr_Q3)*Fsw*Vout)</f>
        <v>0</v>
      </c>
      <c r="BC61" s="354">
        <f>CHOOSE(Table1[[#This Row],[Mode Digit]], Rs*Table1[[#This Row],[Irms BuSync]]^2, Rs*Table1[[#This Row],[Irms BoCtlr]]^2, Rs*(Table1[[#This Row],[Irms BuSync]]^2+Table1[[#This Row],[Irms BoCtlr]]^2))</f>
        <v>0.16735672646458483</v>
      </c>
      <c r="BD61" s="354">
        <f t="shared" si="1"/>
        <v>1.44</v>
      </c>
      <c r="BE61" s="354">
        <f>IF(Vout&gt;8, Iq*Vout, Iq*Table1[[#This Row],[Vin]])</f>
        <v>4.3799999999999999E-2</v>
      </c>
      <c r="BF61" s="354">
        <f>CHOOSE(Table1[[#This Row],[Mode Digit]], (Qg_Q1+Qg_Q2)*Fsw, (Qg_Q3+Qg_Q4)*Fsw, (Qg_Q1+Qg_Q2+Qg_Q3+Qg_Q4)*Fsw)*IF(Vout&gt;8, Vout, Table1[[#This Row],[Vin]])</f>
        <v>0.47303999999999996</v>
      </c>
      <c r="BG61" s="354">
        <f t="shared" si="2"/>
        <v>0.45605042016806729</v>
      </c>
      <c r="BH61" s="354">
        <f>Table1[[#This Row],[IQ Loss]]+Table1[[#This Row],[Switching Current Loss]]</f>
        <v>0.51683999999999997</v>
      </c>
      <c r="BI6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9.8954695219215392</v>
      </c>
      <c r="BJ61">
        <f>Vout*Table1[[#This Row],[Iout]]</f>
        <v>175.2</v>
      </c>
      <c r="BK61" s="550">
        <f>Table1[[#This Row],[Pout]]/(Table1[[#This Row],[Pout]]+Table1[[#This Row],[Total Loss]])</f>
        <v>0.94653856440959738</v>
      </c>
      <c r="BL6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233.05228029222644</v>
      </c>
      <c r="BM61" s="559">
        <f>IF(Table1[[#This Row],[Vin]]&gt;Vout, Table1[[#This Row],[Total Sync Bu MOSFET Loss]]*ThetaJA_Q2, ThetaJA_Q3*Table1[[#This Row],[Total Sync Bo MOSFET Loss]])</f>
        <v>55.239293618313631</v>
      </c>
      <c r="BN61" s="9"/>
      <c r="BO61" s="4">
        <f>Table1[[#This Row],[EFF, h]]*100</f>
        <v>94.653856440959743</v>
      </c>
      <c r="BP61" s="354">
        <f>Table1[[#This Row],[Total Inductor Loss]]</f>
        <v>1.8430951356358847</v>
      </c>
      <c r="BQ61" s="354">
        <f>Table1[[#This Row],[Total Control Bu MOSFET Loss]]+Table1[[#This Row],[Total Sync Bu MOSFET Loss]]+Table1[[#This Row],[Total Control Bo MOSFET Loss]]+Table1[[#This Row],[Total Sync Bo MOSFET Loss]]+Table1[[#This Row],[Reverse Recovery Loss MOSFET D BUCK]]+Table1[[#This Row],[Reverse Recovery Loss MOSFET D BOOST]]</f>
        <v>5.8480782408298451</v>
      </c>
      <c r="BR61" s="354">
        <f>Table1[[#This Row],[Total Control Bu MOSFET Loss]]+Table1[[#This Row],[Reverse Recovery Loss MOSFET D BUCK]]*0.66</f>
        <v>4.0998631035371069</v>
      </c>
      <c r="BS61" s="354">
        <f>Table1[[#This Row],[Total Sync Bu MOSFET Loss]]+Table1[[#This Row],[Reverse Recovery Loss MOSFET D BUCK]]*0.33</f>
        <v>1.0284841096385606</v>
      </c>
      <c r="BT61" s="354">
        <f xml:space="preserve"> Table1[[#This Row],[Total Control Bo MOSFET Loss]]+Table1[[#This Row],[Reverse Recovery Loss MOSFET D BOOST]]*0.66</f>
        <v>0</v>
      </c>
      <c r="BU61" s="354">
        <f xml:space="preserve"> Table1[[#This Row],[Total Sync Bo MOSFET Loss]]+Table1[[#This Row],[Reverse Recovery Loss MOSFET D BOOST]]*0.33</f>
        <v>0.71646347565417712</v>
      </c>
      <c r="BV61" s="354">
        <f>Table1[[#This Row],[Isense Shunt Loss]]</f>
        <v>0.16735672646458483</v>
      </c>
      <c r="CB61" s="18"/>
      <c r="CC61" s="19"/>
    </row>
    <row r="62" spans="1:83" ht="15.75" x14ac:dyDescent="0.3">
      <c r="A62" s="446" t="s">
        <v>642</v>
      </c>
      <c r="B62" s="72">
        <v>30</v>
      </c>
      <c r="C62" s="441" t="s">
        <v>237</v>
      </c>
      <c r="D62" s="74" t="s">
        <v>105</v>
      </c>
      <c r="G62">
        <v>53</v>
      </c>
      <c r="H62" s="555">
        <f>VIN_min+(VIN_max-VIN_min)*(Table1[[#This Row],[Step]]/200)</f>
        <v>27.42</v>
      </c>
      <c r="I62" s="4" t="str">
        <f>IF(Mode = 2,IF(Table1[[#This Row],[Vin]]&gt;Vout, "BUCK","BOOST"),IF(Table1[[#This Row],[Vin]]&gt;VIN_BB_to_buck, "BUCK", IF(Table1[[#This Row],[Vin]]&lt;=VIN_boost_to_BB,"BOOST","BUCK-BST")))</f>
        <v>BUCK</v>
      </c>
      <c r="J62">
        <f>IF(Table1[[#This Row],[Mode]]="BOOST",2, IF(Table1[[#This Row],[Mode]]="BUCK", 1,3))</f>
        <v>1</v>
      </c>
      <c r="K62">
        <f t="shared" si="0"/>
        <v>12</v>
      </c>
      <c r="L62" s="4">
        <f>Vout*Table1[[#This Row],[Iout]]/(Table1[[#This Row],[Vin]]*Efficiency)</f>
        <v>6.7257860186571454</v>
      </c>
      <c r="M62" s="711">
        <f>MIN(1/Fsw,CHOOSE(Table1[[#This Row],[Mode Digit]],(Vout+(Rdson2+Rs+Rdcr)*Table1[[#This Row],[Iout]])/(Table1[[#This Row],[Vin]]+(Rs+Rdson2-Rdson1)*Table1[[#This Row],[Iout]])/Fsw,(Vout+(Rdson3+Rdcr)*Table1[[#This Row],[Iin]]-Table1[[#This Row],[Vin]])/(Vout+(Rdson3-Rdson4-Rs)*Table1[[#This Row],[Iin]])/Fsw,t1_Ph_II))</f>
        <v>8.9556769884638728E-7</v>
      </c>
      <c r="N62" s="602">
        <f>CHOOSE(Table1[[#This Row],[Mode Digit]],1/Fsw-Table1[[#This Row],[t1_Ph_II]],1/Fsw-Table1[[#This Row],[t1_Ph_II]],(Vout/Fsw-Table1[[#This Row],[Vin]]*t1_Ph_II)/(Table1[[#This Row],[Vin]]+Vout))</f>
        <v>7.7109896782027939E-7</v>
      </c>
      <c r="O62" s="602">
        <f>1/Fsw-(Table1[[#This Row],[t1_Ph_II]]+Table1[[#This Row],[t2_Ph_I]])</f>
        <v>0</v>
      </c>
      <c r="P6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9.8255344887858556</v>
      </c>
      <c r="Q62" s="4">
        <f>CHOOSE(Table1[[#This Row],[Mode Digit]],Table1[[#This Row],[I_0]]+1/Lf*(Table1[[#This Row],[Vin]]-Vout)*Table1[[#This Row],[t1_Ph_II]],Table1[[#This Row],[I_0]]+1/Lf*Table1[[#This Row],[Vin]]*Table1[[#This Row],[t1_Ph_II]],Table1[[#This Row],[I_0]]+(Table1[[#This Row],[Vin]]-Vout)/L*Table1[[#This Row],[t1_Ph_II]])</f>
        <v>14.174465511214144</v>
      </c>
      <c r="R62" s="4">
        <f>CHOOSE(Table1[[#This Row],[Mode Digit]],0,0,Table1[[#This Row],[I_1]]+Table1[[#This Row],[Vin]]/L*Table1[[#This Row],[t2_Ph_I]])</f>
        <v>0</v>
      </c>
      <c r="S62" s="4">
        <f>Fsw*(Table1[[#This Row],[I_0]]*Table1[[#This Row],[t1_Ph_II]]+Table1[[#This Row],[I_1]]*Table1[[#This Row],[t2_Ph_I]]+Table1[[#This Row],[I_2]]*Table1[[#This Row],[t3_Ph_III]])</f>
        <v>11.837608222295483</v>
      </c>
      <c r="T62" s="354">
        <f>MIN(1,CHOOSE(Table1[[#This Row],[Mode Digit]],(Vout+(Rdson2+Rs+Rdcr)*Table1[[#This Row],[Iout]])/(Table1[[#This Row],[Vin]]+(Rs+Rdson2-Rdson1)*Table1[[#This Row],[Iout]]),1,Fsw*Table1[[#This Row],[t2_Ph_I]]+Table1[[#This Row],[t1_Ph_II]]))</f>
        <v>0.53734061930783239</v>
      </c>
      <c r="U62" s="354">
        <f>MIN(1,CHOOSE(Table1[[#This Row],[Mode Digit]],0,(Vout+(Rdson3+Rdcr)*Table1[[#This Row],[Iin]]-Table1[[#This Row],[Vin]])/(Vout+(Rdson3-Rdson4-Rs)*Table1[[#This Row],[Iin]]),Fsw*Table1[[#This Row],[t1_Ph_II]]+Table1[[#This Row],[t3_Ph_III]]))</f>
        <v>0</v>
      </c>
      <c r="V62" s="4">
        <f>MAX(Table1[[#This Row],[I_0]:[I_2]])-MIN(Table1[[#This Row],[I_0]:[I_1]])</f>
        <v>4.3489310224282889</v>
      </c>
      <c r="W6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12.065492119531909</v>
      </c>
      <c r="X62" s="354">
        <f>(Table1[[#This Row],[Irms Lf]]^2*Rdcr*(1+Ltc*Ta-Ltc*25))/(1-Table1[[#This Row],[Irms Lf]]^2*Rdcr*Ltc*ThetaCa)</f>
        <v>0.90550586636214447</v>
      </c>
      <c r="Y62" s="354">
        <f>ABS(7.759*10^-3*Fsw^0.9458*(0.00787*Table1[[#This Row],[Ripple Current pk-pk]])^2.304)</f>
        <v>0.9504741561065615</v>
      </c>
      <c r="Z62" s="354">
        <f>Table1[[#This Row],[DCR    Loss]]+Table1[[#This Row],[Core Loss]]</f>
        <v>1.855980022468706</v>
      </c>
      <c r="AA62" s="4">
        <f>IF(Table1[[#This Row],[Vin]]&gt;Vout, Table1[[#This Row],[Ripple Current pk-pk]]/SQRT(12), SQRT(Table1[[#This Row],[Duty Cycle BOOST Leg]]/(1-Table1[[#This Row],[Duty Cycle BOOST Leg]]))*SQRT(Table1[[#This Row],[Iout]]^2+(Table1[[#This Row],[Ripple Current pk-pk]]^2)/12))</f>
        <v>1.2554282482430437</v>
      </c>
      <c r="AB62" s="354">
        <f>RCoutEsr*Table1[[#This Row],[Irms Cout]]^2</f>
        <v>7.8805004324329873E-3</v>
      </c>
      <c r="AC62" s="354">
        <f>Table1[[#This Row],[Cout ESR Loss]]</f>
        <v>7.8805004324329873E-3</v>
      </c>
      <c r="AD62" s="354">
        <f>IF(Table1[[#This Row],[Vin]]&gt;Vout, SQRT(Table1[[#This Row],[Duty Cycle BUCK Leg]]*(1-Table1[[#This Row],[Duty Cycle BUCK Leg]]))*SQRT(Table1[[#This Row],[Iout]]^2+(Table1[[#This Row],[Ripple Current pk-pk]]^2)/12), Table1[[#This Row],[Ripple Current pk-pk]]/SQRT(12))</f>
        <v>6.0158993579007536</v>
      </c>
      <c r="AE62" s="354">
        <f>RCinEsr*Table1[[#This Row],[Irms Cin]]^2</f>
        <v>7.2382090168781402E-2</v>
      </c>
      <c r="AF62" s="549">
        <f>Table1[[#This Row],[Cin ESR Loss]]</f>
        <v>7.2382090168781402E-2</v>
      </c>
      <c r="AG6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8.8444305513069477</v>
      </c>
      <c r="AH62" s="354">
        <f>Rdson1*Table1[[#This Row],[Irms BuCtrl]]^2</f>
        <v>0.32854059746294528</v>
      </c>
      <c r="AI62" s="354">
        <f>CHOOSE(Table1[[#This Row],[Mode Digit]], (Table1[[#This Row],[Vin]]*Table1[[#This Row],[Iout]]/2)*(Fsw)*(Tr_buck+Tf_buck), 0, (Table1[[#This Row],[Vin]]*Table1[[#This Row],[Avg IL]]/2)*(Fsw/1)*(Tr_buck+Tf_buck))</f>
        <v>3.2628813788644178</v>
      </c>
      <c r="AJ62">
        <f>IF(Table1[[#This Row],[Vin]]&gt;Vout, IF(Table1[[#This Row],[Iout]]&gt;Table1[[#This Row],[Ripple Current pk-pk]]/2,0,ABS(Table1[[#This Row],[Iout]]-Table1[[#This Row],[Ripple Current pk-pk]]/2)*Vsd_Q1*Deadtime*Fsw),0)</f>
        <v>0</v>
      </c>
      <c r="AK62" s="354">
        <f>(Table1[[#This Row],[Dead Time Loss BuCtrl]]+Table1[[#This Row],[Transition Loss BuCtrl]]+Table1[[#This Row],[RDS(on) Loss BuCtrl]]*(1+RdsonTopTc*Ta-RdsonTopTc*25))/(1-Table1[[#This Row],[RDS(on) Loss BuCtrl]]*RdsonTopTc*ThetaJA_Q1)</f>
        <v>3.8988448958900173</v>
      </c>
      <c r="AL62" s="354">
        <f>CHOOSE(Table1[[#This Row],[Mode Digit]],SQRT((Fsw*(Table1[[#This Row],[t2_Ph_I]]+0))*((Table1[[#This Row],[I_0]]*Table1[[#This Row],[I_1]]+((Table1[[#This Row],[I_0]]-Table1[[#This Row],[I_1]])^2)/3))),0,SQRT((Fsw*(Table1[[#This Row],[t3_Ph_III]]+0))*((Table1[[#This Row],[I_0]]*Table1[[#This Row],[I_2]]+((Table1[[#This Row],[I_0]]-Table1[[#This Row],[I_2]])^2)/3))))</f>
        <v>8.2068354625638076</v>
      </c>
      <c r="AM62" s="354">
        <f>Rdson2*Table1[[#This Row],[Irms BuSync]]^2</f>
        <v>0.28287902290029865</v>
      </c>
      <c r="AN6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62" s="354">
        <f>(Table1[[#This Row],[Deadtime Loss BuSync]]+Table1[[#This Row],[RDS(on) Loss BuSync]]*(1+RdsonBotTc*Ta-RdsonBotTc*25))/(1-Table1[[#This Row],[RDS(on) Loss BuSync]]*RdsonBotTc*ThetaJA_Q2)</f>
        <v>0.92290753509277534</v>
      </c>
      <c r="AP62" s="354">
        <f>CHOOSE(Table1[[#This Row],[Mode Digit]],0,SQRT((Fsw*(Table1[[#This Row],[t1_Ph_II]]+0))*((Table1[[#This Row],[I_0]]*Table1[[#This Row],[I_1]]+((Table1[[#This Row],[I_0]]-Table1[[#This Row],[I_1]])^2)/3))),SQRT((Fsw*(Table1[[#This Row],[t2_Ph_I]]+0))*((Table1[[#This Row],[I_1]]*Table1[[#This Row],[I_2]]+((Table1[[#This Row],[I_1]]-Table1[[#This Row],[I_2]])^2)/3))))</f>
        <v>0</v>
      </c>
      <c r="AQ62" s="354">
        <f>Rdson4*Table1[[#This Row],[Irms BoCtlr]]^2</f>
        <v>0</v>
      </c>
      <c r="AR62" s="354">
        <f>CHOOSE(Table1[[#This Row],[Mode Digit]], 0, (Vout*Table1[[#This Row],[Iin]]/2)*(Fsw)*(Tr_boost+Tf_boost), (Vout*Iout/2)*(Fsw/1)*(Tr_boost+Tf_boost))</f>
        <v>0</v>
      </c>
      <c r="AS62">
        <f>IF(Table1[[#This Row],[Vin]]&gt;Vout, 0, IF(Table1[[#This Row],[Iin]]&gt;Table1[[#This Row],[Ripple Current pk-pk]]/2,0,ABS(Table1[[#This Row],[Iin]]-Table1[[#This Row],[Ripple Current pk-pk]]/2)*Vsd_Q4*Deadtime*Fsw))</f>
        <v>0</v>
      </c>
      <c r="AT62" s="354">
        <f>(Table1[[#This Row],[Dead Time Loss BoCtlr]]+Table1[[#This Row],[Transition Loss BoCtlr]]+Table1[[#This Row],[RDS(on) Loss BoCtlr]]*(1+RdsonTopTc*Ta-RdsonTopTc*25))/(1-Table1[[#This Row],[RDS(on) Loss BoCtlr]]*RdsonTopTc*ThetaJA_Q4)</f>
        <v>0</v>
      </c>
      <c r="AU6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12.065492119531909</v>
      </c>
      <c r="AV62" s="354">
        <f>Rdson3*Table1[[#This Row],[Irms BoSync]]^2</f>
        <v>0.61141962036324371</v>
      </c>
      <c r="AW6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62" s="354">
        <f>(Table1[[#This Row],[Deadtime Loss BoSync]]+Table1[[#This Row],[RDS(on) Loss BoSync]]*(1+RdsonBotTc*Ta-RdsonBotTc*25))/(1-Table1[[#This Row],[RDS(on) Loss BoSync]]*RdsonBotTc*ThetaJA_Q3)</f>
        <v>0.71656954308206799</v>
      </c>
      <c r="AY62" s="354">
        <f>CHOOSE(Table1[[#This Row],[Mode Digit]], Rdson3*Table1[[#This Row],[Irms Lf]]^2, Rdson1*Table1[[#This Row],[Irms Lf]]^2, 0)</f>
        <v>0.61141962036324371</v>
      </c>
      <c r="AZ62" s="354">
        <f>CHOOSE(Table1[[#This Row],[Mode Digit]], 2*Deadtime*Fsw*IF(VfdSky_Q2&gt;0,VfdSky_Q2,0)*Table1[[#This Row],[Iout]], 2*Deadtime*Fsw*IF(VfdSky_Q3&gt;0,VfdSky_Q3,0)*Table1[[#This Row],[Iin]], 2*Deadtime*Fsw*IF(VfdSky_Q2&gt;0,VfdSky_Q2,0)*Table1[[#This Row],[Iout]]+2*Deadtime*Fsw*IF(VfdSky_Q3&gt;0,VfdSky_Q3,0)*Table1[[#This Row],[Iin]])</f>
        <v>0</v>
      </c>
      <c r="BA62" s="354">
        <f>CHOOSE(Table1[[#This Row],[Mode Digit]], IF(QrrSky_Q2&gt;0,QrrSky_Q2,Qrr_Q2)*Fsw*(Table1[[#This Row],[Vin]]-Table1[[#This Row],[Iout]]*Rdson1),0,  IF(QrrSky_Q2&gt;0,QrrSky_Q2,Qrr_Q2)*Fsw*(Table1[[#This Row],[Vin]]-Table1[[#This Row],[Iout]]*Rdson1)+IF(QrrSky_Q3&gt;0,QrrSky_Q3,Qrr_Q3)*Fsw*Vout)</f>
        <v>0.32843520000000004</v>
      </c>
      <c r="BB62" s="354">
        <f>CHOOSE(Table1[[#This Row],[Mode Digit]],0, IF(QrrSky_Q3&gt;0,QrrSky_Q3,Qrr_Q3)*Fsw*Vout,  IF(QrrSky_Q2&gt;0,QrrSky_Q2,Qrr_Q2)*Fsw*(Table1[[#This Row],[Vin]]-Table1[[#This Row],[Iout]]*Rdson1)+IF(QrrSky_Q3&gt;0,QrrSky_Q3,Qrr_Q3)*Fsw*Vout)</f>
        <v>0</v>
      </c>
      <c r="BC62" s="354">
        <f>CHOOSE(Table1[[#This Row],[Mode Digit]], Rs*Table1[[#This Row],[Irms BuSync]]^2, Rs*Table1[[#This Row],[Irms BoCtlr]]^2, Rs*(Table1[[#This Row],[Irms BuSync]]^2+Table1[[#This Row],[Irms BoCtlr]]^2))</f>
        <v>0.16838037077398726</v>
      </c>
      <c r="BD62" s="354">
        <f t="shared" si="1"/>
        <v>1.44</v>
      </c>
      <c r="BE62" s="354">
        <f>IF(Vout&gt;8, Iq*Vout, Iq*Table1[[#This Row],[Vin]])</f>
        <v>4.3799999999999999E-2</v>
      </c>
      <c r="BF62" s="354">
        <f>CHOOSE(Table1[[#This Row],[Mode Digit]], (Qg_Q1+Qg_Q2)*Fsw, (Qg_Q3+Qg_Q4)*Fsw, (Qg_Q1+Qg_Q2+Qg_Q3+Qg_Q4)*Fsw)*IF(Vout&gt;8, Vout, Table1[[#This Row],[Vin]])</f>
        <v>0.47303999999999996</v>
      </c>
      <c r="BG62" s="354">
        <f t="shared" si="2"/>
        <v>0.45605042016806729</v>
      </c>
      <c r="BH62" s="354">
        <f>Table1[[#This Row],[IQ Loss]]+Table1[[#This Row],[Switching Current Loss]]</f>
        <v>0.51683999999999997</v>
      </c>
      <c r="BI6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9.9282201579087666</v>
      </c>
      <c r="BJ62">
        <f>Vout*Table1[[#This Row],[Iout]]</f>
        <v>175.2</v>
      </c>
      <c r="BK62" s="550">
        <f>Table1[[#This Row],[Pout]]/(Table1[[#This Row],[Pout]]+Table1[[#This Row],[Total Loss]])</f>
        <v>0.94637111430423582</v>
      </c>
      <c r="BL6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233.93069375340104</v>
      </c>
      <c r="BM62" s="559">
        <f>IF(Table1[[#This Row],[Vin]]&gt;Vout, Table1[[#This Row],[Total Sync Bu MOSFET Loss]]*ThetaJA_Q2, ThetaJA_Q3*Table1[[#This Row],[Total Sync Bo MOSFET Loss]])</f>
        <v>55.374452105566519</v>
      </c>
      <c r="BN62" s="9"/>
      <c r="BO62" s="4">
        <f>Table1[[#This Row],[EFF, h]]*100</f>
        <v>94.637111430423587</v>
      </c>
      <c r="BP62" s="354">
        <f>Table1[[#This Row],[Total Inductor Loss]]</f>
        <v>1.855980022468706</v>
      </c>
      <c r="BQ62" s="354">
        <f>Table1[[#This Row],[Total Control Bu MOSFET Loss]]+Table1[[#This Row],[Total Sync Bu MOSFET Loss]]+Table1[[#This Row],[Total Control Bo MOSFET Loss]]+Table1[[#This Row],[Total Sync Bo MOSFET Loss]]+Table1[[#This Row],[Reverse Recovery Loss MOSFET D BUCK]]+Table1[[#This Row],[Reverse Recovery Loss MOSFET D BOOST]]</f>
        <v>5.866757174064861</v>
      </c>
      <c r="BR62" s="354">
        <f>Table1[[#This Row],[Total Control Bu MOSFET Loss]]+Table1[[#This Row],[Reverse Recovery Loss MOSFET D BUCK]]*0.66</f>
        <v>4.1156121278900173</v>
      </c>
      <c r="BS62" s="354">
        <f>Table1[[#This Row],[Total Sync Bu MOSFET Loss]]+Table1[[#This Row],[Reverse Recovery Loss MOSFET D BUCK]]*0.33</f>
        <v>1.0312911510927754</v>
      </c>
      <c r="BT62" s="354">
        <f xml:space="preserve"> Table1[[#This Row],[Total Control Bo MOSFET Loss]]+Table1[[#This Row],[Reverse Recovery Loss MOSFET D BOOST]]*0.66</f>
        <v>0</v>
      </c>
      <c r="BU62" s="354">
        <f xml:space="preserve"> Table1[[#This Row],[Total Sync Bo MOSFET Loss]]+Table1[[#This Row],[Reverse Recovery Loss MOSFET D BOOST]]*0.33</f>
        <v>0.71656954308206799</v>
      </c>
      <c r="BV62" s="354">
        <f>Table1[[#This Row],[Isense Shunt Loss]]</f>
        <v>0.16838037077398726</v>
      </c>
      <c r="CB62" s="18"/>
      <c r="CC62" s="19"/>
    </row>
    <row r="63" spans="1:83" x14ac:dyDescent="0.2">
      <c r="A63" s="23" t="s">
        <v>120</v>
      </c>
      <c r="B63" s="72">
        <v>2</v>
      </c>
      <c r="C63" s="441" t="s">
        <v>237</v>
      </c>
      <c r="D63" s="21" t="s">
        <v>105</v>
      </c>
      <c r="G63">
        <v>54</v>
      </c>
      <c r="H63" s="555">
        <f>VIN_min+(VIN_max-VIN_min)*(Table1[[#This Row],[Step]]/200)</f>
        <v>27.560000000000002</v>
      </c>
      <c r="I63" s="4" t="str">
        <f>IF(Mode = 2,IF(Table1[[#This Row],[Vin]]&gt;Vout, "BUCK","BOOST"),IF(Table1[[#This Row],[Vin]]&gt;VIN_BB_to_buck, "BUCK", IF(Table1[[#This Row],[Vin]]&lt;=VIN_boost_to_BB,"BOOST","BUCK-BST")))</f>
        <v>BUCK</v>
      </c>
      <c r="J63">
        <f>IF(Table1[[#This Row],[Mode]]="BOOST",2, IF(Table1[[#This Row],[Mode]]="BUCK", 1,3))</f>
        <v>1</v>
      </c>
      <c r="K63">
        <f t="shared" si="0"/>
        <v>12</v>
      </c>
      <c r="L63" s="4">
        <f>Vout*Table1[[#This Row],[Iout]]/(Table1[[#This Row],[Vin]]*Efficiency)</f>
        <v>6.6916201970819635</v>
      </c>
      <c r="M63" s="711">
        <f>MIN(1/Fsw,CHOOSE(Table1[[#This Row],[Mode Digit]],(Vout+(Rdson2+Rs+Rdcr)*Table1[[#This Row],[Iout]])/(Table1[[#This Row],[Vin]]+(Rs+Rdson2-Rdson1)*Table1[[#This Row],[Iout]])/Fsw,(Vout+(Rdson3+Rdcr)*Table1[[#This Row],[Iin]]-Table1[[#This Row],[Vin]])/(Vout+(Rdson3-Rdson4-Rs)*Table1[[#This Row],[Iin]])/Fsw,t1_Ph_II))</f>
        <v>8.910233176271594E-7</v>
      </c>
      <c r="N63" s="602">
        <f>CHOOSE(Table1[[#This Row],[Mode Digit]],1/Fsw-Table1[[#This Row],[t1_Ph_II]],1/Fsw-Table1[[#This Row],[t1_Ph_II]],(Vout/Fsw-Table1[[#This Row],[Vin]]*t1_Ph_II)/(Table1[[#This Row],[Vin]]+Vout))</f>
        <v>7.7564334903950726E-7</v>
      </c>
      <c r="O63" s="602">
        <f>1/Fsw-(Table1[[#This Row],[t1_Ph_II]]+Table1[[#This Row],[t2_Ph_I]])</f>
        <v>0</v>
      </c>
      <c r="P6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9.8129427658242445</v>
      </c>
      <c r="Q63" s="4">
        <f>CHOOSE(Table1[[#This Row],[Mode Digit]],Table1[[#This Row],[I_0]]+1/Lf*(Table1[[#This Row],[Vin]]-Vout)*Table1[[#This Row],[t1_Ph_II]],Table1[[#This Row],[I_0]]+1/Lf*Table1[[#This Row],[Vin]]*Table1[[#This Row],[t1_Ph_II]],Table1[[#This Row],[I_0]]+(Table1[[#This Row],[Vin]]-Vout)/L*Table1[[#This Row],[t1_Ph_II]])</f>
        <v>14.187057234175755</v>
      </c>
      <c r="R63" s="4">
        <f>CHOOSE(Table1[[#This Row],[Mode Digit]],0,0,Table1[[#This Row],[I_1]]+Table1[[#This Row],[Vin]]/L*Table1[[#This Row],[t2_Ph_I]])</f>
        <v>0</v>
      </c>
      <c r="S63" s="4">
        <f>Fsw*(Table1[[#This Row],[I_0]]*Table1[[#This Row],[t1_Ph_II]]+Table1[[#This Row],[I_1]]*Table1[[#This Row],[t2_Ph_I]]+Table1[[#This Row],[I_2]]*Table1[[#This Row],[t3_Ph_III]])</f>
        <v>11.848594443012843</v>
      </c>
      <c r="T63" s="354">
        <f>MIN(1,CHOOSE(Table1[[#This Row],[Mode Digit]],(Vout+(Rdson2+Rs+Rdcr)*Table1[[#This Row],[Iout]])/(Table1[[#This Row],[Vin]]+(Rs+Rdson2-Rdson1)*Table1[[#This Row],[Iout]]),1,Fsw*Table1[[#This Row],[t2_Ph_I]]+Table1[[#This Row],[t1_Ph_II]]))</f>
        <v>0.53461399057629566</v>
      </c>
      <c r="U63" s="354">
        <f>MIN(1,CHOOSE(Table1[[#This Row],[Mode Digit]],0,(Vout+(Rdson3+Rdcr)*Table1[[#This Row],[Iin]]-Table1[[#This Row],[Vin]])/(Vout+(Rdson3-Rdson4-Rs)*Table1[[#This Row],[Iin]]),Fsw*Table1[[#This Row],[t1_Ph_II]]+Table1[[#This Row],[t3_Ph_III]]))</f>
        <v>0</v>
      </c>
      <c r="V63" s="4">
        <f>MAX(Table1[[#This Row],[I_0]:[I_2]])-MIN(Table1[[#This Row],[I_0]:[I_1]])</f>
        <v>4.374114468351511</v>
      </c>
      <c r="W6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12.066250720440056</v>
      </c>
      <c r="X63" s="354">
        <f>(Table1[[#This Row],[Irms Lf]]^2*Rdcr*(1+Ltc*Ta-Ltc*25))/(1-Table1[[#This Row],[Irms Lf]]^2*Rdcr*Ltc*ThetaCa)</f>
        <v>0.90562798455946569</v>
      </c>
      <c r="Y63" s="354">
        <f>ABS(7.759*10^-3*Fsw^0.9458*(0.00787*Table1[[#This Row],[Ripple Current pk-pk]])^2.304)</f>
        <v>0.96320311822659066</v>
      </c>
      <c r="Z63" s="354">
        <f>Table1[[#This Row],[DCR    Loss]]+Table1[[#This Row],[Core Loss]]</f>
        <v>1.8688311027860562</v>
      </c>
      <c r="AA63" s="4">
        <f>IF(Table1[[#This Row],[Vin]]&gt;Vout, Table1[[#This Row],[Ripple Current pk-pk]]/SQRT(12), SQRT(Table1[[#This Row],[Duty Cycle BOOST Leg]]/(1-Table1[[#This Row],[Duty Cycle BOOST Leg]]))*SQRT(Table1[[#This Row],[Iout]]^2+(Table1[[#This Row],[Ripple Current pk-pk]]^2)/12))</f>
        <v>1.2626980828844909</v>
      </c>
      <c r="AB63" s="354">
        <f>RCoutEsr*Table1[[#This Row],[Irms Cout]]^2</f>
        <v>7.9720322426008444E-3</v>
      </c>
      <c r="AC63" s="354">
        <f>Table1[[#This Row],[Cout ESR Loss]]</f>
        <v>7.9720322426008444E-3</v>
      </c>
      <c r="AD63" s="354">
        <f>IF(Table1[[#This Row],[Vin]]&gt;Vout, SQRT(Table1[[#This Row],[Duty Cycle BUCK Leg]]*(1-Table1[[#This Row],[Duty Cycle BUCK Leg]]))*SQRT(Table1[[#This Row],[Iout]]^2+(Table1[[#This Row],[Ripple Current pk-pk]]^2)/12), Table1[[#This Row],[Ripple Current pk-pk]]/SQRT(12))</f>
        <v>6.0186510803578024</v>
      </c>
      <c r="AE63" s="354">
        <f>RCinEsr*Table1[[#This Row],[Irms Cin]]^2</f>
        <v>7.2448321654184286E-2</v>
      </c>
      <c r="AF63" s="549">
        <f>Table1[[#This Row],[Cin ESR Loss]]</f>
        <v>7.2448321654184286E-2</v>
      </c>
      <c r="AG6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8.8225170239014279</v>
      </c>
      <c r="AH63" s="354">
        <f>Rdson1*Table1[[#This Row],[Irms BuCtrl]]^2</f>
        <v>0.32691458787552818</v>
      </c>
      <c r="AI63" s="354">
        <f>CHOOSE(Table1[[#This Row],[Mode Digit]], (Table1[[#This Row],[Vin]]*Table1[[#This Row],[Iout]]/2)*(Fsw)*(Tr_buck+Tf_buck), 0, (Table1[[#This Row],[Vin]]*Table1[[#This Row],[Avg IL]]/2)*(Fsw/1)*(Tr_buck+Tf_buck))</f>
        <v>3.2795408753283501</v>
      </c>
      <c r="AJ63">
        <f>IF(Table1[[#This Row],[Vin]]&gt;Vout, IF(Table1[[#This Row],[Iout]]&gt;Table1[[#This Row],[Ripple Current pk-pk]]/2,0,ABS(Table1[[#This Row],[Iout]]-Table1[[#This Row],[Ripple Current pk-pk]]/2)*Vsd_Q1*Deadtime*Fsw),0)</f>
        <v>0</v>
      </c>
      <c r="AK63" s="354">
        <f>(Table1[[#This Row],[Dead Time Loss BuCtrl]]+Table1[[#This Row],[Transition Loss BuCtrl]]+Table1[[#This Row],[RDS(on) Loss BuCtrl]]*(1+RdsonTopTc*Ta-RdsonTopTc*25))/(1-Table1[[#This Row],[RDS(on) Loss BuCtrl]]*RdsonTopTc*ThetaJA_Q1)</f>
        <v>3.9135072929188652</v>
      </c>
      <c r="AL63" s="354">
        <f>CHOOSE(Table1[[#This Row],[Mode Digit]],SQRT((Fsw*(Table1[[#This Row],[t2_Ph_I]]+0))*((Table1[[#This Row],[I_0]]*Table1[[#This Row],[I_1]]+((Table1[[#This Row],[I_0]]-Table1[[#This Row],[I_1]])^2)/3))),0,SQRT((Fsw*(Table1[[#This Row],[t3_Ph_III]]+0))*((Table1[[#This Row],[I_0]]*Table1[[#This Row],[I_2]]+((Table1[[#This Row],[I_0]]-Table1[[#This Row],[I_2]])^2)/3))))</f>
        <v>8.2315004593020369</v>
      </c>
      <c r="AM63" s="354">
        <f>Rdson2*Table1[[#This Row],[Irms BuSync]]^2</f>
        <v>0.28458191920825654</v>
      </c>
      <c r="AN6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63" s="354">
        <f>(Table1[[#This Row],[Deadtime Loss BuSync]]+Table1[[#This Row],[RDS(on) Loss BuSync]]*(1+RdsonBotTc*Ta-RdsonBotTc*25))/(1-Table1[[#This Row],[RDS(on) Loss BuSync]]*RdsonBotTc*ThetaJA_Q2)</f>
        <v>0.92514010281889936</v>
      </c>
      <c r="AP63" s="354">
        <f>CHOOSE(Table1[[#This Row],[Mode Digit]],0,SQRT((Fsw*(Table1[[#This Row],[t1_Ph_II]]+0))*((Table1[[#This Row],[I_0]]*Table1[[#This Row],[I_1]]+((Table1[[#This Row],[I_0]]-Table1[[#This Row],[I_1]])^2)/3))),SQRT((Fsw*(Table1[[#This Row],[t2_Ph_I]]+0))*((Table1[[#This Row],[I_1]]*Table1[[#This Row],[I_2]]+((Table1[[#This Row],[I_1]]-Table1[[#This Row],[I_2]])^2)/3))))</f>
        <v>0</v>
      </c>
      <c r="AQ63" s="354">
        <f>Rdson4*Table1[[#This Row],[Irms BoCtlr]]^2</f>
        <v>0</v>
      </c>
      <c r="AR63" s="354">
        <f>CHOOSE(Table1[[#This Row],[Mode Digit]], 0, (Vout*Table1[[#This Row],[Iin]]/2)*(Fsw)*(Tr_boost+Tf_boost), (Vout*Iout/2)*(Fsw/1)*(Tr_boost+Tf_boost))</f>
        <v>0</v>
      </c>
      <c r="AS63">
        <f>IF(Table1[[#This Row],[Vin]]&gt;Vout, 0, IF(Table1[[#This Row],[Iin]]&gt;Table1[[#This Row],[Ripple Current pk-pk]]/2,0,ABS(Table1[[#This Row],[Iin]]-Table1[[#This Row],[Ripple Current pk-pk]]/2)*Vsd_Q4*Deadtime*Fsw))</f>
        <v>0</v>
      </c>
      <c r="AT63" s="354">
        <f>(Table1[[#This Row],[Dead Time Loss BoCtlr]]+Table1[[#This Row],[Transition Loss BoCtlr]]+Table1[[#This Row],[RDS(on) Loss BoCtlr]]*(1+RdsonTopTc*Ta-RdsonTopTc*25))/(1-Table1[[#This Row],[RDS(on) Loss BoCtlr]]*RdsonTopTc*ThetaJA_Q4)</f>
        <v>0</v>
      </c>
      <c r="AU6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12.066250720440056</v>
      </c>
      <c r="AV63" s="354">
        <f>Rdson3*Table1[[#This Row],[Irms BoSync]]^2</f>
        <v>0.61149650708378478</v>
      </c>
      <c r="AW6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63" s="354">
        <f>(Table1[[#This Row],[Deadtime Loss BoSync]]+Table1[[#This Row],[RDS(on) Loss BoSync]]*(1+RdsonBotTc*Ta-RdsonBotTc*25))/(1-Table1[[#This Row],[RDS(on) Loss BoSync]]*RdsonBotTc*ThetaJA_Q3)</f>
        <v>0.71667515153424932</v>
      </c>
      <c r="AY63" s="354">
        <f>CHOOSE(Table1[[#This Row],[Mode Digit]], Rdson3*Table1[[#This Row],[Irms Lf]]^2, Rdson1*Table1[[#This Row],[Irms Lf]]^2, 0)</f>
        <v>0.61149650708378478</v>
      </c>
      <c r="AZ63" s="354">
        <f>CHOOSE(Table1[[#This Row],[Mode Digit]], 2*Deadtime*Fsw*IF(VfdSky_Q2&gt;0,VfdSky_Q2,0)*Table1[[#This Row],[Iout]], 2*Deadtime*Fsw*IF(VfdSky_Q3&gt;0,VfdSky_Q3,0)*Table1[[#This Row],[Iin]], 2*Deadtime*Fsw*IF(VfdSky_Q2&gt;0,VfdSky_Q2,0)*Table1[[#This Row],[Iout]]+2*Deadtime*Fsw*IF(VfdSky_Q3&gt;0,VfdSky_Q3,0)*Table1[[#This Row],[Iin]])</f>
        <v>0</v>
      </c>
      <c r="BA63" s="354">
        <f>CHOOSE(Table1[[#This Row],[Mode Digit]], IF(QrrSky_Q2&gt;0,QrrSky_Q2,Qrr_Q2)*Fsw*(Table1[[#This Row],[Vin]]-Table1[[#This Row],[Iout]]*Rdson1),0,  IF(QrrSky_Q2&gt;0,QrrSky_Q2,Qrr_Q2)*Fsw*(Table1[[#This Row],[Vin]]-Table1[[#This Row],[Iout]]*Rdson1)+IF(QrrSky_Q3&gt;0,QrrSky_Q3,Qrr_Q3)*Fsw*Vout)</f>
        <v>0.33011520000000005</v>
      </c>
      <c r="BB63" s="354">
        <f>CHOOSE(Table1[[#This Row],[Mode Digit]],0, IF(QrrSky_Q3&gt;0,QrrSky_Q3,Qrr_Q3)*Fsw*Vout,  IF(QrrSky_Q2&gt;0,QrrSky_Q2,Qrr_Q2)*Fsw*(Table1[[#This Row],[Vin]]-Table1[[#This Row],[Iout]]*Rdson1)+IF(QrrSky_Q3&gt;0,QrrSky_Q3,Qrr_Q3)*Fsw*Vout)</f>
        <v>0</v>
      </c>
      <c r="BC63" s="354">
        <f>CHOOSE(Table1[[#This Row],[Mode Digit]], Rs*Table1[[#This Row],[Irms BuSync]]^2, Rs*Table1[[#This Row],[Irms BoCtlr]]^2, Rs*(Table1[[#This Row],[Irms BuSync]]^2+Table1[[#This Row],[Irms BoCtlr]]^2))</f>
        <v>0.16939399952872411</v>
      </c>
      <c r="BD63" s="354">
        <f t="shared" si="1"/>
        <v>1.44</v>
      </c>
      <c r="BE63" s="354">
        <f>IF(Vout&gt;8, Iq*Vout, Iq*Table1[[#This Row],[Vin]])</f>
        <v>4.3799999999999999E-2</v>
      </c>
      <c r="BF63" s="354">
        <f>CHOOSE(Table1[[#This Row],[Mode Digit]], (Qg_Q1+Qg_Q2)*Fsw, (Qg_Q3+Qg_Q4)*Fsw, (Qg_Q1+Qg_Q2+Qg_Q3+Qg_Q4)*Fsw)*IF(Vout&gt;8, Vout, Table1[[#This Row],[Vin]])</f>
        <v>0.47303999999999996</v>
      </c>
      <c r="BG63" s="354">
        <f t="shared" si="2"/>
        <v>0.45605042016806729</v>
      </c>
      <c r="BH63" s="354">
        <f>Table1[[#This Row],[IQ Loss]]+Table1[[#This Row],[Switching Current Loss]]</f>
        <v>0.51683999999999997</v>
      </c>
      <c r="BI6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9.9609232034835777</v>
      </c>
      <c r="BJ63">
        <f>Vout*Table1[[#This Row],[Iout]]</f>
        <v>175.2</v>
      </c>
      <c r="BK63" s="550">
        <f>Table1[[#This Row],[Pout]]/(Table1[[#This Row],[Pout]]+Table1[[#This Row],[Total Loss]])</f>
        <v>0.94620396662995154</v>
      </c>
      <c r="BL6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234.81043757513191</v>
      </c>
      <c r="BM63" s="559">
        <f>IF(Table1[[#This Row],[Vin]]&gt;Vout, Table1[[#This Row],[Total Sync Bu MOSFET Loss]]*ThetaJA_Q2, ThetaJA_Q3*Table1[[#This Row],[Total Sync Bo MOSFET Loss]])</f>
        <v>55.508406169133963</v>
      </c>
      <c r="BN63" s="9"/>
      <c r="BO63" s="4">
        <f>Table1[[#This Row],[EFF, h]]*100</f>
        <v>94.620396662995148</v>
      </c>
      <c r="BP63" s="354">
        <f>Table1[[#This Row],[Total Inductor Loss]]</f>
        <v>1.8688311027860562</v>
      </c>
      <c r="BQ63" s="354">
        <f>Table1[[#This Row],[Total Control Bu MOSFET Loss]]+Table1[[#This Row],[Total Sync Bu MOSFET Loss]]+Table1[[#This Row],[Total Control Bo MOSFET Loss]]+Table1[[#This Row],[Total Sync Bo MOSFET Loss]]+Table1[[#This Row],[Reverse Recovery Loss MOSFET D BUCK]]+Table1[[#This Row],[Reverse Recovery Loss MOSFET D BOOST]]</f>
        <v>5.8854377472720136</v>
      </c>
      <c r="BR63" s="354">
        <f>Table1[[#This Row],[Total Control Bu MOSFET Loss]]+Table1[[#This Row],[Reverse Recovery Loss MOSFET D BUCK]]*0.66</f>
        <v>4.1313833249188656</v>
      </c>
      <c r="BS63" s="354">
        <f>Table1[[#This Row],[Total Sync Bu MOSFET Loss]]+Table1[[#This Row],[Reverse Recovery Loss MOSFET D BUCK]]*0.33</f>
        <v>1.0340781188188994</v>
      </c>
      <c r="BT63" s="354">
        <f xml:space="preserve"> Table1[[#This Row],[Total Control Bo MOSFET Loss]]+Table1[[#This Row],[Reverse Recovery Loss MOSFET D BOOST]]*0.66</f>
        <v>0</v>
      </c>
      <c r="BU63" s="354">
        <f xml:space="preserve"> Table1[[#This Row],[Total Sync Bo MOSFET Loss]]+Table1[[#This Row],[Reverse Recovery Loss MOSFET D BOOST]]*0.33</f>
        <v>0.71667515153424932</v>
      </c>
      <c r="BV63" s="354">
        <f>Table1[[#This Row],[Isense Shunt Loss]]</f>
        <v>0.16939399952872411</v>
      </c>
      <c r="CB63" s="18"/>
      <c r="CC63" s="19"/>
    </row>
    <row r="64" spans="1:83" x14ac:dyDescent="0.2">
      <c r="A64" s="73"/>
      <c r="B64" s="30"/>
      <c r="G64">
        <v>55</v>
      </c>
      <c r="H64" s="555">
        <f>VIN_min+(VIN_max-VIN_min)*(Table1[[#This Row],[Step]]/200)</f>
        <v>27.700000000000003</v>
      </c>
      <c r="I64" s="4" t="str">
        <f>IF(Mode = 2,IF(Table1[[#This Row],[Vin]]&gt;Vout, "BUCK","BOOST"),IF(Table1[[#This Row],[Vin]]&gt;VIN_BB_to_buck, "BUCK", IF(Table1[[#This Row],[Vin]]&lt;=VIN_boost_to_BB,"BOOST","BUCK-BST")))</f>
        <v>BUCK</v>
      </c>
      <c r="J64">
        <f>IF(Table1[[#This Row],[Mode]]="BOOST",2, IF(Table1[[#This Row],[Mode]]="BUCK", 1,3))</f>
        <v>1</v>
      </c>
      <c r="K64">
        <f t="shared" si="0"/>
        <v>12</v>
      </c>
      <c r="L64" s="4">
        <f>Vout*Table1[[#This Row],[Iout]]/(Table1[[#This Row],[Vin]]*Efficiency)</f>
        <v>6.657799733992019</v>
      </c>
      <c r="M64" s="711">
        <f>MIN(1/Fsw,CHOOSE(Table1[[#This Row],[Mode Digit]],(Vout+(Rdson2+Rs+Rdcr)*Table1[[#This Row],[Iout]])/(Table1[[#This Row],[Vin]]+(Rs+Rdson2-Rdson1)*Table1[[#This Row],[Iout]])/Fsw,(Vout+(Rdson3+Rdcr)*Table1[[#This Row],[Iin]]-Table1[[#This Row],[Vin]])/(Vout+(Rdson3-Rdson4-Rs)*Table1[[#This Row],[Iin]])/Fsw,t1_Ph_II))</f>
        <v>8.8652482269503526E-7</v>
      </c>
      <c r="N64" s="602">
        <f>CHOOSE(Table1[[#This Row],[Mode Digit]],1/Fsw-Table1[[#This Row],[t1_Ph_II]],1/Fsw-Table1[[#This Row],[t1_Ph_II]],(Vout/Fsw-Table1[[#This Row],[Vin]]*t1_Ph_II)/(Table1[[#This Row],[Vin]]+Vout))</f>
        <v>7.801418439716314E-7</v>
      </c>
      <c r="O64" s="602">
        <f>1/Fsw-(Table1[[#This Row],[t1_Ph_II]]+Table1[[#This Row],[t2_Ph_I]])</f>
        <v>0</v>
      </c>
      <c r="P6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9.800478186116484</v>
      </c>
      <c r="Q64" s="4">
        <f>CHOOSE(Table1[[#This Row],[Mode Digit]],Table1[[#This Row],[I_0]]+1/Lf*(Table1[[#This Row],[Vin]]-Vout)*Table1[[#This Row],[t1_Ph_II]],Table1[[#This Row],[I_0]]+1/Lf*Table1[[#This Row],[Vin]]*Table1[[#This Row],[t1_Ph_II]],Table1[[#This Row],[I_0]]+(Table1[[#This Row],[Vin]]-Vout)/L*Table1[[#This Row],[t1_Ph_II]])</f>
        <v>14.199521813883516</v>
      </c>
      <c r="R64" s="4">
        <f>CHOOSE(Table1[[#This Row],[Mode Digit]],0,0,Table1[[#This Row],[I_1]]+Table1[[#This Row],[Vin]]/L*Table1[[#This Row],[t2_Ph_I]])</f>
        <v>0</v>
      </c>
      <c r="S64" s="4">
        <f>Fsw*(Table1[[#This Row],[I_0]]*Table1[[#This Row],[t1_Ph_II]]+Table1[[#This Row],[I_1]]*Table1[[#This Row],[t2_Ph_I]]+Table1[[#This Row],[I_2]]*Table1[[#This Row],[t3_Ph_III]])</f>
        <v>11.859604990603181</v>
      </c>
      <c r="T64" s="354">
        <f>MIN(1,CHOOSE(Table1[[#This Row],[Mode Digit]],(Vout+(Rdson2+Rs+Rdcr)*Table1[[#This Row],[Iout]])/(Table1[[#This Row],[Vin]]+(Rs+Rdson2-Rdson1)*Table1[[#This Row],[Iout]]),1,Fsw*Table1[[#This Row],[t2_Ph_I]]+Table1[[#This Row],[t1_Ph_II]]))</f>
        <v>0.53191489361702116</v>
      </c>
      <c r="U64" s="354">
        <f>MIN(1,CHOOSE(Table1[[#This Row],[Mode Digit]],0,(Vout+(Rdson3+Rdcr)*Table1[[#This Row],[Iin]]-Table1[[#This Row],[Vin]])/(Vout+(Rdson3-Rdson4-Rs)*Table1[[#This Row],[Iin]]),Fsw*Table1[[#This Row],[t1_Ph_II]]+Table1[[#This Row],[t3_Ph_III]]))</f>
        <v>0</v>
      </c>
      <c r="V64" s="4">
        <f>MAX(Table1[[#This Row],[I_0]:[I_2]])-MIN(Table1[[#This Row],[I_0]:[I_1]])</f>
        <v>4.3990436277670319</v>
      </c>
      <c r="W6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12.067005928146239</v>
      </c>
      <c r="X64" s="354">
        <f>(Table1[[#This Row],[Irms Lf]]^2*Rdcr*(1+Ltc*Ta-Ltc*25))/(1-Table1[[#This Row],[Irms Lf]]^2*Rdcr*Ltc*ThetaCa)</f>
        <v>0.90574956636183279</v>
      </c>
      <c r="Y64" s="354">
        <f>ABS(7.759*10^-3*Fsw^0.9458*(0.00787*Table1[[#This Row],[Ripple Current pk-pk]])^2.304)</f>
        <v>0.97589802689736338</v>
      </c>
      <c r="Z64" s="354">
        <f>Table1[[#This Row],[DCR    Loss]]+Table1[[#This Row],[Core Loss]]</f>
        <v>1.8816475932591961</v>
      </c>
      <c r="AA64" s="4">
        <f>IF(Table1[[#This Row],[Vin]]&gt;Vout, Table1[[#This Row],[Ripple Current pk-pk]]/SQRT(12), SQRT(Table1[[#This Row],[Duty Cycle BOOST Leg]]/(1-Table1[[#This Row],[Duty Cycle BOOST Leg]]))*SQRT(Table1[[#This Row],[Iout]]^2+(Table1[[#This Row],[Ripple Current pk-pk]]^2)/12))</f>
        <v>1.269894511334102</v>
      </c>
      <c r="AB64" s="354">
        <f>RCoutEsr*Table1[[#This Row],[Irms Cout]]^2</f>
        <v>8.0631603495823888E-3</v>
      </c>
      <c r="AC64" s="354">
        <f>Table1[[#This Row],[Cout ESR Loss]]</f>
        <v>8.0631603495823888E-3</v>
      </c>
      <c r="AD64" s="354">
        <f>IF(Table1[[#This Row],[Vin]]&gt;Vout, SQRT(Table1[[#This Row],[Duty Cycle BUCK Leg]]*(1-Table1[[#This Row],[Duty Cycle BUCK Leg]]))*SQRT(Table1[[#This Row],[Iout]]^2+(Table1[[#This Row],[Ripple Current pk-pk]]^2)/12), Table1[[#This Row],[Ripple Current pk-pk]]/SQRT(12))</f>
        <v>6.0211994446021135</v>
      </c>
      <c r="AE64" s="354">
        <f>RCinEsr*Table1[[#This Row],[Irms Cin]]^2</f>
        <v>7.2509685503353599E-2</v>
      </c>
      <c r="AF64" s="549">
        <f>Table1[[#This Row],[Cin ESR Loss]]</f>
        <v>7.2509685503353599E-2</v>
      </c>
      <c r="AG6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8.8007685855704718</v>
      </c>
      <c r="AH64" s="354">
        <f>Rdson1*Table1[[#This Row],[Irms BuCtrl]]^2</f>
        <v>0.32530481632640917</v>
      </c>
      <c r="AI64" s="354">
        <f>CHOOSE(Table1[[#This Row],[Mode Digit]], (Table1[[#This Row],[Vin]]*Table1[[#This Row],[Iout]]/2)*(Fsw)*(Tr_buck+Tf_buck), 0, (Table1[[#This Row],[Vin]]*Table1[[#This Row],[Avg IL]]/2)*(Fsw/1)*(Tr_buck+Tf_buck))</f>
        <v>3.2962003717922825</v>
      </c>
      <c r="AJ64">
        <f>IF(Table1[[#This Row],[Vin]]&gt;Vout, IF(Table1[[#This Row],[Iout]]&gt;Table1[[#This Row],[Ripple Current pk-pk]]/2,0,ABS(Table1[[#This Row],[Iout]]-Table1[[#This Row],[Ripple Current pk-pk]]/2)*Vsd_Q1*Deadtime*Fsw),0)</f>
        <v>0</v>
      </c>
      <c r="AK64" s="354">
        <f>(Table1[[#This Row],[Dead Time Loss BuCtrl]]+Table1[[#This Row],[Transition Loss BuCtrl]]+Table1[[#This Row],[RDS(on) Loss BuCtrl]]*(1+RdsonTopTc*Ta-RdsonTopTc*25))/(1-Table1[[#This Row],[RDS(on) Loss BuCtrl]]*RdsonTopTc*ThetaJA_Q1)</f>
        <v>3.9281914952005765</v>
      </c>
      <c r="AL64" s="354">
        <f>CHOOSE(Table1[[#This Row],[Mode Digit]],SQRT((Fsw*(Table1[[#This Row],[t2_Ph_I]]+0))*((Table1[[#This Row],[I_0]]*Table1[[#This Row],[I_1]]+((Table1[[#This Row],[I_0]]-Table1[[#This Row],[I_1]])^2)/3))),0,SQRT((Fsw*(Table1[[#This Row],[t3_Ph_III]]+0))*((Table1[[#This Row],[I_0]]*Table1[[#This Row],[I_2]]+((Table1[[#This Row],[I_0]]-Table1[[#This Row],[I_2]])^2)/3))))</f>
        <v>8.2558527344637405</v>
      </c>
      <c r="AM64" s="354">
        <f>Rdson2*Table1[[#This Row],[Irms BuSync]]^2</f>
        <v>0.28626823836724019</v>
      </c>
      <c r="AN6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64" s="354">
        <f>(Table1[[#This Row],[Deadtime Loss BuSync]]+Table1[[#This Row],[RDS(on) Loss BuSync]]*(1+RdsonBotTc*Ta-RdsonBotTc*25))/(1-Table1[[#This Row],[RDS(on) Loss BuSync]]*RdsonBotTc*ThetaJA_Q2)</f>
        <v>0.92735286820056895</v>
      </c>
      <c r="AP64" s="354">
        <f>CHOOSE(Table1[[#This Row],[Mode Digit]],0,SQRT((Fsw*(Table1[[#This Row],[t1_Ph_II]]+0))*((Table1[[#This Row],[I_0]]*Table1[[#This Row],[I_1]]+((Table1[[#This Row],[I_0]]-Table1[[#This Row],[I_1]])^2)/3))),SQRT((Fsw*(Table1[[#This Row],[t2_Ph_I]]+0))*((Table1[[#This Row],[I_1]]*Table1[[#This Row],[I_2]]+((Table1[[#This Row],[I_1]]-Table1[[#This Row],[I_2]])^2)/3))))</f>
        <v>0</v>
      </c>
      <c r="AQ64" s="354">
        <f>Rdson4*Table1[[#This Row],[Irms BoCtlr]]^2</f>
        <v>0</v>
      </c>
      <c r="AR64" s="354">
        <f>CHOOSE(Table1[[#This Row],[Mode Digit]], 0, (Vout*Table1[[#This Row],[Iin]]/2)*(Fsw)*(Tr_boost+Tf_boost), (Vout*Iout/2)*(Fsw/1)*(Tr_boost+Tf_boost))</f>
        <v>0</v>
      </c>
      <c r="AS64">
        <f>IF(Table1[[#This Row],[Vin]]&gt;Vout, 0, IF(Table1[[#This Row],[Iin]]&gt;Table1[[#This Row],[Ripple Current pk-pk]]/2,0,ABS(Table1[[#This Row],[Iin]]-Table1[[#This Row],[Ripple Current pk-pk]]/2)*Vsd_Q4*Deadtime*Fsw))</f>
        <v>0</v>
      </c>
      <c r="AT64" s="354">
        <f>(Table1[[#This Row],[Dead Time Loss BoCtlr]]+Table1[[#This Row],[Transition Loss BoCtlr]]+Table1[[#This Row],[RDS(on) Loss BoCtlr]]*(1+RdsonTopTc*Ta-RdsonTopTc*25))/(1-Table1[[#This Row],[RDS(on) Loss BoCtlr]]*RdsonTopTc*ThetaJA_Q4)</f>
        <v>0</v>
      </c>
      <c r="AU6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12.067005928146239</v>
      </c>
      <c r="AV64" s="354">
        <f>Rdson3*Table1[[#This Row],[Irms BoSync]]^2</f>
        <v>0.61157305469364931</v>
      </c>
      <c r="AW6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64" s="354">
        <f>(Table1[[#This Row],[Deadtime Loss BoSync]]+Table1[[#This Row],[RDS(on) Loss BoSync]]*(1+RdsonBotTc*Ta-RdsonBotTc*25))/(1-Table1[[#This Row],[RDS(on) Loss BoSync]]*RdsonBotTc*ThetaJA_Q3)</f>
        <v>0.71678029873573956</v>
      </c>
      <c r="AY64" s="354">
        <f>CHOOSE(Table1[[#This Row],[Mode Digit]], Rdson3*Table1[[#This Row],[Irms Lf]]^2, Rdson1*Table1[[#This Row],[Irms Lf]]^2, 0)</f>
        <v>0.61157305469364931</v>
      </c>
      <c r="AZ64" s="354">
        <f>CHOOSE(Table1[[#This Row],[Mode Digit]], 2*Deadtime*Fsw*IF(VfdSky_Q2&gt;0,VfdSky_Q2,0)*Table1[[#This Row],[Iout]], 2*Deadtime*Fsw*IF(VfdSky_Q3&gt;0,VfdSky_Q3,0)*Table1[[#This Row],[Iin]], 2*Deadtime*Fsw*IF(VfdSky_Q2&gt;0,VfdSky_Q2,0)*Table1[[#This Row],[Iout]]+2*Deadtime*Fsw*IF(VfdSky_Q3&gt;0,VfdSky_Q3,0)*Table1[[#This Row],[Iin]])</f>
        <v>0</v>
      </c>
      <c r="BA64" s="354">
        <f>CHOOSE(Table1[[#This Row],[Mode Digit]], IF(QrrSky_Q2&gt;0,QrrSky_Q2,Qrr_Q2)*Fsw*(Table1[[#This Row],[Vin]]-Table1[[#This Row],[Iout]]*Rdson1),0,  IF(QrrSky_Q2&gt;0,QrrSky_Q2,Qrr_Q2)*Fsw*(Table1[[#This Row],[Vin]]-Table1[[#This Row],[Iout]]*Rdson1)+IF(QrrSky_Q3&gt;0,QrrSky_Q3,Qrr_Q3)*Fsw*Vout)</f>
        <v>0.33179520000000007</v>
      </c>
      <c r="BB64" s="354">
        <f>CHOOSE(Table1[[#This Row],[Mode Digit]],0, IF(QrrSky_Q3&gt;0,QrrSky_Q3,Qrr_Q3)*Fsw*Vout,  IF(QrrSky_Q2&gt;0,QrrSky_Q2,Qrr_Q2)*Fsw*(Table1[[#This Row],[Vin]]-Table1[[#This Row],[Iout]]*Rdson1)+IF(QrrSky_Q3&gt;0,QrrSky_Q3,Qrr_Q3)*Fsw*Vout)</f>
        <v>0</v>
      </c>
      <c r="BC64" s="354">
        <f>CHOOSE(Table1[[#This Row],[Mode Digit]], Rs*Table1[[#This Row],[Irms BuSync]]^2, Rs*Table1[[#This Row],[Irms BoCtlr]]^2, Rs*(Table1[[#This Row],[Irms BuSync]]^2+Table1[[#This Row],[Irms BoCtlr]]^2))</f>
        <v>0.17039776093288103</v>
      </c>
      <c r="BD64" s="354">
        <f t="shared" si="1"/>
        <v>1.44</v>
      </c>
      <c r="BE64" s="354">
        <f>IF(Vout&gt;8, Iq*Vout, Iq*Table1[[#This Row],[Vin]])</f>
        <v>4.3799999999999999E-2</v>
      </c>
      <c r="BF64" s="354">
        <f>CHOOSE(Table1[[#This Row],[Mode Digit]], (Qg_Q1+Qg_Q2)*Fsw, (Qg_Q3+Qg_Q4)*Fsw, (Qg_Q1+Qg_Q2+Qg_Q3+Qg_Q4)*Fsw)*IF(Vout&gt;8, Vout, Table1[[#This Row],[Vin]])</f>
        <v>0.47303999999999996</v>
      </c>
      <c r="BG64" s="354">
        <f t="shared" si="2"/>
        <v>0.45605042016806729</v>
      </c>
      <c r="BH64" s="354">
        <f>Table1[[#This Row],[IQ Loss]]+Table1[[#This Row],[Switching Current Loss]]</f>
        <v>0.51683999999999997</v>
      </c>
      <c r="BI6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9.9935780621818964</v>
      </c>
      <c r="BJ64">
        <f>Vout*Table1[[#This Row],[Iout]]</f>
        <v>175.2</v>
      </c>
      <c r="BK64" s="550">
        <f>Table1[[#This Row],[Pout]]/(Table1[[#This Row],[Pout]]+Table1[[#This Row],[Total Loss]])</f>
        <v>0.94603712414462682</v>
      </c>
      <c r="BL6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235.69148971203458</v>
      </c>
      <c r="BM64" s="559">
        <f>IF(Table1[[#This Row],[Vin]]&gt;Vout, Table1[[#This Row],[Total Sync Bu MOSFET Loss]]*ThetaJA_Q2, ThetaJA_Q3*Table1[[#This Row],[Total Sync Bo MOSFET Loss]])</f>
        <v>55.641172092034139</v>
      </c>
      <c r="BN64" s="9"/>
      <c r="BO64" s="4">
        <f>Table1[[#This Row],[EFF, h]]*100</f>
        <v>94.603712414462677</v>
      </c>
      <c r="BP64" s="354">
        <f>Table1[[#This Row],[Total Inductor Loss]]</f>
        <v>1.8816475932591961</v>
      </c>
      <c r="BQ64" s="354">
        <f>Table1[[#This Row],[Total Control Bu MOSFET Loss]]+Table1[[#This Row],[Total Sync Bu MOSFET Loss]]+Table1[[#This Row],[Total Control Bo MOSFET Loss]]+Table1[[#This Row],[Total Sync Bo MOSFET Loss]]+Table1[[#This Row],[Reverse Recovery Loss MOSFET D BUCK]]+Table1[[#This Row],[Reverse Recovery Loss MOSFET D BOOST]]</f>
        <v>5.9041198621368851</v>
      </c>
      <c r="BR64" s="354">
        <f>Table1[[#This Row],[Total Control Bu MOSFET Loss]]+Table1[[#This Row],[Reverse Recovery Loss MOSFET D BUCK]]*0.66</f>
        <v>4.1471763272005768</v>
      </c>
      <c r="BS64" s="354">
        <f>Table1[[#This Row],[Total Sync Bu MOSFET Loss]]+Table1[[#This Row],[Reverse Recovery Loss MOSFET D BUCK]]*0.33</f>
        <v>1.0368452842005689</v>
      </c>
      <c r="BT64" s="354">
        <f xml:space="preserve"> Table1[[#This Row],[Total Control Bo MOSFET Loss]]+Table1[[#This Row],[Reverse Recovery Loss MOSFET D BOOST]]*0.66</f>
        <v>0</v>
      </c>
      <c r="BU64" s="354">
        <f xml:space="preserve"> Table1[[#This Row],[Total Sync Bo MOSFET Loss]]+Table1[[#This Row],[Reverse Recovery Loss MOSFET D BOOST]]*0.33</f>
        <v>0.71678029873573956</v>
      </c>
      <c r="BV64" s="354">
        <f>Table1[[#This Row],[Isense Shunt Loss]]</f>
        <v>0.17039776093288103</v>
      </c>
      <c r="CB64" s="18"/>
      <c r="CC64" s="19"/>
    </row>
    <row r="65" spans="1:81" x14ac:dyDescent="0.2">
      <c r="G65">
        <v>56</v>
      </c>
      <c r="H65" s="555">
        <f>VIN_min+(VIN_max-VIN_min)*(Table1[[#This Row],[Step]]/200)</f>
        <v>27.84</v>
      </c>
      <c r="I65" s="4" t="str">
        <f>IF(Mode = 2,IF(Table1[[#This Row],[Vin]]&gt;Vout, "BUCK","BOOST"),IF(Table1[[#This Row],[Vin]]&gt;VIN_BB_to_buck, "BUCK", IF(Table1[[#This Row],[Vin]]&lt;=VIN_boost_to_BB,"BOOST","BUCK-BST")))</f>
        <v>BUCK</v>
      </c>
      <c r="J65">
        <f>IF(Table1[[#This Row],[Mode]]="BOOST",2, IF(Table1[[#This Row],[Mode]]="BUCK", 1,3))</f>
        <v>1</v>
      </c>
      <c r="K65">
        <f t="shared" si="0"/>
        <v>12</v>
      </c>
      <c r="L65" s="4">
        <f>Vout*Table1[[#This Row],[Iout]]/(Table1[[#This Row],[Vin]]*Efficiency)</f>
        <v>6.6243194192377493</v>
      </c>
      <c r="M65" s="711">
        <f>MIN(1/Fsw,CHOOSE(Table1[[#This Row],[Mode Digit]],(Vout+(Rdson2+Rs+Rdcr)*Table1[[#This Row],[Iout]])/(Table1[[#This Row],[Vin]]+(Rs+Rdson2-Rdson1)*Table1[[#This Row],[Iout]])/Fsw,(Vout+(Rdson3+Rdcr)*Table1[[#This Row],[Iin]]-Table1[[#This Row],[Vin]])/(Vout+(Rdson3-Rdson4-Rs)*Table1[[#This Row],[Iin]])/Fsw,t1_Ph_II))</f>
        <v>8.8207152254515011E-7</v>
      </c>
      <c r="N65" s="602">
        <f>CHOOSE(Table1[[#This Row],[Mode Digit]],1/Fsw-Table1[[#This Row],[t1_Ph_II]],1/Fsw-Table1[[#This Row],[t1_Ph_II]],(Vout/Fsw-Table1[[#This Row],[Vin]]*t1_Ph_II)/(Table1[[#This Row],[Vin]]+Vout))</f>
        <v>7.8459514412151655E-7</v>
      </c>
      <c r="O65" s="602">
        <f>1/Fsw-(Table1[[#This Row],[t1_Ph_II]]+Table1[[#This Row],[t2_Ph_I]])</f>
        <v>0</v>
      </c>
      <c r="P6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9.7881388336178432</v>
      </c>
      <c r="Q65" s="4">
        <f>CHOOSE(Table1[[#This Row],[Mode Digit]],Table1[[#This Row],[I_0]]+1/Lf*(Table1[[#This Row],[Vin]]-Vout)*Table1[[#This Row],[t1_Ph_II]],Table1[[#This Row],[I_0]]+1/Lf*Table1[[#This Row],[Vin]]*Table1[[#This Row],[t1_Ph_II]],Table1[[#This Row],[I_0]]+(Table1[[#This Row],[Vin]]-Vout)/L*Table1[[#This Row],[t1_Ph_II]])</f>
        <v>14.211861166382157</v>
      </c>
      <c r="R65" s="4">
        <f>CHOOSE(Table1[[#This Row],[Mode Digit]],0,0,Table1[[#This Row],[I_1]]+Table1[[#This Row],[Vin]]/L*Table1[[#This Row],[t2_Ph_I]])</f>
        <v>0</v>
      </c>
      <c r="S65" s="4">
        <f>Fsw*(Table1[[#This Row],[I_0]]*Table1[[#This Row],[t1_Ph_II]]+Table1[[#This Row],[I_1]]*Table1[[#This Row],[t2_Ph_I]]+Table1[[#This Row],[I_2]]*Table1[[#This Row],[t3_Ph_III]])</f>
        <v>11.870637470355117</v>
      </c>
      <c r="T65" s="354">
        <f>MIN(1,CHOOSE(Table1[[#This Row],[Mode Digit]],(Vout+(Rdson2+Rs+Rdcr)*Table1[[#This Row],[Iout]])/(Table1[[#This Row],[Vin]]+(Rs+Rdson2-Rdson1)*Table1[[#This Row],[Iout]]),1,Fsw*Table1[[#This Row],[t2_Ph_I]]+Table1[[#This Row],[t1_Ph_II]]))</f>
        <v>0.52924291352709008</v>
      </c>
      <c r="U65" s="354">
        <f>MIN(1,CHOOSE(Table1[[#This Row],[Mode Digit]],0,(Vout+(Rdson3+Rdcr)*Table1[[#This Row],[Iin]]-Table1[[#This Row],[Vin]])/(Vout+(Rdson3-Rdson4-Rs)*Table1[[#This Row],[Iin]]),Fsw*Table1[[#This Row],[t1_Ph_II]]+Table1[[#This Row],[t3_Ph_III]]))</f>
        <v>0</v>
      </c>
      <c r="V65" s="4">
        <f>MAX(Table1[[#This Row],[I_0]:[I_2]])-MIN(Table1[[#This Row],[I_0]:[I_1]])</f>
        <v>4.4237223327643136</v>
      </c>
      <c r="W6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12.067757729025297</v>
      </c>
      <c r="X65" s="354">
        <f>(Table1[[#This Row],[Irms Lf]]^2*Rdcr*(1+Ltc*Ta-Ltc*25))/(1-Table1[[#This Row],[Irms Lf]]^2*Rdcr*Ltc*ThetaCa)</f>
        <v>0.90587060944362929</v>
      </c>
      <c r="Y65" s="354">
        <f>ABS(7.759*10^-3*Fsw^0.9458*(0.00787*Table1[[#This Row],[Ripple Current pk-pk]])^2.304)</f>
        <v>0.98855813881642973</v>
      </c>
      <c r="Z65" s="354">
        <f>Table1[[#This Row],[DCR    Loss]]+Table1[[#This Row],[Core Loss]]</f>
        <v>1.894428748260059</v>
      </c>
      <c r="AA65" s="4">
        <f>IF(Table1[[#This Row],[Vin]]&gt;Vout, Table1[[#This Row],[Ripple Current pk-pk]]/SQRT(12), SQRT(Table1[[#This Row],[Duty Cycle BOOST Leg]]/(1-Table1[[#This Row],[Duty Cycle BOOST Leg]]))*SQRT(Table1[[#This Row],[Iout]]^2+(Table1[[#This Row],[Ripple Current pk-pk]]^2)/12))</f>
        <v>1.2770186398208179</v>
      </c>
      <c r="AB65" s="354">
        <f>RCoutEsr*Table1[[#This Row],[Irms Cout]]^2</f>
        <v>8.1538830322490582E-3</v>
      </c>
      <c r="AC65" s="354">
        <f>Table1[[#This Row],[Cout ESR Loss]]</f>
        <v>8.1538830322490582E-3</v>
      </c>
      <c r="AD65" s="354">
        <f>IF(Table1[[#This Row],[Vin]]&gt;Vout, SQRT(Table1[[#This Row],[Duty Cycle BUCK Leg]]*(1-Table1[[#This Row],[Duty Cycle BUCK Leg]]))*SQRT(Table1[[#This Row],[Iout]]^2+(Table1[[#This Row],[Ripple Current pk-pk]]^2)/12), Table1[[#This Row],[Ripple Current pk-pk]]/SQRT(12))</f>
        <v>6.0235503057158208</v>
      </c>
      <c r="AE65" s="354">
        <f>RCinEsr*Table1[[#This Row],[Irms Cin]]^2</f>
        <v>7.2566316570978312E-2</v>
      </c>
      <c r="AF65" s="549">
        <f>Table1[[#This Row],[Cin ESR Loss]]</f>
        <v>7.2566316570978312E-2</v>
      </c>
      <c r="AG6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8.7791831345752378</v>
      </c>
      <c r="AH65" s="354">
        <f>Rdson1*Table1[[#This Row],[Irms BuCtrl]]^2</f>
        <v>0.32371103734372331</v>
      </c>
      <c r="AI65" s="354">
        <f>CHOOSE(Table1[[#This Row],[Mode Digit]], (Table1[[#This Row],[Vin]]*Table1[[#This Row],[Iout]]/2)*(Fsw)*(Tr_buck+Tf_buck), 0, (Table1[[#This Row],[Vin]]*Table1[[#This Row],[Avg IL]]/2)*(Fsw/1)*(Tr_buck+Tf_buck))</f>
        <v>3.312859868256214</v>
      </c>
      <c r="AJ65">
        <f>IF(Table1[[#This Row],[Vin]]&gt;Vout, IF(Table1[[#This Row],[Iout]]&gt;Table1[[#This Row],[Ripple Current pk-pk]]/2,0,ABS(Table1[[#This Row],[Iout]]-Table1[[#This Row],[Ripple Current pk-pk]]/2)*Vsd_Q1*Deadtime*Fsw),0)</f>
        <v>0</v>
      </c>
      <c r="AK65" s="354">
        <f>(Table1[[#This Row],[Dead Time Loss BuCtrl]]+Table1[[#This Row],[Transition Loss BuCtrl]]+Table1[[#This Row],[RDS(on) Loss BuCtrl]]*(1+RdsonTopTc*Ta-RdsonTopTc*25))/(1-Table1[[#This Row],[RDS(on) Loss BuCtrl]]*RdsonTopTc*ThetaJA_Q1)</f>
        <v>3.9428971434683557</v>
      </c>
      <c r="AL65" s="354">
        <f>CHOOSE(Table1[[#This Row],[Mode Digit]],SQRT((Fsw*(Table1[[#This Row],[t2_Ph_I]]+0))*((Table1[[#This Row],[I_0]]*Table1[[#This Row],[I_1]]+((Table1[[#This Row],[I_0]]-Table1[[#This Row],[I_1]])^2)/3))),0,SQRT((Fsw*(Table1[[#This Row],[t3_Ph_III]]+0))*((Table1[[#This Row],[I_0]]*Table1[[#This Row],[I_2]]+((Table1[[#This Row],[I_0]]-Table1[[#This Row],[I_2]])^2)/3))))</f>
        <v>8.2798985559026939</v>
      </c>
      <c r="AM65" s="354">
        <f>Rdson2*Table1[[#This Row],[Irms BuSync]]^2</f>
        <v>0.28793822440336597</v>
      </c>
      <c r="AN6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65" s="354">
        <f>(Table1[[#This Row],[Deadtime Loss BuSync]]+Table1[[#This Row],[RDS(on) Loss BuSync]]*(1+RdsonBotTc*Ta-RdsonBotTc*25))/(1-Table1[[#This Row],[RDS(on) Loss BuSync]]*RdsonBotTc*ThetaJA_Q2)</f>
        <v>0.92954609766161789</v>
      </c>
      <c r="AP65" s="354">
        <f>CHOOSE(Table1[[#This Row],[Mode Digit]],0,SQRT((Fsw*(Table1[[#This Row],[t1_Ph_II]]+0))*((Table1[[#This Row],[I_0]]*Table1[[#This Row],[I_1]]+((Table1[[#This Row],[I_0]]-Table1[[#This Row],[I_1]])^2)/3))),SQRT((Fsw*(Table1[[#This Row],[t2_Ph_I]]+0))*((Table1[[#This Row],[I_1]]*Table1[[#This Row],[I_2]]+((Table1[[#This Row],[I_1]]-Table1[[#This Row],[I_2]])^2)/3))))</f>
        <v>0</v>
      </c>
      <c r="AQ65" s="354">
        <f>Rdson4*Table1[[#This Row],[Irms BoCtlr]]^2</f>
        <v>0</v>
      </c>
      <c r="AR65" s="354">
        <f>CHOOSE(Table1[[#This Row],[Mode Digit]], 0, (Vout*Table1[[#This Row],[Iin]]/2)*(Fsw)*(Tr_boost+Tf_boost), (Vout*Iout/2)*(Fsw/1)*(Tr_boost+Tf_boost))</f>
        <v>0</v>
      </c>
      <c r="AS65">
        <f>IF(Table1[[#This Row],[Vin]]&gt;Vout, 0, IF(Table1[[#This Row],[Iin]]&gt;Table1[[#This Row],[Ripple Current pk-pk]]/2,0,ABS(Table1[[#This Row],[Iin]]-Table1[[#This Row],[Ripple Current pk-pk]]/2)*Vsd_Q4*Deadtime*Fsw))</f>
        <v>0</v>
      </c>
      <c r="AT65" s="354">
        <f>(Table1[[#This Row],[Dead Time Loss BoCtlr]]+Table1[[#This Row],[Transition Loss BoCtlr]]+Table1[[#This Row],[RDS(on) Loss BoCtlr]]*(1+RdsonTopTc*Ta-RdsonTopTc*25))/(1-Table1[[#This Row],[RDS(on) Loss BoCtlr]]*RdsonTopTc*ThetaJA_Q4)</f>
        <v>0</v>
      </c>
      <c r="AU6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12.067757729025297</v>
      </c>
      <c r="AV65" s="354">
        <f>Rdson3*Table1[[#This Row],[Irms BoSync]]^2</f>
        <v>0.61164926174708933</v>
      </c>
      <c r="AW6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65" s="354">
        <f>(Table1[[#This Row],[Deadtime Loss BoSync]]+Table1[[#This Row],[RDS(on) Loss BoSync]]*(1+RdsonBotTc*Ta-RdsonBotTc*25))/(1-Table1[[#This Row],[RDS(on) Loss BoSync]]*RdsonBotTc*ThetaJA_Q3)</f>
        <v>0.71688498264061973</v>
      </c>
      <c r="AY65" s="354">
        <f>CHOOSE(Table1[[#This Row],[Mode Digit]], Rdson3*Table1[[#This Row],[Irms Lf]]^2, Rdson1*Table1[[#This Row],[Irms Lf]]^2, 0)</f>
        <v>0.61164926174708933</v>
      </c>
      <c r="AZ65" s="354">
        <f>CHOOSE(Table1[[#This Row],[Mode Digit]], 2*Deadtime*Fsw*IF(VfdSky_Q2&gt;0,VfdSky_Q2,0)*Table1[[#This Row],[Iout]], 2*Deadtime*Fsw*IF(VfdSky_Q3&gt;0,VfdSky_Q3,0)*Table1[[#This Row],[Iin]], 2*Deadtime*Fsw*IF(VfdSky_Q2&gt;0,VfdSky_Q2,0)*Table1[[#This Row],[Iout]]+2*Deadtime*Fsw*IF(VfdSky_Q3&gt;0,VfdSky_Q3,0)*Table1[[#This Row],[Iin]])</f>
        <v>0</v>
      </c>
      <c r="BA65" s="354">
        <f>CHOOSE(Table1[[#This Row],[Mode Digit]], IF(QrrSky_Q2&gt;0,QrrSky_Q2,Qrr_Q2)*Fsw*(Table1[[#This Row],[Vin]]-Table1[[#This Row],[Iout]]*Rdson1),0,  IF(QrrSky_Q2&gt;0,QrrSky_Q2,Qrr_Q2)*Fsw*(Table1[[#This Row],[Vin]]-Table1[[#This Row],[Iout]]*Rdson1)+IF(QrrSky_Q3&gt;0,QrrSky_Q3,Qrr_Q3)*Fsw*Vout)</f>
        <v>0.33347520000000003</v>
      </c>
      <c r="BB65" s="354">
        <f>CHOOSE(Table1[[#This Row],[Mode Digit]],0, IF(QrrSky_Q3&gt;0,QrrSky_Q3,Qrr_Q3)*Fsw*Vout,  IF(QrrSky_Q2&gt;0,QrrSky_Q2,Qrr_Q2)*Fsw*(Table1[[#This Row],[Vin]]-Table1[[#This Row],[Iout]]*Rdson1)+IF(QrrSky_Q3&gt;0,QrrSky_Q3,Qrr_Q3)*Fsw*Vout)</f>
        <v>0</v>
      </c>
      <c r="BC65" s="354">
        <f>CHOOSE(Table1[[#This Row],[Mode Digit]], Rs*Table1[[#This Row],[Irms BuSync]]^2, Rs*Table1[[#This Row],[Irms BoCtlr]]^2, Rs*(Table1[[#This Row],[Irms BuSync]]^2+Table1[[#This Row],[Irms BoCtlr]]^2))</f>
        <v>0.17139180024009879</v>
      </c>
      <c r="BD65" s="354">
        <f t="shared" si="1"/>
        <v>1.44</v>
      </c>
      <c r="BE65" s="354">
        <f>IF(Vout&gt;8, Iq*Vout, Iq*Table1[[#This Row],[Vin]])</f>
        <v>4.3799999999999999E-2</v>
      </c>
      <c r="BF65" s="354">
        <f>CHOOSE(Table1[[#This Row],[Mode Digit]], (Qg_Q1+Qg_Q2)*Fsw, (Qg_Q3+Qg_Q4)*Fsw, (Qg_Q1+Qg_Q2+Qg_Q3+Qg_Q4)*Fsw)*IF(Vout&gt;8, Vout, Table1[[#This Row],[Vin]])</f>
        <v>0.47303999999999996</v>
      </c>
      <c r="BG65" s="354">
        <f t="shared" si="2"/>
        <v>0.45605042016806729</v>
      </c>
      <c r="BH65" s="354">
        <f>Table1[[#This Row],[IQ Loss]]+Table1[[#This Row],[Switching Current Loss]]</f>
        <v>0.51683999999999997</v>
      </c>
      <c r="BI6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10.026184171873977</v>
      </c>
      <c r="BJ65">
        <f>Vout*Table1[[#This Row],[Iout]]</f>
        <v>175.2</v>
      </c>
      <c r="BK65" s="550">
        <f>Table1[[#This Row],[Pout]]/(Table1[[#This Row],[Pout]]+Table1[[#This Row],[Total Loss]])</f>
        <v>0.94587058942719171</v>
      </c>
      <c r="BL6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236.57382860810134</v>
      </c>
      <c r="BM65" s="559">
        <f>IF(Table1[[#This Row],[Vin]]&gt;Vout, Table1[[#This Row],[Total Sync Bu MOSFET Loss]]*ThetaJA_Q2, ThetaJA_Q3*Table1[[#This Row],[Total Sync Bo MOSFET Loss]])</f>
        <v>55.772765859697074</v>
      </c>
      <c r="BN65" s="9"/>
      <c r="BO65" s="4">
        <f>Table1[[#This Row],[EFF, h]]*100</f>
        <v>94.587058942719167</v>
      </c>
      <c r="BP65" s="354">
        <f>Table1[[#This Row],[Total Inductor Loss]]</f>
        <v>1.894428748260059</v>
      </c>
      <c r="BQ65" s="354">
        <f>Table1[[#This Row],[Total Control Bu MOSFET Loss]]+Table1[[#This Row],[Total Sync Bu MOSFET Loss]]+Table1[[#This Row],[Total Control Bo MOSFET Loss]]+Table1[[#This Row],[Total Sync Bo MOSFET Loss]]+Table1[[#This Row],[Reverse Recovery Loss MOSFET D BUCK]]+Table1[[#This Row],[Reverse Recovery Loss MOSFET D BOOST]]</f>
        <v>5.9228034237705929</v>
      </c>
      <c r="BR65" s="354">
        <f>Table1[[#This Row],[Total Control Bu MOSFET Loss]]+Table1[[#This Row],[Reverse Recovery Loss MOSFET D BUCK]]*0.66</f>
        <v>4.1629907754683559</v>
      </c>
      <c r="BS65" s="354">
        <f>Table1[[#This Row],[Total Sync Bu MOSFET Loss]]+Table1[[#This Row],[Reverse Recovery Loss MOSFET D BUCK]]*0.33</f>
        <v>1.039592913661618</v>
      </c>
      <c r="BT65" s="354">
        <f xml:space="preserve"> Table1[[#This Row],[Total Control Bo MOSFET Loss]]+Table1[[#This Row],[Reverse Recovery Loss MOSFET D BOOST]]*0.66</f>
        <v>0</v>
      </c>
      <c r="BU65" s="354">
        <f xml:space="preserve"> Table1[[#This Row],[Total Sync Bo MOSFET Loss]]+Table1[[#This Row],[Reverse Recovery Loss MOSFET D BOOST]]*0.33</f>
        <v>0.71688498264061973</v>
      </c>
      <c r="BV65" s="354">
        <f>Table1[[#This Row],[Isense Shunt Loss]]</f>
        <v>0.17139180024009879</v>
      </c>
      <c r="CB65" s="18"/>
      <c r="CC65" s="19"/>
    </row>
    <row r="66" spans="1:81" x14ac:dyDescent="0.2">
      <c r="A66" s="11" t="s">
        <v>81</v>
      </c>
      <c r="B66" s="31"/>
      <c r="C66" s="31"/>
      <c r="G66">
        <v>57</v>
      </c>
      <c r="H66" s="555">
        <f>VIN_min+(VIN_max-VIN_min)*(Table1[[#This Row],[Step]]/200)</f>
        <v>27.98</v>
      </c>
      <c r="I66" s="4" t="str">
        <f>IF(Mode = 2,IF(Table1[[#This Row],[Vin]]&gt;Vout, "BUCK","BOOST"),IF(Table1[[#This Row],[Vin]]&gt;VIN_BB_to_buck, "BUCK", IF(Table1[[#This Row],[Vin]]&lt;=VIN_boost_to_BB,"BOOST","BUCK-BST")))</f>
        <v>BUCK</v>
      </c>
      <c r="J66">
        <f>IF(Table1[[#This Row],[Mode]]="BOOST",2, IF(Table1[[#This Row],[Mode]]="BUCK", 1,3))</f>
        <v>1</v>
      </c>
      <c r="K66">
        <f t="shared" si="0"/>
        <v>12</v>
      </c>
      <c r="L66" s="4">
        <f>Vout*Table1[[#This Row],[Iout]]/(Table1[[#This Row],[Vin]]*Efficiency)</f>
        <v>6.5911741469470675</v>
      </c>
      <c r="M66" s="711">
        <f>MIN(1/Fsw,CHOOSE(Table1[[#This Row],[Mode Digit]],(Vout+(Rdson2+Rs+Rdcr)*Table1[[#This Row],[Iout]])/(Table1[[#This Row],[Vin]]+(Rs+Rdson2-Rdson1)*Table1[[#This Row],[Iout]])/Fsw,(Vout+(Rdson3+Rdcr)*Table1[[#This Row],[Iin]]-Table1[[#This Row],[Vin]])/(Vout+(Rdson3-Rdson4-Rs)*Table1[[#This Row],[Iin]])/Fsw,t1_Ph_II))</f>
        <v>8.7766273949779832E-7</v>
      </c>
      <c r="N66" s="602">
        <f>CHOOSE(Table1[[#This Row],[Mode Digit]],1/Fsw-Table1[[#This Row],[t1_Ph_II]],1/Fsw-Table1[[#This Row],[t1_Ph_II]],(Vout/Fsw-Table1[[#This Row],[Vin]]*t1_Ph_II)/(Table1[[#This Row],[Vin]]+Vout))</f>
        <v>7.8900392716886834E-7</v>
      </c>
      <c r="O66" s="602">
        <f>1/Fsw-(Table1[[#This Row],[t1_Ph_II]]+Table1[[#This Row],[t2_Ph_I]])</f>
        <v>0</v>
      </c>
      <c r="P6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9.7759228305908064</v>
      </c>
      <c r="Q66" s="4">
        <f>CHOOSE(Table1[[#This Row],[Mode Digit]],Table1[[#This Row],[I_0]]+1/Lf*(Table1[[#This Row],[Vin]]-Vout)*Table1[[#This Row],[t1_Ph_II]],Table1[[#This Row],[I_0]]+1/Lf*Table1[[#This Row],[Vin]]*Table1[[#This Row],[t1_Ph_II]],Table1[[#This Row],[I_0]]+(Table1[[#This Row],[Vin]]-Vout)/L*Table1[[#This Row],[t1_Ph_II]])</f>
        <v>14.224077169409194</v>
      </c>
      <c r="R66" s="4">
        <f>CHOOSE(Table1[[#This Row],[Mode Digit]],0,0,Table1[[#This Row],[I_1]]+Table1[[#This Row],[Vin]]/L*Table1[[#This Row],[t2_Ph_I]])</f>
        <v>0</v>
      </c>
      <c r="S66" s="4">
        <f>Fsw*(Table1[[#This Row],[I_0]]*Table1[[#This Row],[t1_Ph_II]]+Table1[[#This Row],[I_1]]*Table1[[#This Row],[t2_Ph_I]]+Table1[[#This Row],[I_2]]*Table1[[#This Row],[t3_Ph_III]])</f>
        <v>11.881689575779374</v>
      </c>
      <c r="T66" s="354">
        <f>MIN(1,CHOOSE(Table1[[#This Row],[Mode Digit]],(Vout+(Rdson2+Rs+Rdcr)*Table1[[#This Row],[Iout]])/(Table1[[#This Row],[Vin]]+(Rs+Rdson2-Rdson1)*Table1[[#This Row],[Iout]]),1,Fsw*Table1[[#This Row],[t2_Ph_I]]+Table1[[#This Row],[t1_Ph_II]]))</f>
        <v>0.52659764369867901</v>
      </c>
      <c r="U66" s="354">
        <f>MIN(1,CHOOSE(Table1[[#This Row],[Mode Digit]],0,(Vout+(Rdson3+Rdcr)*Table1[[#This Row],[Iin]]-Table1[[#This Row],[Vin]])/(Vout+(Rdson3-Rdson4-Rs)*Table1[[#This Row],[Iin]]),Fsw*Table1[[#This Row],[t1_Ph_II]]+Table1[[#This Row],[t3_Ph_III]]))</f>
        <v>0</v>
      </c>
      <c r="V66" s="4">
        <f>MAX(Table1[[#This Row],[I_0]:[I_2]])-MIN(Table1[[#This Row],[I_0]:[I_1]])</f>
        <v>4.4481543388183873</v>
      </c>
      <c r="W6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12.068506111024226</v>
      </c>
      <c r="X66" s="354">
        <f>(Table1[[#This Row],[Irms Lf]]^2*Rdcr*(1+Ltc*Ta-Ltc*25))/(1-Table1[[#This Row],[Irms Lf]]^2*Rdcr*Ltc*ThetaCa)</f>
        <v>0.90599111173227231</v>
      </c>
      <c r="Y66" s="354">
        <f>ABS(7.759*10^-3*Fsw^0.9458*(0.00787*Table1[[#This Row],[Ripple Current pk-pk]])^2.304)</f>
        <v>1.0011827467597332</v>
      </c>
      <c r="Z66" s="354">
        <f>Table1[[#This Row],[DCR    Loss]]+Table1[[#This Row],[Core Loss]]</f>
        <v>1.9071738584920055</v>
      </c>
      <c r="AA66" s="4">
        <f>IF(Table1[[#This Row],[Vin]]&gt;Vout, Table1[[#This Row],[Ripple Current pk-pk]]/SQRT(12), SQRT(Table1[[#This Row],[Duty Cycle BOOST Leg]]/(1-Table1[[#This Row],[Duty Cycle BOOST Leg]]))*SQRT(Table1[[#This Row],[Iout]]^2+(Table1[[#This Row],[Ripple Current pk-pk]]^2)/12))</f>
        <v>1.2840715524568989</v>
      </c>
      <c r="AB66" s="354">
        <f>RCoutEsr*Table1[[#This Row],[Irms Cout]]^2</f>
        <v>8.2441987591453519E-3</v>
      </c>
      <c r="AC66" s="354">
        <f>Table1[[#This Row],[Cout ESR Loss]]</f>
        <v>8.2441987591453519E-3</v>
      </c>
      <c r="AD66" s="354">
        <f>IF(Table1[[#This Row],[Vin]]&gt;Vout, SQRT(Table1[[#This Row],[Duty Cycle BUCK Leg]]*(1-Table1[[#This Row],[Duty Cycle BUCK Leg]]))*SQRT(Table1[[#This Row],[Iout]]^2+(Table1[[#This Row],[Ripple Current pk-pk]]^2)/12), Table1[[#This Row],[Ripple Current pk-pk]]/SQRT(12))</f>
        <v>6.0257093277005689</v>
      </c>
      <c r="AE66" s="354">
        <f>RCinEsr*Table1[[#This Row],[Irms Cin]]^2</f>
        <v>7.2618345803875287E-2</v>
      </c>
      <c r="AF66" s="549">
        <f>Table1[[#This Row],[Cin ESR Loss]]</f>
        <v>7.2618345803875287E-2</v>
      </c>
      <c r="AG6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8.7577586071300058</v>
      </c>
      <c r="AH66" s="354">
        <f>Rdson1*Table1[[#This Row],[Irms BuCtrl]]^2</f>
        <v>0.32213301044719078</v>
      </c>
      <c r="AI66" s="354">
        <f>CHOOSE(Table1[[#This Row],[Mode Digit]], (Table1[[#This Row],[Vin]]*Table1[[#This Row],[Iout]]/2)*(Fsw)*(Tr_buck+Tf_buck), 0, (Table1[[#This Row],[Vin]]*Table1[[#This Row],[Avg IL]]/2)*(Fsw/1)*(Tr_buck+Tf_buck))</f>
        <v>3.329519364720146</v>
      </c>
      <c r="AJ66">
        <f>IF(Table1[[#This Row],[Vin]]&gt;Vout, IF(Table1[[#This Row],[Iout]]&gt;Table1[[#This Row],[Ripple Current pk-pk]]/2,0,ABS(Table1[[#This Row],[Iout]]-Table1[[#This Row],[Ripple Current pk-pk]]/2)*Vsd_Q1*Deadtime*Fsw),0)</f>
        <v>0</v>
      </c>
      <c r="AK66" s="354">
        <f>(Table1[[#This Row],[Dead Time Loss BuCtrl]]+Table1[[#This Row],[Transition Loss BuCtrl]]+Table1[[#This Row],[RDS(on) Loss BuCtrl]]*(1+RdsonTopTc*Ta-RdsonTopTc*25))/(1-Table1[[#This Row],[RDS(on) Loss BuCtrl]]*RdsonTopTc*ThetaJA_Q1)</f>
        <v>3.9576238863846478</v>
      </c>
      <c r="AL66" s="354">
        <f>CHOOSE(Table1[[#This Row],[Mode Digit]],SQRT((Fsw*(Table1[[#This Row],[t2_Ph_I]]+0))*((Table1[[#This Row],[I_0]]*Table1[[#This Row],[I_1]]+((Table1[[#This Row],[I_0]]-Table1[[#This Row],[I_1]])^2)/3))),0,SQRT((Fsw*(Table1[[#This Row],[t3_Ph_III]]+0))*((Table1[[#This Row],[I_0]]*Table1[[#This Row],[I_2]]+((Table1[[#This Row],[I_0]]-Table1[[#This Row],[I_2]])^2)/3))))</f>
        <v>8.303644015194136</v>
      </c>
      <c r="AM66" s="354">
        <f>Rdson2*Table1[[#This Row],[Irms BuSync]]^2</f>
        <v>0.28959211651049149</v>
      </c>
      <c r="AN6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66" s="354">
        <f>(Table1[[#This Row],[Deadtime Loss BuSync]]+Table1[[#This Row],[RDS(on) Loss BuSync]]*(1+RdsonBotTc*Ta-RdsonBotTc*25))/(1-Table1[[#This Row],[RDS(on) Loss BuSync]]*RdsonBotTc*ThetaJA_Q2)</f>
        <v>0.9317200527811591</v>
      </c>
      <c r="AP66" s="354">
        <f>CHOOSE(Table1[[#This Row],[Mode Digit]],0,SQRT((Fsw*(Table1[[#This Row],[t1_Ph_II]]+0))*((Table1[[#This Row],[I_0]]*Table1[[#This Row],[I_1]]+((Table1[[#This Row],[I_0]]-Table1[[#This Row],[I_1]])^2)/3))),SQRT((Fsw*(Table1[[#This Row],[t2_Ph_I]]+0))*((Table1[[#This Row],[I_1]]*Table1[[#This Row],[I_2]]+((Table1[[#This Row],[I_1]]-Table1[[#This Row],[I_2]])^2)/3))))</f>
        <v>0</v>
      </c>
      <c r="AQ66" s="354">
        <f>Rdson4*Table1[[#This Row],[Irms BoCtlr]]^2</f>
        <v>0</v>
      </c>
      <c r="AR66" s="354">
        <f>CHOOSE(Table1[[#This Row],[Mode Digit]], 0, (Vout*Table1[[#This Row],[Iin]]/2)*(Fsw)*(Tr_boost+Tf_boost), (Vout*Iout/2)*(Fsw/1)*(Tr_boost+Tf_boost))</f>
        <v>0</v>
      </c>
      <c r="AS66">
        <f>IF(Table1[[#This Row],[Vin]]&gt;Vout, 0, IF(Table1[[#This Row],[Iin]]&gt;Table1[[#This Row],[Ripple Current pk-pk]]/2,0,ABS(Table1[[#This Row],[Iin]]-Table1[[#This Row],[Ripple Current pk-pk]]/2)*Vsd_Q4*Deadtime*Fsw))</f>
        <v>0</v>
      </c>
      <c r="AT66" s="354">
        <f>(Table1[[#This Row],[Dead Time Loss BoCtlr]]+Table1[[#This Row],[Transition Loss BoCtlr]]+Table1[[#This Row],[RDS(on) Loss BoCtlr]]*(1+RdsonTopTc*Ta-RdsonTopTc*25))/(1-Table1[[#This Row],[RDS(on) Loss BoCtlr]]*RdsonTopTc*ThetaJA_Q4)</f>
        <v>0</v>
      </c>
      <c r="AU6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12.068506111024226</v>
      </c>
      <c r="AV66" s="354">
        <f>Rdson3*Table1[[#This Row],[Irms BoSync]]^2</f>
        <v>0.61172512695768222</v>
      </c>
      <c r="AW6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66" s="354">
        <f>(Table1[[#This Row],[Deadtime Loss BoSync]]+Table1[[#This Row],[RDS(on) Loss BoSync]]*(1+RdsonBotTc*Ta-RdsonBotTc*25))/(1-Table1[[#This Row],[RDS(on) Loss BoSync]]*RdsonBotTc*ThetaJA_Q3)</f>
        <v>0.71698920142176636</v>
      </c>
      <c r="AY66" s="354">
        <f>CHOOSE(Table1[[#This Row],[Mode Digit]], Rdson3*Table1[[#This Row],[Irms Lf]]^2, Rdson1*Table1[[#This Row],[Irms Lf]]^2, 0)</f>
        <v>0.61172512695768222</v>
      </c>
      <c r="AZ66" s="354">
        <f>CHOOSE(Table1[[#This Row],[Mode Digit]], 2*Deadtime*Fsw*IF(VfdSky_Q2&gt;0,VfdSky_Q2,0)*Table1[[#This Row],[Iout]], 2*Deadtime*Fsw*IF(VfdSky_Q3&gt;0,VfdSky_Q3,0)*Table1[[#This Row],[Iin]], 2*Deadtime*Fsw*IF(VfdSky_Q2&gt;0,VfdSky_Q2,0)*Table1[[#This Row],[Iout]]+2*Deadtime*Fsw*IF(VfdSky_Q3&gt;0,VfdSky_Q3,0)*Table1[[#This Row],[Iin]])</f>
        <v>0</v>
      </c>
      <c r="BA66" s="354">
        <f>CHOOSE(Table1[[#This Row],[Mode Digit]], IF(QrrSky_Q2&gt;0,QrrSky_Q2,Qrr_Q2)*Fsw*(Table1[[#This Row],[Vin]]-Table1[[#This Row],[Iout]]*Rdson1),0,  IF(QrrSky_Q2&gt;0,QrrSky_Q2,Qrr_Q2)*Fsw*(Table1[[#This Row],[Vin]]-Table1[[#This Row],[Iout]]*Rdson1)+IF(QrrSky_Q3&gt;0,QrrSky_Q3,Qrr_Q3)*Fsw*Vout)</f>
        <v>0.33515520000000004</v>
      </c>
      <c r="BB66" s="354">
        <f>CHOOSE(Table1[[#This Row],[Mode Digit]],0, IF(QrrSky_Q3&gt;0,QrrSky_Q3,Qrr_Q3)*Fsw*Vout,  IF(QrrSky_Q2&gt;0,QrrSky_Q2,Qrr_Q2)*Fsw*(Table1[[#This Row],[Vin]]-Table1[[#This Row],[Iout]]*Rdson1)+IF(QrrSky_Q3&gt;0,QrrSky_Q3,Qrr_Q3)*Fsw*Vout)</f>
        <v>0</v>
      </c>
      <c r="BC66" s="354">
        <f>CHOOSE(Table1[[#This Row],[Mode Digit]], Rs*Table1[[#This Row],[Irms BuSync]]^2, Rs*Table1[[#This Row],[Irms BoCtlr]]^2, Rs*(Table1[[#This Row],[Irms BuSync]]^2+Table1[[#This Row],[Irms BoCtlr]]^2))</f>
        <v>0.17237625982767349</v>
      </c>
      <c r="BD66" s="354">
        <f t="shared" si="1"/>
        <v>1.44</v>
      </c>
      <c r="BE66" s="354">
        <f>IF(Vout&gt;8, Iq*Vout, Iq*Table1[[#This Row],[Vin]])</f>
        <v>4.3799999999999999E-2</v>
      </c>
      <c r="BF66" s="354">
        <f>CHOOSE(Table1[[#This Row],[Mode Digit]], (Qg_Q1+Qg_Q2)*Fsw, (Qg_Q3+Qg_Q4)*Fsw, (Qg_Q1+Qg_Q2+Qg_Q3+Qg_Q4)*Fsw)*IF(Vout&gt;8, Vout, Table1[[#This Row],[Vin]])</f>
        <v>0.47303999999999996</v>
      </c>
      <c r="BG66" s="354">
        <f t="shared" si="2"/>
        <v>0.45605042016806729</v>
      </c>
      <c r="BH66" s="354">
        <f>Table1[[#This Row],[IQ Loss]]+Table1[[#This Row],[Switching Current Loss]]</f>
        <v>0.51683999999999997</v>
      </c>
      <c r="BI6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10.058741003470272</v>
      </c>
      <c r="BJ66">
        <f>Vout*Table1[[#This Row],[Iout]]</f>
        <v>175.2</v>
      </c>
      <c r="BK66" s="550">
        <f>Table1[[#This Row],[Pout]]/(Table1[[#This Row],[Pout]]+Table1[[#This Row],[Total Loss]])</f>
        <v>0.94570436488455978</v>
      </c>
      <c r="BL6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237.45743318307888</v>
      </c>
      <c r="BM66" s="559">
        <f>IF(Table1[[#This Row],[Vin]]&gt;Vout, Table1[[#This Row],[Total Sync Bu MOSFET Loss]]*ThetaJA_Q2, ThetaJA_Q3*Table1[[#This Row],[Total Sync Bo MOSFET Loss]])</f>
        <v>55.903203166869545</v>
      </c>
      <c r="BN66" s="9"/>
      <c r="BO66" s="4">
        <f>Table1[[#This Row],[EFF, h]]*100</f>
        <v>94.570436488455982</v>
      </c>
      <c r="BP66" s="354">
        <f>Table1[[#This Row],[Total Inductor Loss]]</f>
        <v>1.9071738584920055</v>
      </c>
      <c r="BQ66" s="354">
        <f>Table1[[#This Row],[Total Control Bu MOSFET Loss]]+Table1[[#This Row],[Total Sync Bu MOSFET Loss]]+Table1[[#This Row],[Total Control Bo MOSFET Loss]]+Table1[[#This Row],[Total Sync Bo MOSFET Loss]]+Table1[[#This Row],[Reverse Recovery Loss MOSFET D BUCK]]+Table1[[#This Row],[Reverse Recovery Loss MOSFET D BOOST]]</f>
        <v>5.9414883405875729</v>
      </c>
      <c r="BR66" s="354">
        <f>Table1[[#This Row],[Total Control Bu MOSFET Loss]]+Table1[[#This Row],[Reverse Recovery Loss MOSFET D BUCK]]*0.66</f>
        <v>4.1788263183846475</v>
      </c>
      <c r="BS66" s="354">
        <f>Table1[[#This Row],[Total Sync Bu MOSFET Loss]]+Table1[[#This Row],[Reverse Recovery Loss MOSFET D BUCK]]*0.33</f>
        <v>1.0423212687811592</v>
      </c>
      <c r="BT66" s="354">
        <f xml:space="preserve"> Table1[[#This Row],[Total Control Bo MOSFET Loss]]+Table1[[#This Row],[Reverse Recovery Loss MOSFET D BOOST]]*0.66</f>
        <v>0</v>
      </c>
      <c r="BU66" s="354">
        <f xml:space="preserve"> Table1[[#This Row],[Total Sync Bo MOSFET Loss]]+Table1[[#This Row],[Reverse Recovery Loss MOSFET D BOOST]]*0.33</f>
        <v>0.71698920142176636</v>
      </c>
      <c r="BV66" s="354">
        <f>Table1[[#This Row],[Isense Shunt Loss]]</f>
        <v>0.17237625982767349</v>
      </c>
      <c r="CB66" s="18"/>
      <c r="CC66" s="19"/>
    </row>
    <row r="67" spans="1:81" x14ac:dyDescent="0.2">
      <c r="A67" s="14" t="s">
        <v>59</v>
      </c>
      <c r="B67" s="15" t="s">
        <v>8</v>
      </c>
      <c r="C67" s="15" t="s">
        <v>80</v>
      </c>
      <c r="G67">
        <v>58</v>
      </c>
      <c r="H67" s="555">
        <f>VIN_min+(VIN_max-VIN_min)*(Table1[[#This Row],[Step]]/200)</f>
        <v>28.119999999999997</v>
      </c>
      <c r="I67" s="4" t="str">
        <f>IF(Mode = 2,IF(Table1[[#This Row],[Vin]]&gt;Vout, "BUCK","BOOST"),IF(Table1[[#This Row],[Vin]]&gt;VIN_BB_to_buck, "BUCK", IF(Table1[[#This Row],[Vin]]&lt;=VIN_boost_to_BB,"BOOST","BUCK-BST")))</f>
        <v>BUCK</v>
      </c>
      <c r="J67">
        <f>IF(Table1[[#This Row],[Mode]]="BOOST",2, IF(Table1[[#This Row],[Mode]]="BUCK", 1,3))</f>
        <v>1</v>
      </c>
      <c r="K67">
        <f t="shared" si="0"/>
        <v>12</v>
      </c>
      <c r="L67" s="4">
        <f>Vout*Table1[[#This Row],[Iout]]/(Table1[[#This Row],[Vin]]*Efficiency)</f>
        <v>6.5583589129295508</v>
      </c>
      <c r="M67" s="711">
        <f>MIN(1/Fsw,CHOOSE(Table1[[#This Row],[Mode Digit]],(Vout+(Rdson2+Rs+Rdcr)*Table1[[#This Row],[Iout]])/(Table1[[#This Row],[Vin]]+(Rs+Rdson2-Rdson1)*Table1[[#This Row],[Iout]])/Fsw,(Vout+(Rdson3+Rdcr)*Table1[[#This Row],[Iin]]-Table1[[#This Row],[Vin]])/(Vout+(Rdson3-Rdson4-Rs)*Table1[[#This Row],[Iin]])/Fsw,t1_Ph_II))</f>
        <v>8.7329780935464789E-7</v>
      </c>
      <c r="N67" s="602">
        <f>CHOOSE(Table1[[#This Row],[Mode Digit]],1/Fsw-Table1[[#This Row],[t1_Ph_II]],1/Fsw-Table1[[#This Row],[t1_Ph_II]],(Vout/Fsw-Table1[[#This Row],[Vin]]*t1_Ph_II)/(Table1[[#This Row],[Vin]]+Vout))</f>
        <v>7.9336885731201877E-7</v>
      </c>
      <c r="O67" s="602">
        <f>1/Fsw-(Table1[[#This Row],[t1_Ph_II]]+Table1[[#This Row],[t2_Ph_I]])</f>
        <v>0</v>
      </c>
      <c r="P6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9.7638283366524927</v>
      </c>
      <c r="Q67" s="4">
        <f>CHOOSE(Table1[[#This Row],[Mode Digit]],Table1[[#This Row],[I_0]]+1/Lf*(Table1[[#This Row],[Vin]]-Vout)*Table1[[#This Row],[t1_Ph_II]],Table1[[#This Row],[I_0]]+1/Lf*Table1[[#This Row],[Vin]]*Table1[[#This Row],[t1_Ph_II]],Table1[[#This Row],[I_0]]+(Table1[[#This Row],[Vin]]-Vout)/L*Table1[[#This Row],[t1_Ph_II]])</f>
        <v>14.236171663347506</v>
      </c>
      <c r="R67" s="4">
        <f>CHOOSE(Table1[[#This Row],[Mode Digit]],0,0,Table1[[#This Row],[I_1]]+Table1[[#This Row],[Vin]]/L*Table1[[#This Row],[t2_Ph_I]])</f>
        <v>0</v>
      </c>
      <c r="S67" s="4">
        <f>Fsw*(Table1[[#This Row],[I_0]]*Table1[[#This Row],[t1_Ph_II]]+Table1[[#This Row],[I_1]]*Table1[[#This Row],[t2_Ph_I]]+Table1[[#This Row],[I_2]]*Table1[[#This Row],[t3_Ph_III]])</f>
        <v>11.892759085416726</v>
      </c>
      <c r="T67" s="354">
        <f>MIN(1,CHOOSE(Table1[[#This Row],[Mode Digit]],(Vout+(Rdson2+Rs+Rdcr)*Table1[[#This Row],[Iout]])/(Table1[[#This Row],[Vin]]+(Rs+Rdson2-Rdson1)*Table1[[#This Row],[Iout]]),1,Fsw*Table1[[#This Row],[t2_Ph_I]]+Table1[[#This Row],[t1_Ph_II]]))</f>
        <v>0.52397868561278871</v>
      </c>
      <c r="U67" s="354">
        <f>MIN(1,CHOOSE(Table1[[#This Row],[Mode Digit]],0,(Vout+(Rdson3+Rdcr)*Table1[[#This Row],[Iin]]-Table1[[#This Row],[Vin]])/(Vout+(Rdson3-Rdson4-Rs)*Table1[[#This Row],[Iin]]),Fsw*Table1[[#This Row],[t1_Ph_II]]+Table1[[#This Row],[t3_Ph_III]]))</f>
        <v>0</v>
      </c>
      <c r="V67" s="4">
        <f>MAX(Table1[[#This Row],[I_0]:[I_2]])-MIN(Table1[[#This Row],[I_0]:[I_1]])</f>
        <v>4.4723433266950128</v>
      </c>
      <c r="W6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12.069251063590736</v>
      </c>
      <c r="X67" s="354">
        <f>(Table1[[#This Row],[Irms Lf]]^2*Rdcr*(1+Ltc*Ta-Ltc*25))/(1-Table1[[#This Row],[Irms Lf]]^2*Rdcr*Ltc*ThetaCa)</f>
        <v>0.90611107139681746</v>
      </c>
      <c r="Y67" s="354">
        <f>ABS(7.759*10^-3*Fsw^0.9458*(0.00787*Table1[[#This Row],[Ripple Current pk-pk]])^2.304)</f>
        <v>1.0137711782729055</v>
      </c>
      <c r="Z67" s="354">
        <f>Table1[[#This Row],[DCR    Loss]]+Table1[[#This Row],[Core Loss]]</f>
        <v>1.919882249669723</v>
      </c>
      <c r="AA67" s="4">
        <f>IF(Table1[[#This Row],[Vin]]&gt;Vout, Table1[[#This Row],[Ripple Current pk-pk]]/SQRT(12), SQRT(Table1[[#This Row],[Duty Cycle BOOST Leg]]/(1-Table1[[#This Row],[Duty Cycle BOOST Leg]]))*SQRT(Table1[[#This Row],[Iout]]^2+(Table1[[#This Row],[Ripple Current pk-pk]]^2)/12))</f>
        <v>1.2910543117878961</v>
      </c>
      <c r="AB67" s="354">
        <f>RCoutEsr*Table1[[#This Row],[Irms Cout]]^2</f>
        <v>8.3341061799305904E-3</v>
      </c>
      <c r="AC67" s="354">
        <f>Table1[[#This Row],[Cout ESR Loss]]</f>
        <v>8.3341061799305904E-3</v>
      </c>
      <c r="AD67" s="354">
        <f>IF(Table1[[#This Row],[Vin]]&gt;Vout, SQRT(Table1[[#This Row],[Duty Cycle BUCK Leg]]*(1-Table1[[#This Row],[Duty Cycle BUCK Leg]]))*SQRT(Table1[[#This Row],[Iout]]^2+(Table1[[#This Row],[Ripple Current pk-pk]]^2)/12), Table1[[#This Row],[Ripple Current pk-pk]]/SQRT(12))</f>
        <v>6.0276819909598105</v>
      </c>
      <c r="AE67" s="354">
        <f>RCinEsr*Table1[[#This Row],[Irms Cin]]^2</f>
        <v>7.2665900368282452E-2</v>
      </c>
      <c r="AF67" s="549">
        <f>Table1[[#This Row],[Cin ESR Loss]]</f>
        <v>7.2665900368282452E-2</v>
      </c>
      <c r="AG6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8.7364929765109451</v>
      </c>
      <c r="AH67" s="354">
        <f>Rdson1*Table1[[#This Row],[Irms BuCtrl]]^2</f>
        <v>0.32057050002022536</v>
      </c>
      <c r="AI67" s="354">
        <f>CHOOSE(Table1[[#This Row],[Mode Digit]], (Table1[[#This Row],[Vin]]*Table1[[#This Row],[Iout]]/2)*(Fsw)*(Tr_buck+Tf_buck), 0, (Table1[[#This Row],[Vin]]*Table1[[#This Row],[Avg IL]]/2)*(Fsw/1)*(Tr_buck+Tf_buck))</f>
        <v>3.3461788611840775</v>
      </c>
      <c r="AJ67">
        <f>IF(Table1[[#This Row],[Vin]]&gt;Vout, IF(Table1[[#This Row],[Iout]]&gt;Table1[[#This Row],[Ripple Current pk-pk]]/2,0,ABS(Table1[[#This Row],[Iout]]-Table1[[#This Row],[Ripple Current pk-pk]]/2)*Vsd_Q1*Deadtime*Fsw),0)</f>
        <v>0</v>
      </c>
      <c r="AK67" s="354">
        <f>(Table1[[#This Row],[Dead Time Loss BuCtrl]]+Table1[[#This Row],[Transition Loss BuCtrl]]+Table1[[#This Row],[RDS(on) Loss BuCtrl]]*(1+RdsonTopTc*Ta-RdsonTopTc*25))/(1-Table1[[#This Row],[RDS(on) Loss BuCtrl]]*RdsonTopTc*ThetaJA_Q1)</f>
        <v>3.9723713803216838</v>
      </c>
      <c r="AL67" s="354">
        <f>CHOOSE(Table1[[#This Row],[Mode Digit]],SQRT((Fsw*(Table1[[#This Row],[t2_Ph_I]]+0))*((Table1[[#This Row],[I_0]]*Table1[[#This Row],[I_1]]+((Table1[[#This Row],[I_0]]-Table1[[#This Row],[I_1]])^2)/3))),0,SQRT((Fsw*(Table1[[#This Row],[t3_Ph_III]]+0))*((Table1[[#This Row],[I_0]]*Table1[[#This Row],[I_2]]+((Table1[[#This Row],[I_0]]-Table1[[#This Row],[I_2]])^2)/3))))</f>
        <v>8.3270950341257084</v>
      </c>
      <c r="AM67" s="354">
        <f>Rdson2*Table1[[#This Row],[Irms BuSync]]^2</f>
        <v>0.29123014917091639</v>
      </c>
      <c r="AN6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67" s="354">
        <f>(Table1[[#This Row],[Deadtime Loss BuSync]]+Table1[[#This Row],[RDS(on) Loss BuSync]]*(1+RdsonBotTc*Ta-RdsonBotTc*25))/(1-Table1[[#This Row],[RDS(on) Loss BuSync]]*RdsonBotTc*ThetaJA_Q2)</f>
        <v>0.933874990405406</v>
      </c>
      <c r="AP67" s="354">
        <f>CHOOSE(Table1[[#This Row],[Mode Digit]],0,SQRT((Fsw*(Table1[[#This Row],[t1_Ph_II]]+0))*((Table1[[#This Row],[I_0]]*Table1[[#This Row],[I_1]]+((Table1[[#This Row],[I_0]]-Table1[[#This Row],[I_1]])^2)/3))),SQRT((Fsw*(Table1[[#This Row],[t2_Ph_I]]+0))*((Table1[[#This Row],[I_1]]*Table1[[#This Row],[I_2]]+((Table1[[#This Row],[I_1]]-Table1[[#This Row],[I_2]])^2)/3))))</f>
        <v>0</v>
      </c>
      <c r="AQ67" s="354">
        <f>Rdson4*Table1[[#This Row],[Irms BoCtlr]]^2</f>
        <v>0</v>
      </c>
      <c r="AR67" s="354">
        <f>CHOOSE(Table1[[#This Row],[Mode Digit]], 0, (Vout*Table1[[#This Row],[Iin]]/2)*(Fsw)*(Tr_boost+Tf_boost), (Vout*Iout/2)*(Fsw/1)*(Tr_boost+Tf_boost))</f>
        <v>0</v>
      </c>
      <c r="AS67">
        <f>IF(Table1[[#This Row],[Vin]]&gt;Vout, 0, IF(Table1[[#This Row],[Iin]]&gt;Table1[[#This Row],[Ripple Current pk-pk]]/2,0,ABS(Table1[[#This Row],[Iin]]-Table1[[#This Row],[Ripple Current pk-pk]]/2)*Vsd_Q4*Deadtime*Fsw))</f>
        <v>0</v>
      </c>
      <c r="AT67" s="354">
        <f>(Table1[[#This Row],[Dead Time Loss BoCtlr]]+Table1[[#This Row],[Transition Loss BoCtlr]]+Table1[[#This Row],[RDS(on) Loss BoCtlr]]*(1+RdsonTopTc*Ta-RdsonTopTc*25))/(1-Table1[[#This Row],[RDS(on) Loss BoCtlr]]*RdsonTopTc*ThetaJA_Q4)</f>
        <v>0</v>
      </c>
      <c r="AU6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12.069251063590736</v>
      </c>
      <c r="AV67" s="354">
        <f>Rdson3*Table1[[#This Row],[Irms BoSync]]^2</f>
        <v>0.61180064919114174</v>
      </c>
      <c r="AW6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67" s="354">
        <f>(Table1[[#This Row],[Deadtime Loss BoSync]]+Table1[[#This Row],[RDS(on) Loss BoSync]]*(1+RdsonBotTc*Ta-RdsonBotTc*25))/(1-Table1[[#This Row],[RDS(on) Loss BoSync]]*RdsonBotTc*ThetaJA_Q3)</f>
        <v>0.71709295346102542</v>
      </c>
      <c r="AY67" s="354">
        <f>CHOOSE(Table1[[#This Row],[Mode Digit]], Rdson3*Table1[[#This Row],[Irms Lf]]^2, Rdson1*Table1[[#This Row],[Irms Lf]]^2, 0)</f>
        <v>0.61180064919114174</v>
      </c>
      <c r="AZ67" s="354">
        <f>CHOOSE(Table1[[#This Row],[Mode Digit]], 2*Deadtime*Fsw*IF(VfdSky_Q2&gt;0,VfdSky_Q2,0)*Table1[[#This Row],[Iout]], 2*Deadtime*Fsw*IF(VfdSky_Q3&gt;0,VfdSky_Q3,0)*Table1[[#This Row],[Iin]], 2*Deadtime*Fsw*IF(VfdSky_Q2&gt;0,VfdSky_Q2,0)*Table1[[#This Row],[Iout]]+2*Deadtime*Fsw*IF(VfdSky_Q3&gt;0,VfdSky_Q3,0)*Table1[[#This Row],[Iin]])</f>
        <v>0</v>
      </c>
      <c r="BA67" s="354">
        <f>CHOOSE(Table1[[#This Row],[Mode Digit]], IF(QrrSky_Q2&gt;0,QrrSky_Q2,Qrr_Q2)*Fsw*(Table1[[#This Row],[Vin]]-Table1[[#This Row],[Iout]]*Rdson1),0,  IF(QrrSky_Q2&gt;0,QrrSky_Q2,Qrr_Q2)*Fsw*(Table1[[#This Row],[Vin]]-Table1[[#This Row],[Iout]]*Rdson1)+IF(QrrSky_Q3&gt;0,QrrSky_Q3,Qrr_Q3)*Fsw*Vout)</f>
        <v>0.3368352</v>
      </c>
      <c r="BB67" s="354">
        <f>CHOOSE(Table1[[#This Row],[Mode Digit]],0, IF(QrrSky_Q3&gt;0,QrrSky_Q3,Qrr_Q3)*Fsw*Vout,  IF(QrrSky_Q2&gt;0,QrrSky_Q2,Qrr_Q2)*Fsw*(Table1[[#This Row],[Vin]]-Table1[[#This Row],[Iout]]*Rdson1)+IF(QrrSky_Q3&gt;0,QrrSky_Q3,Qrr_Q3)*Fsw*Vout)</f>
        <v>0</v>
      </c>
      <c r="BC67" s="354">
        <f>CHOOSE(Table1[[#This Row],[Mode Digit]], Rs*Table1[[#This Row],[Irms BuSync]]^2, Rs*Table1[[#This Row],[Irms BoCtlr]]^2, Rs*(Table1[[#This Row],[Irms BuSync]]^2+Table1[[#This Row],[Irms BoCtlr]]^2))</f>
        <v>0.17335127926840257</v>
      </c>
      <c r="BD67" s="354">
        <f t="shared" si="1"/>
        <v>1.44</v>
      </c>
      <c r="BE67" s="354">
        <f>IF(Vout&gt;8, Iq*Vout, Iq*Table1[[#This Row],[Vin]])</f>
        <v>4.3799999999999999E-2</v>
      </c>
      <c r="BF67" s="354">
        <f>CHOOSE(Table1[[#This Row],[Mode Digit]], (Qg_Q1+Qg_Q2)*Fsw, (Qg_Q3+Qg_Q4)*Fsw, (Qg_Q1+Qg_Q2+Qg_Q3+Qg_Q4)*Fsw)*IF(Vout&gt;8, Vout, Table1[[#This Row],[Vin]])</f>
        <v>0.47303999999999996</v>
      </c>
      <c r="BG67" s="354">
        <f t="shared" si="2"/>
        <v>0.45605042016806729</v>
      </c>
      <c r="BH67" s="354">
        <f>Table1[[#This Row],[IQ Loss]]+Table1[[#This Row],[Switching Current Loss]]</f>
        <v>0.51683999999999997</v>
      </c>
      <c r="BI6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10.091248059674454</v>
      </c>
      <c r="BJ67">
        <f>Vout*Table1[[#This Row],[Iout]]</f>
        <v>175.2</v>
      </c>
      <c r="BK67" s="550">
        <f>Table1[[#This Row],[Pout]]/(Table1[[#This Row],[Pout]]+Table1[[#This Row],[Total Loss]])</f>
        <v>0.94553845275830573</v>
      </c>
      <c r="BL6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238.34228281930103</v>
      </c>
      <c r="BM67" s="559">
        <f>IF(Table1[[#This Row],[Vin]]&gt;Vout, Table1[[#This Row],[Total Sync Bu MOSFET Loss]]*ThetaJA_Q2, ThetaJA_Q3*Table1[[#This Row],[Total Sync Bo MOSFET Loss]])</f>
        <v>56.032499424324357</v>
      </c>
      <c r="BN67" s="9"/>
      <c r="BO67" s="4">
        <f>Table1[[#This Row],[EFF, h]]*100</f>
        <v>94.553845275830568</v>
      </c>
      <c r="BP67" s="354">
        <f>Table1[[#This Row],[Total Inductor Loss]]</f>
        <v>1.919882249669723</v>
      </c>
      <c r="BQ67" s="354">
        <f>Table1[[#This Row],[Total Control Bu MOSFET Loss]]+Table1[[#This Row],[Total Sync Bu MOSFET Loss]]+Table1[[#This Row],[Total Control Bo MOSFET Loss]]+Table1[[#This Row],[Total Sync Bo MOSFET Loss]]+Table1[[#This Row],[Reverse Recovery Loss MOSFET D BUCK]]+Table1[[#This Row],[Reverse Recovery Loss MOSFET D BOOST]]</f>
        <v>5.9601745241881154</v>
      </c>
      <c r="BR67" s="354">
        <f>Table1[[#This Row],[Total Control Bu MOSFET Loss]]+Table1[[#This Row],[Reverse Recovery Loss MOSFET D BUCK]]*0.66</f>
        <v>4.1946826123216834</v>
      </c>
      <c r="BS67" s="354">
        <f>Table1[[#This Row],[Total Sync Bu MOSFET Loss]]+Table1[[#This Row],[Reverse Recovery Loss MOSFET D BUCK]]*0.33</f>
        <v>1.045030606405406</v>
      </c>
      <c r="BT67" s="354">
        <f xml:space="preserve"> Table1[[#This Row],[Total Control Bo MOSFET Loss]]+Table1[[#This Row],[Reverse Recovery Loss MOSFET D BOOST]]*0.66</f>
        <v>0</v>
      </c>
      <c r="BU67" s="354">
        <f xml:space="preserve"> Table1[[#This Row],[Total Sync Bo MOSFET Loss]]+Table1[[#This Row],[Reverse Recovery Loss MOSFET D BOOST]]*0.33</f>
        <v>0.71709295346102542</v>
      </c>
      <c r="BV67" s="354">
        <f>Table1[[#This Row],[Isense Shunt Loss]]</f>
        <v>0.17335127926840257</v>
      </c>
      <c r="CB67" s="18"/>
      <c r="CC67" s="19"/>
    </row>
    <row r="68" spans="1:81" x14ac:dyDescent="0.2">
      <c r="A68" s="32" t="s">
        <v>240</v>
      </c>
      <c r="B68" s="449" t="e">
        <f>#REF!</f>
        <v>#REF!</v>
      </c>
      <c r="C68" s="21" t="s">
        <v>19</v>
      </c>
      <c r="G68">
        <v>59</v>
      </c>
      <c r="H68" s="555">
        <f>VIN_min+(VIN_max-VIN_min)*(Table1[[#This Row],[Step]]/200)</f>
        <v>28.259999999999998</v>
      </c>
      <c r="I68" s="4" t="str">
        <f>IF(Mode = 2,IF(Table1[[#This Row],[Vin]]&gt;Vout, "BUCK","BOOST"),IF(Table1[[#This Row],[Vin]]&gt;VIN_BB_to_buck, "BUCK", IF(Table1[[#This Row],[Vin]]&lt;=VIN_boost_to_BB,"BOOST","BUCK-BST")))</f>
        <v>BUCK</v>
      </c>
      <c r="J68">
        <f>IF(Table1[[#This Row],[Mode]]="BOOST",2, IF(Table1[[#This Row],[Mode]]="BUCK", 1,3))</f>
        <v>1</v>
      </c>
      <c r="K68">
        <f t="shared" si="0"/>
        <v>12</v>
      </c>
      <c r="L68" s="4">
        <f>Vout*Table1[[#This Row],[Iout]]/(Table1[[#This Row],[Vin]]*Efficiency)</f>
        <v>6.5258688121577828</v>
      </c>
      <c r="M68" s="711">
        <f>MIN(1/Fsw,CHOOSE(Table1[[#This Row],[Mode Digit]],(Vout+(Rdson2+Rs+Rdcr)*Table1[[#This Row],[Iout]])/(Table1[[#This Row],[Vin]]+(Rs+Rdson2-Rdson1)*Table1[[#This Row],[Iout]])/Fsw,(Vout+(Rdson3+Rdcr)*Table1[[#This Row],[Iin]]-Table1[[#This Row],[Vin]])/(Vout+(Rdson3-Rdson4-Rs)*Table1[[#This Row],[Iin]])/Fsw,t1_Ph_II))</f>
        <v>8.6897608106515845E-7</v>
      </c>
      <c r="N68" s="602">
        <f>CHOOSE(Table1[[#This Row],[Mode Digit]],1/Fsw-Table1[[#This Row],[t1_Ph_II]],1/Fsw-Table1[[#This Row],[t1_Ph_II]],(Vout/Fsw-Table1[[#This Row],[Vin]]*t1_Ph_II)/(Table1[[#This Row],[Vin]]+Vout))</f>
        <v>7.9769058560150821E-7</v>
      </c>
      <c r="O68" s="602">
        <f>1/Fsw-(Table1[[#This Row],[t1_Ph_II]]+Table1[[#This Row],[t2_Ph_I]])</f>
        <v>0</v>
      </c>
      <c r="P6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9.7518535478503665</v>
      </c>
      <c r="Q68" s="4">
        <f>CHOOSE(Table1[[#This Row],[Mode Digit]],Table1[[#This Row],[I_0]]+1/Lf*(Table1[[#This Row],[Vin]]-Vout)*Table1[[#This Row],[t1_Ph_II]],Table1[[#This Row],[I_0]]+1/Lf*Table1[[#This Row],[Vin]]*Table1[[#This Row],[t1_Ph_II]],Table1[[#This Row],[I_0]]+(Table1[[#This Row],[Vin]]-Vout)/L*Table1[[#This Row],[t1_Ph_II]])</f>
        <v>14.248146452149633</v>
      </c>
      <c r="R68" s="4">
        <f>CHOOSE(Table1[[#This Row],[Mode Digit]],0,0,Table1[[#This Row],[I_1]]+Table1[[#This Row],[Vin]]/L*Table1[[#This Row],[t2_Ph_I]])</f>
        <v>0</v>
      </c>
      <c r="S68" s="4">
        <f>Fsw*(Table1[[#This Row],[I_0]]*Table1[[#This Row],[t1_Ph_II]]+Table1[[#This Row],[I_1]]*Table1[[#This Row],[t2_Ph_I]]+Table1[[#This Row],[I_2]]*Table1[[#This Row],[t3_Ph_III]])</f>
        <v>11.9038438597702</v>
      </c>
      <c r="T68" s="354">
        <f>MIN(1,CHOOSE(Table1[[#This Row],[Mode Digit]],(Vout+(Rdson2+Rs+Rdcr)*Table1[[#This Row],[Iout]])/(Table1[[#This Row],[Vin]]+(Rs+Rdson2-Rdson1)*Table1[[#This Row],[Iout]]),1,Fsw*Table1[[#This Row],[t2_Ph_I]]+Table1[[#This Row],[t1_Ph_II]]))</f>
        <v>0.52138564863909509</v>
      </c>
      <c r="U68" s="354">
        <f>MIN(1,CHOOSE(Table1[[#This Row],[Mode Digit]],0,(Vout+(Rdson3+Rdcr)*Table1[[#This Row],[Iin]]-Table1[[#This Row],[Vin]])/(Vout+(Rdson3-Rdson4-Rs)*Table1[[#This Row],[Iin]]),Fsw*Table1[[#This Row],[t1_Ph_II]]+Table1[[#This Row],[t3_Ph_III]]))</f>
        <v>0</v>
      </c>
      <c r="V68" s="4">
        <f>MAX(Table1[[#This Row],[I_0]:[I_2]])-MIN(Table1[[#This Row],[I_0]:[I_1]])</f>
        <v>4.496292904299267</v>
      </c>
      <c r="W6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12.069992577604912</v>
      </c>
      <c r="X68" s="354">
        <f>(Table1[[#This Row],[Irms Lf]]^2*Rdcr*(1+Ltc*Ta-Ltc*25))/(1-Table1[[#This Row],[Irms Lf]]^2*Rdcr*Ltc*ThetaCa)</f>
        <v>0.90623048683705509</v>
      </c>
      <c r="Y68" s="354">
        <f>ABS(7.759*10^-3*Fsw^0.9458*(0.00787*Table1[[#This Row],[Ripple Current pk-pk]])^2.304)</f>
        <v>1.0263227944094</v>
      </c>
      <c r="Z68" s="354">
        <f>Table1[[#This Row],[DCR    Loss]]+Table1[[#This Row],[Core Loss]]</f>
        <v>1.932553281246455</v>
      </c>
      <c r="AA68" s="4">
        <f>IF(Table1[[#This Row],[Vin]]&gt;Vout, Table1[[#This Row],[Ripple Current pk-pk]]/SQRT(12), SQRT(Table1[[#This Row],[Duty Cycle BOOST Leg]]/(1-Table1[[#This Row],[Duty Cycle BOOST Leg]]))*SQRT(Table1[[#This Row],[Iout]]^2+(Table1[[#This Row],[Ripple Current pk-pk]]^2)/12))</f>
        <v>1.2979679593262932</v>
      </c>
      <c r="AB68" s="354">
        <f>RCoutEsr*Table1[[#This Row],[Irms Cout]]^2</f>
        <v>8.4236041171883089E-3</v>
      </c>
      <c r="AC68" s="354">
        <f>Table1[[#This Row],[Cout ESR Loss]]</f>
        <v>8.4236041171883089E-3</v>
      </c>
      <c r="AD68" s="354">
        <f>IF(Table1[[#This Row],[Vin]]&gt;Vout, SQRT(Table1[[#This Row],[Duty Cycle BUCK Leg]]*(1-Table1[[#This Row],[Duty Cycle BUCK Leg]]))*SQRT(Table1[[#This Row],[Iout]]^2+(Table1[[#This Row],[Ripple Current pk-pk]]^2)/12), Table1[[#This Row],[Ripple Current pk-pk]]/SQRT(12))</f>
        <v>6.029473599430812</v>
      </c>
      <c r="AE68" s="354">
        <f>RCinEsr*Table1[[#This Row],[Irms Cin]]^2</f>
        <v>7.270910377246631E-2</v>
      </c>
      <c r="AF68" s="549">
        <f>Table1[[#This Row],[Cin ESR Loss]]</f>
        <v>7.270910377246631E-2</v>
      </c>
      <c r="AG6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8.7153842521906935</v>
      </c>
      <c r="AH68" s="354">
        <f>Rdson1*Table1[[#This Row],[Irms BuCtrl]]^2</f>
        <v>0.31902327518600088</v>
      </c>
      <c r="AI68" s="354">
        <f>CHOOSE(Table1[[#This Row],[Mode Digit]], (Table1[[#This Row],[Vin]]*Table1[[#This Row],[Iout]]/2)*(Fsw)*(Tr_buck+Tf_buck), 0, (Table1[[#This Row],[Vin]]*Table1[[#This Row],[Avg IL]]/2)*(Fsw/1)*(Tr_buck+Tf_buck))</f>
        <v>3.3628383576480103</v>
      </c>
      <c r="AJ68">
        <f>IF(Table1[[#This Row],[Vin]]&gt;Vout, IF(Table1[[#This Row],[Iout]]&gt;Table1[[#This Row],[Ripple Current pk-pk]]/2,0,ABS(Table1[[#This Row],[Iout]]-Table1[[#This Row],[Ripple Current pk-pk]]/2)*Vsd_Q1*Deadtime*Fsw),0)</f>
        <v>0</v>
      </c>
      <c r="AK68" s="354">
        <f>(Table1[[#This Row],[Dead Time Loss BuCtrl]]+Table1[[#This Row],[Transition Loss BuCtrl]]+Table1[[#This Row],[RDS(on) Loss BuCtrl]]*(1+RdsonTopTc*Ta-RdsonTopTc*25))/(1-Table1[[#This Row],[RDS(on) Loss BuCtrl]]*RdsonTopTc*ThetaJA_Q1)</f>
        <v>3.9871392891493405</v>
      </c>
      <c r="AL68" s="354">
        <f>CHOOSE(Table1[[#This Row],[Mode Digit]],SQRT((Fsw*(Table1[[#This Row],[t2_Ph_I]]+0))*((Table1[[#This Row],[I_0]]*Table1[[#This Row],[I_1]]+((Table1[[#This Row],[I_0]]-Table1[[#This Row],[I_1]])^2)/3))),0,SQRT((Fsw*(Table1[[#This Row],[t3_Ph_III]]+0))*((Table1[[#This Row],[I_0]]*Table1[[#This Row],[I_2]]+((Table1[[#This Row],[I_0]]-Table1[[#This Row],[I_2]])^2)/3))))</f>
        <v>8.3502573708900822</v>
      </c>
      <c r="AM68" s="354">
        <f>Rdson2*Table1[[#This Row],[Irms BuSync]]^2</f>
        <v>0.29285255227243751</v>
      </c>
      <c r="AN6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68" s="354">
        <f>(Table1[[#This Row],[Deadtime Loss BuSync]]+Table1[[#This Row],[RDS(on) Loss BuSync]]*(1+RdsonBotTc*Ta-RdsonBotTc*25))/(1-Table1[[#This Row],[RDS(on) Loss BuSync]]*RdsonBotTc*ThetaJA_Q2)</f>
        <v>0.93601116275635154</v>
      </c>
      <c r="AP68" s="354">
        <f>CHOOSE(Table1[[#This Row],[Mode Digit]],0,SQRT((Fsw*(Table1[[#This Row],[t1_Ph_II]]+0))*((Table1[[#This Row],[I_0]]*Table1[[#This Row],[I_1]]+((Table1[[#This Row],[I_0]]-Table1[[#This Row],[I_1]])^2)/3))),SQRT((Fsw*(Table1[[#This Row],[t2_Ph_I]]+0))*((Table1[[#This Row],[I_1]]*Table1[[#This Row],[I_2]]+((Table1[[#This Row],[I_1]]-Table1[[#This Row],[I_2]])^2)/3))))</f>
        <v>0</v>
      </c>
      <c r="AQ68" s="354">
        <f>Rdson4*Table1[[#This Row],[Irms BoCtlr]]^2</f>
        <v>0</v>
      </c>
      <c r="AR68" s="354">
        <f>CHOOSE(Table1[[#This Row],[Mode Digit]], 0, (Vout*Table1[[#This Row],[Iin]]/2)*(Fsw)*(Tr_boost+Tf_boost), (Vout*Iout/2)*(Fsw/1)*(Tr_boost+Tf_boost))</f>
        <v>0</v>
      </c>
      <c r="AS68">
        <f>IF(Table1[[#This Row],[Vin]]&gt;Vout, 0, IF(Table1[[#This Row],[Iin]]&gt;Table1[[#This Row],[Ripple Current pk-pk]]/2,0,ABS(Table1[[#This Row],[Iin]]-Table1[[#This Row],[Ripple Current pk-pk]]/2)*Vsd_Q4*Deadtime*Fsw))</f>
        <v>0</v>
      </c>
      <c r="AT68" s="354">
        <f>(Table1[[#This Row],[Dead Time Loss BoCtlr]]+Table1[[#This Row],[Transition Loss BoCtlr]]+Table1[[#This Row],[RDS(on) Loss BoCtlr]]*(1+RdsonTopTc*Ta-RdsonTopTc*25))/(1-Table1[[#This Row],[RDS(on) Loss BoCtlr]]*RdsonTopTc*ThetaJA_Q4)</f>
        <v>0</v>
      </c>
      <c r="AU6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12.069992577604912</v>
      </c>
      <c r="AV68" s="354">
        <f>Rdson3*Table1[[#This Row],[Irms BoSync]]^2</f>
        <v>0.61187582745843838</v>
      </c>
      <c r="AW6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68" s="354">
        <f>(Table1[[#This Row],[Deadtime Loss BoSync]]+Table1[[#This Row],[RDS(on) Loss BoSync]]*(1+RdsonBotTc*Ta-RdsonBotTc*25))/(1-Table1[[#This Row],[RDS(on) Loss BoSync]]*RdsonBotTc*ThetaJA_Q3)</f>
        <v>0.71719623733980808</v>
      </c>
      <c r="AY68" s="354">
        <f>CHOOSE(Table1[[#This Row],[Mode Digit]], Rdson3*Table1[[#This Row],[Irms Lf]]^2, Rdson1*Table1[[#This Row],[Irms Lf]]^2, 0)</f>
        <v>0.61187582745843838</v>
      </c>
      <c r="AZ68" s="354">
        <f>CHOOSE(Table1[[#This Row],[Mode Digit]], 2*Deadtime*Fsw*IF(VfdSky_Q2&gt;0,VfdSky_Q2,0)*Table1[[#This Row],[Iout]], 2*Deadtime*Fsw*IF(VfdSky_Q3&gt;0,VfdSky_Q3,0)*Table1[[#This Row],[Iin]], 2*Deadtime*Fsw*IF(VfdSky_Q2&gt;0,VfdSky_Q2,0)*Table1[[#This Row],[Iout]]+2*Deadtime*Fsw*IF(VfdSky_Q3&gt;0,VfdSky_Q3,0)*Table1[[#This Row],[Iin]])</f>
        <v>0</v>
      </c>
      <c r="BA68" s="354">
        <f>CHOOSE(Table1[[#This Row],[Mode Digit]], IF(QrrSky_Q2&gt;0,QrrSky_Q2,Qrr_Q2)*Fsw*(Table1[[#This Row],[Vin]]-Table1[[#This Row],[Iout]]*Rdson1),0,  IF(QrrSky_Q2&gt;0,QrrSky_Q2,Qrr_Q2)*Fsw*(Table1[[#This Row],[Vin]]-Table1[[#This Row],[Iout]]*Rdson1)+IF(QrrSky_Q3&gt;0,QrrSky_Q3,Qrr_Q3)*Fsw*Vout)</f>
        <v>0.33851519999999996</v>
      </c>
      <c r="BB68" s="354">
        <f>CHOOSE(Table1[[#This Row],[Mode Digit]],0, IF(QrrSky_Q3&gt;0,QrrSky_Q3,Qrr_Q3)*Fsw*Vout,  IF(QrrSky_Q2&gt;0,QrrSky_Q2,Qrr_Q2)*Fsw*(Table1[[#This Row],[Vin]]-Table1[[#This Row],[Iout]]*Rdson1)+IF(QrrSky_Q3&gt;0,QrrSky_Q3,Qrr_Q3)*Fsw*Vout)</f>
        <v>0</v>
      </c>
      <c r="BC68" s="354">
        <f>CHOOSE(Table1[[#This Row],[Mode Digit]], Rs*Table1[[#This Row],[Irms BuSync]]^2, Rs*Table1[[#This Row],[Irms BoCtlr]]^2, Rs*(Table1[[#This Row],[Irms BuSync]]^2+Table1[[#This Row],[Irms BoCtlr]]^2))</f>
        <v>0.17431699540026038</v>
      </c>
      <c r="BD68" s="354">
        <f t="shared" si="1"/>
        <v>1.44</v>
      </c>
      <c r="BE68" s="354">
        <f>IF(Vout&gt;8, Iq*Vout, Iq*Table1[[#This Row],[Vin]])</f>
        <v>4.3799999999999999E-2</v>
      </c>
      <c r="BF68" s="354">
        <f>CHOOSE(Table1[[#This Row],[Mode Digit]], (Qg_Q1+Qg_Q2)*Fsw, (Qg_Q3+Qg_Q4)*Fsw, (Qg_Q1+Qg_Q2+Qg_Q3+Qg_Q4)*Fsw)*IF(Vout&gt;8, Vout, Table1[[#This Row],[Vin]])</f>
        <v>0.47303999999999996</v>
      </c>
      <c r="BG68" s="354">
        <f t="shared" si="2"/>
        <v>0.45605042016806729</v>
      </c>
      <c r="BH68" s="354">
        <f>Table1[[#This Row],[IQ Loss]]+Table1[[#This Row],[Switching Current Loss]]</f>
        <v>0.51683999999999997</v>
      </c>
      <c r="BI6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10.12370487378187</v>
      </c>
      <c r="BJ68">
        <f>Vout*Table1[[#This Row],[Iout]]</f>
        <v>175.2</v>
      </c>
      <c r="BK68" s="550">
        <f>Table1[[#This Row],[Pout]]/(Table1[[#This Row],[Pout]]+Table1[[#This Row],[Total Loss]])</f>
        <v>0.94537285513109726</v>
      </c>
      <c r="BL6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239.22835734896043</v>
      </c>
      <c r="BM68" s="559">
        <f>IF(Table1[[#This Row],[Vin]]&gt;Vout, Table1[[#This Row],[Total Sync Bu MOSFET Loss]]*ThetaJA_Q2, ThetaJA_Q3*Table1[[#This Row],[Total Sync Bo MOSFET Loss]])</f>
        <v>56.160669765381094</v>
      </c>
      <c r="BN68" s="9"/>
      <c r="BO68" s="4">
        <f>Table1[[#This Row],[EFF, h]]*100</f>
        <v>94.537285513109723</v>
      </c>
      <c r="BP68" s="354">
        <f>Table1[[#This Row],[Total Inductor Loss]]</f>
        <v>1.932553281246455</v>
      </c>
      <c r="BQ68" s="354">
        <f>Table1[[#This Row],[Total Control Bu MOSFET Loss]]+Table1[[#This Row],[Total Sync Bu MOSFET Loss]]+Table1[[#This Row],[Total Control Bo MOSFET Loss]]+Table1[[#This Row],[Total Sync Bo MOSFET Loss]]+Table1[[#This Row],[Reverse Recovery Loss MOSFET D BUCK]]+Table1[[#This Row],[Reverse Recovery Loss MOSFET D BOOST]]</f>
        <v>5.9788618892454997</v>
      </c>
      <c r="BR68" s="354">
        <f>Table1[[#This Row],[Total Control Bu MOSFET Loss]]+Table1[[#This Row],[Reverse Recovery Loss MOSFET D BUCK]]*0.66</f>
        <v>4.2105593211493408</v>
      </c>
      <c r="BS68" s="354">
        <f>Table1[[#This Row],[Total Sync Bu MOSFET Loss]]+Table1[[#This Row],[Reverse Recovery Loss MOSFET D BUCK]]*0.33</f>
        <v>1.0477211787563516</v>
      </c>
      <c r="BT68" s="354">
        <f xml:space="preserve"> Table1[[#This Row],[Total Control Bo MOSFET Loss]]+Table1[[#This Row],[Reverse Recovery Loss MOSFET D BOOST]]*0.66</f>
        <v>0</v>
      </c>
      <c r="BU68" s="354">
        <f xml:space="preserve"> Table1[[#This Row],[Total Sync Bo MOSFET Loss]]+Table1[[#This Row],[Reverse Recovery Loss MOSFET D BOOST]]*0.33</f>
        <v>0.71719623733980808</v>
      </c>
      <c r="BV68" s="354">
        <f>Table1[[#This Row],[Isense Shunt Loss]]</f>
        <v>0.17431699540026038</v>
      </c>
      <c r="CB68" s="18"/>
      <c r="CC68" s="19"/>
    </row>
    <row r="69" spans="1:81" x14ac:dyDescent="0.2">
      <c r="A69" s="23" t="s">
        <v>82</v>
      </c>
      <c r="B69" s="449" t="e">
        <f>1-B68</f>
        <v>#REF!</v>
      </c>
      <c r="C69" s="21" t="s">
        <v>19</v>
      </c>
      <c r="G69">
        <v>60</v>
      </c>
      <c r="H69" s="555">
        <f>VIN_min+(VIN_max-VIN_min)*(Table1[[#This Row],[Step]]/200)</f>
        <v>28.4</v>
      </c>
      <c r="I69" s="4" t="str">
        <f>IF(Mode = 2,IF(Table1[[#This Row],[Vin]]&gt;Vout, "BUCK","BOOST"),IF(Table1[[#This Row],[Vin]]&gt;VIN_BB_to_buck, "BUCK", IF(Table1[[#This Row],[Vin]]&lt;=VIN_boost_to_BB,"BOOST","BUCK-BST")))</f>
        <v>BUCK</v>
      </c>
      <c r="J69">
        <f>IF(Table1[[#This Row],[Mode]]="BOOST",2, IF(Table1[[#This Row],[Mode]]="BUCK", 1,3))</f>
        <v>1</v>
      </c>
      <c r="K69">
        <f t="shared" si="0"/>
        <v>12</v>
      </c>
      <c r="L69" s="4">
        <f>Vout*Table1[[#This Row],[Iout]]/(Table1[[#This Row],[Vin]]*Efficiency)</f>
        <v>6.4936990363232026</v>
      </c>
      <c r="M69" s="711">
        <f>MIN(1/Fsw,CHOOSE(Table1[[#This Row],[Mode Digit]],(Vout+(Rdson2+Rs+Rdcr)*Table1[[#This Row],[Iout]])/(Table1[[#This Row],[Vin]]+(Rs+Rdson2-Rdson1)*Table1[[#This Row],[Iout]])/Fsw,(Vout+(Rdson3+Rdcr)*Table1[[#This Row],[Iin]]-Table1[[#This Row],[Vin]])/(Vout+(Rdson3-Rdson4-Rs)*Table1[[#This Row],[Iin]])/Fsw,t1_Ph_II))</f>
        <v>8.6469691640286082E-7</v>
      </c>
      <c r="N69" s="602">
        <f>CHOOSE(Table1[[#This Row],[Mode Digit]],1/Fsw-Table1[[#This Row],[t1_Ph_II]],1/Fsw-Table1[[#This Row],[t1_Ph_II]],(Vout/Fsw-Table1[[#This Row],[Vin]]*t1_Ph_II)/(Table1[[#This Row],[Vin]]+Vout))</f>
        <v>8.0196975026380584E-7</v>
      </c>
      <c r="O69" s="602">
        <f>1/Fsw-(Table1[[#This Row],[t1_Ph_II]]+Table1[[#This Row],[t2_Ph_I]])</f>
        <v>0</v>
      </c>
      <c r="P6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9.7399966957652495</v>
      </c>
      <c r="Q69" s="4">
        <f>CHOOSE(Table1[[#This Row],[Mode Digit]],Table1[[#This Row],[I_0]]+1/Lf*(Table1[[#This Row],[Vin]]-Vout)*Table1[[#This Row],[t1_Ph_II]],Table1[[#This Row],[I_0]]+1/Lf*Table1[[#This Row],[Vin]]*Table1[[#This Row],[t1_Ph_II]],Table1[[#This Row],[I_0]]+(Table1[[#This Row],[Vin]]-Vout)/L*Table1[[#This Row],[t1_Ph_II]])</f>
        <v>14.260003304234749</v>
      </c>
      <c r="R69" s="4">
        <f>CHOOSE(Table1[[#This Row],[Mode Digit]],0,0,Table1[[#This Row],[I_1]]+Table1[[#This Row],[Vin]]/L*Table1[[#This Row],[t2_Ph_I]])</f>
        <v>0</v>
      </c>
      <c r="S69" s="4">
        <f>Fsw*(Table1[[#This Row],[I_0]]*Table1[[#This Row],[t1_Ph_II]]+Table1[[#This Row],[I_1]]*Table1[[#This Row],[t2_Ph_I]]+Table1[[#This Row],[I_2]]*Table1[[#This Row],[t3_Ph_III]])</f>
        <v>11.91494183835627</v>
      </c>
      <c r="T69" s="354">
        <f>MIN(1,CHOOSE(Table1[[#This Row],[Mode Digit]],(Vout+(Rdson2+Rs+Rdcr)*Table1[[#This Row],[Iout]])/(Table1[[#This Row],[Vin]]+(Rs+Rdson2-Rdson1)*Table1[[#This Row],[Iout]]),1,Fsw*Table1[[#This Row],[t2_Ph_I]]+Table1[[#This Row],[t1_Ph_II]]))</f>
        <v>0.51881814984171648</v>
      </c>
      <c r="U69" s="354">
        <f>MIN(1,CHOOSE(Table1[[#This Row],[Mode Digit]],0,(Vout+(Rdson3+Rdcr)*Table1[[#This Row],[Iin]]-Table1[[#This Row],[Vin]])/(Vout+(Rdson3-Rdson4-Rs)*Table1[[#This Row],[Iin]]),Fsw*Table1[[#This Row],[t1_Ph_II]]+Table1[[#This Row],[t3_Ph_III]]))</f>
        <v>0</v>
      </c>
      <c r="V69" s="4">
        <f>MAX(Table1[[#This Row],[I_0]:[I_2]])-MIN(Table1[[#This Row],[I_0]:[I_1]])</f>
        <v>4.5200066084694992</v>
      </c>
      <c r="W6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12.070730645313782</v>
      </c>
      <c r="X69" s="354">
        <f>(Table1[[#This Row],[Irms Lf]]^2*Rdcr*(1+Ltc*Ta-Ltc*25))/(1-Table1[[#This Row],[Irms Lf]]^2*Rdcr*Ltc*ThetaCa)</f>
        <v>0.9063493566730686</v>
      </c>
      <c r="Y69" s="354">
        <f>ABS(7.759*10^-3*Fsw^0.9458*(0.00787*Table1[[#This Row],[Ripple Current pk-pk]])^2.304)</f>
        <v>1.0388369885137649</v>
      </c>
      <c r="Z69" s="354">
        <f>Table1[[#This Row],[DCR    Loss]]+Table1[[#This Row],[Core Loss]]</f>
        <v>1.9451863451868334</v>
      </c>
      <c r="AA69" s="4">
        <f>IF(Table1[[#This Row],[Vin]]&gt;Vout, Table1[[#This Row],[Ripple Current pk-pk]]/SQRT(12), SQRT(Table1[[#This Row],[Duty Cycle BOOST Leg]]/(1-Table1[[#This Row],[Duty Cycle BOOST Leg]]))*SQRT(Table1[[#This Row],[Iout]]^2+(Table1[[#This Row],[Ripple Current pk-pk]]^2)/12))</f>
        <v>1.3048135160693763</v>
      </c>
      <c r="AB69" s="354">
        <f>RCoutEsr*Table1[[#This Row],[Irms Cout]]^2</f>
        <v>8.5126915585866433E-3</v>
      </c>
      <c r="AC69" s="354">
        <f>Table1[[#This Row],[Cout ESR Loss]]</f>
        <v>8.5126915585866433E-3</v>
      </c>
      <c r="AD69" s="354">
        <f>IF(Table1[[#This Row],[Vin]]&gt;Vout, SQRT(Table1[[#This Row],[Duty Cycle BUCK Leg]]*(1-Table1[[#This Row],[Duty Cycle BUCK Leg]]))*SQRT(Table1[[#This Row],[Iout]]^2+(Table1[[#This Row],[Ripple Current pk-pk]]^2)/12), Table1[[#This Row],[Ripple Current pk-pk]]/SQRT(12))</f>
        <v>6.0310892873856936</v>
      </c>
      <c r="AE69" s="354">
        <f>RCinEsr*Table1[[#This Row],[Irms Cin]]^2</f>
        <v>7.2748075984836943E-2</v>
      </c>
      <c r="AF69" s="549">
        <f>Table1[[#This Row],[Cin ESR Loss]]</f>
        <v>7.2748075984836943E-2</v>
      </c>
      <c r="AG6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8.6944304789978606</v>
      </c>
      <c r="AH69" s="354">
        <f>Rdson1*Table1[[#This Row],[Irms BuCtrl]]^2</f>
        <v>0.31749110968733329</v>
      </c>
      <c r="AI69" s="354">
        <f>CHOOSE(Table1[[#This Row],[Mode Digit]], (Table1[[#This Row],[Vin]]*Table1[[#This Row],[Iout]]/2)*(Fsw)*(Tr_buck+Tf_buck), 0, (Table1[[#This Row],[Vin]]*Table1[[#This Row],[Avg IL]]/2)*(Fsw/1)*(Tr_buck+Tf_buck))</f>
        <v>3.3794978541119418</v>
      </c>
      <c r="AJ69">
        <f>IF(Table1[[#This Row],[Vin]]&gt;Vout, IF(Table1[[#This Row],[Iout]]&gt;Table1[[#This Row],[Ripple Current pk-pk]]/2,0,ABS(Table1[[#This Row],[Iout]]-Table1[[#This Row],[Ripple Current pk-pk]]/2)*Vsd_Q1*Deadtime*Fsw),0)</f>
        <v>0</v>
      </c>
      <c r="AK69" s="354">
        <f>(Table1[[#This Row],[Dead Time Loss BuCtrl]]+Table1[[#This Row],[Transition Loss BuCtrl]]+Table1[[#This Row],[RDS(on) Loss BuCtrl]]*(1+RdsonTopTc*Ta-RdsonTopTc*25))/(1-Table1[[#This Row],[RDS(on) Loss BuCtrl]]*RdsonTopTc*ThetaJA_Q1)</f>
        <v>4.0019272840300033</v>
      </c>
      <c r="AL69" s="354">
        <f>CHOOSE(Table1[[#This Row],[Mode Digit]],SQRT((Fsw*(Table1[[#This Row],[t2_Ph_I]]+0))*((Table1[[#This Row],[I_0]]*Table1[[#This Row],[I_1]]+((Table1[[#This Row],[I_0]]-Table1[[#This Row],[I_1]])^2)/3))),0,SQRT((Fsw*(Table1[[#This Row],[t3_Ph_III]]+0))*((Table1[[#This Row],[I_0]]*Table1[[#This Row],[I_2]]+((Table1[[#This Row],[I_0]]-Table1[[#This Row],[I_2]])^2)/3))))</f>
        <v>8.373136625995679</v>
      </c>
      <c r="AM69" s="354">
        <f>Rdson2*Table1[[#This Row],[Irms BuSync]]^2</f>
        <v>0.29445955122187928</v>
      </c>
      <c r="AN6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69" s="354">
        <f>(Table1[[#This Row],[Deadtime Loss BuSync]]+Table1[[#This Row],[RDS(on) Loss BuSync]]*(1+RdsonBotTc*Ta-RdsonBotTc*25))/(1-Table1[[#This Row],[RDS(on) Loss BuSync]]*RdsonBotTc*ThetaJA_Q2)</f>
        <v>0.93812881753739774</v>
      </c>
      <c r="AP69" s="354">
        <f>CHOOSE(Table1[[#This Row],[Mode Digit]],0,SQRT((Fsw*(Table1[[#This Row],[t1_Ph_II]]+0))*((Table1[[#This Row],[I_0]]*Table1[[#This Row],[I_1]]+((Table1[[#This Row],[I_0]]-Table1[[#This Row],[I_1]])^2)/3))),SQRT((Fsw*(Table1[[#This Row],[t2_Ph_I]]+0))*((Table1[[#This Row],[I_1]]*Table1[[#This Row],[I_2]]+((Table1[[#This Row],[I_1]]-Table1[[#This Row],[I_2]])^2)/3))))</f>
        <v>0</v>
      </c>
      <c r="AQ69" s="354">
        <f>Rdson4*Table1[[#This Row],[Irms BoCtlr]]^2</f>
        <v>0</v>
      </c>
      <c r="AR69" s="354">
        <f>CHOOSE(Table1[[#This Row],[Mode Digit]], 0, (Vout*Table1[[#This Row],[Iin]]/2)*(Fsw)*(Tr_boost+Tf_boost), (Vout*Iout/2)*(Fsw/1)*(Tr_boost+Tf_boost))</f>
        <v>0</v>
      </c>
      <c r="AS69">
        <f>IF(Table1[[#This Row],[Vin]]&gt;Vout, 0, IF(Table1[[#This Row],[Iin]]&gt;Table1[[#This Row],[Ripple Current pk-pk]]/2,0,ABS(Table1[[#This Row],[Iin]]-Table1[[#This Row],[Ripple Current pk-pk]]/2)*Vsd_Q4*Deadtime*Fsw))</f>
        <v>0</v>
      </c>
      <c r="AT69" s="354">
        <f>(Table1[[#This Row],[Dead Time Loss BoCtlr]]+Table1[[#This Row],[Transition Loss BoCtlr]]+Table1[[#This Row],[RDS(on) Loss BoCtlr]]*(1+RdsonTopTc*Ta-RdsonTopTc*25))/(1-Table1[[#This Row],[RDS(on) Loss BoCtlr]]*RdsonTopTc*ThetaJA_Q4)</f>
        <v>0</v>
      </c>
      <c r="AU6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12.070730645313782</v>
      </c>
      <c r="AV69" s="354">
        <f>Rdson3*Table1[[#This Row],[Irms BoSync]]^2</f>
        <v>0.61195066090921257</v>
      </c>
      <c r="AW6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69" s="354">
        <f>(Table1[[#This Row],[Deadtime Loss BoSync]]+Table1[[#This Row],[RDS(on) Loss BoSync]]*(1+RdsonBotTc*Ta-RdsonBotTc*25))/(1-Table1[[#This Row],[RDS(on) Loss BoSync]]*RdsonBotTc*ThetaJA_Q3)</f>
        <v>0.71729905183008602</v>
      </c>
      <c r="AY69" s="354">
        <f>CHOOSE(Table1[[#This Row],[Mode Digit]], Rdson3*Table1[[#This Row],[Irms Lf]]^2, Rdson1*Table1[[#This Row],[Irms Lf]]^2, 0)</f>
        <v>0.61195066090921257</v>
      </c>
      <c r="AZ69" s="354">
        <f>CHOOSE(Table1[[#This Row],[Mode Digit]], 2*Deadtime*Fsw*IF(VfdSky_Q2&gt;0,VfdSky_Q2,0)*Table1[[#This Row],[Iout]], 2*Deadtime*Fsw*IF(VfdSky_Q3&gt;0,VfdSky_Q3,0)*Table1[[#This Row],[Iin]], 2*Deadtime*Fsw*IF(VfdSky_Q2&gt;0,VfdSky_Q2,0)*Table1[[#This Row],[Iout]]+2*Deadtime*Fsw*IF(VfdSky_Q3&gt;0,VfdSky_Q3,0)*Table1[[#This Row],[Iin]])</f>
        <v>0</v>
      </c>
      <c r="BA69" s="354">
        <f>CHOOSE(Table1[[#This Row],[Mode Digit]], IF(QrrSky_Q2&gt;0,QrrSky_Q2,Qrr_Q2)*Fsw*(Table1[[#This Row],[Vin]]-Table1[[#This Row],[Iout]]*Rdson1),0,  IF(QrrSky_Q2&gt;0,QrrSky_Q2,Qrr_Q2)*Fsw*(Table1[[#This Row],[Vin]]-Table1[[#This Row],[Iout]]*Rdson1)+IF(QrrSky_Q3&gt;0,QrrSky_Q3,Qrr_Q3)*Fsw*Vout)</f>
        <v>0.34019519999999998</v>
      </c>
      <c r="BB69" s="354">
        <f>CHOOSE(Table1[[#This Row],[Mode Digit]],0, IF(QrrSky_Q3&gt;0,QrrSky_Q3,Qrr_Q3)*Fsw*Vout,  IF(QrrSky_Q2&gt;0,QrrSky_Q2,Qrr_Q2)*Fsw*(Table1[[#This Row],[Vin]]-Table1[[#This Row],[Iout]]*Rdson1)+IF(QrrSky_Q3&gt;0,QrrSky_Q3,Qrr_Q3)*Fsw*Vout)</f>
        <v>0</v>
      </c>
      <c r="BC69" s="354">
        <f>CHOOSE(Table1[[#This Row],[Mode Digit]], Rs*Table1[[#This Row],[Irms BuSync]]^2, Rs*Table1[[#This Row],[Irms BoCtlr]]^2, Rs*(Table1[[#This Row],[Irms BuSync]]^2+Table1[[#This Row],[Irms BoCtlr]]^2))</f>
        <v>0.17527354239397575</v>
      </c>
      <c r="BD69" s="354">
        <f t="shared" si="1"/>
        <v>1.44</v>
      </c>
      <c r="BE69" s="354">
        <f>IF(Vout&gt;8, Iq*Vout, Iq*Table1[[#This Row],[Vin]])</f>
        <v>4.3799999999999999E-2</v>
      </c>
      <c r="BF69" s="354">
        <f>CHOOSE(Table1[[#This Row],[Mode Digit]], (Qg_Q1+Qg_Q2)*Fsw, (Qg_Q3+Qg_Q4)*Fsw, (Qg_Q1+Qg_Q2+Qg_Q3+Qg_Q4)*Fsw)*IF(Vout&gt;8, Vout, Table1[[#This Row],[Vin]])</f>
        <v>0.47303999999999996</v>
      </c>
      <c r="BG69" s="354">
        <f t="shared" si="2"/>
        <v>0.45605042016806729</v>
      </c>
      <c r="BH69" s="354">
        <f>Table1[[#This Row],[IQ Loss]]+Table1[[#This Row],[Switching Current Loss]]</f>
        <v>0.51683999999999997</v>
      </c>
      <c r="BI6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10.156111008521719</v>
      </c>
      <c r="BJ69">
        <f>Vout*Table1[[#This Row],[Iout]]</f>
        <v>175.2</v>
      </c>
      <c r="BK69" s="550">
        <f>Table1[[#This Row],[Pout]]/(Table1[[#This Row],[Pout]]+Table1[[#This Row],[Total Loss]])</f>
        <v>0.94520757393288857</v>
      </c>
      <c r="BL6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240.1156370418002</v>
      </c>
      <c r="BM69" s="559">
        <f>IF(Table1[[#This Row],[Vin]]&gt;Vout, Table1[[#This Row],[Total Sync Bu MOSFET Loss]]*ThetaJA_Q2, ThetaJA_Q3*Table1[[#This Row],[Total Sync Bo MOSFET Loss]])</f>
        <v>56.287729052243861</v>
      </c>
      <c r="BN69" s="9"/>
      <c r="BO69" s="4">
        <f>Table1[[#This Row],[EFF, h]]*100</f>
        <v>94.520757393288861</v>
      </c>
      <c r="BP69" s="354">
        <f>Table1[[#This Row],[Total Inductor Loss]]</f>
        <v>1.9451863451868334</v>
      </c>
      <c r="BQ69" s="354">
        <f>Table1[[#This Row],[Total Control Bu MOSFET Loss]]+Table1[[#This Row],[Total Sync Bu MOSFET Loss]]+Table1[[#This Row],[Total Control Bo MOSFET Loss]]+Table1[[#This Row],[Total Sync Bo MOSFET Loss]]+Table1[[#This Row],[Reverse Recovery Loss MOSFET D BUCK]]+Table1[[#This Row],[Reverse Recovery Loss MOSFET D BOOST]]</f>
        <v>5.9975503533974868</v>
      </c>
      <c r="BR69" s="354">
        <f>Table1[[#This Row],[Total Control Bu MOSFET Loss]]+Table1[[#This Row],[Reverse Recovery Loss MOSFET D BUCK]]*0.66</f>
        <v>4.2264561160300032</v>
      </c>
      <c r="BS69" s="354">
        <f>Table1[[#This Row],[Total Sync Bu MOSFET Loss]]+Table1[[#This Row],[Reverse Recovery Loss MOSFET D BUCK]]*0.33</f>
        <v>1.0503932335373978</v>
      </c>
      <c r="BT69" s="354">
        <f xml:space="preserve"> Table1[[#This Row],[Total Control Bo MOSFET Loss]]+Table1[[#This Row],[Reverse Recovery Loss MOSFET D BOOST]]*0.66</f>
        <v>0</v>
      </c>
      <c r="BU69" s="354">
        <f xml:space="preserve"> Table1[[#This Row],[Total Sync Bo MOSFET Loss]]+Table1[[#This Row],[Reverse Recovery Loss MOSFET D BOOST]]*0.33</f>
        <v>0.71729905183008602</v>
      </c>
      <c r="BV69" s="354">
        <f>Table1[[#This Row],[Isense Shunt Loss]]</f>
        <v>0.17527354239397575</v>
      </c>
      <c r="CB69" s="18"/>
      <c r="CC69" s="19"/>
    </row>
    <row r="70" spans="1:81" x14ac:dyDescent="0.2">
      <c r="A70" s="33" t="s">
        <v>241</v>
      </c>
      <c r="B70" s="449">
        <f>Iripple_Vinnom</f>
        <v>2.5018608450959925</v>
      </c>
      <c r="C70" s="21" t="s">
        <v>2</v>
      </c>
      <c r="G70">
        <v>61</v>
      </c>
      <c r="H70" s="555">
        <f>VIN_min+(VIN_max-VIN_min)*(Table1[[#This Row],[Step]]/200)</f>
        <v>28.54</v>
      </c>
      <c r="I70" s="4" t="str">
        <f>IF(Mode = 2,IF(Table1[[#This Row],[Vin]]&gt;Vout, "BUCK","BOOST"),IF(Table1[[#This Row],[Vin]]&gt;VIN_BB_to_buck, "BUCK", IF(Table1[[#This Row],[Vin]]&lt;=VIN_boost_to_BB,"BOOST","BUCK-BST")))</f>
        <v>BUCK</v>
      </c>
      <c r="J70">
        <f>IF(Table1[[#This Row],[Mode]]="BOOST",2, IF(Table1[[#This Row],[Mode]]="BUCK", 1,3))</f>
        <v>1</v>
      </c>
      <c r="K70">
        <f t="shared" si="0"/>
        <v>12</v>
      </c>
      <c r="L70" s="4">
        <f>Vout*Table1[[#This Row],[Iout]]/(Table1[[#This Row],[Vin]]*Efficiency)</f>
        <v>6.4618448714638728</v>
      </c>
      <c r="M70" s="711">
        <f>MIN(1/Fsw,CHOOSE(Table1[[#This Row],[Mode Digit]],(Vout+(Rdson2+Rs+Rdcr)*Table1[[#This Row],[Iout]])/(Table1[[#This Row],[Vin]]+(Rs+Rdson2-Rdson1)*Table1[[#This Row],[Iout]])/Fsw,(Vout+(Rdson3+Rdcr)*Table1[[#This Row],[Iin]]-Table1[[#This Row],[Vin]])/(Vout+(Rdson3-Rdson4-Rs)*Table1[[#This Row],[Iin]])/Fsw,t1_Ph_II))</f>
        <v>8.6045968965114922E-7</v>
      </c>
      <c r="N70" s="602">
        <f>CHOOSE(Table1[[#This Row],[Mode Digit]],1/Fsw-Table1[[#This Row],[t1_Ph_II]],1/Fsw-Table1[[#This Row],[t1_Ph_II]],(Vout/Fsw-Table1[[#This Row],[Vin]]*t1_Ph_II)/(Table1[[#This Row],[Vin]]+Vout))</f>
        <v>8.0620697701551744E-7</v>
      </c>
      <c r="O70" s="602">
        <f>1/Fsw-(Table1[[#This Row],[t1_Ph_II]]+Table1[[#This Row],[t2_Ph_I]])</f>
        <v>0</v>
      </c>
      <c r="P7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9.7282560466407162</v>
      </c>
      <c r="Q70" s="4">
        <f>CHOOSE(Table1[[#This Row],[Mode Digit]],Table1[[#This Row],[I_0]]+1/Lf*(Table1[[#This Row],[Vin]]-Vout)*Table1[[#This Row],[t1_Ph_II]],Table1[[#This Row],[I_0]]+1/Lf*Table1[[#This Row],[Vin]]*Table1[[#This Row],[t1_Ph_II]],Table1[[#This Row],[I_0]]+(Table1[[#This Row],[Vin]]-Vout)/L*Table1[[#This Row],[t1_Ph_II]])</f>
        <v>14.271743953359284</v>
      </c>
      <c r="R70" s="4">
        <f>CHOOSE(Table1[[#This Row],[Mode Digit]],0,0,Table1[[#This Row],[I_1]]+Table1[[#This Row],[Vin]]/L*Table1[[#This Row],[t2_Ph_I]])</f>
        <v>0</v>
      </c>
      <c r="S70" s="4">
        <f>Fsw*(Table1[[#This Row],[I_0]]*Table1[[#This Row],[t1_Ph_II]]+Table1[[#This Row],[I_1]]*Table1[[#This Row],[t2_Ph_I]]+Table1[[#This Row],[I_2]]*Table1[[#This Row],[t3_Ph_III]])</f>
        <v>11.926051036869998</v>
      </c>
      <c r="T70" s="354">
        <f>MIN(1,CHOOSE(Table1[[#This Row],[Mode Digit]],(Vout+(Rdson2+Rs+Rdcr)*Table1[[#This Row],[Iout]])/(Table1[[#This Row],[Vin]]+(Rs+Rdson2-Rdson1)*Table1[[#This Row],[Iout]]),1,Fsw*Table1[[#This Row],[t2_Ph_I]]+Table1[[#This Row],[t1_Ph_II]]))</f>
        <v>0.51627581379068954</v>
      </c>
      <c r="U70" s="354">
        <f>MIN(1,CHOOSE(Table1[[#This Row],[Mode Digit]],0,(Vout+(Rdson3+Rdcr)*Table1[[#This Row],[Iin]]-Table1[[#This Row],[Vin]])/(Vout+(Rdson3-Rdson4-Rs)*Table1[[#This Row],[Iin]]),Fsw*Table1[[#This Row],[t1_Ph_II]]+Table1[[#This Row],[t3_Ph_III]]))</f>
        <v>0</v>
      </c>
      <c r="V70" s="4">
        <f>MAX(Table1[[#This Row],[I_0]:[I_2]])-MIN(Table1[[#This Row],[I_0]:[I_1]])</f>
        <v>4.5434879067185676</v>
      </c>
      <c r="W7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12.071465260268731</v>
      </c>
      <c r="X70" s="354">
        <f>(Table1[[#This Row],[Irms Lf]]^2*Rdcr*(1+Ltc*Ta-Ltc*25))/(1-Table1[[#This Row],[Irms Lf]]^2*Rdcr*Ltc*ThetaCa)</f>
        <v>0.90646767973524711</v>
      </c>
      <c r="Y70" s="354">
        <f>ABS(7.759*10^-3*Fsw^0.9458*(0.00787*Table1[[#This Row],[Ripple Current pk-pk]])^2.304)</f>
        <v>1.0513131850484214</v>
      </c>
      <c r="Z70" s="354">
        <f>Table1[[#This Row],[DCR    Loss]]+Table1[[#This Row],[Core Loss]]</f>
        <v>1.9577808647836685</v>
      </c>
      <c r="AA70" s="4">
        <f>IF(Table1[[#This Row],[Vin]]&gt;Vout, Table1[[#This Row],[Ripple Current pk-pk]]/SQRT(12), SQRT(Table1[[#This Row],[Duty Cycle BOOST Leg]]/(1-Table1[[#This Row],[Duty Cycle BOOST Leg]]))*SQRT(Table1[[#This Row],[Iout]]^2+(Table1[[#This Row],[Ripple Current pk-pk]]^2)/12))</f>
        <v>1.3115919830018872</v>
      </c>
      <c r="AB70" s="354">
        <f>RCoutEsr*Table1[[#This Row],[Irms Cout]]^2</f>
        <v>8.6013676493741139E-3</v>
      </c>
      <c r="AC70" s="354">
        <f>Table1[[#This Row],[Cout ESR Loss]]</f>
        <v>8.6013676493741139E-3</v>
      </c>
      <c r="AD70" s="354">
        <f>IF(Table1[[#This Row],[Vin]]&gt;Vout, SQRT(Table1[[#This Row],[Duty Cycle BUCK Leg]]*(1-Table1[[#This Row],[Duty Cycle BUCK Leg]]))*SQRT(Table1[[#This Row],[Iout]]^2+(Table1[[#This Row],[Ripple Current pk-pk]]^2)/12), Table1[[#This Row],[Ripple Current pk-pk]]/SQRT(12))</f>
        <v>6.0325340259196176</v>
      </c>
      <c r="AE70" s="354">
        <f>RCinEsr*Table1[[#This Row],[Irms Cin]]^2</f>
        <v>7.2782933547755904E-2</v>
      </c>
      <c r="AF70" s="549">
        <f>Table1[[#This Row],[Cin ESR Loss]]</f>
        <v>7.2782933547755904E-2</v>
      </c>
      <c r="AG7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8.6736297363005992</v>
      </c>
      <c r="AH70" s="354">
        <f>Rdson1*Table1[[#This Row],[Irms BuCtrl]]^2</f>
        <v>0.31597378177023966</v>
      </c>
      <c r="AI70" s="354">
        <f>CHOOSE(Table1[[#This Row],[Mode Digit]], (Table1[[#This Row],[Vin]]*Table1[[#This Row],[Iout]]/2)*(Fsw)*(Tr_buck+Tf_buck), 0, (Table1[[#This Row],[Vin]]*Table1[[#This Row],[Avg IL]]/2)*(Fsw/1)*(Tr_buck+Tf_buck))</f>
        <v>3.3961573505758746</v>
      </c>
      <c r="AJ70">
        <f>IF(Table1[[#This Row],[Vin]]&gt;Vout, IF(Table1[[#This Row],[Iout]]&gt;Table1[[#This Row],[Ripple Current pk-pk]]/2,0,ABS(Table1[[#This Row],[Iout]]-Table1[[#This Row],[Ripple Current pk-pk]]/2)*Vsd_Q1*Deadtime*Fsw),0)</f>
        <v>0</v>
      </c>
      <c r="AK70" s="354">
        <f>(Table1[[#This Row],[Dead Time Loss BuCtrl]]+Table1[[#This Row],[Transition Loss BuCtrl]]+Table1[[#This Row],[RDS(on) Loss BuCtrl]]*(1+RdsonTopTc*Ta-RdsonTopTc*25))/(1-Table1[[#This Row],[RDS(on) Loss BuCtrl]]*RdsonTopTc*ThetaJA_Q1)</f>
        <v>4.0167350432201943</v>
      </c>
      <c r="AL70" s="354">
        <f>CHOOSE(Table1[[#This Row],[Mode Digit]],SQRT((Fsw*(Table1[[#This Row],[t2_Ph_I]]+0))*((Table1[[#This Row],[I_0]]*Table1[[#This Row],[I_1]]+((Table1[[#This Row],[I_0]]-Table1[[#This Row],[I_1]])^2)/3))),0,SQRT((Fsw*(Table1[[#This Row],[t3_Ph_III]]+0))*((Table1[[#This Row],[I_0]]*Table1[[#This Row],[I_2]]+((Table1[[#This Row],[I_0]]-Table1[[#This Row],[I_2]])^2)/3))))</f>
        <v>8.3957382479110692</v>
      </c>
      <c r="AM70" s="354">
        <f>Rdson2*Table1[[#This Row],[Irms BuSync]]^2</f>
        <v>0.29605136705523472</v>
      </c>
      <c r="AN7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70" s="354">
        <f>(Table1[[#This Row],[Deadtime Loss BuSync]]+Table1[[#This Row],[RDS(on) Loss BuSync]]*(1+RdsonBotTc*Ta-RdsonBotTc*25))/(1-Table1[[#This Row],[RDS(on) Loss BuSync]]*RdsonBotTc*ThetaJA_Q2)</f>
        <v>0.94022819803605207</v>
      </c>
      <c r="AP70" s="354">
        <f>CHOOSE(Table1[[#This Row],[Mode Digit]],0,SQRT((Fsw*(Table1[[#This Row],[t1_Ph_II]]+0))*((Table1[[#This Row],[I_0]]*Table1[[#This Row],[I_1]]+((Table1[[#This Row],[I_0]]-Table1[[#This Row],[I_1]])^2)/3))),SQRT((Fsw*(Table1[[#This Row],[t2_Ph_I]]+0))*((Table1[[#This Row],[I_1]]*Table1[[#This Row],[I_2]]+((Table1[[#This Row],[I_1]]-Table1[[#This Row],[I_2]])^2)/3))))</f>
        <v>0</v>
      </c>
      <c r="AQ70" s="354">
        <f>Rdson4*Table1[[#This Row],[Irms BoCtlr]]^2</f>
        <v>0</v>
      </c>
      <c r="AR70" s="354">
        <f>CHOOSE(Table1[[#This Row],[Mode Digit]], 0, (Vout*Table1[[#This Row],[Iin]]/2)*(Fsw)*(Tr_boost+Tf_boost), (Vout*Iout/2)*(Fsw/1)*(Tr_boost+Tf_boost))</f>
        <v>0</v>
      </c>
      <c r="AS70">
        <f>IF(Table1[[#This Row],[Vin]]&gt;Vout, 0, IF(Table1[[#This Row],[Iin]]&gt;Table1[[#This Row],[Ripple Current pk-pk]]/2,0,ABS(Table1[[#This Row],[Iin]]-Table1[[#This Row],[Ripple Current pk-pk]]/2)*Vsd_Q4*Deadtime*Fsw))</f>
        <v>0</v>
      </c>
      <c r="AT70" s="354">
        <f>(Table1[[#This Row],[Dead Time Loss BoCtlr]]+Table1[[#This Row],[Transition Loss BoCtlr]]+Table1[[#This Row],[RDS(on) Loss BoCtlr]]*(1+RdsonTopTc*Ta-RdsonTopTc*25))/(1-Table1[[#This Row],[RDS(on) Loss BoCtlr]]*RdsonTopTc*ThetaJA_Q4)</f>
        <v>0</v>
      </c>
      <c r="AU7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12.071465260268731</v>
      </c>
      <c r="AV70" s="354">
        <f>Rdson3*Table1[[#This Row],[Irms BoSync]]^2</f>
        <v>0.61202514882547432</v>
      </c>
      <c r="AW7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70" s="354">
        <f>(Table1[[#This Row],[Deadtime Loss BoSync]]+Table1[[#This Row],[RDS(on) Loss BoSync]]*(1+RdsonBotTc*Ta-RdsonBotTc*25))/(1-Table1[[#This Row],[RDS(on) Loss BoSync]]*RdsonBotTc*ThetaJA_Q3)</f>
        <v>0.71740139588577734</v>
      </c>
      <c r="AY70" s="354">
        <f>CHOOSE(Table1[[#This Row],[Mode Digit]], Rdson3*Table1[[#This Row],[Irms Lf]]^2, Rdson1*Table1[[#This Row],[Irms Lf]]^2, 0)</f>
        <v>0.61202514882547432</v>
      </c>
      <c r="AZ70" s="354">
        <f>CHOOSE(Table1[[#This Row],[Mode Digit]], 2*Deadtime*Fsw*IF(VfdSky_Q2&gt;0,VfdSky_Q2,0)*Table1[[#This Row],[Iout]], 2*Deadtime*Fsw*IF(VfdSky_Q3&gt;0,VfdSky_Q3,0)*Table1[[#This Row],[Iin]], 2*Deadtime*Fsw*IF(VfdSky_Q2&gt;0,VfdSky_Q2,0)*Table1[[#This Row],[Iout]]+2*Deadtime*Fsw*IF(VfdSky_Q3&gt;0,VfdSky_Q3,0)*Table1[[#This Row],[Iin]])</f>
        <v>0</v>
      </c>
      <c r="BA70" s="354">
        <f>CHOOSE(Table1[[#This Row],[Mode Digit]], IF(QrrSky_Q2&gt;0,QrrSky_Q2,Qrr_Q2)*Fsw*(Table1[[#This Row],[Vin]]-Table1[[#This Row],[Iout]]*Rdson1),0,  IF(QrrSky_Q2&gt;0,QrrSky_Q2,Qrr_Q2)*Fsw*(Table1[[#This Row],[Vin]]-Table1[[#This Row],[Iout]]*Rdson1)+IF(QrrSky_Q3&gt;0,QrrSky_Q3,Qrr_Q3)*Fsw*Vout)</f>
        <v>0.34187519999999999</v>
      </c>
      <c r="BB70" s="354">
        <f>CHOOSE(Table1[[#This Row],[Mode Digit]],0, IF(QrrSky_Q3&gt;0,QrrSky_Q3,Qrr_Q3)*Fsw*Vout,  IF(QrrSky_Q2&gt;0,QrrSky_Q2,Qrr_Q2)*Fsw*(Table1[[#This Row],[Vin]]-Table1[[#This Row],[Iout]]*Rdson1)+IF(QrrSky_Q3&gt;0,QrrSky_Q3,Qrr_Q3)*Fsw*Vout)</f>
        <v>0</v>
      </c>
      <c r="BC70" s="354">
        <f>CHOOSE(Table1[[#This Row],[Mode Digit]], Rs*Table1[[#This Row],[Irms BuSync]]^2, Rs*Table1[[#This Row],[Irms BoCtlr]]^2, Rs*(Table1[[#This Row],[Irms BuSync]]^2+Table1[[#This Row],[Irms BoCtlr]]^2))</f>
        <v>0.17622105181859207</v>
      </c>
      <c r="BD70" s="354">
        <f t="shared" si="1"/>
        <v>1.44</v>
      </c>
      <c r="BE70" s="354">
        <f>IF(Vout&gt;8, Iq*Vout, Iq*Table1[[#This Row],[Vin]])</f>
        <v>4.3799999999999999E-2</v>
      </c>
      <c r="BF70" s="354">
        <f>CHOOSE(Table1[[#This Row],[Mode Digit]], (Qg_Q1+Qg_Q2)*Fsw, (Qg_Q3+Qg_Q4)*Fsw, (Qg_Q1+Qg_Q2+Qg_Q3+Qg_Q4)*Fsw)*IF(Vout&gt;8, Vout, Table1[[#This Row],[Vin]])</f>
        <v>0.47303999999999996</v>
      </c>
      <c r="BG70" s="354">
        <f t="shared" si="2"/>
        <v>0.45605042016806729</v>
      </c>
      <c r="BH70" s="354">
        <f>Table1[[#This Row],[IQ Loss]]+Table1[[#This Row],[Switching Current Loss]]</f>
        <v>0.51683999999999997</v>
      </c>
      <c r="BI7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10.188466054941413</v>
      </c>
      <c r="BJ70">
        <f>Vout*Table1[[#This Row],[Iout]]</f>
        <v>175.2</v>
      </c>
      <c r="BK70" s="550">
        <f>Table1[[#This Row],[Pout]]/(Table1[[#This Row],[Pout]]+Table1[[#This Row],[Total Loss]])</f>
        <v>0.94504261094688613</v>
      </c>
      <c r="BL7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241.00410259321166</v>
      </c>
      <c r="BM70" s="559">
        <f>IF(Table1[[#This Row],[Vin]]&gt;Vout, Table1[[#This Row],[Total Sync Bu MOSFET Loss]]*ThetaJA_Q2, ThetaJA_Q3*Table1[[#This Row],[Total Sync Bo MOSFET Loss]])</f>
        <v>56.413691882163121</v>
      </c>
      <c r="BN70" s="9"/>
      <c r="BO70" s="4">
        <f>Table1[[#This Row],[EFF, h]]*100</f>
        <v>94.504261094688616</v>
      </c>
      <c r="BP70" s="354">
        <f>Table1[[#This Row],[Total Inductor Loss]]</f>
        <v>1.9577808647836685</v>
      </c>
      <c r="BQ70" s="354">
        <f>Table1[[#This Row],[Total Control Bu MOSFET Loss]]+Table1[[#This Row],[Total Sync Bu MOSFET Loss]]+Table1[[#This Row],[Total Control Bo MOSFET Loss]]+Table1[[#This Row],[Total Sync Bo MOSFET Loss]]+Table1[[#This Row],[Reverse Recovery Loss MOSFET D BUCK]]+Table1[[#This Row],[Reverse Recovery Loss MOSFET D BOOST]]</f>
        <v>6.0162398371420229</v>
      </c>
      <c r="BR70" s="354">
        <f>Table1[[#This Row],[Total Control Bu MOSFET Loss]]+Table1[[#This Row],[Reverse Recovery Loss MOSFET D BUCK]]*0.66</f>
        <v>4.242372675220194</v>
      </c>
      <c r="BS70" s="354">
        <f>Table1[[#This Row],[Total Sync Bu MOSFET Loss]]+Table1[[#This Row],[Reverse Recovery Loss MOSFET D BUCK]]*0.33</f>
        <v>1.0530470140360522</v>
      </c>
      <c r="BT70" s="354">
        <f xml:space="preserve"> Table1[[#This Row],[Total Control Bo MOSFET Loss]]+Table1[[#This Row],[Reverse Recovery Loss MOSFET D BOOST]]*0.66</f>
        <v>0</v>
      </c>
      <c r="BU70" s="354">
        <f xml:space="preserve"> Table1[[#This Row],[Total Sync Bo MOSFET Loss]]+Table1[[#This Row],[Reverse Recovery Loss MOSFET D BOOST]]*0.33</f>
        <v>0.71740139588577734</v>
      </c>
      <c r="BV70" s="354">
        <f>Table1[[#This Row],[Isense Shunt Loss]]</f>
        <v>0.17622105181859207</v>
      </c>
      <c r="CB70" s="18"/>
      <c r="CC70" s="19"/>
    </row>
    <row r="71" spans="1:81" x14ac:dyDescent="0.2">
      <c r="A71" s="14" t="s">
        <v>63</v>
      </c>
      <c r="B71" s="15" t="s">
        <v>8</v>
      </c>
      <c r="C71" s="17" t="s">
        <v>80</v>
      </c>
      <c r="G71">
        <v>62</v>
      </c>
      <c r="H71" s="555">
        <f>VIN_min+(VIN_max-VIN_min)*(Table1[[#This Row],[Step]]/200)</f>
        <v>28.68</v>
      </c>
      <c r="I71" s="4" t="str">
        <f>IF(Mode = 2,IF(Table1[[#This Row],[Vin]]&gt;Vout, "BUCK","BOOST"),IF(Table1[[#This Row],[Vin]]&gt;VIN_BB_to_buck, "BUCK", IF(Table1[[#This Row],[Vin]]&lt;=VIN_boost_to_BB,"BOOST","BUCK-BST")))</f>
        <v>BUCK</v>
      </c>
      <c r="J71">
        <f>IF(Table1[[#This Row],[Mode]]="BOOST",2, IF(Table1[[#This Row],[Mode]]="BUCK", 1,3))</f>
        <v>1</v>
      </c>
      <c r="K71">
        <f t="shared" si="0"/>
        <v>12</v>
      </c>
      <c r="L71" s="4">
        <f>Vout*Table1[[#This Row],[Iout]]/(Table1[[#This Row],[Vin]]*Efficiency)</f>
        <v>6.4303016956617487</v>
      </c>
      <c r="M71" s="711">
        <f>MIN(1/Fsw,CHOOSE(Table1[[#This Row],[Mode Digit]],(Vout+(Rdson2+Rs+Rdcr)*Table1[[#This Row],[Iout]])/(Table1[[#This Row],[Vin]]+(Rs+Rdson2-Rdson1)*Table1[[#This Row],[Iout]])/Fsw,(Vout+(Rdson3+Rdcr)*Table1[[#This Row],[Iin]]-Table1[[#This Row],[Vin]])/(Vout+(Rdson3-Rdson4-Rs)*Table1[[#This Row],[Iin]])/Fsw,t1_Ph_II))</f>
        <v>8.5626378729826994E-7</v>
      </c>
      <c r="N71" s="602">
        <f>CHOOSE(Table1[[#This Row],[Mode Digit]],1/Fsw-Table1[[#This Row],[t1_Ph_II]],1/Fsw-Table1[[#This Row],[t1_Ph_II]],(Vout/Fsw-Table1[[#This Row],[Vin]]*t1_Ph_II)/(Table1[[#This Row],[Vin]]+Vout))</f>
        <v>8.1040287936839672E-7</v>
      </c>
      <c r="O71" s="602">
        <f>1/Fsw-(Table1[[#This Row],[t1_Ph_II]]+Table1[[#This Row],[t2_Ph_I]])</f>
        <v>0</v>
      </c>
      <c r="P7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9.7166299005379475</v>
      </c>
      <c r="Q71" s="4">
        <f>CHOOSE(Table1[[#This Row],[Mode Digit]],Table1[[#This Row],[I_0]]+1/Lf*(Table1[[#This Row],[Vin]]-Vout)*Table1[[#This Row],[t1_Ph_II]],Table1[[#This Row],[I_0]]+1/Lf*Table1[[#This Row],[Vin]]*Table1[[#This Row],[t1_Ph_II]],Table1[[#This Row],[I_0]]+(Table1[[#This Row],[Vin]]-Vout)/L*Table1[[#This Row],[t1_Ph_II]])</f>
        <v>14.283370099462054</v>
      </c>
      <c r="R71" s="4">
        <f>CHOOSE(Table1[[#This Row],[Mode Digit]],0,0,Table1[[#This Row],[I_1]]+Table1[[#This Row],[Vin]]/L*Table1[[#This Row],[t2_Ph_I]])</f>
        <v>0</v>
      </c>
      <c r="S71" s="4">
        <f>Fsw*(Table1[[#This Row],[I_0]]*Table1[[#This Row],[t1_Ph_II]]+Table1[[#This Row],[I_1]]*Table1[[#This Row],[t2_Ph_I]]+Table1[[#This Row],[I_2]]*Table1[[#This Row],[t3_Ph_III]])</f>
        <v>11.937169544459248</v>
      </c>
      <c r="T71" s="354">
        <f>MIN(1,CHOOSE(Table1[[#This Row],[Mode Digit]],(Vout+(Rdson2+Rs+Rdcr)*Table1[[#This Row],[Iout]])/(Table1[[#This Row],[Vin]]+(Rs+Rdson2-Rdson1)*Table1[[#This Row],[Iout]]),1,Fsw*Table1[[#This Row],[t2_Ph_I]]+Table1[[#This Row],[t1_Ph_II]]))</f>
        <v>0.51375827237896199</v>
      </c>
      <c r="U71" s="354">
        <f>MIN(1,CHOOSE(Table1[[#This Row],[Mode Digit]],0,(Vout+(Rdson3+Rdcr)*Table1[[#This Row],[Iin]]-Table1[[#This Row],[Vin]])/(Vout+(Rdson3-Rdson4-Rs)*Table1[[#This Row],[Iin]]),Fsw*Table1[[#This Row],[t1_Ph_II]]+Table1[[#This Row],[t3_Ph_III]]))</f>
        <v>0</v>
      </c>
      <c r="V71" s="4">
        <f>MAX(Table1[[#This Row],[I_0]:[I_2]])-MIN(Table1[[#This Row],[I_0]:[I_1]])</f>
        <v>4.5667401989241068</v>
      </c>
      <c r="W7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12.072196417265546</v>
      </c>
      <c r="X71" s="354">
        <f>(Table1[[#This Row],[Irms Lf]]^2*Rdcr*(1+Ltc*Ta-Ltc*25))/(1-Table1[[#This Row],[Irms Lf]]^2*Rdcr*Ltc*ThetaCa)</f>
        <v>0.90658545505471211</v>
      </c>
      <c r="Y71" s="354">
        <f>ABS(7.759*10^-3*Fsw^0.9458*(0.00787*Table1[[#This Row],[Ripple Current pk-pk]])^2.304)</f>
        <v>1.063750838462346</v>
      </c>
      <c r="Z71" s="354">
        <f>Table1[[#This Row],[DCR    Loss]]+Table1[[#This Row],[Core Loss]]</f>
        <v>1.9703362935170581</v>
      </c>
      <c r="AA71" s="4">
        <f>IF(Table1[[#This Row],[Vin]]&gt;Vout, Table1[[#This Row],[Ripple Current pk-pk]]/SQRT(12), SQRT(Table1[[#This Row],[Duty Cycle BOOST Leg]]/(1-Table1[[#This Row],[Duty Cycle BOOST Leg]]))*SQRT(Table1[[#This Row],[Iout]]^2+(Table1[[#This Row],[Ripple Current pk-pk]]^2)/12))</f>
        <v>1.3183043415839593</v>
      </c>
      <c r="AB71" s="354">
        <f>RCoutEsr*Table1[[#This Row],[Irms Cout]]^2</f>
        <v>8.6896316851955823E-3</v>
      </c>
      <c r="AC71" s="354">
        <f>Table1[[#This Row],[Cout ESR Loss]]</f>
        <v>8.6896316851955823E-3</v>
      </c>
      <c r="AD71" s="354">
        <f>IF(Table1[[#This Row],[Vin]]&gt;Vout, SQRT(Table1[[#This Row],[Duty Cycle BUCK Leg]]*(1-Table1[[#This Row],[Duty Cycle BUCK Leg]]))*SQRT(Table1[[#This Row],[Iout]]^2+(Table1[[#This Row],[Ripple Current pk-pk]]^2)/12), Table1[[#This Row],[Ripple Current pk-pk]]/SQRT(12))</f>
        <v>6.0338126291430543</v>
      </c>
      <c r="AE71" s="354">
        <f>RCinEsr*Table1[[#This Row],[Irms Cin]]^2</f>
        <v>7.281378968721243E-2</v>
      </c>
      <c r="AF71" s="549">
        <f>Table1[[#This Row],[Cin ESR Loss]]</f>
        <v>7.281378968721243E-2</v>
      </c>
      <c r="AG7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8.652980137213401</v>
      </c>
      <c r="AH71" s="354">
        <f>Rdson1*Table1[[#This Row],[Irms BuCtrl]]^2</f>
        <v>0.31447107407104058</v>
      </c>
      <c r="AI71" s="354">
        <f>CHOOSE(Table1[[#This Row],[Mode Digit]], (Table1[[#This Row],[Vin]]*Table1[[#This Row],[Iout]]/2)*(Fsw)*(Tr_buck+Tf_buck), 0, (Table1[[#This Row],[Vin]]*Table1[[#This Row],[Avg IL]]/2)*(Fsw/1)*(Tr_buck+Tf_buck))</f>
        <v>3.4128168470398061</v>
      </c>
      <c r="AJ71">
        <f>IF(Table1[[#This Row],[Vin]]&gt;Vout, IF(Table1[[#This Row],[Iout]]&gt;Table1[[#This Row],[Ripple Current pk-pk]]/2,0,ABS(Table1[[#This Row],[Iout]]-Table1[[#This Row],[Ripple Current pk-pk]]/2)*Vsd_Q1*Deadtime*Fsw),0)</f>
        <v>0</v>
      </c>
      <c r="AK71" s="354">
        <f>(Table1[[#This Row],[Dead Time Loss BuCtrl]]+Table1[[#This Row],[Transition Loss BuCtrl]]+Table1[[#This Row],[RDS(on) Loss BuCtrl]]*(1+RdsonTopTc*Ta-RdsonTopTc*25))/(1-Table1[[#This Row],[RDS(on) Loss BuCtrl]]*RdsonTopTc*ThetaJA_Q1)</f>
        <v>4.0315622518786576</v>
      </c>
      <c r="AL71" s="354">
        <f>CHOOSE(Table1[[#This Row],[Mode Digit]],SQRT((Fsw*(Table1[[#This Row],[t2_Ph_I]]+0))*((Table1[[#This Row],[I_0]]*Table1[[#This Row],[I_1]]+((Table1[[#This Row],[I_0]]-Table1[[#This Row],[I_1]])^2)/3))),0,SQRT((Fsw*(Table1[[#This Row],[t3_Ph_III]]+0))*((Table1[[#This Row],[I_0]]*Table1[[#This Row],[I_2]]+((Table1[[#This Row],[I_0]]-Table1[[#This Row],[I_2]])^2)/3))))</f>
        <v>8.4180675384573558</v>
      </c>
      <c r="AM71" s="354">
        <f>Rdson2*Table1[[#This Row],[Irms BuSync]]^2</f>
        <v>0.29762821654452387</v>
      </c>
      <c r="AN7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71" s="354">
        <f>(Table1[[#This Row],[Deadtime Loss BuSync]]+Table1[[#This Row],[RDS(on) Loss BuSync]]*(1+RdsonBotTc*Ta-RdsonBotTc*25))/(1-Table1[[#This Row],[RDS(on) Loss BuSync]]*RdsonBotTc*ThetaJA_Q2)</f>
        <v>0.94230954322377058</v>
      </c>
      <c r="AP71" s="354">
        <f>CHOOSE(Table1[[#This Row],[Mode Digit]],0,SQRT((Fsw*(Table1[[#This Row],[t1_Ph_II]]+0))*((Table1[[#This Row],[I_0]]*Table1[[#This Row],[I_1]]+((Table1[[#This Row],[I_0]]-Table1[[#This Row],[I_1]])^2)/3))),SQRT((Fsw*(Table1[[#This Row],[t2_Ph_I]]+0))*((Table1[[#This Row],[I_1]]*Table1[[#This Row],[I_2]]+((Table1[[#This Row],[I_1]]-Table1[[#This Row],[I_2]])^2)/3))))</f>
        <v>0</v>
      </c>
      <c r="AQ71" s="354">
        <f>Rdson4*Table1[[#This Row],[Irms BoCtlr]]^2</f>
        <v>0</v>
      </c>
      <c r="AR71" s="354">
        <f>CHOOSE(Table1[[#This Row],[Mode Digit]], 0, (Vout*Table1[[#This Row],[Iin]]/2)*(Fsw)*(Tr_boost+Tf_boost), (Vout*Iout/2)*(Fsw/1)*(Tr_boost+Tf_boost))</f>
        <v>0</v>
      </c>
      <c r="AS71">
        <f>IF(Table1[[#This Row],[Vin]]&gt;Vout, 0, IF(Table1[[#This Row],[Iin]]&gt;Table1[[#This Row],[Ripple Current pk-pk]]/2,0,ABS(Table1[[#This Row],[Iin]]-Table1[[#This Row],[Ripple Current pk-pk]]/2)*Vsd_Q4*Deadtime*Fsw))</f>
        <v>0</v>
      </c>
      <c r="AT71" s="354">
        <f>(Table1[[#This Row],[Dead Time Loss BoCtlr]]+Table1[[#This Row],[Transition Loss BoCtlr]]+Table1[[#This Row],[RDS(on) Loss BoCtlr]]*(1+RdsonTopTc*Ta-RdsonTopTc*25))/(1-Table1[[#This Row],[RDS(on) Loss BoCtlr]]*RdsonTopTc*ThetaJA_Q4)</f>
        <v>0</v>
      </c>
      <c r="AU7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12.072196417265546</v>
      </c>
      <c r="AV71" s="354">
        <f>Rdson3*Table1[[#This Row],[Irms BoSync]]^2</f>
        <v>0.61209929061556423</v>
      </c>
      <c r="AW7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71" s="354">
        <f>(Table1[[#This Row],[Deadtime Loss BoSync]]+Table1[[#This Row],[RDS(on) Loss BoSync]]*(1+RdsonBotTc*Ta-RdsonBotTc*25))/(1-Table1[[#This Row],[RDS(on) Loss BoSync]]*RdsonBotTc*ThetaJA_Q3)</f>
        <v>0.71750326863448888</v>
      </c>
      <c r="AY71" s="354">
        <f>CHOOSE(Table1[[#This Row],[Mode Digit]], Rdson3*Table1[[#This Row],[Irms Lf]]^2, Rdson1*Table1[[#This Row],[Irms Lf]]^2, 0)</f>
        <v>0.61209929061556423</v>
      </c>
      <c r="AZ71" s="354">
        <f>CHOOSE(Table1[[#This Row],[Mode Digit]], 2*Deadtime*Fsw*IF(VfdSky_Q2&gt;0,VfdSky_Q2,0)*Table1[[#This Row],[Iout]], 2*Deadtime*Fsw*IF(VfdSky_Q3&gt;0,VfdSky_Q3,0)*Table1[[#This Row],[Iin]], 2*Deadtime*Fsw*IF(VfdSky_Q2&gt;0,VfdSky_Q2,0)*Table1[[#This Row],[Iout]]+2*Deadtime*Fsw*IF(VfdSky_Q3&gt;0,VfdSky_Q3,0)*Table1[[#This Row],[Iin]])</f>
        <v>0</v>
      </c>
      <c r="BA71" s="354">
        <f>CHOOSE(Table1[[#This Row],[Mode Digit]], IF(QrrSky_Q2&gt;0,QrrSky_Q2,Qrr_Q2)*Fsw*(Table1[[#This Row],[Vin]]-Table1[[#This Row],[Iout]]*Rdson1),0,  IF(QrrSky_Q2&gt;0,QrrSky_Q2,Qrr_Q2)*Fsw*(Table1[[#This Row],[Vin]]-Table1[[#This Row],[Iout]]*Rdson1)+IF(QrrSky_Q3&gt;0,QrrSky_Q3,Qrr_Q3)*Fsw*Vout)</f>
        <v>0.34355520000000001</v>
      </c>
      <c r="BB71" s="354">
        <f>CHOOSE(Table1[[#This Row],[Mode Digit]],0, IF(QrrSky_Q3&gt;0,QrrSky_Q3,Qrr_Q3)*Fsw*Vout,  IF(QrrSky_Q2&gt;0,QrrSky_Q2,Qrr_Q2)*Fsw*(Table1[[#This Row],[Vin]]-Table1[[#This Row],[Iout]]*Rdson1)+IF(QrrSky_Q3&gt;0,QrrSky_Q3,Qrr_Q3)*Fsw*Vout)</f>
        <v>0</v>
      </c>
      <c r="BC71" s="354">
        <f>CHOOSE(Table1[[#This Row],[Mode Digit]], Rs*Table1[[#This Row],[Irms BuSync]]^2, Rs*Table1[[#This Row],[Irms BoCtlr]]^2, Rs*(Table1[[#This Row],[Irms BuSync]]^2+Table1[[#This Row],[Irms BoCtlr]]^2))</f>
        <v>0.17715965270507372</v>
      </c>
      <c r="BD71" s="354">
        <f t="shared" si="1"/>
        <v>1.44</v>
      </c>
      <c r="BE71" s="354">
        <f>IF(Vout&gt;8, Iq*Vout, Iq*Table1[[#This Row],[Vin]])</f>
        <v>4.3799999999999999E-2</v>
      </c>
      <c r="BF71" s="354">
        <f>CHOOSE(Table1[[#This Row],[Mode Digit]], (Qg_Q1+Qg_Q2)*Fsw, (Qg_Q3+Qg_Q4)*Fsw, (Qg_Q1+Qg_Q2+Qg_Q3+Qg_Q4)*Fsw)*IF(Vout&gt;8, Vout, Table1[[#This Row],[Vin]])</f>
        <v>0.47303999999999996</v>
      </c>
      <c r="BG71" s="354">
        <f t="shared" si="2"/>
        <v>0.45605042016806729</v>
      </c>
      <c r="BH71" s="354">
        <f>Table1[[#This Row],[IQ Loss]]+Table1[[#This Row],[Switching Current Loss]]</f>
        <v>0.51683999999999997</v>
      </c>
      <c r="BI7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10.220769631331457</v>
      </c>
      <c r="BJ71">
        <f>Vout*Table1[[#This Row],[Iout]]</f>
        <v>175.2</v>
      </c>
      <c r="BK71" s="550">
        <f>Table1[[#This Row],[Pout]]/(Table1[[#This Row],[Pout]]+Table1[[#This Row],[Total Loss]])</f>
        <v>0.94487796781529265</v>
      </c>
      <c r="BL7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241.89373511271947</v>
      </c>
      <c r="BM71" s="559">
        <f>IF(Table1[[#This Row],[Vin]]&gt;Vout, Table1[[#This Row],[Total Sync Bu MOSFET Loss]]*ThetaJA_Q2, ThetaJA_Q3*Table1[[#This Row],[Total Sync Bo MOSFET Loss]])</f>
        <v>56.538572593426238</v>
      </c>
      <c r="BN71" s="9"/>
      <c r="BO71" s="4">
        <f>Table1[[#This Row],[EFF, h]]*100</f>
        <v>94.487796781529269</v>
      </c>
      <c r="BP71" s="354">
        <f>Table1[[#This Row],[Total Inductor Loss]]</f>
        <v>1.9703362935170581</v>
      </c>
      <c r="BQ71" s="354">
        <f>Table1[[#This Row],[Total Control Bu MOSFET Loss]]+Table1[[#This Row],[Total Sync Bu MOSFET Loss]]+Table1[[#This Row],[Total Control Bo MOSFET Loss]]+Table1[[#This Row],[Total Sync Bo MOSFET Loss]]+Table1[[#This Row],[Reverse Recovery Loss MOSFET D BUCK]]+Table1[[#This Row],[Reverse Recovery Loss MOSFET D BOOST]]</f>
        <v>6.0349302637369169</v>
      </c>
      <c r="BR71" s="354">
        <f>Table1[[#This Row],[Total Control Bu MOSFET Loss]]+Table1[[#This Row],[Reverse Recovery Loss MOSFET D BUCK]]*0.66</f>
        <v>4.2583086838786572</v>
      </c>
      <c r="BS71" s="354">
        <f>Table1[[#This Row],[Total Sync Bu MOSFET Loss]]+Table1[[#This Row],[Reverse Recovery Loss MOSFET D BUCK]]*0.33</f>
        <v>1.0556827592237705</v>
      </c>
      <c r="BT71" s="354">
        <f xml:space="preserve"> Table1[[#This Row],[Total Control Bo MOSFET Loss]]+Table1[[#This Row],[Reverse Recovery Loss MOSFET D BOOST]]*0.66</f>
        <v>0</v>
      </c>
      <c r="BU71" s="354">
        <f xml:space="preserve"> Table1[[#This Row],[Total Sync Bo MOSFET Loss]]+Table1[[#This Row],[Reverse Recovery Loss MOSFET D BOOST]]*0.33</f>
        <v>0.71750326863448888</v>
      </c>
      <c r="BV71" s="354">
        <f>Table1[[#This Row],[Isense Shunt Loss]]</f>
        <v>0.17715965270507372</v>
      </c>
      <c r="CB71" s="18"/>
      <c r="CC71" s="19"/>
    </row>
    <row r="72" spans="1:81" x14ac:dyDescent="0.2">
      <c r="A72" s="32" t="s">
        <v>91</v>
      </c>
      <c r="B72" s="450">
        <f>(Qgd_Q1+Qgs_Q1/2)*(RdsonDRT+Rgate1)/(Vdd-Vsp_Q1)*1000000000</f>
        <v>11.417821782178217</v>
      </c>
      <c r="C72" s="21" t="s">
        <v>79</v>
      </c>
      <c r="D72" s="114" t="s">
        <v>681</v>
      </c>
      <c r="G72">
        <v>63</v>
      </c>
      <c r="H72" s="555">
        <f>VIN_min+(VIN_max-VIN_min)*(Table1[[#This Row],[Step]]/200)</f>
        <v>28.82</v>
      </c>
      <c r="I72" s="4" t="str">
        <f>IF(Mode = 2,IF(Table1[[#This Row],[Vin]]&gt;Vout, "BUCK","BOOST"),IF(Table1[[#This Row],[Vin]]&gt;VIN_BB_to_buck, "BUCK", IF(Table1[[#This Row],[Vin]]&lt;=VIN_boost_to_BB,"BOOST","BUCK-BST")))</f>
        <v>BUCK</v>
      </c>
      <c r="J72">
        <f>IF(Table1[[#This Row],[Mode]]="BOOST",2, IF(Table1[[#This Row],[Mode]]="BUCK", 1,3))</f>
        <v>1</v>
      </c>
      <c r="K72">
        <f t="shared" si="0"/>
        <v>12</v>
      </c>
      <c r="L72" s="4">
        <f>Vout*Table1[[#This Row],[Iout]]/(Table1[[#This Row],[Vin]]*Efficiency)</f>
        <v>6.3990649768070416</v>
      </c>
      <c r="M72" s="711">
        <f>MIN(1/Fsw,CHOOSE(Table1[[#This Row],[Mode Digit]],(Vout+(Rdson2+Rs+Rdcr)*Table1[[#This Row],[Iout]])/(Table1[[#This Row],[Vin]]+(Rs+Rdson2-Rdson1)*Table1[[#This Row],[Iout]])/Fsw,(Vout+(Rdson3+Rdcr)*Table1[[#This Row],[Iin]]-Table1[[#This Row],[Vin]])/(Vout+(Rdson3-Rdson4-Rs)*Table1[[#This Row],[Iin]])/Fsw,t1_Ph_II))</f>
        <v>8.5210860774119009E-7</v>
      </c>
      <c r="N72" s="602">
        <f>CHOOSE(Table1[[#This Row],[Mode Digit]],1/Fsw-Table1[[#This Row],[t1_Ph_II]],1/Fsw-Table1[[#This Row],[t1_Ph_II]],(Vout/Fsw-Table1[[#This Row],[Vin]]*t1_Ph_II)/(Table1[[#This Row],[Vin]]+Vout))</f>
        <v>8.1455805892547657E-7</v>
      </c>
      <c r="O72" s="602">
        <f>1/Fsw-(Table1[[#This Row],[t1_Ph_II]]+Table1[[#This Row],[t2_Ph_I]])</f>
        <v>0</v>
      </c>
      <c r="P7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9.7051165905152033</v>
      </c>
      <c r="Q72" s="4">
        <f>CHOOSE(Table1[[#This Row],[Mode Digit]],Table1[[#This Row],[I_0]]+1/Lf*(Table1[[#This Row],[Vin]]-Vout)*Table1[[#This Row],[t1_Ph_II]],Table1[[#This Row],[I_0]]+1/Lf*Table1[[#This Row],[Vin]]*Table1[[#This Row],[t1_Ph_II]],Table1[[#This Row],[I_0]]+(Table1[[#This Row],[Vin]]-Vout)/L*Table1[[#This Row],[t1_Ph_II]])</f>
        <v>14.294883409484797</v>
      </c>
      <c r="R72" s="4">
        <f>CHOOSE(Table1[[#This Row],[Mode Digit]],0,0,Table1[[#This Row],[I_1]]+Table1[[#This Row],[Vin]]/L*Table1[[#This Row],[t2_Ph_I]])</f>
        <v>0</v>
      </c>
      <c r="S72" s="4">
        <f>Fsw*(Table1[[#This Row],[I_0]]*Table1[[#This Row],[t1_Ph_II]]+Table1[[#This Row],[I_1]]*Table1[[#This Row],[t2_Ph_I]]+Table1[[#This Row],[I_2]]*Table1[[#This Row],[t3_Ph_III]])</f>
        <v>11.948295521103461</v>
      </c>
      <c r="T72" s="354">
        <f>MIN(1,CHOOSE(Table1[[#This Row],[Mode Digit]],(Vout+(Rdson2+Rs+Rdcr)*Table1[[#This Row],[Iout]])/(Table1[[#This Row],[Vin]]+(Rs+Rdson2-Rdson1)*Table1[[#This Row],[Iout]]),1,Fsw*Table1[[#This Row],[t2_Ph_I]]+Table1[[#This Row],[t1_Ph_II]]))</f>
        <v>0.51126516464471405</v>
      </c>
      <c r="U72" s="354">
        <f>MIN(1,CHOOSE(Table1[[#This Row],[Mode Digit]],0,(Vout+(Rdson3+Rdcr)*Table1[[#This Row],[Iin]]-Table1[[#This Row],[Vin]])/(Vout+(Rdson3-Rdson4-Rs)*Table1[[#This Row],[Iin]]),Fsw*Table1[[#This Row],[t1_Ph_II]]+Table1[[#This Row],[t3_Ph_III]]))</f>
        <v>0</v>
      </c>
      <c r="V72" s="4">
        <f>MAX(Table1[[#This Row],[I_0]:[I_2]])-MIN(Table1[[#This Row],[I_0]:[I_1]])</f>
        <v>4.5897668189695935</v>
      </c>
      <c r="W7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12.072924112287083</v>
      </c>
      <c r="X72" s="354">
        <f>(Table1[[#This Row],[Irms Lf]]^2*Rdcr*(1+Ltc*Ta-Ltc*25))/(1-Table1[[#This Row],[Irms Lf]]^2*Rdcr*Ltc*ThetaCa)</f>
        <v>0.90670268185416492</v>
      </c>
      <c r="Y72" s="354">
        <f>ABS(7.759*10^-3*Fsw^0.9458*(0.00787*Table1[[#This Row],[Ripple Current pk-pk]])^2.304)</f>
        <v>1.0761494321001326</v>
      </c>
      <c r="Z72" s="354">
        <f>Table1[[#This Row],[DCR    Loss]]+Table1[[#This Row],[Core Loss]]</f>
        <v>1.9828521139542974</v>
      </c>
      <c r="AA72" s="4">
        <f>IF(Table1[[#This Row],[Vin]]&gt;Vout, Table1[[#This Row],[Ripple Current pk-pk]]/SQRT(12), SQRT(Table1[[#This Row],[Duty Cycle BOOST Leg]]/(1-Table1[[#This Row],[Duty Cycle BOOST Leg]]))*SQRT(Table1[[#This Row],[Iout]]^2+(Table1[[#This Row],[Ripple Current pk-pk]]^2)/12))</f>
        <v>1.3249515542248536</v>
      </c>
      <c r="AB72" s="354">
        <f>RCoutEsr*Table1[[#This Row],[Irms Cout]]^2</f>
        <v>8.7774831052142756E-3</v>
      </c>
      <c r="AC72" s="354">
        <f>Table1[[#This Row],[Cout ESR Loss]]</f>
        <v>8.7774831052142756E-3</v>
      </c>
      <c r="AD72" s="354">
        <f>IF(Table1[[#This Row],[Vin]]&gt;Vout, SQRT(Table1[[#This Row],[Duty Cycle BUCK Leg]]*(1-Table1[[#This Row],[Duty Cycle BUCK Leg]]))*SQRT(Table1[[#This Row],[Iout]]^2+(Table1[[#This Row],[Ripple Current pk-pk]]^2)/12), Table1[[#This Row],[Ripple Current pk-pk]]/SQRT(12))</f>
        <v>6.0349297600940233</v>
      </c>
      <c r="AE72" s="354">
        <f>RCinEsr*Table1[[#This Row],[Irms Cin]]^2</f>
        <v>7.2840754418537018E-2</v>
      </c>
      <c r="AF72" s="549">
        <f>Table1[[#This Row],[Cin ESR Loss]]</f>
        <v>7.2840754418537018E-2</v>
      </c>
      <c r="AG7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8.6324798278263906</v>
      </c>
      <c r="AH72" s="354">
        <f>Rdson1*Table1[[#This Row],[Irms BuCtrl]]^2</f>
        <v>0.31298277350688419</v>
      </c>
      <c r="AI72" s="354">
        <f>CHOOSE(Table1[[#This Row],[Mode Digit]], (Table1[[#This Row],[Vin]]*Table1[[#This Row],[Iout]]/2)*(Fsw)*(Tr_buck+Tf_buck), 0, (Table1[[#This Row],[Vin]]*Table1[[#This Row],[Avg IL]]/2)*(Fsw/1)*(Tr_buck+Tf_buck))</f>
        <v>3.4294763435037394</v>
      </c>
      <c r="AJ72">
        <f>IF(Table1[[#This Row],[Vin]]&gt;Vout, IF(Table1[[#This Row],[Iout]]&gt;Table1[[#This Row],[Ripple Current pk-pk]]/2,0,ABS(Table1[[#This Row],[Iout]]-Table1[[#This Row],[Ripple Current pk-pk]]/2)*Vsd_Q1*Deadtime*Fsw),0)</f>
        <v>0</v>
      </c>
      <c r="AK72" s="354">
        <f>(Table1[[#This Row],[Dead Time Loss BuCtrl]]+Table1[[#This Row],[Transition Loss BuCtrl]]+Table1[[#This Row],[RDS(on) Loss BuCtrl]]*(1+RdsonTopTc*Ta-RdsonTopTc*25))/(1-Table1[[#This Row],[RDS(on) Loss BuCtrl]]*RdsonTopTc*ThetaJA_Q1)</f>
        <v>4.0464086018807217</v>
      </c>
      <c r="AL72" s="354">
        <f>CHOOSE(Table1[[#This Row],[Mode Digit]],SQRT((Fsw*(Table1[[#This Row],[t2_Ph_I]]+0))*((Table1[[#This Row],[I_0]]*Table1[[#This Row],[I_1]]+((Table1[[#This Row],[I_0]]-Table1[[#This Row],[I_1]])^2)/3))),0,SQRT((Fsw*(Table1[[#This Row],[t3_Ph_III]]+0))*((Table1[[#This Row],[I_0]]*Table1[[#This Row],[I_2]]+((Table1[[#This Row],[I_0]]-Table1[[#This Row],[I_2]])^2)/3))))</f>
        <v>8.4401296579622116</v>
      </c>
      <c r="AM72" s="354">
        <f>Rdson2*Table1[[#This Row],[Irms BuSync]]^2</f>
        <v>0.29919031230149601</v>
      </c>
      <c r="AN7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72" s="354">
        <f>(Table1[[#This Row],[Deadtime Loss BuSync]]+Table1[[#This Row],[RDS(on) Loss BuSync]]*(1+RdsonBotTc*Ta-RdsonBotTc*25))/(1-Table1[[#This Row],[RDS(on) Loss BuSync]]*RdsonBotTc*ThetaJA_Q2)</f>
        <v>0.94437308785305663</v>
      </c>
      <c r="AP72" s="354">
        <f>CHOOSE(Table1[[#This Row],[Mode Digit]],0,SQRT((Fsw*(Table1[[#This Row],[t1_Ph_II]]+0))*((Table1[[#This Row],[I_0]]*Table1[[#This Row],[I_1]]+((Table1[[#This Row],[I_0]]-Table1[[#This Row],[I_1]])^2)/3))),SQRT((Fsw*(Table1[[#This Row],[t2_Ph_I]]+0))*((Table1[[#This Row],[I_1]]*Table1[[#This Row],[I_2]]+((Table1[[#This Row],[I_1]]-Table1[[#This Row],[I_2]])^2)/3))))</f>
        <v>0</v>
      </c>
      <c r="AQ72" s="354">
        <f>Rdson4*Table1[[#This Row],[Irms BoCtlr]]^2</f>
        <v>0</v>
      </c>
      <c r="AR72" s="354">
        <f>CHOOSE(Table1[[#This Row],[Mode Digit]], 0, (Vout*Table1[[#This Row],[Iin]]/2)*(Fsw)*(Tr_boost+Tf_boost), (Vout*Iout/2)*(Fsw/1)*(Tr_boost+Tf_boost))</f>
        <v>0</v>
      </c>
      <c r="AS72">
        <f>IF(Table1[[#This Row],[Vin]]&gt;Vout, 0, IF(Table1[[#This Row],[Iin]]&gt;Table1[[#This Row],[Ripple Current pk-pk]]/2,0,ABS(Table1[[#This Row],[Iin]]-Table1[[#This Row],[Ripple Current pk-pk]]/2)*Vsd_Q4*Deadtime*Fsw))</f>
        <v>0</v>
      </c>
      <c r="AT72" s="354">
        <f>(Table1[[#This Row],[Dead Time Loss BoCtlr]]+Table1[[#This Row],[Transition Loss BoCtlr]]+Table1[[#This Row],[RDS(on) Loss BoCtlr]]*(1+RdsonTopTc*Ta-RdsonTopTc*25))/(1-Table1[[#This Row],[RDS(on) Loss BoCtlr]]*RdsonTopTc*ThetaJA_Q4)</f>
        <v>0</v>
      </c>
      <c r="AU7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12.072924112287083</v>
      </c>
      <c r="AV72" s="354">
        <f>Rdson3*Table1[[#This Row],[Irms BoSync]]^2</f>
        <v>0.61217308580838004</v>
      </c>
      <c r="AW7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72" s="354">
        <f>(Table1[[#This Row],[Deadtime Loss BoSync]]+Table1[[#This Row],[RDS(on) Loss BoSync]]*(1+RdsonBotTc*Ta-RdsonBotTc*25))/(1-Table1[[#This Row],[RDS(on) Loss BoSync]]*RdsonBotTc*ThetaJA_Q3)</f>
        <v>0.71760466936962075</v>
      </c>
      <c r="AY72" s="354">
        <f>CHOOSE(Table1[[#This Row],[Mode Digit]], Rdson3*Table1[[#This Row],[Irms Lf]]^2, Rdson1*Table1[[#This Row],[Irms Lf]]^2, 0)</f>
        <v>0.61217308580838004</v>
      </c>
      <c r="AZ72" s="354">
        <f>CHOOSE(Table1[[#This Row],[Mode Digit]], 2*Deadtime*Fsw*IF(VfdSky_Q2&gt;0,VfdSky_Q2,0)*Table1[[#This Row],[Iout]], 2*Deadtime*Fsw*IF(VfdSky_Q3&gt;0,VfdSky_Q3,0)*Table1[[#This Row],[Iin]], 2*Deadtime*Fsw*IF(VfdSky_Q2&gt;0,VfdSky_Q2,0)*Table1[[#This Row],[Iout]]+2*Deadtime*Fsw*IF(VfdSky_Q3&gt;0,VfdSky_Q3,0)*Table1[[#This Row],[Iin]])</f>
        <v>0</v>
      </c>
      <c r="BA72" s="354">
        <f>CHOOSE(Table1[[#This Row],[Mode Digit]], IF(QrrSky_Q2&gt;0,QrrSky_Q2,Qrr_Q2)*Fsw*(Table1[[#This Row],[Vin]]-Table1[[#This Row],[Iout]]*Rdson1),0,  IF(QrrSky_Q2&gt;0,QrrSky_Q2,Qrr_Q2)*Fsw*(Table1[[#This Row],[Vin]]-Table1[[#This Row],[Iout]]*Rdson1)+IF(QrrSky_Q3&gt;0,QrrSky_Q3,Qrr_Q3)*Fsw*Vout)</f>
        <v>0.34523520000000002</v>
      </c>
      <c r="BB72" s="354">
        <f>CHOOSE(Table1[[#This Row],[Mode Digit]],0, IF(QrrSky_Q3&gt;0,QrrSky_Q3,Qrr_Q3)*Fsw*Vout,  IF(QrrSky_Q2&gt;0,QrrSky_Q2,Qrr_Q2)*Fsw*(Table1[[#This Row],[Vin]]-Table1[[#This Row],[Iout]]*Rdson1)+IF(QrrSky_Q3&gt;0,QrrSky_Q3,Qrr_Q3)*Fsw*Vout)</f>
        <v>0</v>
      </c>
      <c r="BC72" s="354">
        <f>CHOOSE(Table1[[#This Row],[Mode Digit]], Rs*Table1[[#This Row],[Irms BuSync]]^2, Rs*Table1[[#This Row],[Irms BoCtlr]]^2, Rs*(Table1[[#This Row],[Irms BuSync]]^2+Table1[[#This Row],[Irms BoCtlr]]^2))</f>
        <v>0.17808947160803332</v>
      </c>
      <c r="BD72" s="354">
        <f t="shared" si="1"/>
        <v>1.44</v>
      </c>
      <c r="BE72" s="354">
        <f>IF(Vout&gt;8, Iq*Vout, Iq*Table1[[#This Row],[Vin]])</f>
        <v>4.3799999999999999E-2</v>
      </c>
      <c r="BF72" s="354">
        <f>CHOOSE(Table1[[#This Row],[Mode Digit]], (Qg_Q1+Qg_Q2)*Fsw, (Qg_Q3+Qg_Q4)*Fsw, (Qg_Q1+Qg_Q2+Qg_Q3+Qg_Q4)*Fsw)*IF(Vout&gt;8, Vout, Table1[[#This Row],[Vin]])</f>
        <v>0.47303999999999996</v>
      </c>
      <c r="BG72" s="354">
        <f t="shared" si="2"/>
        <v>0.45605042016806729</v>
      </c>
      <c r="BH72" s="354">
        <f>Table1[[#This Row],[IQ Loss]]+Table1[[#This Row],[Switching Current Loss]]</f>
        <v>0.51683999999999997</v>
      </c>
      <c r="BI7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10.25302138218948</v>
      </c>
      <c r="BJ72">
        <f>Vout*Table1[[#This Row],[Iout]]</f>
        <v>175.2</v>
      </c>
      <c r="BK72" s="550">
        <f>Table1[[#This Row],[Pout]]/(Table1[[#This Row],[Pout]]+Table1[[#This Row],[Total Loss]])</f>
        <v>0.94471364604484054</v>
      </c>
      <c r="BL7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242.78451611284331</v>
      </c>
      <c r="BM72" s="559">
        <f>IF(Table1[[#This Row],[Vin]]&gt;Vout, Table1[[#This Row],[Total Sync Bu MOSFET Loss]]*ThetaJA_Q2, ThetaJA_Q3*Table1[[#This Row],[Total Sync Bo MOSFET Loss]])</f>
        <v>56.662385271183396</v>
      </c>
      <c r="BN72" s="9"/>
      <c r="BO72" s="4">
        <f>Table1[[#This Row],[EFF, h]]*100</f>
        <v>94.471364604484052</v>
      </c>
      <c r="BP72" s="354">
        <f>Table1[[#This Row],[Total Inductor Loss]]</f>
        <v>1.9828521139542974</v>
      </c>
      <c r="BQ72" s="354">
        <f>Table1[[#This Row],[Total Control Bu MOSFET Loss]]+Table1[[#This Row],[Total Sync Bu MOSFET Loss]]+Table1[[#This Row],[Total Control Bo MOSFET Loss]]+Table1[[#This Row],[Total Sync Bo MOSFET Loss]]+Table1[[#This Row],[Reverse Recovery Loss MOSFET D BUCK]]+Table1[[#This Row],[Reverse Recovery Loss MOSFET D BOOST]]</f>
        <v>6.0536215591033997</v>
      </c>
      <c r="BR72" s="354">
        <f>Table1[[#This Row],[Total Control Bu MOSFET Loss]]+Table1[[#This Row],[Reverse Recovery Loss MOSFET D BUCK]]*0.66</f>
        <v>4.2742638338807222</v>
      </c>
      <c r="BS72" s="354">
        <f>Table1[[#This Row],[Total Sync Bu MOSFET Loss]]+Table1[[#This Row],[Reverse Recovery Loss MOSFET D BUCK]]*0.33</f>
        <v>1.0583007038530567</v>
      </c>
      <c r="BT72" s="354">
        <f xml:space="preserve"> Table1[[#This Row],[Total Control Bo MOSFET Loss]]+Table1[[#This Row],[Reverse Recovery Loss MOSFET D BOOST]]*0.66</f>
        <v>0</v>
      </c>
      <c r="BU72" s="354">
        <f xml:space="preserve"> Table1[[#This Row],[Total Sync Bo MOSFET Loss]]+Table1[[#This Row],[Reverse Recovery Loss MOSFET D BOOST]]*0.33</f>
        <v>0.71760466936962075</v>
      </c>
      <c r="BV72" s="354">
        <f>Table1[[#This Row],[Isense Shunt Loss]]</f>
        <v>0.17808947160803332</v>
      </c>
      <c r="CB72" s="18"/>
      <c r="CC72" s="19"/>
    </row>
    <row r="73" spans="1:81" x14ac:dyDescent="0.2">
      <c r="A73" s="33" t="s">
        <v>92</v>
      </c>
      <c r="B73" s="450">
        <f>(Qgd_Q1+Qgs_Q1/2)*(RdsonDRT2+Rgate1)/(Vsp_Q1)*1000000000</f>
        <v>21.636734693877553</v>
      </c>
      <c r="C73" s="21" t="s">
        <v>79</v>
      </c>
      <c r="D73" s="114" t="s">
        <v>682</v>
      </c>
      <c r="G73">
        <v>64</v>
      </c>
      <c r="H73" s="555">
        <f>VIN_min+(VIN_max-VIN_min)*(Table1[[#This Row],[Step]]/200)</f>
        <v>28.96</v>
      </c>
      <c r="I73" s="4" t="str">
        <f>IF(Mode = 2,IF(Table1[[#This Row],[Vin]]&gt;Vout, "BUCK","BOOST"),IF(Table1[[#This Row],[Vin]]&gt;VIN_BB_to_buck, "BUCK", IF(Table1[[#This Row],[Vin]]&lt;=VIN_boost_to_BB,"BOOST","BUCK-BST")))</f>
        <v>BUCK</v>
      </c>
      <c r="J73">
        <f>IF(Table1[[#This Row],[Mode]]="BOOST",2, IF(Table1[[#This Row],[Mode]]="BUCK", 1,3))</f>
        <v>1</v>
      </c>
      <c r="K73">
        <f t="shared" ref="K73:K136" si="4">Iout</f>
        <v>12</v>
      </c>
      <c r="L73" s="4">
        <f>Vout*Table1[[#This Row],[Iout]]/(Table1[[#This Row],[Vin]]*Efficiency)</f>
        <v>6.3681302704274492</v>
      </c>
      <c r="M73" s="711">
        <f>MIN(1/Fsw,CHOOSE(Table1[[#This Row],[Mode Digit]],(Vout+(Rdson2+Rs+Rdcr)*Table1[[#This Row],[Iout]])/(Table1[[#This Row],[Vin]]+(Rs+Rdson2-Rdson1)*Table1[[#This Row],[Iout]])/Fsw,(Vout+(Rdson3+Rdcr)*Table1[[#This Row],[Iin]]-Table1[[#This Row],[Vin]])/(Vout+(Rdson3-Rdson4-Rs)*Table1[[#This Row],[Iin]])/Fsw,t1_Ph_II))</f>
        <v>8.4799356099804527E-7</v>
      </c>
      <c r="N73" s="602">
        <f>CHOOSE(Table1[[#This Row],[Mode Digit]],1/Fsw-Table1[[#This Row],[t1_Ph_II]],1/Fsw-Table1[[#This Row],[t1_Ph_II]],(Vout/Fsw-Table1[[#This Row],[Vin]]*t1_Ph_II)/(Table1[[#This Row],[Vin]]+Vout))</f>
        <v>8.1867310566862139E-7</v>
      </c>
      <c r="O73" s="602">
        <f>1/Fsw-(Table1[[#This Row],[t1_Ph_II]]+Table1[[#This Row],[t2_Ph_I]])</f>
        <v>0</v>
      </c>
      <c r="P7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9.6937144818310728</v>
      </c>
      <c r="Q73" s="4">
        <f>CHOOSE(Table1[[#This Row],[Mode Digit]],Table1[[#This Row],[I_0]]+1/Lf*(Table1[[#This Row],[Vin]]-Vout)*Table1[[#This Row],[t1_Ph_II]],Table1[[#This Row],[I_0]]+1/Lf*Table1[[#This Row],[Vin]]*Table1[[#This Row],[t1_Ph_II]],Table1[[#This Row],[I_0]]+(Table1[[#This Row],[Vin]]-Vout)/L*Table1[[#This Row],[t1_Ph_II]])</f>
        <v>14.306285518168925</v>
      </c>
      <c r="R73" s="4">
        <f>CHOOSE(Table1[[#This Row],[Mode Digit]],0,0,Table1[[#This Row],[I_1]]+Table1[[#This Row],[Vin]]/L*Table1[[#This Row],[t2_Ph_I]])</f>
        <v>0</v>
      </c>
      <c r="S73" s="4">
        <f>Fsw*(Table1[[#This Row],[I_0]]*Table1[[#This Row],[t1_Ph_II]]+Table1[[#This Row],[I_1]]*Table1[[#This Row],[t2_Ph_I]]+Table1[[#This Row],[I_2]]*Table1[[#This Row],[t3_Ph_III]])</f>
        <v>11.959427195092577</v>
      </c>
      <c r="T73" s="354">
        <f>MIN(1,CHOOSE(Table1[[#This Row],[Mode Digit]],(Vout+(Rdson2+Rs+Rdcr)*Table1[[#This Row],[Iout]])/(Table1[[#This Row],[Vin]]+(Rs+Rdson2-Rdson1)*Table1[[#This Row],[Iout]]),1,Fsw*Table1[[#This Row],[t2_Ph_I]]+Table1[[#This Row],[t1_Ph_II]]))</f>
        <v>0.50879613659882716</v>
      </c>
      <c r="U73" s="354">
        <f>MIN(1,CHOOSE(Table1[[#This Row],[Mode Digit]],0,(Vout+(Rdson3+Rdcr)*Table1[[#This Row],[Iin]]-Table1[[#This Row],[Vin]])/(Vout+(Rdson3-Rdson4-Rs)*Table1[[#This Row],[Iin]]),Fsw*Table1[[#This Row],[t1_Ph_II]]+Table1[[#This Row],[t3_Ph_III]]))</f>
        <v>0</v>
      </c>
      <c r="V73" s="4">
        <f>MAX(Table1[[#This Row],[I_0]:[I_2]])-MIN(Table1[[#This Row],[I_0]:[I_1]])</f>
        <v>4.6125710363378527</v>
      </c>
      <c r="W7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12.073648342448326</v>
      </c>
      <c r="X73" s="354">
        <f>(Table1[[#This Row],[Irms Lf]]^2*Rdcr*(1+Ltc*Ta-Ltc*25))/(1-Table1[[#This Row],[Irms Lf]]^2*Rdcr*Ltc*ThetaCa)</f>
        <v>0.90681935953911053</v>
      </c>
      <c r="Y73" s="354">
        <f>ABS(7.759*10^-3*Fsw^0.9458*(0.00787*Table1[[#This Row],[Ripple Current pk-pk]])^2.304)</f>
        <v>1.0885084771499767</v>
      </c>
      <c r="Z73" s="354">
        <f>Table1[[#This Row],[DCR    Loss]]+Table1[[#This Row],[Core Loss]]</f>
        <v>1.9953278366890872</v>
      </c>
      <c r="AA73" s="4">
        <f>IF(Table1[[#This Row],[Vin]]&gt;Vout, Table1[[#This Row],[Ripple Current pk-pk]]/SQRT(12), SQRT(Table1[[#This Row],[Duty Cycle BOOST Leg]]/(1-Table1[[#This Row],[Duty Cycle BOOST Leg]]))*SQRT(Table1[[#This Row],[Iout]]^2+(Table1[[#This Row],[Ripple Current pk-pk]]^2)/12))</f>
        <v>1.3315345647429653</v>
      </c>
      <c r="AB73" s="354">
        <f>RCoutEsr*Table1[[#This Row],[Irms Cout]]^2</f>
        <v>8.86492148552619E-3</v>
      </c>
      <c r="AC73" s="354">
        <f>Table1[[#This Row],[Cout ESR Loss]]</f>
        <v>8.86492148552619E-3</v>
      </c>
      <c r="AD73" s="354">
        <f>IF(Table1[[#This Row],[Vin]]&gt;Vout, SQRT(Table1[[#This Row],[Duty Cycle BUCK Leg]]*(1-Table1[[#This Row],[Duty Cycle BUCK Leg]]))*SQRT(Table1[[#This Row],[Iout]]^2+(Table1[[#This Row],[Ripple Current pk-pk]]^2)/12), Table1[[#This Row],[Ripple Current pk-pk]]/SQRT(12))</f>
        <v>6.0358899363851961</v>
      </c>
      <c r="AE73" s="354">
        <f>RCinEsr*Table1[[#This Row],[Irms Cin]]^2</f>
        <v>7.2863934648312173E-2</v>
      </c>
      <c r="AF73" s="549">
        <f>Table1[[#This Row],[Cin ESR Loss]]</f>
        <v>7.2863934648312173E-2</v>
      </c>
      <c r="AG7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8.6121269864562855</v>
      </c>
      <c r="AH73" s="354">
        <f>Rdson1*Table1[[#This Row],[Irms BuCtrl]]^2</f>
        <v>0.31150867116956427</v>
      </c>
      <c r="AI73" s="354">
        <f>CHOOSE(Table1[[#This Row],[Mode Digit]], (Table1[[#This Row],[Vin]]*Table1[[#This Row],[Iout]]/2)*(Fsw)*(Tr_buck+Tf_buck), 0, (Table1[[#This Row],[Vin]]*Table1[[#This Row],[Avg IL]]/2)*(Fsw/1)*(Tr_buck+Tf_buck))</f>
        <v>3.4461358399676709</v>
      </c>
      <c r="AJ73">
        <f>IF(Table1[[#This Row],[Vin]]&gt;Vout, IF(Table1[[#This Row],[Iout]]&gt;Table1[[#This Row],[Ripple Current pk-pk]]/2,0,ABS(Table1[[#This Row],[Iout]]-Table1[[#This Row],[Ripple Current pk-pk]]/2)*Vsd_Q1*Deadtime*Fsw),0)</f>
        <v>0</v>
      </c>
      <c r="AK73" s="354">
        <f>(Table1[[#This Row],[Dead Time Loss BuCtrl]]+Table1[[#This Row],[Transition Loss BuCtrl]]+Table1[[#This Row],[RDS(on) Loss BuCtrl]]*(1+RdsonTopTc*Ta-RdsonTopTc*25))/(1-Table1[[#This Row],[RDS(on) Loss BuCtrl]]*RdsonTopTc*ThetaJA_Q1)</f>
        <v>4.0612737916386248</v>
      </c>
      <c r="AL73" s="354">
        <f>CHOOSE(Table1[[#This Row],[Mode Digit]],SQRT((Fsw*(Table1[[#This Row],[t2_Ph_I]]+0))*((Table1[[#This Row],[I_0]]*Table1[[#This Row],[I_1]]+((Table1[[#This Row],[I_0]]-Table1[[#This Row],[I_1]])^2)/3))),0,SQRT((Fsw*(Table1[[#This Row],[t3_Ph_III]]+0))*((Table1[[#This Row],[I_0]]*Table1[[#This Row],[I_2]]+((Table1[[#This Row],[I_0]]-Table1[[#This Row],[I_2]])^2)/3))))</f>
        <v>8.461929630188175</v>
      </c>
      <c r="AM73" s="354">
        <f>Rdson2*Table1[[#This Row],[Irms BuSync]]^2</f>
        <v>0.3007378628782777</v>
      </c>
      <c r="AN7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73" s="354">
        <f>(Table1[[#This Row],[Deadtime Loss BuSync]]+Table1[[#This Row],[RDS(on) Loss BuSync]]*(1+RdsonBotTc*Ta-RdsonBotTc*25))/(1-Table1[[#This Row],[RDS(on) Loss BuSync]]*RdsonBotTc*ThetaJA_Q2)</f>
        <v>0.9464190625518949</v>
      </c>
      <c r="AP73" s="354">
        <f>CHOOSE(Table1[[#This Row],[Mode Digit]],0,SQRT((Fsw*(Table1[[#This Row],[t1_Ph_II]]+0))*((Table1[[#This Row],[I_0]]*Table1[[#This Row],[I_1]]+((Table1[[#This Row],[I_0]]-Table1[[#This Row],[I_1]])^2)/3))),SQRT((Fsw*(Table1[[#This Row],[t2_Ph_I]]+0))*((Table1[[#This Row],[I_1]]*Table1[[#This Row],[I_2]]+((Table1[[#This Row],[I_1]]-Table1[[#This Row],[I_2]])^2)/3))))</f>
        <v>0</v>
      </c>
      <c r="AQ73" s="354">
        <f>Rdson4*Table1[[#This Row],[Irms BoCtlr]]^2</f>
        <v>0</v>
      </c>
      <c r="AR73" s="354">
        <f>CHOOSE(Table1[[#This Row],[Mode Digit]], 0, (Vout*Table1[[#This Row],[Iin]]/2)*(Fsw)*(Tr_boost+Tf_boost), (Vout*Iout/2)*(Fsw/1)*(Tr_boost+Tf_boost))</f>
        <v>0</v>
      </c>
      <c r="AS73">
        <f>IF(Table1[[#This Row],[Vin]]&gt;Vout, 0, IF(Table1[[#This Row],[Iin]]&gt;Table1[[#This Row],[Ripple Current pk-pk]]/2,0,ABS(Table1[[#This Row],[Iin]]-Table1[[#This Row],[Ripple Current pk-pk]]/2)*Vsd_Q4*Deadtime*Fsw))</f>
        <v>0</v>
      </c>
      <c r="AT73" s="354">
        <f>(Table1[[#This Row],[Dead Time Loss BoCtlr]]+Table1[[#This Row],[Transition Loss BoCtlr]]+Table1[[#This Row],[RDS(on) Loss BoCtlr]]*(1+RdsonTopTc*Ta-RdsonTopTc*25))/(1-Table1[[#This Row],[RDS(on) Loss BoCtlr]]*RdsonTopTc*ThetaJA_Q4)</f>
        <v>0</v>
      </c>
      <c r="AU7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12.073648342448326</v>
      </c>
      <c r="AV73" s="354">
        <f>Rdson3*Table1[[#This Row],[Irms BoSync]]^2</f>
        <v>0.61224653404784202</v>
      </c>
      <c r="AW7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73" s="354">
        <f>(Table1[[#This Row],[Deadtime Loss BoSync]]+Table1[[#This Row],[RDS(on) Loss BoSync]]*(1+RdsonBotTc*Ta-RdsonBotTc*25))/(1-Table1[[#This Row],[RDS(on) Loss BoSync]]*RdsonBotTc*ThetaJA_Q3)</f>
        <v>0.71770559754279717</v>
      </c>
      <c r="AY73" s="354">
        <f>CHOOSE(Table1[[#This Row],[Mode Digit]], Rdson3*Table1[[#This Row],[Irms Lf]]^2, Rdson1*Table1[[#This Row],[Irms Lf]]^2, 0)</f>
        <v>0.61224653404784202</v>
      </c>
      <c r="AZ73" s="354">
        <f>CHOOSE(Table1[[#This Row],[Mode Digit]], 2*Deadtime*Fsw*IF(VfdSky_Q2&gt;0,VfdSky_Q2,0)*Table1[[#This Row],[Iout]], 2*Deadtime*Fsw*IF(VfdSky_Q3&gt;0,VfdSky_Q3,0)*Table1[[#This Row],[Iin]], 2*Deadtime*Fsw*IF(VfdSky_Q2&gt;0,VfdSky_Q2,0)*Table1[[#This Row],[Iout]]+2*Deadtime*Fsw*IF(VfdSky_Q3&gt;0,VfdSky_Q3,0)*Table1[[#This Row],[Iin]])</f>
        <v>0</v>
      </c>
      <c r="BA73" s="354">
        <f>CHOOSE(Table1[[#This Row],[Mode Digit]], IF(QrrSky_Q2&gt;0,QrrSky_Q2,Qrr_Q2)*Fsw*(Table1[[#This Row],[Vin]]-Table1[[#This Row],[Iout]]*Rdson1),0,  IF(QrrSky_Q2&gt;0,QrrSky_Q2,Qrr_Q2)*Fsw*(Table1[[#This Row],[Vin]]-Table1[[#This Row],[Iout]]*Rdson1)+IF(QrrSky_Q3&gt;0,QrrSky_Q3,Qrr_Q3)*Fsw*Vout)</f>
        <v>0.34691520000000003</v>
      </c>
      <c r="BB73" s="354">
        <f>CHOOSE(Table1[[#This Row],[Mode Digit]],0, IF(QrrSky_Q3&gt;0,QrrSky_Q3,Qrr_Q3)*Fsw*Vout,  IF(QrrSky_Q2&gt;0,QrrSky_Q2,Qrr_Q2)*Fsw*(Table1[[#This Row],[Vin]]-Table1[[#This Row],[Iout]]*Rdson1)+IF(QrrSky_Q3&gt;0,QrrSky_Q3,Qrr_Q3)*Fsw*Vout)</f>
        <v>0</v>
      </c>
      <c r="BC73" s="354">
        <f>CHOOSE(Table1[[#This Row],[Mode Digit]], Rs*Table1[[#This Row],[Irms BuSync]]^2, Rs*Table1[[#This Row],[Irms BoCtlr]]^2, Rs*(Table1[[#This Row],[Irms BuSync]]^2+Table1[[#This Row],[Irms BoCtlr]]^2))</f>
        <v>0.17901063266564149</v>
      </c>
      <c r="BD73" s="354">
        <f t="shared" ref="BD73:BD136" si="5">Rshunt/1000*Iout^2</f>
        <v>1.44</v>
      </c>
      <c r="BE73" s="354">
        <f>IF(Vout&gt;8, Iq*Vout, Iq*Table1[[#This Row],[Vin]])</f>
        <v>4.3799999999999999E-2</v>
      </c>
      <c r="BF73" s="354">
        <f>CHOOSE(Table1[[#This Row],[Mode Digit]], (Qg_Q1+Qg_Q2)*Fsw, (Qg_Q3+Qg_Q4)*Fsw, (Qg_Q1+Qg_Q2+Qg_Q3+Qg_Q4)*Fsw)*IF(Vout&gt;8, Vout, Table1[[#This Row],[Vin]])</f>
        <v>0.47303999999999996</v>
      </c>
      <c r="BG73" s="354">
        <f t="shared" ref="BG73:BG136" si="6">(Vin-Vdd)*Fsw*(Qg_Q1+Qg_Q2)+(RdsonDRT+RdsonDRT2)*Fsw*Qg_Q1*Vdd/(RdsonDRT+2*Rgate1+RdsonDRT2)+(RdsonDRB+RdsonDRB2)*Fsw*Qg_Q2*Vdd/(RdsonDRB+2*Rgate2+RdsonDRB2)</f>
        <v>0.45605042016806729</v>
      </c>
      <c r="BH73" s="354">
        <f>Table1[[#This Row],[IQ Loss]]+Table1[[#This Row],[Switching Current Loss]]</f>
        <v>0.51683999999999997</v>
      </c>
      <c r="BI7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10.285220977221883</v>
      </c>
      <c r="BJ73">
        <f>Vout*Table1[[#This Row],[Iout]]</f>
        <v>175.2</v>
      </c>
      <c r="BK73" s="550">
        <f>Table1[[#This Row],[Pout]]/(Table1[[#This Row],[Pout]]+Table1[[#This Row],[Total Loss]])</f>
        <v>0.94454964701211996</v>
      </c>
      <c r="BL7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243.67642749831748</v>
      </c>
      <c r="BM73" s="559">
        <f>IF(Table1[[#This Row],[Vin]]&gt;Vout, Table1[[#This Row],[Total Sync Bu MOSFET Loss]]*ThetaJA_Q2, ThetaJA_Q3*Table1[[#This Row],[Total Sync Bo MOSFET Loss]])</f>
        <v>56.785143753113694</v>
      </c>
      <c r="BN73" s="9"/>
      <c r="BO73" s="4">
        <f>Table1[[#This Row],[EFF, h]]*100</f>
        <v>94.454964701211992</v>
      </c>
      <c r="BP73" s="354">
        <f>Table1[[#This Row],[Total Inductor Loss]]</f>
        <v>1.9953278366890872</v>
      </c>
      <c r="BQ73" s="354">
        <f>Table1[[#This Row],[Total Control Bu MOSFET Loss]]+Table1[[#This Row],[Total Sync Bu MOSFET Loss]]+Table1[[#This Row],[Total Control Bo MOSFET Loss]]+Table1[[#This Row],[Total Sync Bo MOSFET Loss]]+Table1[[#This Row],[Reverse Recovery Loss MOSFET D BUCK]]+Table1[[#This Row],[Reverse Recovery Loss MOSFET D BOOST]]</f>
        <v>6.0723136517333165</v>
      </c>
      <c r="BR73" s="354">
        <f>Table1[[#This Row],[Total Control Bu MOSFET Loss]]+Table1[[#This Row],[Reverse Recovery Loss MOSFET D BUCK]]*0.66</f>
        <v>4.2902378236386252</v>
      </c>
      <c r="BS73" s="354">
        <f>Table1[[#This Row],[Total Sync Bu MOSFET Loss]]+Table1[[#This Row],[Reverse Recovery Loss MOSFET D BUCK]]*0.33</f>
        <v>1.0609010785518949</v>
      </c>
      <c r="BT73" s="354">
        <f xml:space="preserve"> Table1[[#This Row],[Total Control Bo MOSFET Loss]]+Table1[[#This Row],[Reverse Recovery Loss MOSFET D BOOST]]*0.66</f>
        <v>0</v>
      </c>
      <c r="BU73" s="354">
        <f xml:space="preserve"> Table1[[#This Row],[Total Sync Bo MOSFET Loss]]+Table1[[#This Row],[Reverse Recovery Loss MOSFET D BOOST]]*0.33</f>
        <v>0.71770559754279717</v>
      </c>
      <c r="BV73" s="354">
        <f>Table1[[#This Row],[Isense Shunt Loss]]</f>
        <v>0.17901063266564149</v>
      </c>
      <c r="CB73" s="18"/>
      <c r="CC73" s="19"/>
    </row>
    <row r="74" spans="1:81" x14ac:dyDescent="0.2">
      <c r="A74" s="14" t="s">
        <v>116</v>
      </c>
      <c r="B74" s="15" t="s">
        <v>8</v>
      </c>
      <c r="C74" s="17" t="s">
        <v>80</v>
      </c>
      <c r="G74">
        <v>65</v>
      </c>
      <c r="H74" s="555">
        <f>VIN_min+(VIN_max-VIN_min)*(Table1[[#This Row],[Step]]/200)</f>
        <v>29.1</v>
      </c>
      <c r="I74" s="4" t="str">
        <f>IF(Mode = 2,IF(Table1[[#This Row],[Vin]]&gt;Vout, "BUCK","BOOST"),IF(Table1[[#This Row],[Vin]]&gt;VIN_BB_to_buck, "BUCK", IF(Table1[[#This Row],[Vin]]&lt;=VIN_boost_to_BB,"BOOST","BUCK-BST")))</f>
        <v>BUCK</v>
      </c>
      <c r="J74">
        <f>IF(Table1[[#This Row],[Mode]]="BOOST",2, IF(Table1[[#This Row],[Mode]]="BUCK", 1,3))</f>
        <v>1</v>
      </c>
      <c r="K74">
        <f t="shared" si="4"/>
        <v>12</v>
      </c>
      <c r="L74" s="4">
        <f>Vout*Table1[[#This Row],[Iout]]/(Table1[[#This Row],[Vin]]*Efficiency)</f>
        <v>6.3374932175800325</v>
      </c>
      <c r="M74" s="711">
        <f>MIN(1/Fsw,CHOOSE(Table1[[#This Row],[Mode Digit]],(Vout+(Rdson2+Rs+Rdcr)*Table1[[#This Row],[Iout]])/(Table1[[#This Row],[Vin]]+(Rs+Rdson2-Rdson1)*Table1[[#This Row],[Iout]])/Fsw,(Vout+(Rdson3+Rdcr)*Table1[[#This Row],[Iin]]-Table1[[#This Row],[Vin]])/(Vout+(Rdson3-Rdson4-Rs)*Table1[[#This Row],[Iin]])/Fsw,t1_Ph_II))</f>
        <v>8.4391806842888199E-7</v>
      </c>
      <c r="N74" s="602">
        <f>CHOOSE(Table1[[#This Row],[Mode Digit]],1/Fsw-Table1[[#This Row],[t1_Ph_II]],1/Fsw-Table1[[#This Row],[t1_Ph_II]],(Vout/Fsw-Table1[[#This Row],[Vin]]*t1_Ph_II)/(Table1[[#This Row],[Vin]]+Vout))</f>
        <v>8.2274859823778468E-7</v>
      </c>
      <c r="O74" s="602">
        <f>1/Fsw-(Table1[[#This Row],[t1_Ph_II]]+Table1[[#This Row],[t2_Ph_I]])</f>
        <v>0</v>
      </c>
      <c r="P7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9.6824219711706832</v>
      </c>
      <c r="Q74" s="4">
        <f>CHOOSE(Table1[[#This Row],[Mode Digit]],Table1[[#This Row],[I_0]]+1/Lf*(Table1[[#This Row],[Vin]]-Vout)*Table1[[#This Row],[t1_Ph_II]],Table1[[#This Row],[I_0]]+1/Lf*Table1[[#This Row],[Vin]]*Table1[[#This Row],[t1_Ph_II]],Table1[[#This Row],[I_0]]+(Table1[[#This Row],[Vin]]-Vout)/L*Table1[[#This Row],[t1_Ph_II]])</f>
        <v>14.317578028829317</v>
      </c>
      <c r="R74" s="4">
        <f>CHOOSE(Table1[[#This Row],[Mode Digit]],0,0,Table1[[#This Row],[I_1]]+Table1[[#This Row],[Vin]]/L*Table1[[#This Row],[t2_Ph_I]])</f>
        <v>0</v>
      </c>
      <c r="S74" s="4">
        <f>Fsw*(Table1[[#This Row],[I_0]]*Table1[[#This Row],[t1_Ph_II]]+Table1[[#This Row],[I_1]]*Table1[[#This Row],[t2_Ph_I]]+Table1[[#This Row],[I_2]]*Table1[[#This Row],[t3_Ph_III]])</f>
        <v>11.970562860601893</v>
      </c>
      <c r="T74" s="354">
        <f>MIN(1,CHOOSE(Table1[[#This Row],[Mode Digit]],(Vout+(Rdson2+Rs+Rdcr)*Table1[[#This Row],[Iout]])/(Table1[[#This Row],[Vin]]+(Rs+Rdson2-Rdson1)*Table1[[#This Row],[Iout]]),1,Fsw*Table1[[#This Row],[t2_Ph_I]]+Table1[[#This Row],[t1_Ph_II]]))</f>
        <v>0.50635084105732919</v>
      </c>
      <c r="U74" s="354">
        <f>MIN(1,CHOOSE(Table1[[#This Row],[Mode Digit]],0,(Vout+(Rdson3+Rdcr)*Table1[[#This Row],[Iin]]-Table1[[#This Row],[Vin]])/(Vout+(Rdson3-Rdson4-Rs)*Table1[[#This Row],[Iin]]),Fsw*Table1[[#This Row],[t1_Ph_II]]+Table1[[#This Row],[t3_Ph_III]]))</f>
        <v>0</v>
      </c>
      <c r="V74" s="4">
        <f>MAX(Table1[[#This Row],[I_0]:[I_2]])-MIN(Table1[[#This Row],[I_0]:[I_1]])</f>
        <v>4.6351560576586337</v>
      </c>
      <c r="W7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12.074369105943831</v>
      </c>
      <c r="X74" s="354">
        <f>(Table1[[#This Row],[Irms Lf]]^2*Rdcr*(1+Ltc*Ta-Ltc*25))/(1-Table1[[#This Row],[Irms Lf]]^2*Rdcr*Ltc*ThetaCa)</f>
        <v>0.90693548768946364</v>
      </c>
      <c r="Y74" s="354">
        <f>ABS(7.759*10^-3*Fsw^0.9458*(0.00787*Table1[[#This Row],[Ripple Current pk-pk]])^2.304)</f>
        <v>1.1008275116291375</v>
      </c>
      <c r="Z74" s="354">
        <f>Table1[[#This Row],[DCR    Loss]]+Table1[[#This Row],[Core Loss]]</f>
        <v>2.0077629993186012</v>
      </c>
      <c r="AA74" s="4">
        <f>IF(Table1[[#This Row],[Vin]]&gt;Vout, Table1[[#This Row],[Ripple Current pk-pk]]/SQRT(12), SQRT(Table1[[#This Row],[Duty Cycle BOOST Leg]]/(1-Table1[[#This Row],[Duty Cycle BOOST Leg]]))*SQRT(Table1[[#This Row],[Iout]]^2+(Table1[[#This Row],[Ripple Current pk-pk]]^2)/12))</f>
        <v>1.3380542988125683</v>
      </c>
      <c r="AB74" s="354">
        <f>RCoutEsr*Table1[[#This Row],[Irms Cout]]^2</f>
        <v>8.9519465328539698E-3</v>
      </c>
      <c r="AC74" s="354">
        <f>Table1[[#This Row],[Cout ESR Loss]]</f>
        <v>8.9519465328539698E-3</v>
      </c>
      <c r="AD74" s="354">
        <f>IF(Table1[[#This Row],[Vin]]&gt;Vout, SQRT(Table1[[#This Row],[Duty Cycle BUCK Leg]]*(1-Table1[[#This Row],[Duty Cycle BUCK Leg]]))*SQRT(Table1[[#This Row],[Iout]]^2+(Table1[[#This Row],[Ripple Current pk-pk]]^2)/12), Table1[[#This Row],[Ripple Current pk-pk]]/SQRT(12))</f>
        <v>6.036697535599842</v>
      </c>
      <c r="AE74" s="354">
        <f>RCinEsr*Table1[[#This Row],[Irms Cin]]^2</f>
        <v>7.2883434272634426E-2</v>
      </c>
      <c r="AF74" s="549">
        <f>Table1[[#This Row],[Cin ESR Loss]]</f>
        <v>7.2883434272634426E-2</v>
      </c>
      <c r="AG7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8.5919198229183671</v>
      </c>
      <c r="AH74" s="354">
        <f>Rdson1*Table1[[#This Row],[Irms BuCtrl]]^2</f>
        <v>0.31004856222252192</v>
      </c>
      <c r="AI74" s="354">
        <f>CHOOSE(Table1[[#This Row],[Mode Digit]], (Table1[[#This Row],[Vin]]*Table1[[#This Row],[Iout]]/2)*(Fsw)*(Tr_buck+Tf_buck), 0, (Table1[[#This Row],[Vin]]*Table1[[#This Row],[Avg IL]]/2)*(Fsw/1)*(Tr_buck+Tf_buck))</f>
        <v>3.4627953364316033</v>
      </c>
      <c r="AJ74">
        <f>IF(Table1[[#This Row],[Vin]]&gt;Vout, IF(Table1[[#This Row],[Iout]]&gt;Table1[[#This Row],[Ripple Current pk-pk]]/2,0,ABS(Table1[[#This Row],[Iout]]-Table1[[#This Row],[Ripple Current pk-pk]]/2)*Vsd_Q1*Deadtime*Fsw),0)</f>
        <v>0</v>
      </c>
      <c r="AK74" s="354">
        <f>(Table1[[#This Row],[Dead Time Loss BuCtrl]]+Table1[[#This Row],[Transition Loss BuCtrl]]+Table1[[#This Row],[RDS(on) Loss BuCtrl]]*(1+RdsonTopTc*Ta-RdsonTopTc*25))/(1-Table1[[#This Row],[RDS(on) Loss BuCtrl]]*RdsonTopTc*ThetaJA_Q1)</f>
        <v>4.0761575259276572</v>
      </c>
      <c r="AL74" s="354">
        <f>CHOOSE(Table1[[#This Row],[Mode Digit]],SQRT((Fsw*(Table1[[#This Row],[t2_Ph_I]]+0))*((Table1[[#This Row],[I_0]]*Table1[[#This Row],[I_1]]+((Table1[[#This Row],[I_0]]-Table1[[#This Row],[I_1]])^2)/3))),0,SQRT((Fsw*(Table1[[#This Row],[t3_Ph_III]]+0))*((Table1[[#This Row],[I_0]]*Table1[[#This Row],[I_2]]+((Table1[[#This Row],[I_0]]-Table1[[#This Row],[I_2]])^2)/3))))</f>
        <v>8.4834723470471243</v>
      </c>
      <c r="AM74" s="354">
        <f>Rdson2*Table1[[#This Row],[Irms BuSync]]^2</f>
        <v>0.30227107286507565</v>
      </c>
      <c r="AN7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74" s="354">
        <f>(Table1[[#This Row],[Deadtime Loss BuSync]]+Table1[[#This Row],[RDS(on) Loss BuSync]]*(1+RdsonBotTc*Ta-RdsonBotTc*25))/(1-Table1[[#This Row],[RDS(on) Loss BuSync]]*RdsonBotTc*ThetaJA_Q2)</f>
        <v>0.94844769391561101</v>
      </c>
      <c r="AP74" s="354">
        <f>CHOOSE(Table1[[#This Row],[Mode Digit]],0,SQRT((Fsw*(Table1[[#This Row],[t1_Ph_II]]+0))*((Table1[[#This Row],[I_0]]*Table1[[#This Row],[I_1]]+((Table1[[#This Row],[I_0]]-Table1[[#This Row],[I_1]])^2)/3))),SQRT((Fsw*(Table1[[#This Row],[t2_Ph_I]]+0))*((Table1[[#This Row],[I_1]]*Table1[[#This Row],[I_2]]+((Table1[[#This Row],[I_1]]-Table1[[#This Row],[I_2]])^2)/3))))</f>
        <v>0</v>
      </c>
      <c r="AQ74" s="354">
        <f>Rdson4*Table1[[#This Row],[Irms BoCtlr]]^2</f>
        <v>0</v>
      </c>
      <c r="AR74" s="354">
        <f>CHOOSE(Table1[[#This Row],[Mode Digit]], 0, (Vout*Table1[[#This Row],[Iin]]/2)*(Fsw)*(Tr_boost+Tf_boost), (Vout*Iout/2)*(Fsw/1)*(Tr_boost+Tf_boost))</f>
        <v>0</v>
      </c>
      <c r="AS74">
        <f>IF(Table1[[#This Row],[Vin]]&gt;Vout, 0, IF(Table1[[#This Row],[Iin]]&gt;Table1[[#This Row],[Ripple Current pk-pk]]/2,0,ABS(Table1[[#This Row],[Iin]]-Table1[[#This Row],[Ripple Current pk-pk]]/2)*Vsd_Q4*Deadtime*Fsw))</f>
        <v>0</v>
      </c>
      <c r="AT74" s="354">
        <f>(Table1[[#This Row],[Dead Time Loss BoCtlr]]+Table1[[#This Row],[Transition Loss BoCtlr]]+Table1[[#This Row],[RDS(on) Loss BoCtlr]]*(1+RdsonTopTc*Ta-RdsonTopTc*25))/(1-Table1[[#This Row],[RDS(on) Loss BoCtlr]]*RdsonTopTc*ThetaJA_Q4)</f>
        <v>0</v>
      </c>
      <c r="AU7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12.074369105943831</v>
      </c>
      <c r="AV74" s="354">
        <f>Rdson3*Table1[[#This Row],[Irms BoSync]]^2</f>
        <v>0.61231963508759757</v>
      </c>
      <c r="AW7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74" s="354">
        <f>(Table1[[#This Row],[Deadtime Loss BoSync]]+Table1[[#This Row],[RDS(on) Loss BoSync]]*(1+RdsonBotTc*Ta-RdsonBotTc*25))/(1-Table1[[#This Row],[RDS(on) Loss BoSync]]*RdsonBotTc*ThetaJA_Q3)</f>
        <v>0.71780605275662246</v>
      </c>
      <c r="AY74" s="354">
        <f>CHOOSE(Table1[[#This Row],[Mode Digit]], Rdson3*Table1[[#This Row],[Irms Lf]]^2, Rdson1*Table1[[#This Row],[Irms Lf]]^2, 0)</f>
        <v>0.61231963508759757</v>
      </c>
      <c r="AZ74" s="354">
        <f>CHOOSE(Table1[[#This Row],[Mode Digit]], 2*Deadtime*Fsw*IF(VfdSky_Q2&gt;0,VfdSky_Q2,0)*Table1[[#This Row],[Iout]], 2*Deadtime*Fsw*IF(VfdSky_Q3&gt;0,VfdSky_Q3,0)*Table1[[#This Row],[Iin]], 2*Deadtime*Fsw*IF(VfdSky_Q2&gt;0,VfdSky_Q2,0)*Table1[[#This Row],[Iout]]+2*Deadtime*Fsw*IF(VfdSky_Q3&gt;0,VfdSky_Q3,0)*Table1[[#This Row],[Iin]])</f>
        <v>0</v>
      </c>
      <c r="BA74" s="354">
        <f>CHOOSE(Table1[[#This Row],[Mode Digit]], IF(QrrSky_Q2&gt;0,QrrSky_Q2,Qrr_Q2)*Fsw*(Table1[[#This Row],[Vin]]-Table1[[#This Row],[Iout]]*Rdson1),0,  IF(QrrSky_Q2&gt;0,QrrSky_Q2,Qrr_Q2)*Fsw*(Table1[[#This Row],[Vin]]-Table1[[#This Row],[Iout]]*Rdson1)+IF(QrrSky_Q3&gt;0,QrrSky_Q3,Qrr_Q3)*Fsw*Vout)</f>
        <v>0.34859520000000005</v>
      </c>
      <c r="BB74" s="354">
        <f>CHOOSE(Table1[[#This Row],[Mode Digit]],0, IF(QrrSky_Q3&gt;0,QrrSky_Q3,Qrr_Q3)*Fsw*Vout,  IF(QrrSky_Q2&gt;0,QrrSky_Q2,Qrr_Q2)*Fsw*(Table1[[#This Row],[Vin]]-Table1[[#This Row],[Iout]]*Rdson1)+IF(QrrSky_Q3&gt;0,QrrSky_Q3,Qrr_Q3)*Fsw*Vout)</f>
        <v>0</v>
      </c>
      <c r="BC74" s="354">
        <f>CHOOSE(Table1[[#This Row],[Mode Digit]], Rs*Table1[[#This Row],[Irms BuSync]]^2, Rs*Table1[[#This Row],[Irms BoCtlr]]^2, Rs*(Table1[[#This Row],[Irms BuSync]]^2+Table1[[#This Row],[Irms BoCtlr]]^2))</f>
        <v>0.17992325765778311</v>
      </c>
      <c r="BD74" s="354">
        <f t="shared" si="5"/>
        <v>1.44</v>
      </c>
      <c r="BE74" s="354">
        <f>IF(Vout&gt;8, Iq*Vout, Iq*Table1[[#This Row],[Vin]])</f>
        <v>4.3799999999999999E-2</v>
      </c>
      <c r="BF74" s="354">
        <f>CHOOSE(Table1[[#This Row],[Mode Digit]], (Qg_Q1+Qg_Q2)*Fsw, (Qg_Q3+Qg_Q4)*Fsw, (Qg_Q1+Qg_Q2+Qg_Q3+Qg_Q4)*Fsw)*IF(Vout&gt;8, Vout, Table1[[#This Row],[Vin]])</f>
        <v>0.47303999999999996</v>
      </c>
      <c r="BG74" s="354">
        <f t="shared" si="6"/>
        <v>0.45605042016806729</v>
      </c>
      <c r="BH74" s="354">
        <f>Table1[[#This Row],[IQ Loss]]+Table1[[#This Row],[Switching Current Loss]]</f>
        <v>0.51683999999999997</v>
      </c>
      <c r="BI7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10.317368110381762</v>
      </c>
      <c r="BJ74">
        <f>Vout*Table1[[#This Row],[Iout]]</f>
        <v>175.2</v>
      </c>
      <c r="BK74" s="550">
        <f>Table1[[#This Row],[Pout]]/(Table1[[#This Row],[Pout]]+Table1[[#This Row],[Total Loss]])</f>
        <v>0.94438597196871088</v>
      </c>
      <c r="BL7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244.56945155565944</v>
      </c>
      <c r="BM74" s="559">
        <f>IF(Table1[[#This Row],[Vin]]&gt;Vout, Table1[[#This Row],[Total Sync Bu MOSFET Loss]]*ThetaJA_Q2, ThetaJA_Q3*Table1[[#This Row],[Total Sync Bo MOSFET Loss]])</f>
        <v>56.906861634936661</v>
      </c>
      <c r="BN74" s="9"/>
      <c r="BO74" s="4">
        <f>Table1[[#This Row],[EFF, h]]*100</f>
        <v>94.438597196871086</v>
      </c>
      <c r="BP74" s="354">
        <f>Table1[[#This Row],[Total Inductor Loss]]</f>
        <v>2.0077629993186012</v>
      </c>
      <c r="BQ74" s="354">
        <f>Table1[[#This Row],[Total Control Bu MOSFET Loss]]+Table1[[#This Row],[Total Sync Bu MOSFET Loss]]+Table1[[#This Row],[Total Control Bo MOSFET Loss]]+Table1[[#This Row],[Total Sync Bo MOSFET Loss]]+Table1[[#This Row],[Reverse Recovery Loss MOSFET D BUCK]]+Table1[[#This Row],[Reverse Recovery Loss MOSFET D BOOST]]</f>
        <v>6.0910064725998909</v>
      </c>
      <c r="BR74" s="354">
        <f>Table1[[#This Row],[Total Control Bu MOSFET Loss]]+Table1[[#This Row],[Reverse Recovery Loss MOSFET D BUCK]]*0.66</f>
        <v>4.3062303579276575</v>
      </c>
      <c r="BS74" s="354">
        <f>Table1[[#This Row],[Total Sync Bu MOSFET Loss]]+Table1[[#This Row],[Reverse Recovery Loss MOSFET D BUCK]]*0.33</f>
        <v>1.0634841099156109</v>
      </c>
      <c r="BT74" s="354">
        <f xml:space="preserve"> Table1[[#This Row],[Total Control Bo MOSFET Loss]]+Table1[[#This Row],[Reverse Recovery Loss MOSFET D BOOST]]*0.66</f>
        <v>0</v>
      </c>
      <c r="BU74" s="354">
        <f xml:space="preserve"> Table1[[#This Row],[Total Sync Bo MOSFET Loss]]+Table1[[#This Row],[Reverse Recovery Loss MOSFET D BOOST]]*0.33</f>
        <v>0.71780605275662246</v>
      </c>
      <c r="BV74" s="354">
        <f>Table1[[#This Row],[Isense Shunt Loss]]</f>
        <v>0.17992325765778311</v>
      </c>
      <c r="CB74" s="18"/>
      <c r="CC74" s="19"/>
    </row>
    <row r="75" spans="1:81" x14ac:dyDescent="0.2">
      <c r="A75" s="34" t="s">
        <v>117</v>
      </c>
      <c r="B75" s="78">
        <f>BH9</f>
        <v>0.51683999999999997</v>
      </c>
      <c r="C75" s="79" t="s">
        <v>118</v>
      </c>
      <c r="G75">
        <v>66</v>
      </c>
      <c r="H75" s="555">
        <f>VIN_min+(VIN_max-VIN_min)*(Table1[[#This Row],[Step]]/200)</f>
        <v>29.240000000000002</v>
      </c>
      <c r="I75" s="4" t="str">
        <f>IF(Mode = 2,IF(Table1[[#This Row],[Vin]]&gt;Vout, "BUCK","BOOST"),IF(Table1[[#This Row],[Vin]]&gt;VIN_BB_to_buck, "BUCK", IF(Table1[[#This Row],[Vin]]&lt;=VIN_boost_to_BB,"BOOST","BUCK-BST")))</f>
        <v>BUCK</v>
      </c>
      <c r="J75">
        <f>IF(Table1[[#This Row],[Mode]]="BOOST",2, IF(Table1[[#This Row],[Mode]]="BUCK", 1,3))</f>
        <v>1</v>
      </c>
      <c r="K75">
        <f t="shared" si="4"/>
        <v>12</v>
      </c>
      <c r="L75" s="4">
        <f>Vout*Table1[[#This Row],[Iout]]/(Table1[[#This Row],[Vin]]*Efficiency)</f>
        <v>6.307149542803657</v>
      </c>
      <c r="M75" s="711">
        <f>MIN(1/Fsw,CHOOSE(Table1[[#This Row],[Mode Digit]],(Vout+(Rdson2+Rs+Rdcr)*Table1[[#This Row],[Iout]])/(Table1[[#This Row],[Vin]]+(Rs+Rdson2-Rdson1)*Table1[[#This Row],[Iout]])/Fsw,(Vout+(Rdson3+Rdcr)*Table1[[#This Row],[Iin]]-Table1[[#This Row],[Vin]])/(Vout+(Rdson3-Rdson4-Rs)*Table1[[#This Row],[Iin]])/Fsw,t1_Ph_II))</f>
        <v>8.3988156246441168E-7</v>
      </c>
      <c r="N75" s="602">
        <f>CHOOSE(Table1[[#This Row],[Mode Digit]],1/Fsw-Table1[[#This Row],[t1_Ph_II]],1/Fsw-Table1[[#This Row],[t1_Ph_II]],(Vout/Fsw-Table1[[#This Row],[Vin]]*t1_Ph_II)/(Table1[[#This Row],[Vin]]+Vout))</f>
        <v>8.2678510420225499E-7</v>
      </c>
      <c r="O75" s="602">
        <f>1/Fsw-(Table1[[#This Row],[t1_Ph_II]]+Table1[[#This Row],[t2_Ph_I]])</f>
        <v>0</v>
      </c>
      <c r="P7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9.6712374858941317</v>
      </c>
      <c r="Q75" s="4">
        <f>CHOOSE(Table1[[#This Row],[Mode Digit]],Table1[[#This Row],[I_0]]+1/Lf*(Table1[[#This Row],[Vin]]-Vout)*Table1[[#This Row],[t1_Ph_II]],Table1[[#This Row],[I_0]]+1/Lf*Table1[[#This Row],[Vin]]*Table1[[#This Row],[t1_Ph_II]],Table1[[#This Row],[I_0]]+(Table1[[#This Row],[Vin]]-Vout)/L*Table1[[#This Row],[t1_Ph_II]])</f>
        <v>14.328762514105868</v>
      </c>
      <c r="R75" s="4">
        <f>CHOOSE(Table1[[#This Row],[Mode Digit]],0,0,Table1[[#This Row],[I_1]]+Table1[[#This Row],[Vin]]/L*Table1[[#This Row],[t2_Ph_I]])</f>
        <v>0</v>
      </c>
      <c r="S75" s="4">
        <f>Fsw*(Table1[[#This Row],[I_0]]*Table1[[#This Row],[t1_Ph_II]]+Table1[[#This Row],[I_1]]*Table1[[#This Row],[t2_Ph_I]]+Table1[[#This Row],[I_2]]*Table1[[#This Row],[t3_Ph_III]])</f>
        <v>11.981700875358923</v>
      </c>
      <c r="T75" s="354">
        <f>MIN(1,CHOOSE(Table1[[#This Row],[Mode Digit]],(Vout+(Rdson2+Rs+Rdcr)*Table1[[#This Row],[Iout]])/(Table1[[#This Row],[Vin]]+(Rs+Rdson2-Rdson1)*Table1[[#This Row],[Iout]]),1,Fsw*Table1[[#This Row],[t2_Ph_I]]+Table1[[#This Row],[t1_Ph_II]]))</f>
        <v>0.50392893747864698</v>
      </c>
      <c r="U75" s="354">
        <f>MIN(1,CHOOSE(Table1[[#This Row],[Mode Digit]],0,(Vout+(Rdson3+Rdcr)*Table1[[#This Row],[Iin]]-Table1[[#This Row],[Vin]])/(Vout+(Rdson3-Rdson4-Rs)*Table1[[#This Row],[Iin]]),Fsw*Table1[[#This Row],[t1_Ph_II]]+Table1[[#This Row],[t3_Ph_III]]))</f>
        <v>0</v>
      </c>
      <c r="V75" s="4">
        <f>MAX(Table1[[#This Row],[I_0]:[I_2]])-MIN(Table1[[#This Row],[I_0]:[I_1]])</f>
        <v>4.6575250282117366</v>
      </c>
      <c r="W7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12.07508640199736</v>
      </c>
      <c r="X75" s="354">
        <f>(Table1[[#This Row],[Irms Lf]]^2*Rdcr*(1+Ltc*Ta-Ltc*25))/(1-Table1[[#This Row],[Irms Lf]]^2*Rdcr*Ltc*ThetaCa)</f>
        <v>0.90705106605150099</v>
      </c>
      <c r="Y75" s="354">
        <f>ABS(7.759*10^-3*Fsw^0.9458*(0.00787*Table1[[#This Row],[Ripple Current pk-pk]])^2.304)</f>
        <v>1.1131060994055222</v>
      </c>
      <c r="Z75" s="354">
        <f>Table1[[#This Row],[DCR    Loss]]+Table1[[#This Row],[Core Loss]]</f>
        <v>2.0201571654570234</v>
      </c>
      <c r="AA75" s="4">
        <f>IF(Table1[[#This Row],[Vin]]&gt;Vout, Table1[[#This Row],[Ripple Current pk-pk]]/SQRT(12), SQRT(Table1[[#This Row],[Duty Cycle BOOST Leg]]/(1-Table1[[#This Row],[Duty Cycle BOOST Leg]]))*SQRT(Table1[[#This Row],[Iout]]^2+(Table1[[#This Row],[Ripple Current pk-pk]]^2)/12))</f>
        <v>1.3445116643977328</v>
      </c>
      <c r="AB75" s="354">
        <f>RCoutEsr*Table1[[#This Row],[Irms Cout]]^2</f>
        <v>9.03855807850781E-3</v>
      </c>
      <c r="AC75" s="354">
        <f>Table1[[#This Row],[Cout ESR Loss]]</f>
        <v>9.03855807850781E-3</v>
      </c>
      <c r="AD75" s="354">
        <f>IF(Table1[[#This Row],[Vin]]&gt;Vout, SQRT(Table1[[#This Row],[Duty Cycle BUCK Leg]]*(1-Table1[[#This Row],[Duty Cycle BUCK Leg]]))*SQRT(Table1[[#This Row],[Iout]]^2+(Table1[[#This Row],[Ripple Current pk-pk]]^2)/12), Table1[[#This Row],[Ripple Current pk-pk]]/SQRT(12))</f>
        <v>6.0373568004497438</v>
      </c>
      <c r="AE75" s="354">
        <f>RCinEsr*Table1[[#This Row],[Irms Cin]]^2</f>
        <v>7.2899354271873537E-2</v>
      </c>
      <c r="AF75" s="549">
        <f>Table1[[#This Row],[Cin ESR Loss]]</f>
        <v>7.2899354271873537E-2</v>
      </c>
      <c r="AG7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8.5718565778186857</v>
      </c>
      <c r="AH75" s="354">
        <f>Rdson1*Table1[[#This Row],[Irms BuCtrl]]^2</f>
        <v>0.30860224580091261</v>
      </c>
      <c r="AI75" s="354">
        <f>CHOOSE(Table1[[#This Row],[Mode Digit]], (Table1[[#This Row],[Vin]]*Table1[[#This Row],[Iout]]/2)*(Fsw)*(Tr_buck+Tf_buck), 0, (Table1[[#This Row],[Vin]]*Table1[[#This Row],[Avg IL]]/2)*(Fsw/1)*(Tr_buck+Tf_buck))</f>
        <v>3.4794548328955353</v>
      </c>
      <c r="AJ75">
        <f>IF(Table1[[#This Row],[Vin]]&gt;Vout, IF(Table1[[#This Row],[Iout]]&gt;Table1[[#This Row],[Ripple Current pk-pk]]/2,0,ABS(Table1[[#This Row],[Iout]]-Table1[[#This Row],[Ripple Current pk-pk]]/2)*Vsd_Q1*Deadtime*Fsw),0)</f>
        <v>0</v>
      </c>
      <c r="AK75" s="354">
        <f>(Table1[[#This Row],[Dead Time Loss BuCtrl]]+Table1[[#This Row],[Transition Loss BuCtrl]]+Table1[[#This Row],[RDS(on) Loss BuCtrl]]*(1+RdsonTopTc*Ta-RdsonTopTc*25))/(1-Table1[[#This Row],[RDS(on) Loss BuCtrl]]*RdsonTopTc*ThetaJA_Q1)</f>
        <v>4.0910595157178191</v>
      </c>
      <c r="AL75" s="354">
        <f>CHOOSE(Table1[[#This Row],[Mode Digit]],SQRT((Fsw*(Table1[[#This Row],[t2_Ph_I]]+0))*((Table1[[#This Row],[I_0]]*Table1[[#This Row],[I_1]]+((Table1[[#This Row],[I_0]]-Table1[[#This Row],[I_1]])^2)/3))),0,SQRT((Fsw*(Table1[[#This Row],[t3_Ph_III]]+0))*((Table1[[#This Row],[I_0]]*Table1[[#This Row],[I_2]]+((Table1[[#This Row],[I_0]]-Table1[[#This Row],[I_2]])^2)/3))))</f>
        <v>8.5047625731120853</v>
      </c>
      <c r="AM75" s="354">
        <f>Rdson2*Table1[[#This Row],[Irms BuSync]]^2</f>
        <v>0.30379014298503404</v>
      </c>
      <c r="AN7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75" s="354">
        <f>(Table1[[#This Row],[Deadtime Loss BuSync]]+Table1[[#This Row],[RDS(on) Loss BuSync]]*(1+RdsonBotTc*Ta-RdsonBotTc*25))/(1-Table1[[#This Row],[RDS(on) Loss BuSync]]*RdsonBotTc*ThetaJA_Q2)</f>
        <v>0.95045920459623856</v>
      </c>
      <c r="AP75" s="354">
        <f>CHOOSE(Table1[[#This Row],[Mode Digit]],0,SQRT((Fsw*(Table1[[#This Row],[t1_Ph_II]]+0))*((Table1[[#This Row],[I_0]]*Table1[[#This Row],[I_1]]+((Table1[[#This Row],[I_0]]-Table1[[#This Row],[I_1]])^2)/3))),SQRT((Fsw*(Table1[[#This Row],[t2_Ph_I]]+0))*((Table1[[#This Row],[I_1]]*Table1[[#This Row],[I_2]]+((Table1[[#This Row],[I_1]]-Table1[[#This Row],[I_2]])^2)/3))))</f>
        <v>0</v>
      </c>
      <c r="AQ75" s="354">
        <f>Rdson4*Table1[[#This Row],[Irms BoCtlr]]^2</f>
        <v>0</v>
      </c>
      <c r="AR75" s="354">
        <f>CHOOSE(Table1[[#This Row],[Mode Digit]], 0, (Vout*Table1[[#This Row],[Iin]]/2)*(Fsw)*(Tr_boost+Tf_boost), (Vout*Iout/2)*(Fsw/1)*(Tr_boost+Tf_boost))</f>
        <v>0</v>
      </c>
      <c r="AS75">
        <f>IF(Table1[[#This Row],[Vin]]&gt;Vout, 0, IF(Table1[[#This Row],[Iin]]&gt;Table1[[#This Row],[Ripple Current pk-pk]]/2,0,ABS(Table1[[#This Row],[Iin]]-Table1[[#This Row],[Ripple Current pk-pk]]/2)*Vsd_Q4*Deadtime*Fsw))</f>
        <v>0</v>
      </c>
      <c r="AT75" s="354">
        <f>(Table1[[#This Row],[Dead Time Loss BoCtlr]]+Table1[[#This Row],[Transition Loss BoCtlr]]+Table1[[#This Row],[RDS(on) Loss BoCtlr]]*(1+RdsonTopTc*Ta-RdsonTopTc*25))/(1-Table1[[#This Row],[RDS(on) Loss BoCtlr]]*RdsonTopTc*ThetaJA_Q4)</f>
        <v>0</v>
      </c>
      <c r="AU7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12.07508640199736</v>
      </c>
      <c r="AV75" s="354">
        <f>Rdson3*Table1[[#This Row],[Irms BoSync]]^2</f>
        <v>0.6123923887859466</v>
      </c>
      <c r="AW7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75" s="354">
        <f>(Table1[[#This Row],[Deadtime Loss BoSync]]+Table1[[#This Row],[RDS(on) Loss BoSync]]*(1+RdsonBotTc*Ta-RdsonBotTc*25))/(1-Table1[[#This Row],[RDS(on) Loss BoSync]]*RdsonBotTc*ThetaJA_Q3)</f>
        <v>0.71790603475773995</v>
      </c>
      <c r="AY75" s="354">
        <f>CHOOSE(Table1[[#This Row],[Mode Digit]], Rdson3*Table1[[#This Row],[Irms Lf]]^2, Rdson1*Table1[[#This Row],[Irms Lf]]^2, 0)</f>
        <v>0.6123923887859466</v>
      </c>
      <c r="AZ75" s="354">
        <f>CHOOSE(Table1[[#This Row],[Mode Digit]], 2*Deadtime*Fsw*IF(VfdSky_Q2&gt;0,VfdSky_Q2,0)*Table1[[#This Row],[Iout]], 2*Deadtime*Fsw*IF(VfdSky_Q3&gt;0,VfdSky_Q3,0)*Table1[[#This Row],[Iin]], 2*Deadtime*Fsw*IF(VfdSky_Q2&gt;0,VfdSky_Q2,0)*Table1[[#This Row],[Iout]]+2*Deadtime*Fsw*IF(VfdSky_Q3&gt;0,VfdSky_Q3,0)*Table1[[#This Row],[Iin]])</f>
        <v>0</v>
      </c>
      <c r="BA75" s="354">
        <f>CHOOSE(Table1[[#This Row],[Mode Digit]], IF(QrrSky_Q2&gt;0,QrrSky_Q2,Qrr_Q2)*Fsw*(Table1[[#This Row],[Vin]]-Table1[[#This Row],[Iout]]*Rdson1),0,  IF(QrrSky_Q2&gt;0,QrrSky_Q2,Qrr_Q2)*Fsw*(Table1[[#This Row],[Vin]]-Table1[[#This Row],[Iout]]*Rdson1)+IF(QrrSky_Q3&gt;0,QrrSky_Q3,Qrr_Q3)*Fsw*Vout)</f>
        <v>0.35027520000000001</v>
      </c>
      <c r="BB75" s="354">
        <f>CHOOSE(Table1[[#This Row],[Mode Digit]],0, IF(QrrSky_Q3&gt;0,QrrSky_Q3,Qrr_Q3)*Fsw*Vout,  IF(QrrSky_Q2&gt;0,QrrSky_Q2,Qrr_Q2)*Fsw*(Table1[[#This Row],[Vin]]-Table1[[#This Row],[Iout]]*Rdson1)+IF(QrrSky_Q3&gt;0,QrrSky_Q3,Qrr_Q3)*Fsw*Vout)</f>
        <v>0</v>
      </c>
      <c r="BC75" s="354">
        <f>CHOOSE(Table1[[#This Row],[Mode Digit]], Rs*Table1[[#This Row],[Irms BuSync]]^2, Rs*Table1[[#This Row],[Irms BoCtlr]]^2, Rs*(Table1[[#This Row],[Irms BuSync]]^2+Table1[[#This Row],[Irms BoCtlr]]^2))</f>
        <v>0.18082746606252023</v>
      </c>
      <c r="BD75" s="354">
        <f t="shared" si="5"/>
        <v>1.44</v>
      </c>
      <c r="BE75" s="354">
        <f>IF(Vout&gt;8, Iq*Vout, Iq*Table1[[#This Row],[Vin]])</f>
        <v>4.3799999999999999E-2</v>
      </c>
      <c r="BF75" s="354">
        <f>CHOOSE(Table1[[#This Row],[Mode Digit]], (Qg_Q1+Qg_Q2)*Fsw, (Qg_Q3+Qg_Q4)*Fsw, (Qg_Q1+Qg_Q2+Qg_Q3+Qg_Q4)*Fsw)*IF(Vout&gt;8, Vout, Table1[[#This Row],[Vin]])</f>
        <v>0.47303999999999996</v>
      </c>
      <c r="BG75" s="354">
        <f t="shared" si="6"/>
        <v>0.45605042016806729</v>
      </c>
      <c r="BH75" s="354">
        <f>Table1[[#This Row],[IQ Loss]]+Table1[[#This Row],[Switching Current Loss]]</f>
        <v>0.51683999999999997</v>
      </c>
      <c r="BI7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10.349462498941723</v>
      </c>
      <c r="BJ75">
        <f>Vout*Table1[[#This Row],[Iout]]</f>
        <v>175.2</v>
      </c>
      <c r="BK75" s="550">
        <f>Table1[[#This Row],[Pout]]/(Table1[[#This Row],[Pout]]+Table1[[#This Row],[Total Loss]])</f>
        <v>0.9442226220461255</v>
      </c>
      <c r="BL7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245.46357094306916</v>
      </c>
      <c r="BM75" s="559">
        <f>IF(Table1[[#This Row],[Vin]]&gt;Vout, Table1[[#This Row],[Total Sync Bu MOSFET Loss]]*ThetaJA_Q2, ThetaJA_Q3*Table1[[#This Row],[Total Sync Bo MOSFET Loss]])</f>
        <v>57.027552275774312</v>
      </c>
      <c r="BN75" s="9"/>
      <c r="BO75" s="4">
        <f>Table1[[#This Row],[EFF, h]]*100</f>
        <v>94.422262204612551</v>
      </c>
      <c r="BP75" s="354">
        <f>Table1[[#This Row],[Total Inductor Loss]]</f>
        <v>2.0201571654570234</v>
      </c>
      <c r="BQ75" s="354">
        <f>Table1[[#This Row],[Total Control Bu MOSFET Loss]]+Table1[[#This Row],[Total Sync Bu MOSFET Loss]]+Table1[[#This Row],[Total Control Bo MOSFET Loss]]+Table1[[#This Row],[Total Sync Bo MOSFET Loss]]+Table1[[#This Row],[Reverse Recovery Loss MOSFET D BUCK]]+Table1[[#This Row],[Reverse Recovery Loss MOSFET D BOOST]]</f>
        <v>6.1096999550717968</v>
      </c>
      <c r="BR75" s="354">
        <f>Table1[[#This Row],[Total Control Bu MOSFET Loss]]+Table1[[#This Row],[Reverse Recovery Loss MOSFET D BUCK]]*0.66</f>
        <v>4.3222411477178193</v>
      </c>
      <c r="BS75" s="354">
        <f>Table1[[#This Row],[Total Sync Bu MOSFET Loss]]+Table1[[#This Row],[Reverse Recovery Loss MOSFET D BUCK]]*0.33</f>
        <v>1.0660500205962387</v>
      </c>
      <c r="BT75" s="354">
        <f xml:space="preserve"> Table1[[#This Row],[Total Control Bo MOSFET Loss]]+Table1[[#This Row],[Reverse Recovery Loss MOSFET D BOOST]]*0.66</f>
        <v>0</v>
      </c>
      <c r="BU75" s="354">
        <f xml:space="preserve"> Table1[[#This Row],[Total Sync Bo MOSFET Loss]]+Table1[[#This Row],[Reverse Recovery Loss MOSFET D BOOST]]*0.33</f>
        <v>0.71790603475773995</v>
      </c>
      <c r="BV75" s="354">
        <f>Table1[[#This Row],[Isense Shunt Loss]]</f>
        <v>0.18082746606252023</v>
      </c>
      <c r="CB75" s="18"/>
      <c r="CC75" s="19"/>
    </row>
    <row r="76" spans="1:81" x14ac:dyDescent="0.2">
      <c r="A76" s="34" t="s">
        <v>121</v>
      </c>
      <c r="B76" s="77">
        <f>B75*B62</f>
        <v>15.505199999999999</v>
      </c>
      <c r="C76" s="440" t="s">
        <v>637</v>
      </c>
      <c r="G76">
        <v>67</v>
      </c>
      <c r="H76" s="555">
        <f>VIN_min+(VIN_max-VIN_min)*(Table1[[#This Row],[Step]]/200)</f>
        <v>29.380000000000003</v>
      </c>
      <c r="I76" s="4" t="str">
        <f>IF(Mode = 2,IF(Table1[[#This Row],[Vin]]&gt;Vout, "BUCK","BOOST"),IF(Table1[[#This Row],[Vin]]&gt;VIN_BB_to_buck, "BUCK", IF(Table1[[#This Row],[Vin]]&lt;=VIN_boost_to_BB,"BOOST","BUCK-BST")))</f>
        <v>BUCK</v>
      </c>
      <c r="J76">
        <f>IF(Table1[[#This Row],[Mode]]="BOOST",2, IF(Table1[[#This Row],[Mode]]="BUCK", 1,3))</f>
        <v>1</v>
      </c>
      <c r="K76">
        <f t="shared" si="4"/>
        <v>12</v>
      </c>
      <c r="L76" s="4">
        <f>Vout*Table1[[#This Row],[Iout]]/(Table1[[#This Row],[Vin]]*Efficiency)</f>
        <v>6.277095052129984</v>
      </c>
      <c r="M76" s="711">
        <f>MIN(1/Fsw,CHOOSE(Table1[[#This Row],[Mode Digit]],(Vout+(Rdson2+Rs+Rdcr)*Table1[[#This Row],[Iout]])/(Table1[[#This Row],[Vin]]+(Rs+Rdson2-Rdson1)*Table1[[#This Row],[Iout]])/Fsw,(Vout+(Rdson3+Rdcr)*Table1[[#This Row],[Iin]]-Table1[[#This Row],[Vin]])/(Vout+(Rdson3-Rdson4-Rs)*Table1[[#This Row],[Iin]])/Fsw,t1_Ph_II))</f>
        <v>8.3588348634251369E-7</v>
      </c>
      <c r="N76" s="602">
        <f>CHOOSE(Table1[[#This Row],[Mode Digit]],1/Fsw-Table1[[#This Row],[t1_Ph_II]],1/Fsw-Table1[[#This Row],[t1_Ph_II]],(Vout/Fsw-Table1[[#This Row],[Vin]]*t1_Ph_II)/(Table1[[#This Row],[Vin]]+Vout))</f>
        <v>8.3078318032415297E-7</v>
      </c>
      <c r="O76" s="602">
        <f>1/Fsw-(Table1[[#This Row],[t1_Ph_II]]+Table1[[#This Row],[t2_Ph_I]])</f>
        <v>0</v>
      </c>
      <c r="P7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9.6601594833063729</v>
      </c>
      <c r="Q76" s="4">
        <f>CHOOSE(Table1[[#This Row],[Mode Digit]],Table1[[#This Row],[I_0]]+1/Lf*(Table1[[#This Row],[Vin]]-Vout)*Table1[[#This Row],[t1_Ph_II]],Table1[[#This Row],[I_0]]+1/Lf*Table1[[#This Row],[Vin]]*Table1[[#This Row],[t1_Ph_II]],Table1[[#This Row],[I_0]]+(Table1[[#This Row],[Vin]]-Vout)/L*Table1[[#This Row],[t1_Ph_II]])</f>
        <v>14.339840516693627</v>
      </c>
      <c r="R76" s="4">
        <f>CHOOSE(Table1[[#This Row],[Mode Digit]],0,0,Table1[[#This Row],[I_1]]+Table1[[#This Row],[Vin]]/L*Table1[[#This Row],[t2_Ph_I]])</f>
        <v>0</v>
      </c>
      <c r="S76" s="4">
        <f>Fsw*(Table1[[#This Row],[I_0]]*Table1[[#This Row],[t1_Ph_II]]+Table1[[#This Row],[I_1]]*Table1[[#This Row],[t2_Ph_I]]+Table1[[#This Row],[I_2]]*Table1[[#This Row],[t3_Ph_III]])</f>
        <v>11.992839658398422</v>
      </c>
      <c r="T76" s="354">
        <f>MIN(1,CHOOSE(Table1[[#This Row],[Mode Digit]],(Vout+(Rdson2+Rs+Rdcr)*Table1[[#This Row],[Iout]])/(Table1[[#This Row],[Vin]]+(Rs+Rdson2-Rdson1)*Table1[[#This Row],[Iout]]),1,Fsw*Table1[[#This Row],[t2_Ph_I]]+Table1[[#This Row],[t1_Ph_II]]))</f>
        <v>0.50153009180550823</v>
      </c>
      <c r="U76" s="354">
        <f>MIN(1,CHOOSE(Table1[[#This Row],[Mode Digit]],0,(Vout+(Rdson3+Rdcr)*Table1[[#This Row],[Iin]]-Table1[[#This Row],[Vin]])/(Vout+(Rdson3-Rdson4-Rs)*Table1[[#This Row],[Iin]]),Fsw*Table1[[#This Row],[t1_Ph_II]]+Table1[[#This Row],[t3_Ph_III]]))</f>
        <v>0</v>
      </c>
      <c r="V76" s="4">
        <f>MAX(Table1[[#This Row],[I_0]:[I_2]])-MIN(Table1[[#This Row],[I_0]:[I_1]])</f>
        <v>4.6796810333872543</v>
      </c>
      <c r="W7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12.075800230813707</v>
      </c>
      <c r="X76" s="354">
        <f>(Table1[[#This Row],[Irms Lf]]^2*Rdcr*(1+Ltc*Ta-Ltc*25))/(1-Table1[[#This Row],[Irms Lf]]^2*Rdcr*Ltc*ThetaCa)</f>
        <v>0.90716609453016228</v>
      </c>
      <c r="Y76" s="354">
        <f>ABS(7.759*10^-3*Fsw^0.9458*(0.00787*Table1[[#This Row],[Ripple Current pk-pk]])^2.304)</f>
        <v>1.1253438292540945</v>
      </c>
      <c r="Z76" s="354">
        <f>Table1[[#This Row],[DCR    Loss]]+Table1[[#This Row],[Core Loss]]</f>
        <v>2.0325099237842568</v>
      </c>
      <c r="AA76" s="4">
        <f>IF(Table1[[#This Row],[Vin]]&gt;Vout, Table1[[#This Row],[Ripple Current pk-pk]]/SQRT(12), SQRT(Table1[[#This Row],[Duty Cycle BOOST Leg]]/(1-Table1[[#This Row],[Duty Cycle BOOST Leg]]))*SQRT(Table1[[#This Row],[Iout]]^2+(Table1[[#This Row],[Ripple Current pk-pk]]^2)/12))</f>
        <v>1.3509075521738587</v>
      </c>
      <c r="AB76" s="354">
        <f>RCoutEsr*Table1[[#This Row],[Irms Cout]]^2</f>
        <v>9.1247560726018338E-3</v>
      </c>
      <c r="AC76" s="354">
        <f>Table1[[#This Row],[Cout ESR Loss]]</f>
        <v>9.1247560726018338E-3</v>
      </c>
      <c r="AD76" s="354">
        <f>IF(Table1[[#This Row],[Vin]]&gt;Vout, SQRT(Table1[[#This Row],[Duty Cycle BUCK Leg]]*(1-Table1[[#This Row],[Duty Cycle BUCK Leg]]))*SQRT(Table1[[#This Row],[Iout]]^2+(Table1[[#This Row],[Ripple Current pk-pk]]^2)/12), Table1[[#This Row],[Ripple Current pk-pk]]/SQRT(12))</f>
        <v>6.0378718437074088</v>
      </c>
      <c r="AE76" s="354">
        <f>RCinEsr*Table1[[#This Row],[Irms Cin]]^2</f>
        <v>7.2911792802069414E-2</v>
      </c>
      <c r="AF76" s="549">
        <f>Table1[[#This Row],[Cin ESR Loss]]</f>
        <v>7.2911792802069414E-2</v>
      </c>
      <c r="AG7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8.5519355218659232</v>
      </c>
      <c r="AH76" s="354">
        <f>Rdson1*Table1[[#This Row],[Irms BuCtrl]]^2</f>
        <v>0.30716952491463922</v>
      </c>
      <c r="AI76" s="354">
        <f>CHOOSE(Table1[[#This Row],[Mode Digit]], (Table1[[#This Row],[Vin]]*Table1[[#This Row],[Iout]]/2)*(Fsw)*(Tr_buck+Tf_buck), 0, (Table1[[#This Row],[Vin]]*Table1[[#This Row],[Avg IL]]/2)*(Fsw/1)*(Tr_buck+Tf_buck))</f>
        <v>3.4961143293594676</v>
      </c>
      <c r="AJ76">
        <f>IF(Table1[[#This Row],[Vin]]&gt;Vout, IF(Table1[[#This Row],[Iout]]&gt;Table1[[#This Row],[Ripple Current pk-pk]]/2,0,ABS(Table1[[#This Row],[Iout]]-Table1[[#This Row],[Ripple Current pk-pk]]/2)*Vsd_Q1*Deadtime*Fsw),0)</f>
        <v>0</v>
      </c>
      <c r="AK76" s="354">
        <f>(Table1[[#This Row],[Dead Time Loss BuCtrl]]+Table1[[#This Row],[Transition Loss BuCtrl]]+Table1[[#This Row],[RDS(on) Loss BuCtrl]]*(1+RdsonTopTc*Ta-RdsonTopTc*25))/(1-Table1[[#This Row],[RDS(on) Loss BuCtrl]]*RdsonTopTc*ThetaJA_Q1)</f>
        <v>4.1059794780108732</v>
      </c>
      <c r="AL76" s="354">
        <f>CHOOSE(Table1[[#This Row],[Mode Digit]],SQRT((Fsw*(Table1[[#This Row],[t2_Ph_I]]+0))*((Table1[[#This Row],[I_0]]*Table1[[#This Row],[I_1]]+((Table1[[#This Row],[I_0]]-Table1[[#This Row],[I_1]])^2)/3))),0,SQRT((Fsw*(Table1[[#This Row],[t3_Ph_III]]+0))*((Table1[[#This Row],[I_0]]*Table1[[#This Row],[I_2]]+((Table1[[#This Row],[I_0]]-Table1[[#This Row],[I_2]])^2)/3))))</f>
        <v>8.5258049499368802</v>
      </c>
      <c r="AM76" s="354">
        <f>Rdson2*Table1[[#This Row],[Irms BuSync]]^2</f>
        <v>0.30529527018634656</v>
      </c>
      <c r="AN7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76" s="354">
        <f>(Table1[[#This Row],[Deadtime Loss BuSync]]+Table1[[#This Row],[RDS(on) Loss BuSync]]*(1+RdsonBotTc*Ta-RdsonBotTc*25))/(1-Table1[[#This Row],[RDS(on) Loss BuSync]]*RdsonBotTc*ThetaJA_Q2)</f>
        <v>0.95245381338947666</v>
      </c>
      <c r="AP76" s="354">
        <f>CHOOSE(Table1[[#This Row],[Mode Digit]],0,SQRT((Fsw*(Table1[[#This Row],[t1_Ph_II]]+0))*((Table1[[#This Row],[I_0]]*Table1[[#This Row],[I_1]]+((Table1[[#This Row],[I_0]]-Table1[[#This Row],[I_1]])^2)/3))),SQRT((Fsw*(Table1[[#This Row],[t2_Ph_I]]+0))*((Table1[[#This Row],[I_1]]*Table1[[#This Row],[I_2]]+((Table1[[#This Row],[I_1]]-Table1[[#This Row],[I_2]])^2)/3))))</f>
        <v>0</v>
      </c>
      <c r="AQ76" s="354">
        <f>Rdson4*Table1[[#This Row],[Irms BoCtlr]]^2</f>
        <v>0</v>
      </c>
      <c r="AR76" s="354">
        <f>CHOOSE(Table1[[#This Row],[Mode Digit]], 0, (Vout*Table1[[#This Row],[Iin]]/2)*(Fsw)*(Tr_boost+Tf_boost), (Vout*Iout/2)*(Fsw/1)*(Tr_boost+Tf_boost))</f>
        <v>0</v>
      </c>
      <c r="AS76">
        <f>IF(Table1[[#This Row],[Vin]]&gt;Vout, 0, IF(Table1[[#This Row],[Iin]]&gt;Table1[[#This Row],[Ripple Current pk-pk]]/2,0,ABS(Table1[[#This Row],[Iin]]-Table1[[#This Row],[Ripple Current pk-pk]]/2)*Vsd_Q4*Deadtime*Fsw))</f>
        <v>0</v>
      </c>
      <c r="AT76" s="354">
        <f>(Table1[[#This Row],[Dead Time Loss BoCtlr]]+Table1[[#This Row],[Transition Loss BoCtlr]]+Table1[[#This Row],[RDS(on) Loss BoCtlr]]*(1+RdsonTopTc*Ta-RdsonTopTc*25))/(1-Table1[[#This Row],[RDS(on) Loss BoCtlr]]*RdsonTopTc*ThetaJA_Q4)</f>
        <v>0</v>
      </c>
      <c r="AU7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12.075800230813707</v>
      </c>
      <c r="AV76" s="354">
        <f>Rdson3*Table1[[#This Row],[Irms BoSync]]^2</f>
        <v>0.61246479510098573</v>
      </c>
      <c r="AW7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76" s="354">
        <f>(Table1[[#This Row],[Deadtime Loss BoSync]]+Table1[[#This Row],[RDS(on) Loss BoSync]]*(1+RdsonBotTc*Ta-RdsonBotTc*25))/(1-Table1[[#This Row],[RDS(on) Loss BoSync]]*RdsonBotTc*ThetaJA_Q3)</f>
        <v>0.71800554343018774</v>
      </c>
      <c r="AY76" s="354">
        <f>CHOOSE(Table1[[#This Row],[Mode Digit]], Rdson3*Table1[[#This Row],[Irms Lf]]^2, Rdson1*Table1[[#This Row],[Irms Lf]]^2, 0)</f>
        <v>0.61246479510098573</v>
      </c>
      <c r="AZ76" s="354">
        <f>CHOOSE(Table1[[#This Row],[Mode Digit]], 2*Deadtime*Fsw*IF(VfdSky_Q2&gt;0,VfdSky_Q2,0)*Table1[[#This Row],[Iout]], 2*Deadtime*Fsw*IF(VfdSky_Q3&gt;0,VfdSky_Q3,0)*Table1[[#This Row],[Iin]], 2*Deadtime*Fsw*IF(VfdSky_Q2&gt;0,VfdSky_Q2,0)*Table1[[#This Row],[Iout]]+2*Deadtime*Fsw*IF(VfdSky_Q3&gt;0,VfdSky_Q3,0)*Table1[[#This Row],[Iin]])</f>
        <v>0</v>
      </c>
      <c r="BA76" s="354">
        <f>CHOOSE(Table1[[#This Row],[Mode Digit]], IF(QrrSky_Q2&gt;0,QrrSky_Q2,Qrr_Q2)*Fsw*(Table1[[#This Row],[Vin]]-Table1[[#This Row],[Iout]]*Rdson1),0,  IF(QrrSky_Q2&gt;0,QrrSky_Q2,Qrr_Q2)*Fsw*(Table1[[#This Row],[Vin]]-Table1[[#This Row],[Iout]]*Rdson1)+IF(QrrSky_Q3&gt;0,QrrSky_Q3,Qrr_Q3)*Fsw*Vout)</f>
        <v>0.35195520000000002</v>
      </c>
      <c r="BB76" s="354">
        <f>CHOOSE(Table1[[#This Row],[Mode Digit]],0, IF(QrrSky_Q3&gt;0,QrrSky_Q3,Qrr_Q3)*Fsw*Vout,  IF(QrrSky_Q2&gt;0,QrrSky_Q2,Qrr_Q2)*Fsw*(Table1[[#This Row],[Vin]]-Table1[[#This Row],[Iout]]*Rdson1)+IF(QrrSky_Q3&gt;0,QrrSky_Q3,Qrr_Q3)*Fsw*Vout)</f>
        <v>0</v>
      </c>
      <c r="BC76" s="354">
        <f>CHOOSE(Table1[[#This Row],[Mode Digit]], Rs*Table1[[#This Row],[Irms BuSync]]^2, Rs*Table1[[#This Row],[Irms BoCtlr]]^2, Rs*(Table1[[#This Row],[Irms BuSync]]^2+Table1[[#This Row],[Irms BoCtlr]]^2))</f>
        <v>0.18172337511092054</v>
      </c>
      <c r="BD76" s="354">
        <f t="shared" si="5"/>
        <v>1.44</v>
      </c>
      <c r="BE76" s="354">
        <f>IF(Vout&gt;8, Iq*Vout, Iq*Table1[[#This Row],[Vin]])</f>
        <v>4.3799999999999999E-2</v>
      </c>
      <c r="BF76" s="354">
        <f>CHOOSE(Table1[[#This Row],[Mode Digit]], (Qg_Q1+Qg_Q2)*Fsw, (Qg_Q3+Qg_Q4)*Fsw, (Qg_Q1+Qg_Q2+Qg_Q3+Qg_Q4)*Fsw)*IF(Vout&gt;8, Vout, Table1[[#This Row],[Vin]])</f>
        <v>0.47303999999999996</v>
      </c>
      <c r="BG76" s="354">
        <f t="shared" si="6"/>
        <v>0.45605042016806729</v>
      </c>
      <c r="BH76" s="354">
        <f>Table1[[#This Row],[IQ Loss]]+Table1[[#This Row],[Switching Current Loss]]</f>
        <v>0.51683999999999997</v>
      </c>
      <c r="BI7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10.381503882600386</v>
      </c>
      <c r="BJ76">
        <f>Vout*Table1[[#This Row],[Iout]]</f>
        <v>175.2</v>
      </c>
      <c r="BK76" s="550">
        <f>Table1[[#This Row],[Pout]]/(Table1[[#This Row],[Pout]]+Table1[[#This Row],[Total Loss]])</f>
        <v>0.94405959826056929</v>
      </c>
      <c r="BL7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246.35876868065239</v>
      </c>
      <c r="BM76" s="559">
        <f>IF(Table1[[#This Row],[Vin]]&gt;Vout, Table1[[#This Row],[Total Sync Bu MOSFET Loss]]*ThetaJA_Q2, ThetaJA_Q3*Table1[[#This Row],[Total Sync Bo MOSFET Loss]])</f>
        <v>57.147228803368598</v>
      </c>
      <c r="BN76" s="9"/>
      <c r="BO76" s="4">
        <f>Table1[[#This Row],[EFF, h]]*100</f>
        <v>94.405959826056929</v>
      </c>
      <c r="BP76" s="354">
        <f>Table1[[#This Row],[Total Inductor Loss]]</f>
        <v>2.0325099237842568</v>
      </c>
      <c r="BQ76" s="354">
        <f>Table1[[#This Row],[Total Control Bu MOSFET Loss]]+Table1[[#This Row],[Total Sync Bu MOSFET Loss]]+Table1[[#This Row],[Total Control Bo MOSFET Loss]]+Table1[[#This Row],[Total Sync Bo MOSFET Loss]]+Table1[[#This Row],[Reverse Recovery Loss MOSFET D BUCK]]+Table1[[#This Row],[Reverse Recovery Loss MOSFET D BOOST]]</f>
        <v>6.1283940348305377</v>
      </c>
      <c r="BR76" s="354">
        <f>Table1[[#This Row],[Total Control Bu MOSFET Loss]]+Table1[[#This Row],[Reverse Recovery Loss MOSFET D BUCK]]*0.66</f>
        <v>4.3382699100108733</v>
      </c>
      <c r="BS76" s="354">
        <f>Table1[[#This Row],[Total Sync Bu MOSFET Loss]]+Table1[[#This Row],[Reverse Recovery Loss MOSFET D BUCK]]*0.33</f>
        <v>1.0685990293894767</v>
      </c>
      <c r="BT76" s="354">
        <f xml:space="preserve"> Table1[[#This Row],[Total Control Bo MOSFET Loss]]+Table1[[#This Row],[Reverse Recovery Loss MOSFET D BOOST]]*0.66</f>
        <v>0</v>
      </c>
      <c r="BU76" s="354">
        <f xml:space="preserve"> Table1[[#This Row],[Total Sync Bo MOSFET Loss]]+Table1[[#This Row],[Reverse Recovery Loss MOSFET D BOOST]]*0.33</f>
        <v>0.71800554343018774</v>
      </c>
      <c r="BV76" s="354">
        <f>Table1[[#This Row],[Isense Shunt Loss]]</f>
        <v>0.18172337511092054</v>
      </c>
      <c r="CB76" s="18"/>
      <c r="CC76" s="19"/>
    </row>
    <row r="77" spans="1:81" x14ac:dyDescent="0.2">
      <c r="A77" s="34" t="s">
        <v>242</v>
      </c>
      <c r="B77" s="77">
        <f>(Qg_Q1+Qg_Q2)*Fsw+Iq</f>
        <v>3.5400000000000001E-2</v>
      </c>
      <c r="C77" s="21" t="s">
        <v>2</v>
      </c>
      <c r="G77">
        <v>68</v>
      </c>
      <c r="H77" s="555">
        <f>VIN_min+(VIN_max-VIN_min)*(Table1[[#This Row],[Step]]/200)</f>
        <v>29.520000000000003</v>
      </c>
      <c r="I77" s="4" t="str">
        <f>IF(Mode = 2,IF(Table1[[#This Row],[Vin]]&gt;Vout, "BUCK","BOOST"),IF(Table1[[#This Row],[Vin]]&gt;VIN_BB_to_buck, "BUCK", IF(Table1[[#This Row],[Vin]]&lt;=VIN_boost_to_BB,"BOOST","BUCK-BST")))</f>
        <v>BUCK</v>
      </c>
      <c r="J77">
        <f>IF(Table1[[#This Row],[Mode]]="BOOST",2, IF(Table1[[#This Row],[Mode]]="BUCK", 1,3))</f>
        <v>1</v>
      </c>
      <c r="K77">
        <f t="shared" si="4"/>
        <v>12</v>
      </c>
      <c r="L77" s="4">
        <f>Vout*Table1[[#This Row],[Iout]]/(Table1[[#This Row],[Vin]]*Efficiency)</f>
        <v>6.2473256311510479</v>
      </c>
      <c r="M77" s="711">
        <f>MIN(1/Fsw,CHOOSE(Table1[[#This Row],[Mode Digit]],(Vout+(Rdson2+Rs+Rdcr)*Table1[[#This Row],[Iout]])/(Table1[[#This Row],[Vin]]+(Rs+Rdson2-Rdson1)*Table1[[#This Row],[Iout]])/Fsw,(Vout+(Rdson3+Rdcr)*Table1[[#This Row],[Iin]]-Table1[[#This Row],[Vin]])/(Vout+(Rdson3-Rdson4-Rs)*Table1[[#This Row],[Iin]])/Fsw,t1_Ph_II))</f>
        <v>8.3192329385222773E-7</v>
      </c>
      <c r="N77" s="602">
        <f>CHOOSE(Table1[[#This Row],[Mode Digit]],1/Fsw-Table1[[#This Row],[t1_Ph_II]],1/Fsw-Table1[[#This Row],[t1_Ph_II]],(Vout/Fsw-Table1[[#This Row],[Vin]]*t1_Ph_II)/(Table1[[#This Row],[Vin]]+Vout))</f>
        <v>8.3474337281443893E-7</v>
      </c>
      <c r="O77" s="602">
        <f>1/Fsw-(Table1[[#This Row],[t1_Ph_II]]+Table1[[#This Row],[t2_Ph_I]])</f>
        <v>0</v>
      </c>
      <c r="P7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9.6491864499478712</v>
      </c>
      <c r="Q77" s="4">
        <f>CHOOSE(Table1[[#This Row],[Mode Digit]],Table1[[#This Row],[I_0]]+1/Lf*(Table1[[#This Row],[Vin]]-Vout)*Table1[[#This Row],[t1_Ph_II]],Table1[[#This Row],[I_0]]+1/Lf*Table1[[#This Row],[Vin]]*Table1[[#This Row],[t1_Ph_II]],Table1[[#This Row],[I_0]]+(Table1[[#This Row],[Vin]]-Vout)/L*Table1[[#This Row],[t1_Ph_II]])</f>
        <v>14.350813550052131</v>
      </c>
      <c r="R77" s="4">
        <f>CHOOSE(Table1[[#This Row],[Mode Digit]],0,0,Table1[[#This Row],[I_1]]+Table1[[#This Row],[Vin]]/L*Table1[[#This Row],[t2_Ph_I]])</f>
        <v>0</v>
      </c>
      <c r="S77" s="4">
        <f>Fsw*(Table1[[#This Row],[I_0]]*Table1[[#This Row],[t1_Ph_II]]+Table1[[#This Row],[I_1]]*Table1[[#This Row],[t2_Ph_I]]+Table1[[#This Row],[I_2]]*Table1[[#This Row],[t3_Ph_III]])</f>
        <v>12.00397768790195</v>
      </c>
      <c r="T77" s="354">
        <f>MIN(1,CHOOSE(Table1[[#This Row],[Mode Digit]],(Vout+(Rdson2+Rs+Rdcr)*Table1[[#This Row],[Iout]])/(Table1[[#This Row],[Vin]]+(Rs+Rdson2-Rdson1)*Table1[[#This Row],[Iout]]),1,Fsw*Table1[[#This Row],[t2_Ph_I]]+Table1[[#This Row],[t1_Ph_II]]))</f>
        <v>0.49915397631133662</v>
      </c>
      <c r="U77" s="354">
        <f>MIN(1,CHOOSE(Table1[[#This Row],[Mode Digit]],0,(Vout+(Rdson3+Rdcr)*Table1[[#This Row],[Iin]]-Table1[[#This Row],[Vin]])/(Vout+(Rdson3-Rdson4-Rs)*Table1[[#This Row],[Iin]]),Fsw*Table1[[#This Row],[t1_Ph_II]]+Table1[[#This Row],[t3_Ph_III]]))</f>
        <v>0</v>
      </c>
      <c r="V77" s="4">
        <f>MAX(Table1[[#This Row],[I_0]:[I_2]])-MIN(Table1[[#This Row],[I_0]:[I_1]])</f>
        <v>4.7016271001042593</v>
      </c>
      <c r="W7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12.076510593532509</v>
      </c>
      <c r="X77" s="354">
        <f>(Table1[[#This Row],[Irms Lf]]^2*Rdcr*(1+Ltc*Ta-Ltc*25))/(1-Table1[[#This Row],[Irms Lf]]^2*Rdcr*Ltc*ThetaCa)</f>
        <v>0.9072805731816671</v>
      </c>
      <c r="Y77" s="354">
        <f>ABS(7.759*10^-3*Fsw^0.9458*(0.00787*Table1[[#This Row],[Ripple Current pk-pk]])^2.304)</f>
        <v>1.1375403139467981</v>
      </c>
      <c r="Z77" s="354">
        <f>Table1[[#This Row],[DCR    Loss]]+Table1[[#This Row],[Core Loss]]</f>
        <v>2.0448208871284654</v>
      </c>
      <c r="AA77" s="4">
        <f>IF(Table1[[#This Row],[Vin]]&gt;Vout, Table1[[#This Row],[Ripple Current pk-pk]]/SQRT(12), SQRT(Table1[[#This Row],[Duty Cycle BOOST Leg]]/(1-Table1[[#This Row],[Duty Cycle BOOST Leg]]))*SQRT(Table1[[#This Row],[Iout]]^2+(Table1[[#This Row],[Ripple Current pk-pk]]^2)/12))</f>
        <v>1.3572428359372168</v>
      </c>
      <c r="AB77" s="354">
        <f>RCoutEsr*Table1[[#This Row],[Irms Cout]]^2</f>
        <v>9.2105405785144947E-3</v>
      </c>
      <c r="AC77" s="354">
        <f>Table1[[#This Row],[Cout ESR Loss]]</f>
        <v>9.2105405785144947E-3</v>
      </c>
      <c r="AD77" s="354">
        <f>IF(Table1[[#This Row],[Vin]]&gt;Vout, SQRT(Table1[[#This Row],[Duty Cycle BUCK Leg]]*(1-Table1[[#This Row],[Duty Cycle BUCK Leg]]))*SQRT(Table1[[#This Row],[Iout]]^2+(Table1[[#This Row],[Ripple Current pk-pk]]^2)/12), Table1[[#This Row],[Ripple Current pk-pk]]/SQRT(12))</f>
        <v>6.0382466529241636</v>
      </c>
      <c r="AE77" s="354">
        <f>RCinEsr*Table1[[#This Row],[Irms Cin]]^2</f>
        <v>7.2920845283099722E-2</v>
      </c>
      <c r="AF77" s="549">
        <f>Table1[[#This Row],[Cin ESR Loss]]</f>
        <v>7.2920845283099722E-2</v>
      </c>
      <c r="AG7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8.5321549552021718</v>
      </c>
      <c r="AH77" s="354">
        <f>Rdson1*Table1[[#This Row],[Irms BuCtrl]]^2</f>
        <v>0.30575020635424016</v>
      </c>
      <c r="AI77" s="354">
        <f>CHOOSE(Table1[[#This Row],[Mode Digit]], (Table1[[#This Row],[Vin]]*Table1[[#This Row],[Iout]]/2)*(Fsw)*(Tr_buck+Tf_buck), 0, (Table1[[#This Row],[Vin]]*Table1[[#This Row],[Avg IL]]/2)*(Fsw/1)*(Tr_buck+Tf_buck))</f>
        <v>3.5127738258233991</v>
      </c>
      <c r="AJ77">
        <f>IF(Table1[[#This Row],[Vin]]&gt;Vout, IF(Table1[[#This Row],[Iout]]&gt;Table1[[#This Row],[Ripple Current pk-pk]]/2,0,ABS(Table1[[#This Row],[Iout]]-Table1[[#This Row],[Ripple Current pk-pk]]/2)*Vsd_Q1*Deadtime*Fsw),0)</f>
        <v>0</v>
      </c>
      <c r="AK77" s="354">
        <f>(Table1[[#This Row],[Dead Time Loss BuCtrl]]+Table1[[#This Row],[Transition Loss BuCtrl]]+Table1[[#This Row],[RDS(on) Loss BuCtrl]]*(1+RdsonTopTc*Ta-RdsonTopTc*25))/(1-Table1[[#This Row],[RDS(on) Loss BuCtrl]]*RdsonTopTc*ThetaJA_Q1)</f>
        <v>4.1209171356825163</v>
      </c>
      <c r="AL77" s="354">
        <f>CHOOSE(Table1[[#This Row],[Mode Digit]],SQRT((Fsw*(Table1[[#This Row],[t2_Ph_I]]+0))*((Table1[[#This Row],[I_0]]*Table1[[#This Row],[I_1]]+((Table1[[#This Row],[I_0]]-Table1[[#This Row],[I_1]])^2)/3))),0,SQRT((Fsw*(Table1[[#This Row],[t3_Ph_III]]+0))*((Table1[[#This Row],[I_0]]*Table1[[#This Row],[I_2]]+((Table1[[#This Row],[I_0]]-Table1[[#This Row],[I_2]])^2)/3))))</f>
        <v>8.5466040001934083</v>
      </c>
      <c r="AM77" s="354">
        <f>Rdson2*Table1[[#This Row],[Irms BuSync]]^2</f>
        <v>0.30678664773171227</v>
      </c>
      <c r="AN7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77" s="354">
        <f>(Table1[[#This Row],[Deadtime Loss BuSync]]+Table1[[#This Row],[RDS(on) Loss BuSync]]*(1+RdsonBotTc*Ta-RdsonBotTc*25))/(1-Table1[[#This Row],[RDS(on) Loss BuSync]]*RdsonBotTc*ThetaJA_Q2)</f>
        <v>0.95443173531931014</v>
      </c>
      <c r="AP77" s="354">
        <f>CHOOSE(Table1[[#This Row],[Mode Digit]],0,SQRT((Fsw*(Table1[[#This Row],[t1_Ph_II]]+0))*((Table1[[#This Row],[I_0]]*Table1[[#This Row],[I_1]]+((Table1[[#This Row],[I_0]]-Table1[[#This Row],[I_1]])^2)/3))),SQRT((Fsw*(Table1[[#This Row],[t2_Ph_I]]+0))*((Table1[[#This Row],[I_1]]*Table1[[#This Row],[I_2]]+((Table1[[#This Row],[I_1]]-Table1[[#This Row],[I_2]])^2)/3))))</f>
        <v>0</v>
      </c>
      <c r="AQ77" s="354">
        <f>Rdson4*Table1[[#This Row],[Irms BoCtlr]]^2</f>
        <v>0</v>
      </c>
      <c r="AR77" s="354">
        <f>CHOOSE(Table1[[#This Row],[Mode Digit]], 0, (Vout*Table1[[#This Row],[Iin]]/2)*(Fsw)*(Tr_boost+Tf_boost), (Vout*Iout/2)*(Fsw/1)*(Tr_boost+Tf_boost))</f>
        <v>0</v>
      </c>
      <c r="AS77">
        <f>IF(Table1[[#This Row],[Vin]]&gt;Vout, 0, IF(Table1[[#This Row],[Iin]]&gt;Table1[[#This Row],[Ripple Current pk-pk]]/2,0,ABS(Table1[[#This Row],[Iin]]-Table1[[#This Row],[Ripple Current pk-pk]]/2)*Vsd_Q4*Deadtime*Fsw))</f>
        <v>0</v>
      </c>
      <c r="AT77" s="354">
        <f>(Table1[[#This Row],[Dead Time Loss BoCtlr]]+Table1[[#This Row],[Transition Loss BoCtlr]]+Table1[[#This Row],[RDS(on) Loss BoCtlr]]*(1+RdsonTopTc*Ta-RdsonTopTc*25))/(1-Table1[[#This Row],[RDS(on) Loss BoCtlr]]*RdsonTopTc*ThetaJA_Q4)</f>
        <v>0</v>
      </c>
      <c r="AU7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12.076510593532509</v>
      </c>
      <c r="AV77" s="354">
        <f>Rdson3*Table1[[#This Row],[Irms BoSync]]^2</f>
        <v>0.61253685408595238</v>
      </c>
      <c r="AW7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77" s="354">
        <f>(Table1[[#This Row],[Deadtime Loss BoSync]]+Table1[[#This Row],[RDS(on) Loss BoSync]]*(1+RdsonBotTc*Ta-RdsonBotTc*25))/(1-Table1[[#This Row],[RDS(on) Loss BoSync]]*RdsonBotTc*ThetaJA_Q3)</f>
        <v>0.71810457878902823</v>
      </c>
      <c r="AY77" s="354">
        <f>CHOOSE(Table1[[#This Row],[Mode Digit]], Rdson3*Table1[[#This Row],[Irms Lf]]^2, Rdson1*Table1[[#This Row],[Irms Lf]]^2, 0)</f>
        <v>0.61253685408595238</v>
      </c>
      <c r="AZ77" s="354">
        <f>CHOOSE(Table1[[#This Row],[Mode Digit]], 2*Deadtime*Fsw*IF(VfdSky_Q2&gt;0,VfdSky_Q2,0)*Table1[[#This Row],[Iout]], 2*Deadtime*Fsw*IF(VfdSky_Q3&gt;0,VfdSky_Q3,0)*Table1[[#This Row],[Iin]], 2*Deadtime*Fsw*IF(VfdSky_Q2&gt;0,VfdSky_Q2,0)*Table1[[#This Row],[Iout]]+2*Deadtime*Fsw*IF(VfdSky_Q3&gt;0,VfdSky_Q3,0)*Table1[[#This Row],[Iin]])</f>
        <v>0</v>
      </c>
      <c r="BA77" s="354">
        <f>CHOOSE(Table1[[#This Row],[Mode Digit]], IF(QrrSky_Q2&gt;0,QrrSky_Q2,Qrr_Q2)*Fsw*(Table1[[#This Row],[Vin]]-Table1[[#This Row],[Iout]]*Rdson1),0,  IF(QrrSky_Q2&gt;0,QrrSky_Q2,Qrr_Q2)*Fsw*(Table1[[#This Row],[Vin]]-Table1[[#This Row],[Iout]]*Rdson1)+IF(QrrSky_Q3&gt;0,QrrSky_Q3,Qrr_Q3)*Fsw*Vout)</f>
        <v>0.35363520000000004</v>
      </c>
      <c r="BB77" s="354">
        <f>CHOOSE(Table1[[#This Row],[Mode Digit]],0, IF(QrrSky_Q3&gt;0,QrrSky_Q3,Qrr_Q3)*Fsw*Vout,  IF(QrrSky_Q2&gt;0,QrrSky_Q2,Qrr_Q2)*Fsw*(Table1[[#This Row],[Vin]]-Table1[[#This Row],[Iout]]*Rdson1)+IF(QrrSky_Q3&gt;0,QrrSky_Q3,Qrr_Q3)*Fsw*Vout)</f>
        <v>0</v>
      </c>
      <c r="BC77" s="354">
        <f>CHOOSE(Table1[[#This Row],[Mode Digit]], Rs*Table1[[#This Row],[Irms BuSync]]^2, Rs*Table1[[#This Row],[Irms BoCtlr]]^2, Rs*(Table1[[#This Row],[Irms BuSync]]^2+Table1[[#This Row],[Irms BoCtlr]]^2))</f>
        <v>0.18261109984030491</v>
      </c>
      <c r="BD77" s="354">
        <f t="shared" si="5"/>
        <v>1.44</v>
      </c>
      <c r="BE77" s="354">
        <f>IF(Vout&gt;8, Iq*Vout, Iq*Table1[[#This Row],[Vin]])</f>
        <v>4.3799999999999999E-2</v>
      </c>
      <c r="BF77" s="354">
        <f>CHOOSE(Table1[[#This Row],[Mode Digit]], (Qg_Q1+Qg_Q2)*Fsw, (Qg_Q3+Qg_Q4)*Fsw, (Qg_Q1+Qg_Q2+Qg_Q3+Qg_Q4)*Fsw)*IF(Vout&gt;8, Vout, Table1[[#This Row],[Vin]])</f>
        <v>0.47303999999999996</v>
      </c>
      <c r="BG77" s="354">
        <f t="shared" si="6"/>
        <v>0.45605042016806729</v>
      </c>
      <c r="BH77" s="354">
        <f>Table1[[#This Row],[IQ Loss]]+Table1[[#This Row],[Switching Current Loss]]</f>
        <v>0.51683999999999997</v>
      </c>
      <c r="BI7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10.413492022621238</v>
      </c>
      <c r="BJ77">
        <f>Vout*Table1[[#This Row],[Iout]]</f>
        <v>175.2</v>
      </c>
      <c r="BK77" s="550">
        <f>Table1[[#This Row],[Pout]]/(Table1[[#This Row],[Pout]]+Table1[[#This Row],[Total Loss]])</f>
        <v>0.94389690151752492</v>
      </c>
      <c r="BL7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247.25502814095097</v>
      </c>
      <c r="BM77" s="559">
        <f>IF(Table1[[#This Row],[Vin]]&gt;Vout, Table1[[#This Row],[Total Sync Bu MOSFET Loss]]*ThetaJA_Q2, ThetaJA_Q3*Table1[[#This Row],[Total Sync Bo MOSFET Loss]])</f>
        <v>57.265904119158606</v>
      </c>
      <c r="BN77" s="9"/>
      <c r="BO77" s="4">
        <f>Table1[[#This Row],[EFF, h]]*100</f>
        <v>94.38969015175249</v>
      </c>
      <c r="BP77" s="354">
        <f>Table1[[#This Row],[Total Inductor Loss]]</f>
        <v>2.0448208871284654</v>
      </c>
      <c r="BQ77" s="354">
        <f>Table1[[#This Row],[Total Control Bu MOSFET Loss]]+Table1[[#This Row],[Total Sync Bu MOSFET Loss]]+Table1[[#This Row],[Total Control Bo MOSFET Loss]]+Table1[[#This Row],[Total Sync Bo MOSFET Loss]]+Table1[[#This Row],[Reverse Recovery Loss MOSFET D BUCK]]+Table1[[#This Row],[Reverse Recovery Loss MOSFET D BOOST]]</f>
        <v>6.147088649790855</v>
      </c>
      <c r="BR77" s="354">
        <f>Table1[[#This Row],[Total Control Bu MOSFET Loss]]+Table1[[#This Row],[Reverse Recovery Loss MOSFET D BUCK]]*0.66</f>
        <v>4.3543163676825163</v>
      </c>
      <c r="BS77" s="354">
        <f>Table1[[#This Row],[Total Sync Bu MOSFET Loss]]+Table1[[#This Row],[Reverse Recovery Loss MOSFET D BUCK]]*0.33</f>
        <v>1.0711313513193101</v>
      </c>
      <c r="BT77" s="354">
        <f xml:space="preserve"> Table1[[#This Row],[Total Control Bo MOSFET Loss]]+Table1[[#This Row],[Reverse Recovery Loss MOSFET D BOOST]]*0.66</f>
        <v>0</v>
      </c>
      <c r="BU77" s="354">
        <f xml:space="preserve"> Table1[[#This Row],[Total Sync Bo MOSFET Loss]]+Table1[[#This Row],[Reverse Recovery Loss MOSFET D BOOST]]*0.33</f>
        <v>0.71810457878902823</v>
      </c>
      <c r="BV77" s="354">
        <f>Table1[[#This Row],[Isense Shunt Loss]]</f>
        <v>0.18261109984030491</v>
      </c>
      <c r="CB77" s="18"/>
      <c r="CC77" s="19"/>
    </row>
    <row r="78" spans="1:81" x14ac:dyDescent="0.2">
      <c r="A78" s="34" t="s">
        <v>243</v>
      </c>
      <c r="B78" s="76">
        <f>Qrr_Q2*Fsw</f>
        <v>1.2E-2</v>
      </c>
      <c r="C78" s="21" t="s">
        <v>2</v>
      </c>
      <c r="G78">
        <v>69</v>
      </c>
      <c r="H78" s="555">
        <f>VIN_min+(VIN_max-VIN_min)*(Table1[[#This Row],[Step]]/200)</f>
        <v>29.66</v>
      </c>
      <c r="I78" s="4" t="str">
        <f>IF(Mode = 2,IF(Table1[[#This Row],[Vin]]&gt;Vout, "BUCK","BOOST"),IF(Table1[[#This Row],[Vin]]&gt;VIN_BB_to_buck, "BUCK", IF(Table1[[#This Row],[Vin]]&lt;=VIN_boost_to_BB,"BOOST","BUCK-BST")))</f>
        <v>BUCK</v>
      </c>
      <c r="J78">
        <f>IF(Table1[[#This Row],[Mode]]="BOOST",2, IF(Table1[[#This Row],[Mode]]="BUCK", 1,3))</f>
        <v>1</v>
      </c>
      <c r="K78">
        <f t="shared" si="4"/>
        <v>12</v>
      </c>
      <c r="L78" s="4">
        <f>Vout*Table1[[#This Row],[Iout]]/(Table1[[#This Row],[Vin]]*Efficiency)</f>
        <v>6.2178372431415694</v>
      </c>
      <c r="M78" s="711">
        <f>MIN(1/Fsw,CHOOSE(Table1[[#This Row],[Mode Digit]],(Vout+(Rdson2+Rs+Rdcr)*Table1[[#This Row],[Iout]])/(Table1[[#This Row],[Vin]]+(Rs+Rdson2-Rdson1)*Table1[[#This Row],[Iout]])/Fsw,(Vout+(Rdson3+Rdcr)*Table1[[#This Row],[Iin]]-Table1[[#This Row],[Vin]])/(Vout+(Rdson3-Rdson4-Rs)*Table1[[#This Row],[Iin]])/Fsw,t1_Ph_II))</f>
        <v>8.2800044908498937E-7</v>
      </c>
      <c r="N78" s="602">
        <f>CHOOSE(Table1[[#This Row],[Mode Digit]],1/Fsw-Table1[[#This Row],[t1_Ph_II]],1/Fsw-Table1[[#This Row],[t1_Ph_II]],(Vout/Fsw-Table1[[#This Row],[Vin]]*t1_Ph_II)/(Table1[[#This Row],[Vin]]+Vout))</f>
        <v>8.3866621758167729E-7</v>
      </c>
      <c r="O78" s="602">
        <f>1/Fsw-(Table1[[#This Row],[t1_Ph_II]]+Table1[[#This Row],[t2_Ph_I]])</f>
        <v>0</v>
      </c>
      <c r="P7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9.6383169009053145</v>
      </c>
      <c r="Q78" s="4">
        <f>CHOOSE(Table1[[#This Row],[Mode Digit]],Table1[[#This Row],[I_0]]+1/Lf*(Table1[[#This Row],[Vin]]-Vout)*Table1[[#This Row],[t1_Ph_II]],Table1[[#This Row],[I_0]]+1/Lf*Table1[[#This Row],[Vin]]*Table1[[#This Row],[t1_Ph_II]],Table1[[#This Row],[I_0]]+(Table1[[#This Row],[Vin]]-Vout)/L*Table1[[#This Row],[t1_Ph_II]])</f>
        <v>14.361683099094687</v>
      </c>
      <c r="R78" s="4">
        <f>CHOOSE(Table1[[#This Row],[Mode Digit]],0,0,Table1[[#This Row],[I_1]]+Table1[[#This Row],[Vin]]/L*Table1[[#This Row],[t2_Ph_I]])</f>
        <v>0</v>
      </c>
      <c r="S78" s="4">
        <f>Fsw*(Table1[[#This Row],[I_0]]*Table1[[#This Row],[t1_Ph_II]]+Table1[[#This Row],[I_1]]*Table1[[#This Row],[t2_Ph_I]]+Table1[[#This Row],[I_2]]*Table1[[#This Row],[t3_Ph_III]])</f>
        <v>12.015113499118492</v>
      </c>
      <c r="T78" s="354">
        <f>MIN(1,CHOOSE(Table1[[#This Row],[Mode Digit]],(Vout+(Rdson2+Rs+Rdcr)*Table1[[#This Row],[Iout]])/(Table1[[#This Row],[Vin]]+(Rs+Rdson2-Rdson1)*Table1[[#This Row],[Iout]]),1,Fsw*Table1[[#This Row],[t2_Ph_I]]+Table1[[#This Row],[t1_Ph_II]]))</f>
        <v>0.49680026945099359</v>
      </c>
      <c r="U78" s="354">
        <f>MIN(1,CHOOSE(Table1[[#This Row],[Mode Digit]],0,(Vout+(Rdson3+Rdcr)*Table1[[#This Row],[Iin]]-Table1[[#This Row],[Vin]])/(Vout+(Rdson3-Rdson4-Rs)*Table1[[#This Row],[Iin]]),Fsw*Table1[[#This Row],[t1_Ph_II]]+Table1[[#This Row],[t3_Ph_III]]))</f>
        <v>0</v>
      </c>
      <c r="V78" s="4">
        <f>MAX(Table1[[#This Row],[I_0]:[I_2]])-MIN(Table1[[#This Row],[I_0]:[I_1]])</f>
        <v>4.7233661981893729</v>
      </c>
      <c r="W7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12.077217492184056</v>
      </c>
      <c r="X78" s="354">
        <f>(Table1[[#This Row],[Irms Lf]]^2*Rdcr*(1+Ltc*Ta-Ltc*25))/(1-Table1[[#This Row],[Irms Lf]]^2*Rdcr*Ltc*ThetaCa)</f>
        <v>0.90739450220644968</v>
      </c>
      <c r="Y78" s="354">
        <f>ABS(7.759*10^-3*Fsw^0.9458*(0.00787*Table1[[#This Row],[Ripple Current pk-pk]])^2.304)</f>
        <v>1.1496951893747975</v>
      </c>
      <c r="Z78" s="354">
        <f>Table1[[#This Row],[DCR    Loss]]+Table1[[#This Row],[Core Loss]]</f>
        <v>2.0570896915812473</v>
      </c>
      <c r="AA78" s="4">
        <f>IF(Table1[[#This Row],[Vin]]&gt;Vout, Table1[[#This Row],[Ripple Current pk-pk]]/SQRT(12), SQRT(Table1[[#This Row],[Duty Cycle BOOST Leg]]/(1-Table1[[#This Row],[Duty Cycle BOOST Leg]]))*SQRT(Table1[[#This Row],[Iout]]^2+(Table1[[#This Row],[Ripple Current pk-pk]]^2)/12))</f>
        <v>1.363518373002907</v>
      </c>
      <c r="AB78" s="354">
        <f>RCoutEsr*Table1[[#This Row],[Irms Cout]]^2</f>
        <v>9.2959117675824737E-3</v>
      </c>
      <c r="AC78" s="354">
        <f>Table1[[#This Row],[Cout ESR Loss]]</f>
        <v>9.2959117675824737E-3</v>
      </c>
      <c r="AD78" s="354">
        <f>IF(Table1[[#This Row],[Vin]]&gt;Vout, SQRT(Table1[[#This Row],[Duty Cycle BUCK Leg]]*(1-Table1[[#This Row],[Duty Cycle BUCK Leg]]))*SQRT(Table1[[#This Row],[Iout]]^2+(Table1[[#This Row],[Ripple Current pk-pk]]^2)/12), Table1[[#This Row],[Ripple Current pk-pk]]/SQRT(12))</f>
        <v>6.0384850949450399</v>
      </c>
      <c r="AE78" s="354">
        <f>RCinEsr*Table1[[#This Row],[Irms Cin]]^2</f>
        <v>7.2926604483746812E-2</v>
      </c>
      <c r="AF78" s="549">
        <f>Table1[[#This Row],[Cin ESR Loss]]</f>
        <v>7.2926604483746812E-2</v>
      </c>
      <c r="AG7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8.5125132067520841</v>
      </c>
      <c r="AH78" s="354">
        <f>Rdson1*Table1[[#This Row],[Irms BuCtrl]]^2</f>
        <v>0.30434410059954037</v>
      </c>
      <c r="AI78" s="354">
        <f>CHOOSE(Table1[[#This Row],[Mode Digit]], (Table1[[#This Row],[Vin]]*Table1[[#This Row],[Iout]]/2)*(Fsw)*(Tr_buck+Tf_buck), 0, (Table1[[#This Row],[Vin]]*Table1[[#This Row],[Avg IL]]/2)*(Fsw/1)*(Tr_buck+Tf_buck))</f>
        <v>3.5294333222873315</v>
      </c>
      <c r="AJ78">
        <f>IF(Table1[[#This Row],[Vin]]&gt;Vout, IF(Table1[[#This Row],[Iout]]&gt;Table1[[#This Row],[Ripple Current pk-pk]]/2,0,ABS(Table1[[#This Row],[Iout]]-Table1[[#This Row],[Ripple Current pk-pk]]/2)*Vsd_Q1*Deadtime*Fsw),0)</f>
        <v>0</v>
      </c>
      <c r="AK78" s="354">
        <f>(Table1[[#This Row],[Dead Time Loss BuCtrl]]+Table1[[#This Row],[Transition Loss BuCtrl]]+Table1[[#This Row],[RDS(on) Loss BuCtrl]]*(1+RdsonTopTc*Ta-RdsonTopTc*25))/(1-Table1[[#This Row],[RDS(on) Loss BuCtrl]]*RdsonTopTc*ThetaJA_Q1)</f>
        <v>4.1358722173295401</v>
      </c>
      <c r="AL78" s="354">
        <f>CHOOSE(Table1[[#This Row],[Mode Digit]],SQRT((Fsw*(Table1[[#This Row],[t2_Ph_I]]+0))*((Table1[[#This Row],[I_0]]*Table1[[#This Row],[I_1]]+((Table1[[#This Row],[I_0]]-Table1[[#This Row],[I_1]])^2)/3))),0,SQRT((Fsw*(Table1[[#This Row],[t3_Ph_III]]+0))*((Table1[[#This Row],[I_0]]*Table1[[#This Row],[I_2]]+((Table1[[#This Row],[I_0]]-Table1[[#This Row],[I_2]])^2)/3))))</f>
        <v>8.5671641316358524</v>
      </c>
      <c r="AM78" s="354">
        <f>Rdson2*Table1[[#This Row],[Irms BuSync]]^2</f>
        <v>0.30826446528522922</v>
      </c>
      <c r="AN7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78" s="354">
        <f>(Table1[[#This Row],[Deadtime Loss BuSync]]+Table1[[#This Row],[RDS(on) Loss BuSync]]*(1+RdsonBotTc*Ta-RdsonBotTc*25))/(1-Table1[[#This Row],[RDS(on) Loss BuSync]]*RdsonBotTc*ThetaJA_Q2)</f>
        <v>0.95639318172037024</v>
      </c>
      <c r="AP78" s="354">
        <f>CHOOSE(Table1[[#This Row],[Mode Digit]],0,SQRT((Fsw*(Table1[[#This Row],[t1_Ph_II]]+0))*((Table1[[#This Row],[I_0]]*Table1[[#This Row],[I_1]]+((Table1[[#This Row],[I_0]]-Table1[[#This Row],[I_1]])^2)/3))),SQRT((Fsw*(Table1[[#This Row],[t2_Ph_I]]+0))*((Table1[[#This Row],[I_1]]*Table1[[#This Row],[I_2]]+((Table1[[#This Row],[I_1]]-Table1[[#This Row],[I_2]])^2)/3))))</f>
        <v>0</v>
      </c>
      <c r="AQ78" s="354">
        <f>Rdson4*Table1[[#This Row],[Irms BoCtlr]]^2</f>
        <v>0</v>
      </c>
      <c r="AR78" s="354">
        <f>CHOOSE(Table1[[#This Row],[Mode Digit]], 0, (Vout*Table1[[#This Row],[Iin]]/2)*(Fsw)*(Tr_boost+Tf_boost), (Vout*Iout/2)*(Fsw/1)*(Tr_boost+Tf_boost))</f>
        <v>0</v>
      </c>
      <c r="AS78">
        <f>IF(Table1[[#This Row],[Vin]]&gt;Vout, 0, IF(Table1[[#This Row],[Iin]]&gt;Table1[[#This Row],[Ripple Current pk-pk]]/2,0,ABS(Table1[[#This Row],[Iin]]-Table1[[#This Row],[Ripple Current pk-pk]]/2)*Vsd_Q4*Deadtime*Fsw))</f>
        <v>0</v>
      </c>
      <c r="AT78" s="354">
        <f>(Table1[[#This Row],[Dead Time Loss BoCtlr]]+Table1[[#This Row],[Transition Loss BoCtlr]]+Table1[[#This Row],[RDS(on) Loss BoCtlr]]*(1+RdsonTopTc*Ta-RdsonTopTc*25))/(1-Table1[[#This Row],[RDS(on) Loss BoCtlr]]*RdsonTopTc*ThetaJA_Q4)</f>
        <v>0</v>
      </c>
      <c r="AU7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12.077217492184056</v>
      </c>
      <c r="AV78" s="354">
        <f>Rdson3*Table1[[#This Row],[Irms BoSync]]^2</f>
        <v>0.61260856588476964</v>
      </c>
      <c r="AW7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78" s="354">
        <f>(Table1[[#This Row],[Deadtime Loss BoSync]]+Table1[[#This Row],[RDS(on) Loss BoSync]]*(1+RdsonBotTc*Ta-RdsonBotTc*25))/(1-Table1[[#This Row],[RDS(on) Loss BoSync]]*RdsonBotTc*ThetaJA_Q3)</f>
        <v>0.7182031409742512</v>
      </c>
      <c r="AY78" s="354">
        <f>CHOOSE(Table1[[#This Row],[Mode Digit]], Rdson3*Table1[[#This Row],[Irms Lf]]^2, Rdson1*Table1[[#This Row],[Irms Lf]]^2, 0)</f>
        <v>0.61260856588476964</v>
      </c>
      <c r="AZ78" s="354">
        <f>CHOOSE(Table1[[#This Row],[Mode Digit]], 2*Deadtime*Fsw*IF(VfdSky_Q2&gt;0,VfdSky_Q2,0)*Table1[[#This Row],[Iout]], 2*Deadtime*Fsw*IF(VfdSky_Q3&gt;0,VfdSky_Q3,0)*Table1[[#This Row],[Iin]], 2*Deadtime*Fsw*IF(VfdSky_Q2&gt;0,VfdSky_Q2,0)*Table1[[#This Row],[Iout]]+2*Deadtime*Fsw*IF(VfdSky_Q3&gt;0,VfdSky_Q3,0)*Table1[[#This Row],[Iin]])</f>
        <v>0</v>
      </c>
      <c r="BA78" s="354">
        <f>CHOOSE(Table1[[#This Row],[Mode Digit]], IF(QrrSky_Q2&gt;0,QrrSky_Q2,Qrr_Q2)*Fsw*(Table1[[#This Row],[Vin]]-Table1[[#This Row],[Iout]]*Rdson1),0,  IF(QrrSky_Q2&gt;0,QrrSky_Q2,Qrr_Q2)*Fsw*(Table1[[#This Row],[Vin]]-Table1[[#This Row],[Iout]]*Rdson1)+IF(QrrSky_Q3&gt;0,QrrSky_Q3,Qrr_Q3)*Fsw*Vout)</f>
        <v>0.3553152</v>
      </c>
      <c r="BB78" s="354">
        <f>CHOOSE(Table1[[#This Row],[Mode Digit]],0, IF(QrrSky_Q3&gt;0,QrrSky_Q3,Qrr_Q3)*Fsw*Vout,  IF(QrrSky_Q2&gt;0,QrrSky_Q2,Qrr_Q2)*Fsw*(Table1[[#This Row],[Vin]]-Table1[[#This Row],[Iout]]*Rdson1)+IF(QrrSky_Q3&gt;0,QrrSky_Q3,Qrr_Q3)*Fsw*Vout)</f>
        <v>0</v>
      </c>
      <c r="BC78" s="354">
        <f>CHOOSE(Table1[[#This Row],[Mode Digit]], Rs*Table1[[#This Row],[Irms BuSync]]^2, Rs*Table1[[#This Row],[Irms BoCtlr]]^2, Rs*(Table1[[#This Row],[Irms BuSync]]^2+Table1[[#This Row],[Irms BoCtlr]]^2))</f>
        <v>0.18349075314596974</v>
      </c>
      <c r="BD78" s="354">
        <f t="shared" si="5"/>
        <v>1.44</v>
      </c>
      <c r="BE78" s="354">
        <f>IF(Vout&gt;8, Iq*Vout, Iq*Table1[[#This Row],[Vin]])</f>
        <v>4.3799999999999999E-2</v>
      </c>
      <c r="BF78" s="354">
        <f>CHOOSE(Table1[[#This Row],[Mode Digit]], (Qg_Q1+Qg_Q2)*Fsw, (Qg_Q3+Qg_Q4)*Fsw, (Qg_Q1+Qg_Q2+Qg_Q3+Qg_Q4)*Fsw)*IF(Vout&gt;8, Vout, Table1[[#This Row],[Vin]])</f>
        <v>0.47303999999999996</v>
      </c>
      <c r="BG78" s="354">
        <f t="shared" si="6"/>
        <v>0.45605042016806729</v>
      </c>
      <c r="BH78" s="354">
        <f>Table1[[#This Row],[IQ Loss]]+Table1[[#This Row],[Switching Current Loss]]</f>
        <v>0.51683999999999997</v>
      </c>
      <c r="BI7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10.445426701002708</v>
      </c>
      <c r="BJ78">
        <f>Vout*Table1[[#This Row],[Iout]]</f>
        <v>175.2</v>
      </c>
      <c r="BK78" s="550">
        <f>Table1[[#This Row],[Pout]]/(Table1[[#This Row],[Pout]]+Table1[[#This Row],[Total Loss]])</f>
        <v>0.9437345326161688</v>
      </c>
      <c r="BL7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248.1523330397724</v>
      </c>
      <c r="BM78" s="559">
        <f>IF(Table1[[#This Row],[Vin]]&gt;Vout, Table1[[#This Row],[Total Sync Bu MOSFET Loss]]*ThetaJA_Q2, ThetaJA_Q3*Table1[[#This Row],[Total Sync Bo MOSFET Loss]])</f>
        <v>57.383590903222213</v>
      </c>
      <c r="BN78" s="9"/>
      <c r="BO78" s="4">
        <f>Table1[[#This Row],[EFF, h]]*100</f>
        <v>94.373453261616874</v>
      </c>
      <c r="BP78" s="354">
        <f>Table1[[#This Row],[Total Inductor Loss]]</f>
        <v>2.0570896915812473</v>
      </c>
      <c r="BQ78" s="354">
        <f>Table1[[#This Row],[Total Control Bu MOSFET Loss]]+Table1[[#This Row],[Total Sync Bu MOSFET Loss]]+Table1[[#This Row],[Total Control Bo MOSFET Loss]]+Table1[[#This Row],[Total Sync Bo MOSFET Loss]]+Table1[[#This Row],[Reverse Recovery Loss MOSFET D BUCK]]+Table1[[#This Row],[Reverse Recovery Loss MOSFET D BOOST]]</f>
        <v>6.1657837400241613</v>
      </c>
      <c r="BR78" s="354">
        <f>Table1[[#This Row],[Total Control Bu MOSFET Loss]]+Table1[[#This Row],[Reverse Recovery Loss MOSFET D BUCK]]*0.66</f>
        <v>4.3703802493295401</v>
      </c>
      <c r="BS78" s="354">
        <f>Table1[[#This Row],[Total Sync Bu MOSFET Loss]]+Table1[[#This Row],[Reverse Recovery Loss MOSFET D BUCK]]*0.33</f>
        <v>1.0736471977203703</v>
      </c>
      <c r="BT78" s="354">
        <f xml:space="preserve"> Table1[[#This Row],[Total Control Bo MOSFET Loss]]+Table1[[#This Row],[Reverse Recovery Loss MOSFET D BOOST]]*0.66</f>
        <v>0</v>
      </c>
      <c r="BU78" s="354">
        <f xml:space="preserve"> Table1[[#This Row],[Total Sync Bo MOSFET Loss]]+Table1[[#This Row],[Reverse Recovery Loss MOSFET D BOOST]]*0.33</f>
        <v>0.7182031409742512</v>
      </c>
      <c r="BV78" s="354">
        <f>Table1[[#This Row],[Isense Shunt Loss]]</f>
        <v>0.18349075314596974</v>
      </c>
      <c r="CB78" s="18"/>
      <c r="CC78" s="19"/>
    </row>
    <row r="79" spans="1:81" x14ac:dyDescent="0.2">
      <c r="A79" s="34" t="s">
        <v>244</v>
      </c>
      <c r="B79" s="76" t="e">
        <f>C79/Vin</f>
        <v>#NAME?</v>
      </c>
      <c r="C79" s="21" t="e">
        <f>Deadtime*Fsw*(Iripple_Vinnom/2)*(VsdTop+VsdBot)</f>
        <v>#NAME?</v>
      </c>
      <c r="G79">
        <v>70</v>
      </c>
      <c r="H79" s="555">
        <f>VIN_min+(VIN_max-VIN_min)*(Table1[[#This Row],[Step]]/200)</f>
        <v>29.799999999999997</v>
      </c>
      <c r="I79" s="4" t="str">
        <f>IF(Mode = 2,IF(Table1[[#This Row],[Vin]]&gt;Vout, "BUCK","BOOST"),IF(Table1[[#This Row],[Vin]]&gt;VIN_BB_to_buck, "BUCK", IF(Table1[[#This Row],[Vin]]&lt;=VIN_boost_to_BB,"BOOST","BUCK-BST")))</f>
        <v>BUCK</v>
      </c>
      <c r="J79">
        <f>IF(Table1[[#This Row],[Mode]]="BOOST",2, IF(Table1[[#This Row],[Mode]]="BUCK", 1,3))</f>
        <v>1</v>
      </c>
      <c r="K79">
        <f t="shared" si="4"/>
        <v>12</v>
      </c>
      <c r="L79" s="4">
        <f>Vout*Table1[[#This Row],[Iout]]/(Table1[[#This Row],[Vin]]*Efficiency)</f>
        <v>6.1886259272341935</v>
      </c>
      <c r="M79" s="711">
        <f>MIN(1/Fsw,CHOOSE(Table1[[#This Row],[Mode Digit]],(Vout+(Rdson2+Rs+Rdcr)*Table1[[#This Row],[Iout]])/(Table1[[#This Row],[Vin]]+(Rs+Rdson2-Rdson1)*Table1[[#This Row],[Iout]])/Fsw,(Vout+(Rdson3+Rdcr)*Table1[[#This Row],[Iin]]-Table1[[#This Row],[Vin]])/(Vout+(Rdson3-Rdson4-Rs)*Table1[[#This Row],[Iin]])/Fsw,t1_Ph_II))</f>
        <v>8.2411442619287078E-7</v>
      </c>
      <c r="N79" s="602">
        <f>CHOOSE(Table1[[#This Row],[Mode Digit]],1/Fsw-Table1[[#This Row],[t1_Ph_II]],1/Fsw-Table1[[#This Row],[t1_Ph_II]],(Vout/Fsw-Table1[[#This Row],[Vin]]*t1_Ph_II)/(Table1[[#This Row],[Vin]]+Vout))</f>
        <v>8.4255224047379588E-7</v>
      </c>
      <c r="O79" s="602">
        <f>1/Fsw-(Table1[[#This Row],[t1_Ph_II]]+Table1[[#This Row],[t2_Ph_I]])</f>
        <v>0</v>
      </c>
      <c r="P7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9.6275493791417368</v>
      </c>
      <c r="Q79" s="4">
        <f>CHOOSE(Table1[[#This Row],[Mode Digit]],Table1[[#This Row],[I_0]]+1/Lf*(Table1[[#This Row],[Vin]]-Vout)*Table1[[#This Row],[t1_Ph_II]],Table1[[#This Row],[I_0]]+1/Lf*Table1[[#This Row],[Vin]]*Table1[[#This Row],[t1_Ph_II]],Table1[[#This Row],[I_0]]+(Table1[[#This Row],[Vin]]-Vout)/L*Table1[[#This Row],[t1_Ph_II]])</f>
        <v>14.372450620858265</v>
      </c>
      <c r="R79" s="4">
        <f>CHOOSE(Table1[[#This Row],[Mode Digit]],0,0,Table1[[#This Row],[I_1]]+Table1[[#This Row],[Vin]]/L*Table1[[#This Row],[t2_Ph_I]])</f>
        <v>0</v>
      </c>
      <c r="S79" s="4">
        <f>Fsw*(Table1[[#This Row],[I_0]]*Table1[[#This Row],[t1_Ph_II]]+Table1[[#This Row],[I_1]]*Table1[[#This Row],[t2_Ph_I]]+Table1[[#This Row],[I_2]]*Table1[[#This Row],[t3_Ph_III]])</f>
        <v>12.026245682362832</v>
      </c>
      <c r="T79" s="354">
        <f>MIN(1,CHOOSE(Table1[[#This Row],[Mode Digit]],(Vout+(Rdson2+Rs+Rdcr)*Table1[[#This Row],[Iout]])/(Table1[[#This Row],[Vin]]+(Rs+Rdson2-Rdson1)*Table1[[#This Row],[Iout]]),1,Fsw*Table1[[#This Row],[t2_Ph_I]]+Table1[[#This Row],[t1_Ph_II]]))</f>
        <v>0.49446865571572246</v>
      </c>
      <c r="U79" s="354">
        <f>MIN(1,CHOOSE(Table1[[#This Row],[Mode Digit]],0,(Vout+(Rdson3+Rdcr)*Table1[[#This Row],[Iin]]-Table1[[#This Row],[Vin]])/(Vout+(Rdson3-Rdson4-Rs)*Table1[[#This Row],[Iin]]),Fsw*Table1[[#This Row],[t1_Ph_II]]+Table1[[#This Row],[t3_Ph_III]]))</f>
        <v>0</v>
      </c>
      <c r="V79" s="4">
        <f>MAX(Table1[[#This Row],[I_0]:[I_2]])-MIN(Table1[[#This Row],[I_0]:[I_1]])</f>
        <v>4.7449012417165282</v>
      </c>
      <c r="W7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12.07792092964694</v>
      </c>
      <c r="X79" s="354">
        <f>(Table1[[#This Row],[Irms Lf]]^2*Rdcr*(1+Ltc*Ta-Ltc*25))/(1-Table1[[#This Row],[Irms Lf]]^2*Rdcr*Ltc*ThetaCa)</f>
        <v>0.90750788194238563</v>
      </c>
      <c r="Y79" s="354">
        <f>ABS(7.759*10^-3*Fsw^0.9458*(0.00787*Table1[[#This Row],[Ripple Current pk-pk]])^2.304)</f>
        <v>1.1618081137018799</v>
      </c>
      <c r="Z79" s="354">
        <f>Table1[[#This Row],[DCR    Loss]]+Table1[[#This Row],[Core Loss]]</f>
        <v>2.0693159956442653</v>
      </c>
      <c r="AA79" s="4">
        <f>IF(Table1[[#This Row],[Vin]]&gt;Vout, Table1[[#This Row],[Ripple Current pk-pk]]/SQRT(12), SQRT(Table1[[#This Row],[Duty Cycle BOOST Leg]]/(1-Table1[[#This Row],[Duty Cycle BOOST Leg]]))*SQRT(Table1[[#This Row],[Iout]]^2+(Table1[[#This Row],[Ripple Current pk-pk]]^2)/12))</f>
        <v>1.3697350045916137</v>
      </c>
      <c r="AB79" s="354">
        <f>RCoutEsr*Table1[[#This Row],[Irms Cout]]^2</f>
        <v>9.3808699140179395E-3</v>
      </c>
      <c r="AC79" s="354">
        <f>Table1[[#This Row],[Cout ESR Loss]]</f>
        <v>9.3808699140179395E-3</v>
      </c>
      <c r="AD79" s="354">
        <f>IF(Table1[[#This Row],[Vin]]&gt;Vout, SQRT(Table1[[#This Row],[Duty Cycle BUCK Leg]]*(1-Table1[[#This Row],[Duty Cycle BUCK Leg]]))*SQRT(Table1[[#This Row],[Iout]]^2+(Table1[[#This Row],[Ripple Current pk-pk]]^2)/12), Table1[[#This Row],[Ripple Current pk-pk]]/SQRT(12))</f>
        <v>6.0385909202307175</v>
      </c>
      <c r="AE79" s="354">
        <f>RCinEsr*Table1[[#This Row],[Irms Cin]]^2</f>
        <v>7.2929160603785737E-2</v>
      </c>
      <c r="AF79" s="549">
        <f>Table1[[#This Row],[Cin ESR Loss]]</f>
        <v>7.2929160603785737E-2</v>
      </c>
      <c r="AG7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8.4930086335897332</v>
      </c>
      <c r="AH79" s="354">
        <f>Rdson1*Table1[[#This Row],[Irms BuCtrl]]^2</f>
        <v>0.30295102173096494</v>
      </c>
      <c r="AI79" s="354">
        <f>CHOOSE(Table1[[#This Row],[Mode Digit]], (Table1[[#This Row],[Vin]]*Table1[[#This Row],[Iout]]/2)*(Fsw)*(Tr_buck+Tf_buck), 0, (Table1[[#This Row],[Vin]]*Table1[[#This Row],[Avg IL]]/2)*(Fsw/1)*(Tr_buck+Tf_buck))</f>
        <v>3.546092818751263</v>
      </c>
      <c r="AJ79">
        <f>IF(Table1[[#This Row],[Vin]]&gt;Vout, IF(Table1[[#This Row],[Iout]]&gt;Table1[[#This Row],[Ripple Current pk-pk]]/2,0,ABS(Table1[[#This Row],[Iout]]-Table1[[#This Row],[Ripple Current pk-pk]]/2)*Vsd_Q1*Deadtime*Fsw),0)</f>
        <v>0</v>
      </c>
      <c r="AK79" s="354">
        <f>(Table1[[#This Row],[Dead Time Loss BuCtrl]]+Table1[[#This Row],[Transition Loss BuCtrl]]+Table1[[#This Row],[RDS(on) Loss BuCtrl]]*(1+RdsonTopTc*Ta-RdsonTopTc*25))/(1-Table1[[#This Row],[RDS(on) Loss BuCtrl]]*RdsonTopTc*ThetaJA_Q1)</f>
        <v>4.1508444571217513</v>
      </c>
      <c r="AL79" s="354">
        <f>CHOOSE(Table1[[#This Row],[Mode Digit]],SQRT((Fsw*(Table1[[#This Row],[t2_Ph_I]]+0))*((Table1[[#This Row],[I_0]]*Table1[[#This Row],[I_1]]+((Table1[[#This Row],[I_0]]-Table1[[#This Row],[I_1]])^2)/3))),0,SQRT((Fsw*(Table1[[#This Row],[t3_Ph_III]]+0))*((Table1[[#This Row],[I_0]]*Table1[[#This Row],[I_2]]+((Table1[[#This Row],[I_0]]-Table1[[#This Row],[I_2]])^2)/3))))</f>
        <v>8.587489640900527</v>
      </c>
      <c r="AM79" s="354">
        <f>Rdson2*Table1[[#This Row],[Irms BuSync]]^2</f>
        <v>0.30972890899681027</v>
      </c>
      <c r="AN7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79" s="354">
        <f>(Table1[[#This Row],[Deadtime Loss BuSync]]+Table1[[#This Row],[RDS(on) Loss BuSync]]*(1+RdsonBotTc*Ta-RdsonBotTc*25))/(1-Table1[[#This Row],[RDS(on) Loss BuSync]]*RdsonBotTc*ThetaJA_Q2)</f>
        <v>0.95833836031810749</v>
      </c>
      <c r="AP79" s="354">
        <f>CHOOSE(Table1[[#This Row],[Mode Digit]],0,SQRT((Fsw*(Table1[[#This Row],[t1_Ph_II]]+0))*((Table1[[#This Row],[I_0]]*Table1[[#This Row],[I_1]]+((Table1[[#This Row],[I_0]]-Table1[[#This Row],[I_1]])^2)/3))),SQRT((Fsw*(Table1[[#This Row],[t2_Ph_I]]+0))*((Table1[[#This Row],[I_1]]*Table1[[#This Row],[I_2]]+((Table1[[#This Row],[I_1]]-Table1[[#This Row],[I_2]])^2)/3))))</f>
        <v>0</v>
      </c>
      <c r="AQ79" s="354">
        <f>Rdson4*Table1[[#This Row],[Irms BoCtlr]]^2</f>
        <v>0</v>
      </c>
      <c r="AR79" s="354">
        <f>CHOOSE(Table1[[#This Row],[Mode Digit]], 0, (Vout*Table1[[#This Row],[Iin]]/2)*(Fsw)*(Tr_boost+Tf_boost), (Vout*Iout/2)*(Fsw/1)*(Tr_boost+Tf_boost))</f>
        <v>0</v>
      </c>
      <c r="AS79">
        <f>IF(Table1[[#This Row],[Vin]]&gt;Vout, 0, IF(Table1[[#This Row],[Iin]]&gt;Table1[[#This Row],[Ripple Current pk-pk]]/2,0,ABS(Table1[[#This Row],[Iin]]-Table1[[#This Row],[Ripple Current pk-pk]]/2)*Vsd_Q4*Deadtime*Fsw))</f>
        <v>0</v>
      </c>
      <c r="AT79" s="354">
        <f>(Table1[[#This Row],[Dead Time Loss BoCtlr]]+Table1[[#This Row],[Transition Loss BoCtlr]]+Table1[[#This Row],[RDS(on) Loss BoCtlr]]*(1+RdsonTopTc*Ta-RdsonTopTc*25))/(1-Table1[[#This Row],[RDS(on) Loss BoCtlr]]*RdsonTopTc*ThetaJA_Q4)</f>
        <v>0</v>
      </c>
      <c r="AU7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12.07792092964694</v>
      </c>
      <c r="AV79" s="354">
        <f>Rdson3*Table1[[#This Row],[Irms BoSync]]^2</f>
        <v>0.61267993072777527</v>
      </c>
      <c r="AW7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79" s="354">
        <f>(Table1[[#This Row],[Deadtime Loss BoSync]]+Table1[[#This Row],[RDS(on) Loss BoSync]]*(1+RdsonBotTc*Ta-RdsonBotTc*25))/(1-Table1[[#This Row],[RDS(on) Loss BoSync]]*RdsonBotTc*ThetaJA_Q3)</f>
        <v>0.71830123024492853</v>
      </c>
      <c r="AY79" s="354">
        <f>CHOOSE(Table1[[#This Row],[Mode Digit]], Rdson3*Table1[[#This Row],[Irms Lf]]^2, Rdson1*Table1[[#This Row],[Irms Lf]]^2, 0)</f>
        <v>0.61267993072777527</v>
      </c>
      <c r="AZ79" s="354">
        <f>CHOOSE(Table1[[#This Row],[Mode Digit]], 2*Deadtime*Fsw*IF(VfdSky_Q2&gt;0,VfdSky_Q2,0)*Table1[[#This Row],[Iout]], 2*Deadtime*Fsw*IF(VfdSky_Q3&gt;0,VfdSky_Q3,0)*Table1[[#This Row],[Iin]], 2*Deadtime*Fsw*IF(VfdSky_Q2&gt;0,VfdSky_Q2,0)*Table1[[#This Row],[Iout]]+2*Deadtime*Fsw*IF(VfdSky_Q3&gt;0,VfdSky_Q3,0)*Table1[[#This Row],[Iin]])</f>
        <v>0</v>
      </c>
      <c r="BA79" s="354">
        <f>CHOOSE(Table1[[#This Row],[Mode Digit]], IF(QrrSky_Q2&gt;0,QrrSky_Q2,Qrr_Q2)*Fsw*(Table1[[#This Row],[Vin]]-Table1[[#This Row],[Iout]]*Rdson1),0,  IF(QrrSky_Q2&gt;0,QrrSky_Q2,Qrr_Q2)*Fsw*(Table1[[#This Row],[Vin]]-Table1[[#This Row],[Iout]]*Rdson1)+IF(QrrSky_Q3&gt;0,QrrSky_Q3,Qrr_Q3)*Fsw*Vout)</f>
        <v>0.35699519999999996</v>
      </c>
      <c r="BB79" s="354">
        <f>CHOOSE(Table1[[#This Row],[Mode Digit]],0, IF(QrrSky_Q3&gt;0,QrrSky_Q3,Qrr_Q3)*Fsw*Vout,  IF(QrrSky_Q2&gt;0,QrrSky_Q2,Qrr_Q2)*Fsw*(Table1[[#This Row],[Vin]]-Table1[[#This Row],[Iout]]*Rdson1)+IF(QrrSky_Q3&gt;0,QrrSky_Q3,Qrr_Q3)*Fsw*Vout)</f>
        <v>0</v>
      </c>
      <c r="BC79" s="354">
        <f>CHOOSE(Table1[[#This Row],[Mode Digit]], Rs*Table1[[#This Row],[Irms BuSync]]^2, Rs*Table1[[#This Row],[Irms BoCtlr]]^2, Rs*(Table1[[#This Row],[Irms BuSync]]^2+Table1[[#This Row],[Irms BoCtlr]]^2))</f>
        <v>0.18436244583143466</v>
      </c>
      <c r="BD79" s="354">
        <f t="shared" si="5"/>
        <v>1.44</v>
      </c>
      <c r="BE79" s="354">
        <f>IF(Vout&gt;8, Iq*Vout, Iq*Table1[[#This Row],[Vin]])</f>
        <v>4.3799999999999999E-2</v>
      </c>
      <c r="BF79" s="354">
        <f>CHOOSE(Table1[[#This Row],[Mode Digit]], (Qg_Q1+Qg_Q2)*Fsw, (Qg_Q3+Qg_Q4)*Fsw, (Qg_Q1+Qg_Q2+Qg_Q3+Qg_Q4)*Fsw)*IF(Vout&gt;8, Vout, Table1[[#This Row],[Vin]])</f>
        <v>0.47303999999999996</v>
      </c>
      <c r="BG79" s="354">
        <f t="shared" si="6"/>
        <v>0.45605042016806729</v>
      </c>
      <c r="BH79" s="354">
        <f>Table1[[#This Row],[IQ Loss]]+Table1[[#This Row],[Switching Current Loss]]</f>
        <v>0.51683999999999997</v>
      </c>
      <c r="BI7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10.477307719678288</v>
      </c>
      <c r="BJ79">
        <f>Vout*Table1[[#This Row],[Iout]]</f>
        <v>175.2</v>
      </c>
      <c r="BK79" s="550">
        <f>Table1[[#This Row],[Pout]]/(Table1[[#This Row],[Pout]]+Table1[[#This Row],[Total Loss]])</f>
        <v>0.9435724922536245</v>
      </c>
      <c r="BL7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249.05066742730509</v>
      </c>
      <c r="BM79" s="559">
        <f>IF(Table1[[#This Row],[Vin]]&gt;Vout, Table1[[#This Row],[Total Sync Bu MOSFET Loss]]*ThetaJA_Q2, ThetaJA_Q3*Table1[[#This Row],[Total Sync Bo MOSFET Loss]])</f>
        <v>57.50030161908645</v>
      </c>
      <c r="BN79" s="9"/>
      <c r="BO79" s="4">
        <f>Table1[[#This Row],[EFF, h]]*100</f>
        <v>94.357249225362452</v>
      </c>
      <c r="BP79" s="354">
        <f>Table1[[#This Row],[Total Inductor Loss]]</f>
        <v>2.0693159956442653</v>
      </c>
      <c r="BQ79" s="354">
        <f>Table1[[#This Row],[Total Control Bu MOSFET Loss]]+Table1[[#This Row],[Total Sync Bu MOSFET Loss]]+Table1[[#This Row],[Total Control Bo MOSFET Loss]]+Table1[[#This Row],[Total Sync Bo MOSFET Loss]]+Table1[[#This Row],[Reverse Recovery Loss MOSFET D BUCK]]+Table1[[#This Row],[Reverse Recovery Loss MOSFET D BOOST]]</f>
        <v>6.184479247684787</v>
      </c>
      <c r="BR79" s="354">
        <f>Table1[[#This Row],[Total Control Bu MOSFET Loss]]+Table1[[#This Row],[Reverse Recovery Loss MOSFET D BUCK]]*0.66</f>
        <v>4.3864612891217512</v>
      </c>
      <c r="BS79" s="354">
        <f>Table1[[#This Row],[Total Sync Bu MOSFET Loss]]+Table1[[#This Row],[Reverse Recovery Loss MOSFET D BUCK]]*0.33</f>
        <v>1.0761467763181074</v>
      </c>
      <c r="BT79" s="354">
        <f xml:space="preserve"> Table1[[#This Row],[Total Control Bo MOSFET Loss]]+Table1[[#This Row],[Reverse Recovery Loss MOSFET D BOOST]]*0.66</f>
        <v>0</v>
      </c>
      <c r="BU79" s="354">
        <f xml:space="preserve"> Table1[[#This Row],[Total Sync Bo MOSFET Loss]]+Table1[[#This Row],[Reverse Recovery Loss MOSFET D BOOST]]*0.33</f>
        <v>0.71830123024492853</v>
      </c>
      <c r="BV79" s="354">
        <f>Table1[[#This Row],[Isense Shunt Loss]]</f>
        <v>0.18436244583143466</v>
      </c>
      <c r="CB79" s="18"/>
      <c r="CC79" s="19"/>
    </row>
    <row r="80" spans="1:81" x14ac:dyDescent="0.2">
      <c r="A80" s="34" t="s">
        <v>49</v>
      </c>
      <c r="B80" s="76" t="e">
        <f>SUM(B77:B79)</f>
        <v>#NAME?</v>
      </c>
      <c r="C80" s="21" t="s">
        <v>2</v>
      </c>
      <c r="G80">
        <v>71</v>
      </c>
      <c r="H80" s="555">
        <f>VIN_min+(VIN_max-VIN_min)*(Table1[[#This Row],[Step]]/200)</f>
        <v>29.939999999999998</v>
      </c>
      <c r="I80" s="4" t="str">
        <f>IF(Mode = 2,IF(Table1[[#This Row],[Vin]]&gt;Vout, "BUCK","BOOST"),IF(Table1[[#This Row],[Vin]]&gt;VIN_BB_to_buck, "BUCK", IF(Table1[[#This Row],[Vin]]&lt;=VIN_boost_to_BB,"BOOST","BUCK-BST")))</f>
        <v>BUCK</v>
      </c>
      <c r="J80">
        <f>IF(Table1[[#This Row],[Mode]]="BOOST",2, IF(Table1[[#This Row],[Mode]]="BUCK", 1,3))</f>
        <v>1</v>
      </c>
      <c r="K80">
        <f t="shared" si="4"/>
        <v>12</v>
      </c>
      <c r="L80" s="4">
        <f>Vout*Table1[[#This Row],[Iout]]/(Table1[[#This Row],[Vin]]*Efficiency)</f>
        <v>6.1596877966459234</v>
      </c>
      <c r="M80" s="711">
        <f>MIN(1/Fsw,CHOOSE(Table1[[#This Row],[Mode Digit]],(Vout+(Rdson2+Rs+Rdcr)*Table1[[#This Row],[Iout]])/(Table1[[#This Row],[Vin]]+(Rs+Rdson2-Rdson1)*Table1[[#This Row],[Iout]])/Fsw,(Vout+(Rdson3+Rdcr)*Table1[[#This Row],[Iin]]-Table1[[#This Row],[Vin]])/(Vout+(Rdson3-Rdson4-Rs)*Table1[[#This Row],[Iin]])/Fsw,t1_Ph_II))</f>
        <v>8.2026470915359809E-7</v>
      </c>
      <c r="N80" s="602">
        <f>CHOOSE(Table1[[#This Row],[Mode Digit]],1/Fsw-Table1[[#This Row],[t1_Ph_II]],1/Fsw-Table1[[#This Row],[t1_Ph_II]],(Vout/Fsw-Table1[[#This Row],[Vin]]*t1_Ph_II)/(Table1[[#This Row],[Vin]]+Vout))</f>
        <v>8.4640195751306857E-7</v>
      </c>
      <c r="O80" s="602">
        <f>1/Fsw-(Table1[[#This Row],[t1_Ph_II]]+Table1[[#This Row],[t2_Ph_I]])</f>
        <v>0</v>
      </c>
      <c r="P8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9.6168824548454186</v>
      </c>
      <c r="Q80" s="4">
        <f>CHOOSE(Table1[[#This Row],[Mode Digit]],Table1[[#This Row],[I_0]]+1/Lf*(Table1[[#This Row],[Vin]]-Vout)*Table1[[#This Row],[t1_Ph_II]],Table1[[#This Row],[I_0]]+1/Lf*Table1[[#This Row],[Vin]]*Table1[[#This Row],[t1_Ph_II]],Table1[[#This Row],[I_0]]+(Table1[[#This Row],[Vin]]-Vout)/L*Table1[[#This Row],[t1_Ph_II]])</f>
        <v>14.383117545154583</v>
      </c>
      <c r="R80" s="4">
        <f>CHOOSE(Table1[[#This Row],[Mode Digit]],0,0,Table1[[#This Row],[I_1]]+Table1[[#This Row],[Vin]]/L*Table1[[#This Row],[t2_Ph_I]])</f>
        <v>0</v>
      </c>
      <c r="S80" s="4">
        <f>Fsw*(Table1[[#This Row],[I_0]]*Table1[[#This Row],[t1_Ph_II]]+Table1[[#This Row],[I_1]]*Table1[[#This Row],[t2_Ph_I]]+Table1[[#This Row],[I_2]]*Table1[[#This Row],[t3_Ph_III]])</f>
        <v>12.037372881088512</v>
      </c>
      <c r="T80" s="354">
        <f>MIN(1,CHOOSE(Table1[[#This Row],[Mode Digit]],(Vout+(Rdson2+Rs+Rdcr)*Table1[[#This Row],[Iout]])/(Table1[[#This Row],[Vin]]+(Rs+Rdson2-Rdson1)*Table1[[#This Row],[Iout]]),1,Fsw*Table1[[#This Row],[t2_Ph_I]]+Table1[[#This Row],[t1_Ph_II]]))</f>
        <v>0.49215882549215884</v>
      </c>
      <c r="U80" s="354">
        <f>MIN(1,CHOOSE(Table1[[#This Row],[Mode Digit]],0,(Vout+(Rdson3+Rdcr)*Table1[[#This Row],[Iin]]-Table1[[#This Row],[Vin]])/(Vout+(Rdson3-Rdson4-Rs)*Table1[[#This Row],[Iin]]),Fsw*Table1[[#This Row],[t1_Ph_II]]+Table1[[#This Row],[t3_Ph_III]]))</f>
        <v>0</v>
      </c>
      <c r="V80" s="4">
        <f>MAX(Table1[[#This Row],[I_0]:[I_2]])-MIN(Table1[[#This Row],[I_0]:[I_1]])</f>
        <v>4.7662350903091646</v>
      </c>
      <c r="W8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12.078620909607515</v>
      </c>
      <c r="X80" s="354">
        <f>(Table1[[#This Row],[Irms Lf]]^2*Rdcr*(1+Ltc*Ta-Ltc*25))/(1-Table1[[#This Row],[Irms Lf]]^2*Rdcr*Ltc*ThetaCa)</f>
        <v>0.90762071285830781</v>
      </c>
      <c r="Y80" s="354">
        <f>ABS(7.759*10^-3*Fsw^0.9458*(0.00787*Table1[[#This Row],[Ripple Current pk-pk]])^2.304)</f>
        <v>1.1738787665478341</v>
      </c>
      <c r="Z80" s="354">
        <f>Table1[[#This Row],[DCR    Loss]]+Table1[[#This Row],[Core Loss]]</f>
        <v>2.0814994794061419</v>
      </c>
      <c r="AA80" s="4">
        <f>IF(Table1[[#This Row],[Vin]]&gt;Vout, Table1[[#This Row],[Ripple Current pk-pk]]/SQRT(12), SQRT(Table1[[#This Row],[Duty Cycle BOOST Leg]]/(1-Table1[[#This Row],[Duty Cycle BOOST Leg]]))*SQRT(Table1[[#This Row],[Iout]]^2+(Table1[[#This Row],[Ripple Current pk-pk]]^2)/12))</f>
        <v>1.3758935562055183</v>
      </c>
      <c r="AB80" s="354">
        <f>RCoutEsr*Table1[[#This Row],[Irms Cout]]^2</f>
        <v>9.465415390039339E-3</v>
      </c>
      <c r="AC80" s="354">
        <f>Table1[[#This Row],[Cout ESR Loss]]</f>
        <v>9.465415390039339E-3</v>
      </c>
      <c r="AD80" s="354">
        <f>IF(Table1[[#This Row],[Vin]]&gt;Vout, SQRT(Table1[[#This Row],[Duty Cycle BUCK Leg]]*(1-Table1[[#This Row],[Duty Cycle BUCK Leg]]))*SQRT(Table1[[#This Row],[Iout]]^2+(Table1[[#This Row],[Ripple Current pk-pk]]^2)/12), Table1[[#This Row],[Ripple Current pk-pk]]/SQRT(12))</f>
        <v>6.0385677669961746</v>
      </c>
      <c r="AE80" s="354">
        <f>RCinEsr*Table1[[#This Row],[Irms Cin]]^2</f>
        <v>7.2928601353210346E-2</v>
      </c>
      <c r="AF80" s="549">
        <f>Table1[[#This Row],[Cin ESR Loss]]</f>
        <v>7.2928601353210346E-2</v>
      </c>
      <c r="AG8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8.4736396203226807</v>
      </c>
      <c r="AH80" s="354">
        <f>Rdson1*Table1[[#This Row],[Irms BuCtrl]]^2</f>
        <v>0.30157078734342968</v>
      </c>
      <c r="AI80" s="354">
        <f>CHOOSE(Table1[[#This Row],[Mode Digit]], (Table1[[#This Row],[Vin]]*Table1[[#This Row],[Iout]]/2)*(Fsw)*(Tr_buck+Tf_buck), 0, (Table1[[#This Row],[Vin]]*Table1[[#This Row],[Avg IL]]/2)*(Fsw/1)*(Tr_buck+Tf_buck))</f>
        <v>3.562752315215195</v>
      </c>
      <c r="AJ80">
        <f>IF(Table1[[#This Row],[Vin]]&gt;Vout, IF(Table1[[#This Row],[Iout]]&gt;Table1[[#This Row],[Ripple Current pk-pk]]/2,0,ABS(Table1[[#This Row],[Iout]]-Table1[[#This Row],[Ripple Current pk-pk]]/2)*Vsd_Q1*Deadtime*Fsw),0)</f>
        <v>0</v>
      </c>
      <c r="AK80" s="354">
        <f>(Table1[[#This Row],[Dead Time Loss BuCtrl]]+Table1[[#This Row],[Transition Loss BuCtrl]]+Table1[[#This Row],[RDS(on) Loss BuCtrl]]*(1+RdsonTopTc*Ta-RdsonTopTc*25))/(1-Table1[[#This Row],[RDS(on) Loss BuCtrl]]*RdsonTopTc*ThetaJA_Q1)</f>
        <v>4.1658335946585154</v>
      </c>
      <c r="AL80" s="354">
        <f>CHOOSE(Table1[[#This Row],[Mode Digit]],SQRT((Fsw*(Table1[[#This Row],[t2_Ph_I]]+0))*((Table1[[#This Row],[I_0]]*Table1[[#This Row],[I_1]]+((Table1[[#This Row],[I_0]]-Table1[[#This Row],[I_1]])^2)/3))),0,SQRT((Fsw*(Table1[[#This Row],[t3_Ph_III]]+0))*((Table1[[#This Row],[I_0]]*Table1[[#This Row],[I_2]]+((Table1[[#This Row],[I_0]]-Table1[[#This Row],[I_2]])^2)/3))))</f>
        <v>8.6075847171494964</v>
      </c>
      <c r="AM80" s="354">
        <f>Rdson2*Table1[[#This Row],[Irms BuSync]]^2</f>
        <v>0.31118016158420347</v>
      </c>
      <c r="AN8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80" s="354">
        <f>(Table1[[#This Row],[Deadtime Loss BuSync]]+Table1[[#This Row],[RDS(on) Loss BuSync]]*(1+RdsonBotTc*Ta-RdsonBotTc*25))/(1-Table1[[#This Row],[RDS(on) Loss BuSync]]*RdsonBotTc*ThetaJA_Q2)</f>
        <v>0.96026747530684109</v>
      </c>
      <c r="AP80" s="354">
        <f>CHOOSE(Table1[[#This Row],[Mode Digit]],0,SQRT((Fsw*(Table1[[#This Row],[t1_Ph_II]]+0))*((Table1[[#This Row],[I_0]]*Table1[[#This Row],[I_1]]+((Table1[[#This Row],[I_0]]-Table1[[#This Row],[I_1]])^2)/3))),SQRT((Fsw*(Table1[[#This Row],[t2_Ph_I]]+0))*((Table1[[#This Row],[I_1]]*Table1[[#This Row],[I_2]]+((Table1[[#This Row],[I_1]]-Table1[[#This Row],[I_2]])^2)/3))))</f>
        <v>0</v>
      </c>
      <c r="AQ80" s="354">
        <f>Rdson4*Table1[[#This Row],[Irms BoCtlr]]^2</f>
        <v>0</v>
      </c>
      <c r="AR80" s="354">
        <f>CHOOSE(Table1[[#This Row],[Mode Digit]], 0, (Vout*Table1[[#This Row],[Iin]]/2)*(Fsw)*(Tr_boost+Tf_boost), (Vout*Iout/2)*(Fsw/1)*(Tr_boost+Tf_boost))</f>
        <v>0</v>
      </c>
      <c r="AS80">
        <f>IF(Table1[[#This Row],[Vin]]&gt;Vout, 0, IF(Table1[[#This Row],[Iin]]&gt;Table1[[#This Row],[Ripple Current pk-pk]]/2,0,ABS(Table1[[#This Row],[Iin]]-Table1[[#This Row],[Ripple Current pk-pk]]/2)*Vsd_Q4*Deadtime*Fsw))</f>
        <v>0</v>
      </c>
      <c r="AT80" s="354">
        <f>(Table1[[#This Row],[Dead Time Loss BoCtlr]]+Table1[[#This Row],[Transition Loss BoCtlr]]+Table1[[#This Row],[RDS(on) Loss BoCtlr]]*(1+RdsonTopTc*Ta-RdsonTopTc*25))/(1-Table1[[#This Row],[RDS(on) Loss BoCtlr]]*RdsonTopTc*ThetaJA_Q4)</f>
        <v>0</v>
      </c>
      <c r="AU8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12.078620909607515</v>
      </c>
      <c r="AV80" s="354">
        <f>Rdson3*Table1[[#This Row],[Irms BoSync]]^2</f>
        <v>0.61275094892763327</v>
      </c>
      <c r="AW8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80" s="354">
        <f>(Table1[[#This Row],[Deadtime Loss BoSync]]+Table1[[#This Row],[RDS(on) Loss BoSync]]*(1+RdsonBotTc*Ta-RdsonBotTc*25))/(1-Table1[[#This Row],[RDS(on) Loss BoSync]]*RdsonBotTc*ThetaJA_Q3)</f>
        <v>0.71839884697361778</v>
      </c>
      <c r="AY80" s="354">
        <f>CHOOSE(Table1[[#This Row],[Mode Digit]], Rdson3*Table1[[#This Row],[Irms Lf]]^2, Rdson1*Table1[[#This Row],[Irms Lf]]^2, 0)</f>
        <v>0.61275094892763327</v>
      </c>
      <c r="AZ80" s="354">
        <f>CHOOSE(Table1[[#This Row],[Mode Digit]], 2*Deadtime*Fsw*IF(VfdSky_Q2&gt;0,VfdSky_Q2,0)*Table1[[#This Row],[Iout]], 2*Deadtime*Fsw*IF(VfdSky_Q3&gt;0,VfdSky_Q3,0)*Table1[[#This Row],[Iin]], 2*Deadtime*Fsw*IF(VfdSky_Q2&gt;0,VfdSky_Q2,0)*Table1[[#This Row],[Iout]]+2*Deadtime*Fsw*IF(VfdSky_Q3&gt;0,VfdSky_Q3,0)*Table1[[#This Row],[Iin]])</f>
        <v>0</v>
      </c>
      <c r="BA80" s="354">
        <f>CHOOSE(Table1[[#This Row],[Mode Digit]], IF(QrrSky_Q2&gt;0,QrrSky_Q2,Qrr_Q2)*Fsw*(Table1[[#This Row],[Vin]]-Table1[[#This Row],[Iout]]*Rdson1),0,  IF(QrrSky_Q2&gt;0,QrrSky_Q2,Qrr_Q2)*Fsw*(Table1[[#This Row],[Vin]]-Table1[[#This Row],[Iout]]*Rdson1)+IF(QrrSky_Q3&gt;0,QrrSky_Q3,Qrr_Q3)*Fsw*Vout)</f>
        <v>0.35867519999999997</v>
      </c>
      <c r="BB80" s="354">
        <f>CHOOSE(Table1[[#This Row],[Mode Digit]],0, IF(QrrSky_Q3&gt;0,QrrSky_Q3,Qrr_Q3)*Fsw*Vout,  IF(QrrSky_Q2&gt;0,QrrSky_Q2,Qrr_Q2)*Fsw*(Table1[[#This Row],[Vin]]-Table1[[#This Row],[Iout]]*Rdson1)+IF(QrrSky_Q3&gt;0,QrrSky_Q3,Qrr_Q3)*Fsw*Vout)</f>
        <v>0</v>
      </c>
      <c r="BC80" s="354">
        <f>CHOOSE(Table1[[#This Row],[Mode Digit]], Rs*Table1[[#This Row],[Irms BuSync]]^2, Rs*Table1[[#This Row],[Irms BoCtlr]]^2, Rs*(Table1[[#This Row],[Irms BuSync]]^2+Table1[[#This Row],[Irms BoCtlr]]^2))</f>
        <v>0.18522628665726396</v>
      </c>
      <c r="BD80" s="354">
        <f t="shared" si="5"/>
        <v>1.44</v>
      </c>
      <c r="BE80" s="354">
        <f>IF(Vout&gt;8, Iq*Vout, Iq*Table1[[#This Row],[Vin]])</f>
        <v>4.3799999999999999E-2</v>
      </c>
      <c r="BF80" s="354">
        <f>CHOOSE(Table1[[#This Row],[Mode Digit]], (Qg_Q1+Qg_Q2)*Fsw, (Qg_Q3+Qg_Q4)*Fsw, (Qg_Q1+Qg_Q2+Qg_Q3+Qg_Q4)*Fsw)*IF(Vout&gt;8, Vout, Table1[[#This Row],[Vin]])</f>
        <v>0.47303999999999996</v>
      </c>
      <c r="BG80" s="354">
        <f t="shared" si="6"/>
        <v>0.45605042016806729</v>
      </c>
      <c r="BH80" s="354">
        <f>Table1[[#This Row],[IQ Loss]]+Table1[[#This Row],[Switching Current Loss]]</f>
        <v>0.51683999999999997</v>
      </c>
      <c r="BI8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10.509134899745629</v>
      </c>
      <c r="BJ80">
        <f>Vout*Table1[[#This Row],[Iout]]</f>
        <v>175.2</v>
      </c>
      <c r="BK80" s="550">
        <f>Table1[[#This Row],[Pout]]/(Table1[[#This Row],[Pout]]+Table1[[#This Row],[Total Loss]])</f>
        <v>0.94341078102905962</v>
      </c>
      <c r="BL8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249.95001567951093</v>
      </c>
      <c r="BM80" s="559">
        <f>IF(Table1[[#This Row],[Vin]]&gt;Vout, Table1[[#This Row],[Total Sync Bu MOSFET Loss]]*ThetaJA_Q2, ThetaJA_Q3*Table1[[#This Row],[Total Sync Bo MOSFET Loss]])</f>
        <v>57.616048518410466</v>
      </c>
      <c r="BN80" s="9"/>
      <c r="BO80" s="4">
        <f>Table1[[#This Row],[EFF, h]]*100</f>
        <v>94.341078102905968</v>
      </c>
      <c r="BP80" s="354">
        <f>Table1[[#This Row],[Total Inductor Loss]]</f>
        <v>2.0814994794061419</v>
      </c>
      <c r="BQ80" s="354">
        <f>Table1[[#This Row],[Total Control Bu MOSFET Loss]]+Table1[[#This Row],[Total Sync Bu MOSFET Loss]]+Table1[[#This Row],[Total Control Bo MOSFET Loss]]+Table1[[#This Row],[Total Sync Bo MOSFET Loss]]+Table1[[#This Row],[Reverse Recovery Loss MOSFET D BUCK]]+Table1[[#This Row],[Reverse Recovery Loss MOSFET D BOOST]]</f>
        <v>6.2031751169389739</v>
      </c>
      <c r="BR80" s="354">
        <f>Table1[[#This Row],[Total Control Bu MOSFET Loss]]+Table1[[#This Row],[Reverse Recovery Loss MOSFET D BUCK]]*0.66</f>
        <v>4.4025592266585152</v>
      </c>
      <c r="BS80" s="354">
        <f>Table1[[#This Row],[Total Sync Bu MOSFET Loss]]+Table1[[#This Row],[Reverse Recovery Loss MOSFET D BUCK]]*0.33</f>
        <v>1.0786302913068411</v>
      </c>
      <c r="BT80" s="354">
        <f xml:space="preserve"> Table1[[#This Row],[Total Control Bo MOSFET Loss]]+Table1[[#This Row],[Reverse Recovery Loss MOSFET D BOOST]]*0.66</f>
        <v>0</v>
      </c>
      <c r="BU80" s="354">
        <f xml:space="preserve"> Table1[[#This Row],[Total Sync Bo MOSFET Loss]]+Table1[[#This Row],[Reverse Recovery Loss MOSFET D BOOST]]*0.33</f>
        <v>0.71839884697361778</v>
      </c>
      <c r="BV80" s="354">
        <f>Table1[[#This Row],[Isense Shunt Loss]]</f>
        <v>0.18522628665726396</v>
      </c>
      <c r="CB80" s="18"/>
      <c r="CC80" s="19"/>
    </row>
    <row r="81" spans="1:81" x14ac:dyDescent="0.2">
      <c r="A81" s="2"/>
      <c r="G81">
        <v>72</v>
      </c>
      <c r="H81" s="555">
        <f>VIN_min+(VIN_max-VIN_min)*(Table1[[#This Row],[Step]]/200)</f>
        <v>30.08</v>
      </c>
      <c r="I81" s="4" t="str">
        <f>IF(Mode = 2,IF(Table1[[#This Row],[Vin]]&gt;Vout, "BUCK","BOOST"),IF(Table1[[#This Row],[Vin]]&gt;VIN_BB_to_buck, "BUCK", IF(Table1[[#This Row],[Vin]]&lt;=VIN_boost_to_BB,"BOOST","BUCK-BST")))</f>
        <v>BUCK</v>
      </c>
      <c r="J81">
        <f>IF(Table1[[#This Row],[Mode]]="BOOST",2, IF(Table1[[#This Row],[Mode]]="BUCK", 1,3))</f>
        <v>1</v>
      </c>
      <c r="K81">
        <f t="shared" si="4"/>
        <v>12</v>
      </c>
      <c r="L81" s="4">
        <f>Vout*Table1[[#This Row],[Iout]]/(Table1[[#This Row],[Vin]]*Efficiency)</f>
        <v>6.131019036954088</v>
      </c>
      <c r="M81" s="711">
        <f>MIN(1/Fsw,CHOOSE(Table1[[#This Row],[Mode Digit]],(Vout+(Rdson2+Rs+Rdcr)*Table1[[#This Row],[Iout]])/(Table1[[#This Row],[Vin]]+(Rs+Rdson2-Rdson1)*Table1[[#This Row],[Iout]])/Fsw,(Vout+(Rdson3+Rdcr)*Table1[[#This Row],[Iin]]-Table1[[#This Row],[Vin]])/(Vout+(Rdson3-Rdson4-Rs)*Table1[[#This Row],[Iin]])/Fsw,t1_Ph_II))</f>
        <v>8.1645079154212337E-7</v>
      </c>
      <c r="N81" s="602">
        <f>CHOOSE(Table1[[#This Row],[Mode Digit]],1/Fsw-Table1[[#This Row],[t1_Ph_II]],1/Fsw-Table1[[#This Row],[t1_Ph_II]],(Vout/Fsw-Table1[[#This Row],[Vin]]*t1_Ph_II)/(Table1[[#This Row],[Vin]]+Vout))</f>
        <v>8.502158751245433E-7</v>
      </c>
      <c r="O81" s="602">
        <f>1/Fsw-(Table1[[#This Row],[t1_Ph_II]]+Table1[[#This Row],[t2_Ph_I]])</f>
        <v>0</v>
      </c>
      <c r="P8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9.606314724796956</v>
      </c>
      <c r="Q81" s="4">
        <f>CHOOSE(Table1[[#This Row],[Mode Digit]],Table1[[#This Row],[I_0]]+1/Lf*(Table1[[#This Row],[Vin]]-Vout)*Table1[[#This Row],[t1_Ph_II]],Table1[[#This Row],[I_0]]+1/Lf*Table1[[#This Row],[Vin]]*Table1[[#This Row],[t1_Ph_II]],Table1[[#This Row],[I_0]]+(Table1[[#This Row],[Vin]]-Vout)/L*Table1[[#This Row],[t1_Ph_II]])</f>
        <v>14.393685275203044</v>
      </c>
      <c r="R81" s="4">
        <f>CHOOSE(Table1[[#This Row],[Mode Digit]],0,0,Table1[[#This Row],[I_1]]+Table1[[#This Row],[Vin]]/L*Table1[[#This Row],[t2_Ph_I]])</f>
        <v>0</v>
      </c>
      <c r="S81" s="4">
        <f>Fsw*(Table1[[#This Row],[I_0]]*Table1[[#This Row],[t1_Ph_II]]+Table1[[#This Row],[I_1]]*Table1[[#This Row],[t2_Ph_I]]+Table1[[#This Row],[I_2]]*Table1[[#This Row],[t3_Ph_III]])</f>
        <v>12.048493790032344</v>
      </c>
      <c r="T81" s="354">
        <f>MIN(1,CHOOSE(Table1[[#This Row],[Mode Digit]],(Vout+(Rdson2+Rs+Rdcr)*Table1[[#This Row],[Iout]])/(Table1[[#This Row],[Vin]]+(Rs+Rdson2-Rdson1)*Table1[[#This Row],[Iout]]),1,Fsw*Table1[[#This Row],[t2_Ph_I]]+Table1[[#This Row],[t1_Ph_II]]))</f>
        <v>0.48987047492527402</v>
      </c>
      <c r="U81" s="354">
        <f>MIN(1,CHOOSE(Table1[[#This Row],[Mode Digit]],0,(Vout+(Rdson3+Rdcr)*Table1[[#This Row],[Iin]]-Table1[[#This Row],[Vin]])/(Vout+(Rdson3-Rdson4-Rs)*Table1[[#This Row],[Iin]]),Fsw*Table1[[#This Row],[t1_Ph_II]]+Table1[[#This Row],[t3_Ph_III]]))</f>
        <v>0</v>
      </c>
      <c r="V81" s="4">
        <f>MAX(Table1[[#This Row],[I_0]:[I_2]])-MIN(Table1[[#This Row],[I_0]:[I_1]])</f>
        <v>4.7873705504060879</v>
      </c>
      <c r="W8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12.079317436521043</v>
      </c>
      <c r="X81" s="354">
        <f>(Table1[[#This Row],[Irms Lf]]^2*Rdcr*(1+Ltc*Ta-Ltc*25))/(1-Table1[[#This Row],[Irms Lf]]^2*Rdcr*Ltc*ThetaCa)</f>
        <v>0.90773299554778808</v>
      </c>
      <c r="Y81" s="354">
        <f>ABS(7.759*10^-3*Fsw^0.9458*(0.00787*Table1[[#This Row],[Ripple Current pk-pk]])^2.304)</f>
        <v>1.1859068482007642</v>
      </c>
      <c r="Z81" s="354">
        <f>Table1[[#This Row],[DCR    Loss]]+Table1[[#This Row],[Core Loss]]</f>
        <v>2.0936398437485524</v>
      </c>
      <c r="AA81" s="4">
        <f>IF(Table1[[#This Row],[Vin]]&gt;Vout, Table1[[#This Row],[Ripple Current pk-pk]]/SQRT(12), SQRT(Table1[[#This Row],[Duty Cycle BOOST Leg]]/(1-Table1[[#This Row],[Duty Cycle BOOST Leg]]))*SQRT(Table1[[#This Row],[Iout]]^2+(Table1[[#This Row],[Ripple Current pk-pk]]^2)/12))</f>
        <v>1.381994837993721</v>
      </c>
      <c r="AB81" s="354">
        <f>RCoutEsr*Table1[[#This Row],[Irms Cout]]^2</f>
        <v>9.5495486612064556E-3</v>
      </c>
      <c r="AC81" s="354">
        <f>Table1[[#This Row],[Cout ESR Loss]]</f>
        <v>9.5495486612064556E-3</v>
      </c>
      <c r="AD81" s="354">
        <f>IF(Table1[[#This Row],[Vin]]&gt;Vout, SQRT(Table1[[#This Row],[Duty Cycle BUCK Leg]]*(1-Table1[[#This Row],[Duty Cycle BUCK Leg]]))*SQRT(Table1[[#This Row],[Iout]]^2+(Table1[[#This Row],[Ripple Current pk-pk]]^2)/12), Table1[[#This Row],[Ripple Current pk-pk]]/SQRT(12))</f>
        <v>6.0384191651751475</v>
      </c>
      <c r="AE81" s="354">
        <f>RCinEsr*Table1[[#This Row],[Irms Cin]]^2</f>
        <v>7.2925012028709046E-2</v>
      </c>
      <c r="AF81" s="549">
        <f>Table1[[#This Row],[Cin ESR Loss]]</f>
        <v>7.2925012028709046E-2</v>
      </c>
      <c r="AG8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8.4544045784926158</v>
      </c>
      <c r="AH81" s="354">
        <f>Rdson1*Table1[[#This Row],[Irms BuCtrl]]^2</f>
        <v>0.30020321846271503</v>
      </c>
      <c r="AI81" s="354">
        <f>CHOOSE(Table1[[#This Row],[Mode Digit]], (Table1[[#This Row],[Vin]]*Table1[[#This Row],[Iout]]/2)*(Fsw)*(Tr_buck+Tf_buck), 0, (Table1[[#This Row],[Vin]]*Table1[[#This Row],[Avg IL]]/2)*(Fsw/1)*(Tr_buck+Tf_buck))</f>
        <v>3.5794118116791278</v>
      </c>
      <c r="AJ81">
        <f>IF(Table1[[#This Row],[Vin]]&gt;Vout, IF(Table1[[#This Row],[Iout]]&gt;Table1[[#This Row],[Ripple Current pk-pk]]/2,0,ABS(Table1[[#This Row],[Iout]]-Table1[[#This Row],[Ripple Current pk-pk]]/2)*Vsd_Q1*Deadtime*Fsw),0)</f>
        <v>0</v>
      </c>
      <c r="AK81" s="354">
        <f>(Table1[[#This Row],[Dead Time Loss BuCtrl]]+Table1[[#This Row],[Transition Loss BuCtrl]]+Table1[[#This Row],[RDS(on) Loss BuCtrl]]*(1+RdsonTopTc*Ta-RdsonTopTc*25))/(1-Table1[[#This Row],[RDS(on) Loss BuCtrl]]*RdsonTopTc*ThetaJA_Q1)</f>
        <v>4.1808393748297306</v>
      </c>
      <c r="AL81" s="354">
        <f>CHOOSE(Table1[[#This Row],[Mode Digit]],SQRT((Fsw*(Table1[[#This Row],[t2_Ph_I]]+0))*((Table1[[#This Row],[I_0]]*Table1[[#This Row],[I_1]]+((Table1[[#This Row],[I_0]]-Table1[[#This Row],[I_1]])^2)/3))),0,SQRT((Fsw*(Table1[[#This Row],[t3_Ph_III]]+0))*((Table1[[#This Row],[I_0]]*Table1[[#This Row],[I_2]]+((Table1[[#This Row],[I_0]]-Table1[[#This Row],[I_2]])^2)/3))))</f>
        <v>8.6274534455657541</v>
      </c>
      <c r="AM81" s="354">
        <f>Rdson2*Table1[[#This Row],[Irms BuSync]]^2</f>
        <v>0.31261840241269856</v>
      </c>
      <c r="AN8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81" s="354">
        <f>(Table1[[#This Row],[Deadtime Loss BuSync]]+Table1[[#This Row],[RDS(on) Loss BuSync]]*(1+RdsonBotTc*Ta-RdsonBotTc*25))/(1-Table1[[#This Row],[RDS(on) Loss BuSync]]*RdsonBotTc*ThetaJA_Q2)</f>
        <v>0.962180727425758</v>
      </c>
      <c r="AP81" s="354">
        <f>CHOOSE(Table1[[#This Row],[Mode Digit]],0,SQRT((Fsw*(Table1[[#This Row],[t1_Ph_II]]+0))*((Table1[[#This Row],[I_0]]*Table1[[#This Row],[I_1]]+((Table1[[#This Row],[I_0]]-Table1[[#This Row],[I_1]])^2)/3))),SQRT((Fsw*(Table1[[#This Row],[t2_Ph_I]]+0))*((Table1[[#This Row],[I_1]]*Table1[[#This Row],[I_2]]+((Table1[[#This Row],[I_1]]-Table1[[#This Row],[I_2]])^2)/3))))</f>
        <v>0</v>
      </c>
      <c r="AQ81" s="354">
        <f>Rdson4*Table1[[#This Row],[Irms BoCtlr]]^2</f>
        <v>0</v>
      </c>
      <c r="AR81" s="354">
        <f>CHOOSE(Table1[[#This Row],[Mode Digit]], 0, (Vout*Table1[[#This Row],[Iin]]/2)*(Fsw)*(Tr_boost+Tf_boost), (Vout*Iout/2)*(Fsw/1)*(Tr_boost+Tf_boost))</f>
        <v>0</v>
      </c>
      <c r="AS81">
        <f>IF(Table1[[#This Row],[Vin]]&gt;Vout, 0, IF(Table1[[#This Row],[Iin]]&gt;Table1[[#This Row],[Ripple Current pk-pk]]/2,0,ABS(Table1[[#This Row],[Iin]]-Table1[[#This Row],[Ripple Current pk-pk]]/2)*Vsd_Q4*Deadtime*Fsw))</f>
        <v>0</v>
      </c>
      <c r="AT81" s="354">
        <f>(Table1[[#This Row],[Dead Time Loss BoCtlr]]+Table1[[#This Row],[Transition Loss BoCtlr]]+Table1[[#This Row],[RDS(on) Loss BoCtlr]]*(1+RdsonTopTc*Ta-RdsonTopTc*25))/(1-Table1[[#This Row],[RDS(on) Loss BoCtlr]]*RdsonTopTc*ThetaJA_Q4)</f>
        <v>0</v>
      </c>
      <c r="AU8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12.079317436521043</v>
      </c>
      <c r="AV81" s="354">
        <f>Rdson3*Table1[[#This Row],[Irms BoSync]]^2</f>
        <v>0.61282162087541348</v>
      </c>
      <c r="AW8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81" s="354">
        <f>(Table1[[#This Row],[Deadtime Loss BoSync]]+Table1[[#This Row],[RDS(on) Loss BoSync]]*(1+RdsonBotTc*Ta-RdsonBotTc*25))/(1-Table1[[#This Row],[RDS(on) Loss BoSync]]*RdsonBotTc*ThetaJA_Q3)</f>
        <v>0.71849599164099476</v>
      </c>
      <c r="AY81" s="354">
        <f>CHOOSE(Table1[[#This Row],[Mode Digit]], Rdson3*Table1[[#This Row],[Irms Lf]]^2, Rdson1*Table1[[#This Row],[Irms Lf]]^2, 0)</f>
        <v>0.61282162087541348</v>
      </c>
      <c r="AZ81" s="354">
        <f>CHOOSE(Table1[[#This Row],[Mode Digit]], 2*Deadtime*Fsw*IF(VfdSky_Q2&gt;0,VfdSky_Q2,0)*Table1[[#This Row],[Iout]], 2*Deadtime*Fsw*IF(VfdSky_Q3&gt;0,VfdSky_Q3,0)*Table1[[#This Row],[Iin]], 2*Deadtime*Fsw*IF(VfdSky_Q2&gt;0,VfdSky_Q2,0)*Table1[[#This Row],[Iout]]+2*Deadtime*Fsw*IF(VfdSky_Q3&gt;0,VfdSky_Q3,0)*Table1[[#This Row],[Iin]])</f>
        <v>0</v>
      </c>
      <c r="BA81" s="354">
        <f>CHOOSE(Table1[[#This Row],[Mode Digit]], IF(QrrSky_Q2&gt;0,QrrSky_Q2,Qrr_Q2)*Fsw*(Table1[[#This Row],[Vin]]-Table1[[#This Row],[Iout]]*Rdson1),0,  IF(QrrSky_Q2&gt;0,QrrSky_Q2,Qrr_Q2)*Fsw*(Table1[[#This Row],[Vin]]-Table1[[#This Row],[Iout]]*Rdson1)+IF(QrrSky_Q3&gt;0,QrrSky_Q3,Qrr_Q3)*Fsw*Vout)</f>
        <v>0.36035519999999999</v>
      </c>
      <c r="BB81" s="354">
        <f>CHOOSE(Table1[[#This Row],[Mode Digit]],0, IF(QrrSky_Q3&gt;0,QrrSky_Q3,Qrr_Q3)*Fsw*Vout,  IF(QrrSky_Q2&gt;0,QrrSky_Q2,Qrr_Q2)*Fsw*(Table1[[#This Row],[Vin]]-Table1[[#This Row],[Iout]]*Rdson1)+IF(QrrSky_Q3&gt;0,QrrSky_Q3,Qrr_Q3)*Fsw*Vout)</f>
        <v>0</v>
      </c>
      <c r="BC81" s="354">
        <f>CHOOSE(Table1[[#This Row],[Mode Digit]], Rs*Table1[[#This Row],[Irms BuSync]]^2, Rs*Table1[[#This Row],[Irms BoCtlr]]^2, Rs*(Table1[[#This Row],[Irms BuSync]]^2+Table1[[#This Row],[Irms BoCtlr]]^2))</f>
        <v>0.18608238238851102</v>
      </c>
      <c r="BD81" s="354">
        <f t="shared" si="5"/>
        <v>1.44</v>
      </c>
      <c r="BE81" s="354">
        <f>IF(Vout&gt;8, Iq*Vout, Iq*Table1[[#This Row],[Vin]])</f>
        <v>4.3799999999999999E-2</v>
      </c>
      <c r="BF81" s="354">
        <f>CHOOSE(Table1[[#This Row],[Mode Digit]], (Qg_Q1+Qg_Q2)*Fsw, (Qg_Q3+Qg_Q4)*Fsw, (Qg_Q1+Qg_Q2+Qg_Q3+Qg_Q4)*Fsw)*IF(Vout&gt;8, Vout, Table1[[#This Row],[Vin]])</f>
        <v>0.47303999999999996</v>
      </c>
      <c r="BG81" s="354">
        <f t="shared" si="6"/>
        <v>0.45605042016806729</v>
      </c>
      <c r="BH81" s="354">
        <f>Table1[[#This Row],[IQ Loss]]+Table1[[#This Row],[Switching Current Loss]]</f>
        <v>0.51683999999999997</v>
      </c>
      <c r="BI8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10.540908080723462</v>
      </c>
      <c r="BJ81">
        <f>Vout*Table1[[#This Row],[Iout]]</f>
        <v>175.2</v>
      </c>
      <c r="BK81" s="550">
        <f>Table1[[#This Row],[Pout]]/(Table1[[#This Row],[Pout]]+Table1[[#This Row],[Total Loss]])</f>
        <v>0.94324939944763087</v>
      </c>
      <c r="BL8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250.85036248978383</v>
      </c>
      <c r="BM81" s="559">
        <f>IF(Table1[[#This Row],[Vin]]&gt;Vout, Table1[[#This Row],[Total Sync Bu MOSFET Loss]]*ThetaJA_Q2, ThetaJA_Q3*Table1[[#This Row],[Total Sync Bo MOSFET Loss]])</f>
        <v>57.730843645545477</v>
      </c>
      <c r="BN81" s="9"/>
      <c r="BO81" s="4">
        <f>Table1[[#This Row],[EFF, h]]*100</f>
        <v>94.324939944763088</v>
      </c>
      <c r="BP81" s="354">
        <f>Table1[[#This Row],[Total Inductor Loss]]</f>
        <v>2.0936398437485524</v>
      </c>
      <c r="BQ81" s="354">
        <f>Table1[[#This Row],[Total Control Bu MOSFET Loss]]+Table1[[#This Row],[Total Sync Bu MOSFET Loss]]+Table1[[#This Row],[Total Control Bo MOSFET Loss]]+Table1[[#This Row],[Total Sync Bo MOSFET Loss]]+Table1[[#This Row],[Reverse Recovery Loss MOSFET D BUCK]]+Table1[[#This Row],[Reverse Recovery Loss MOSFET D BOOST]]</f>
        <v>6.2218712938964833</v>
      </c>
      <c r="BR81" s="354">
        <f>Table1[[#This Row],[Total Control Bu MOSFET Loss]]+Table1[[#This Row],[Reverse Recovery Loss MOSFET D BUCK]]*0.66</f>
        <v>4.4186738068297302</v>
      </c>
      <c r="BS81" s="354">
        <f>Table1[[#This Row],[Total Sync Bu MOSFET Loss]]+Table1[[#This Row],[Reverse Recovery Loss MOSFET D BUCK]]*0.33</f>
        <v>1.0810979434257579</v>
      </c>
      <c r="BT81" s="354">
        <f xml:space="preserve"> Table1[[#This Row],[Total Control Bo MOSFET Loss]]+Table1[[#This Row],[Reverse Recovery Loss MOSFET D BOOST]]*0.66</f>
        <v>0</v>
      </c>
      <c r="BU81" s="354">
        <f xml:space="preserve"> Table1[[#This Row],[Total Sync Bo MOSFET Loss]]+Table1[[#This Row],[Reverse Recovery Loss MOSFET D BOOST]]*0.33</f>
        <v>0.71849599164099476</v>
      </c>
      <c r="BV81" s="354">
        <f>Table1[[#This Row],[Isense Shunt Loss]]</f>
        <v>0.18608238238851102</v>
      </c>
      <c r="CB81" s="18"/>
      <c r="CC81" s="19"/>
    </row>
    <row r="82" spans="1:81" x14ac:dyDescent="0.2">
      <c r="A82" s="2"/>
      <c r="G82">
        <v>73</v>
      </c>
      <c r="H82" s="555">
        <f>VIN_min+(VIN_max-VIN_min)*(Table1[[#This Row],[Step]]/200)</f>
        <v>30.22</v>
      </c>
      <c r="I82" s="4" t="str">
        <f>IF(Mode = 2,IF(Table1[[#This Row],[Vin]]&gt;Vout, "BUCK","BOOST"),IF(Table1[[#This Row],[Vin]]&gt;VIN_BB_to_buck, "BUCK", IF(Table1[[#This Row],[Vin]]&lt;=VIN_boost_to_BB,"BOOST","BUCK-BST")))</f>
        <v>BUCK</v>
      </c>
      <c r="J82">
        <f>IF(Table1[[#This Row],[Mode]]="BOOST",2, IF(Table1[[#This Row],[Mode]]="BUCK", 1,3))</f>
        <v>1</v>
      </c>
      <c r="K82">
        <f t="shared" si="4"/>
        <v>12</v>
      </c>
      <c r="L82" s="4">
        <f>Vout*Table1[[#This Row],[Iout]]/(Table1[[#This Row],[Vin]]*Efficiency)</f>
        <v>6.1026159044202171</v>
      </c>
      <c r="M82" s="711">
        <f>MIN(1/Fsw,CHOOSE(Table1[[#This Row],[Mode Digit]],(Vout+(Rdson2+Rs+Rdcr)*Table1[[#This Row],[Iout]])/(Table1[[#This Row],[Vin]]+(Rs+Rdson2-Rdson1)*Table1[[#This Row],[Iout]])/Fsw,(Vout+(Rdson3+Rdcr)*Table1[[#This Row],[Iin]]-Table1[[#This Row],[Vin]])/(Vout+(Rdson3-Rdson4-Rs)*Table1[[#This Row],[Iin]])/Fsw,t1_Ph_II))</f>
        <v>8.1267217630853995E-7</v>
      </c>
      <c r="N82" s="602">
        <f>CHOOSE(Table1[[#This Row],[Mode Digit]],1/Fsw-Table1[[#This Row],[t1_Ph_II]],1/Fsw-Table1[[#This Row],[t1_Ph_II]],(Vout/Fsw-Table1[[#This Row],[Vin]]*t1_Ph_II)/(Table1[[#This Row],[Vin]]+Vout))</f>
        <v>8.5399449035812672E-7</v>
      </c>
      <c r="O82" s="602">
        <f>1/Fsw-(Table1[[#This Row],[t1_Ph_II]]+Table1[[#This Row],[t2_Ph_I]])</f>
        <v>0</v>
      </c>
      <c r="P8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9.5958448117539028</v>
      </c>
      <c r="Q82" s="4">
        <f>CHOOSE(Table1[[#This Row],[Mode Digit]],Table1[[#This Row],[I_0]]+1/Lf*(Table1[[#This Row],[Vin]]-Vout)*Table1[[#This Row],[t1_Ph_II]],Table1[[#This Row],[I_0]]+1/Lf*Table1[[#This Row],[Vin]]*Table1[[#This Row],[t1_Ph_II]],Table1[[#This Row],[I_0]]+(Table1[[#This Row],[Vin]]-Vout)/L*Table1[[#This Row],[t1_Ph_II]])</f>
        <v>14.404155188246097</v>
      </c>
      <c r="R82" s="4">
        <f>CHOOSE(Table1[[#This Row],[Mode Digit]],0,0,Table1[[#This Row],[I_1]]+Table1[[#This Row],[Vin]]/L*Table1[[#This Row],[t2_Ph_I]])</f>
        <v>0</v>
      </c>
      <c r="S82" s="4">
        <f>Fsw*(Table1[[#This Row],[I_0]]*Table1[[#This Row],[t1_Ph_II]]+Table1[[#This Row],[I_1]]*Table1[[#This Row],[t2_Ph_I]]+Table1[[#This Row],[I_2]]*Table1[[#This Row],[t3_Ph_III]])</f>
        <v>12.059607153427589</v>
      </c>
      <c r="T82" s="354">
        <f>MIN(1,CHOOSE(Table1[[#This Row],[Mode Digit]],(Vout+(Rdson2+Rs+Rdcr)*Table1[[#This Row],[Iout]])/(Table1[[#This Row],[Vin]]+(Rs+Rdson2-Rdson1)*Table1[[#This Row],[Iout]]),1,Fsw*Table1[[#This Row],[t2_Ph_I]]+Table1[[#This Row],[t1_Ph_II]]))</f>
        <v>0.48760330578512395</v>
      </c>
      <c r="U82" s="354">
        <f>MIN(1,CHOOSE(Table1[[#This Row],[Mode Digit]],0,(Vout+(Rdson3+Rdcr)*Table1[[#This Row],[Iin]]-Table1[[#This Row],[Vin]])/(Vout+(Rdson3-Rdson4-Rs)*Table1[[#This Row],[Iin]]),Fsw*Table1[[#This Row],[t1_Ph_II]]+Table1[[#This Row],[t3_Ph_III]]))</f>
        <v>0</v>
      </c>
      <c r="V82" s="4">
        <f>MAX(Table1[[#This Row],[I_0]:[I_2]])-MIN(Table1[[#This Row],[I_0]:[I_1]])</f>
        <v>4.8083103764921944</v>
      </c>
      <c r="W8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12.080010515574488</v>
      </c>
      <c r="X82" s="354">
        <f>(Table1[[#This Row],[Irms Lf]]^2*Rdcr*(1+Ltc*Ta-Ltc*25))/(1-Table1[[#This Row],[Irms Lf]]^2*Rdcr*Ltc*ThetaCa)</f>
        <v>0.90784473072318472</v>
      </c>
      <c r="Y82" s="354">
        <f>ABS(7.759*10^-3*Fsw^0.9458*(0.00787*Table1[[#This Row],[Ripple Current pk-pk]])^2.304)</f>
        <v>1.1978920788572409</v>
      </c>
      <c r="Z82" s="354">
        <f>Table1[[#This Row],[DCR    Loss]]+Table1[[#This Row],[Core Loss]]</f>
        <v>2.1057368095804256</v>
      </c>
      <c r="AA82" s="4">
        <f>IF(Table1[[#This Row],[Vin]]&gt;Vout, Table1[[#This Row],[Ripple Current pk-pk]]/SQRT(12), SQRT(Table1[[#This Row],[Duty Cycle BOOST Leg]]/(1-Table1[[#This Row],[Duty Cycle BOOST Leg]]))*SQRT(Table1[[#This Row],[Iout]]^2+(Table1[[#This Row],[Ripple Current pk-pk]]^2)/12))</f>
        <v>1.3880396451075196</v>
      </c>
      <c r="AB82" s="354">
        <f>RCoutEsr*Table1[[#This Row],[Irms Cout]]^2</f>
        <v>9.6332702819510452E-3</v>
      </c>
      <c r="AC82" s="354">
        <f>Table1[[#This Row],[Cout ESR Loss]]</f>
        <v>9.6332702819510452E-3</v>
      </c>
      <c r="AD82" s="354">
        <f>IF(Table1[[#This Row],[Vin]]&gt;Vout, SQRT(Table1[[#This Row],[Duty Cycle BUCK Leg]]*(1-Table1[[#This Row],[Duty Cycle BUCK Leg]]))*SQRT(Table1[[#This Row],[Iout]]^2+(Table1[[#This Row],[Ripple Current pk-pk]]^2)/12), Table1[[#This Row],[Ripple Current pk-pk]]/SQRT(12))</f>
        <v>6.0381485402189918</v>
      </c>
      <c r="AE82" s="354">
        <f>RCinEsr*Table1[[#This Row],[Irms Cin]]^2</f>
        <v>7.2918475587497478E-2</v>
      </c>
      <c r="AF82" s="549">
        <f>Table1[[#This Row],[Cin ESR Loss]]</f>
        <v>7.2918475587497478E-2</v>
      </c>
      <c r="AG8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8.4353019459920962</v>
      </c>
      <c r="AH82" s="354">
        <f>Rdson1*Table1[[#This Row],[Irms BuCtrl]]^2</f>
        <v>0.29884813946424382</v>
      </c>
      <c r="AI82" s="354">
        <f>CHOOSE(Table1[[#This Row],[Mode Digit]], (Table1[[#This Row],[Vin]]*Table1[[#This Row],[Iout]]/2)*(Fsw)*(Tr_buck+Tf_buck), 0, (Table1[[#This Row],[Vin]]*Table1[[#This Row],[Avg IL]]/2)*(Fsw/1)*(Tr_buck+Tf_buck))</f>
        <v>3.5960713081430598</v>
      </c>
      <c r="AJ82">
        <f>IF(Table1[[#This Row],[Vin]]&gt;Vout, IF(Table1[[#This Row],[Iout]]&gt;Table1[[#This Row],[Ripple Current pk-pk]]/2,0,ABS(Table1[[#This Row],[Iout]]-Table1[[#This Row],[Ripple Current pk-pk]]/2)*Vsd_Q1*Deadtime*Fsw),0)</f>
        <v>0</v>
      </c>
      <c r="AK82" s="354">
        <f>(Table1[[#This Row],[Dead Time Loss BuCtrl]]+Table1[[#This Row],[Transition Loss BuCtrl]]+Table1[[#This Row],[RDS(on) Loss BuCtrl]]*(1+RdsonTopTc*Ta-RdsonTopTc*25))/(1-Table1[[#This Row],[RDS(on) Loss BuCtrl]]*RdsonTopTc*ThetaJA_Q1)</f>
        <v>4.1958615476810754</v>
      </c>
      <c r="AL82" s="354">
        <f>CHOOSE(Table1[[#This Row],[Mode Digit]],SQRT((Fsw*(Table1[[#This Row],[t2_Ph_I]]+0))*((Table1[[#This Row],[I_0]]*Table1[[#This Row],[I_1]]+((Table1[[#This Row],[I_0]]-Table1[[#This Row],[I_1]])^2)/3))),0,SQRT((Fsw*(Table1[[#This Row],[t3_Ph_III]]+0))*((Table1[[#This Row],[I_0]]*Table1[[#This Row],[I_2]]+((Table1[[#This Row],[I_0]]-Table1[[#This Row],[I_2]])^2)/3))))</f>
        <v>8.6470998107071804</v>
      </c>
      <c r="AM82" s="354">
        <f>Rdson2*Table1[[#This Row],[Irms BuSync]]^2</f>
        <v>0.31404380757259509</v>
      </c>
      <c r="AN8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82" s="354">
        <f>(Table1[[#This Row],[Deadtime Loss BuSync]]+Table1[[#This Row],[RDS(on) Loss BuSync]]*(1+RdsonBotTc*Ta-RdsonBotTc*25))/(1-Table1[[#This Row],[RDS(on) Loss BuSync]]*RdsonBotTc*ThetaJA_Q2)</f>
        <v>0.96407831403291944</v>
      </c>
      <c r="AP82" s="354">
        <f>CHOOSE(Table1[[#This Row],[Mode Digit]],0,SQRT((Fsw*(Table1[[#This Row],[t1_Ph_II]]+0))*((Table1[[#This Row],[I_0]]*Table1[[#This Row],[I_1]]+((Table1[[#This Row],[I_0]]-Table1[[#This Row],[I_1]])^2)/3))),SQRT((Fsw*(Table1[[#This Row],[t2_Ph_I]]+0))*((Table1[[#This Row],[I_1]]*Table1[[#This Row],[I_2]]+((Table1[[#This Row],[I_1]]-Table1[[#This Row],[I_2]])^2)/3))))</f>
        <v>0</v>
      </c>
      <c r="AQ82" s="354">
        <f>Rdson4*Table1[[#This Row],[Irms BoCtlr]]^2</f>
        <v>0</v>
      </c>
      <c r="AR82" s="354">
        <f>CHOOSE(Table1[[#This Row],[Mode Digit]], 0, (Vout*Table1[[#This Row],[Iin]]/2)*(Fsw)*(Tr_boost+Tf_boost), (Vout*Iout/2)*(Fsw/1)*(Tr_boost+Tf_boost))</f>
        <v>0</v>
      </c>
      <c r="AS82">
        <f>IF(Table1[[#This Row],[Vin]]&gt;Vout, 0, IF(Table1[[#This Row],[Iin]]&gt;Table1[[#This Row],[Ripple Current pk-pk]]/2,0,ABS(Table1[[#This Row],[Iin]]-Table1[[#This Row],[Ripple Current pk-pk]]/2)*Vsd_Q4*Deadtime*Fsw))</f>
        <v>0</v>
      </c>
      <c r="AT82" s="354">
        <f>(Table1[[#This Row],[Dead Time Loss BoCtlr]]+Table1[[#This Row],[Transition Loss BoCtlr]]+Table1[[#This Row],[RDS(on) Loss BoCtlr]]*(1+RdsonTopTc*Ta-RdsonTopTc*25))/(1-Table1[[#This Row],[RDS(on) Loss BoCtlr]]*RdsonTopTc*ThetaJA_Q4)</f>
        <v>0</v>
      </c>
      <c r="AU8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12.080010515574488</v>
      </c>
      <c r="AV82" s="354">
        <f>Rdson3*Table1[[#This Row],[Irms BoSync]]^2</f>
        <v>0.61289194703683891</v>
      </c>
      <c r="AW8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82" s="354">
        <f>(Table1[[#This Row],[Deadtime Loss BoSync]]+Table1[[#This Row],[RDS(on) Loss BoSync]]*(1+RdsonBotTc*Ta-RdsonBotTc*25))/(1-Table1[[#This Row],[RDS(on) Loss BoSync]]*RdsonBotTc*ThetaJA_Q3)</f>
        <v>0.71859266483071604</v>
      </c>
      <c r="AY82" s="354">
        <f>CHOOSE(Table1[[#This Row],[Mode Digit]], Rdson3*Table1[[#This Row],[Irms Lf]]^2, Rdson1*Table1[[#This Row],[Irms Lf]]^2, 0)</f>
        <v>0.61289194703683891</v>
      </c>
      <c r="AZ82" s="354">
        <f>CHOOSE(Table1[[#This Row],[Mode Digit]], 2*Deadtime*Fsw*IF(VfdSky_Q2&gt;0,VfdSky_Q2,0)*Table1[[#This Row],[Iout]], 2*Deadtime*Fsw*IF(VfdSky_Q3&gt;0,VfdSky_Q3,0)*Table1[[#This Row],[Iin]], 2*Deadtime*Fsw*IF(VfdSky_Q2&gt;0,VfdSky_Q2,0)*Table1[[#This Row],[Iout]]+2*Deadtime*Fsw*IF(VfdSky_Q3&gt;0,VfdSky_Q3,0)*Table1[[#This Row],[Iin]])</f>
        <v>0</v>
      </c>
      <c r="BA82" s="354">
        <f>CHOOSE(Table1[[#This Row],[Mode Digit]], IF(QrrSky_Q2&gt;0,QrrSky_Q2,Qrr_Q2)*Fsw*(Table1[[#This Row],[Vin]]-Table1[[#This Row],[Iout]]*Rdson1),0,  IF(QrrSky_Q2&gt;0,QrrSky_Q2,Qrr_Q2)*Fsw*(Table1[[#This Row],[Vin]]-Table1[[#This Row],[Iout]]*Rdson1)+IF(QrrSky_Q3&gt;0,QrrSky_Q3,Qrr_Q3)*Fsw*Vout)</f>
        <v>0.3620352</v>
      </c>
      <c r="BB82" s="354">
        <f>CHOOSE(Table1[[#This Row],[Mode Digit]],0, IF(QrrSky_Q3&gt;0,QrrSky_Q3,Qrr_Q3)*Fsw*Vout,  IF(QrrSky_Q2&gt;0,QrrSky_Q2,Qrr_Q2)*Fsw*(Table1[[#This Row],[Vin]]-Table1[[#This Row],[Iout]]*Rdson1)+IF(QrrSky_Q3&gt;0,QrrSky_Q3,Qrr_Q3)*Fsw*Vout)</f>
        <v>0</v>
      </c>
      <c r="BC82" s="354">
        <f>CHOOSE(Table1[[#This Row],[Mode Digit]], Rs*Table1[[#This Row],[Irms BuSync]]^2, Rs*Table1[[#This Row],[Irms BoCtlr]]^2, Rs*(Table1[[#This Row],[Irms BuSync]]^2+Table1[[#This Row],[Irms BoCtlr]]^2))</f>
        <v>0.18693083784083039</v>
      </c>
      <c r="BD82" s="354">
        <f t="shared" si="5"/>
        <v>1.44</v>
      </c>
      <c r="BE82" s="354">
        <f>IF(Vout&gt;8, Iq*Vout, Iq*Table1[[#This Row],[Vin]])</f>
        <v>4.3799999999999999E-2</v>
      </c>
      <c r="BF82" s="354">
        <f>CHOOSE(Table1[[#This Row],[Mode Digit]], (Qg_Q1+Qg_Q2)*Fsw, (Qg_Q3+Qg_Q4)*Fsw, (Qg_Q1+Qg_Q2+Qg_Q3+Qg_Q4)*Fsw)*IF(Vout&gt;8, Vout, Table1[[#This Row],[Vin]])</f>
        <v>0.47303999999999996</v>
      </c>
      <c r="BG82" s="354">
        <f t="shared" si="6"/>
        <v>0.45605042016806729</v>
      </c>
      <c r="BH82" s="354">
        <f>Table1[[#This Row],[IQ Loss]]+Table1[[#This Row],[Switching Current Loss]]</f>
        <v>0.51683999999999997</v>
      </c>
      <c r="BI8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10.572627119835413</v>
      </c>
      <c r="BJ82">
        <f>Vout*Table1[[#This Row],[Iout]]</f>
        <v>175.2</v>
      </c>
      <c r="BK82" s="550">
        <f>Table1[[#This Row],[Pout]]/(Table1[[#This Row],[Pout]]+Table1[[#This Row],[Total Loss]])</f>
        <v>0.94308834792428609</v>
      </c>
      <c r="BL8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251.75169286086452</v>
      </c>
      <c r="BM82" s="559">
        <f>IF(Table1[[#This Row],[Vin]]&gt;Vout, Table1[[#This Row],[Total Sync Bu MOSFET Loss]]*ThetaJA_Q2, ThetaJA_Q3*Table1[[#This Row],[Total Sync Bo MOSFET Loss]])</f>
        <v>57.844698841975166</v>
      </c>
      <c r="BN82" s="9"/>
      <c r="BO82" s="4">
        <f>Table1[[#This Row],[EFF, h]]*100</f>
        <v>94.308834792428613</v>
      </c>
      <c r="BP82" s="354">
        <f>Table1[[#This Row],[Total Inductor Loss]]</f>
        <v>2.1057368095804256</v>
      </c>
      <c r="BQ82" s="354">
        <f>Table1[[#This Row],[Total Control Bu MOSFET Loss]]+Table1[[#This Row],[Total Sync Bu MOSFET Loss]]+Table1[[#This Row],[Total Control Bo MOSFET Loss]]+Table1[[#This Row],[Total Sync Bo MOSFET Loss]]+Table1[[#This Row],[Reverse Recovery Loss MOSFET D BUCK]]+Table1[[#This Row],[Reverse Recovery Loss MOSFET D BOOST]]</f>
        <v>6.240567726544711</v>
      </c>
      <c r="BR82" s="354">
        <f>Table1[[#This Row],[Total Control Bu MOSFET Loss]]+Table1[[#This Row],[Reverse Recovery Loss MOSFET D BUCK]]*0.66</f>
        <v>4.434804779681075</v>
      </c>
      <c r="BS82" s="354">
        <f>Table1[[#This Row],[Total Sync Bu MOSFET Loss]]+Table1[[#This Row],[Reverse Recovery Loss MOSFET D BUCK]]*0.33</f>
        <v>1.0835499300329194</v>
      </c>
      <c r="BT82" s="354">
        <f xml:space="preserve"> Table1[[#This Row],[Total Control Bo MOSFET Loss]]+Table1[[#This Row],[Reverse Recovery Loss MOSFET D BOOST]]*0.66</f>
        <v>0</v>
      </c>
      <c r="BU82" s="354">
        <f xml:space="preserve"> Table1[[#This Row],[Total Sync Bo MOSFET Loss]]+Table1[[#This Row],[Reverse Recovery Loss MOSFET D BOOST]]*0.33</f>
        <v>0.71859266483071604</v>
      </c>
      <c r="BV82" s="354">
        <f>Table1[[#This Row],[Isense Shunt Loss]]</f>
        <v>0.18693083784083039</v>
      </c>
      <c r="CB82" s="18"/>
      <c r="CC82" s="19"/>
    </row>
    <row r="83" spans="1:81" x14ac:dyDescent="0.2">
      <c r="A83" s="2"/>
      <c r="G83">
        <v>74</v>
      </c>
      <c r="H83" s="555">
        <f>VIN_min+(VIN_max-VIN_min)*(Table1[[#This Row],[Step]]/200)</f>
        <v>30.36</v>
      </c>
      <c r="I83" s="4" t="str">
        <f>IF(Mode = 2,IF(Table1[[#This Row],[Vin]]&gt;Vout, "BUCK","BOOST"),IF(Table1[[#This Row],[Vin]]&gt;VIN_BB_to_buck, "BUCK", IF(Table1[[#This Row],[Vin]]&lt;=VIN_boost_to_BB,"BOOST","BUCK-BST")))</f>
        <v>BUCK</v>
      </c>
      <c r="J83">
        <f>IF(Table1[[#This Row],[Mode]]="BOOST",2, IF(Table1[[#This Row],[Mode]]="BUCK", 1,3))</f>
        <v>1</v>
      </c>
      <c r="K83">
        <f t="shared" si="4"/>
        <v>12</v>
      </c>
      <c r="L83" s="4">
        <f>Vout*Table1[[#This Row],[Iout]]/(Table1[[#This Row],[Vin]]*Efficiency)</f>
        <v>6.0744747243603081</v>
      </c>
      <c r="M83" s="711">
        <f>MIN(1/Fsw,CHOOSE(Table1[[#This Row],[Mode Digit]],(Vout+(Rdson2+Rs+Rdcr)*Table1[[#This Row],[Iout]])/(Table1[[#This Row],[Vin]]+(Rs+Rdson2-Rdson1)*Table1[[#This Row],[Iout]])/Fsw,(Vout+(Rdson3+Rdcr)*Table1[[#This Row],[Iin]]-Table1[[#This Row],[Vin]])/(Vout+(Rdson3-Rdson4-Rs)*Table1[[#This Row],[Iin]])/Fsw,t1_Ph_II))</f>
        <v>8.089283755621366E-7</v>
      </c>
      <c r="N83" s="602">
        <f>CHOOSE(Table1[[#This Row],[Mode Digit]],1/Fsw-Table1[[#This Row],[t1_Ph_II]],1/Fsw-Table1[[#This Row],[t1_Ph_II]],(Vout/Fsw-Table1[[#This Row],[Vin]]*t1_Ph_II)/(Table1[[#This Row],[Vin]]+Vout))</f>
        <v>8.5773829110453006E-7</v>
      </c>
      <c r="O83" s="602">
        <f>1/Fsw-(Table1[[#This Row],[t1_Ph_II]]+Table1[[#This Row],[t2_Ph_I]])</f>
        <v>0</v>
      </c>
      <c r="P8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9.5854713638524096</v>
      </c>
      <c r="Q83" s="4">
        <f>CHOOSE(Table1[[#This Row],[Mode Digit]],Table1[[#This Row],[I_0]]+1/Lf*(Table1[[#This Row],[Vin]]-Vout)*Table1[[#This Row],[t1_Ph_II]],Table1[[#This Row],[I_0]]+1/Lf*Table1[[#This Row],[Vin]]*Table1[[#This Row],[t1_Ph_II]],Table1[[#This Row],[I_0]]+(Table1[[#This Row],[Vin]]-Vout)/L*Table1[[#This Row],[t1_Ph_II]])</f>
        <v>14.414528636147589</v>
      </c>
      <c r="R83" s="4">
        <f>CHOOSE(Table1[[#This Row],[Mode Digit]],0,0,Table1[[#This Row],[I_1]]+Table1[[#This Row],[Vin]]/L*Table1[[#This Row],[t2_Ph_I]])</f>
        <v>0</v>
      </c>
      <c r="S83" s="4">
        <f>Fsw*(Table1[[#This Row],[I_0]]*Table1[[#This Row],[t1_Ph_II]]+Table1[[#This Row],[I_1]]*Table1[[#This Row],[t2_Ph_I]]+Table1[[#This Row],[I_2]]*Table1[[#This Row],[t3_Ph_III]])</f>
        <v>12.070711763283031</v>
      </c>
      <c r="T83" s="354">
        <f>MIN(1,CHOOSE(Table1[[#This Row],[Mode Digit]],(Vout+(Rdson2+Rs+Rdcr)*Table1[[#This Row],[Iout]])/(Table1[[#This Row],[Vin]]+(Rs+Rdson2-Rdson1)*Table1[[#This Row],[Iout]]),1,Fsw*Table1[[#This Row],[t2_Ph_I]]+Table1[[#This Row],[t1_Ph_II]]))</f>
        <v>0.48535702533728198</v>
      </c>
      <c r="U83" s="354">
        <f>MIN(1,CHOOSE(Table1[[#This Row],[Mode Digit]],0,(Vout+(Rdson3+Rdcr)*Table1[[#This Row],[Iin]]-Table1[[#This Row],[Vin]])/(Vout+(Rdson3-Rdson4-Rs)*Table1[[#This Row],[Iin]]),Fsw*Table1[[#This Row],[t1_Ph_II]]+Table1[[#This Row],[t3_Ph_III]]))</f>
        <v>0</v>
      </c>
      <c r="V83" s="4">
        <f>MAX(Table1[[#This Row],[I_0]:[I_2]])-MIN(Table1[[#This Row],[I_0]:[I_1]])</f>
        <v>4.829057272295179</v>
      </c>
      <c r="W8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12.080700152650875</v>
      </c>
      <c r="X83" s="354">
        <f>(Table1[[#This Row],[Irms Lf]]^2*Rdcr*(1+Ltc*Ta-Ltc*25))/(1-Table1[[#This Row],[Irms Lf]]^2*Rdcr*Ltc*ThetaCa)</f>
        <v>0.90795591920993557</v>
      </c>
      <c r="Y83" s="354">
        <f>ABS(7.759*10^-3*Fsw^0.9458*(0.00787*Table1[[#This Row],[Ripple Current pk-pk]])^2.304)</f>
        <v>1.2098341978893403</v>
      </c>
      <c r="Z83" s="354">
        <f>Table1[[#This Row],[DCR    Loss]]+Table1[[#This Row],[Core Loss]]</f>
        <v>2.1177901170992759</v>
      </c>
      <c r="AA83" s="4">
        <f>IF(Table1[[#This Row],[Vin]]&gt;Vout, Table1[[#This Row],[Ripple Current pk-pk]]/SQRT(12), SQRT(Table1[[#This Row],[Duty Cycle BOOST Leg]]/(1-Table1[[#This Row],[Duty Cycle BOOST Leg]]))*SQRT(Table1[[#This Row],[Iout]]^2+(Table1[[#This Row],[Ripple Current pk-pk]]^2)/12))</f>
        <v>1.3940287580458708</v>
      </c>
      <c r="AB83" s="354">
        <f>RCoutEsr*Table1[[#This Row],[Irms Cout]]^2</f>
        <v>9.7165808912945649E-3</v>
      </c>
      <c r="AC83" s="354">
        <f>Table1[[#This Row],[Cout ESR Loss]]</f>
        <v>9.7165808912945649E-3</v>
      </c>
      <c r="AD83" s="354">
        <f>IF(Table1[[#This Row],[Vin]]&gt;Vout, SQRT(Table1[[#This Row],[Duty Cycle BUCK Leg]]*(1-Table1[[#This Row],[Duty Cycle BUCK Leg]]))*SQRT(Table1[[#This Row],[Iout]]^2+(Table1[[#This Row],[Ripple Current pk-pk]]^2)/12), Table1[[#This Row],[Ripple Current pk-pk]]/SQRT(12))</f>
        <v>6.0377592167380332</v>
      </c>
      <c r="AE83" s="354">
        <f>RCinEsr*Table1[[#This Row],[Irms Cin]]^2</f>
        <v>7.2909072718610135E-2</v>
      </c>
      <c r="AF83" s="549">
        <f>Table1[[#This Row],[Cin ESR Loss]]</f>
        <v>7.2909072718610135E-2</v>
      </c>
      <c r="AG8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8.4163301864968538</v>
      </c>
      <c r="AH83" s="354">
        <f>Rdson1*Table1[[#This Row],[Irms BuCtrl]]^2</f>
        <v>0.29750537799418036</v>
      </c>
      <c r="AI83" s="354">
        <f>CHOOSE(Table1[[#This Row],[Mode Digit]], (Table1[[#This Row],[Vin]]*Table1[[#This Row],[Iout]]/2)*(Fsw)*(Tr_buck+Tf_buck), 0, (Table1[[#This Row],[Vin]]*Table1[[#This Row],[Avg IL]]/2)*(Fsw/1)*(Tr_buck+Tf_buck))</f>
        <v>3.6127308046069921</v>
      </c>
      <c r="AJ83">
        <f>IF(Table1[[#This Row],[Vin]]&gt;Vout, IF(Table1[[#This Row],[Iout]]&gt;Table1[[#This Row],[Ripple Current pk-pk]]/2,0,ABS(Table1[[#This Row],[Iout]]-Table1[[#This Row],[Ripple Current pk-pk]]/2)*Vsd_Q1*Deadtime*Fsw),0)</f>
        <v>0</v>
      </c>
      <c r="AK83" s="354">
        <f>(Table1[[#This Row],[Dead Time Loss BuCtrl]]+Table1[[#This Row],[Transition Loss BuCtrl]]+Table1[[#This Row],[RDS(on) Loss BuCtrl]]*(1+RdsonTopTc*Ta-RdsonTopTc*25))/(1-Table1[[#This Row],[RDS(on) Loss BuCtrl]]*RdsonTopTc*ThetaJA_Q1)</f>
        <v>4.2108998682834038</v>
      </c>
      <c r="AL83" s="354">
        <f>CHOOSE(Table1[[#This Row],[Mode Digit]],SQRT((Fsw*(Table1[[#This Row],[t2_Ph_I]]+0))*((Table1[[#This Row],[I_0]]*Table1[[#This Row],[I_1]]+((Table1[[#This Row],[I_0]]-Table1[[#This Row],[I_1]])^2)/3))),0,SQRT((Fsw*(Table1[[#This Row],[t3_Ph_III]]+0))*((Table1[[#This Row],[I_0]]*Table1[[#This Row],[I_2]]+((Table1[[#This Row],[I_0]]-Table1[[#This Row],[I_2]])^2)/3))))</f>
        <v>8.6665276997261564</v>
      </c>
      <c r="AM83" s="354">
        <f>Rdson2*Table1[[#This Row],[Irms BuSync]]^2</f>
        <v>0.31545654995450717</v>
      </c>
      <c r="AN8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83" s="354">
        <f>(Table1[[#This Row],[Deadtime Loss BuSync]]+Table1[[#This Row],[RDS(on) Loss BuSync]]*(1+RdsonBotTc*Ta-RdsonBotTc*25))/(1-Table1[[#This Row],[RDS(on) Loss BuSync]]*RdsonBotTc*ThetaJA_Q2)</f>
        <v>0.96596042917734182</v>
      </c>
      <c r="AP83" s="354">
        <f>CHOOSE(Table1[[#This Row],[Mode Digit]],0,SQRT((Fsw*(Table1[[#This Row],[t1_Ph_II]]+0))*((Table1[[#This Row],[I_0]]*Table1[[#This Row],[I_1]]+((Table1[[#This Row],[I_0]]-Table1[[#This Row],[I_1]])^2)/3))),SQRT((Fsw*(Table1[[#This Row],[t2_Ph_I]]+0))*((Table1[[#This Row],[I_1]]*Table1[[#This Row],[I_2]]+((Table1[[#This Row],[I_1]]-Table1[[#This Row],[I_2]])^2)/3))))</f>
        <v>0</v>
      </c>
      <c r="AQ83" s="354">
        <f>Rdson4*Table1[[#This Row],[Irms BoCtlr]]^2</f>
        <v>0</v>
      </c>
      <c r="AR83" s="354">
        <f>CHOOSE(Table1[[#This Row],[Mode Digit]], 0, (Vout*Table1[[#This Row],[Iin]]/2)*(Fsw)*(Tr_boost+Tf_boost), (Vout*Iout/2)*(Fsw/1)*(Tr_boost+Tf_boost))</f>
        <v>0</v>
      </c>
      <c r="AS83">
        <f>IF(Table1[[#This Row],[Vin]]&gt;Vout, 0, IF(Table1[[#This Row],[Iin]]&gt;Table1[[#This Row],[Ripple Current pk-pk]]/2,0,ABS(Table1[[#This Row],[Iin]]-Table1[[#This Row],[Ripple Current pk-pk]]/2)*Vsd_Q4*Deadtime*Fsw))</f>
        <v>0</v>
      </c>
      <c r="AT83" s="354">
        <f>(Table1[[#This Row],[Dead Time Loss BoCtlr]]+Table1[[#This Row],[Transition Loss BoCtlr]]+Table1[[#This Row],[RDS(on) Loss BoCtlr]]*(1+RdsonTopTc*Ta-RdsonTopTc*25))/(1-Table1[[#This Row],[RDS(on) Loss BoCtlr]]*RdsonTopTc*ThetaJA_Q4)</f>
        <v>0</v>
      </c>
      <c r="AU8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12.080700152650875</v>
      </c>
      <c r="AV83" s="354">
        <f>Rdson3*Table1[[#This Row],[Irms BoSync]]^2</f>
        <v>0.61296192794868731</v>
      </c>
      <c r="AW8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83" s="354">
        <f>(Table1[[#This Row],[Deadtime Loss BoSync]]+Table1[[#This Row],[RDS(on) Loss BoSync]]*(1+RdsonBotTc*Ta-RdsonBotTc*25))/(1-Table1[[#This Row],[RDS(on) Loss BoSync]]*RdsonBotTc*ThetaJA_Q3)</f>
        <v>0.71868886722449099</v>
      </c>
      <c r="AY83" s="354">
        <f>CHOOSE(Table1[[#This Row],[Mode Digit]], Rdson3*Table1[[#This Row],[Irms Lf]]^2, Rdson1*Table1[[#This Row],[Irms Lf]]^2, 0)</f>
        <v>0.61296192794868731</v>
      </c>
      <c r="AZ83" s="354">
        <f>CHOOSE(Table1[[#This Row],[Mode Digit]], 2*Deadtime*Fsw*IF(VfdSky_Q2&gt;0,VfdSky_Q2,0)*Table1[[#This Row],[Iout]], 2*Deadtime*Fsw*IF(VfdSky_Q3&gt;0,VfdSky_Q3,0)*Table1[[#This Row],[Iin]], 2*Deadtime*Fsw*IF(VfdSky_Q2&gt;0,VfdSky_Q2,0)*Table1[[#This Row],[Iout]]+2*Deadtime*Fsw*IF(VfdSky_Q3&gt;0,VfdSky_Q3,0)*Table1[[#This Row],[Iin]])</f>
        <v>0</v>
      </c>
      <c r="BA83" s="354">
        <f>CHOOSE(Table1[[#This Row],[Mode Digit]], IF(QrrSky_Q2&gt;0,QrrSky_Q2,Qrr_Q2)*Fsw*(Table1[[#This Row],[Vin]]-Table1[[#This Row],[Iout]]*Rdson1),0,  IF(QrrSky_Q2&gt;0,QrrSky_Q2,Qrr_Q2)*Fsw*(Table1[[#This Row],[Vin]]-Table1[[#This Row],[Iout]]*Rdson1)+IF(QrrSky_Q3&gt;0,QrrSky_Q3,Qrr_Q3)*Fsw*Vout)</f>
        <v>0.36371520000000002</v>
      </c>
      <c r="BB83" s="354">
        <f>CHOOSE(Table1[[#This Row],[Mode Digit]],0, IF(QrrSky_Q3&gt;0,QrrSky_Q3,Qrr_Q3)*Fsw*Vout,  IF(QrrSky_Q2&gt;0,QrrSky_Q2,Qrr_Q2)*Fsw*(Table1[[#This Row],[Vin]]-Table1[[#This Row],[Iout]]*Rdson1)+IF(QrrSky_Q3&gt;0,QrrSky_Q3,Qrr_Q3)*Fsw*Vout)</f>
        <v>0</v>
      </c>
      <c r="BC83" s="354">
        <f>CHOOSE(Table1[[#This Row],[Mode Digit]], Rs*Table1[[#This Row],[Irms BuSync]]^2, Rs*Table1[[#This Row],[Irms BoCtlr]]^2, Rs*(Table1[[#This Row],[Irms BuSync]]^2+Table1[[#This Row],[Irms BoCtlr]]^2))</f>
        <v>0.18777175592530185</v>
      </c>
      <c r="BD83" s="354">
        <f t="shared" si="5"/>
        <v>1.44</v>
      </c>
      <c r="BE83" s="354">
        <f>IF(Vout&gt;8, Iq*Vout, Iq*Table1[[#This Row],[Vin]])</f>
        <v>4.3799999999999999E-2</v>
      </c>
      <c r="BF83" s="354">
        <f>CHOOSE(Table1[[#This Row],[Mode Digit]], (Qg_Q1+Qg_Q2)*Fsw, (Qg_Q3+Qg_Q4)*Fsw, (Qg_Q1+Qg_Q2+Qg_Q3+Qg_Q4)*Fsw)*IF(Vout&gt;8, Vout, Table1[[#This Row],[Vin]])</f>
        <v>0.47303999999999996</v>
      </c>
      <c r="BG83" s="354">
        <f t="shared" si="6"/>
        <v>0.45605042016806729</v>
      </c>
      <c r="BH83" s="354">
        <f>Table1[[#This Row],[IQ Loss]]+Table1[[#This Row],[Switching Current Loss]]</f>
        <v>0.51683999999999997</v>
      </c>
      <c r="BI8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10.604291891319718</v>
      </c>
      <c r="BJ83">
        <f>Vout*Table1[[#This Row],[Iout]]</f>
        <v>175.2</v>
      </c>
      <c r="BK83" s="550">
        <f>Table1[[#This Row],[Pout]]/(Table1[[#This Row],[Pout]]+Table1[[#This Row],[Total Loss]])</f>
        <v>0.94292762678742448</v>
      </c>
      <c r="BL8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252.65399209700422</v>
      </c>
      <c r="BM83" s="559">
        <f>IF(Table1[[#This Row],[Vin]]&gt;Vout, Table1[[#This Row],[Total Sync Bu MOSFET Loss]]*ThetaJA_Q2, ThetaJA_Q3*Table1[[#This Row],[Total Sync Bo MOSFET Loss]])</f>
        <v>57.95762575064051</v>
      </c>
      <c r="BN83" s="9"/>
      <c r="BO83" s="4">
        <f>Table1[[#This Row],[EFF, h]]*100</f>
        <v>94.292762678742449</v>
      </c>
      <c r="BP83" s="354">
        <f>Table1[[#This Row],[Total Inductor Loss]]</f>
        <v>2.1177901170992759</v>
      </c>
      <c r="BQ83" s="354">
        <f>Table1[[#This Row],[Total Control Bu MOSFET Loss]]+Table1[[#This Row],[Total Sync Bu MOSFET Loss]]+Table1[[#This Row],[Total Control Bo MOSFET Loss]]+Table1[[#This Row],[Total Sync Bo MOSFET Loss]]+Table1[[#This Row],[Reverse Recovery Loss MOSFET D BUCK]]+Table1[[#This Row],[Reverse Recovery Loss MOSFET D BOOST]]</f>
        <v>6.2592643646852357</v>
      </c>
      <c r="BR83" s="354">
        <f>Table1[[#This Row],[Total Control Bu MOSFET Loss]]+Table1[[#This Row],[Reverse Recovery Loss MOSFET D BUCK]]*0.66</f>
        <v>4.4509519002834042</v>
      </c>
      <c r="BS83" s="354">
        <f>Table1[[#This Row],[Total Sync Bu MOSFET Loss]]+Table1[[#This Row],[Reverse Recovery Loss MOSFET D BUCK]]*0.33</f>
        <v>1.0859864451773418</v>
      </c>
      <c r="BT83" s="354">
        <f xml:space="preserve"> Table1[[#This Row],[Total Control Bo MOSFET Loss]]+Table1[[#This Row],[Reverse Recovery Loss MOSFET D BOOST]]*0.66</f>
        <v>0</v>
      </c>
      <c r="BU83" s="354">
        <f xml:space="preserve"> Table1[[#This Row],[Total Sync Bo MOSFET Loss]]+Table1[[#This Row],[Reverse Recovery Loss MOSFET D BOOST]]*0.33</f>
        <v>0.71868886722449099</v>
      </c>
      <c r="BV83" s="354">
        <f>Table1[[#This Row],[Isense Shunt Loss]]</f>
        <v>0.18777175592530185</v>
      </c>
      <c r="CB83" s="18"/>
      <c r="CC83" s="19"/>
    </row>
    <row r="84" spans="1:81" x14ac:dyDescent="0.2">
      <c r="G84">
        <v>75</v>
      </c>
      <c r="H84" s="555">
        <f>VIN_min+(VIN_max-VIN_min)*(Table1[[#This Row],[Step]]/200)</f>
        <v>30.5</v>
      </c>
      <c r="I84" s="4" t="str">
        <f>IF(Mode = 2,IF(Table1[[#This Row],[Vin]]&gt;Vout, "BUCK","BOOST"),IF(Table1[[#This Row],[Vin]]&gt;VIN_BB_to_buck, "BUCK", IF(Table1[[#This Row],[Vin]]&lt;=VIN_boost_to_BB,"BOOST","BUCK-BST")))</f>
        <v>BUCK</v>
      </c>
      <c r="J84">
        <f>IF(Table1[[#This Row],[Mode]]="BOOST",2, IF(Table1[[#This Row],[Mode]]="BUCK", 1,3))</f>
        <v>1</v>
      </c>
      <c r="K84">
        <f t="shared" si="4"/>
        <v>12</v>
      </c>
      <c r="L84" s="4">
        <f>Vout*Table1[[#This Row],[Iout]]/(Table1[[#This Row],[Vin]]*Efficiency)</f>
        <v>6.0465918895599655</v>
      </c>
      <c r="M84" s="711">
        <f>MIN(1/Fsw,CHOOSE(Table1[[#This Row],[Mode Digit]],(Vout+(Rdson2+Rs+Rdcr)*Table1[[#This Row],[Iout]])/(Table1[[#This Row],[Vin]]+(Rs+Rdson2-Rdson1)*Table1[[#This Row],[Iout]])/Fsw,(Vout+(Rdson3+Rdcr)*Table1[[#This Row],[Iin]]-Table1[[#This Row],[Vin]])/(Vout+(Rdson3-Rdson4-Rs)*Table1[[#This Row],[Iin]])/Fsw,t1_Ph_II))</f>
        <v>8.0521891036139319E-7</v>
      </c>
      <c r="N84" s="602">
        <f>CHOOSE(Table1[[#This Row],[Mode Digit]],1/Fsw-Table1[[#This Row],[t1_Ph_II]],1/Fsw-Table1[[#This Row],[t1_Ph_II]],(Vout/Fsw-Table1[[#This Row],[Vin]]*t1_Ph_II)/(Table1[[#This Row],[Vin]]+Vout))</f>
        <v>8.6144775630527347E-7</v>
      </c>
      <c r="O84" s="602">
        <f>1/Fsw-(Table1[[#This Row],[t1_Ph_II]]+Table1[[#This Row],[t2_Ph_I]])</f>
        <v>0</v>
      </c>
      <c r="P8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9.57519305402535</v>
      </c>
      <c r="Q84" s="4">
        <f>CHOOSE(Table1[[#This Row],[Mode Digit]],Table1[[#This Row],[I_0]]+1/Lf*(Table1[[#This Row],[Vin]]-Vout)*Table1[[#This Row],[t1_Ph_II]],Table1[[#This Row],[I_0]]+1/Lf*Table1[[#This Row],[Vin]]*Table1[[#This Row],[t1_Ph_II]],Table1[[#This Row],[I_0]]+(Table1[[#This Row],[Vin]]-Vout)/L*Table1[[#This Row],[t1_Ph_II]])</f>
        <v>14.42480694597465</v>
      </c>
      <c r="R84" s="4">
        <f>CHOOSE(Table1[[#This Row],[Mode Digit]],0,0,Table1[[#This Row],[I_1]]+Table1[[#This Row],[Vin]]/L*Table1[[#This Row],[t2_Ph_I]])</f>
        <v>0</v>
      </c>
      <c r="S84" s="4">
        <f>Fsw*(Table1[[#This Row],[I_0]]*Table1[[#This Row],[t1_Ph_II]]+Table1[[#This Row],[I_1]]*Table1[[#This Row],[t2_Ph_I]]+Table1[[#This Row],[I_2]]*Table1[[#This Row],[t3_Ph_III]])</f>
        <v>12.081806457725317</v>
      </c>
      <c r="T84" s="354">
        <f>MIN(1,CHOOSE(Table1[[#This Row],[Mode Digit]],(Vout+(Rdson2+Rs+Rdcr)*Table1[[#This Row],[Iout]])/(Table1[[#This Row],[Vin]]+(Rs+Rdson2-Rdson1)*Table1[[#This Row],[Iout]]),1,Fsw*Table1[[#This Row],[t2_Ph_I]]+Table1[[#This Row],[t1_Ph_II]]))</f>
        <v>0.4831313462168359</v>
      </c>
      <c r="U84" s="354">
        <f>MIN(1,CHOOSE(Table1[[#This Row],[Mode Digit]],0,(Vout+(Rdson3+Rdcr)*Table1[[#This Row],[Iin]]-Table1[[#This Row],[Vin]])/(Vout+(Rdson3-Rdson4-Rs)*Table1[[#This Row],[Iin]]),Fsw*Table1[[#This Row],[t1_Ph_II]]+Table1[[#This Row],[t3_Ph_III]]))</f>
        <v>0</v>
      </c>
      <c r="V84" s="4">
        <f>MAX(Table1[[#This Row],[I_0]:[I_2]])-MIN(Table1[[#This Row],[I_0]:[I_1]])</f>
        <v>4.8496138919492999</v>
      </c>
      <c r="W8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12.081386354295146</v>
      </c>
      <c r="X84" s="354">
        <f>(Table1[[#This Row],[Irms Lf]]^2*Rdcr*(1+Ltc*Ta-Ltc*25))/(1-Table1[[#This Row],[Irms Lf]]^2*Rdcr*Ltc*ThetaCa)</f>
        <v>0.9080665619410907</v>
      </c>
      <c r="Y84" s="354">
        <f>ABS(7.759*10^-3*Fsw^0.9458*(0.00787*Table1[[#This Row],[Ripple Current pk-pk]])^2.304)</f>
        <v>1.2217329631375229</v>
      </c>
      <c r="Z84" s="354">
        <f>Table1[[#This Row],[DCR    Loss]]+Table1[[#This Row],[Core Loss]]</f>
        <v>2.1297995250786137</v>
      </c>
      <c r="AA84" s="4">
        <f>IF(Table1[[#This Row],[Vin]]&gt;Vout, Table1[[#This Row],[Ripple Current pk-pk]]/SQRT(12), SQRT(Table1[[#This Row],[Duty Cycle BOOST Leg]]/(1-Table1[[#This Row],[Duty Cycle BOOST Leg]]))*SQRT(Table1[[#This Row],[Iout]]^2+(Table1[[#This Row],[Ripple Current pk-pk]]^2)/12))</f>
        <v>1.3999629429913385</v>
      </c>
      <c r="AB84" s="354">
        <f>RCoutEsr*Table1[[#This Row],[Irms Cout]]^2</f>
        <v>9.7994812087448483E-3</v>
      </c>
      <c r="AC84" s="354">
        <f>Table1[[#This Row],[Cout ESR Loss]]</f>
        <v>9.7994812087448483E-3</v>
      </c>
      <c r="AD84" s="354">
        <f>IF(Table1[[#This Row],[Vin]]&gt;Vout, SQRT(Table1[[#This Row],[Duty Cycle BUCK Leg]]*(1-Table1[[#This Row],[Duty Cycle BUCK Leg]]))*SQRT(Table1[[#This Row],[Iout]]^2+(Table1[[#This Row],[Ripple Current pk-pk]]^2)/12), Table1[[#This Row],[Ripple Current pk-pk]]/SQRT(12))</f>
        <v>6.0372544219930315</v>
      </c>
      <c r="AE84" s="354">
        <f>RCinEsr*Table1[[#This Row],[Irms Cin]]^2</f>
        <v>7.2896881911748826E-2</v>
      </c>
      <c r="AF84" s="549">
        <f>Table1[[#This Row],[Cin ESR Loss]]</f>
        <v>7.2896881911748826E-2</v>
      </c>
      <c r="AG8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8.3974877889131747</v>
      </c>
      <c r="AH84" s="354">
        <f>Rdson1*Table1[[#This Row],[Irms BuCtrl]]^2</f>
        <v>0.29617476489277272</v>
      </c>
      <c r="AI84" s="354">
        <f>CHOOSE(Table1[[#This Row],[Mode Digit]], (Table1[[#This Row],[Vin]]*Table1[[#This Row],[Iout]]/2)*(Fsw)*(Tr_buck+Tf_buck), 0, (Table1[[#This Row],[Vin]]*Table1[[#This Row],[Avg IL]]/2)*(Fsw/1)*(Tr_buck+Tf_buck))</f>
        <v>3.6293903010709241</v>
      </c>
      <c r="AJ84">
        <f>IF(Table1[[#This Row],[Vin]]&gt;Vout, IF(Table1[[#This Row],[Iout]]&gt;Table1[[#This Row],[Ripple Current pk-pk]]/2,0,ABS(Table1[[#This Row],[Iout]]-Table1[[#This Row],[Ripple Current pk-pk]]/2)*Vsd_Q1*Deadtime*Fsw),0)</f>
        <v>0</v>
      </c>
      <c r="AK84" s="354">
        <f>(Table1[[#This Row],[Dead Time Loss BuCtrl]]+Table1[[#This Row],[Transition Loss BuCtrl]]+Table1[[#This Row],[RDS(on) Loss BuCtrl]]*(1+RdsonTopTc*Ta-RdsonTopTc*25))/(1-Table1[[#This Row],[RDS(on) Loss BuCtrl]]*RdsonTopTc*ThetaJA_Q1)</f>
        <v>4.2259540966060865</v>
      </c>
      <c r="AL84" s="354">
        <f>CHOOSE(Table1[[#This Row],[Mode Digit]],SQRT((Fsw*(Table1[[#This Row],[t2_Ph_I]]+0))*((Table1[[#This Row],[I_0]]*Table1[[#This Row],[I_1]]+((Table1[[#This Row],[I_0]]-Table1[[#This Row],[I_1]])^2)/3))),0,SQRT((Fsw*(Table1[[#This Row],[t3_Ph_III]]+0))*((Table1[[#This Row],[I_0]]*Table1[[#This Row],[I_2]]+((Table1[[#This Row],[I_0]]-Table1[[#This Row],[I_2]])^2)/3))))</f>
        <v>8.685740905461266</v>
      </c>
      <c r="AM84" s="354">
        <f>Rdson2*Table1[[#This Row],[Irms BuSync]]^2</f>
        <v>0.31685679932257305</v>
      </c>
      <c r="AN8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84" s="354">
        <f>(Table1[[#This Row],[Deadtime Loss BuSync]]+Table1[[#This Row],[RDS(on) Loss BuSync]]*(1+RdsonBotTc*Ta-RdsonBotTc*25))/(1-Table1[[#This Row],[RDS(on) Loss BuSync]]*RdsonBotTc*ThetaJA_Q2)</f>
        <v>0.96782726366920513</v>
      </c>
      <c r="AP84" s="354">
        <f>CHOOSE(Table1[[#This Row],[Mode Digit]],0,SQRT((Fsw*(Table1[[#This Row],[t1_Ph_II]]+0))*((Table1[[#This Row],[I_0]]*Table1[[#This Row],[I_1]]+((Table1[[#This Row],[I_0]]-Table1[[#This Row],[I_1]])^2)/3))),SQRT((Fsw*(Table1[[#This Row],[t2_Ph_I]]+0))*((Table1[[#This Row],[I_1]]*Table1[[#This Row],[I_2]]+((Table1[[#This Row],[I_1]]-Table1[[#This Row],[I_2]])^2)/3))))</f>
        <v>0</v>
      </c>
      <c r="AQ84" s="354">
        <f>Rdson4*Table1[[#This Row],[Irms BoCtlr]]^2</f>
        <v>0</v>
      </c>
      <c r="AR84" s="354">
        <f>CHOOSE(Table1[[#This Row],[Mode Digit]], 0, (Vout*Table1[[#This Row],[Iin]]/2)*(Fsw)*(Tr_boost+Tf_boost), (Vout*Iout/2)*(Fsw/1)*(Tr_boost+Tf_boost))</f>
        <v>0</v>
      </c>
      <c r="AS84">
        <f>IF(Table1[[#This Row],[Vin]]&gt;Vout, 0, IF(Table1[[#This Row],[Iin]]&gt;Table1[[#This Row],[Ripple Current pk-pk]]/2,0,ABS(Table1[[#This Row],[Iin]]-Table1[[#This Row],[Ripple Current pk-pk]]/2)*Vsd_Q4*Deadtime*Fsw))</f>
        <v>0</v>
      </c>
      <c r="AT84" s="354">
        <f>(Table1[[#This Row],[Dead Time Loss BoCtlr]]+Table1[[#This Row],[Transition Loss BoCtlr]]+Table1[[#This Row],[RDS(on) Loss BoCtlr]]*(1+RdsonTopTc*Ta-RdsonTopTc*25))/(1-Table1[[#This Row],[RDS(on) Loss BoCtlr]]*RdsonTopTc*ThetaJA_Q4)</f>
        <v>0</v>
      </c>
      <c r="AU8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12.081386354295146</v>
      </c>
      <c r="AV84" s="354">
        <f>Rdson3*Table1[[#This Row],[Irms BoSync]]^2</f>
        <v>0.61303156421534577</v>
      </c>
      <c r="AW8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84" s="354">
        <f>(Table1[[#This Row],[Deadtime Loss BoSync]]+Table1[[#This Row],[RDS(on) Loss BoSync]]*(1+RdsonBotTc*Ta-RdsonBotTc*25))/(1-Table1[[#This Row],[RDS(on) Loss BoSync]]*RdsonBotTc*ThetaJA_Q3)</f>
        <v>0.71878459959736318</v>
      </c>
      <c r="AY84" s="354">
        <f>CHOOSE(Table1[[#This Row],[Mode Digit]], Rdson3*Table1[[#This Row],[Irms Lf]]^2, Rdson1*Table1[[#This Row],[Irms Lf]]^2, 0)</f>
        <v>0.61303156421534577</v>
      </c>
      <c r="AZ84" s="354">
        <f>CHOOSE(Table1[[#This Row],[Mode Digit]], 2*Deadtime*Fsw*IF(VfdSky_Q2&gt;0,VfdSky_Q2,0)*Table1[[#This Row],[Iout]], 2*Deadtime*Fsw*IF(VfdSky_Q3&gt;0,VfdSky_Q3,0)*Table1[[#This Row],[Iin]], 2*Deadtime*Fsw*IF(VfdSky_Q2&gt;0,VfdSky_Q2,0)*Table1[[#This Row],[Iout]]+2*Deadtime*Fsw*IF(VfdSky_Q3&gt;0,VfdSky_Q3,0)*Table1[[#This Row],[Iin]])</f>
        <v>0</v>
      </c>
      <c r="BA84" s="354">
        <f>CHOOSE(Table1[[#This Row],[Mode Digit]], IF(QrrSky_Q2&gt;0,QrrSky_Q2,Qrr_Q2)*Fsw*(Table1[[#This Row],[Vin]]-Table1[[#This Row],[Iout]]*Rdson1),0,  IF(QrrSky_Q2&gt;0,QrrSky_Q2,Qrr_Q2)*Fsw*(Table1[[#This Row],[Vin]]-Table1[[#This Row],[Iout]]*Rdson1)+IF(QrrSky_Q3&gt;0,QrrSky_Q3,Qrr_Q3)*Fsw*Vout)</f>
        <v>0.36539520000000003</v>
      </c>
      <c r="BB84" s="354">
        <f>CHOOSE(Table1[[#This Row],[Mode Digit]],0, IF(QrrSky_Q3&gt;0,QrrSky_Q3,Qrr_Q3)*Fsw*Vout,  IF(QrrSky_Q2&gt;0,QrrSky_Q2,Qrr_Q2)*Fsw*(Table1[[#This Row],[Vin]]-Table1[[#This Row],[Iout]]*Rdson1)+IF(QrrSky_Q3&gt;0,QrrSky_Q3,Qrr_Q3)*Fsw*Vout)</f>
        <v>0</v>
      </c>
      <c r="BC84" s="354">
        <f>CHOOSE(Table1[[#This Row],[Mode Digit]], Rs*Table1[[#This Row],[Irms BuSync]]^2, Rs*Table1[[#This Row],[Irms BoCtlr]]^2, Rs*(Table1[[#This Row],[Irms BuSync]]^2+Table1[[#This Row],[Irms BoCtlr]]^2))</f>
        <v>0.18860523769200777</v>
      </c>
      <c r="BD84" s="354">
        <f t="shared" si="5"/>
        <v>1.44</v>
      </c>
      <c r="BE84" s="354">
        <f>IF(Vout&gt;8, Iq*Vout, Iq*Table1[[#This Row],[Vin]])</f>
        <v>4.3799999999999999E-2</v>
      </c>
      <c r="BF84" s="354">
        <f>CHOOSE(Table1[[#This Row],[Mode Digit]], (Qg_Q1+Qg_Q2)*Fsw, (Qg_Q3+Qg_Q4)*Fsw, (Qg_Q1+Qg_Q2+Qg_Q3+Qg_Q4)*Fsw)*IF(Vout&gt;8, Vout, Table1[[#This Row],[Vin]])</f>
        <v>0.47303999999999996</v>
      </c>
      <c r="BG84" s="354">
        <f t="shared" si="6"/>
        <v>0.45605042016806729</v>
      </c>
      <c r="BH84" s="354">
        <f>Table1[[#This Row],[IQ Loss]]+Table1[[#This Row],[Switching Current Loss]]</f>
        <v>0.51683999999999997</v>
      </c>
      <c r="BI8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10.63590228576377</v>
      </c>
      <c r="BJ84">
        <f>Vout*Table1[[#This Row],[Iout]]</f>
        <v>175.2</v>
      </c>
      <c r="BK84" s="550">
        <f>Table1[[#This Row],[Pout]]/(Table1[[#This Row],[Pout]]+Table1[[#This Row],[Total Loss]])</f>
        <v>0.94276723628242343</v>
      </c>
      <c r="BL8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253.55724579636518</v>
      </c>
      <c r="BM84" s="559">
        <f>IF(Table1[[#This Row],[Vin]]&gt;Vout, Table1[[#This Row],[Total Sync Bu MOSFET Loss]]*ThetaJA_Q2, ThetaJA_Q3*Table1[[#This Row],[Total Sync Bo MOSFET Loss]])</f>
        <v>58.069635820152307</v>
      </c>
      <c r="BN84" s="9"/>
      <c r="BO84" s="4">
        <f>Table1[[#This Row],[EFF, h]]*100</f>
        <v>94.276723628242337</v>
      </c>
      <c r="BP84" s="354">
        <f>Table1[[#This Row],[Total Inductor Loss]]</f>
        <v>2.1297995250786137</v>
      </c>
      <c r="BQ84" s="354">
        <f>Table1[[#This Row],[Total Control Bu MOSFET Loss]]+Table1[[#This Row],[Total Sync Bu MOSFET Loss]]+Table1[[#This Row],[Total Control Bo MOSFET Loss]]+Table1[[#This Row],[Total Sync Bo MOSFET Loss]]+Table1[[#This Row],[Reverse Recovery Loss MOSFET D BUCK]]+Table1[[#This Row],[Reverse Recovery Loss MOSFET D BOOST]]</f>
        <v>6.277961159872655</v>
      </c>
      <c r="BR84" s="354">
        <f>Table1[[#This Row],[Total Control Bu MOSFET Loss]]+Table1[[#This Row],[Reverse Recovery Loss MOSFET D BUCK]]*0.66</f>
        <v>4.4671149286060867</v>
      </c>
      <c r="BS84" s="354">
        <f>Table1[[#This Row],[Total Sync Bu MOSFET Loss]]+Table1[[#This Row],[Reverse Recovery Loss MOSFET D BUCK]]*0.33</f>
        <v>1.088407679669205</v>
      </c>
      <c r="BT84" s="354">
        <f xml:space="preserve"> Table1[[#This Row],[Total Control Bo MOSFET Loss]]+Table1[[#This Row],[Reverse Recovery Loss MOSFET D BOOST]]*0.66</f>
        <v>0</v>
      </c>
      <c r="BU84" s="354">
        <f xml:space="preserve"> Table1[[#This Row],[Total Sync Bo MOSFET Loss]]+Table1[[#This Row],[Reverse Recovery Loss MOSFET D BOOST]]*0.33</f>
        <v>0.71878459959736318</v>
      </c>
      <c r="BV84" s="354">
        <f>Table1[[#This Row],[Isense Shunt Loss]]</f>
        <v>0.18860523769200777</v>
      </c>
      <c r="CB84" s="18"/>
      <c r="CC84" s="19"/>
    </row>
    <row r="85" spans="1:81" x14ac:dyDescent="0.2">
      <c r="G85">
        <v>76</v>
      </c>
      <c r="H85" s="555">
        <f>VIN_min+(VIN_max-VIN_min)*(Table1[[#This Row],[Step]]/200)</f>
        <v>30.64</v>
      </c>
      <c r="I85" s="4" t="str">
        <f>IF(Mode = 2,IF(Table1[[#This Row],[Vin]]&gt;Vout, "BUCK","BOOST"),IF(Table1[[#This Row],[Vin]]&gt;VIN_BB_to_buck, "BUCK", IF(Table1[[#This Row],[Vin]]&lt;=VIN_boost_to_BB,"BOOST","BUCK-BST")))</f>
        <v>BUCK</v>
      </c>
      <c r="J85">
        <f>IF(Table1[[#This Row],[Mode]]="BOOST",2, IF(Table1[[#This Row],[Mode]]="BUCK", 1,3))</f>
        <v>1</v>
      </c>
      <c r="K85">
        <f t="shared" si="4"/>
        <v>12</v>
      </c>
      <c r="L85" s="4">
        <f>Vout*Table1[[#This Row],[Iout]]/(Table1[[#This Row],[Vin]]*Efficiency)</f>
        <v>6.0189638587329934</v>
      </c>
      <c r="M85" s="711">
        <f>MIN(1/Fsw,CHOOSE(Table1[[#This Row],[Mode Digit]],(Vout+(Rdson2+Rs+Rdcr)*Table1[[#This Row],[Iout]])/(Table1[[#This Row],[Vin]]+(Rs+Rdson2-Rdson1)*Table1[[#This Row],[Iout]])/Fsw,(Vout+(Rdson3+Rdcr)*Table1[[#This Row],[Iin]]-Table1[[#This Row],[Vin]])/(Vout+(Rdson3-Rdson4-Rs)*Table1[[#This Row],[Iin]])/Fsw,t1_Ph_II))</f>
        <v>8.0154331050972712E-7</v>
      </c>
      <c r="N85" s="602">
        <f>CHOOSE(Table1[[#This Row],[Mode Digit]],1/Fsw-Table1[[#This Row],[t1_Ph_II]],1/Fsw-Table1[[#This Row],[t1_Ph_II]],(Vout/Fsw-Table1[[#This Row],[Vin]]*t1_Ph_II)/(Table1[[#This Row],[Vin]]+Vout))</f>
        <v>8.6512335615693954E-7</v>
      </c>
      <c r="O85" s="602">
        <f>1/Fsw-(Table1[[#This Row],[t1_Ph_II]]+Table1[[#This Row],[t2_Ph_I]])</f>
        <v>0</v>
      </c>
      <c r="P8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9.5650085794363591</v>
      </c>
      <c r="Q85" s="4">
        <f>CHOOSE(Table1[[#This Row],[Mode Digit]],Table1[[#This Row],[I_0]]+1/Lf*(Table1[[#This Row],[Vin]]-Vout)*Table1[[#This Row],[t1_Ph_II]],Table1[[#This Row],[I_0]]+1/Lf*Table1[[#This Row],[Vin]]*Table1[[#This Row],[t1_Ph_II]],Table1[[#This Row],[I_0]]+(Table1[[#This Row],[Vin]]-Vout)/L*Table1[[#This Row],[t1_Ph_II]])</f>
        <v>14.434991420563641</v>
      </c>
      <c r="R85" s="4">
        <f>CHOOSE(Table1[[#This Row],[Mode Digit]],0,0,Table1[[#This Row],[I_1]]+Table1[[#This Row],[Vin]]/L*Table1[[#This Row],[t2_Ph_I]])</f>
        <v>0</v>
      </c>
      <c r="S85" s="4">
        <f>Fsw*(Table1[[#This Row],[I_0]]*Table1[[#This Row],[t1_Ph_II]]+Table1[[#This Row],[I_1]]*Table1[[#This Row],[t2_Ph_I]]+Table1[[#This Row],[I_2]]*Table1[[#This Row],[t3_Ph_III]])</f>
        <v>12.092890119402004</v>
      </c>
      <c r="T85" s="354">
        <f>MIN(1,CHOOSE(Table1[[#This Row],[Mode Digit]],(Vout+(Rdson2+Rs+Rdcr)*Table1[[#This Row],[Iout]])/(Table1[[#This Row],[Vin]]+(Rs+Rdson2-Rdson1)*Table1[[#This Row],[Iout]]),1,Fsw*Table1[[#This Row],[t2_Ph_I]]+Table1[[#This Row],[t1_Ph_II]]))</f>
        <v>0.48092598630583627</v>
      </c>
      <c r="U85" s="354">
        <f>MIN(1,CHOOSE(Table1[[#This Row],[Mode Digit]],0,(Vout+(Rdson3+Rdcr)*Table1[[#This Row],[Iin]]-Table1[[#This Row],[Vin]])/(Vout+(Rdson3-Rdson4-Rs)*Table1[[#This Row],[Iin]]),Fsw*Table1[[#This Row],[t1_Ph_II]]+Table1[[#This Row],[t3_Ph_III]]))</f>
        <v>0</v>
      </c>
      <c r="V85" s="4">
        <f>MAX(Table1[[#This Row],[I_0]:[I_2]])-MIN(Table1[[#This Row],[I_0]:[I_1]])</f>
        <v>4.8699828411272819</v>
      </c>
      <c r="W8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12.082069127681436</v>
      </c>
      <c r="X85" s="354">
        <f>(Table1[[#This Row],[Irms Lf]]^2*Rdcr*(1+Ltc*Ta-Ltc*25))/(1-Table1[[#This Row],[Irms Lf]]^2*Rdcr*Ltc*ThetaCa)</f>
        <v>0.90817665995207131</v>
      </c>
      <c r="Y85" s="354">
        <f>ABS(7.759*10^-3*Fsw^0.9458*(0.00787*Table1[[#This Row],[Ripple Current pk-pk]])^2.304)</f>
        <v>1.2335881502284738</v>
      </c>
      <c r="Z85" s="354">
        <f>Table1[[#This Row],[DCR    Loss]]+Table1[[#This Row],[Core Loss]]</f>
        <v>2.1417648101805451</v>
      </c>
      <c r="AA85" s="4">
        <f>IF(Table1[[#This Row],[Vin]]&gt;Vout, Table1[[#This Row],[Ripple Current pk-pk]]/SQRT(12), SQRT(Table1[[#This Row],[Duty Cycle BOOST Leg]]/(1-Table1[[#This Row],[Duty Cycle BOOST Leg]]))*SQRT(Table1[[#This Row],[Iout]]^2+(Table1[[#This Row],[Ripple Current pk-pk]]^2)/12))</f>
        <v>1.4058429521368474</v>
      </c>
      <c r="AB85" s="354">
        <f>RCoutEsr*Table1[[#This Row],[Irms Cout]]^2</f>
        <v>9.8819720303642312E-3</v>
      </c>
      <c r="AC85" s="354">
        <f>Table1[[#This Row],[Cout ESR Loss]]</f>
        <v>9.8819720303642312E-3</v>
      </c>
      <c r="AD85" s="354">
        <f>IF(Table1[[#This Row],[Vin]]&gt;Vout, SQRT(Table1[[#This Row],[Duty Cycle BUCK Leg]]*(1-Table1[[#This Row],[Duty Cycle BUCK Leg]]))*SQRT(Table1[[#This Row],[Iout]]^2+(Table1[[#This Row],[Ripple Current pk-pk]]^2)/12), Table1[[#This Row],[Ripple Current pk-pk]]/SQRT(12))</f>
        <v>6.0366372892439877</v>
      </c>
      <c r="AE85" s="354">
        <f>RCinEsr*Table1[[#This Row],[Irms Cin]]^2</f>
        <v>7.288197952378199E-2</v>
      </c>
      <c r="AF85" s="549">
        <f>Table1[[#This Row],[Cin ESR Loss]]</f>
        <v>7.288197952378199E-2</v>
      </c>
      <c r="AG8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8.3787732668398629</v>
      </c>
      <c r="AH85" s="354">
        <f>Rdson1*Table1[[#This Row],[Irms BuCtrl]]^2</f>
        <v>0.2948561341198635</v>
      </c>
      <c r="AI85" s="354">
        <f>CHOOSE(Table1[[#This Row],[Mode Digit]], (Table1[[#This Row],[Vin]]*Table1[[#This Row],[Iout]]/2)*(Fsw)*(Tr_buck+Tf_buck), 0, (Table1[[#This Row],[Vin]]*Table1[[#This Row],[Avg IL]]/2)*(Fsw/1)*(Tr_buck+Tf_buck))</f>
        <v>3.646049797534856</v>
      </c>
      <c r="AJ85">
        <f>IF(Table1[[#This Row],[Vin]]&gt;Vout, IF(Table1[[#This Row],[Iout]]&gt;Table1[[#This Row],[Ripple Current pk-pk]]/2,0,ABS(Table1[[#This Row],[Iout]]-Table1[[#This Row],[Ripple Current pk-pk]]/2)*Vsd_Q1*Deadtime*Fsw),0)</f>
        <v>0</v>
      </c>
      <c r="AK85" s="354">
        <f>(Table1[[#This Row],[Dead Time Loss BuCtrl]]+Table1[[#This Row],[Transition Loss BuCtrl]]+Table1[[#This Row],[RDS(on) Loss BuCtrl]]*(1+RdsonTopTc*Ta-RdsonTopTc*25))/(1-Table1[[#This Row],[RDS(on) Loss BuCtrl]]*RdsonTopTc*ThetaJA_Q1)</f>
        <v>4.2410239973942145</v>
      </c>
      <c r="AL85" s="354">
        <f>CHOOSE(Table1[[#This Row],[Mode Digit]],SQRT((Fsw*(Table1[[#This Row],[t2_Ph_I]]+0))*((Table1[[#This Row],[I_0]]*Table1[[#This Row],[I_1]]+((Table1[[#This Row],[I_0]]-Table1[[#This Row],[I_1]])^2)/3))),0,SQRT((Fsw*(Table1[[#This Row],[t3_Ph_III]]+0))*((Table1[[#This Row],[I_0]]*Table1[[#This Row],[I_2]]+((Table1[[#This Row],[I_0]]-Table1[[#This Row],[I_2]])^2)/3))))</f>
        <v>8.7047431294072375</v>
      </c>
      <c r="AM85" s="354">
        <f>Rdson2*Table1[[#This Row],[Irms BuSync]]^2</f>
        <v>0.31824472238564261</v>
      </c>
      <c r="AN8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85" s="354">
        <f>(Table1[[#This Row],[Deadtime Loss BuSync]]+Table1[[#This Row],[RDS(on) Loss BuSync]]*(1+RdsonBotTc*Ta-RdsonBotTc*25))/(1-Table1[[#This Row],[RDS(on) Loss BuSync]]*RdsonBotTc*ThetaJA_Q2)</f>
        <v>0.96967900514825323</v>
      </c>
      <c r="AP85" s="354">
        <f>CHOOSE(Table1[[#This Row],[Mode Digit]],0,SQRT((Fsw*(Table1[[#This Row],[t1_Ph_II]]+0))*((Table1[[#This Row],[I_0]]*Table1[[#This Row],[I_1]]+((Table1[[#This Row],[I_0]]-Table1[[#This Row],[I_1]])^2)/3))),SQRT((Fsw*(Table1[[#This Row],[t2_Ph_I]]+0))*((Table1[[#This Row],[I_1]]*Table1[[#This Row],[I_2]]+((Table1[[#This Row],[I_1]]-Table1[[#This Row],[I_2]])^2)/3))))</f>
        <v>0</v>
      </c>
      <c r="AQ85" s="354">
        <f>Rdson4*Table1[[#This Row],[Irms BoCtlr]]^2</f>
        <v>0</v>
      </c>
      <c r="AR85" s="354">
        <f>CHOOSE(Table1[[#This Row],[Mode Digit]], 0, (Vout*Table1[[#This Row],[Iin]]/2)*(Fsw)*(Tr_boost+Tf_boost), (Vout*Iout/2)*(Fsw/1)*(Tr_boost+Tf_boost))</f>
        <v>0</v>
      </c>
      <c r="AS85">
        <f>IF(Table1[[#This Row],[Vin]]&gt;Vout, 0, IF(Table1[[#This Row],[Iin]]&gt;Table1[[#This Row],[Ripple Current pk-pk]]/2,0,ABS(Table1[[#This Row],[Iin]]-Table1[[#This Row],[Ripple Current pk-pk]]/2)*Vsd_Q4*Deadtime*Fsw))</f>
        <v>0</v>
      </c>
      <c r="AT85" s="354">
        <f>(Table1[[#This Row],[Dead Time Loss BoCtlr]]+Table1[[#This Row],[Transition Loss BoCtlr]]+Table1[[#This Row],[RDS(on) Loss BoCtlr]]*(1+RdsonTopTc*Ta-RdsonTopTc*25))/(1-Table1[[#This Row],[RDS(on) Loss BoCtlr]]*RdsonTopTc*ThetaJA_Q4)</f>
        <v>0</v>
      </c>
      <c r="AU8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12.082069127681436</v>
      </c>
      <c r="AV85" s="354">
        <f>Rdson3*Table1[[#This Row],[Irms BoSync]]^2</f>
        <v>0.61310085650550605</v>
      </c>
      <c r="AW8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85" s="354">
        <f>(Table1[[#This Row],[Deadtime Loss BoSync]]+Table1[[#This Row],[RDS(on) Loss BoSync]]*(1+RdsonBotTc*Ta-RdsonBotTc*25))/(1-Table1[[#This Row],[RDS(on) Loss BoSync]]*RdsonBotTc*ThetaJA_Q3)</f>
        <v>0.71887986281318372</v>
      </c>
      <c r="AY85" s="354">
        <f>CHOOSE(Table1[[#This Row],[Mode Digit]], Rdson3*Table1[[#This Row],[Irms Lf]]^2, Rdson1*Table1[[#This Row],[Irms Lf]]^2, 0)</f>
        <v>0.61310085650550605</v>
      </c>
      <c r="AZ85" s="354">
        <f>CHOOSE(Table1[[#This Row],[Mode Digit]], 2*Deadtime*Fsw*IF(VfdSky_Q2&gt;0,VfdSky_Q2,0)*Table1[[#This Row],[Iout]], 2*Deadtime*Fsw*IF(VfdSky_Q3&gt;0,VfdSky_Q3,0)*Table1[[#This Row],[Iin]], 2*Deadtime*Fsw*IF(VfdSky_Q2&gt;0,VfdSky_Q2,0)*Table1[[#This Row],[Iout]]+2*Deadtime*Fsw*IF(VfdSky_Q3&gt;0,VfdSky_Q3,0)*Table1[[#This Row],[Iin]])</f>
        <v>0</v>
      </c>
      <c r="BA85" s="354">
        <f>CHOOSE(Table1[[#This Row],[Mode Digit]], IF(QrrSky_Q2&gt;0,QrrSky_Q2,Qrr_Q2)*Fsw*(Table1[[#This Row],[Vin]]-Table1[[#This Row],[Iout]]*Rdson1),0,  IF(QrrSky_Q2&gt;0,QrrSky_Q2,Qrr_Q2)*Fsw*(Table1[[#This Row],[Vin]]-Table1[[#This Row],[Iout]]*Rdson1)+IF(QrrSky_Q3&gt;0,QrrSky_Q3,Qrr_Q3)*Fsw*Vout)</f>
        <v>0.36707519999999999</v>
      </c>
      <c r="BB85" s="354">
        <f>CHOOSE(Table1[[#This Row],[Mode Digit]],0, IF(QrrSky_Q3&gt;0,QrrSky_Q3,Qrr_Q3)*Fsw*Vout,  IF(QrrSky_Q2&gt;0,QrrSky_Q2,Qrr_Q2)*Fsw*(Table1[[#This Row],[Vin]]-Table1[[#This Row],[Iout]]*Rdson1)+IF(QrrSky_Q3&gt;0,QrrSky_Q3,Qrr_Q3)*Fsw*Vout)</f>
        <v>0</v>
      </c>
      <c r="BC85" s="354">
        <f>CHOOSE(Table1[[#This Row],[Mode Digit]], Rs*Table1[[#This Row],[Irms BuSync]]^2, Rs*Table1[[#This Row],[Irms BoCtlr]]^2, Rs*(Table1[[#This Row],[Irms BuSync]]^2+Table1[[#This Row],[Irms BoCtlr]]^2))</f>
        <v>0.18943138237240628</v>
      </c>
      <c r="BD85" s="354">
        <f t="shared" si="5"/>
        <v>1.44</v>
      </c>
      <c r="BE85" s="354">
        <f>IF(Vout&gt;8, Iq*Vout, Iq*Table1[[#This Row],[Vin]])</f>
        <v>4.3799999999999999E-2</v>
      </c>
      <c r="BF85" s="354">
        <f>CHOOSE(Table1[[#This Row],[Mode Digit]], (Qg_Q1+Qg_Q2)*Fsw, (Qg_Q3+Qg_Q4)*Fsw, (Qg_Q1+Qg_Q2+Qg_Q3+Qg_Q4)*Fsw)*IF(Vout&gt;8, Vout, Table1[[#This Row],[Vin]])</f>
        <v>0.47303999999999996</v>
      </c>
      <c r="BG85" s="354">
        <f t="shared" si="6"/>
        <v>0.45605042016806729</v>
      </c>
      <c r="BH85" s="354">
        <f>Table1[[#This Row],[IQ Loss]]+Table1[[#This Row],[Switching Current Loss]]</f>
        <v>0.51683999999999997</v>
      </c>
      <c r="BI8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10.667458209462749</v>
      </c>
      <c r="BJ85">
        <f>Vout*Table1[[#This Row],[Iout]]</f>
        <v>175.2</v>
      </c>
      <c r="BK85" s="550">
        <f>Table1[[#This Row],[Pout]]/(Table1[[#This Row],[Pout]]+Table1[[#This Row],[Total Loss]])</f>
        <v>0.94260717657503501</v>
      </c>
      <c r="BL8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254.46143984365287</v>
      </c>
      <c r="BM85" s="559">
        <f>IF(Table1[[#This Row],[Vin]]&gt;Vout, Table1[[#This Row],[Total Sync Bu MOSFET Loss]]*ThetaJA_Q2, ThetaJA_Q3*Table1[[#This Row],[Total Sync Bo MOSFET Loss]])</f>
        <v>58.180740308895196</v>
      </c>
      <c r="BN85" s="9"/>
      <c r="BO85" s="4">
        <f>Table1[[#This Row],[EFF, h]]*100</f>
        <v>94.260717657503506</v>
      </c>
      <c r="BP85" s="354">
        <f>Table1[[#This Row],[Total Inductor Loss]]</f>
        <v>2.1417648101805451</v>
      </c>
      <c r="BQ85" s="354">
        <f>Table1[[#This Row],[Total Control Bu MOSFET Loss]]+Table1[[#This Row],[Total Sync Bu MOSFET Loss]]+Table1[[#This Row],[Total Control Bo MOSFET Loss]]+Table1[[#This Row],[Total Sync Bo MOSFET Loss]]+Table1[[#This Row],[Reverse Recovery Loss MOSFET D BUCK]]+Table1[[#This Row],[Reverse Recovery Loss MOSFET D BOOST]]</f>
        <v>6.2966580653556523</v>
      </c>
      <c r="BR85" s="354">
        <f>Table1[[#This Row],[Total Control Bu MOSFET Loss]]+Table1[[#This Row],[Reverse Recovery Loss MOSFET D BUCK]]*0.66</f>
        <v>4.4832936293942147</v>
      </c>
      <c r="BS85" s="354">
        <f>Table1[[#This Row],[Total Sync Bu MOSFET Loss]]+Table1[[#This Row],[Reverse Recovery Loss MOSFET D BUCK]]*0.33</f>
        <v>1.0908138211482532</v>
      </c>
      <c r="BT85" s="354">
        <f xml:space="preserve"> Table1[[#This Row],[Total Control Bo MOSFET Loss]]+Table1[[#This Row],[Reverse Recovery Loss MOSFET D BOOST]]*0.66</f>
        <v>0</v>
      </c>
      <c r="BU85" s="354">
        <f xml:space="preserve"> Table1[[#This Row],[Total Sync Bo MOSFET Loss]]+Table1[[#This Row],[Reverse Recovery Loss MOSFET D BOOST]]*0.33</f>
        <v>0.71887986281318372</v>
      </c>
      <c r="BV85" s="354">
        <f>Table1[[#This Row],[Isense Shunt Loss]]</f>
        <v>0.18943138237240628</v>
      </c>
      <c r="CB85" s="18"/>
      <c r="CC85" s="19"/>
    </row>
    <row r="86" spans="1:81" x14ac:dyDescent="0.2">
      <c r="G86">
        <v>77</v>
      </c>
      <c r="H86" s="555">
        <f>VIN_min+(VIN_max-VIN_min)*(Table1[[#This Row],[Step]]/200)</f>
        <v>30.78</v>
      </c>
      <c r="I86" s="4" t="str">
        <f>IF(Mode = 2,IF(Table1[[#This Row],[Vin]]&gt;Vout, "BUCK","BOOST"),IF(Table1[[#This Row],[Vin]]&gt;VIN_BB_to_buck, "BUCK", IF(Table1[[#This Row],[Vin]]&lt;=VIN_boost_to_BB,"BOOST","BUCK-BST")))</f>
        <v>BUCK</v>
      </c>
      <c r="J86">
        <f>IF(Table1[[#This Row],[Mode]]="BOOST",2, IF(Table1[[#This Row],[Mode]]="BUCK", 1,3))</f>
        <v>1</v>
      </c>
      <c r="K86">
        <f t="shared" si="4"/>
        <v>12</v>
      </c>
      <c r="L86" s="4">
        <f>Vout*Table1[[#This Row],[Iout]]/(Table1[[#This Row],[Vin]]*Efficiency)</f>
        <v>5.9915871550220574</v>
      </c>
      <c r="M86" s="711">
        <f>MIN(1/Fsw,CHOOSE(Table1[[#This Row],[Mode Digit]],(Vout+(Rdson2+Rs+Rdcr)*Table1[[#This Row],[Iout]])/(Table1[[#This Row],[Vin]]+(Rs+Rdson2-Rdson1)*Table1[[#This Row],[Iout]])/Fsw,(Vout+(Rdson3+Rdcr)*Table1[[#This Row],[Iin]]-Table1[[#This Row],[Vin]])/(Vout+(Rdson3-Rdson4-Rs)*Table1[[#This Row],[Iin]])/Fsw,t1_Ph_II))</f>
        <v>7.9790111435681055E-7</v>
      </c>
      <c r="N86" s="602">
        <f>CHOOSE(Table1[[#This Row],[Mode Digit]],1/Fsw-Table1[[#This Row],[t1_Ph_II]],1/Fsw-Table1[[#This Row],[t1_Ph_II]],(Vout/Fsw-Table1[[#This Row],[Vin]]*t1_Ph_II)/(Table1[[#This Row],[Vin]]+Vout))</f>
        <v>8.6876555230985611E-7</v>
      </c>
      <c r="O86" s="602">
        <f>1/Fsw-(Table1[[#This Row],[t1_Ph_II]]+Table1[[#This Row],[t2_Ph_I]])</f>
        <v>0</v>
      </c>
      <c r="P8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9.5549166609293188</v>
      </c>
      <c r="Q86" s="4">
        <f>CHOOSE(Table1[[#This Row],[Mode Digit]],Table1[[#This Row],[I_0]]+1/Lf*(Table1[[#This Row],[Vin]]-Vout)*Table1[[#This Row],[t1_Ph_II]],Table1[[#This Row],[I_0]]+1/Lf*Table1[[#This Row],[Vin]]*Table1[[#This Row],[t1_Ph_II]],Table1[[#This Row],[I_0]]+(Table1[[#This Row],[Vin]]-Vout)/L*Table1[[#This Row],[t1_Ph_II]])</f>
        <v>14.445083339070681</v>
      </c>
      <c r="R86" s="4">
        <f>CHOOSE(Table1[[#This Row],[Mode Digit]],0,0,Table1[[#This Row],[I_1]]+Table1[[#This Row],[Vin]]/L*Table1[[#This Row],[t2_Ph_I]])</f>
        <v>0</v>
      </c>
      <c r="S86" s="4">
        <f>Fsw*(Table1[[#This Row],[I_0]]*Table1[[#This Row],[t1_Ph_II]]+Table1[[#This Row],[I_1]]*Table1[[#This Row],[t2_Ph_I]]+Table1[[#This Row],[I_2]]*Table1[[#This Row],[t3_Ph_III]])</f>
        <v>12.10396167394296</v>
      </c>
      <c r="T86" s="354">
        <f>MIN(1,CHOOSE(Table1[[#This Row],[Mode Digit]],(Vout+(Rdson2+Rs+Rdcr)*Table1[[#This Row],[Iout]])/(Table1[[#This Row],[Vin]]+(Rs+Rdson2-Rdson1)*Table1[[#This Row],[Iout]]),1,Fsw*Table1[[#This Row],[t2_Ph_I]]+Table1[[#This Row],[t1_Ph_II]]))</f>
        <v>0.47874066861408632</v>
      </c>
      <c r="U86" s="354">
        <f>MIN(1,CHOOSE(Table1[[#This Row],[Mode Digit]],0,(Vout+(Rdson3+Rdcr)*Table1[[#This Row],[Iin]]-Table1[[#This Row],[Vin]])/(Vout+(Rdson3-Rdson4-Rs)*Table1[[#This Row],[Iin]]),Fsw*Table1[[#This Row],[t1_Ph_II]]+Table1[[#This Row],[t3_Ph_III]]))</f>
        <v>0</v>
      </c>
      <c r="V86" s="4">
        <f>MAX(Table1[[#This Row],[I_0]:[I_2]])-MIN(Table1[[#This Row],[I_0]:[I_1]])</f>
        <v>4.8901666781413624</v>
      </c>
      <c r="W8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12.08274848058174</v>
      </c>
      <c r="X86" s="354">
        <f>(Table1[[#This Row],[Irms Lf]]^2*Rdcr*(1+Ltc*Ta-Ltc*25))/(1-Table1[[#This Row],[Irms Lf]]^2*Rdcr*Ltc*ThetaCa)</f>
        <v>0.90828621437565005</v>
      </c>
      <c r="Y86" s="354">
        <f>ABS(7.759*10^-3*Fsw^0.9458*(0.00787*Table1[[#This Row],[Ripple Current pk-pk]])^2.304)</f>
        <v>1.2453995519169752</v>
      </c>
      <c r="Z86" s="354">
        <f>Table1[[#This Row],[DCR    Loss]]+Table1[[#This Row],[Core Loss]]</f>
        <v>2.1536857662926252</v>
      </c>
      <c r="AA86" s="4">
        <f>IF(Table1[[#This Row],[Vin]]&gt;Vout, Table1[[#This Row],[Ripple Current pk-pk]]/SQRT(12), SQRT(Table1[[#This Row],[Duty Cycle BOOST Leg]]/(1-Table1[[#This Row],[Duty Cycle BOOST Leg]]))*SQRT(Table1[[#This Row],[Iout]]^2+(Table1[[#This Row],[Ripple Current pk-pk]]^2)/12))</f>
        <v>1.4116695240035269</v>
      </c>
      <c r="AB86" s="354">
        <f>RCoutEsr*Table1[[#This Row],[Irms Cout]]^2</f>
        <v>9.9640542250017203E-3</v>
      </c>
      <c r="AC86" s="354">
        <f>Table1[[#This Row],[Cout ESR Loss]]</f>
        <v>9.9640542250017203E-3</v>
      </c>
      <c r="AD86" s="354">
        <f>IF(Table1[[#This Row],[Vin]]&gt;Vout, SQRT(Table1[[#This Row],[Duty Cycle BUCK Leg]]*(1-Table1[[#This Row],[Duty Cycle BUCK Leg]]))*SQRT(Table1[[#This Row],[Iout]]^2+(Table1[[#This Row],[Ripple Current pk-pk]]^2)/12), Table1[[#This Row],[Ripple Current pk-pk]]/SQRT(12))</f>
        <v>6.0359108609630843</v>
      </c>
      <c r="AE86" s="354">
        <f>RCinEsr*Table1[[#This Row],[Irms Cin]]^2</f>
        <v>7.2864439842984241E-2</v>
      </c>
      <c r="AF86" s="549">
        <f>Table1[[#This Row],[Cin ESR Loss]]</f>
        <v>7.2864439842984241E-2</v>
      </c>
      <c r="AG8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8.3601851580443665</v>
      </c>
      <c r="AH86" s="354">
        <f>Rdson1*Table1[[#This Row],[Irms BuCtrl]]^2</f>
        <v>0.29354932268249834</v>
      </c>
      <c r="AI86" s="354">
        <f>CHOOSE(Table1[[#This Row],[Mode Digit]], (Table1[[#This Row],[Vin]]*Table1[[#This Row],[Iout]]/2)*(Fsw)*(Tr_buck+Tf_buck), 0, (Table1[[#This Row],[Vin]]*Table1[[#This Row],[Avg IL]]/2)*(Fsw/1)*(Tr_buck+Tf_buck))</f>
        <v>3.6627092939987884</v>
      </c>
      <c r="AJ86">
        <f>IF(Table1[[#This Row],[Vin]]&gt;Vout, IF(Table1[[#This Row],[Iout]]&gt;Table1[[#This Row],[Ripple Current pk-pk]]/2,0,ABS(Table1[[#This Row],[Iout]]-Table1[[#This Row],[Ripple Current pk-pk]]/2)*Vsd_Q1*Deadtime*Fsw),0)</f>
        <v>0</v>
      </c>
      <c r="AK86" s="354">
        <f>(Table1[[#This Row],[Dead Time Loss BuCtrl]]+Table1[[#This Row],[Transition Loss BuCtrl]]+Table1[[#This Row],[RDS(on) Loss BuCtrl]]*(1+RdsonTopTc*Ta-RdsonTopTc*25))/(1-Table1[[#This Row],[RDS(on) Loss BuCtrl]]*RdsonTopTc*ThetaJA_Q1)</f>
        <v>4.2561093400494903</v>
      </c>
      <c r="AL86" s="354">
        <f>CHOOSE(Table1[[#This Row],[Mode Digit]],SQRT((Fsw*(Table1[[#This Row],[t2_Ph_I]]+0))*((Table1[[#This Row],[I_0]]*Table1[[#This Row],[I_1]]+((Table1[[#This Row],[I_0]]-Table1[[#This Row],[I_1]])^2)/3))),0,SQRT((Fsw*(Table1[[#This Row],[t3_Ph_III]]+0))*((Table1[[#This Row],[I_0]]*Table1[[#This Row],[I_2]]+((Table1[[#This Row],[I_0]]-Table1[[#This Row],[I_2]])^2)/3))))</f>
        <v>8.7235379845688197</v>
      </c>
      <c r="AM86" s="354">
        <f>Rdson2*Table1[[#This Row],[Irms BuSync]]^2</f>
        <v>0.31962048286650313</v>
      </c>
      <c r="AN8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86" s="354">
        <f>(Table1[[#This Row],[Deadtime Loss BuSync]]+Table1[[#This Row],[RDS(on) Loss BuSync]]*(1+RdsonBotTc*Ta-RdsonBotTc*25))/(1-Table1[[#This Row],[RDS(on) Loss BuSync]]*RdsonBotTc*ThetaJA_Q2)</f>
        <v>0.97151583815043518</v>
      </c>
      <c r="AP86" s="354">
        <f>CHOOSE(Table1[[#This Row],[Mode Digit]],0,SQRT((Fsw*(Table1[[#This Row],[t1_Ph_II]]+0))*((Table1[[#This Row],[I_0]]*Table1[[#This Row],[I_1]]+((Table1[[#This Row],[I_0]]-Table1[[#This Row],[I_1]])^2)/3))),SQRT((Fsw*(Table1[[#This Row],[t2_Ph_I]]+0))*((Table1[[#This Row],[I_1]]*Table1[[#This Row],[I_2]]+((Table1[[#This Row],[I_1]]-Table1[[#This Row],[I_2]])^2)/3))))</f>
        <v>0</v>
      </c>
      <c r="AQ86" s="354">
        <f>Rdson4*Table1[[#This Row],[Irms BoCtlr]]^2</f>
        <v>0</v>
      </c>
      <c r="AR86" s="354">
        <f>CHOOSE(Table1[[#This Row],[Mode Digit]], 0, (Vout*Table1[[#This Row],[Iin]]/2)*(Fsw)*(Tr_boost+Tf_boost), (Vout*Iout/2)*(Fsw/1)*(Tr_boost+Tf_boost))</f>
        <v>0</v>
      </c>
      <c r="AS86">
        <f>IF(Table1[[#This Row],[Vin]]&gt;Vout, 0, IF(Table1[[#This Row],[Iin]]&gt;Table1[[#This Row],[Ripple Current pk-pk]]/2,0,ABS(Table1[[#This Row],[Iin]]-Table1[[#This Row],[Ripple Current pk-pk]]/2)*Vsd_Q4*Deadtime*Fsw))</f>
        <v>0</v>
      </c>
      <c r="AT86" s="354">
        <f>(Table1[[#This Row],[Dead Time Loss BoCtlr]]+Table1[[#This Row],[Transition Loss BoCtlr]]+Table1[[#This Row],[RDS(on) Loss BoCtlr]]*(1+RdsonTopTc*Ta-RdsonTopTc*25))/(1-Table1[[#This Row],[RDS(on) Loss BoCtlr]]*RdsonTopTc*ThetaJA_Q4)</f>
        <v>0</v>
      </c>
      <c r="AU8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12.08274848058174</v>
      </c>
      <c r="AV86" s="354">
        <f>Rdson3*Table1[[#This Row],[Irms BoSync]]^2</f>
        <v>0.61316980554900158</v>
      </c>
      <c r="AW8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86" s="354">
        <f>(Table1[[#This Row],[Deadtime Loss BoSync]]+Table1[[#This Row],[RDS(on) Loss BoSync]]*(1+RdsonBotTc*Ta-RdsonBotTc*25))/(1-Table1[[#This Row],[RDS(on) Loss BoSync]]*RdsonBotTc*ThetaJA_Q3)</f>
        <v>0.71897465782027836</v>
      </c>
      <c r="AY86" s="354">
        <f>CHOOSE(Table1[[#This Row],[Mode Digit]], Rdson3*Table1[[#This Row],[Irms Lf]]^2, Rdson1*Table1[[#This Row],[Irms Lf]]^2, 0)</f>
        <v>0.61316980554900158</v>
      </c>
      <c r="AZ86" s="354">
        <f>CHOOSE(Table1[[#This Row],[Mode Digit]], 2*Deadtime*Fsw*IF(VfdSky_Q2&gt;0,VfdSky_Q2,0)*Table1[[#This Row],[Iout]], 2*Deadtime*Fsw*IF(VfdSky_Q3&gt;0,VfdSky_Q3,0)*Table1[[#This Row],[Iin]], 2*Deadtime*Fsw*IF(VfdSky_Q2&gt;0,VfdSky_Q2,0)*Table1[[#This Row],[Iout]]+2*Deadtime*Fsw*IF(VfdSky_Q3&gt;0,VfdSky_Q3,0)*Table1[[#This Row],[Iin]])</f>
        <v>0</v>
      </c>
      <c r="BA86" s="354">
        <f>CHOOSE(Table1[[#This Row],[Mode Digit]], IF(QrrSky_Q2&gt;0,QrrSky_Q2,Qrr_Q2)*Fsw*(Table1[[#This Row],[Vin]]-Table1[[#This Row],[Iout]]*Rdson1),0,  IF(QrrSky_Q2&gt;0,QrrSky_Q2,Qrr_Q2)*Fsw*(Table1[[#This Row],[Vin]]-Table1[[#This Row],[Iout]]*Rdson1)+IF(QrrSky_Q3&gt;0,QrrSky_Q3,Qrr_Q3)*Fsw*Vout)</f>
        <v>0.36875520000000001</v>
      </c>
      <c r="BB86" s="354">
        <f>CHOOSE(Table1[[#This Row],[Mode Digit]],0, IF(QrrSky_Q3&gt;0,QrrSky_Q3,Qrr_Q3)*Fsw*Vout,  IF(QrrSky_Q2&gt;0,QrrSky_Q2,Qrr_Q2)*Fsw*(Table1[[#This Row],[Vin]]-Table1[[#This Row],[Iout]]*Rdson1)+IF(QrrSky_Q3&gt;0,QrrSky_Q3,Qrr_Q3)*Fsw*Vout)</f>
        <v>0</v>
      </c>
      <c r="BC86" s="354">
        <f>CHOOSE(Table1[[#This Row],[Mode Digit]], Rs*Table1[[#This Row],[Irms BuSync]]^2, Rs*Table1[[#This Row],[Irms BoCtlr]]^2, Rs*(Table1[[#This Row],[Irms BuSync]]^2+Table1[[#This Row],[Irms BoCtlr]]^2))</f>
        <v>0.19025028742053757</v>
      </c>
      <c r="BD86" s="354">
        <f t="shared" si="5"/>
        <v>1.44</v>
      </c>
      <c r="BE86" s="354">
        <f>IF(Vout&gt;8, Iq*Vout, Iq*Table1[[#This Row],[Vin]])</f>
        <v>4.3799999999999999E-2</v>
      </c>
      <c r="BF86" s="354">
        <f>CHOOSE(Table1[[#This Row],[Mode Digit]], (Qg_Q1+Qg_Q2)*Fsw, (Qg_Q3+Qg_Q4)*Fsw, (Qg_Q1+Qg_Q2+Qg_Q3+Qg_Q4)*Fsw)*IF(Vout&gt;8, Vout, Table1[[#This Row],[Vin]])</f>
        <v>0.47303999999999996</v>
      </c>
      <c r="BG86" s="354">
        <f t="shared" si="6"/>
        <v>0.45605042016806729</v>
      </c>
      <c r="BH86" s="354">
        <f>Table1[[#This Row],[IQ Loss]]+Table1[[#This Row],[Switching Current Loss]]</f>
        <v>0.51683999999999997</v>
      </c>
      <c r="BI8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10.698959583801354</v>
      </c>
      <c r="BJ86">
        <f>Vout*Table1[[#This Row],[Iout]]</f>
        <v>175.2</v>
      </c>
      <c r="BK86" s="550">
        <f>Table1[[#This Row],[Pout]]/(Table1[[#This Row],[Pout]]+Table1[[#This Row],[Total Loss]])</f>
        <v>0.9424474477546585</v>
      </c>
      <c r="BL8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255.36656040296941</v>
      </c>
      <c r="BM86" s="559">
        <f>IF(Table1[[#This Row],[Vin]]&gt;Vout, Table1[[#This Row],[Total Sync Bu MOSFET Loss]]*ThetaJA_Q2, ThetaJA_Q3*Table1[[#This Row],[Total Sync Bo MOSFET Loss]])</f>
        <v>58.290950289026114</v>
      </c>
      <c r="BN86" s="9"/>
      <c r="BO86" s="4">
        <f>Table1[[#This Row],[EFF, h]]*100</f>
        <v>94.244744775465847</v>
      </c>
      <c r="BP86" s="354">
        <f>Table1[[#This Row],[Total Inductor Loss]]</f>
        <v>2.1536857662926252</v>
      </c>
      <c r="BQ86" s="354">
        <f>Table1[[#This Row],[Total Control Bu MOSFET Loss]]+Table1[[#This Row],[Total Sync Bu MOSFET Loss]]+Table1[[#This Row],[Total Control Bo MOSFET Loss]]+Table1[[#This Row],[Total Sync Bo MOSFET Loss]]+Table1[[#This Row],[Reverse Recovery Loss MOSFET D BUCK]]+Table1[[#This Row],[Reverse Recovery Loss MOSFET D BOOST]]</f>
        <v>6.315355036020204</v>
      </c>
      <c r="BR86" s="354">
        <f>Table1[[#This Row],[Total Control Bu MOSFET Loss]]+Table1[[#This Row],[Reverse Recovery Loss MOSFET D BUCK]]*0.66</f>
        <v>4.4994877720494904</v>
      </c>
      <c r="BS86" s="354">
        <f>Table1[[#This Row],[Total Sync Bu MOSFET Loss]]+Table1[[#This Row],[Reverse Recovery Loss MOSFET D BUCK]]*0.33</f>
        <v>1.0932050541504352</v>
      </c>
      <c r="BT86" s="354">
        <f xml:space="preserve"> Table1[[#This Row],[Total Control Bo MOSFET Loss]]+Table1[[#This Row],[Reverse Recovery Loss MOSFET D BOOST]]*0.66</f>
        <v>0</v>
      </c>
      <c r="BU86" s="354">
        <f xml:space="preserve"> Table1[[#This Row],[Total Sync Bo MOSFET Loss]]+Table1[[#This Row],[Reverse Recovery Loss MOSFET D BOOST]]*0.33</f>
        <v>0.71897465782027836</v>
      </c>
      <c r="BV86" s="354">
        <f>Table1[[#This Row],[Isense Shunt Loss]]</f>
        <v>0.19025028742053757</v>
      </c>
      <c r="CB86" s="18"/>
      <c r="CC86" s="19"/>
    </row>
    <row r="87" spans="1:81" x14ac:dyDescent="0.2">
      <c r="G87">
        <v>78</v>
      </c>
      <c r="H87" s="555">
        <f>VIN_min+(VIN_max-VIN_min)*(Table1[[#This Row],[Step]]/200)</f>
        <v>30.92</v>
      </c>
      <c r="I87" s="4" t="str">
        <f>IF(Mode = 2,IF(Table1[[#This Row],[Vin]]&gt;Vout, "BUCK","BOOST"),IF(Table1[[#This Row],[Vin]]&gt;VIN_BB_to_buck, "BUCK", IF(Table1[[#This Row],[Vin]]&lt;=VIN_boost_to_BB,"BOOST","BUCK-BST")))</f>
        <v>BUCK</v>
      </c>
      <c r="J87">
        <f>IF(Table1[[#This Row],[Mode]]="BOOST",2, IF(Table1[[#This Row],[Mode]]="BUCK", 1,3))</f>
        <v>1</v>
      </c>
      <c r="K87">
        <f t="shared" si="4"/>
        <v>12</v>
      </c>
      <c r="L87" s="4">
        <f>Vout*Table1[[#This Row],[Iout]]/(Table1[[#This Row],[Vin]]*Efficiency)</f>
        <v>5.9644583645400697</v>
      </c>
      <c r="M87" s="711">
        <f>MIN(1/Fsw,CHOOSE(Table1[[#This Row],[Mode Digit]],(Vout+(Rdson2+Rs+Rdcr)*Table1[[#This Row],[Iout]])/(Table1[[#This Row],[Vin]]+(Rs+Rdson2-Rdson1)*Table1[[#This Row],[Iout]])/Fsw,(Vout+(Rdson3+Rdcr)*Table1[[#This Row],[Iin]]-Table1[[#This Row],[Vin]])/(Vout+(Rdson3-Rdson4-Rs)*Table1[[#This Row],[Iin]])/Fsw,t1_Ph_II))</f>
        <v>7.9429186860527725E-7</v>
      </c>
      <c r="N87" s="602">
        <f>CHOOSE(Table1[[#This Row],[Mode Digit]],1/Fsw-Table1[[#This Row],[t1_Ph_II]],1/Fsw-Table1[[#This Row],[t1_Ph_II]],(Vout/Fsw-Table1[[#This Row],[Vin]]*t1_Ph_II)/(Table1[[#This Row],[Vin]]+Vout))</f>
        <v>8.7237479806138941E-7</v>
      </c>
      <c r="O87" s="602">
        <f>1/Fsw-(Table1[[#This Row],[t1_Ph_II]]+Table1[[#This Row],[t2_Ph_I]])</f>
        <v>0</v>
      </c>
      <c r="P8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9.5449160424927797</v>
      </c>
      <c r="Q87" s="4">
        <f>CHOOSE(Table1[[#This Row],[Mode Digit]],Table1[[#This Row],[I_0]]+1/Lf*(Table1[[#This Row],[Vin]]-Vout)*Table1[[#This Row],[t1_Ph_II]],Table1[[#This Row],[I_0]]+1/Lf*Table1[[#This Row],[Vin]]*Table1[[#This Row],[t1_Ph_II]],Table1[[#This Row],[I_0]]+(Table1[[#This Row],[Vin]]-Vout)/L*Table1[[#This Row],[t1_Ph_II]])</f>
        <v>14.45508395750722</v>
      </c>
      <c r="R87" s="4">
        <f>CHOOSE(Table1[[#This Row],[Mode Digit]],0,0,Table1[[#This Row],[I_1]]+Table1[[#This Row],[Vin]]/L*Table1[[#This Row],[t2_Ph_I]])</f>
        <v>0</v>
      </c>
      <c r="S87" s="4">
        <f>Fsw*(Table1[[#This Row],[I_0]]*Table1[[#This Row],[t1_Ph_II]]+Table1[[#This Row],[I_1]]*Table1[[#This Row],[t2_Ph_I]]+Table1[[#This Row],[I_2]]*Table1[[#This Row],[t3_Ph_III]])</f>
        <v>12.115020088477721</v>
      </c>
      <c r="T87" s="354">
        <f>MIN(1,CHOOSE(Table1[[#This Row],[Mode Digit]],(Vout+(Rdson2+Rs+Rdcr)*Table1[[#This Row],[Iout]])/(Table1[[#This Row],[Vin]]+(Rs+Rdson2-Rdson1)*Table1[[#This Row],[Iout]]),1,Fsw*Table1[[#This Row],[t2_Ph_I]]+Table1[[#This Row],[t1_Ph_II]]))</f>
        <v>0.47657512116316636</v>
      </c>
      <c r="U87" s="354">
        <f>MIN(1,CHOOSE(Table1[[#This Row],[Mode Digit]],0,(Vout+(Rdson3+Rdcr)*Table1[[#This Row],[Iin]]-Table1[[#This Row],[Vin]])/(Vout+(Rdson3-Rdson4-Rs)*Table1[[#This Row],[Iin]]),Fsw*Table1[[#This Row],[t1_Ph_II]]+Table1[[#This Row],[t3_Ph_III]]))</f>
        <v>0</v>
      </c>
      <c r="V87" s="4">
        <f>MAX(Table1[[#This Row],[I_0]:[I_2]])-MIN(Table1[[#This Row],[I_0]:[I_1]])</f>
        <v>4.9101679150144406</v>
      </c>
      <c r="W8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12.083424421335884</v>
      </c>
      <c r="X87" s="354">
        <f>(Table1[[#This Row],[Irms Lf]]^2*Rdcr*(1+Ltc*Ta-Ltc*25))/(1-Table1[[#This Row],[Irms Lf]]^2*Rdcr*Ltc*ThetaCa)</f>
        <v>0.90839522643713844</v>
      </c>
      <c r="Y87" s="354">
        <f>ABS(7.759*10^-3*Fsw^0.9458*(0.00787*Table1[[#This Row],[Ripple Current pk-pk]])^2.304)</f>
        <v>1.2571669774509338</v>
      </c>
      <c r="Z87" s="354">
        <f>Table1[[#This Row],[DCR    Loss]]+Table1[[#This Row],[Core Loss]]</f>
        <v>2.1655622038880722</v>
      </c>
      <c r="AA87" s="4">
        <f>IF(Table1[[#This Row],[Vin]]&gt;Vout, Table1[[#This Row],[Ripple Current pk-pk]]/SQRT(12), SQRT(Table1[[#This Row],[Duty Cycle BOOST Leg]]/(1-Table1[[#This Row],[Duty Cycle BOOST Leg]]))*SQRT(Table1[[#This Row],[Iout]]^2+(Table1[[#This Row],[Ripple Current pk-pk]]^2)/12))</f>
        <v>1.4174433837499254</v>
      </c>
      <c r="AB87" s="354">
        <f>RCoutEsr*Table1[[#This Row],[Irms Cout]]^2</f>
        <v>1.004572873068219E-2</v>
      </c>
      <c r="AC87" s="354">
        <f>Table1[[#This Row],[Cout ESR Loss]]</f>
        <v>1.004572873068219E-2</v>
      </c>
      <c r="AD87" s="354">
        <f>IF(Table1[[#This Row],[Vin]]&gt;Vout, SQRT(Table1[[#This Row],[Duty Cycle BUCK Leg]]*(1-Table1[[#This Row],[Duty Cycle BUCK Leg]]))*SQRT(Table1[[#This Row],[Iout]]^2+(Table1[[#This Row],[Ripple Current pk-pk]]^2)/12), Table1[[#This Row],[Ripple Current pk-pk]]/SQRT(12))</f>
        <v>6.0350780919182023</v>
      </c>
      <c r="AE87" s="354">
        <f>RCinEsr*Table1[[#This Row],[Irms Cin]]^2</f>
        <v>7.2844335151102099E-2</v>
      </c>
      <c r="AF87" s="549">
        <f>Table1[[#This Row],[Cin ESR Loss]]</f>
        <v>7.2844335151102099E-2</v>
      </c>
      <c r="AG8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8.3417220239525722</v>
      </c>
      <c r="AH87" s="354">
        <f>Rdson1*Table1[[#This Row],[Irms BuCtrl]]^2</f>
        <v>0.29225417056456071</v>
      </c>
      <c r="AI87" s="354">
        <f>CHOOSE(Table1[[#This Row],[Mode Digit]], (Table1[[#This Row],[Vin]]*Table1[[#This Row],[Iout]]/2)*(Fsw)*(Tr_buck+Tf_buck), 0, (Table1[[#This Row],[Vin]]*Table1[[#This Row],[Avg IL]]/2)*(Fsw/1)*(Tr_buck+Tf_buck))</f>
        <v>3.6793687904627204</v>
      </c>
      <c r="AJ87">
        <f>IF(Table1[[#This Row],[Vin]]&gt;Vout, IF(Table1[[#This Row],[Iout]]&gt;Table1[[#This Row],[Ripple Current pk-pk]]/2,0,ABS(Table1[[#This Row],[Iout]]-Table1[[#This Row],[Ripple Current pk-pk]]/2)*Vsd_Q1*Deadtime*Fsw),0)</f>
        <v>0</v>
      </c>
      <c r="AK87" s="354">
        <f>(Table1[[#This Row],[Dead Time Loss BuCtrl]]+Table1[[#This Row],[Transition Loss BuCtrl]]+Table1[[#This Row],[RDS(on) Loss BuCtrl]]*(1+RdsonTopTc*Ta-RdsonTopTc*25))/(1-Table1[[#This Row],[RDS(on) Loss BuCtrl]]*RdsonTopTc*ThetaJA_Q1)</f>
        <v>4.2712098985146936</v>
      </c>
      <c r="AL87" s="354">
        <f>CHOOSE(Table1[[#This Row],[Mode Digit]],SQRT((Fsw*(Table1[[#This Row],[t2_Ph_I]]+0))*((Table1[[#This Row],[I_0]]*Table1[[#This Row],[I_1]]+((Table1[[#This Row],[I_0]]-Table1[[#This Row],[I_1]])^2)/3))),0,SQRT((Fsw*(Table1[[#This Row],[t3_Ph_III]]+0))*((Table1[[#This Row],[I_0]]*Table1[[#This Row],[I_2]]+((Table1[[#This Row],[I_0]]-Table1[[#This Row],[I_2]])^2)/3))))</f>
        <v>8.7421289982041017</v>
      </c>
      <c r="AM87" s="354">
        <f>Rdson2*Table1[[#This Row],[Irms BuSync]]^2</f>
        <v>0.32098424156921246</v>
      </c>
      <c r="AN8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87" s="354">
        <f>(Table1[[#This Row],[Deadtime Loss BuSync]]+Table1[[#This Row],[RDS(on) Loss BuSync]]*(1+RdsonBotTc*Ta-RdsonBotTc*25))/(1-Table1[[#This Row],[RDS(on) Loss BuSync]]*RdsonBotTc*ThetaJA_Q2)</f>
        <v>0.9733379441728468</v>
      </c>
      <c r="AP87" s="354">
        <f>CHOOSE(Table1[[#This Row],[Mode Digit]],0,SQRT((Fsw*(Table1[[#This Row],[t1_Ph_II]]+0))*((Table1[[#This Row],[I_0]]*Table1[[#This Row],[I_1]]+((Table1[[#This Row],[I_0]]-Table1[[#This Row],[I_1]])^2)/3))),SQRT((Fsw*(Table1[[#This Row],[t2_Ph_I]]+0))*((Table1[[#This Row],[I_1]]*Table1[[#This Row],[I_2]]+((Table1[[#This Row],[I_1]]-Table1[[#This Row],[I_2]])^2)/3))))</f>
        <v>0</v>
      </c>
      <c r="AQ87" s="354">
        <f>Rdson4*Table1[[#This Row],[Irms BoCtlr]]^2</f>
        <v>0</v>
      </c>
      <c r="AR87" s="354">
        <f>CHOOSE(Table1[[#This Row],[Mode Digit]], 0, (Vout*Table1[[#This Row],[Iin]]/2)*(Fsw)*(Tr_boost+Tf_boost), (Vout*Iout/2)*(Fsw/1)*(Tr_boost+Tf_boost))</f>
        <v>0</v>
      </c>
      <c r="AS87">
        <f>IF(Table1[[#This Row],[Vin]]&gt;Vout, 0, IF(Table1[[#This Row],[Iin]]&gt;Table1[[#This Row],[Ripple Current pk-pk]]/2,0,ABS(Table1[[#This Row],[Iin]]-Table1[[#This Row],[Ripple Current pk-pk]]/2)*Vsd_Q4*Deadtime*Fsw))</f>
        <v>0</v>
      </c>
      <c r="AT87" s="354">
        <f>(Table1[[#This Row],[Dead Time Loss BoCtlr]]+Table1[[#This Row],[Transition Loss BoCtlr]]+Table1[[#This Row],[RDS(on) Loss BoCtlr]]*(1+RdsonTopTc*Ta-RdsonTopTc*25))/(1-Table1[[#This Row],[RDS(on) Loss BoCtlr]]*RdsonTopTc*ThetaJA_Q4)</f>
        <v>0</v>
      </c>
      <c r="AU8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12.083424421335884</v>
      </c>
      <c r="AV87" s="354">
        <f>Rdson3*Table1[[#This Row],[Irms BoSync]]^2</f>
        <v>0.61323841213377317</v>
      </c>
      <c r="AW8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87" s="354">
        <f>(Table1[[#This Row],[Deadtime Loss BoSync]]+Table1[[#This Row],[RDS(on) Loss BoSync]]*(1+RdsonBotTc*Ta-RdsonBotTc*25))/(1-Table1[[#This Row],[RDS(on) Loss BoSync]]*RdsonBotTc*ThetaJA_Q3)</f>
        <v>0.71906898564729005</v>
      </c>
      <c r="AY87" s="354">
        <f>CHOOSE(Table1[[#This Row],[Mode Digit]], Rdson3*Table1[[#This Row],[Irms Lf]]^2, Rdson1*Table1[[#This Row],[Irms Lf]]^2, 0)</f>
        <v>0.61323841213377317</v>
      </c>
      <c r="AZ87" s="354">
        <f>CHOOSE(Table1[[#This Row],[Mode Digit]], 2*Deadtime*Fsw*IF(VfdSky_Q2&gt;0,VfdSky_Q2,0)*Table1[[#This Row],[Iout]], 2*Deadtime*Fsw*IF(VfdSky_Q3&gt;0,VfdSky_Q3,0)*Table1[[#This Row],[Iin]], 2*Deadtime*Fsw*IF(VfdSky_Q2&gt;0,VfdSky_Q2,0)*Table1[[#This Row],[Iout]]+2*Deadtime*Fsw*IF(VfdSky_Q3&gt;0,VfdSky_Q3,0)*Table1[[#This Row],[Iin]])</f>
        <v>0</v>
      </c>
      <c r="BA87" s="354">
        <f>CHOOSE(Table1[[#This Row],[Mode Digit]], IF(QrrSky_Q2&gt;0,QrrSky_Q2,Qrr_Q2)*Fsw*(Table1[[#This Row],[Vin]]-Table1[[#This Row],[Iout]]*Rdson1),0,  IF(QrrSky_Q2&gt;0,QrrSky_Q2,Qrr_Q2)*Fsw*(Table1[[#This Row],[Vin]]-Table1[[#This Row],[Iout]]*Rdson1)+IF(QrrSky_Q3&gt;0,QrrSky_Q3,Qrr_Q3)*Fsw*Vout)</f>
        <v>0.37043520000000002</v>
      </c>
      <c r="BB87" s="354">
        <f>CHOOSE(Table1[[#This Row],[Mode Digit]],0, IF(QrrSky_Q3&gt;0,QrrSky_Q3,Qrr_Q3)*Fsw*Vout,  IF(QrrSky_Q2&gt;0,QrrSky_Q2,Qrr_Q2)*Fsw*(Table1[[#This Row],[Vin]]-Table1[[#This Row],[Iout]]*Rdson1)+IF(QrrSky_Q3&gt;0,QrrSky_Q3,Qrr_Q3)*Fsw*Vout)</f>
        <v>0</v>
      </c>
      <c r="BC87" s="354">
        <f>CHOOSE(Table1[[#This Row],[Mode Digit]], Rs*Table1[[#This Row],[Irms BuSync]]^2, Rs*Table1[[#This Row],[Irms BoCtlr]]^2, Rs*(Table1[[#This Row],[Irms BuSync]]^2+Table1[[#This Row],[Irms BoCtlr]]^2))</f>
        <v>0.19106204855310263</v>
      </c>
      <c r="BD87" s="354">
        <f t="shared" si="5"/>
        <v>1.44</v>
      </c>
      <c r="BE87" s="354">
        <f>IF(Vout&gt;8, Iq*Vout, Iq*Table1[[#This Row],[Vin]])</f>
        <v>4.3799999999999999E-2</v>
      </c>
      <c r="BF87" s="354">
        <f>CHOOSE(Table1[[#This Row],[Mode Digit]], (Qg_Q1+Qg_Q2)*Fsw, (Qg_Q3+Qg_Q4)*Fsw, (Qg_Q1+Qg_Q2+Qg_Q3+Qg_Q4)*Fsw)*IF(Vout&gt;8, Vout, Table1[[#This Row],[Vin]])</f>
        <v>0.47303999999999996</v>
      </c>
      <c r="BG87" s="354">
        <f t="shared" si="6"/>
        <v>0.45605042016806729</v>
      </c>
      <c r="BH87" s="354">
        <f>Table1[[#This Row],[IQ Loss]]+Table1[[#This Row],[Switching Current Loss]]</f>
        <v>0.51683999999999997</v>
      </c>
      <c r="BI8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10.730406344657789</v>
      </c>
      <c r="BJ87">
        <f>Vout*Table1[[#This Row],[Iout]]</f>
        <v>175.2</v>
      </c>
      <c r="BK87" s="550">
        <f>Table1[[#This Row],[Pout]]/(Table1[[#This Row],[Pout]]+Table1[[#This Row],[Total Loss]])</f>
        <v>0.94228804983749181</v>
      </c>
      <c r="BL8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256.2725939108816</v>
      </c>
      <c r="BM87" s="559">
        <f>IF(Table1[[#This Row],[Vin]]&gt;Vout, Table1[[#This Row],[Total Sync Bu MOSFET Loss]]*ThetaJA_Q2, ThetaJA_Q3*Table1[[#This Row],[Total Sync Bo MOSFET Loss]])</f>
        <v>58.400276650370806</v>
      </c>
      <c r="BN87" s="9"/>
      <c r="BO87" s="4">
        <f>Table1[[#This Row],[EFF, h]]*100</f>
        <v>94.228804983749185</v>
      </c>
      <c r="BP87" s="354">
        <f>Table1[[#This Row],[Total Inductor Loss]]</f>
        <v>2.1655622038880722</v>
      </c>
      <c r="BQ87" s="354">
        <f>Table1[[#This Row],[Total Control Bu MOSFET Loss]]+Table1[[#This Row],[Total Sync Bu MOSFET Loss]]+Table1[[#This Row],[Total Control Bo MOSFET Loss]]+Table1[[#This Row],[Total Sync Bo MOSFET Loss]]+Table1[[#This Row],[Reverse Recovery Loss MOSFET D BUCK]]+Table1[[#This Row],[Reverse Recovery Loss MOSFET D BOOST]]</f>
        <v>6.3340520283348303</v>
      </c>
      <c r="BR87" s="354">
        <f>Table1[[#This Row],[Total Control Bu MOSFET Loss]]+Table1[[#This Row],[Reverse Recovery Loss MOSFET D BUCK]]*0.66</f>
        <v>4.5156971305146936</v>
      </c>
      <c r="BS87" s="354">
        <f>Table1[[#This Row],[Total Sync Bu MOSFET Loss]]+Table1[[#This Row],[Reverse Recovery Loss MOSFET D BUCK]]*0.33</f>
        <v>1.0955815601728469</v>
      </c>
      <c r="BT87" s="354">
        <f xml:space="preserve"> Table1[[#This Row],[Total Control Bo MOSFET Loss]]+Table1[[#This Row],[Reverse Recovery Loss MOSFET D BOOST]]*0.66</f>
        <v>0</v>
      </c>
      <c r="BU87" s="354">
        <f xml:space="preserve"> Table1[[#This Row],[Total Sync Bo MOSFET Loss]]+Table1[[#This Row],[Reverse Recovery Loss MOSFET D BOOST]]*0.33</f>
        <v>0.71906898564729005</v>
      </c>
      <c r="BV87" s="354">
        <f>Table1[[#This Row],[Isense Shunt Loss]]</f>
        <v>0.19106204855310263</v>
      </c>
      <c r="CB87" s="18"/>
      <c r="CC87" s="19"/>
    </row>
    <row r="88" spans="1:81" x14ac:dyDescent="0.2">
      <c r="G88">
        <v>79</v>
      </c>
      <c r="H88" s="555">
        <f>VIN_min+(VIN_max-VIN_min)*(Table1[[#This Row],[Step]]/200)</f>
        <v>31.060000000000002</v>
      </c>
      <c r="I88" s="4" t="str">
        <f>IF(Mode = 2,IF(Table1[[#This Row],[Vin]]&gt;Vout, "BUCK","BOOST"),IF(Table1[[#This Row],[Vin]]&gt;VIN_BB_to_buck, "BUCK", IF(Table1[[#This Row],[Vin]]&lt;=VIN_boost_to_BB,"BOOST","BUCK-BST")))</f>
        <v>BUCK</v>
      </c>
      <c r="J88">
        <f>IF(Table1[[#This Row],[Mode]]="BOOST",2, IF(Table1[[#This Row],[Mode]]="BUCK", 1,3))</f>
        <v>1</v>
      </c>
      <c r="K88">
        <f t="shared" si="4"/>
        <v>12</v>
      </c>
      <c r="L88" s="4">
        <f>Vout*Table1[[#This Row],[Iout]]/(Table1[[#This Row],[Vin]]*Efficiency)</f>
        <v>5.9375741349510278</v>
      </c>
      <c r="M88" s="711">
        <f>MIN(1/Fsw,CHOOSE(Table1[[#This Row],[Mode Digit]],(Vout+(Rdson2+Rs+Rdcr)*Table1[[#This Row],[Iout]])/(Table1[[#This Row],[Vin]]+(Rs+Rdson2-Rdson1)*Table1[[#This Row],[Iout]])/Fsw,(Vout+(Rdson3+Rdcr)*Table1[[#This Row],[Iin]]-Table1[[#This Row],[Vin]])/(Vout+(Rdson3-Rdson4-Rs)*Table1[[#This Row],[Iin]])/Fsw,t1_Ph_II))</f>
        <v>7.9071512812265464E-7</v>
      </c>
      <c r="N88" s="602">
        <f>CHOOSE(Table1[[#This Row],[Mode Digit]],1/Fsw-Table1[[#This Row],[t1_Ph_II]],1/Fsw-Table1[[#This Row],[t1_Ph_II]],(Vout/Fsw-Table1[[#This Row],[Vin]]*t1_Ph_II)/(Table1[[#This Row],[Vin]]+Vout))</f>
        <v>8.7595153854401202E-7</v>
      </c>
      <c r="O88" s="602">
        <f>1/Fsw-(Table1[[#This Row],[t1_Ph_II]]+Table1[[#This Row],[t2_Ph_I]])</f>
        <v>0</v>
      </c>
      <c r="P8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9.5350054907388451</v>
      </c>
      <c r="Q88" s="4">
        <f>CHOOSE(Table1[[#This Row],[Mode Digit]],Table1[[#This Row],[I_0]]+1/Lf*(Table1[[#This Row],[Vin]]-Vout)*Table1[[#This Row],[t1_Ph_II]],Table1[[#This Row],[I_0]]+1/Lf*Table1[[#This Row],[Vin]]*Table1[[#This Row],[t1_Ph_II]],Table1[[#This Row],[I_0]]+(Table1[[#This Row],[Vin]]-Vout)/L*Table1[[#This Row],[t1_Ph_II]])</f>
        <v>14.464994509261153</v>
      </c>
      <c r="R88" s="4">
        <f>CHOOSE(Table1[[#This Row],[Mode Digit]],0,0,Table1[[#This Row],[I_1]]+Table1[[#This Row],[Vin]]/L*Table1[[#This Row],[t2_Ph_I]])</f>
        <v>0</v>
      </c>
      <c r="S88" s="4">
        <f>Fsw*(Table1[[#This Row],[I_0]]*Table1[[#This Row],[t1_Ph_II]]+Table1[[#This Row],[I_1]]*Table1[[#This Row],[t2_Ph_I]]+Table1[[#This Row],[I_2]]*Table1[[#This Row],[t3_Ph_III]])</f>
        <v>12.126064370206665</v>
      </c>
      <c r="T88" s="354">
        <f>MIN(1,CHOOSE(Table1[[#This Row],[Mode Digit]],(Vout+(Rdson2+Rs+Rdcr)*Table1[[#This Row],[Iout]])/(Table1[[#This Row],[Vin]]+(Rs+Rdson2-Rdson1)*Table1[[#This Row],[Iout]]),1,Fsw*Table1[[#This Row],[t2_Ph_I]]+Table1[[#This Row],[t1_Ph_II]]))</f>
        <v>0.47442907687359276</v>
      </c>
      <c r="U88" s="354">
        <f>MIN(1,CHOOSE(Table1[[#This Row],[Mode Digit]],0,(Vout+(Rdson3+Rdcr)*Table1[[#This Row],[Iin]]-Table1[[#This Row],[Vin]])/(Vout+(Rdson3-Rdson4-Rs)*Table1[[#This Row],[Iin]]),Fsw*Table1[[#This Row],[t1_Ph_II]]+Table1[[#This Row],[t3_Ph_III]]))</f>
        <v>0</v>
      </c>
      <c r="V88" s="4">
        <f>MAX(Table1[[#This Row],[I_0]:[I_2]])-MIN(Table1[[#This Row],[I_0]:[I_1]])</f>
        <v>4.9299890185223081</v>
      </c>
      <c r="W8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12.084096958822748</v>
      </c>
      <c r="X88" s="354">
        <f>(Table1[[#This Row],[Irms Lf]]^2*Rdcr*(1+Ltc*Ta-Ltc*25))/(1-Table1[[#This Row],[Irms Lf]]^2*Rdcr*Ltc*ThetaCa)</f>
        <v>0.90850369744977333</v>
      </c>
      <c r="Y88" s="354">
        <f>ABS(7.759*10^-3*Fsw^0.9458*(0.00787*Table1[[#This Row],[Ripple Current pk-pk]])^2.304)</f>
        <v>1.2688902519587593</v>
      </c>
      <c r="Z88" s="354">
        <f>Table1[[#This Row],[DCR    Loss]]+Table1[[#This Row],[Core Loss]]</f>
        <v>2.1773939494085326</v>
      </c>
      <c r="AA88" s="4">
        <f>IF(Table1[[#This Row],[Vin]]&gt;Vout, Table1[[#This Row],[Ripple Current pk-pk]]/SQRT(12), SQRT(Table1[[#This Row],[Duty Cycle BOOST Leg]]/(1-Table1[[#This Row],[Duty Cycle BOOST Leg]]))*SQRT(Table1[[#This Row],[Iout]]^2+(Table1[[#This Row],[Ripple Current pk-pk]]^2)/12))</f>
        <v>1.4231652434728768</v>
      </c>
      <c r="AB88" s="354">
        <f>RCoutEsr*Table1[[#This Row],[Irms Cout]]^2</f>
        <v>1.0126996551146064E-2</v>
      </c>
      <c r="AC88" s="354">
        <f>Table1[[#This Row],[Cout ESR Loss]]</f>
        <v>1.0126996551146064E-2</v>
      </c>
      <c r="AD88" s="354">
        <f>IF(Table1[[#This Row],[Vin]]&gt;Vout, SQRT(Table1[[#This Row],[Duty Cycle BUCK Leg]]*(1-Table1[[#This Row],[Duty Cycle BUCK Leg]]))*SQRT(Table1[[#This Row],[Iout]]^2+(Table1[[#This Row],[Ripple Current pk-pk]]^2)/12), Table1[[#This Row],[Ripple Current pk-pk]]/SQRT(12))</f>
        <v>6.0341418521331089</v>
      </c>
      <c r="AE88" s="354">
        <f>RCinEsr*Table1[[#This Row],[Irms Cin]]^2</f>
        <v>7.2821735783328775E-2</v>
      </c>
      <c r="AF88" s="549">
        <f>Table1[[#This Row],[Cin ESR Loss]]</f>
        <v>7.2821735783328775E-2</v>
      </c>
      <c r="AG8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8.3233824491518948</v>
      </c>
      <c r="AH88" s="354">
        <f>Rdson1*Table1[[#This Row],[Irms BuCtrl]]^2</f>
        <v>0.29097052065836915</v>
      </c>
      <c r="AI88" s="354">
        <f>CHOOSE(Table1[[#This Row],[Mode Digit]], (Table1[[#This Row],[Vin]]*Table1[[#This Row],[Iout]]/2)*(Fsw)*(Tr_buck+Tf_buck), 0, (Table1[[#This Row],[Vin]]*Table1[[#This Row],[Avg IL]]/2)*(Fsw/1)*(Tr_buck+Tf_buck))</f>
        <v>3.6960282869266532</v>
      </c>
      <c r="AJ88">
        <f>IF(Table1[[#This Row],[Vin]]&gt;Vout, IF(Table1[[#This Row],[Iout]]&gt;Table1[[#This Row],[Ripple Current pk-pk]]/2,0,ABS(Table1[[#This Row],[Iout]]-Table1[[#This Row],[Ripple Current pk-pk]]/2)*Vsd_Q1*Deadtime*Fsw),0)</f>
        <v>0</v>
      </c>
      <c r="AK88" s="354">
        <f>(Table1[[#This Row],[Dead Time Loss BuCtrl]]+Table1[[#This Row],[Transition Loss BuCtrl]]+Table1[[#This Row],[RDS(on) Loss BuCtrl]]*(1+RdsonTopTc*Ta-RdsonTopTc*25))/(1-Table1[[#This Row],[RDS(on) Loss BuCtrl]]*RdsonTopTc*ThetaJA_Q1)</f>
        <v>4.2863254511615922</v>
      </c>
      <c r="AL88" s="354">
        <f>CHOOSE(Table1[[#This Row],[Mode Digit]],SQRT((Fsw*(Table1[[#This Row],[t2_Ph_I]]+0))*((Table1[[#This Row],[I_0]]*Table1[[#This Row],[I_1]]+((Table1[[#This Row],[I_0]]-Table1[[#This Row],[I_1]])^2)/3))),0,SQRT((Fsw*(Table1[[#This Row],[t3_Ph_III]]+0))*((Table1[[#This Row],[I_0]]*Table1[[#This Row],[I_2]]+((Table1[[#This Row],[I_0]]-Table1[[#This Row],[I_2]])^2)/3))))</f>
        <v>8.7605196144623392</v>
      </c>
      <c r="AM88" s="354">
        <f>Rdson2*Table1[[#This Row],[Irms BuSync]]^2</f>
        <v>0.3223361564445934</v>
      </c>
      <c r="AN8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88" s="354">
        <f>(Table1[[#This Row],[Deadtime Loss BuSync]]+Table1[[#This Row],[RDS(on) Loss BuSync]]*(1+RdsonBotTc*Ta-RdsonBotTc*25))/(1-Table1[[#This Row],[RDS(on) Loss BuSync]]*RdsonBotTc*ThetaJA_Q2)</f>
        <v>0.97514550173701653</v>
      </c>
      <c r="AP88" s="354">
        <f>CHOOSE(Table1[[#This Row],[Mode Digit]],0,SQRT((Fsw*(Table1[[#This Row],[t1_Ph_II]]+0))*((Table1[[#This Row],[I_0]]*Table1[[#This Row],[I_1]]+((Table1[[#This Row],[I_0]]-Table1[[#This Row],[I_1]])^2)/3))),SQRT((Fsw*(Table1[[#This Row],[t2_Ph_I]]+0))*((Table1[[#This Row],[I_1]]*Table1[[#This Row],[I_2]]+((Table1[[#This Row],[I_1]]-Table1[[#This Row],[I_2]])^2)/3))))</f>
        <v>0</v>
      </c>
      <c r="AQ88" s="354">
        <f>Rdson4*Table1[[#This Row],[Irms BoCtlr]]^2</f>
        <v>0</v>
      </c>
      <c r="AR88" s="354">
        <f>CHOOSE(Table1[[#This Row],[Mode Digit]], 0, (Vout*Table1[[#This Row],[Iin]]/2)*(Fsw)*(Tr_boost+Tf_boost), (Vout*Iout/2)*(Fsw/1)*(Tr_boost+Tf_boost))</f>
        <v>0</v>
      </c>
      <c r="AS88">
        <f>IF(Table1[[#This Row],[Vin]]&gt;Vout, 0, IF(Table1[[#This Row],[Iin]]&gt;Table1[[#This Row],[Ripple Current pk-pk]]/2,0,ABS(Table1[[#This Row],[Iin]]-Table1[[#This Row],[Ripple Current pk-pk]]/2)*Vsd_Q4*Deadtime*Fsw))</f>
        <v>0</v>
      </c>
      <c r="AT88" s="354">
        <f>(Table1[[#This Row],[Dead Time Loss BoCtlr]]+Table1[[#This Row],[Transition Loss BoCtlr]]+Table1[[#This Row],[RDS(on) Loss BoCtlr]]*(1+RdsonTopTc*Ta-RdsonTopTc*25))/(1-Table1[[#This Row],[RDS(on) Loss BoCtlr]]*RdsonTopTc*ThetaJA_Q4)</f>
        <v>0</v>
      </c>
      <c r="AU8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12.084096958822748</v>
      </c>
      <c r="AV88" s="354">
        <f>Rdson3*Table1[[#This Row],[Irms BoSync]]^2</f>
        <v>0.61330667710296261</v>
      </c>
      <c r="AW8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88" s="354">
        <f>(Table1[[#This Row],[Deadtime Loss BoSync]]+Table1[[#This Row],[RDS(on) Loss BoSync]]*(1+RdsonBotTc*Ta-RdsonBotTc*25))/(1-Table1[[#This Row],[RDS(on) Loss BoSync]]*RdsonBotTc*ThetaJA_Q3)</f>
        <v>0.719162847399196</v>
      </c>
      <c r="AY88" s="354">
        <f>CHOOSE(Table1[[#This Row],[Mode Digit]], Rdson3*Table1[[#This Row],[Irms Lf]]^2, Rdson1*Table1[[#This Row],[Irms Lf]]^2, 0)</f>
        <v>0.61330667710296261</v>
      </c>
      <c r="AZ88" s="354">
        <f>CHOOSE(Table1[[#This Row],[Mode Digit]], 2*Deadtime*Fsw*IF(VfdSky_Q2&gt;0,VfdSky_Q2,0)*Table1[[#This Row],[Iout]], 2*Deadtime*Fsw*IF(VfdSky_Q3&gt;0,VfdSky_Q3,0)*Table1[[#This Row],[Iin]], 2*Deadtime*Fsw*IF(VfdSky_Q2&gt;0,VfdSky_Q2,0)*Table1[[#This Row],[Iout]]+2*Deadtime*Fsw*IF(VfdSky_Q3&gt;0,VfdSky_Q3,0)*Table1[[#This Row],[Iin]])</f>
        <v>0</v>
      </c>
      <c r="BA88" s="354">
        <f>CHOOSE(Table1[[#This Row],[Mode Digit]], IF(QrrSky_Q2&gt;0,QrrSky_Q2,Qrr_Q2)*Fsw*(Table1[[#This Row],[Vin]]-Table1[[#This Row],[Iout]]*Rdson1),0,  IF(QrrSky_Q2&gt;0,QrrSky_Q2,Qrr_Q2)*Fsw*(Table1[[#This Row],[Vin]]-Table1[[#This Row],[Iout]]*Rdson1)+IF(QrrSky_Q3&gt;0,QrrSky_Q3,Qrr_Q3)*Fsw*Vout)</f>
        <v>0.37211520000000003</v>
      </c>
      <c r="BB88" s="354">
        <f>CHOOSE(Table1[[#This Row],[Mode Digit]],0, IF(QrrSky_Q3&gt;0,QrrSky_Q3,Qrr_Q3)*Fsw*Vout,  IF(QrrSky_Q2&gt;0,QrrSky_Q2,Qrr_Q2)*Fsw*(Table1[[#This Row],[Vin]]-Table1[[#This Row],[Iout]]*Rdson1)+IF(QrrSky_Q3&gt;0,QrrSky_Q3,Qrr_Q3)*Fsw*Vout)</f>
        <v>0</v>
      </c>
      <c r="BC88" s="354">
        <f>CHOOSE(Table1[[#This Row],[Mode Digit]], Rs*Table1[[#This Row],[Irms BuSync]]^2, Rs*Table1[[#This Row],[Irms BoCtlr]]^2, Rs*(Table1[[#This Row],[Irms BuSync]]^2+Table1[[#This Row],[Irms BoCtlr]]^2))</f>
        <v>0.19186675978844844</v>
      </c>
      <c r="BD88" s="354">
        <f t="shared" si="5"/>
        <v>1.44</v>
      </c>
      <c r="BE88" s="354">
        <f>IF(Vout&gt;8, Iq*Vout, Iq*Table1[[#This Row],[Vin]])</f>
        <v>4.3799999999999999E-2</v>
      </c>
      <c r="BF88" s="354">
        <f>CHOOSE(Table1[[#This Row],[Mode Digit]], (Qg_Q1+Qg_Q2)*Fsw, (Qg_Q3+Qg_Q4)*Fsw, (Qg_Q1+Qg_Q2+Qg_Q3+Qg_Q4)*Fsw)*IF(Vout&gt;8, Vout, Table1[[#This Row],[Vin]])</f>
        <v>0.47303999999999996</v>
      </c>
      <c r="BG88" s="354">
        <f t="shared" si="6"/>
        <v>0.45605042016806729</v>
      </c>
      <c r="BH88" s="354">
        <f>Table1[[#This Row],[IQ Loss]]+Table1[[#This Row],[Switching Current Loss]]</f>
        <v>0.51683999999999997</v>
      </c>
      <c r="BI8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10.76179844182926</v>
      </c>
      <c r="BJ88">
        <f>Vout*Table1[[#This Row],[Iout]]</f>
        <v>175.2</v>
      </c>
      <c r="BK88" s="550">
        <f>Table1[[#This Row],[Pout]]/(Table1[[#This Row],[Pout]]+Table1[[#This Row],[Total Loss]])</f>
        <v>0.9421289827695678</v>
      </c>
      <c r="BL8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257.17952706969555</v>
      </c>
      <c r="BM88" s="559">
        <f>IF(Table1[[#This Row],[Vin]]&gt;Vout, Table1[[#This Row],[Total Sync Bu MOSFET Loss]]*ThetaJA_Q2, ThetaJA_Q3*Table1[[#This Row],[Total Sync Bo MOSFET Loss]])</f>
        <v>58.508730104220994</v>
      </c>
      <c r="BN88" s="9"/>
      <c r="BO88" s="4">
        <f>Table1[[#This Row],[EFF, h]]*100</f>
        <v>94.212898276956778</v>
      </c>
      <c r="BP88" s="354">
        <f>Table1[[#This Row],[Total Inductor Loss]]</f>
        <v>2.1773939494085326</v>
      </c>
      <c r="BQ88" s="354">
        <f>Table1[[#This Row],[Total Control Bu MOSFET Loss]]+Table1[[#This Row],[Total Sync Bu MOSFET Loss]]+Table1[[#This Row],[Total Control Bo MOSFET Loss]]+Table1[[#This Row],[Total Sync Bo MOSFET Loss]]+Table1[[#This Row],[Reverse Recovery Loss MOSFET D BUCK]]+Table1[[#This Row],[Reverse Recovery Loss MOSFET D BOOST]]</f>
        <v>6.3527490002978046</v>
      </c>
      <c r="BR88" s="354">
        <f>Table1[[#This Row],[Total Control Bu MOSFET Loss]]+Table1[[#This Row],[Reverse Recovery Loss MOSFET D BUCK]]*0.66</f>
        <v>4.5319214831615922</v>
      </c>
      <c r="BS88" s="354">
        <f>Table1[[#This Row],[Total Sync Bu MOSFET Loss]]+Table1[[#This Row],[Reverse Recovery Loss MOSFET D BUCK]]*0.33</f>
        <v>1.0979435177370165</v>
      </c>
      <c r="BT88" s="354">
        <f xml:space="preserve"> Table1[[#This Row],[Total Control Bo MOSFET Loss]]+Table1[[#This Row],[Reverse Recovery Loss MOSFET D BOOST]]*0.66</f>
        <v>0</v>
      </c>
      <c r="BU88" s="354">
        <f xml:space="preserve"> Table1[[#This Row],[Total Sync Bo MOSFET Loss]]+Table1[[#This Row],[Reverse Recovery Loss MOSFET D BOOST]]*0.33</f>
        <v>0.719162847399196</v>
      </c>
      <c r="BV88" s="354">
        <f>Table1[[#This Row],[Isense Shunt Loss]]</f>
        <v>0.19186675978844844</v>
      </c>
      <c r="CB88" s="18"/>
      <c r="CC88" s="19"/>
    </row>
    <row r="89" spans="1:81" x14ac:dyDescent="0.2">
      <c r="G89">
        <v>80</v>
      </c>
      <c r="H89" s="555">
        <f>VIN_min+(VIN_max-VIN_min)*(Table1[[#This Row],[Step]]/200)</f>
        <v>31.200000000000003</v>
      </c>
      <c r="I89" s="4" t="str">
        <f>IF(Mode = 2,IF(Table1[[#This Row],[Vin]]&gt;Vout, "BUCK","BOOST"),IF(Table1[[#This Row],[Vin]]&gt;VIN_BB_to_buck, "BUCK", IF(Table1[[#This Row],[Vin]]&lt;=VIN_boost_to_BB,"BOOST","BUCK-BST")))</f>
        <v>BUCK</v>
      </c>
      <c r="J89">
        <f>IF(Table1[[#This Row],[Mode]]="BOOST",2, IF(Table1[[#This Row],[Mode]]="BUCK", 1,3))</f>
        <v>1</v>
      </c>
      <c r="K89">
        <f t="shared" si="4"/>
        <v>12</v>
      </c>
      <c r="L89" s="4">
        <f>Vout*Table1[[#This Row],[Iout]]/(Table1[[#This Row],[Vin]]*Efficiency)</f>
        <v>5.9109311740890682</v>
      </c>
      <c r="M89" s="711">
        <f>MIN(1/Fsw,CHOOSE(Table1[[#This Row],[Mode Digit]],(Vout+(Rdson2+Rs+Rdcr)*Table1[[#This Row],[Iout]])/(Table1[[#This Row],[Vin]]+(Rs+Rdson2-Rdson1)*Table1[[#This Row],[Iout]])/Fsw,(Vout+(Rdson3+Rdcr)*Table1[[#This Row],[Iin]]-Table1[[#This Row],[Vin]])/(Vout+(Rdson3-Rdson4-Rs)*Table1[[#This Row],[Iin]])/Fsw,t1_Ph_II))</f>
        <v>7.8717045575835192E-7</v>
      </c>
      <c r="N89" s="602">
        <f>CHOOSE(Table1[[#This Row],[Mode Digit]],1/Fsw-Table1[[#This Row],[t1_Ph_II]],1/Fsw-Table1[[#This Row],[t1_Ph_II]],(Vout/Fsw-Table1[[#This Row],[Vin]]*t1_Ph_II)/(Table1[[#This Row],[Vin]]+Vout))</f>
        <v>8.7949621090831475E-7</v>
      </c>
      <c r="O89" s="602">
        <f>1/Fsw-(Table1[[#This Row],[t1_Ph_II]]+Table1[[#This Row],[t2_Ph_I]])</f>
        <v>0</v>
      </c>
      <c r="P8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9.5251837943960904</v>
      </c>
      <c r="Q89" s="4">
        <f>CHOOSE(Table1[[#This Row],[Mode Digit]],Table1[[#This Row],[I_0]]+1/Lf*(Table1[[#This Row],[Vin]]-Vout)*Table1[[#This Row],[t1_Ph_II]],Table1[[#This Row],[I_0]]+1/Lf*Table1[[#This Row],[Vin]]*Table1[[#This Row],[t1_Ph_II]],Table1[[#This Row],[I_0]]+(Table1[[#This Row],[Vin]]-Vout)/L*Table1[[#This Row],[t1_Ph_II]])</f>
        <v>14.47481620560391</v>
      </c>
      <c r="R89" s="4">
        <f>CHOOSE(Table1[[#This Row],[Mode Digit]],0,0,Table1[[#This Row],[I_1]]+Table1[[#This Row],[Vin]]/L*Table1[[#This Row],[t2_Ph_I]])</f>
        <v>0</v>
      </c>
      <c r="S89" s="4">
        <f>Fsw*(Table1[[#This Row],[I_0]]*Table1[[#This Row],[t1_Ph_II]]+Table1[[#This Row],[I_1]]*Table1[[#This Row],[t2_Ph_I]]+Table1[[#This Row],[I_2]]*Table1[[#This Row],[t3_Ph_III]])</f>
        <v>12.137093565023848</v>
      </c>
      <c r="T89" s="354">
        <f>MIN(1,CHOOSE(Table1[[#This Row],[Mode Digit]],(Vout+(Rdson2+Rs+Rdcr)*Table1[[#This Row],[Iout]])/(Table1[[#This Row],[Vin]]+(Rs+Rdson2-Rdson1)*Table1[[#This Row],[Iout]]),1,Fsw*Table1[[#This Row],[t2_Ph_I]]+Table1[[#This Row],[t1_Ph_II]]))</f>
        <v>0.47230227345501113</v>
      </c>
      <c r="U89" s="354">
        <f>MIN(1,CHOOSE(Table1[[#This Row],[Mode Digit]],0,(Vout+(Rdson3+Rdcr)*Table1[[#This Row],[Iin]]-Table1[[#This Row],[Vin]])/(Vout+(Rdson3-Rdson4-Rs)*Table1[[#This Row],[Iin]]),Fsw*Table1[[#This Row],[t1_Ph_II]]+Table1[[#This Row],[t3_Ph_III]]))</f>
        <v>0</v>
      </c>
      <c r="V89" s="4">
        <f>MAX(Table1[[#This Row],[I_0]:[I_2]])-MIN(Table1[[#This Row],[I_0]:[I_1]])</f>
        <v>4.9496324112078192</v>
      </c>
      <c r="W8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12.084766102432706</v>
      </c>
      <c r="X89" s="354">
        <f>(Table1[[#This Row],[Irms Lf]]^2*Rdcr*(1+Ltc*Ta-Ltc*25))/(1-Table1[[#This Row],[Irms Lf]]^2*Rdcr*Ltc*ThetaCa)</f>
        <v>0.90861162881029922</v>
      </c>
      <c r="Y89" s="354">
        <f>ABS(7.759*10^-3*Fsw^0.9458*(0.00787*Table1[[#This Row],[Ripple Current pk-pk]])^2.304)</f>
        <v>1.2805692158582445</v>
      </c>
      <c r="Z89" s="354">
        <f>Table1[[#This Row],[DCR    Loss]]+Table1[[#This Row],[Core Loss]]</f>
        <v>2.1891808446685435</v>
      </c>
      <c r="AA89" s="4">
        <f>IF(Table1[[#This Row],[Vin]]&gt;Vout, Table1[[#This Row],[Ripple Current pk-pk]]/SQRT(12), SQRT(Table1[[#This Row],[Duty Cycle BOOST Leg]]/(1-Table1[[#This Row],[Duty Cycle BOOST Leg]]))*SQRT(Table1[[#This Row],[Iout]]^2+(Table1[[#This Row],[Ripple Current pk-pk]]^2)/12))</f>
        <v>1.4288358025002654</v>
      </c>
      <c r="AB89" s="354">
        <f>RCoutEsr*Table1[[#This Row],[Irms Cout]]^2</f>
        <v>1.0207858752532889E-2</v>
      </c>
      <c r="AC89" s="354">
        <f>Table1[[#This Row],[Cout ESR Loss]]</f>
        <v>1.0207858752532889E-2</v>
      </c>
      <c r="AD89" s="354">
        <f>IF(Table1[[#This Row],[Vin]]&gt;Vout, SQRT(Table1[[#This Row],[Duty Cycle BUCK Leg]]*(1-Table1[[#This Row],[Duty Cycle BUCK Leg]]))*SQRT(Table1[[#This Row],[Iout]]^2+(Table1[[#This Row],[Ripple Current pk-pk]]^2)/12), Table1[[#This Row],[Ripple Current pk-pk]]/SQRT(12))</f>
        <v>6.0331049297300323</v>
      </c>
      <c r="AE89" s="354">
        <f>RCinEsr*Table1[[#This Row],[Irms Cin]]^2</f>
        <v>7.2796710186265642E-2</v>
      </c>
      <c r="AF89" s="549">
        <f>Table1[[#This Row],[Cin ESR Loss]]</f>
        <v>7.2796710186265642E-2</v>
      </c>
      <c r="AG8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8.3051650409072177</v>
      </c>
      <c r="AH89" s="354">
        <f>Rdson1*Table1[[#This Row],[Irms BuCtrl]]^2</f>
        <v>0.28969821869817103</v>
      </c>
      <c r="AI89" s="354">
        <f>CHOOSE(Table1[[#This Row],[Mode Digit]], (Table1[[#This Row],[Vin]]*Table1[[#This Row],[Iout]]/2)*(Fsw)*(Tr_buck+Tf_buck), 0, (Table1[[#This Row],[Vin]]*Table1[[#This Row],[Avg IL]]/2)*(Fsw/1)*(Tr_buck+Tf_buck))</f>
        <v>3.7126877833905851</v>
      </c>
      <c r="AJ89">
        <f>IF(Table1[[#This Row],[Vin]]&gt;Vout, IF(Table1[[#This Row],[Iout]]&gt;Table1[[#This Row],[Ripple Current pk-pk]]/2,0,ABS(Table1[[#This Row],[Iout]]-Table1[[#This Row],[Ripple Current pk-pk]]/2)*Vsd_Q1*Deadtime*Fsw),0)</f>
        <v>0</v>
      </c>
      <c r="AK89" s="354">
        <f>(Table1[[#This Row],[Dead Time Loss BuCtrl]]+Table1[[#This Row],[Transition Loss BuCtrl]]+Table1[[#This Row],[RDS(on) Loss BuCtrl]]*(1+RdsonTopTc*Ta-RdsonTopTc*25))/(1-Table1[[#This Row],[RDS(on) Loss BuCtrl]]*RdsonTopTc*ThetaJA_Q1)</f>
        <v>4.3014557806821747</v>
      </c>
      <c r="AL89" s="354">
        <f>CHOOSE(Table1[[#This Row],[Mode Digit]],SQRT((Fsw*(Table1[[#This Row],[t2_Ph_I]]+0))*((Table1[[#This Row],[I_0]]*Table1[[#This Row],[I_1]]+((Table1[[#This Row],[I_0]]-Table1[[#This Row],[I_1]])^2)/3))),0,SQRT((Fsw*(Table1[[#This Row],[t3_Ph_III]]+0))*((Table1[[#This Row],[I_0]]*Table1[[#This Row],[I_2]]+((Table1[[#This Row],[I_0]]-Table1[[#This Row],[I_2]])^2)/3))))</f>
        <v>8.7787131969212417</v>
      </c>
      <c r="AM89" s="354">
        <f>Rdson2*Table1[[#This Row],[Irms BuSync]]^2</f>
        <v>0.32367638265395654</v>
      </c>
      <c r="AN8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89" s="354">
        <f>(Table1[[#This Row],[Deadtime Loss BuSync]]+Table1[[#This Row],[RDS(on) Loss BuSync]]*(1+RdsonBotTc*Ta-RdsonBotTc*25))/(1-Table1[[#This Row],[RDS(on) Loss BuSync]]*RdsonBotTc*ThetaJA_Q2)</f>
        <v>0.97693868645059367</v>
      </c>
      <c r="AP89" s="354">
        <f>CHOOSE(Table1[[#This Row],[Mode Digit]],0,SQRT((Fsw*(Table1[[#This Row],[t1_Ph_II]]+0))*((Table1[[#This Row],[I_0]]*Table1[[#This Row],[I_1]]+((Table1[[#This Row],[I_0]]-Table1[[#This Row],[I_1]])^2)/3))),SQRT((Fsw*(Table1[[#This Row],[t2_Ph_I]]+0))*((Table1[[#This Row],[I_1]]*Table1[[#This Row],[I_2]]+((Table1[[#This Row],[I_1]]-Table1[[#This Row],[I_2]])^2)/3))))</f>
        <v>0</v>
      </c>
      <c r="AQ89" s="354">
        <f>Rdson4*Table1[[#This Row],[Irms BoCtlr]]^2</f>
        <v>0</v>
      </c>
      <c r="AR89" s="354">
        <f>CHOOSE(Table1[[#This Row],[Mode Digit]], 0, (Vout*Table1[[#This Row],[Iin]]/2)*(Fsw)*(Tr_boost+Tf_boost), (Vout*Iout/2)*(Fsw/1)*(Tr_boost+Tf_boost))</f>
        <v>0</v>
      </c>
      <c r="AS89">
        <f>IF(Table1[[#This Row],[Vin]]&gt;Vout, 0, IF(Table1[[#This Row],[Iin]]&gt;Table1[[#This Row],[Ripple Current pk-pk]]/2,0,ABS(Table1[[#This Row],[Iin]]-Table1[[#This Row],[Ripple Current pk-pk]]/2)*Vsd_Q4*Deadtime*Fsw))</f>
        <v>0</v>
      </c>
      <c r="AT89" s="354">
        <f>(Table1[[#This Row],[Dead Time Loss BoCtlr]]+Table1[[#This Row],[Transition Loss BoCtlr]]+Table1[[#This Row],[RDS(on) Loss BoCtlr]]*(1+RdsonTopTc*Ta-RdsonTopTc*25))/(1-Table1[[#This Row],[RDS(on) Loss BoCtlr]]*RdsonTopTc*ThetaJA_Q4)</f>
        <v>0</v>
      </c>
      <c r="AU8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12.084766102432706</v>
      </c>
      <c r="AV89" s="354">
        <f>Rdson3*Table1[[#This Row],[Irms BoSync]]^2</f>
        <v>0.61337460135212762</v>
      </c>
      <c r="AW8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89" s="354">
        <f>(Table1[[#This Row],[Deadtime Loss BoSync]]+Table1[[#This Row],[RDS(on) Loss BoSync]]*(1+RdsonBotTc*Ta-RdsonBotTc*25))/(1-Table1[[#This Row],[RDS(on) Loss BoSync]]*RdsonBotTc*ThetaJA_Q3)</f>
        <v>0.71925624425349088</v>
      </c>
      <c r="AY89" s="354">
        <f>CHOOSE(Table1[[#This Row],[Mode Digit]], Rdson3*Table1[[#This Row],[Irms Lf]]^2, Rdson1*Table1[[#This Row],[Irms Lf]]^2, 0)</f>
        <v>0.61337460135212762</v>
      </c>
      <c r="AZ89" s="354">
        <f>CHOOSE(Table1[[#This Row],[Mode Digit]], 2*Deadtime*Fsw*IF(VfdSky_Q2&gt;0,VfdSky_Q2,0)*Table1[[#This Row],[Iout]], 2*Deadtime*Fsw*IF(VfdSky_Q3&gt;0,VfdSky_Q3,0)*Table1[[#This Row],[Iin]], 2*Deadtime*Fsw*IF(VfdSky_Q2&gt;0,VfdSky_Q2,0)*Table1[[#This Row],[Iout]]+2*Deadtime*Fsw*IF(VfdSky_Q3&gt;0,VfdSky_Q3,0)*Table1[[#This Row],[Iin]])</f>
        <v>0</v>
      </c>
      <c r="BA89" s="354">
        <f>CHOOSE(Table1[[#This Row],[Mode Digit]], IF(QrrSky_Q2&gt;0,QrrSky_Q2,Qrr_Q2)*Fsw*(Table1[[#This Row],[Vin]]-Table1[[#This Row],[Iout]]*Rdson1),0,  IF(QrrSky_Q2&gt;0,QrrSky_Q2,Qrr_Q2)*Fsw*(Table1[[#This Row],[Vin]]-Table1[[#This Row],[Iout]]*Rdson1)+IF(QrrSky_Q3&gt;0,QrrSky_Q3,Qrr_Q3)*Fsw*Vout)</f>
        <v>0.37379520000000005</v>
      </c>
      <c r="BB89" s="354">
        <f>CHOOSE(Table1[[#This Row],[Mode Digit]],0, IF(QrrSky_Q3&gt;0,QrrSky_Q3,Qrr_Q3)*Fsw*Vout,  IF(QrrSky_Q2&gt;0,QrrSky_Q2,Qrr_Q2)*Fsw*(Table1[[#This Row],[Vin]]-Table1[[#This Row],[Iout]]*Rdson1)+IF(QrrSky_Q3&gt;0,QrrSky_Q3,Qrr_Q3)*Fsw*Vout)</f>
        <v>0</v>
      </c>
      <c r="BC89" s="354">
        <f>CHOOSE(Table1[[#This Row],[Mode Digit]], Rs*Table1[[#This Row],[Irms BuSync]]^2, Rs*Table1[[#This Row],[Irms BoCtlr]]^2, Rs*(Table1[[#This Row],[Irms BuSync]]^2+Table1[[#This Row],[Irms BoCtlr]]^2))</f>
        <v>0.19266451348449792</v>
      </c>
      <c r="BD89" s="354">
        <f t="shared" si="5"/>
        <v>1.44</v>
      </c>
      <c r="BE89" s="354">
        <f>IF(Vout&gt;8, Iq*Vout, Iq*Table1[[#This Row],[Vin]])</f>
        <v>4.3799999999999999E-2</v>
      </c>
      <c r="BF89" s="354">
        <f>CHOOSE(Table1[[#This Row],[Mode Digit]], (Qg_Q1+Qg_Q2)*Fsw, (Qg_Q3+Qg_Q4)*Fsw, (Qg_Q1+Qg_Q2+Qg_Q3+Qg_Q4)*Fsw)*IF(Vout&gt;8, Vout, Table1[[#This Row],[Vin]])</f>
        <v>0.47303999999999996</v>
      </c>
      <c r="BG89" s="354">
        <f t="shared" si="6"/>
        <v>0.45605042016806729</v>
      </c>
      <c r="BH89" s="354">
        <f>Table1[[#This Row],[IQ Loss]]+Table1[[#This Row],[Switching Current Loss]]</f>
        <v>0.51683999999999997</v>
      </c>
      <c r="BI8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10.793135838478099</v>
      </c>
      <c r="BJ89">
        <f>Vout*Table1[[#This Row],[Iout]]</f>
        <v>175.2</v>
      </c>
      <c r="BK89" s="550">
        <f>Table1[[#This Row],[Pout]]/(Table1[[#This Row],[Pout]]+Table1[[#This Row],[Total Loss]])</f>
        <v>0.94197024642967919</v>
      </c>
      <c r="BL8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258.08734684093048</v>
      </c>
      <c r="BM89" s="559">
        <f>IF(Table1[[#This Row],[Vin]]&gt;Vout, Table1[[#This Row],[Total Sync Bu MOSFET Loss]]*ThetaJA_Q2, ThetaJA_Q3*Table1[[#This Row],[Total Sync Bo MOSFET Loss]])</f>
        <v>58.616321187035624</v>
      </c>
      <c r="BN89" s="9"/>
      <c r="BO89" s="4">
        <f>Table1[[#This Row],[EFF, h]]*100</f>
        <v>94.197024642967918</v>
      </c>
      <c r="BP89" s="354">
        <f>Table1[[#This Row],[Total Inductor Loss]]</f>
        <v>2.1891808446685435</v>
      </c>
      <c r="BQ89" s="354">
        <f>Table1[[#This Row],[Total Control Bu MOSFET Loss]]+Table1[[#This Row],[Total Sync Bu MOSFET Loss]]+Table1[[#This Row],[Total Control Bo MOSFET Loss]]+Table1[[#This Row],[Total Sync Bo MOSFET Loss]]+Table1[[#This Row],[Reverse Recovery Loss MOSFET D BUCK]]+Table1[[#This Row],[Reverse Recovery Loss MOSFET D BOOST]]</f>
        <v>6.3714459113862594</v>
      </c>
      <c r="BR89" s="354">
        <f>Table1[[#This Row],[Total Control Bu MOSFET Loss]]+Table1[[#This Row],[Reverse Recovery Loss MOSFET D BUCK]]*0.66</f>
        <v>4.5481606126821745</v>
      </c>
      <c r="BS89" s="354">
        <f>Table1[[#This Row],[Total Sync Bu MOSFET Loss]]+Table1[[#This Row],[Reverse Recovery Loss MOSFET D BUCK]]*0.33</f>
        <v>1.1002911024505937</v>
      </c>
      <c r="BT89" s="354">
        <f xml:space="preserve"> Table1[[#This Row],[Total Control Bo MOSFET Loss]]+Table1[[#This Row],[Reverse Recovery Loss MOSFET D BOOST]]*0.66</f>
        <v>0</v>
      </c>
      <c r="BU89" s="354">
        <f xml:space="preserve"> Table1[[#This Row],[Total Sync Bo MOSFET Loss]]+Table1[[#This Row],[Reverse Recovery Loss MOSFET D BOOST]]*0.33</f>
        <v>0.71925624425349088</v>
      </c>
      <c r="BV89" s="354">
        <f>Table1[[#This Row],[Isense Shunt Loss]]</f>
        <v>0.19266451348449792</v>
      </c>
      <c r="CB89" s="18"/>
      <c r="CC89" s="19"/>
    </row>
    <row r="90" spans="1:81" x14ac:dyDescent="0.2">
      <c r="G90">
        <v>81</v>
      </c>
      <c r="H90" s="555">
        <f>VIN_min+(VIN_max-VIN_min)*(Table1[[#This Row],[Step]]/200)</f>
        <v>31.34</v>
      </c>
      <c r="I90" s="4" t="str">
        <f>IF(Mode = 2,IF(Table1[[#This Row],[Vin]]&gt;Vout, "BUCK","BOOST"),IF(Table1[[#This Row],[Vin]]&gt;VIN_BB_to_buck, "BUCK", IF(Table1[[#This Row],[Vin]]&lt;=VIN_boost_to_BB,"BOOST","BUCK-BST")))</f>
        <v>BUCK</v>
      </c>
      <c r="J90">
        <f>IF(Table1[[#This Row],[Mode]]="BOOST",2, IF(Table1[[#This Row],[Mode]]="BUCK", 1,3))</f>
        <v>1</v>
      </c>
      <c r="K90">
        <f t="shared" si="4"/>
        <v>12</v>
      </c>
      <c r="L90" s="4">
        <f>Vout*Table1[[#This Row],[Iout]]/(Table1[[#This Row],[Vin]]*Efficiency)</f>
        <v>5.8845262486145158</v>
      </c>
      <c r="M90" s="711">
        <f>MIN(1/Fsw,CHOOSE(Table1[[#This Row],[Mode Digit]],(Vout+(Rdson2+Rs+Rdcr)*Table1[[#This Row],[Iout]])/(Table1[[#This Row],[Vin]]+(Rs+Rdson2-Rdson1)*Table1[[#This Row],[Iout]])/Fsw,(Vout+(Rdson3+Rdcr)*Table1[[#This Row],[Iin]]-Table1[[#This Row],[Vin]])/(Vout+(Rdson3-Rdson4-Rs)*Table1[[#This Row],[Iin]])/Fsw,t1_Ph_II))</f>
        <v>7.8365742216555093E-7</v>
      </c>
      <c r="N90" s="602">
        <f>CHOOSE(Table1[[#This Row],[Mode Digit]],1/Fsw-Table1[[#This Row],[t1_Ph_II]],1/Fsw-Table1[[#This Row],[t1_Ph_II]],(Vout/Fsw-Table1[[#This Row],[Vin]]*t1_Ph_II)/(Table1[[#This Row],[Vin]]+Vout))</f>
        <v>8.8300924450111573E-7</v>
      </c>
      <c r="O90" s="602">
        <f>1/Fsw-(Table1[[#This Row],[t1_Ph_II]]+Table1[[#This Row],[t2_Ph_I]])</f>
        <v>0</v>
      </c>
      <c r="P9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9.5154497638160365</v>
      </c>
      <c r="Q90" s="4">
        <f>CHOOSE(Table1[[#This Row],[Mode Digit]],Table1[[#This Row],[I_0]]+1/Lf*(Table1[[#This Row],[Vin]]-Vout)*Table1[[#This Row],[t1_Ph_II]],Table1[[#This Row],[I_0]]+1/Lf*Table1[[#This Row],[Vin]]*Table1[[#This Row],[t1_Ph_II]],Table1[[#This Row],[I_0]]+(Table1[[#This Row],[Vin]]-Vout)/L*Table1[[#This Row],[t1_Ph_II]])</f>
        <v>14.484550236183964</v>
      </c>
      <c r="R90" s="4">
        <f>CHOOSE(Table1[[#This Row],[Mode Digit]],0,0,Table1[[#This Row],[I_1]]+Table1[[#This Row],[Vin]]/L*Table1[[#This Row],[t2_Ph_I]])</f>
        <v>0</v>
      </c>
      <c r="S90" s="4">
        <f>Fsw*(Table1[[#This Row],[I_0]]*Table1[[#This Row],[t1_Ph_II]]+Table1[[#This Row],[I_1]]*Table1[[#This Row],[t2_Ph_I]]+Table1[[#This Row],[I_2]]*Table1[[#This Row],[t3_Ph_III]])</f>
        <v>12.148106756189481</v>
      </c>
      <c r="T90" s="354">
        <f>MIN(1,CHOOSE(Table1[[#This Row],[Mode Digit]],(Vout+(Rdson2+Rs+Rdcr)*Table1[[#This Row],[Iout]])/(Table1[[#This Row],[Vin]]+(Rs+Rdson2-Rdson1)*Table1[[#This Row],[Iout]]),1,Fsw*Table1[[#This Row],[t2_Ph_I]]+Table1[[#This Row],[t1_Ph_II]]))</f>
        <v>0.47019445329933057</v>
      </c>
      <c r="U90" s="354">
        <f>MIN(1,CHOOSE(Table1[[#This Row],[Mode Digit]],0,(Vout+(Rdson3+Rdcr)*Table1[[#This Row],[Iin]]-Table1[[#This Row],[Vin]])/(Vout+(Rdson3-Rdson4-Rs)*Table1[[#This Row],[Iin]]),Fsw*Table1[[#This Row],[t1_Ph_II]]+Table1[[#This Row],[t3_Ph_III]]))</f>
        <v>0</v>
      </c>
      <c r="V90" s="4">
        <f>MAX(Table1[[#This Row],[I_0]:[I_2]])-MIN(Table1[[#This Row],[I_0]:[I_1]])</f>
        <v>4.9691004723679271</v>
      </c>
      <c r="W9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12.085431862041199</v>
      </c>
      <c r="X90" s="354">
        <f>(Table1[[#This Row],[Irms Lf]]^2*Rdcr*(1+Ltc*Ta-Ltc*25))/(1-Table1[[#This Row],[Irms Lf]]^2*Rdcr*Ltc*ThetaCa)</f>
        <v>0.90871902199472798</v>
      </c>
      <c r="Y90" s="354">
        <f>ABS(7.759*10^-3*Fsw^0.9458*(0.00787*Table1[[#This Row],[Ripple Current pk-pk]])^2.304)</f>
        <v>1.2922037242862072</v>
      </c>
      <c r="Z90" s="354">
        <f>Table1[[#This Row],[DCR    Loss]]+Table1[[#This Row],[Core Loss]]</f>
        <v>2.2009227462809351</v>
      </c>
      <c r="AA90" s="4">
        <f>IF(Table1[[#This Row],[Vin]]&gt;Vout, Table1[[#This Row],[Ripple Current pk-pk]]/SQRT(12), SQRT(Table1[[#This Row],[Duty Cycle BOOST Leg]]/(1-Table1[[#This Row],[Duty Cycle BOOST Leg]]))*SQRT(Table1[[#This Row],[Iout]]^2+(Table1[[#This Row],[Ripple Current pk-pk]]^2)/12))</f>
        <v>1.4344557476759596</v>
      </c>
      <c r="AB90" s="354">
        <f>RCoutEsr*Table1[[#This Row],[Irms Cout]]^2</f>
        <v>1.0288316460202982E-2</v>
      </c>
      <c r="AC90" s="354">
        <f>Table1[[#This Row],[Cout ESR Loss]]</f>
        <v>1.0288316460202982E-2</v>
      </c>
      <c r="AD90" s="354">
        <f>IF(Table1[[#This Row],[Vin]]&gt;Vout, SQRT(Table1[[#This Row],[Duty Cycle BUCK Leg]]*(1-Table1[[#This Row],[Duty Cycle BUCK Leg]]))*SQRT(Table1[[#This Row],[Iout]]^2+(Table1[[#This Row],[Ripple Current pk-pk]]^2)/12), Table1[[#This Row],[Ripple Current pk-pk]]/SQRT(12))</f>
        <v>6.0319700336601167</v>
      </c>
      <c r="AE90" s="354">
        <f>RCinEsr*Table1[[#This Row],[Irms Cin]]^2</f>
        <v>7.2769324973947266E-2</v>
      </c>
      <c r="AF90" s="549">
        <f>Table1[[#This Row],[Cin ESR Loss]]</f>
        <v>7.2769324973947266E-2</v>
      </c>
      <c r="AG9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8.2870684286892882</v>
      </c>
      <c r="AH90" s="354">
        <f>Rdson1*Table1[[#This Row],[Irms BuCtrl]]^2</f>
        <v>0.28843711319547077</v>
      </c>
      <c r="AI90" s="354">
        <f>CHOOSE(Table1[[#This Row],[Mode Digit]], (Table1[[#This Row],[Vin]]*Table1[[#This Row],[Iout]]/2)*(Fsw)*(Tr_buck+Tf_buck), 0, (Table1[[#This Row],[Vin]]*Table1[[#This Row],[Avg IL]]/2)*(Fsw/1)*(Tr_buck+Tf_buck))</f>
        <v>3.7293472798545166</v>
      </c>
      <c r="AJ90">
        <f>IF(Table1[[#This Row],[Vin]]&gt;Vout, IF(Table1[[#This Row],[Iout]]&gt;Table1[[#This Row],[Ripple Current pk-pk]]/2,0,ABS(Table1[[#This Row],[Iout]]-Table1[[#This Row],[Ripple Current pk-pk]]/2)*Vsd_Q1*Deadtime*Fsw),0)</f>
        <v>0</v>
      </c>
      <c r="AK90" s="354">
        <f>(Table1[[#This Row],[Dead Time Loss BuCtrl]]+Table1[[#This Row],[Transition Loss BuCtrl]]+Table1[[#This Row],[RDS(on) Loss BuCtrl]]*(1+RdsonTopTc*Ta-RdsonTopTc*25))/(1-Table1[[#This Row],[RDS(on) Loss BuCtrl]]*RdsonTopTc*ThetaJA_Q1)</f>
        <v>4.3166006739831015</v>
      </c>
      <c r="AL90" s="354">
        <f>CHOOSE(Table1[[#This Row],[Mode Digit]],SQRT((Fsw*(Table1[[#This Row],[t2_Ph_I]]+0))*((Table1[[#This Row],[I_0]]*Table1[[#This Row],[I_1]]+((Table1[[#This Row],[I_0]]-Table1[[#This Row],[I_1]])^2)/3))),0,SQRT((Fsw*(Table1[[#This Row],[t3_Ph_III]]+0))*((Table1[[#This Row],[I_0]]*Table1[[#This Row],[I_2]]+((Table1[[#This Row],[I_0]]-Table1[[#This Row],[I_2]])^2)/3))))</f>
        <v>8.7967130310282293</v>
      </c>
      <c r="AM90" s="354">
        <f>Rdson2*Table1[[#This Row],[Irms BuSync]]^2</f>
        <v>0.32500507263109985</v>
      </c>
      <c r="AN9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90" s="354">
        <f>(Table1[[#This Row],[Deadtime Loss BuSync]]+Table1[[#This Row],[RDS(on) Loss BuSync]]*(1+RdsonBotTc*Ta-RdsonBotTc*25))/(1-Table1[[#This Row],[RDS(on) Loss BuSync]]*RdsonBotTc*ThetaJA_Q2)</f>
        <v>0.97871767106747887</v>
      </c>
      <c r="AP90" s="354">
        <f>CHOOSE(Table1[[#This Row],[Mode Digit]],0,SQRT((Fsw*(Table1[[#This Row],[t1_Ph_II]]+0))*((Table1[[#This Row],[I_0]]*Table1[[#This Row],[I_1]]+((Table1[[#This Row],[I_0]]-Table1[[#This Row],[I_1]])^2)/3))),SQRT((Fsw*(Table1[[#This Row],[t2_Ph_I]]+0))*((Table1[[#This Row],[I_1]]*Table1[[#This Row],[I_2]]+((Table1[[#This Row],[I_1]]-Table1[[#This Row],[I_2]])^2)/3))))</f>
        <v>0</v>
      </c>
      <c r="AQ90" s="354">
        <f>Rdson4*Table1[[#This Row],[Irms BoCtlr]]^2</f>
        <v>0</v>
      </c>
      <c r="AR90" s="354">
        <f>CHOOSE(Table1[[#This Row],[Mode Digit]], 0, (Vout*Table1[[#This Row],[Iin]]/2)*(Fsw)*(Tr_boost+Tf_boost), (Vout*Iout/2)*(Fsw/1)*(Tr_boost+Tf_boost))</f>
        <v>0</v>
      </c>
      <c r="AS90">
        <f>IF(Table1[[#This Row],[Vin]]&gt;Vout, 0, IF(Table1[[#This Row],[Iin]]&gt;Table1[[#This Row],[Ripple Current pk-pk]]/2,0,ABS(Table1[[#This Row],[Iin]]-Table1[[#This Row],[Ripple Current pk-pk]]/2)*Vsd_Q4*Deadtime*Fsw))</f>
        <v>0</v>
      </c>
      <c r="AT90" s="354">
        <f>(Table1[[#This Row],[Dead Time Loss BoCtlr]]+Table1[[#This Row],[Transition Loss BoCtlr]]+Table1[[#This Row],[RDS(on) Loss BoCtlr]]*(1+RdsonTopTc*Ta-RdsonTopTc*25))/(1-Table1[[#This Row],[RDS(on) Loss BoCtlr]]*RdsonTopTc*ThetaJA_Q4)</f>
        <v>0</v>
      </c>
      <c r="AU9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12.085431862041199</v>
      </c>
      <c r="AV90" s="354">
        <f>Rdson3*Table1[[#This Row],[Irms BoSync]]^2</f>
        <v>0.61344218582657062</v>
      </c>
      <c r="AW9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90" s="354">
        <f>(Table1[[#This Row],[Deadtime Loss BoSync]]+Table1[[#This Row],[RDS(on) Loss BoSync]]*(1+RdsonBotTc*Ta-RdsonBotTc*25))/(1-Table1[[#This Row],[RDS(on) Loss BoSync]]*RdsonBotTc*ThetaJA_Q3)</f>
        <v>0.71934917745652505</v>
      </c>
      <c r="AY90" s="354">
        <f>CHOOSE(Table1[[#This Row],[Mode Digit]], Rdson3*Table1[[#This Row],[Irms Lf]]^2, Rdson1*Table1[[#This Row],[Irms Lf]]^2, 0)</f>
        <v>0.61344218582657062</v>
      </c>
      <c r="AZ90" s="354">
        <f>CHOOSE(Table1[[#This Row],[Mode Digit]], 2*Deadtime*Fsw*IF(VfdSky_Q2&gt;0,VfdSky_Q2,0)*Table1[[#This Row],[Iout]], 2*Deadtime*Fsw*IF(VfdSky_Q3&gt;0,VfdSky_Q3,0)*Table1[[#This Row],[Iin]], 2*Deadtime*Fsw*IF(VfdSky_Q2&gt;0,VfdSky_Q2,0)*Table1[[#This Row],[Iout]]+2*Deadtime*Fsw*IF(VfdSky_Q3&gt;0,VfdSky_Q3,0)*Table1[[#This Row],[Iin]])</f>
        <v>0</v>
      </c>
      <c r="BA90" s="354">
        <f>CHOOSE(Table1[[#This Row],[Mode Digit]], IF(QrrSky_Q2&gt;0,QrrSky_Q2,Qrr_Q2)*Fsw*(Table1[[#This Row],[Vin]]-Table1[[#This Row],[Iout]]*Rdson1),0,  IF(QrrSky_Q2&gt;0,QrrSky_Q2,Qrr_Q2)*Fsw*(Table1[[#This Row],[Vin]]-Table1[[#This Row],[Iout]]*Rdson1)+IF(QrrSky_Q3&gt;0,QrrSky_Q3,Qrr_Q3)*Fsw*Vout)</f>
        <v>0.37547520000000001</v>
      </c>
      <c r="BB90" s="354">
        <f>CHOOSE(Table1[[#This Row],[Mode Digit]],0, IF(QrrSky_Q3&gt;0,QrrSky_Q3,Qrr_Q3)*Fsw*Vout,  IF(QrrSky_Q2&gt;0,QrrSky_Q2,Qrr_Q2)*Fsw*(Table1[[#This Row],[Vin]]-Table1[[#This Row],[Iout]]*Rdson1)+IF(QrrSky_Q3&gt;0,QrrSky_Q3,Qrr_Q3)*Fsw*Vout)</f>
        <v>0</v>
      </c>
      <c r="BC90" s="354">
        <f>CHOOSE(Table1[[#This Row],[Mode Digit]], Rs*Table1[[#This Row],[Irms BuSync]]^2, Rs*Table1[[#This Row],[Irms BoCtlr]]^2, Rs*(Table1[[#This Row],[Irms BuSync]]^2+Table1[[#This Row],[Irms BoCtlr]]^2))</f>
        <v>0.19345540037565465</v>
      </c>
      <c r="BD90" s="354">
        <f t="shared" si="5"/>
        <v>1.44</v>
      </c>
      <c r="BE90" s="354">
        <f>IF(Vout&gt;8, Iq*Vout, Iq*Table1[[#This Row],[Vin]])</f>
        <v>4.3799999999999999E-2</v>
      </c>
      <c r="BF90" s="354">
        <f>CHOOSE(Table1[[#This Row],[Mode Digit]], (Qg_Q1+Qg_Q2)*Fsw, (Qg_Q3+Qg_Q4)*Fsw, (Qg_Q1+Qg_Q2+Qg_Q3+Qg_Q4)*Fsw)*IF(Vout&gt;8, Vout, Table1[[#This Row],[Vin]])</f>
        <v>0.47303999999999996</v>
      </c>
      <c r="BG90" s="354">
        <f t="shared" si="6"/>
        <v>0.45605042016806729</v>
      </c>
      <c r="BH90" s="354">
        <f>Table1[[#This Row],[IQ Loss]]+Table1[[#This Row],[Switching Current Loss]]</f>
        <v>0.51683999999999997</v>
      </c>
      <c r="BI9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10.824418510597845</v>
      </c>
      <c r="BJ90">
        <f>Vout*Table1[[#This Row],[Iout]]</f>
        <v>175.2</v>
      </c>
      <c r="BK90" s="550">
        <f>Table1[[#This Row],[Pout]]/(Table1[[#This Row],[Pout]]+Table1[[#This Row],[Total Loss]])</f>
        <v>0.94181184063219547</v>
      </c>
      <c r="BL9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258.99604043898609</v>
      </c>
      <c r="BM90" s="559">
        <f>IF(Table1[[#This Row],[Vin]]&gt;Vout, Table1[[#This Row],[Total Sync Bu MOSFET Loss]]*ThetaJA_Q2, ThetaJA_Q3*Table1[[#This Row],[Total Sync Bo MOSFET Loss]])</f>
        <v>58.723060264048733</v>
      </c>
      <c r="BN90" s="9"/>
      <c r="BO90" s="4">
        <f>Table1[[#This Row],[EFF, h]]*100</f>
        <v>94.181184063219547</v>
      </c>
      <c r="BP90" s="354">
        <f>Table1[[#This Row],[Total Inductor Loss]]</f>
        <v>2.2009227462809351</v>
      </c>
      <c r="BQ90" s="354">
        <f>Table1[[#This Row],[Total Control Bu MOSFET Loss]]+Table1[[#This Row],[Total Sync Bu MOSFET Loss]]+Table1[[#This Row],[Total Control Bo MOSFET Loss]]+Table1[[#This Row],[Total Sync Bo MOSFET Loss]]+Table1[[#This Row],[Reverse Recovery Loss MOSFET D BUCK]]+Table1[[#This Row],[Reverse Recovery Loss MOSFET D BOOST]]</f>
        <v>6.3901427225071057</v>
      </c>
      <c r="BR90" s="354">
        <f>Table1[[#This Row],[Total Control Bu MOSFET Loss]]+Table1[[#This Row],[Reverse Recovery Loss MOSFET D BUCK]]*0.66</f>
        <v>4.5644143059831013</v>
      </c>
      <c r="BS90" s="354">
        <f>Table1[[#This Row],[Total Sync Bu MOSFET Loss]]+Table1[[#This Row],[Reverse Recovery Loss MOSFET D BUCK]]*0.33</f>
        <v>1.1026244870674788</v>
      </c>
      <c r="BT90" s="354">
        <f xml:space="preserve"> Table1[[#This Row],[Total Control Bo MOSFET Loss]]+Table1[[#This Row],[Reverse Recovery Loss MOSFET D BOOST]]*0.66</f>
        <v>0</v>
      </c>
      <c r="BU90" s="354">
        <f xml:space="preserve"> Table1[[#This Row],[Total Sync Bo MOSFET Loss]]+Table1[[#This Row],[Reverse Recovery Loss MOSFET D BOOST]]*0.33</f>
        <v>0.71934917745652505</v>
      </c>
      <c r="BV90" s="354">
        <f>Table1[[#This Row],[Isense Shunt Loss]]</f>
        <v>0.19345540037565465</v>
      </c>
      <c r="CB90" s="18"/>
      <c r="CC90" s="19"/>
    </row>
    <row r="91" spans="1:81" x14ac:dyDescent="0.2">
      <c r="G91">
        <v>82</v>
      </c>
      <c r="H91" s="555">
        <f>VIN_min+(VIN_max-VIN_min)*(Table1[[#This Row],[Step]]/200)</f>
        <v>31.479999999999997</v>
      </c>
      <c r="I91" s="4" t="str">
        <f>IF(Mode = 2,IF(Table1[[#This Row],[Vin]]&gt;Vout, "BUCK","BOOST"),IF(Table1[[#This Row],[Vin]]&gt;VIN_BB_to_buck, "BUCK", IF(Table1[[#This Row],[Vin]]&lt;=VIN_boost_to_BB,"BOOST","BUCK-BST")))</f>
        <v>BUCK</v>
      </c>
      <c r="J91">
        <f>IF(Table1[[#This Row],[Mode]]="BOOST",2, IF(Table1[[#This Row],[Mode]]="BUCK", 1,3))</f>
        <v>1</v>
      </c>
      <c r="K91">
        <f t="shared" si="4"/>
        <v>12</v>
      </c>
      <c r="L91" s="4">
        <f>Vout*Table1[[#This Row],[Iout]]/(Table1[[#This Row],[Vin]]*Efficiency)</f>
        <v>5.8583561827058119</v>
      </c>
      <c r="M91" s="711">
        <f>MIN(1/Fsw,CHOOSE(Table1[[#This Row],[Mode Digit]],(Vout+(Rdson2+Rs+Rdcr)*Table1[[#This Row],[Iout]])/(Table1[[#This Row],[Vin]]+(Rs+Rdson2-Rdson1)*Table1[[#This Row],[Iout]])/Fsw,(Vout+(Rdson3+Rdcr)*Table1[[#This Row],[Iin]]-Table1[[#This Row],[Vin]])/(Vout+(Rdson3-Rdson4-Rs)*Table1[[#This Row],[Iin]])/Fsw,t1_Ph_II))</f>
        <v>7.8017560562784304E-7</v>
      </c>
      <c r="N91" s="602">
        <f>CHOOSE(Table1[[#This Row],[Mode Digit]],1/Fsw-Table1[[#This Row],[t1_Ph_II]],1/Fsw-Table1[[#This Row],[t1_Ph_II]],(Vout/Fsw-Table1[[#This Row],[Vin]]*t1_Ph_II)/(Table1[[#This Row],[Vin]]+Vout))</f>
        <v>8.8649106103882363E-7</v>
      </c>
      <c r="O91" s="602">
        <f>1/Fsw-(Table1[[#This Row],[t1_Ph_II]]+Table1[[#This Row],[t2_Ph_I]])</f>
        <v>0</v>
      </c>
      <c r="P9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9.5058022304928063</v>
      </c>
      <c r="Q91" s="4">
        <f>CHOOSE(Table1[[#This Row],[Mode Digit]],Table1[[#This Row],[I_0]]+1/Lf*(Table1[[#This Row],[Vin]]-Vout)*Table1[[#This Row],[t1_Ph_II]],Table1[[#This Row],[I_0]]+1/Lf*Table1[[#This Row],[Vin]]*Table1[[#This Row],[t1_Ph_II]],Table1[[#This Row],[I_0]]+(Table1[[#This Row],[Vin]]-Vout)/L*Table1[[#This Row],[t1_Ph_II]])</f>
        <v>14.494197769507196</v>
      </c>
      <c r="R91" s="4">
        <f>CHOOSE(Table1[[#This Row],[Mode Digit]],0,0,Table1[[#This Row],[I_1]]+Table1[[#This Row],[Vin]]/L*Table1[[#This Row],[t2_Ph_I]])</f>
        <v>0</v>
      </c>
      <c r="S91" s="4">
        <f>Fsw*(Table1[[#This Row],[I_0]]*Table1[[#This Row],[t1_Ph_II]]+Table1[[#This Row],[I_1]]*Table1[[#This Row],[t2_Ph_I]]+Table1[[#This Row],[I_2]]*Table1[[#This Row],[t3_Ph_III]])</f>
        <v>12.159103063050127</v>
      </c>
      <c r="T91" s="354">
        <f>MIN(1,CHOOSE(Table1[[#This Row],[Mode Digit]],(Vout+(Rdson2+Rs+Rdcr)*Table1[[#This Row],[Iout]])/(Table1[[#This Row],[Vin]]+(Rs+Rdson2-Rdson1)*Table1[[#This Row],[Iout]]),1,Fsw*Table1[[#This Row],[t2_Ph_I]]+Table1[[#This Row],[t1_Ph_II]]))</f>
        <v>0.46810536337670583</v>
      </c>
      <c r="U91" s="354">
        <f>MIN(1,CHOOSE(Table1[[#This Row],[Mode Digit]],0,(Vout+(Rdson3+Rdcr)*Table1[[#This Row],[Iin]]-Table1[[#This Row],[Vin]])/(Vout+(Rdson3-Rdson4-Rs)*Table1[[#This Row],[Iin]]),Fsw*Table1[[#This Row],[t1_Ph_II]]+Table1[[#This Row],[t3_Ph_III]]))</f>
        <v>0</v>
      </c>
      <c r="V91" s="4">
        <f>MAX(Table1[[#This Row],[I_0]:[I_2]])-MIN(Table1[[#This Row],[I_0]:[I_1]])</f>
        <v>4.9883955390143893</v>
      </c>
      <c r="W9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12.086094247983434</v>
      </c>
      <c r="X91" s="354">
        <f>(Table1[[#This Row],[Irms Lf]]^2*Rdcr*(1+Ltc*Ta-Ltc*25))/(1-Table1[[#This Row],[Irms Lf]]^2*Rdcr*Ltc*ThetaCa)</f>
        <v>0.90882587855427921</v>
      </c>
      <c r="Y91" s="354">
        <f>ABS(7.759*10^-3*Fsw^0.9458*(0.00787*Table1[[#This Row],[Ripple Current pk-pk]])^2.304)</f>
        <v>1.3037936465481208</v>
      </c>
      <c r="Z91" s="354">
        <f>Table1[[#This Row],[DCR    Loss]]+Table1[[#This Row],[Core Loss]]</f>
        <v>2.2126195251023999</v>
      </c>
      <c r="AA91" s="4">
        <f>IF(Table1[[#This Row],[Vin]]&gt;Vout, Table1[[#This Row],[Ripple Current pk-pk]]/SQRT(12), SQRT(Table1[[#This Row],[Duty Cycle BOOST Leg]]/(1-Table1[[#This Row],[Duty Cycle BOOST Leg]]))*SQRT(Table1[[#This Row],[Iout]]^2+(Table1[[#This Row],[Ripple Current pk-pk]]^2)/12))</f>
        <v>1.440025753637143</v>
      </c>
      <c r="AB91" s="354">
        <f>RCoutEsr*Table1[[#This Row],[Irms Cout]]^2</f>
        <v>1.036837085569111E-2</v>
      </c>
      <c r="AC91" s="354">
        <f>Table1[[#This Row],[Cout ESR Loss]]</f>
        <v>1.036837085569111E-2</v>
      </c>
      <c r="AD91" s="354">
        <f>IF(Table1[[#This Row],[Vin]]&gt;Vout, SQRT(Table1[[#This Row],[Duty Cycle BUCK Leg]]*(1-Table1[[#This Row],[Duty Cycle BUCK Leg]]))*SQRT(Table1[[#This Row],[Iout]]^2+(Table1[[#This Row],[Ripple Current pk-pk]]^2)/12), Table1[[#This Row],[Ripple Current pk-pk]]/SQRT(12))</f>
        <v>6.0307397963268778</v>
      </c>
      <c r="AE91" s="354">
        <f>RCinEsr*Table1[[#This Row],[Irms Cin]]^2</f>
        <v>7.2739644982001514E-2</v>
      </c>
      <c r="AF91" s="549">
        <f>Table1[[#This Row],[Cin ESR Loss]]</f>
        <v>7.2739644982001514E-2</v>
      </c>
      <c r="AG9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8.2690912637152092</v>
      </c>
      <c r="AH91" s="354">
        <f>Rdson1*Table1[[#This Row],[Irms BuCtrl]]^2</f>
        <v>0.28718705537613504</v>
      </c>
      <c r="AI91" s="354">
        <f>CHOOSE(Table1[[#This Row],[Mode Digit]], (Table1[[#This Row],[Vin]]*Table1[[#This Row],[Iout]]/2)*(Fsw)*(Tr_buck+Tf_buck), 0, (Table1[[#This Row],[Vin]]*Table1[[#This Row],[Avg IL]]/2)*(Fsw/1)*(Tr_buck+Tf_buck))</f>
        <v>3.746006776318449</v>
      </c>
      <c r="AJ91">
        <f>IF(Table1[[#This Row],[Vin]]&gt;Vout, IF(Table1[[#This Row],[Iout]]&gt;Table1[[#This Row],[Ripple Current pk-pk]]/2,0,ABS(Table1[[#This Row],[Iout]]-Table1[[#This Row],[Ripple Current pk-pk]]/2)*Vsd_Q1*Deadtime*Fsw),0)</f>
        <v>0</v>
      </c>
      <c r="AK91" s="354">
        <f>(Table1[[#This Row],[Dead Time Loss BuCtrl]]+Table1[[#This Row],[Transition Loss BuCtrl]]+Table1[[#This Row],[RDS(on) Loss BuCtrl]]*(1+RdsonTopTc*Ta-RdsonTopTc*25))/(1-Table1[[#This Row],[RDS(on) Loss BuCtrl]]*RdsonTopTc*ThetaJA_Q1)</f>
        <v>4.3317599220832506</v>
      </c>
      <c r="AL91" s="354">
        <f>CHOOSE(Table1[[#This Row],[Mode Digit]],SQRT((Fsw*(Table1[[#This Row],[t2_Ph_I]]+0))*((Table1[[#This Row],[I_0]]*Table1[[#This Row],[I_1]]+((Table1[[#This Row],[I_0]]-Table1[[#This Row],[I_1]])^2)/3))),0,SQRT((Fsw*(Table1[[#This Row],[t3_Ph_III]]+0))*((Table1[[#This Row],[I_0]]*Table1[[#This Row],[I_2]]+((Table1[[#This Row],[I_0]]-Table1[[#This Row],[I_2]])^2)/3))))</f>
        <v>8.8145223264500867</v>
      </c>
      <c r="AM91" s="354">
        <f>Rdson2*Table1[[#This Row],[Irms BuSync]]^2</f>
        <v>0.3263223761426457</v>
      </c>
      <c r="AN9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91" s="354">
        <f>(Table1[[#This Row],[Deadtime Loss BuSync]]+Table1[[#This Row],[RDS(on) Loss BuSync]]*(1+RdsonBotTc*Ta-RdsonBotTc*25))/(1-Table1[[#This Row],[RDS(on) Loss BuSync]]*RdsonBotTc*ThetaJA_Q2)</f>
        <v>0.9804826255464496</v>
      </c>
      <c r="AP91" s="354">
        <f>CHOOSE(Table1[[#This Row],[Mode Digit]],0,SQRT((Fsw*(Table1[[#This Row],[t1_Ph_II]]+0))*((Table1[[#This Row],[I_0]]*Table1[[#This Row],[I_1]]+((Table1[[#This Row],[I_0]]-Table1[[#This Row],[I_1]])^2)/3))),SQRT((Fsw*(Table1[[#This Row],[t2_Ph_I]]+0))*((Table1[[#This Row],[I_1]]*Table1[[#This Row],[I_2]]+((Table1[[#This Row],[I_1]]-Table1[[#This Row],[I_2]])^2)/3))))</f>
        <v>0</v>
      </c>
      <c r="AQ91" s="354">
        <f>Rdson4*Table1[[#This Row],[Irms BoCtlr]]^2</f>
        <v>0</v>
      </c>
      <c r="AR91" s="354">
        <f>CHOOSE(Table1[[#This Row],[Mode Digit]], 0, (Vout*Table1[[#This Row],[Iin]]/2)*(Fsw)*(Tr_boost+Tf_boost), (Vout*Iout/2)*(Fsw/1)*(Tr_boost+Tf_boost))</f>
        <v>0</v>
      </c>
      <c r="AS91">
        <f>IF(Table1[[#This Row],[Vin]]&gt;Vout, 0, IF(Table1[[#This Row],[Iin]]&gt;Table1[[#This Row],[Ripple Current pk-pk]]/2,0,ABS(Table1[[#This Row],[Iin]]-Table1[[#This Row],[Ripple Current pk-pk]]/2)*Vsd_Q4*Deadtime*Fsw))</f>
        <v>0</v>
      </c>
      <c r="AT91" s="354">
        <f>(Table1[[#This Row],[Dead Time Loss BoCtlr]]+Table1[[#This Row],[Transition Loss BoCtlr]]+Table1[[#This Row],[RDS(on) Loss BoCtlr]]*(1+RdsonTopTc*Ta-RdsonTopTc*25))/(1-Table1[[#This Row],[RDS(on) Loss BoCtlr]]*RdsonTopTc*ThetaJA_Q4)</f>
        <v>0</v>
      </c>
      <c r="AU9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12.086094247983434</v>
      </c>
      <c r="AV91" s="354">
        <f>Rdson3*Table1[[#This Row],[Irms BoSync]]^2</f>
        <v>0.61350943151878068</v>
      </c>
      <c r="AW9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91" s="354">
        <f>(Table1[[#This Row],[Deadtime Loss BoSync]]+Table1[[#This Row],[RDS(on) Loss BoSync]]*(1+RdsonBotTc*Ta-RdsonBotTc*25))/(1-Table1[[#This Row],[RDS(on) Loss BoSync]]*RdsonBotTc*ThetaJA_Q3)</f>
        <v>0.71944164831999735</v>
      </c>
      <c r="AY91" s="354">
        <f>CHOOSE(Table1[[#This Row],[Mode Digit]], Rdson3*Table1[[#This Row],[Irms Lf]]^2, Rdson1*Table1[[#This Row],[Irms Lf]]^2, 0)</f>
        <v>0.61350943151878068</v>
      </c>
      <c r="AZ91" s="354">
        <f>CHOOSE(Table1[[#This Row],[Mode Digit]], 2*Deadtime*Fsw*IF(VfdSky_Q2&gt;0,VfdSky_Q2,0)*Table1[[#This Row],[Iout]], 2*Deadtime*Fsw*IF(VfdSky_Q3&gt;0,VfdSky_Q3,0)*Table1[[#This Row],[Iin]], 2*Deadtime*Fsw*IF(VfdSky_Q2&gt;0,VfdSky_Q2,0)*Table1[[#This Row],[Iout]]+2*Deadtime*Fsw*IF(VfdSky_Q3&gt;0,VfdSky_Q3,0)*Table1[[#This Row],[Iin]])</f>
        <v>0</v>
      </c>
      <c r="BA91" s="354">
        <f>CHOOSE(Table1[[#This Row],[Mode Digit]], IF(QrrSky_Q2&gt;0,QrrSky_Q2,Qrr_Q2)*Fsw*(Table1[[#This Row],[Vin]]-Table1[[#This Row],[Iout]]*Rdson1),0,  IF(QrrSky_Q2&gt;0,QrrSky_Q2,Qrr_Q2)*Fsw*(Table1[[#This Row],[Vin]]-Table1[[#This Row],[Iout]]*Rdson1)+IF(QrrSky_Q3&gt;0,QrrSky_Q3,Qrr_Q3)*Fsw*Vout)</f>
        <v>0.37715519999999997</v>
      </c>
      <c r="BB91" s="354">
        <f>CHOOSE(Table1[[#This Row],[Mode Digit]],0, IF(QrrSky_Q3&gt;0,QrrSky_Q3,Qrr_Q3)*Fsw*Vout,  IF(QrrSky_Q2&gt;0,QrrSky_Q2,Qrr_Q2)*Fsw*(Table1[[#This Row],[Vin]]-Table1[[#This Row],[Iout]]*Rdson1)+IF(QrrSky_Q3&gt;0,QrrSky_Q3,Qrr_Q3)*Fsw*Vout)</f>
        <v>0</v>
      </c>
      <c r="BC91" s="354">
        <f>CHOOSE(Table1[[#This Row],[Mode Digit]], Rs*Table1[[#This Row],[Irms BuSync]]^2, Rs*Table1[[#This Row],[Irms BoCtlr]]^2, Rs*(Table1[[#This Row],[Irms BuSync]]^2+Table1[[#This Row],[Irms BoCtlr]]^2))</f>
        <v>0.19423950960871764</v>
      </c>
      <c r="BD91" s="354">
        <f t="shared" si="5"/>
        <v>1.44</v>
      </c>
      <c r="BE91" s="354">
        <f>IF(Vout&gt;8, Iq*Vout, Iq*Table1[[#This Row],[Vin]])</f>
        <v>4.3799999999999999E-2</v>
      </c>
      <c r="BF91" s="354">
        <f>CHOOSE(Table1[[#This Row],[Mode Digit]], (Qg_Q1+Qg_Q2)*Fsw, (Qg_Q3+Qg_Q4)*Fsw, (Qg_Q1+Qg_Q2+Qg_Q3+Qg_Q4)*Fsw)*IF(Vout&gt;8, Vout, Table1[[#This Row],[Vin]])</f>
        <v>0.47303999999999996</v>
      </c>
      <c r="BG91" s="354">
        <f t="shared" si="6"/>
        <v>0.45605042016806729</v>
      </c>
      <c r="BH91" s="354">
        <f>Table1[[#This Row],[IQ Loss]]+Table1[[#This Row],[Switching Current Loss]]</f>
        <v>0.51683999999999997</v>
      </c>
      <c r="BI9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10.855646446498508</v>
      </c>
      <c r="BJ91">
        <f>Vout*Table1[[#This Row],[Iout]]</f>
        <v>175.2</v>
      </c>
      <c r="BK91" s="550">
        <f>Table1[[#This Row],[Pout]]/(Table1[[#This Row],[Pout]]+Table1[[#This Row],[Total Loss]])</f>
        <v>0.94165376512977739</v>
      </c>
      <c r="BL9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259.90559532499503</v>
      </c>
      <c r="BM91" s="559">
        <f>IF(Table1[[#This Row],[Vin]]&gt;Vout, Table1[[#This Row],[Total Sync Bu MOSFET Loss]]*ThetaJA_Q2, ThetaJA_Q3*Table1[[#This Row],[Total Sync Bo MOSFET Loss]])</f>
        <v>58.828957532786973</v>
      </c>
      <c r="BN91" s="9"/>
      <c r="BO91" s="4">
        <f>Table1[[#This Row],[EFF, h]]*100</f>
        <v>94.165376512977744</v>
      </c>
      <c r="BP91" s="354">
        <f>Table1[[#This Row],[Total Inductor Loss]]</f>
        <v>2.2126195251023999</v>
      </c>
      <c r="BQ91" s="354">
        <f>Table1[[#This Row],[Total Control Bu MOSFET Loss]]+Table1[[#This Row],[Total Sync Bu MOSFET Loss]]+Table1[[#This Row],[Total Control Bo MOSFET Loss]]+Table1[[#This Row],[Total Sync Bo MOSFET Loss]]+Table1[[#This Row],[Reverse Recovery Loss MOSFET D BUCK]]+Table1[[#This Row],[Reverse Recovery Loss MOSFET D BOOST]]</f>
        <v>6.4088393959496974</v>
      </c>
      <c r="BR91" s="354">
        <f>Table1[[#This Row],[Total Control Bu MOSFET Loss]]+Table1[[#This Row],[Reverse Recovery Loss MOSFET D BUCK]]*0.66</f>
        <v>4.5806823540832502</v>
      </c>
      <c r="BS91" s="354">
        <f>Table1[[#This Row],[Total Sync Bu MOSFET Loss]]+Table1[[#This Row],[Reverse Recovery Loss MOSFET D BUCK]]*0.33</f>
        <v>1.1049438415464496</v>
      </c>
      <c r="BT91" s="354">
        <f xml:space="preserve"> Table1[[#This Row],[Total Control Bo MOSFET Loss]]+Table1[[#This Row],[Reverse Recovery Loss MOSFET D BOOST]]*0.66</f>
        <v>0</v>
      </c>
      <c r="BU91" s="354">
        <f xml:space="preserve"> Table1[[#This Row],[Total Sync Bo MOSFET Loss]]+Table1[[#This Row],[Reverse Recovery Loss MOSFET D BOOST]]*0.33</f>
        <v>0.71944164831999735</v>
      </c>
      <c r="BV91" s="354">
        <f>Table1[[#This Row],[Isense Shunt Loss]]</f>
        <v>0.19423950960871764</v>
      </c>
      <c r="CB91" s="18"/>
      <c r="CC91" s="19"/>
    </row>
    <row r="92" spans="1:81" x14ac:dyDescent="0.2">
      <c r="G92">
        <v>83</v>
      </c>
      <c r="H92" s="555">
        <f>VIN_min+(VIN_max-VIN_min)*(Table1[[#This Row],[Step]]/200)</f>
        <v>31.619999999999997</v>
      </c>
      <c r="I92" s="4" t="str">
        <f>IF(Mode = 2,IF(Table1[[#This Row],[Vin]]&gt;Vout, "BUCK","BOOST"),IF(Table1[[#This Row],[Vin]]&gt;VIN_BB_to_buck, "BUCK", IF(Table1[[#This Row],[Vin]]&lt;=VIN_boost_to_BB,"BOOST","BUCK-BST")))</f>
        <v>BUCK</v>
      </c>
      <c r="J92">
        <f>IF(Table1[[#This Row],[Mode]]="BOOST",2, IF(Table1[[#This Row],[Mode]]="BUCK", 1,3))</f>
        <v>1</v>
      </c>
      <c r="K92">
        <f t="shared" si="4"/>
        <v>12</v>
      </c>
      <c r="L92" s="4">
        <f>Vout*Table1[[#This Row],[Iout]]/(Table1[[#This Row],[Vin]]*Efficiency)</f>
        <v>5.8324178567861784</v>
      </c>
      <c r="M92" s="711">
        <f>MIN(1/Fsw,CHOOSE(Table1[[#This Row],[Mode Digit]],(Vout+(Rdson2+Rs+Rdcr)*Table1[[#This Row],[Iout]])/(Table1[[#This Row],[Vin]]+(Rs+Rdson2-Rdson1)*Table1[[#This Row],[Iout]])/Fsw,(Vout+(Rdson3+Rdcr)*Table1[[#This Row],[Iin]]-Table1[[#This Row],[Vin]])/(Vout+(Rdson3-Rdson4-Rs)*Table1[[#This Row],[Iin]])/Fsw,t1_Ph_II))</f>
        <v>7.7672459189046865E-7</v>
      </c>
      <c r="N92" s="602">
        <f>CHOOSE(Table1[[#This Row],[Mode Digit]],1/Fsw-Table1[[#This Row],[t1_Ph_II]],1/Fsw-Table1[[#This Row],[t1_Ph_II]],(Vout/Fsw-Table1[[#This Row],[Vin]]*t1_Ph_II)/(Table1[[#This Row],[Vin]]+Vout))</f>
        <v>8.8994207477619801E-7</v>
      </c>
      <c r="O92" s="602">
        <f>1/Fsw-(Table1[[#This Row],[t1_Ph_II]]+Table1[[#This Row],[t2_Ph_I]])</f>
        <v>0</v>
      </c>
      <c r="P9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9.4962400465954975</v>
      </c>
      <c r="Q92" s="4">
        <f>CHOOSE(Table1[[#This Row],[Mode Digit]],Table1[[#This Row],[I_0]]+1/Lf*(Table1[[#This Row],[Vin]]-Vout)*Table1[[#This Row],[t1_Ph_II]],Table1[[#This Row],[I_0]]+1/Lf*Table1[[#This Row],[Vin]]*Table1[[#This Row],[t1_Ph_II]],Table1[[#This Row],[I_0]]+(Table1[[#This Row],[Vin]]-Vout)/L*Table1[[#This Row],[t1_Ph_II]])</f>
        <v>14.503759953404503</v>
      </c>
      <c r="R92" s="4">
        <f>CHOOSE(Table1[[#This Row],[Mode Digit]],0,0,Table1[[#This Row],[I_1]]+Table1[[#This Row],[Vin]]/L*Table1[[#This Row],[t2_Ph_I]])</f>
        <v>0</v>
      </c>
      <c r="S92" s="4">
        <f>Fsw*(Table1[[#This Row],[I_0]]*Table1[[#This Row],[t1_Ph_II]]+Table1[[#This Row],[I_1]]*Table1[[#This Row],[t2_Ph_I]]+Table1[[#This Row],[I_2]]*Table1[[#This Row],[t3_Ph_III]])</f>
        <v>12.170081639804728</v>
      </c>
      <c r="T92" s="354">
        <f>MIN(1,CHOOSE(Table1[[#This Row],[Mode Digit]],(Vout+(Rdson2+Rs+Rdcr)*Table1[[#This Row],[Iout]])/(Table1[[#This Row],[Vin]]+(Rs+Rdson2-Rdson1)*Table1[[#This Row],[Iout]]),1,Fsw*Table1[[#This Row],[t2_Ph_I]]+Table1[[#This Row],[t1_Ph_II]]))</f>
        <v>0.46603475513428122</v>
      </c>
      <c r="U92" s="354">
        <f>MIN(1,CHOOSE(Table1[[#This Row],[Mode Digit]],0,(Vout+(Rdson3+Rdcr)*Table1[[#This Row],[Iin]]-Table1[[#This Row],[Vin]])/(Vout+(Rdson3-Rdson4-Rs)*Table1[[#This Row],[Iin]]),Fsw*Table1[[#This Row],[t1_Ph_II]]+Table1[[#This Row],[t3_Ph_III]]))</f>
        <v>0</v>
      </c>
      <c r="V92" s="4">
        <f>MAX(Table1[[#This Row],[I_0]:[I_2]])-MIN(Table1[[#This Row],[I_0]:[I_1]])</f>
        <v>5.0075199068090051</v>
      </c>
      <c r="W9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12.086753271030123</v>
      </c>
      <c r="X92" s="354">
        <f>(Table1[[#This Row],[Irms Lf]]^2*Rdcr*(1+Ltc*Ta-Ltc*25))/(1-Table1[[#This Row],[Irms Lf]]^2*Rdcr*Ltc*ThetaCa)</f>
        <v>0.90893220011148934</v>
      </c>
      <c r="Y92" s="354">
        <f>ABS(7.759*10^-3*Fsw^0.9458*(0.00787*Table1[[#This Row],[Ripple Current pk-pk]])^2.304)</f>
        <v>1.3153388655870493</v>
      </c>
      <c r="Z92" s="354">
        <f>Table1[[#This Row],[DCR    Loss]]+Table1[[#This Row],[Core Loss]]</f>
        <v>2.2242710656985385</v>
      </c>
      <c r="AA92" s="4">
        <f>IF(Table1[[#This Row],[Vin]]&gt;Vout, Table1[[#This Row],[Ripple Current pk-pk]]/SQRT(12), SQRT(Table1[[#This Row],[Duty Cycle BOOST Leg]]/(1-Table1[[#This Row],[Duty Cycle BOOST Leg]]))*SQRT(Table1[[#This Row],[Iout]]^2+(Table1[[#This Row],[Ripple Current pk-pk]]^2)/12))</f>
        <v>1.4455464830842946</v>
      </c>
      <c r="AB92" s="354">
        <f>RCoutEsr*Table1[[#This Row],[Irms Cout]]^2</f>
        <v>1.0448023173786864E-2</v>
      </c>
      <c r="AC92" s="354">
        <f>Table1[[#This Row],[Cout ESR Loss]]</f>
        <v>1.0448023173786864E-2</v>
      </c>
      <c r="AD92" s="354">
        <f>IF(Table1[[#This Row],[Vin]]&gt;Vout, SQRT(Table1[[#This Row],[Duty Cycle BUCK Leg]]*(1-Table1[[#This Row],[Duty Cycle BUCK Leg]]))*SQRT(Table1[[#This Row],[Iout]]^2+(Table1[[#This Row],[Ripple Current pk-pk]]^2)/12), Table1[[#This Row],[Ripple Current pk-pk]]/SQRT(12))</f>
        <v>6.0294167761075599</v>
      </c>
      <c r="AE92" s="354">
        <f>RCinEsr*Table1[[#This Row],[Irms Cin]]^2</f>
        <v>7.2707733320014567E-2</v>
      </c>
      <c r="AF92" s="549">
        <f>Table1[[#This Row],[Cin ESR Loss]]</f>
        <v>7.2707733320014567E-2</v>
      </c>
      <c r="AG9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8.251232218500645</v>
      </c>
      <c r="AH92" s="354">
        <f>Rdson1*Table1[[#This Row],[Irms BuCtrl]]^2</f>
        <v>0.28594789911921698</v>
      </c>
      <c r="AI92" s="354">
        <f>CHOOSE(Table1[[#This Row],[Mode Digit]], (Table1[[#This Row],[Vin]]*Table1[[#This Row],[Iout]]/2)*(Fsw)*(Tr_buck+Tf_buck), 0, (Table1[[#This Row],[Vin]]*Table1[[#This Row],[Avg IL]]/2)*(Fsw/1)*(Tr_buck+Tf_buck))</f>
        <v>3.7626662727823805</v>
      </c>
      <c r="AJ92">
        <f>IF(Table1[[#This Row],[Vin]]&gt;Vout, IF(Table1[[#This Row],[Iout]]&gt;Table1[[#This Row],[Ripple Current pk-pk]]/2,0,ABS(Table1[[#This Row],[Iout]]-Table1[[#This Row],[Ripple Current pk-pk]]/2)*Vsd_Q1*Deadtime*Fsw),0)</f>
        <v>0</v>
      </c>
      <c r="AK92" s="354">
        <f>(Table1[[#This Row],[Dead Time Loss BuCtrl]]+Table1[[#This Row],[Transition Loss BuCtrl]]+Table1[[#This Row],[RDS(on) Loss BuCtrl]]*(1+RdsonTopTc*Ta-RdsonTopTc*25))/(1-Table1[[#This Row],[RDS(on) Loss BuCtrl]]*RdsonTopTc*ThetaJA_Q1)</f>
        <v>4.3469333200142533</v>
      </c>
      <c r="AL92" s="354">
        <f>CHOOSE(Table1[[#This Row],[Mode Digit]],SQRT((Fsw*(Table1[[#This Row],[t2_Ph_I]]+0))*((Table1[[#This Row],[I_0]]*Table1[[#This Row],[I_1]]+((Table1[[#This Row],[I_0]]-Table1[[#This Row],[I_1]])^2)/3))),0,SQRT((Fsw*(Table1[[#This Row],[t3_Ph_III]]+0))*((Table1[[#This Row],[I_0]]*Table1[[#This Row],[I_2]]+((Table1[[#This Row],[I_0]]-Table1[[#This Row],[I_2]])^2)/3))))</f>
        <v>8.8321442193350919</v>
      </c>
      <c r="AM92" s="354">
        <f>Rdson2*Table1[[#This Row],[Irms BuSync]]^2</f>
        <v>0.32762844034676403</v>
      </c>
      <c r="AN9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92" s="354">
        <f>(Table1[[#This Row],[Deadtime Loss BuSync]]+Table1[[#This Row],[RDS(on) Loss BuSync]]*(1+RdsonBotTc*Ta-RdsonBotTc*25))/(1-Table1[[#This Row],[RDS(on) Loss BuSync]]*RdsonBotTc*ThetaJA_Q2)</f>
        <v>0.98223371710832152</v>
      </c>
      <c r="AP92" s="354">
        <f>CHOOSE(Table1[[#This Row],[Mode Digit]],0,SQRT((Fsw*(Table1[[#This Row],[t1_Ph_II]]+0))*((Table1[[#This Row],[I_0]]*Table1[[#This Row],[I_1]]+((Table1[[#This Row],[I_0]]-Table1[[#This Row],[I_1]])^2)/3))),SQRT((Fsw*(Table1[[#This Row],[t2_Ph_I]]+0))*((Table1[[#This Row],[I_1]]*Table1[[#This Row],[I_2]]+((Table1[[#This Row],[I_1]]-Table1[[#This Row],[I_2]])^2)/3))))</f>
        <v>0</v>
      </c>
      <c r="AQ92" s="354">
        <f>Rdson4*Table1[[#This Row],[Irms BoCtlr]]^2</f>
        <v>0</v>
      </c>
      <c r="AR92" s="354">
        <f>CHOOSE(Table1[[#This Row],[Mode Digit]], 0, (Vout*Table1[[#This Row],[Iin]]/2)*(Fsw)*(Tr_boost+Tf_boost), (Vout*Iout/2)*(Fsw/1)*(Tr_boost+Tf_boost))</f>
        <v>0</v>
      </c>
      <c r="AS92">
        <f>IF(Table1[[#This Row],[Vin]]&gt;Vout, 0, IF(Table1[[#This Row],[Iin]]&gt;Table1[[#This Row],[Ripple Current pk-pk]]/2,0,ABS(Table1[[#This Row],[Iin]]-Table1[[#This Row],[Ripple Current pk-pk]]/2)*Vsd_Q4*Deadtime*Fsw))</f>
        <v>0</v>
      </c>
      <c r="AT92" s="354">
        <f>(Table1[[#This Row],[Dead Time Loss BoCtlr]]+Table1[[#This Row],[Transition Loss BoCtlr]]+Table1[[#This Row],[RDS(on) Loss BoCtlr]]*(1+RdsonTopTc*Ta-RdsonTopTc*25))/(1-Table1[[#This Row],[RDS(on) Loss BoCtlr]]*RdsonTopTc*ThetaJA_Q4)</f>
        <v>0</v>
      </c>
      <c r="AU9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12.086753271030123</v>
      </c>
      <c r="AV92" s="354">
        <f>Rdson3*Table1[[#This Row],[Irms BoSync]]^2</f>
        <v>0.613576339465981</v>
      </c>
      <c r="AW9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92" s="354">
        <f>(Table1[[#This Row],[Deadtime Loss BoSync]]+Table1[[#This Row],[RDS(on) Loss BoSync]]*(1+RdsonBotTc*Ta-RdsonBotTc*25))/(1-Table1[[#This Row],[RDS(on) Loss BoSync]]*RdsonBotTc*ThetaJA_Q3)</f>
        <v>0.71953365821759319</v>
      </c>
      <c r="AY92" s="354">
        <f>CHOOSE(Table1[[#This Row],[Mode Digit]], Rdson3*Table1[[#This Row],[Irms Lf]]^2, Rdson1*Table1[[#This Row],[Irms Lf]]^2, 0)</f>
        <v>0.613576339465981</v>
      </c>
      <c r="AZ92" s="354">
        <f>CHOOSE(Table1[[#This Row],[Mode Digit]], 2*Deadtime*Fsw*IF(VfdSky_Q2&gt;0,VfdSky_Q2,0)*Table1[[#This Row],[Iout]], 2*Deadtime*Fsw*IF(VfdSky_Q3&gt;0,VfdSky_Q3,0)*Table1[[#This Row],[Iin]], 2*Deadtime*Fsw*IF(VfdSky_Q2&gt;0,VfdSky_Q2,0)*Table1[[#This Row],[Iout]]+2*Deadtime*Fsw*IF(VfdSky_Q3&gt;0,VfdSky_Q3,0)*Table1[[#This Row],[Iin]])</f>
        <v>0</v>
      </c>
      <c r="BA92" s="354">
        <f>CHOOSE(Table1[[#This Row],[Mode Digit]], IF(QrrSky_Q2&gt;0,QrrSky_Q2,Qrr_Q2)*Fsw*(Table1[[#This Row],[Vin]]-Table1[[#This Row],[Iout]]*Rdson1),0,  IF(QrrSky_Q2&gt;0,QrrSky_Q2,Qrr_Q2)*Fsw*(Table1[[#This Row],[Vin]]-Table1[[#This Row],[Iout]]*Rdson1)+IF(QrrSky_Q3&gt;0,QrrSky_Q3,Qrr_Q3)*Fsw*Vout)</f>
        <v>0.37883519999999998</v>
      </c>
      <c r="BB92" s="354">
        <f>CHOOSE(Table1[[#This Row],[Mode Digit]],0, IF(QrrSky_Q3&gt;0,QrrSky_Q3,Qrr_Q3)*Fsw*Vout,  IF(QrrSky_Q2&gt;0,QrrSky_Q2,Qrr_Q2)*Fsw*(Table1[[#This Row],[Vin]]-Table1[[#This Row],[Iout]]*Rdson1)+IF(QrrSky_Q3&gt;0,QrrSky_Q3,Qrr_Q3)*Fsw*Vout)</f>
        <v>0</v>
      </c>
      <c r="BC92" s="354">
        <f>CHOOSE(Table1[[#This Row],[Mode Digit]], Rs*Table1[[#This Row],[Irms BuSync]]^2, Rs*Table1[[#This Row],[Irms BoCtlr]]^2, Rs*(Table1[[#This Row],[Irms BuSync]]^2+Table1[[#This Row],[Irms BoCtlr]]^2))</f>
        <v>0.19501692877783569</v>
      </c>
      <c r="BD92" s="354">
        <f t="shared" si="5"/>
        <v>1.44</v>
      </c>
      <c r="BE92" s="354">
        <f>IF(Vout&gt;8, Iq*Vout, Iq*Table1[[#This Row],[Vin]])</f>
        <v>4.3799999999999999E-2</v>
      </c>
      <c r="BF92" s="354">
        <f>CHOOSE(Table1[[#This Row],[Mode Digit]], (Qg_Q1+Qg_Q2)*Fsw, (Qg_Q3+Qg_Q4)*Fsw, (Qg_Q1+Qg_Q2+Qg_Q3+Qg_Q4)*Fsw)*IF(Vout&gt;8, Vout, Table1[[#This Row],[Vin]])</f>
        <v>0.47303999999999996</v>
      </c>
      <c r="BG92" s="354">
        <f t="shared" si="6"/>
        <v>0.45605042016806729</v>
      </c>
      <c r="BH92" s="354">
        <f>Table1[[#This Row],[IQ Loss]]+Table1[[#This Row],[Switching Current Loss]]</f>
        <v>0.51683999999999997</v>
      </c>
      <c r="BI9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10.886819646310341</v>
      </c>
      <c r="BJ92">
        <f>Vout*Table1[[#This Row],[Iout]]</f>
        <v>175.2</v>
      </c>
      <c r="BK92" s="550">
        <f>Table1[[#This Row],[Pout]]/(Table1[[#This Row],[Pout]]+Table1[[#This Row],[Total Loss]])</f>
        <v>0.94149601961599116</v>
      </c>
      <c r="BL9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260.81599920085517</v>
      </c>
      <c r="BM92" s="559">
        <f>IF(Table1[[#This Row],[Vin]]&gt;Vout, Table1[[#This Row],[Total Sync Bu MOSFET Loss]]*ThetaJA_Q2, ThetaJA_Q3*Table1[[#This Row],[Total Sync Bo MOSFET Loss]])</f>
        <v>58.93402302649929</v>
      </c>
      <c r="BN92" s="9"/>
      <c r="BO92" s="4">
        <f>Table1[[#This Row],[EFF, h]]*100</f>
        <v>94.149601961599117</v>
      </c>
      <c r="BP92" s="354">
        <f>Table1[[#This Row],[Total Inductor Loss]]</f>
        <v>2.2242710656985385</v>
      </c>
      <c r="BQ92" s="354">
        <f>Table1[[#This Row],[Total Control Bu MOSFET Loss]]+Table1[[#This Row],[Total Sync Bu MOSFET Loss]]+Table1[[#This Row],[Total Control Bo MOSFET Loss]]+Table1[[#This Row],[Total Sync Bo MOSFET Loss]]+Table1[[#This Row],[Reverse Recovery Loss MOSFET D BUCK]]+Table1[[#This Row],[Reverse Recovery Loss MOSFET D BOOST]]</f>
        <v>6.4275358953401689</v>
      </c>
      <c r="BR92" s="354">
        <f>Table1[[#This Row],[Total Control Bu MOSFET Loss]]+Table1[[#This Row],[Reverse Recovery Loss MOSFET D BUCK]]*0.66</f>
        <v>4.5969645520142528</v>
      </c>
      <c r="BS92" s="354">
        <f>Table1[[#This Row],[Total Sync Bu MOSFET Loss]]+Table1[[#This Row],[Reverse Recovery Loss MOSFET D BUCK]]*0.33</f>
        <v>1.1072493331083215</v>
      </c>
      <c r="BT92" s="354">
        <f xml:space="preserve"> Table1[[#This Row],[Total Control Bo MOSFET Loss]]+Table1[[#This Row],[Reverse Recovery Loss MOSFET D BOOST]]*0.66</f>
        <v>0</v>
      </c>
      <c r="BU92" s="354">
        <f xml:space="preserve"> Table1[[#This Row],[Total Sync Bo MOSFET Loss]]+Table1[[#This Row],[Reverse Recovery Loss MOSFET D BOOST]]*0.33</f>
        <v>0.71953365821759319</v>
      </c>
      <c r="BV92" s="354">
        <f>Table1[[#This Row],[Isense Shunt Loss]]</f>
        <v>0.19501692877783569</v>
      </c>
      <c r="CB92" s="18"/>
      <c r="CC92" s="19"/>
    </row>
    <row r="93" spans="1:81" x14ac:dyDescent="0.2">
      <c r="G93">
        <v>84</v>
      </c>
      <c r="H93" s="555">
        <f>VIN_min+(VIN_max-VIN_min)*(Table1[[#This Row],[Step]]/200)</f>
        <v>31.759999999999998</v>
      </c>
      <c r="I93" s="4" t="str">
        <f>IF(Mode = 2,IF(Table1[[#This Row],[Vin]]&gt;Vout, "BUCK","BOOST"),IF(Table1[[#This Row],[Vin]]&gt;VIN_BB_to_buck, "BUCK", IF(Table1[[#This Row],[Vin]]&lt;=VIN_boost_to_BB,"BOOST","BUCK-BST")))</f>
        <v>BUCK</v>
      </c>
      <c r="J93">
        <f>IF(Table1[[#This Row],[Mode]]="BOOST",2, IF(Table1[[#This Row],[Mode]]="BUCK", 1,3))</f>
        <v>1</v>
      </c>
      <c r="K93">
        <f t="shared" si="4"/>
        <v>12</v>
      </c>
      <c r="L93" s="4">
        <f>Vout*Table1[[#This Row],[Iout]]/(Table1[[#This Row],[Vin]]*Efficiency)</f>
        <v>5.8067082062839717</v>
      </c>
      <c r="M93" s="711">
        <f>MIN(1/Fsw,CHOOSE(Table1[[#This Row],[Mode Digit]],(Vout+(Rdson2+Rs+Rdcr)*Table1[[#This Row],[Iout]])/(Table1[[#This Row],[Vin]]+(Rs+Rdson2-Rdson1)*Table1[[#This Row],[Iout]])/Fsw,(Vout+(Rdson3+Rdcr)*Table1[[#This Row],[Iin]]-Table1[[#This Row],[Vin]])/(Vout+(Rdson3-Rdson4-Rs)*Table1[[#This Row],[Iin]])/Fsw,t1_Ph_II))</f>
        <v>7.7330397399601554E-7</v>
      </c>
      <c r="N93" s="602">
        <f>CHOOSE(Table1[[#This Row],[Mode Digit]],1/Fsw-Table1[[#This Row],[t1_Ph_II]],1/Fsw-Table1[[#This Row],[t1_Ph_II]],(Vout/Fsw-Table1[[#This Row],[Vin]]*t1_Ph_II)/(Table1[[#This Row],[Vin]]+Vout))</f>
        <v>8.9336269267065112E-7</v>
      </c>
      <c r="O93" s="602">
        <f>1/Fsw-(Table1[[#This Row],[t1_Ph_II]]+Table1[[#This Row],[t2_Ph_I]])</f>
        <v>0</v>
      </c>
      <c r="P9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9.4867620845129501</v>
      </c>
      <c r="Q93" s="4">
        <f>CHOOSE(Table1[[#This Row],[Mode Digit]],Table1[[#This Row],[I_0]]+1/Lf*(Table1[[#This Row],[Vin]]-Vout)*Table1[[#This Row],[t1_Ph_II]],Table1[[#This Row],[I_0]]+1/Lf*Table1[[#This Row],[Vin]]*Table1[[#This Row],[t1_Ph_II]],Table1[[#This Row],[I_0]]+(Table1[[#This Row],[Vin]]-Vout)/L*Table1[[#This Row],[t1_Ph_II]])</f>
        <v>14.51323791548705</v>
      </c>
      <c r="R93" s="4">
        <f>CHOOSE(Table1[[#This Row],[Mode Digit]],0,0,Table1[[#This Row],[I_1]]+Table1[[#This Row],[Vin]]/L*Table1[[#This Row],[t2_Ph_I]])</f>
        <v>0</v>
      </c>
      <c r="S93" s="4">
        <f>Fsw*(Table1[[#This Row],[I_0]]*Table1[[#This Row],[t1_Ph_II]]+Table1[[#This Row],[I_1]]*Table1[[#This Row],[t2_Ph_I]]+Table1[[#This Row],[I_2]]*Table1[[#This Row],[t3_Ph_III]])</f>
        <v>12.181041674314733</v>
      </c>
      <c r="T93" s="354">
        <f>MIN(1,CHOOSE(Table1[[#This Row],[Mode Digit]],(Vout+(Rdson2+Rs+Rdcr)*Table1[[#This Row],[Iout]])/(Table1[[#This Row],[Vin]]+(Rs+Rdson2-Rdson1)*Table1[[#This Row],[Iout]]),1,Fsw*Table1[[#This Row],[t2_Ph_I]]+Table1[[#This Row],[t1_Ph_II]]))</f>
        <v>0.4639823843976093</v>
      </c>
      <c r="U93" s="354">
        <f>MIN(1,CHOOSE(Table1[[#This Row],[Mode Digit]],0,(Vout+(Rdson3+Rdcr)*Table1[[#This Row],[Iin]]-Table1[[#This Row],[Vin]])/(Vout+(Rdson3-Rdson4-Rs)*Table1[[#This Row],[Iin]]),Fsw*Table1[[#This Row],[t1_Ph_II]]+Table1[[#This Row],[t3_Ph_III]]))</f>
        <v>0</v>
      </c>
      <c r="V93" s="4">
        <f>MAX(Table1[[#This Row],[I_0]:[I_2]])-MIN(Table1[[#This Row],[I_0]:[I_1]])</f>
        <v>5.0264758309740998</v>
      </c>
      <c r="W9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12.087408942364251</v>
      </c>
      <c r="X93" s="354">
        <f>(Table1[[#This Row],[Irms Lf]]^2*Rdcr*(1+Ltc*Ta-Ltc*25))/(1-Table1[[#This Row],[Irms Lf]]^2*Rdcr*Ltc*ThetaCa)</f>
        <v>0.90903798835647809</v>
      </c>
      <c r="Y93" s="354">
        <f>ABS(7.759*10^-3*Fsw^0.9458*(0.00787*Table1[[#This Row],[Ripple Current pk-pk]])^2.304)</f>
        <v>1.3268392774711459</v>
      </c>
      <c r="Z93" s="354">
        <f>Table1[[#This Row],[DCR    Loss]]+Table1[[#This Row],[Core Loss]]</f>
        <v>2.2358772658276242</v>
      </c>
      <c r="AA93" s="4">
        <f>IF(Table1[[#This Row],[Vin]]&gt;Vout, Table1[[#This Row],[Ripple Current pk-pk]]/SQRT(12), SQRT(Table1[[#This Row],[Duty Cycle BOOST Leg]]/(1-Table1[[#This Row],[Duty Cycle BOOST Leg]]))*SQRT(Table1[[#This Row],[Iout]]^2+(Table1[[#This Row],[Ripple Current pk-pk]]^2)/12))</f>
        <v>1.4510185870440222</v>
      </c>
      <c r="AB93" s="354">
        <f>RCoutEsr*Table1[[#This Row],[Irms Cout]]^2</f>
        <v>1.0527274699736154E-2</v>
      </c>
      <c r="AC93" s="354">
        <f>Table1[[#This Row],[Cout ESR Loss]]</f>
        <v>1.0527274699736154E-2</v>
      </c>
      <c r="AD93" s="354">
        <f>IF(Table1[[#This Row],[Vin]]&gt;Vout, SQRT(Table1[[#This Row],[Duty Cycle BUCK Leg]]*(1-Table1[[#This Row],[Duty Cycle BUCK Leg]]))*SQRT(Table1[[#This Row],[Iout]]^2+(Table1[[#This Row],[Ripple Current pk-pk]]^2)/12), Table1[[#This Row],[Ripple Current pk-pk]]/SQRT(12))</f>
        <v>6.0280034597769969</v>
      </c>
      <c r="AE93" s="354">
        <f>RCinEsr*Table1[[#This Row],[Irms Cin]]^2</f>
        <v>7.2673651422166891E-2</v>
      </c>
      <c r="AF93" s="549">
        <f>Table1[[#This Row],[Cin ESR Loss]]</f>
        <v>7.2673651422166891E-2</v>
      </c>
      <c r="AG9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8.2334899864233879</v>
      </c>
      <c r="AH93" s="354">
        <f>Rdson1*Table1[[#This Row],[Irms BuCtrl]]^2</f>
        <v>0.28471950089744369</v>
      </c>
      <c r="AI93" s="354">
        <f>CHOOSE(Table1[[#This Row],[Mode Digit]], (Table1[[#This Row],[Vin]]*Table1[[#This Row],[Iout]]/2)*(Fsw)*(Tr_buck+Tf_buck), 0, (Table1[[#This Row],[Vin]]*Table1[[#This Row],[Avg IL]]/2)*(Fsw/1)*(Tr_buck+Tf_buck))</f>
        <v>3.7793257692463129</v>
      </c>
      <c r="AJ93">
        <f>IF(Table1[[#This Row],[Vin]]&gt;Vout, IF(Table1[[#This Row],[Iout]]&gt;Table1[[#This Row],[Ripple Current pk-pk]]/2,0,ABS(Table1[[#This Row],[Iout]]-Table1[[#This Row],[Ripple Current pk-pk]]/2)*Vsd_Q1*Deadtime*Fsw),0)</f>
        <v>0</v>
      </c>
      <c r="AK93" s="354">
        <f>(Table1[[#This Row],[Dead Time Loss BuCtrl]]+Table1[[#This Row],[Transition Loss BuCtrl]]+Table1[[#This Row],[RDS(on) Loss BuCtrl]]*(1+RdsonTopTc*Ta-RdsonTopTc*25))/(1-Table1[[#This Row],[RDS(on) Loss BuCtrl]]*RdsonTopTc*ThetaJA_Q1)</f>
        <v>4.3621206667239312</v>
      </c>
      <c r="AL93" s="354">
        <f>CHOOSE(Table1[[#This Row],[Mode Digit]],SQRT((Fsw*(Table1[[#This Row],[t2_Ph_I]]+0))*((Table1[[#This Row],[I_0]]*Table1[[#This Row],[I_1]]+((Table1[[#This Row],[I_0]]-Table1[[#This Row],[I_1]])^2)/3))),0,SQRT((Fsw*(Table1[[#This Row],[t3_Ph_III]]+0))*((Table1[[#This Row],[I_0]]*Table1[[#This Row],[I_2]]+((Table1[[#This Row],[I_0]]-Table1[[#This Row],[I_2]])^2)/3))))</f>
        <v>8.8495817744915524</v>
      </c>
      <c r="AM93" s="354">
        <f>Rdson2*Table1[[#This Row],[Irms BuSync]]^2</f>
        <v>0.32892340985033486</v>
      </c>
      <c r="AN9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93" s="354">
        <f>(Table1[[#This Row],[Deadtime Loss BuSync]]+Table1[[#This Row],[RDS(on) Loss BuSync]]*(1+RdsonBotTc*Ta-RdsonBotTc*25))/(1-Table1[[#This Row],[RDS(on) Loss BuSync]]*RdsonBotTc*ThetaJA_Q2)</f>
        <v>0.98397111029169038</v>
      </c>
      <c r="AP93" s="354">
        <f>CHOOSE(Table1[[#This Row],[Mode Digit]],0,SQRT((Fsw*(Table1[[#This Row],[t1_Ph_II]]+0))*((Table1[[#This Row],[I_0]]*Table1[[#This Row],[I_1]]+((Table1[[#This Row],[I_0]]-Table1[[#This Row],[I_1]])^2)/3))),SQRT((Fsw*(Table1[[#This Row],[t2_Ph_I]]+0))*((Table1[[#This Row],[I_1]]*Table1[[#This Row],[I_2]]+((Table1[[#This Row],[I_1]]-Table1[[#This Row],[I_2]])^2)/3))))</f>
        <v>0</v>
      </c>
      <c r="AQ93" s="354">
        <f>Rdson4*Table1[[#This Row],[Irms BoCtlr]]^2</f>
        <v>0</v>
      </c>
      <c r="AR93" s="354">
        <f>CHOOSE(Table1[[#This Row],[Mode Digit]], 0, (Vout*Table1[[#This Row],[Iin]]/2)*(Fsw)*(Tr_boost+Tf_boost), (Vout*Iout/2)*(Fsw/1)*(Tr_boost+Tf_boost))</f>
        <v>0</v>
      </c>
      <c r="AS93">
        <f>IF(Table1[[#This Row],[Vin]]&gt;Vout, 0, IF(Table1[[#This Row],[Iin]]&gt;Table1[[#This Row],[Ripple Current pk-pk]]/2,0,ABS(Table1[[#This Row],[Iin]]-Table1[[#This Row],[Ripple Current pk-pk]]/2)*Vsd_Q4*Deadtime*Fsw))</f>
        <v>0</v>
      </c>
      <c r="AT93" s="354">
        <f>(Table1[[#This Row],[Dead Time Loss BoCtlr]]+Table1[[#This Row],[Transition Loss BoCtlr]]+Table1[[#This Row],[RDS(on) Loss BoCtlr]]*(1+RdsonTopTc*Ta-RdsonTopTc*25))/(1-Table1[[#This Row],[RDS(on) Loss BoCtlr]]*RdsonTopTc*ThetaJA_Q4)</f>
        <v>0</v>
      </c>
      <c r="AU9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12.087408942364251</v>
      </c>
      <c r="AV93" s="354">
        <f>Rdson3*Table1[[#This Row],[Irms BoSync]]^2</f>
        <v>0.61364291074777844</v>
      </c>
      <c r="AW9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93" s="354">
        <f>(Table1[[#This Row],[Deadtime Loss BoSync]]+Table1[[#This Row],[RDS(on) Loss BoSync]]*(1+RdsonBotTc*Ta-RdsonBotTc*25))/(1-Table1[[#This Row],[RDS(on) Loss BoSync]]*RdsonBotTc*ThetaJA_Q3)</f>
        <v>0.7196252085817596</v>
      </c>
      <c r="AY93" s="354">
        <f>CHOOSE(Table1[[#This Row],[Mode Digit]], Rdson3*Table1[[#This Row],[Irms Lf]]^2, Rdson1*Table1[[#This Row],[Irms Lf]]^2, 0)</f>
        <v>0.61364291074777844</v>
      </c>
      <c r="AZ93" s="354">
        <f>CHOOSE(Table1[[#This Row],[Mode Digit]], 2*Deadtime*Fsw*IF(VfdSky_Q2&gt;0,VfdSky_Q2,0)*Table1[[#This Row],[Iout]], 2*Deadtime*Fsw*IF(VfdSky_Q3&gt;0,VfdSky_Q3,0)*Table1[[#This Row],[Iin]], 2*Deadtime*Fsw*IF(VfdSky_Q2&gt;0,VfdSky_Q2,0)*Table1[[#This Row],[Iout]]+2*Deadtime*Fsw*IF(VfdSky_Q3&gt;0,VfdSky_Q3,0)*Table1[[#This Row],[Iin]])</f>
        <v>0</v>
      </c>
      <c r="BA93" s="354">
        <f>CHOOSE(Table1[[#This Row],[Mode Digit]], IF(QrrSky_Q2&gt;0,QrrSky_Q2,Qrr_Q2)*Fsw*(Table1[[#This Row],[Vin]]-Table1[[#This Row],[Iout]]*Rdson1),0,  IF(QrrSky_Q2&gt;0,QrrSky_Q2,Qrr_Q2)*Fsw*(Table1[[#This Row],[Vin]]-Table1[[#This Row],[Iout]]*Rdson1)+IF(QrrSky_Q3&gt;0,QrrSky_Q3,Qrr_Q3)*Fsw*Vout)</f>
        <v>0.3805152</v>
      </c>
      <c r="BB93" s="354">
        <f>CHOOSE(Table1[[#This Row],[Mode Digit]],0, IF(QrrSky_Q3&gt;0,QrrSky_Q3,Qrr_Q3)*Fsw*Vout,  IF(QrrSky_Q2&gt;0,QrrSky_Q2,Qrr_Q2)*Fsw*(Table1[[#This Row],[Vin]]-Table1[[#This Row],[Iout]]*Rdson1)+IF(QrrSky_Q3&gt;0,QrrSky_Q3,Qrr_Q3)*Fsw*Vout)</f>
        <v>0</v>
      </c>
      <c r="BC93" s="354">
        <f>CHOOSE(Table1[[#This Row],[Mode Digit]], Rs*Table1[[#This Row],[Irms BuSync]]^2, Rs*Table1[[#This Row],[Irms BoCtlr]]^2, Rs*(Table1[[#This Row],[Irms BuSync]]^2+Table1[[#This Row],[Irms BoCtlr]]^2))</f>
        <v>0.19578774395853263</v>
      </c>
      <c r="BD93" s="354">
        <f t="shared" si="5"/>
        <v>1.44</v>
      </c>
      <c r="BE93" s="354">
        <f>IF(Vout&gt;8, Iq*Vout, Iq*Table1[[#This Row],[Vin]])</f>
        <v>4.3799999999999999E-2</v>
      </c>
      <c r="BF93" s="354">
        <f>CHOOSE(Table1[[#This Row],[Mode Digit]], (Qg_Q1+Qg_Q2)*Fsw, (Qg_Q3+Qg_Q4)*Fsw, (Qg_Q1+Qg_Q2+Qg_Q3+Qg_Q4)*Fsw)*IF(Vout&gt;8, Vout, Table1[[#This Row],[Vin]])</f>
        <v>0.47303999999999996</v>
      </c>
      <c r="BG93" s="354">
        <f t="shared" si="6"/>
        <v>0.45605042016806729</v>
      </c>
      <c r="BH93" s="354">
        <f>Table1[[#This Row],[IQ Loss]]+Table1[[#This Row],[Switching Current Loss]]</f>
        <v>0.51683999999999997</v>
      </c>
      <c r="BI9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10.917938121505442</v>
      </c>
      <c r="BJ93">
        <f>Vout*Table1[[#This Row],[Iout]]</f>
        <v>175.2</v>
      </c>
      <c r="BK93" s="550">
        <f>Table1[[#This Row],[Pout]]/(Table1[[#This Row],[Pout]]+Table1[[#This Row],[Total Loss]])</f>
        <v>0.94133860372782674</v>
      </c>
      <c r="BL9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261.7272400034359</v>
      </c>
      <c r="BM93" s="559">
        <f>IF(Table1[[#This Row],[Vin]]&gt;Vout, Table1[[#This Row],[Total Sync Bu MOSFET Loss]]*ThetaJA_Q2, ThetaJA_Q3*Table1[[#This Row],[Total Sync Bo MOSFET Loss]])</f>
        <v>59.038266617501421</v>
      </c>
      <c r="BN93" s="9"/>
      <c r="BO93" s="4">
        <f>Table1[[#This Row],[EFF, h]]*100</f>
        <v>94.133860372782678</v>
      </c>
      <c r="BP93" s="354">
        <f>Table1[[#This Row],[Total Inductor Loss]]</f>
        <v>2.2358772658276242</v>
      </c>
      <c r="BQ93" s="354">
        <f>Table1[[#This Row],[Total Control Bu MOSFET Loss]]+Table1[[#This Row],[Total Sync Bu MOSFET Loss]]+Table1[[#This Row],[Total Control Bo MOSFET Loss]]+Table1[[#This Row],[Total Sync Bo MOSFET Loss]]+Table1[[#This Row],[Reverse Recovery Loss MOSFET D BUCK]]+Table1[[#This Row],[Reverse Recovery Loss MOSFET D BOOST]]</f>
        <v>6.4462321855973803</v>
      </c>
      <c r="BR93" s="354">
        <f>Table1[[#This Row],[Total Control Bu MOSFET Loss]]+Table1[[#This Row],[Reverse Recovery Loss MOSFET D BUCK]]*0.66</f>
        <v>4.6132606987239315</v>
      </c>
      <c r="BS93" s="354">
        <f>Table1[[#This Row],[Total Sync Bu MOSFET Loss]]+Table1[[#This Row],[Reverse Recovery Loss MOSFET D BUCK]]*0.33</f>
        <v>1.1095411262916903</v>
      </c>
      <c r="BT93" s="354">
        <f xml:space="preserve"> Table1[[#This Row],[Total Control Bo MOSFET Loss]]+Table1[[#This Row],[Reverse Recovery Loss MOSFET D BOOST]]*0.66</f>
        <v>0</v>
      </c>
      <c r="BU93" s="354">
        <f xml:space="preserve"> Table1[[#This Row],[Total Sync Bo MOSFET Loss]]+Table1[[#This Row],[Reverse Recovery Loss MOSFET D BOOST]]*0.33</f>
        <v>0.7196252085817596</v>
      </c>
      <c r="BV93" s="354">
        <f>Table1[[#This Row],[Isense Shunt Loss]]</f>
        <v>0.19578774395853263</v>
      </c>
      <c r="CB93" s="18"/>
      <c r="CC93" s="19"/>
    </row>
    <row r="94" spans="1:81" x14ac:dyDescent="0.2">
      <c r="G94">
        <v>85</v>
      </c>
      <c r="H94" s="555">
        <f>VIN_min+(VIN_max-VIN_min)*(Table1[[#This Row],[Step]]/200)</f>
        <v>31.9</v>
      </c>
      <c r="I94" s="4" t="str">
        <f>IF(Mode = 2,IF(Table1[[#This Row],[Vin]]&gt;Vout, "BUCK","BOOST"),IF(Table1[[#This Row],[Vin]]&gt;VIN_BB_to_buck, "BUCK", IF(Table1[[#This Row],[Vin]]&lt;=VIN_boost_to_BB,"BOOST","BUCK-BST")))</f>
        <v>BUCK</v>
      </c>
      <c r="J94">
        <f>IF(Table1[[#This Row],[Mode]]="BOOST",2, IF(Table1[[#This Row],[Mode]]="BUCK", 1,3))</f>
        <v>1</v>
      </c>
      <c r="K94">
        <f t="shared" si="4"/>
        <v>12</v>
      </c>
      <c r="L94" s="4">
        <f>Vout*Table1[[#This Row],[Iout]]/(Table1[[#This Row],[Vin]]*Efficiency)</f>
        <v>5.7812242204256723</v>
      </c>
      <c r="M94" s="711">
        <f>MIN(1/Fsw,CHOOSE(Table1[[#This Row],[Mode Digit]],(Vout+(Rdson2+Rs+Rdcr)*Table1[[#This Row],[Iout]])/(Table1[[#This Row],[Vin]]+(Rs+Rdson2-Rdson1)*Table1[[#This Row],[Iout]])/Fsw,(Vout+(Rdson3+Rdcr)*Table1[[#This Row],[Iin]]-Table1[[#This Row],[Vin]])/(Vout+(Rdson3-Rdson4-Rs)*Table1[[#This Row],[Iin]])/Fsw,t1_Ph_II))</f>
        <v>7.6991335212443885E-7</v>
      </c>
      <c r="N94" s="602">
        <f>CHOOSE(Table1[[#This Row],[Mode Digit]],1/Fsw-Table1[[#This Row],[t1_Ph_II]],1/Fsw-Table1[[#This Row],[t1_Ph_II]],(Vout/Fsw-Table1[[#This Row],[Vin]]*t1_Ph_II)/(Table1[[#This Row],[Vin]]+Vout))</f>
        <v>8.9675331454222781E-7</v>
      </c>
      <c r="O94" s="602">
        <f>1/Fsw-(Table1[[#This Row],[t1_Ph_II]]+Table1[[#This Row],[t2_Ph_I]])</f>
        <v>0</v>
      </c>
      <c r="P9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9.4773672364104566</v>
      </c>
      <c r="Q94" s="4">
        <f>CHOOSE(Table1[[#This Row],[Mode Digit]],Table1[[#This Row],[I_0]]+1/Lf*(Table1[[#This Row],[Vin]]-Vout)*Table1[[#This Row],[t1_Ph_II]],Table1[[#This Row],[I_0]]+1/Lf*Table1[[#This Row],[Vin]]*Table1[[#This Row],[t1_Ph_II]],Table1[[#This Row],[I_0]]+(Table1[[#This Row],[Vin]]-Vout)/L*Table1[[#This Row],[t1_Ph_II]])</f>
        <v>14.522632763589543</v>
      </c>
      <c r="R94" s="4">
        <f>CHOOSE(Table1[[#This Row],[Mode Digit]],0,0,Table1[[#This Row],[I_1]]+Table1[[#This Row],[Vin]]/L*Table1[[#This Row],[t2_Ph_I]])</f>
        <v>0</v>
      </c>
      <c r="S94" s="4">
        <f>Fsw*(Table1[[#This Row],[I_0]]*Table1[[#This Row],[t1_Ph_II]]+Table1[[#This Row],[I_1]]*Table1[[#This Row],[t2_Ph_I]]+Table1[[#This Row],[I_2]]*Table1[[#This Row],[t3_Ph_III]])</f>
        <v>12.191982386956548</v>
      </c>
      <c r="T94" s="354">
        <f>MIN(1,CHOOSE(Table1[[#This Row],[Mode Digit]],(Vout+(Rdson2+Rs+Rdcr)*Table1[[#This Row],[Iout]])/(Table1[[#This Row],[Vin]]+(Rs+Rdson2-Rdson1)*Table1[[#This Row],[Iout]]),1,Fsw*Table1[[#This Row],[t2_Ph_I]]+Table1[[#This Row],[t1_Ph_II]]))</f>
        <v>0.46194801127466334</v>
      </c>
      <c r="U94" s="354">
        <f>MIN(1,CHOOSE(Table1[[#This Row],[Mode Digit]],0,(Vout+(Rdson3+Rdcr)*Table1[[#This Row],[Iin]]-Table1[[#This Row],[Vin]])/(Vout+(Rdson3-Rdson4-Rs)*Table1[[#This Row],[Iin]]),Fsw*Table1[[#This Row],[t1_Ph_II]]+Table1[[#This Row],[t3_Ph_III]]))</f>
        <v>0</v>
      </c>
      <c r="V94" s="4">
        <f>MAX(Table1[[#This Row],[I_0]:[I_2]])-MIN(Table1[[#This Row],[I_0]:[I_1]])</f>
        <v>5.0452655271790867</v>
      </c>
      <c r="W9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12.088061273558793</v>
      </c>
      <c r="X94" s="354">
        <f>(Table1[[#This Row],[Irms Lf]]^2*Rdcr*(1+Ltc*Ta-Ltc*25))/(1-Table1[[#This Row],[Irms Lf]]^2*Rdcr*Ltc*ThetaCa)</f>
        <v>0.9091432450433734</v>
      </c>
      <c r="Y94" s="354">
        <f>ABS(7.759*10^-3*Fsw^0.9458*(0.00787*Table1[[#This Row],[Ripple Current pk-pk]])^2.304)</f>
        <v>1.338294790899089</v>
      </c>
      <c r="Z94" s="354">
        <f>Table1[[#This Row],[DCR    Loss]]+Table1[[#This Row],[Core Loss]]</f>
        <v>2.2474380359424622</v>
      </c>
      <c r="AA94" s="4">
        <f>IF(Table1[[#This Row],[Vin]]&gt;Vout, Table1[[#This Row],[Ripple Current pk-pk]]/SQRT(12), SQRT(Table1[[#This Row],[Duty Cycle BOOST Leg]]/(1-Table1[[#This Row],[Duty Cycle BOOST Leg]]))*SQRT(Table1[[#This Row],[Iout]]^2+(Table1[[#This Row],[Ripple Current pk-pk]]^2)/12))</f>
        <v>1.4564427051249924</v>
      </c>
      <c r="AB94" s="354">
        <f>RCoutEsr*Table1[[#This Row],[Irms Cout]]^2</f>
        <v>1.0606126766559029E-2</v>
      </c>
      <c r="AC94" s="354">
        <f>Table1[[#This Row],[Cout ESR Loss]]</f>
        <v>1.0606126766559029E-2</v>
      </c>
      <c r="AD94" s="354">
        <f>IF(Table1[[#This Row],[Vin]]&gt;Vout, SQRT(Table1[[#This Row],[Duty Cycle BUCK Leg]]*(1-Table1[[#This Row],[Duty Cycle BUCK Leg]]))*SQRT(Table1[[#This Row],[Iout]]^2+(Table1[[#This Row],[Ripple Current pk-pk]]^2)/12), Table1[[#This Row],[Ripple Current pk-pk]]/SQRT(12))</f>
        <v>6.0265022648383901</v>
      </c>
      <c r="AE94" s="354">
        <f>RCinEsr*Table1[[#This Row],[Irms Cin]]^2</f>
        <v>7.263745909620449E-2</v>
      </c>
      <c r="AF94" s="549">
        <f>Table1[[#This Row],[Cin ESR Loss]]</f>
        <v>7.263745909620449E-2</v>
      </c>
      <c r="AG9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8.2158632812979135</v>
      </c>
      <c r="AH94" s="354">
        <f>Rdson1*Table1[[#This Row],[Irms BuCtrl]]^2</f>
        <v>0.28350171971931315</v>
      </c>
      <c r="AI94" s="354">
        <f>CHOOSE(Table1[[#This Row],[Mode Digit]], (Table1[[#This Row],[Vin]]*Table1[[#This Row],[Iout]]/2)*(Fsw)*(Tr_buck+Tf_buck), 0, (Table1[[#This Row],[Vin]]*Table1[[#This Row],[Avg IL]]/2)*(Fsw/1)*(Tr_buck+Tf_buck))</f>
        <v>3.7959852657102449</v>
      </c>
      <c r="AJ94">
        <f>IF(Table1[[#This Row],[Vin]]&gt;Vout, IF(Table1[[#This Row],[Iout]]&gt;Table1[[#This Row],[Ripple Current pk-pk]]/2,0,ABS(Table1[[#This Row],[Iout]]-Table1[[#This Row],[Ripple Current pk-pk]]/2)*Vsd_Q1*Deadtime*Fsw),0)</f>
        <v>0</v>
      </c>
      <c r="AK94" s="354">
        <f>(Table1[[#This Row],[Dead Time Loss BuCtrl]]+Table1[[#This Row],[Transition Loss BuCtrl]]+Table1[[#This Row],[RDS(on) Loss BuCtrl]]*(1+RdsonTopTc*Ta-RdsonTopTc*25))/(1-Table1[[#This Row],[RDS(on) Loss BuCtrl]]*RdsonTopTc*ThetaJA_Q1)</f>
        <v>4.3773217649825149</v>
      </c>
      <c r="AL94" s="354">
        <f>CHOOSE(Table1[[#This Row],[Mode Digit]],SQRT((Fsw*(Table1[[#This Row],[t2_Ph_I]]+0))*((Table1[[#This Row],[I_0]]*Table1[[#This Row],[I_1]]+((Table1[[#This Row],[I_0]]-Table1[[#This Row],[I_1]])^2)/3))),0,SQRT((Fsw*(Table1[[#This Row],[t3_Ph_III]]+0))*((Table1[[#This Row],[I_0]]*Table1[[#This Row],[I_2]]+((Table1[[#This Row],[I_0]]-Table1[[#This Row],[I_2]])^2)/3))))</f>
        <v>8.866837987486436</v>
      </c>
      <c r="AM94" s="354">
        <f>Rdson2*Table1[[#This Row],[Irms BuSync]]^2</f>
        <v>0.33020742676459663</v>
      </c>
      <c r="AN9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94" s="354">
        <f>(Table1[[#This Row],[Deadtime Loss BuSync]]+Table1[[#This Row],[RDS(on) Loss BuSync]]*(1+RdsonBotTc*Ta-RdsonBotTc*25))/(1-Table1[[#This Row],[RDS(on) Loss BuSync]]*RdsonBotTc*ThetaJA_Q2)</f>
        <v>0.98569496700729542</v>
      </c>
      <c r="AP94" s="354">
        <f>CHOOSE(Table1[[#This Row],[Mode Digit]],0,SQRT((Fsw*(Table1[[#This Row],[t1_Ph_II]]+0))*((Table1[[#This Row],[I_0]]*Table1[[#This Row],[I_1]]+((Table1[[#This Row],[I_0]]-Table1[[#This Row],[I_1]])^2)/3))),SQRT((Fsw*(Table1[[#This Row],[t2_Ph_I]]+0))*((Table1[[#This Row],[I_1]]*Table1[[#This Row],[I_2]]+((Table1[[#This Row],[I_1]]-Table1[[#This Row],[I_2]])^2)/3))))</f>
        <v>0</v>
      </c>
      <c r="AQ94" s="354">
        <f>Rdson4*Table1[[#This Row],[Irms BoCtlr]]^2</f>
        <v>0</v>
      </c>
      <c r="AR94" s="354">
        <f>CHOOSE(Table1[[#This Row],[Mode Digit]], 0, (Vout*Table1[[#This Row],[Iin]]/2)*(Fsw)*(Tr_boost+Tf_boost), (Vout*Iout/2)*(Fsw/1)*(Tr_boost+Tf_boost))</f>
        <v>0</v>
      </c>
      <c r="AS94">
        <f>IF(Table1[[#This Row],[Vin]]&gt;Vout, 0, IF(Table1[[#This Row],[Iin]]&gt;Table1[[#This Row],[Ripple Current pk-pk]]/2,0,ABS(Table1[[#This Row],[Iin]]-Table1[[#This Row],[Ripple Current pk-pk]]/2)*Vsd_Q4*Deadtime*Fsw))</f>
        <v>0</v>
      </c>
      <c r="AT94" s="354">
        <f>(Table1[[#This Row],[Dead Time Loss BoCtlr]]+Table1[[#This Row],[Transition Loss BoCtlr]]+Table1[[#This Row],[RDS(on) Loss BoCtlr]]*(1+RdsonTopTc*Ta-RdsonTopTc*25))/(1-Table1[[#This Row],[RDS(on) Loss BoCtlr]]*RdsonTopTc*ThetaJA_Q4)</f>
        <v>0</v>
      </c>
      <c r="AU9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12.088061273558793</v>
      </c>
      <c r="AV94" s="354">
        <f>Rdson3*Table1[[#This Row],[Irms BoSync]]^2</f>
        <v>0.61370914648390984</v>
      </c>
      <c r="AW9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94" s="354">
        <f>(Table1[[#This Row],[Deadtime Loss BoSync]]+Table1[[#This Row],[RDS(on) Loss BoSync]]*(1+RdsonBotTc*Ta-RdsonBotTc*25))/(1-Table1[[#This Row],[RDS(on) Loss BoSync]]*RdsonBotTc*ThetaJA_Q3)</f>
        <v>0.71971630090061556</v>
      </c>
      <c r="AY94" s="354">
        <f>CHOOSE(Table1[[#This Row],[Mode Digit]], Rdson3*Table1[[#This Row],[Irms Lf]]^2, Rdson1*Table1[[#This Row],[Irms Lf]]^2, 0)</f>
        <v>0.61370914648390984</v>
      </c>
      <c r="AZ94" s="354">
        <f>CHOOSE(Table1[[#This Row],[Mode Digit]], 2*Deadtime*Fsw*IF(VfdSky_Q2&gt;0,VfdSky_Q2,0)*Table1[[#This Row],[Iout]], 2*Deadtime*Fsw*IF(VfdSky_Q3&gt;0,VfdSky_Q3,0)*Table1[[#This Row],[Iin]], 2*Deadtime*Fsw*IF(VfdSky_Q2&gt;0,VfdSky_Q2,0)*Table1[[#This Row],[Iout]]+2*Deadtime*Fsw*IF(VfdSky_Q3&gt;0,VfdSky_Q3,0)*Table1[[#This Row],[Iin]])</f>
        <v>0</v>
      </c>
      <c r="BA94" s="354">
        <f>CHOOSE(Table1[[#This Row],[Mode Digit]], IF(QrrSky_Q2&gt;0,QrrSky_Q2,Qrr_Q2)*Fsw*(Table1[[#This Row],[Vin]]-Table1[[#This Row],[Iout]]*Rdson1),0,  IF(QrrSky_Q2&gt;0,QrrSky_Q2,Qrr_Q2)*Fsw*(Table1[[#This Row],[Vin]]-Table1[[#This Row],[Iout]]*Rdson1)+IF(QrrSky_Q3&gt;0,QrrSky_Q3,Qrr_Q3)*Fsw*Vout)</f>
        <v>0.38219520000000001</v>
      </c>
      <c r="BB94" s="354">
        <f>CHOOSE(Table1[[#This Row],[Mode Digit]],0, IF(QrrSky_Q3&gt;0,QrrSky_Q3,Qrr_Q3)*Fsw*Vout,  IF(QrrSky_Q2&gt;0,QrrSky_Q2,Qrr_Q2)*Fsw*(Table1[[#This Row],[Vin]]-Table1[[#This Row],[Iout]]*Rdson1)+IF(QrrSky_Q3&gt;0,QrrSky_Q3,Qrr_Q3)*Fsw*Vout)</f>
        <v>0</v>
      </c>
      <c r="BC94" s="354">
        <f>CHOOSE(Table1[[#This Row],[Mode Digit]], Rs*Table1[[#This Row],[Irms BuSync]]^2, Rs*Table1[[#This Row],[Irms BoCtlr]]^2, Rs*(Table1[[#This Row],[Irms BuSync]]^2+Table1[[#This Row],[Irms BoCtlr]]^2))</f>
        <v>0.1965520397408313</v>
      </c>
      <c r="BD94" s="354">
        <f t="shared" si="5"/>
        <v>1.44</v>
      </c>
      <c r="BE94" s="354">
        <f>IF(Vout&gt;8, Iq*Vout, Iq*Table1[[#This Row],[Vin]])</f>
        <v>4.3799999999999999E-2</v>
      </c>
      <c r="BF94" s="354">
        <f>CHOOSE(Table1[[#This Row],[Mode Digit]], (Qg_Q1+Qg_Q2)*Fsw, (Qg_Q3+Qg_Q4)*Fsw, (Qg_Q1+Qg_Q2+Qg_Q3+Qg_Q4)*Fsw)*IF(Vout&gt;8, Vout, Table1[[#This Row],[Vin]])</f>
        <v>0.47303999999999996</v>
      </c>
      <c r="BG94" s="354">
        <f t="shared" si="6"/>
        <v>0.45605042016806729</v>
      </c>
      <c r="BH94" s="354">
        <f>Table1[[#This Row],[IQ Loss]]+Table1[[#This Row],[Switching Current Loss]]</f>
        <v>0.51683999999999997</v>
      </c>
      <c r="BI9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10.949001894436483</v>
      </c>
      <c r="BJ94">
        <f>Vout*Table1[[#This Row],[Iout]]</f>
        <v>175.2</v>
      </c>
      <c r="BK94" s="550">
        <f>Table1[[#This Row],[Pout]]/(Table1[[#This Row],[Pout]]+Table1[[#This Row],[Total Loss]])</f>
        <v>0.9411815170481248</v>
      </c>
      <c r="BL9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262.63930589895091</v>
      </c>
      <c r="BM94" s="559">
        <f>IF(Table1[[#This Row],[Vin]]&gt;Vout, Table1[[#This Row],[Total Sync Bu MOSFET Loss]]*ThetaJA_Q2, ThetaJA_Q3*Table1[[#This Row],[Total Sync Bo MOSFET Loss]])</f>
        <v>59.141698020437723</v>
      </c>
      <c r="BN94" s="9"/>
      <c r="BO94" s="4">
        <f>Table1[[#This Row],[EFF, h]]*100</f>
        <v>94.118151704812476</v>
      </c>
      <c r="BP94" s="354">
        <f>Table1[[#This Row],[Total Inductor Loss]]</f>
        <v>2.2474380359424622</v>
      </c>
      <c r="BQ94" s="354">
        <f>Table1[[#This Row],[Total Control Bu MOSFET Loss]]+Table1[[#This Row],[Total Sync Bu MOSFET Loss]]+Table1[[#This Row],[Total Control Bo MOSFET Loss]]+Table1[[#This Row],[Total Sync Bo MOSFET Loss]]+Table1[[#This Row],[Reverse Recovery Loss MOSFET D BUCK]]+Table1[[#This Row],[Reverse Recovery Loss MOSFET D BOOST]]</f>
        <v>6.4649282328904256</v>
      </c>
      <c r="BR94" s="354">
        <f>Table1[[#This Row],[Total Control Bu MOSFET Loss]]+Table1[[#This Row],[Reverse Recovery Loss MOSFET D BUCK]]*0.66</f>
        <v>4.6295705969825152</v>
      </c>
      <c r="BS94" s="354">
        <f>Table1[[#This Row],[Total Sync Bu MOSFET Loss]]+Table1[[#This Row],[Reverse Recovery Loss MOSFET D BUCK]]*0.33</f>
        <v>1.1118193830072953</v>
      </c>
      <c r="BT94" s="354">
        <f xml:space="preserve"> Table1[[#This Row],[Total Control Bo MOSFET Loss]]+Table1[[#This Row],[Reverse Recovery Loss MOSFET D BOOST]]*0.66</f>
        <v>0</v>
      </c>
      <c r="BU94" s="354">
        <f xml:space="preserve"> Table1[[#This Row],[Total Sync Bo MOSFET Loss]]+Table1[[#This Row],[Reverse Recovery Loss MOSFET D BOOST]]*0.33</f>
        <v>0.71971630090061556</v>
      </c>
      <c r="BV94" s="354">
        <f>Table1[[#This Row],[Isense Shunt Loss]]</f>
        <v>0.1965520397408313</v>
      </c>
      <c r="CB94" s="18"/>
      <c r="CC94" s="19"/>
    </row>
    <row r="95" spans="1:81" x14ac:dyDescent="0.2">
      <c r="G95">
        <v>86</v>
      </c>
      <c r="H95" s="555">
        <f>VIN_min+(VIN_max-VIN_min)*(Table1[[#This Row],[Step]]/200)</f>
        <v>32.04</v>
      </c>
      <c r="I95" s="4" t="str">
        <f>IF(Mode = 2,IF(Table1[[#This Row],[Vin]]&gt;Vout, "BUCK","BOOST"),IF(Table1[[#This Row],[Vin]]&gt;VIN_BB_to_buck, "BUCK", IF(Table1[[#This Row],[Vin]]&lt;=VIN_boost_to_BB,"BOOST","BUCK-BST")))</f>
        <v>BUCK</v>
      </c>
      <c r="J95">
        <f>IF(Table1[[#This Row],[Mode]]="BOOST",2, IF(Table1[[#This Row],[Mode]]="BUCK", 1,3))</f>
        <v>1</v>
      </c>
      <c r="K95">
        <f t="shared" si="4"/>
        <v>12</v>
      </c>
      <c r="L95" s="4">
        <f>Vout*Table1[[#This Row],[Iout]]/(Table1[[#This Row],[Vin]]*Efficiency)</f>
        <v>5.755962941060516</v>
      </c>
      <c r="M95" s="711">
        <f>MIN(1/Fsw,CHOOSE(Table1[[#This Row],[Mode Digit]],(Vout+(Rdson2+Rs+Rdcr)*Table1[[#This Row],[Iout]])/(Table1[[#This Row],[Vin]]+(Rs+Rdson2-Rdson1)*Table1[[#This Row],[Iout]])/Fsw,(Vout+(Rdson3+Rdcr)*Table1[[#This Row],[Iin]]-Table1[[#This Row],[Vin]])/(Vout+(Rdson3-Rdson4-Rs)*Table1[[#This Row],[Iin]])/Fsw,t1_Ph_II))</f>
        <v>7.6655233343727259E-7</v>
      </c>
      <c r="N95" s="602">
        <f>CHOOSE(Table1[[#This Row],[Mode Digit]],1/Fsw-Table1[[#This Row],[t1_Ph_II]],1/Fsw-Table1[[#This Row],[t1_Ph_II]],(Vout/Fsw-Table1[[#This Row],[Vin]]*t1_Ph_II)/(Table1[[#This Row],[Vin]]+Vout))</f>
        <v>9.0011433322939407E-7</v>
      </c>
      <c r="O95" s="602">
        <f>1/Fsw-(Table1[[#This Row],[t1_Ph_II]]+Table1[[#This Row],[t2_Ph_I]])</f>
        <v>0</v>
      </c>
      <c r="P9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9.4680544137981002</v>
      </c>
      <c r="Q95" s="4">
        <f>CHOOSE(Table1[[#This Row],[Mode Digit]],Table1[[#This Row],[I_0]]+1/Lf*(Table1[[#This Row],[Vin]]-Vout)*Table1[[#This Row],[t1_Ph_II]],Table1[[#This Row],[I_0]]+1/Lf*Table1[[#This Row],[Vin]]*Table1[[#This Row],[t1_Ph_II]],Table1[[#This Row],[I_0]]+(Table1[[#This Row],[Vin]]-Vout)/L*Table1[[#This Row],[t1_Ph_II]])</f>
        <v>14.5319455862019</v>
      </c>
      <c r="R95" s="4">
        <f>CHOOSE(Table1[[#This Row],[Mode Digit]],0,0,Table1[[#This Row],[I_1]]+Table1[[#This Row],[Vin]]/L*Table1[[#This Row],[t2_Ph_I]])</f>
        <v>0</v>
      </c>
      <c r="S95" s="4">
        <f>Fsw*(Table1[[#This Row],[I_0]]*Table1[[#This Row],[t1_Ph_II]]+Table1[[#This Row],[I_1]]*Table1[[#This Row],[t2_Ph_I]]+Table1[[#This Row],[I_2]]*Table1[[#This Row],[t3_Ph_III]])</f>
        <v>12.202903029514777</v>
      </c>
      <c r="T95" s="354">
        <f>MIN(1,CHOOSE(Table1[[#This Row],[Mode Digit]],(Vout+(Rdson2+Rs+Rdcr)*Table1[[#This Row],[Iout]])/(Table1[[#This Row],[Vin]]+(Rs+Rdson2-Rdson1)*Table1[[#This Row],[Iout]]),1,Fsw*Table1[[#This Row],[t2_Ph_I]]+Table1[[#This Row],[t1_Ph_II]]))</f>
        <v>0.45993140006236355</v>
      </c>
      <c r="U95" s="354">
        <f>MIN(1,CHOOSE(Table1[[#This Row],[Mode Digit]],0,(Vout+(Rdson3+Rdcr)*Table1[[#This Row],[Iin]]-Table1[[#This Row],[Vin]])/(Vout+(Rdson3-Rdson4-Rs)*Table1[[#This Row],[Iin]]),Fsw*Table1[[#This Row],[t1_Ph_II]]+Table1[[#This Row],[t3_Ph_III]]))</f>
        <v>0</v>
      </c>
      <c r="V95" s="4">
        <f>MAX(Table1[[#This Row],[I_0]:[I_2]])-MIN(Table1[[#This Row],[I_0]:[I_1]])</f>
        <v>5.0638911724037996</v>
      </c>
      <c r="W9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12.088710276555384</v>
      </c>
      <c r="X95" s="354">
        <f>(Table1[[#This Row],[Irms Lf]]^2*Rdcr*(1+Ltc*Ta-Ltc*25))/(1-Table1[[#This Row],[Irms Lf]]^2*Rdcr*Ltc*ThetaCa)</f>
        <v>0.90924797198688168</v>
      </c>
      <c r="Y95" s="354">
        <f>ABS(7.759*10^-3*Fsw^0.9458*(0.00787*Table1[[#This Row],[Ripple Current pk-pk]])^2.304)</f>
        <v>1.3497053267227892</v>
      </c>
      <c r="Z95" s="354">
        <f>Table1[[#This Row],[DCR    Loss]]+Table1[[#This Row],[Core Loss]]</f>
        <v>2.2589532987096708</v>
      </c>
      <c r="AA95" s="4">
        <f>IF(Table1[[#This Row],[Vin]]&gt;Vout, Table1[[#This Row],[Ripple Current pk-pk]]/SQRT(12), SQRT(Table1[[#This Row],[Duty Cycle BOOST Leg]]/(1-Table1[[#This Row],[Duty Cycle BOOST Leg]]))*SQRT(Table1[[#This Row],[Iout]]^2+(Table1[[#This Row],[Ripple Current pk-pk]]^2)/12))</f>
        <v>1.4618194657671517</v>
      </c>
      <c r="AB95" s="354">
        <f>RCoutEsr*Table1[[#This Row],[Irms Cout]]^2</f>
        <v>1.0684580752478806E-2</v>
      </c>
      <c r="AC95" s="354">
        <f>Table1[[#This Row],[Cout ESR Loss]]</f>
        <v>1.0684580752478806E-2</v>
      </c>
      <c r="AD95" s="354">
        <f>IF(Table1[[#This Row],[Vin]]&gt;Vout, SQRT(Table1[[#This Row],[Duty Cycle BUCK Leg]]*(1-Table1[[#This Row],[Duty Cycle BUCK Leg]]))*SQRT(Table1[[#This Row],[Iout]]^2+(Table1[[#This Row],[Ripple Current pk-pk]]^2)/12), Table1[[#This Row],[Ripple Current pk-pk]]/SQRT(12))</f>
        <v>6.024915541765143</v>
      </c>
      <c r="AE95" s="354">
        <f>RCinEsr*Table1[[#This Row],[Irms Cin]]^2</f>
        <v>7.2599214570806342E-2</v>
      </c>
      <c r="AF95" s="549">
        <f>Table1[[#This Row],[Cin ESR Loss]]</f>
        <v>7.2599214570806342E-2</v>
      </c>
      <c r="AG9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8.198350836960671</v>
      </c>
      <c r="AH95" s="354">
        <f>Rdson1*Table1[[#This Row],[Irms BuCtrl]]^2</f>
        <v>0.28229441707275377</v>
      </c>
      <c r="AI95" s="354">
        <f>CHOOSE(Table1[[#This Row],[Mode Digit]], (Table1[[#This Row],[Vin]]*Table1[[#This Row],[Iout]]/2)*(Fsw)*(Tr_buck+Tf_buck), 0, (Table1[[#This Row],[Vin]]*Table1[[#This Row],[Avg IL]]/2)*(Fsw/1)*(Tr_buck+Tf_buck))</f>
        <v>3.8126447621741772</v>
      </c>
      <c r="AJ95">
        <f>IF(Table1[[#This Row],[Vin]]&gt;Vout, IF(Table1[[#This Row],[Iout]]&gt;Table1[[#This Row],[Ripple Current pk-pk]]/2,0,ABS(Table1[[#This Row],[Iout]]-Table1[[#This Row],[Ripple Current pk-pk]]/2)*Vsd_Q1*Deadtime*Fsw),0)</f>
        <v>0</v>
      </c>
      <c r="AK95" s="354">
        <f>(Table1[[#This Row],[Dead Time Loss BuCtrl]]+Table1[[#This Row],[Transition Loss BuCtrl]]+Table1[[#This Row],[RDS(on) Loss BuCtrl]]*(1+RdsonTopTc*Ta-RdsonTopTc*25))/(1-Table1[[#This Row],[RDS(on) Loss BuCtrl]]*RdsonTopTc*ThetaJA_Q1)</f>
        <v>4.3925364212915738</v>
      </c>
      <c r="AL95" s="354">
        <f>CHOOSE(Table1[[#This Row],[Mode Digit]],SQRT((Fsw*(Table1[[#This Row],[t2_Ph_I]]+0))*((Table1[[#This Row],[I_0]]*Table1[[#This Row],[I_1]]+((Table1[[#This Row],[I_0]]-Table1[[#This Row],[I_1]])^2)/3))),0,SQRT((Fsw*(Table1[[#This Row],[t3_Ph_III]]+0))*((Table1[[#This Row],[I_0]]*Table1[[#This Row],[I_2]]+((Table1[[#This Row],[I_0]]-Table1[[#This Row],[I_2]])^2)/3))))</f>
        <v>8.8839157866676111</v>
      </c>
      <c r="AM95" s="354">
        <f>Rdson2*Table1[[#This Row],[Irms BuSync]]^2</f>
        <v>0.33148063075932843</v>
      </c>
      <c r="AN9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95" s="354">
        <f>(Table1[[#This Row],[Deadtime Loss BuSync]]+Table1[[#This Row],[RDS(on) Loss BuSync]]*(1+RdsonBotTc*Ta-RdsonBotTc*25))/(1-Table1[[#This Row],[RDS(on) Loss BuSync]]*RdsonBotTc*ThetaJA_Q2)</f>
        <v>0.9874054465910439</v>
      </c>
      <c r="AP95" s="354">
        <f>CHOOSE(Table1[[#This Row],[Mode Digit]],0,SQRT((Fsw*(Table1[[#This Row],[t1_Ph_II]]+0))*((Table1[[#This Row],[I_0]]*Table1[[#This Row],[I_1]]+((Table1[[#This Row],[I_0]]-Table1[[#This Row],[I_1]])^2)/3))),SQRT((Fsw*(Table1[[#This Row],[t2_Ph_I]]+0))*((Table1[[#This Row],[I_1]]*Table1[[#This Row],[I_2]]+((Table1[[#This Row],[I_1]]-Table1[[#This Row],[I_2]])^2)/3))))</f>
        <v>0</v>
      </c>
      <c r="AQ95" s="354">
        <f>Rdson4*Table1[[#This Row],[Irms BoCtlr]]^2</f>
        <v>0</v>
      </c>
      <c r="AR95" s="354">
        <f>CHOOSE(Table1[[#This Row],[Mode Digit]], 0, (Vout*Table1[[#This Row],[Iin]]/2)*(Fsw)*(Tr_boost+Tf_boost), (Vout*Iout/2)*(Fsw/1)*(Tr_boost+Tf_boost))</f>
        <v>0</v>
      </c>
      <c r="AS95">
        <f>IF(Table1[[#This Row],[Vin]]&gt;Vout, 0, IF(Table1[[#This Row],[Iin]]&gt;Table1[[#This Row],[Ripple Current pk-pk]]/2,0,ABS(Table1[[#This Row],[Iin]]-Table1[[#This Row],[Ripple Current pk-pk]]/2)*Vsd_Q4*Deadtime*Fsw))</f>
        <v>0</v>
      </c>
      <c r="AT95" s="354">
        <f>(Table1[[#This Row],[Dead Time Loss BoCtlr]]+Table1[[#This Row],[Transition Loss BoCtlr]]+Table1[[#This Row],[RDS(on) Loss BoCtlr]]*(1+RdsonTopTc*Ta-RdsonTopTc*25))/(1-Table1[[#This Row],[RDS(on) Loss BoCtlr]]*RdsonTopTc*ThetaJA_Q4)</f>
        <v>0</v>
      </c>
      <c r="AU9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12.088710276555384</v>
      </c>
      <c r="AV95" s="354">
        <f>Rdson3*Table1[[#This Row],[Irms BoSync]]^2</f>
        <v>0.61377504783208225</v>
      </c>
      <c r="AW9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95" s="354">
        <f>(Table1[[#This Row],[Deadtime Loss BoSync]]+Table1[[#This Row],[RDS(on) Loss BoSync]]*(1+RdsonBotTc*Ta-RdsonBotTc*25))/(1-Table1[[#This Row],[RDS(on) Loss BoSync]]*RdsonBotTc*ThetaJA_Q3)</f>
        <v>0.71980693671498774</v>
      </c>
      <c r="AY95" s="354">
        <f>CHOOSE(Table1[[#This Row],[Mode Digit]], Rdson3*Table1[[#This Row],[Irms Lf]]^2, Rdson1*Table1[[#This Row],[Irms Lf]]^2, 0)</f>
        <v>0.61377504783208225</v>
      </c>
      <c r="AZ95" s="354">
        <f>CHOOSE(Table1[[#This Row],[Mode Digit]], 2*Deadtime*Fsw*IF(VfdSky_Q2&gt;0,VfdSky_Q2,0)*Table1[[#This Row],[Iout]], 2*Deadtime*Fsw*IF(VfdSky_Q3&gt;0,VfdSky_Q3,0)*Table1[[#This Row],[Iin]], 2*Deadtime*Fsw*IF(VfdSky_Q2&gt;0,VfdSky_Q2,0)*Table1[[#This Row],[Iout]]+2*Deadtime*Fsw*IF(VfdSky_Q3&gt;0,VfdSky_Q3,0)*Table1[[#This Row],[Iin]])</f>
        <v>0</v>
      </c>
      <c r="BA95" s="354">
        <f>CHOOSE(Table1[[#This Row],[Mode Digit]], IF(QrrSky_Q2&gt;0,QrrSky_Q2,Qrr_Q2)*Fsw*(Table1[[#This Row],[Vin]]-Table1[[#This Row],[Iout]]*Rdson1),0,  IF(QrrSky_Q2&gt;0,QrrSky_Q2,Qrr_Q2)*Fsw*(Table1[[#This Row],[Vin]]-Table1[[#This Row],[Iout]]*Rdson1)+IF(QrrSky_Q3&gt;0,QrrSky_Q3,Qrr_Q3)*Fsw*Vout)</f>
        <v>0.38387520000000003</v>
      </c>
      <c r="BB95" s="354">
        <f>CHOOSE(Table1[[#This Row],[Mode Digit]],0, IF(QrrSky_Q3&gt;0,QrrSky_Q3,Qrr_Q3)*Fsw*Vout,  IF(QrrSky_Q2&gt;0,QrrSky_Q2,Qrr_Q2)*Fsw*(Table1[[#This Row],[Vin]]-Table1[[#This Row],[Iout]]*Rdson1)+IF(QrrSky_Q3&gt;0,QrrSky_Q3,Qrr_Q3)*Fsw*Vout)</f>
        <v>0</v>
      </c>
      <c r="BC95" s="354">
        <f>CHOOSE(Table1[[#This Row],[Mode Digit]], Rs*Table1[[#This Row],[Irms BuSync]]^2, Rs*Table1[[#This Row],[Irms BoCtlr]]^2, Rs*(Table1[[#This Row],[Irms BuSync]]^2+Table1[[#This Row],[Irms BoCtlr]]^2))</f>
        <v>0.197309899261505</v>
      </c>
      <c r="BD95" s="354">
        <f t="shared" si="5"/>
        <v>1.44</v>
      </c>
      <c r="BE95" s="354">
        <f>IF(Vout&gt;8, Iq*Vout, Iq*Table1[[#This Row],[Vin]])</f>
        <v>4.3799999999999999E-2</v>
      </c>
      <c r="BF95" s="354">
        <f>CHOOSE(Table1[[#This Row],[Mode Digit]], (Qg_Q1+Qg_Q2)*Fsw, (Qg_Q3+Qg_Q4)*Fsw, (Qg_Q1+Qg_Q2+Qg_Q3+Qg_Q4)*Fsw)*IF(Vout&gt;8, Vout, Table1[[#This Row],[Vin]])</f>
        <v>0.47303999999999996</v>
      </c>
      <c r="BG95" s="354">
        <f t="shared" si="6"/>
        <v>0.45605042016806729</v>
      </c>
      <c r="BH95" s="354">
        <f>Table1[[#This Row],[IQ Loss]]+Table1[[#This Row],[Switching Current Loss]]</f>
        <v>0.51683999999999997</v>
      </c>
      <c r="BI9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10.980010997892068</v>
      </c>
      <c r="BJ95">
        <f>Vout*Table1[[#This Row],[Iout]]</f>
        <v>175.2</v>
      </c>
      <c r="BK95" s="550">
        <f>Table1[[#This Row],[Pout]]/(Table1[[#This Row],[Pout]]+Table1[[#This Row],[Total Loss]])</f>
        <v>0.94102475910791317</v>
      </c>
      <c r="BL9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263.55218527749446</v>
      </c>
      <c r="BM95" s="559">
        <f>IF(Table1[[#This Row],[Vin]]&gt;Vout, Table1[[#This Row],[Total Sync Bu MOSFET Loss]]*ThetaJA_Q2, ThetaJA_Q3*Table1[[#This Row],[Total Sync Bo MOSFET Loss]])</f>
        <v>59.244326795462634</v>
      </c>
      <c r="BN95" s="9"/>
      <c r="BO95" s="4">
        <f>Table1[[#This Row],[EFF, h]]*100</f>
        <v>94.102475910791313</v>
      </c>
      <c r="BP95" s="354">
        <f>Table1[[#This Row],[Total Inductor Loss]]</f>
        <v>2.2589532987096708</v>
      </c>
      <c r="BQ95" s="354">
        <f>Table1[[#This Row],[Total Control Bu MOSFET Loss]]+Table1[[#This Row],[Total Sync Bu MOSFET Loss]]+Table1[[#This Row],[Total Control Bo MOSFET Loss]]+Table1[[#This Row],[Total Sync Bo MOSFET Loss]]+Table1[[#This Row],[Reverse Recovery Loss MOSFET D BUCK]]+Table1[[#This Row],[Reverse Recovery Loss MOSFET D BOOST]]</f>
        <v>6.4836240045976057</v>
      </c>
      <c r="BR95" s="354">
        <f>Table1[[#This Row],[Total Control Bu MOSFET Loss]]+Table1[[#This Row],[Reverse Recovery Loss MOSFET D BUCK]]*0.66</f>
        <v>4.645894053291574</v>
      </c>
      <c r="BS95" s="354">
        <f>Table1[[#This Row],[Total Sync Bu MOSFET Loss]]+Table1[[#This Row],[Reverse Recovery Loss MOSFET D BUCK]]*0.33</f>
        <v>1.1140842625910439</v>
      </c>
      <c r="BT95" s="354">
        <f xml:space="preserve"> Table1[[#This Row],[Total Control Bo MOSFET Loss]]+Table1[[#This Row],[Reverse Recovery Loss MOSFET D BOOST]]*0.66</f>
        <v>0</v>
      </c>
      <c r="BU95" s="354">
        <f xml:space="preserve"> Table1[[#This Row],[Total Sync Bo MOSFET Loss]]+Table1[[#This Row],[Reverse Recovery Loss MOSFET D BOOST]]*0.33</f>
        <v>0.71980693671498774</v>
      </c>
      <c r="BV95" s="354">
        <f>Table1[[#This Row],[Isense Shunt Loss]]</f>
        <v>0.197309899261505</v>
      </c>
      <c r="CB95" s="18"/>
      <c r="CC95" s="19"/>
    </row>
    <row r="96" spans="1:81" x14ac:dyDescent="0.2">
      <c r="G96">
        <v>87</v>
      </c>
      <c r="H96" s="555">
        <f>VIN_min+(VIN_max-VIN_min)*(Table1[[#This Row],[Step]]/200)</f>
        <v>32.18</v>
      </c>
      <c r="I96" s="4" t="str">
        <f>IF(Mode = 2,IF(Table1[[#This Row],[Vin]]&gt;Vout, "BUCK","BOOST"),IF(Table1[[#This Row],[Vin]]&gt;VIN_BB_to_buck, "BUCK", IF(Table1[[#This Row],[Vin]]&lt;=VIN_boost_to_BB,"BOOST","BUCK-BST")))</f>
        <v>BUCK</v>
      </c>
      <c r="J96">
        <f>IF(Table1[[#This Row],[Mode]]="BOOST",2, IF(Table1[[#This Row],[Mode]]="BUCK", 1,3))</f>
        <v>1</v>
      </c>
      <c r="K96">
        <f t="shared" si="4"/>
        <v>12</v>
      </c>
      <c r="L96" s="4">
        <f>Vout*Table1[[#This Row],[Iout]]/(Table1[[#This Row],[Vin]]*Efficiency)</f>
        <v>5.7309214615158153</v>
      </c>
      <c r="M96" s="711">
        <f>MIN(1/Fsw,CHOOSE(Table1[[#This Row],[Mode Digit]],(Vout+(Rdson2+Rs+Rdcr)*Table1[[#This Row],[Iout]])/(Table1[[#This Row],[Vin]]+(Rs+Rdson2-Rdson1)*Table1[[#This Row],[Iout]])/Fsw,(Vout+(Rdson3+Rdcr)*Table1[[#This Row],[Iin]]-Table1[[#This Row],[Vin]])/(Vout+(Rdson3-Rdson4-Rs)*Table1[[#This Row],[Iin]])/Fsw,t1_Ph_II))</f>
        <v>7.6322053192590283E-7</v>
      </c>
      <c r="N96" s="602">
        <f>CHOOSE(Table1[[#This Row],[Mode Digit]],1/Fsw-Table1[[#This Row],[t1_Ph_II]],1/Fsw-Table1[[#This Row],[t1_Ph_II]],(Vout/Fsw-Table1[[#This Row],[Vin]]*t1_Ph_II)/(Table1[[#This Row],[Vin]]+Vout))</f>
        <v>9.0344613474076383E-7</v>
      </c>
      <c r="O96" s="602">
        <f>1/Fsw-(Table1[[#This Row],[t1_Ph_II]]+Table1[[#This Row],[t2_Ph_I]])</f>
        <v>0</v>
      </c>
      <c r="P9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9.458822547110346</v>
      </c>
      <c r="Q96" s="4">
        <f>CHOOSE(Table1[[#This Row],[Mode Digit]],Table1[[#This Row],[I_0]]+1/Lf*(Table1[[#This Row],[Vin]]-Vout)*Table1[[#This Row],[t1_Ph_II]],Table1[[#This Row],[I_0]]+1/Lf*Table1[[#This Row],[Vin]]*Table1[[#This Row],[t1_Ph_II]],Table1[[#This Row],[I_0]]+(Table1[[#This Row],[Vin]]-Vout)/L*Table1[[#This Row],[t1_Ph_II]])</f>
        <v>14.541177452889652</v>
      </c>
      <c r="R96" s="4">
        <f>CHOOSE(Table1[[#This Row],[Mode Digit]],0,0,Table1[[#This Row],[I_1]]+Table1[[#This Row],[Vin]]/L*Table1[[#This Row],[t2_Ph_I]])</f>
        <v>0</v>
      </c>
      <c r="S96" s="4">
        <f>Fsw*(Table1[[#This Row],[I_0]]*Table1[[#This Row],[t1_Ph_II]]+Table1[[#This Row],[I_1]]*Table1[[#This Row],[t2_Ph_I]]+Table1[[#This Row],[I_2]]*Table1[[#This Row],[t3_Ph_III]])</f>
        <v>12.213802884114591</v>
      </c>
      <c r="T96" s="354">
        <f>MIN(1,CHOOSE(Table1[[#This Row],[Mode Digit]],(Vout+(Rdson2+Rs+Rdcr)*Table1[[#This Row],[Iout]])/(Table1[[#This Row],[Vin]]+(Rs+Rdson2-Rdson1)*Table1[[#This Row],[Iout]]),1,Fsw*Table1[[#This Row],[t2_Ph_I]]+Table1[[#This Row],[t1_Ph_II]]))</f>
        <v>0.45793231915554172</v>
      </c>
      <c r="U96" s="354">
        <f>MIN(1,CHOOSE(Table1[[#This Row],[Mode Digit]],0,(Vout+(Rdson3+Rdcr)*Table1[[#This Row],[Iin]]-Table1[[#This Row],[Vin]])/(Vout+(Rdson3-Rdson4-Rs)*Table1[[#This Row],[Iin]]),Fsw*Table1[[#This Row],[t1_Ph_II]]+Table1[[#This Row],[t3_Ph_III]]))</f>
        <v>0</v>
      </c>
      <c r="V96" s="4">
        <f>MAX(Table1[[#This Row],[I_0]:[I_2]])-MIN(Table1[[#This Row],[I_0]:[I_1]])</f>
        <v>5.0823549057793063</v>
      </c>
      <c r="W9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12.089355963643868</v>
      </c>
      <c r="X96" s="354">
        <f>(Table1[[#This Row],[Irms Lf]]^2*Rdcr*(1+Ltc*Ta-Ltc*25))/(1-Table1[[#This Row],[Irms Lf]]^2*Rdcr*Ltc*ThetaCa)</f>
        <v>0.90935217105900479</v>
      </c>
      <c r="Y96" s="354">
        <f>ABS(7.759*10^-3*Fsw^0.9458*(0.00787*Table1[[#This Row],[Ripple Current pk-pk]])^2.304)</f>
        <v>1.3610708174867785</v>
      </c>
      <c r="Z96" s="354">
        <f>Table1[[#This Row],[DCR    Loss]]+Table1[[#This Row],[Core Loss]]</f>
        <v>2.2704229885457834</v>
      </c>
      <c r="AA96" s="4">
        <f>IF(Table1[[#This Row],[Vin]]&gt;Vout, Table1[[#This Row],[Ripple Current pk-pk]]/SQRT(12), SQRT(Table1[[#This Row],[Duty Cycle BOOST Leg]]/(1-Table1[[#This Row],[Duty Cycle BOOST Leg]]))*SQRT(Table1[[#This Row],[Iout]]^2+(Table1[[#This Row],[Ripple Current pk-pk]]^2)/12))</f>
        <v>1.4671494864844488</v>
      </c>
      <c r="AB96" s="354">
        <f>RCoutEsr*Table1[[#This Row],[Irms Cout]]^2</f>
        <v>1.076263807845791E-2</v>
      </c>
      <c r="AC96" s="354">
        <f>Table1[[#This Row],[Cout ESR Loss]]</f>
        <v>1.076263807845791E-2</v>
      </c>
      <c r="AD96" s="354">
        <f>IF(Table1[[#This Row],[Vin]]&gt;Vout, SQRT(Table1[[#This Row],[Duty Cycle BUCK Leg]]*(1-Table1[[#This Row],[Duty Cycle BUCK Leg]]))*SQRT(Table1[[#This Row],[Iout]]^2+(Table1[[#This Row],[Ripple Current pk-pk]]^2)/12), Table1[[#This Row],[Ripple Current pk-pk]]/SQRT(12))</f>
        <v>6.0232455761577048</v>
      </c>
      <c r="AE96" s="354">
        <f>RCinEsr*Table1[[#This Row],[Irms Cin]]^2</f>
        <v>7.2558974541406723E-2</v>
      </c>
      <c r="AF96" s="549">
        <f>Table1[[#This Row],[Cin ESR Loss]]</f>
        <v>7.2558974541406723E-2</v>
      </c>
      <c r="AG9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8.1809514068657059</v>
      </c>
      <c r="AH96" s="354">
        <f>Rdson1*Table1[[#This Row],[Irms BuCtrl]]^2</f>
        <v>0.28109745687029153</v>
      </c>
      <c r="AI96" s="354">
        <f>CHOOSE(Table1[[#This Row],[Mode Digit]], (Table1[[#This Row],[Vin]]*Table1[[#This Row],[Iout]]/2)*(Fsw)*(Tr_buck+Tf_buck), 0, (Table1[[#This Row],[Vin]]*Table1[[#This Row],[Avg IL]]/2)*(Fsw/1)*(Tr_buck+Tf_buck))</f>
        <v>3.8293042586381087</v>
      </c>
      <c r="AJ96">
        <f>IF(Table1[[#This Row],[Vin]]&gt;Vout, IF(Table1[[#This Row],[Iout]]&gt;Table1[[#This Row],[Ripple Current pk-pk]]/2,0,ABS(Table1[[#This Row],[Iout]]-Table1[[#This Row],[Ripple Current pk-pk]]/2)*Vsd_Q1*Deadtime*Fsw),0)</f>
        <v>0</v>
      </c>
      <c r="AK96" s="354">
        <f>(Table1[[#This Row],[Dead Time Loss BuCtrl]]+Table1[[#This Row],[Transition Loss BuCtrl]]+Table1[[#This Row],[RDS(on) Loss BuCtrl]]*(1+RdsonTopTc*Ta-RdsonTopTc*25))/(1-Table1[[#This Row],[RDS(on) Loss BuCtrl]]*RdsonTopTc*ThetaJA_Q1)</f>
        <v>4.4077644457955403</v>
      </c>
      <c r="AL96" s="354">
        <f>CHOOSE(Table1[[#This Row],[Mode Digit]],SQRT((Fsw*(Table1[[#This Row],[t2_Ph_I]]+0))*((Table1[[#This Row],[I_0]]*Table1[[#This Row],[I_1]]+((Table1[[#This Row],[I_0]]-Table1[[#This Row],[I_1]])^2)/3))),0,SQRT((Fsw*(Table1[[#This Row],[t3_Ph_III]]+0))*((Table1[[#This Row],[I_0]]*Table1[[#This Row],[I_2]]+((Table1[[#This Row],[I_0]]-Table1[[#This Row],[I_2]])^2)/3))))</f>
        <v>8.9008180351130406</v>
      </c>
      <c r="AM96" s="354">
        <f>Rdson2*Table1[[#This Row],[Irms BuSync]]^2</f>
        <v>0.33274315911561303</v>
      </c>
      <c r="AN9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96" s="354">
        <f>(Table1[[#This Row],[Deadtime Loss BuSync]]+Table1[[#This Row],[RDS(on) Loss BuSync]]*(1+RdsonBotTc*Ta-RdsonBotTc*25))/(1-Table1[[#This Row],[RDS(on) Loss BuSync]]*RdsonBotTc*ThetaJA_Q2)</f>
        <v>0.98910270585573901</v>
      </c>
      <c r="AP96" s="354">
        <f>CHOOSE(Table1[[#This Row],[Mode Digit]],0,SQRT((Fsw*(Table1[[#This Row],[t1_Ph_II]]+0))*((Table1[[#This Row],[I_0]]*Table1[[#This Row],[I_1]]+((Table1[[#This Row],[I_0]]-Table1[[#This Row],[I_1]])^2)/3))),SQRT((Fsw*(Table1[[#This Row],[t2_Ph_I]]+0))*((Table1[[#This Row],[I_1]]*Table1[[#This Row],[I_2]]+((Table1[[#This Row],[I_1]]-Table1[[#This Row],[I_2]])^2)/3))))</f>
        <v>0</v>
      </c>
      <c r="AQ96" s="354">
        <f>Rdson4*Table1[[#This Row],[Irms BoCtlr]]^2</f>
        <v>0</v>
      </c>
      <c r="AR96" s="354">
        <f>CHOOSE(Table1[[#This Row],[Mode Digit]], 0, (Vout*Table1[[#This Row],[Iin]]/2)*(Fsw)*(Tr_boost+Tf_boost), (Vout*Iout/2)*(Fsw/1)*(Tr_boost+Tf_boost))</f>
        <v>0</v>
      </c>
      <c r="AS96">
        <f>IF(Table1[[#This Row],[Vin]]&gt;Vout, 0, IF(Table1[[#This Row],[Iin]]&gt;Table1[[#This Row],[Ripple Current pk-pk]]/2,0,ABS(Table1[[#This Row],[Iin]]-Table1[[#This Row],[Ripple Current pk-pk]]/2)*Vsd_Q4*Deadtime*Fsw))</f>
        <v>0</v>
      </c>
      <c r="AT96" s="354">
        <f>(Table1[[#This Row],[Dead Time Loss BoCtlr]]+Table1[[#This Row],[Transition Loss BoCtlr]]+Table1[[#This Row],[RDS(on) Loss BoCtlr]]*(1+RdsonTopTc*Ta-RdsonTopTc*25))/(1-Table1[[#This Row],[RDS(on) Loss BoCtlr]]*RdsonTopTc*ThetaJA_Q4)</f>
        <v>0</v>
      </c>
      <c r="AU9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12.089355963643868</v>
      </c>
      <c r="AV96" s="354">
        <f>Rdson3*Table1[[#This Row],[Irms BoSync]]^2</f>
        <v>0.61384061598590467</v>
      </c>
      <c r="AW9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96" s="354">
        <f>(Table1[[#This Row],[Deadtime Loss BoSync]]+Table1[[#This Row],[RDS(on) Loss BoSync]]*(1+RdsonBotTc*Ta-RdsonBotTc*25))/(1-Table1[[#This Row],[RDS(on) Loss BoSync]]*RdsonBotTc*ThetaJA_Q3)</f>
        <v>0.71989711761557373</v>
      </c>
      <c r="AY96" s="354">
        <f>CHOOSE(Table1[[#This Row],[Mode Digit]], Rdson3*Table1[[#This Row],[Irms Lf]]^2, Rdson1*Table1[[#This Row],[Irms Lf]]^2, 0)</f>
        <v>0.61384061598590467</v>
      </c>
      <c r="AZ96" s="354">
        <f>CHOOSE(Table1[[#This Row],[Mode Digit]], 2*Deadtime*Fsw*IF(VfdSky_Q2&gt;0,VfdSky_Q2,0)*Table1[[#This Row],[Iout]], 2*Deadtime*Fsw*IF(VfdSky_Q3&gt;0,VfdSky_Q3,0)*Table1[[#This Row],[Iin]], 2*Deadtime*Fsw*IF(VfdSky_Q2&gt;0,VfdSky_Q2,0)*Table1[[#This Row],[Iout]]+2*Deadtime*Fsw*IF(VfdSky_Q3&gt;0,VfdSky_Q3,0)*Table1[[#This Row],[Iin]])</f>
        <v>0</v>
      </c>
      <c r="BA96" s="354">
        <f>CHOOSE(Table1[[#This Row],[Mode Digit]], IF(QrrSky_Q2&gt;0,QrrSky_Q2,Qrr_Q2)*Fsw*(Table1[[#This Row],[Vin]]-Table1[[#This Row],[Iout]]*Rdson1),0,  IF(QrrSky_Q2&gt;0,QrrSky_Q2,Qrr_Q2)*Fsw*(Table1[[#This Row],[Vin]]-Table1[[#This Row],[Iout]]*Rdson1)+IF(QrrSky_Q3&gt;0,QrrSky_Q3,Qrr_Q3)*Fsw*Vout)</f>
        <v>0.38555519999999999</v>
      </c>
      <c r="BB96" s="354">
        <f>CHOOSE(Table1[[#This Row],[Mode Digit]],0, IF(QrrSky_Q3&gt;0,QrrSky_Q3,Qrr_Q3)*Fsw*Vout,  IF(QrrSky_Q2&gt;0,QrrSky_Q2,Qrr_Q2)*Fsw*(Table1[[#This Row],[Vin]]-Table1[[#This Row],[Iout]]*Rdson1)+IF(QrrSky_Q3&gt;0,QrrSky_Q3,Qrr_Q3)*Fsw*Vout)</f>
        <v>0</v>
      </c>
      <c r="BC96" s="354">
        <f>CHOOSE(Table1[[#This Row],[Mode Digit]], Rs*Table1[[#This Row],[Irms BuSync]]^2, Rs*Table1[[#This Row],[Irms BoCtlr]]^2, Rs*(Table1[[#This Row],[Irms BuSync]]^2+Table1[[#This Row],[Irms BoCtlr]]^2))</f>
        <v>0.19806140423548393</v>
      </c>
      <c r="BD96" s="354">
        <f t="shared" si="5"/>
        <v>1.44</v>
      </c>
      <c r="BE96" s="354">
        <f>IF(Vout&gt;8, Iq*Vout, Iq*Table1[[#This Row],[Vin]])</f>
        <v>4.3799999999999999E-2</v>
      </c>
      <c r="BF96" s="354">
        <f>CHOOSE(Table1[[#This Row],[Mode Digit]], (Qg_Q1+Qg_Q2)*Fsw, (Qg_Q3+Qg_Q4)*Fsw, (Qg_Q1+Qg_Q2+Qg_Q3+Qg_Q4)*Fsw)*IF(Vout&gt;8, Vout, Table1[[#This Row],[Vin]])</f>
        <v>0.47303999999999996</v>
      </c>
      <c r="BG96" s="354">
        <f t="shared" si="6"/>
        <v>0.45605042016806729</v>
      </c>
      <c r="BH96" s="354">
        <f>Table1[[#This Row],[IQ Loss]]+Table1[[#This Row],[Switching Current Loss]]</f>
        <v>0.51683999999999997</v>
      </c>
      <c r="BI9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11.010965474667984</v>
      </c>
      <c r="BJ96">
        <f>Vout*Table1[[#This Row],[Iout]]</f>
        <v>175.2</v>
      </c>
      <c r="BK96" s="550">
        <f>Table1[[#This Row],[Pout]]/(Table1[[#This Row],[Pout]]+Table1[[#This Row],[Total Loss]])</f>
        <v>0.94086832938865828</v>
      </c>
      <c r="BL9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264.46586674773243</v>
      </c>
      <c r="BM96" s="559">
        <f>IF(Table1[[#This Row],[Vin]]&gt;Vout, Table1[[#This Row],[Total Sync Bu MOSFET Loss]]*ThetaJA_Q2, ThetaJA_Q3*Table1[[#This Row],[Total Sync Bo MOSFET Loss]])</f>
        <v>59.34616235134434</v>
      </c>
      <c r="BN96" s="9"/>
      <c r="BO96" s="4">
        <f>Table1[[#This Row],[EFF, h]]*100</f>
        <v>94.086832938865825</v>
      </c>
      <c r="BP96" s="354">
        <f>Table1[[#This Row],[Total Inductor Loss]]</f>
        <v>2.2704229885457834</v>
      </c>
      <c r="BQ96" s="354">
        <f>Table1[[#This Row],[Total Control Bu MOSFET Loss]]+Table1[[#This Row],[Total Sync Bu MOSFET Loss]]+Table1[[#This Row],[Total Control Bo MOSFET Loss]]+Table1[[#This Row],[Total Sync Bo MOSFET Loss]]+Table1[[#This Row],[Reverse Recovery Loss MOSFET D BUCK]]+Table1[[#This Row],[Reverse Recovery Loss MOSFET D BOOST]]</f>
        <v>6.5023194692668529</v>
      </c>
      <c r="BR96" s="354">
        <f>Table1[[#This Row],[Total Control Bu MOSFET Loss]]+Table1[[#This Row],[Reverse Recovery Loss MOSFET D BUCK]]*0.66</f>
        <v>4.6622308777955404</v>
      </c>
      <c r="BS96" s="354">
        <f>Table1[[#This Row],[Total Sync Bu MOSFET Loss]]+Table1[[#This Row],[Reverse Recovery Loss MOSFET D BUCK]]*0.33</f>
        <v>1.1163359218557389</v>
      </c>
      <c r="BT96" s="354">
        <f xml:space="preserve"> Table1[[#This Row],[Total Control Bo MOSFET Loss]]+Table1[[#This Row],[Reverse Recovery Loss MOSFET D BOOST]]*0.66</f>
        <v>0</v>
      </c>
      <c r="BU96" s="354">
        <f xml:space="preserve"> Table1[[#This Row],[Total Sync Bo MOSFET Loss]]+Table1[[#This Row],[Reverse Recovery Loss MOSFET D BOOST]]*0.33</f>
        <v>0.71989711761557373</v>
      </c>
      <c r="BV96" s="354">
        <f>Table1[[#This Row],[Isense Shunt Loss]]</f>
        <v>0.19806140423548393</v>
      </c>
      <c r="CB96" s="18"/>
      <c r="CC96" s="19"/>
    </row>
    <row r="97" spans="7:81" x14ac:dyDescent="0.2">
      <c r="G97">
        <v>88</v>
      </c>
      <c r="H97" s="555">
        <f>VIN_min+(VIN_max-VIN_min)*(Table1[[#This Row],[Step]]/200)</f>
        <v>32.32</v>
      </c>
      <c r="I97" s="4" t="str">
        <f>IF(Mode = 2,IF(Table1[[#This Row],[Vin]]&gt;Vout, "BUCK","BOOST"),IF(Table1[[#This Row],[Vin]]&gt;VIN_BB_to_buck, "BUCK", IF(Table1[[#This Row],[Vin]]&lt;=VIN_boost_to_BB,"BOOST","BUCK-BST")))</f>
        <v>BUCK</v>
      </c>
      <c r="J97">
        <f>IF(Table1[[#This Row],[Mode]]="BOOST",2, IF(Table1[[#This Row],[Mode]]="BUCK", 1,3))</f>
        <v>1</v>
      </c>
      <c r="K97">
        <f t="shared" si="4"/>
        <v>12</v>
      </c>
      <c r="L97" s="4">
        <f>Vout*Table1[[#This Row],[Iout]]/(Table1[[#This Row],[Vin]]*Efficiency)</f>
        <v>5.7060969254820222</v>
      </c>
      <c r="M97" s="711">
        <f>MIN(1/Fsw,CHOOSE(Table1[[#This Row],[Mode Digit]],(Vout+(Rdson2+Rs+Rdcr)*Table1[[#This Row],[Iout]])/(Table1[[#This Row],[Vin]]+(Rs+Rdson2-Rdson1)*Table1[[#This Row],[Iout]])/Fsw,(Vout+(Rdson3+Rdcr)*Table1[[#This Row],[Iin]]-Table1[[#This Row],[Vin]])/(Vout+(Rdson3-Rdson4-Rs)*Table1[[#This Row],[Iin]])/Fsw,t1_Ph_II))</f>
        <v>7.5991756826378153E-7</v>
      </c>
      <c r="N97" s="602">
        <f>CHOOSE(Table1[[#This Row],[Mode Digit]],1/Fsw-Table1[[#This Row],[t1_Ph_II]],1/Fsw-Table1[[#This Row],[t1_Ph_II]],(Vout/Fsw-Table1[[#This Row],[Vin]]*t1_Ph_II)/(Table1[[#This Row],[Vin]]+Vout))</f>
        <v>9.0674909840288513E-7</v>
      </c>
      <c r="O97" s="602">
        <f>1/Fsw-(Table1[[#This Row],[t1_Ph_II]]+Table1[[#This Row],[t2_Ph_I]])</f>
        <v>0</v>
      </c>
      <c r="P9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9.4496705852965519</v>
      </c>
      <c r="Q97" s="4">
        <f>CHOOSE(Table1[[#This Row],[Mode Digit]],Table1[[#This Row],[I_0]]+1/Lf*(Table1[[#This Row],[Vin]]-Vout)*Table1[[#This Row],[t1_Ph_II]],Table1[[#This Row],[I_0]]+1/Lf*Table1[[#This Row],[Vin]]*Table1[[#This Row],[t1_Ph_II]],Table1[[#This Row],[I_0]]+(Table1[[#This Row],[Vin]]-Vout)/L*Table1[[#This Row],[t1_Ph_II]])</f>
        <v>14.550329414703448</v>
      </c>
      <c r="R97" s="4">
        <f>CHOOSE(Table1[[#This Row],[Mode Digit]],0,0,Table1[[#This Row],[I_1]]+Table1[[#This Row],[Vin]]/L*Table1[[#This Row],[t2_Ph_I]])</f>
        <v>0</v>
      </c>
      <c r="S97" s="4">
        <f>Fsw*(Table1[[#This Row],[I_0]]*Table1[[#This Row],[t1_Ph_II]]+Table1[[#This Row],[I_1]]*Table1[[#This Row],[t2_Ph_I]]+Table1[[#This Row],[I_2]]*Table1[[#This Row],[t3_Ph_III]])</f>
        <v>12.224681262191803</v>
      </c>
      <c r="T97" s="354">
        <f>MIN(1,CHOOSE(Table1[[#This Row],[Mode Digit]],(Vout+(Rdson2+Rs+Rdcr)*Table1[[#This Row],[Iout]])/(Table1[[#This Row],[Vin]]+(Rs+Rdson2-Rdson1)*Table1[[#This Row],[Iout]]),1,Fsw*Table1[[#This Row],[t2_Ph_I]]+Table1[[#This Row],[t1_Ph_II]]))</f>
        <v>0.45595054095826892</v>
      </c>
      <c r="U97" s="354">
        <f>MIN(1,CHOOSE(Table1[[#This Row],[Mode Digit]],0,(Vout+(Rdson3+Rdcr)*Table1[[#This Row],[Iin]]-Table1[[#This Row],[Vin]])/(Vout+(Rdson3-Rdson4-Rs)*Table1[[#This Row],[Iin]]),Fsw*Table1[[#This Row],[t1_Ph_II]]+Table1[[#This Row],[t3_Ph_III]]))</f>
        <v>0</v>
      </c>
      <c r="V97" s="4">
        <f>MAX(Table1[[#This Row],[I_0]:[I_2]])-MIN(Table1[[#This Row],[I_0]:[I_1]])</f>
        <v>5.1006588294068962</v>
      </c>
      <c r="W9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12.089998347442698</v>
      </c>
      <c r="X97" s="354">
        <f>(Table1[[#This Row],[Irms Lf]]^2*Rdcr*(1+Ltc*Ta-Ltc*25))/(1-Table1[[#This Row],[Irms Lf]]^2*Rdcr*Ltc*ThetaCa)</f>
        <v>0.90945584418588699</v>
      </c>
      <c r="Y97" s="354">
        <f>ABS(7.759*10^-3*Fsw^0.9458*(0.00787*Table1[[#This Row],[Ripple Current pk-pk]])^2.304)</f>
        <v>1.3723912069836433</v>
      </c>
      <c r="Z97" s="354">
        <f>Table1[[#This Row],[DCR    Loss]]+Table1[[#This Row],[Core Loss]]</f>
        <v>2.2818470511695303</v>
      </c>
      <c r="AA97" s="4">
        <f>IF(Table1[[#This Row],[Vin]]&gt;Vout, Table1[[#This Row],[Ripple Current pk-pk]]/SQRT(12), SQRT(Table1[[#This Row],[Duty Cycle BOOST Leg]]/(1-Table1[[#This Row],[Duty Cycle BOOST Leg]]))*SQRT(Table1[[#This Row],[Iout]]^2+(Table1[[#This Row],[Ripple Current pk-pk]]^2)/12))</f>
        <v>1.4724333741012565</v>
      </c>
      <c r="AB97" s="354">
        <f>RCoutEsr*Table1[[#This Row],[Irms Cout]]^2</f>
        <v>1.0840300205836054E-2</v>
      </c>
      <c r="AC97" s="354">
        <f>Table1[[#This Row],[Cout ESR Loss]]</f>
        <v>1.0840300205836054E-2</v>
      </c>
      <c r="AD97" s="354">
        <f>IF(Table1[[#This Row],[Vin]]&gt;Vout, SQRT(Table1[[#This Row],[Duty Cycle BUCK Leg]]*(1-Table1[[#This Row],[Duty Cycle BUCK Leg]]))*SQRT(Table1[[#This Row],[Iout]]^2+(Table1[[#This Row],[Ripple Current pk-pk]]^2)/12), Table1[[#This Row],[Ripple Current pk-pk]]/SQRT(12))</f>
        <v>6.0214945908191524</v>
      </c>
      <c r="AE97" s="354">
        <f>RCinEsr*Table1[[#This Row],[Irms Cin]]^2</f>
        <v>7.2516794214528613E-2</v>
      </c>
      <c r="AF97" s="549">
        <f>Table1[[#This Row],[Cin ESR Loss]]</f>
        <v>7.2516794214528613E-2</v>
      </c>
      <c r="AG9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8.1636637636903515</v>
      </c>
      <c r="AH97" s="354">
        <f>Rdson1*Table1[[#This Row],[Irms BuCtrl]]^2</f>
        <v>0.27991070539568191</v>
      </c>
      <c r="AI97" s="354">
        <f>CHOOSE(Table1[[#This Row],[Mode Digit]], (Table1[[#This Row],[Vin]]*Table1[[#This Row],[Iout]]/2)*(Fsw)*(Tr_buck+Tf_buck), 0, (Table1[[#This Row],[Vin]]*Table1[[#This Row],[Avg IL]]/2)*(Fsw/1)*(Tr_buck+Tf_buck))</f>
        <v>3.845963755102042</v>
      </c>
      <c r="AJ97">
        <f>IF(Table1[[#This Row],[Vin]]&gt;Vout, IF(Table1[[#This Row],[Iout]]&gt;Table1[[#This Row],[Ripple Current pk-pk]]/2,0,ABS(Table1[[#This Row],[Iout]]-Table1[[#This Row],[Ripple Current pk-pk]]/2)*Vsd_Q1*Deadtime*Fsw),0)</f>
        <v>0</v>
      </c>
      <c r="AK97" s="354">
        <f>(Table1[[#This Row],[Dead Time Loss BuCtrl]]+Table1[[#This Row],[Transition Loss BuCtrl]]+Table1[[#This Row],[RDS(on) Loss BuCtrl]]*(1+RdsonTopTc*Ta-RdsonTopTc*25))/(1-Table1[[#This Row],[RDS(on) Loss BuCtrl]]*RdsonTopTc*ThetaJA_Q1)</f>
        <v>4.4230056521957737</v>
      </c>
      <c r="AL97" s="354">
        <f>CHOOSE(Table1[[#This Row],[Mode Digit]],SQRT((Fsw*(Table1[[#This Row],[t2_Ph_I]]+0))*((Table1[[#This Row],[I_0]]*Table1[[#This Row],[I_1]]+((Table1[[#This Row],[I_0]]-Table1[[#This Row],[I_1]])^2)/3))),0,SQRT((Fsw*(Table1[[#This Row],[t3_Ph_III]]+0))*((Table1[[#This Row],[I_0]]*Table1[[#This Row],[I_2]]+((Table1[[#This Row],[I_0]]-Table1[[#This Row],[I_2]])^2)/3))))</f>
        <v>8.9175475325100599</v>
      </c>
      <c r="AM97" s="354">
        <f>Rdson2*Table1[[#This Row],[Irms BuSync]]^2</f>
        <v>0.33399514677722036</v>
      </c>
      <c r="AN9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97" s="354">
        <f>(Table1[[#This Row],[Deadtime Loss BuSync]]+Table1[[#This Row],[RDS(on) Loss BuSync]]*(1+RdsonBotTc*Ta-RdsonBotTc*25))/(1-Table1[[#This Row],[RDS(on) Loss BuSync]]*RdsonBotTc*ThetaJA_Q2)</f>
        <v>0.99078689914154328</v>
      </c>
      <c r="AP97" s="354">
        <f>CHOOSE(Table1[[#This Row],[Mode Digit]],0,SQRT((Fsw*(Table1[[#This Row],[t1_Ph_II]]+0))*((Table1[[#This Row],[I_0]]*Table1[[#This Row],[I_1]]+((Table1[[#This Row],[I_0]]-Table1[[#This Row],[I_1]])^2)/3))),SQRT((Fsw*(Table1[[#This Row],[t2_Ph_I]]+0))*((Table1[[#This Row],[I_1]]*Table1[[#This Row],[I_2]]+((Table1[[#This Row],[I_1]]-Table1[[#This Row],[I_2]])^2)/3))))</f>
        <v>0</v>
      </c>
      <c r="AQ97" s="354">
        <f>Rdson4*Table1[[#This Row],[Irms BoCtlr]]^2</f>
        <v>0</v>
      </c>
      <c r="AR97" s="354">
        <f>CHOOSE(Table1[[#This Row],[Mode Digit]], 0, (Vout*Table1[[#This Row],[Iin]]/2)*(Fsw)*(Tr_boost+Tf_boost), (Vout*Iout/2)*(Fsw/1)*(Tr_boost+Tf_boost))</f>
        <v>0</v>
      </c>
      <c r="AS97">
        <f>IF(Table1[[#This Row],[Vin]]&gt;Vout, 0, IF(Table1[[#This Row],[Iin]]&gt;Table1[[#This Row],[Ripple Current pk-pk]]/2,0,ABS(Table1[[#This Row],[Iin]]-Table1[[#This Row],[Ripple Current pk-pk]]/2)*Vsd_Q4*Deadtime*Fsw))</f>
        <v>0</v>
      </c>
      <c r="AT97" s="354">
        <f>(Table1[[#This Row],[Dead Time Loss BoCtlr]]+Table1[[#This Row],[Transition Loss BoCtlr]]+Table1[[#This Row],[RDS(on) Loss BoCtlr]]*(1+RdsonTopTc*Ta-RdsonTopTc*25))/(1-Table1[[#This Row],[RDS(on) Loss BoCtlr]]*RdsonTopTc*ThetaJA_Q4)</f>
        <v>0</v>
      </c>
      <c r="AU9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12.089998347442698</v>
      </c>
      <c r="AV97" s="354">
        <f>Rdson3*Table1[[#This Row],[Irms BoSync]]^2</f>
        <v>0.61390585217290217</v>
      </c>
      <c r="AW9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97" s="354">
        <f>(Table1[[#This Row],[Deadtime Loss BoSync]]+Table1[[#This Row],[RDS(on) Loss BoSync]]*(1+RdsonBotTc*Ta-RdsonBotTc*25))/(1-Table1[[#This Row],[RDS(on) Loss BoSync]]*RdsonBotTc*ThetaJA_Q3)</f>
        <v>0.71998684524021606</v>
      </c>
      <c r="AY97" s="354">
        <f>CHOOSE(Table1[[#This Row],[Mode Digit]], Rdson3*Table1[[#This Row],[Irms Lf]]^2, Rdson1*Table1[[#This Row],[Irms Lf]]^2, 0)</f>
        <v>0.61390585217290217</v>
      </c>
      <c r="AZ97" s="354">
        <f>CHOOSE(Table1[[#This Row],[Mode Digit]], 2*Deadtime*Fsw*IF(VfdSky_Q2&gt;0,VfdSky_Q2,0)*Table1[[#This Row],[Iout]], 2*Deadtime*Fsw*IF(VfdSky_Q3&gt;0,VfdSky_Q3,0)*Table1[[#This Row],[Iin]], 2*Deadtime*Fsw*IF(VfdSky_Q2&gt;0,VfdSky_Q2,0)*Table1[[#This Row],[Iout]]+2*Deadtime*Fsw*IF(VfdSky_Q3&gt;0,VfdSky_Q3,0)*Table1[[#This Row],[Iin]])</f>
        <v>0</v>
      </c>
      <c r="BA97" s="354">
        <f>CHOOSE(Table1[[#This Row],[Mode Digit]], IF(QrrSky_Q2&gt;0,QrrSky_Q2,Qrr_Q2)*Fsw*(Table1[[#This Row],[Vin]]-Table1[[#This Row],[Iout]]*Rdson1),0,  IF(QrrSky_Q2&gt;0,QrrSky_Q2,Qrr_Q2)*Fsw*(Table1[[#This Row],[Vin]]-Table1[[#This Row],[Iout]]*Rdson1)+IF(QrrSky_Q3&gt;0,QrrSky_Q3,Qrr_Q3)*Fsw*Vout)</f>
        <v>0.38723519999999995</v>
      </c>
      <c r="BB97" s="354">
        <f>CHOOSE(Table1[[#This Row],[Mode Digit]],0, IF(QrrSky_Q3&gt;0,QrrSky_Q3,Qrr_Q3)*Fsw*Vout,  IF(QrrSky_Q2&gt;0,QrrSky_Q2,Qrr_Q2)*Fsw*(Table1[[#This Row],[Vin]]-Table1[[#This Row],[Iout]]*Rdson1)+IF(QrrSky_Q3&gt;0,QrrSky_Q3,Qrr_Q3)*Fsw*Vout)</f>
        <v>0</v>
      </c>
      <c r="BC97" s="354">
        <f>CHOOSE(Table1[[#This Row],[Mode Digit]], Rs*Table1[[#This Row],[Irms BuSync]]^2, Rs*Table1[[#This Row],[Irms BoCtlr]]^2, Rs*(Table1[[#This Row],[Irms BuSync]]^2+Table1[[#This Row],[Irms BoCtlr]]^2))</f>
        <v>0.19880663498644066</v>
      </c>
      <c r="BD97" s="354">
        <f t="shared" si="5"/>
        <v>1.44</v>
      </c>
      <c r="BE97" s="354">
        <f>IF(Vout&gt;8, Iq*Vout, Iq*Table1[[#This Row],[Vin]])</f>
        <v>4.3799999999999999E-2</v>
      </c>
      <c r="BF97" s="354">
        <f>CHOOSE(Table1[[#This Row],[Mode Digit]], (Qg_Q1+Qg_Q2)*Fsw, (Qg_Q3+Qg_Q4)*Fsw, (Qg_Q1+Qg_Q2+Qg_Q3+Qg_Q4)*Fsw)*IF(Vout&gt;8, Vout, Table1[[#This Row],[Vin]])</f>
        <v>0.47303999999999996</v>
      </c>
      <c r="BG97" s="354">
        <f t="shared" si="6"/>
        <v>0.45605042016806729</v>
      </c>
      <c r="BH97" s="354">
        <f>Table1[[#This Row],[IQ Loss]]+Table1[[#This Row],[Switching Current Loss]]</f>
        <v>0.51683999999999997</v>
      </c>
      <c r="BI9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11.041865377153869</v>
      </c>
      <c r="BJ97">
        <f>Vout*Table1[[#This Row],[Iout]]</f>
        <v>175.2</v>
      </c>
      <c r="BK97" s="550">
        <f>Table1[[#This Row],[Pout]]/(Table1[[#This Row],[Pout]]+Table1[[#This Row],[Total Loss]])</f>
        <v>0.94071222732443505</v>
      </c>
      <c r="BL9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265.38033913174644</v>
      </c>
      <c r="BM97" s="559">
        <f>IF(Table1[[#This Row],[Vin]]&gt;Vout, Table1[[#This Row],[Total Sync Bu MOSFET Loss]]*ThetaJA_Q2, ThetaJA_Q3*Table1[[#This Row],[Total Sync Bo MOSFET Loss]])</f>
        <v>59.447213948492596</v>
      </c>
      <c r="BN97" s="9"/>
      <c r="BO97" s="4">
        <f>Table1[[#This Row],[EFF, h]]*100</f>
        <v>94.071222732443502</v>
      </c>
      <c r="BP97" s="354">
        <f>Table1[[#This Row],[Total Inductor Loss]]</f>
        <v>2.2818470511695303</v>
      </c>
      <c r="BQ97" s="354">
        <f>Table1[[#This Row],[Total Control Bu MOSFET Loss]]+Table1[[#This Row],[Total Sync Bu MOSFET Loss]]+Table1[[#This Row],[Total Control Bo MOSFET Loss]]+Table1[[#This Row],[Total Sync Bo MOSFET Loss]]+Table1[[#This Row],[Reverse Recovery Loss MOSFET D BUCK]]+Table1[[#This Row],[Reverse Recovery Loss MOSFET D BOOST]]</f>
        <v>6.5210145965775332</v>
      </c>
      <c r="BR97" s="354">
        <f>Table1[[#This Row],[Total Control Bu MOSFET Loss]]+Table1[[#This Row],[Reverse Recovery Loss MOSFET D BUCK]]*0.66</f>
        <v>4.6785808841957737</v>
      </c>
      <c r="BS97" s="354">
        <f>Table1[[#This Row],[Total Sync Bu MOSFET Loss]]+Table1[[#This Row],[Reverse Recovery Loss MOSFET D BUCK]]*0.33</f>
        <v>1.1185745151415434</v>
      </c>
      <c r="BT97" s="354">
        <f xml:space="preserve"> Table1[[#This Row],[Total Control Bo MOSFET Loss]]+Table1[[#This Row],[Reverse Recovery Loss MOSFET D BOOST]]*0.66</f>
        <v>0</v>
      </c>
      <c r="BU97" s="354">
        <f xml:space="preserve"> Table1[[#This Row],[Total Sync Bo MOSFET Loss]]+Table1[[#This Row],[Reverse Recovery Loss MOSFET D BOOST]]*0.33</f>
        <v>0.71998684524021606</v>
      </c>
      <c r="BV97" s="354">
        <f>Table1[[#This Row],[Isense Shunt Loss]]</f>
        <v>0.19880663498644066</v>
      </c>
      <c r="CB97" s="18"/>
      <c r="CC97" s="19"/>
    </row>
    <row r="98" spans="7:81" x14ac:dyDescent="0.2">
      <c r="G98">
        <v>89</v>
      </c>
      <c r="H98" s="555">
        <f>VIN_min+(VIN_max-VIN_min)*(Table1[[#This Row],[Step]]/200)</f>
        <v>32.46</v>
      </c>
      <c r="I98" s="4" t="str">
        <f>IF(Mode = 2,IF(Table1[[#This Row],[Vin]]&gt;Vout, "BUCK","BOOST"),IF(Table1[[#This Row],[Vin]]&gt;VIN_BB_to_buck, "BUCK", IF(Table1[[#This Row],[Vin]]&lt;=VIN_boost_to_BB,"BOOST","BUCK-BST")))</f>
        <v>BUCK</v>
      </c>
      <c r="J98">
        <f>IF(Table1[[#This Row],[Mode]]="BOOST",2, IF(Table1[[#This Row],[Mode]]="BUCK", 1,3))</f>
        <v>1</v>
      </c>
      <c r="K98">
        <f t="shared" si="4"/>
        <v>12</v>
      </c>
      <c r="L98" s="4">
        <f>Vout*Table1[[#This Row],[Iout]]/(Table1[[#This Row],[Vin]]*Efficiency)</f>
        <v>5.6814865259266458</v>
      </c>
      <c r="M98" s="711">
        <f>MIN(1/Fsw,CHOOSE(Table1[[#This Row],[Mode Digit]],(Vout+(Rdson2+Rs+Rdcr)*Table1[[#This Row],[Iout]])/(Table1[[#This Row],[Vin]]+(Rs+Rdson2-Rdson1)*Table1[[#This Row],[Iout]])/Fsw,(Vout+(Rdson3+Rdcr)*Table1[[#This Row],[Iin]]-Table1[[#This Row],[Vin]])/(Vout+(Rdson3-Rdson4-Rs)*Table1[[#This Row],[Iin]])/Fsw,t1_Ph_II))</f>
        <v>7.5664306966246028E-7</v>
      </c>
      <c r="N98" s="602">
        <f>CHOOSE(Table1[[#This Row],[Mode Digit]],1/Fsw-Table1[[#This Row],[t1_Ph_II]],1/Fsw-Table1[[#This Row],[t1_Ph_II]],(Vout/Fsw-Table1[[#This Row],[Vin]]*t1_Ph_II)/(Table1[[#This Row],[Vin]]+Vout))</f>
        <v>9.1002359700420638E-7</v>
      </c>
      <c r="O98" s="602">
        <f>1/Fsw-(Table1[[#This Row],[t1_Ph_II]]+Table1[[#This Row],[t2_Ph_I]])</f>
        <v>0</v>
      </c>
      <c r="P9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9.4405974954220575</v>
      </c>
      <c r="Q98" s="4">
        <f>CHOOSE(Table1[[#This Row],[Mode Digit]],Table1[[#This Row],[I_0]]+1/Lf*(Table1[[#This Row],[Vin]]-Vout)*Table1[[#This Row],[t1_Ph_II]],Table1[[#This Row],[I_0]]+1/Lf*Table1[[#This Row],[Vin]]*Table1[[#This Row],[t1_Ph_II]],Table1[[#This Row],[I_0]]+(Table1[[#This Row],[Vin]]-Vout)/L*Table1[[#This Row],[t1_Ph_II]])</f>
        <v>14.559402504577942</v>
      </c>
      <c r="R98" s="4">
        <f>CHOOSE(Table1[[#This Row],[Mode Digit]],0,0,Table1[[#This Row],[I_1]]+Table1[[#This Row],[Vin]]/L*Table1[[#This Row],[t2_Ph_I]])</f>
        <v>0</v>
      </c>
      <c r="S98" s="4">
        <f>Fsw*(Table1[[#This Row],[I_0]]*Table1[[#This Row],[t1_Ph_II]]+Table1[[#This Row],[I_1]]*Table1[[#This Row],[t2_Ph_I]]+Table1[[#This Row],[I_2]]*Table1[[#This Row],[t3_Ph_III]])</f>
        <v>12.23553750349917</v>
      </c>
      <c r="T98" s="354">
        <f>MIN(1,CHOOSE(Table1[[#This Row],[Mode Digit]],(Vout+(Rdson2+Rs+Rdcr)*Table1[[#This Row],[Iout]])/(Table1[[#This Row],[Vin]]+(Rs+Rdson2-Rdson1)*Table1[[#This Row],[Iout]]),1,Fsw*Table1[[#This Row],[t2_Ph_I]]+Table1[[#This Row],[t1_Ph_II]]))</f>
        <v>0.45398584179747614</v>
      </c>
      <c r="U98" s="354">
        <f>MIN(1,CHOOSE(Table1[[#This Row],[Mode Digit]],0,(Vout+(Rdson3+Rdcr)*Table1[[#This Row],[Iin]]-Table1[[#This Row],[Vin]])/(Vout+(Rdson3-Rdson4-Rs)*Table1[[#This Row],[Iin]]),Fsw*Table1[[#This Row],[t1_Ph_II]]+Table1[[#This Row],[t3_Ph_III]]))</f>
        <v>0</v>
      </c>
      <c r="V98" s="4">
        <f>MAX(Table1[[#This Row],[I_0]:[I_2]])-MIN(Table1[[#This Row],[I_0]:[I_1]])</f>
        <v>5.118805009155885</v>
      </c>
      <c r="W9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12.090637440880165</v>
      </c>
      <c r="X98" s="354">
        <f>(Table1[[#This Row],[Irms Lf]]^2*Rdcr*(1+Ltc*Ta-Ltc*25))/(1-Table1[[#This Row],[Irms Lf]]^2*Rdcr*Ltc*ThetaCa)</f>
        <v>0.90955899334479684</v>
      </c>
      <c r="Y98" s="354">
        <f>ABS(7.759*10^-3*Fsw^0.9458*(0.00787*Table1[[#This Row],[Ripple Current pk-pk]])^2.304)</f>
        <v>1.3836664498249645</v>
      </c>
      <c r="Z98" s="354">
        <f>Table1[[#This Row],[DCR    Loss]]+Table1[[#This Row],[Core Loss]]</f>
        <v>2.2932254431697614</v>
      </c>
      <c r="AA98" s="4">
        <f>IF(Table1[[#This Row],[Vin]]&gt;Vout, Table1[[#This Row],[Ripple Current pk-pk]]/SQRT(12), SQRT(Table1[[#This Row],[Duty Cycle BOOST Leg]]/(1-Table1[[#This Row],[Duty Cycle BOOST Leg]]))*SQRT(Table1[[#This Row],[Iout]]^2+(Table1[[#This Row],[Ripple Current pk-pk]]^2)/12))</f>
        <v>1.4776717249826776</v>
      </c>
      <c r="AB98" s="354">
        <f>RCoutEsr*Table1[[#This Row],[Irms Cout]]^2</f>
        <v>1.0917568634066411E-2</v>
      </c>
      <c r="AC98" s="354">
        <f>Table1[[#This Row],[Cout ESR Loss]]</f>
        <v>1.0917568634066411E-2</v>
      </c>
      <c r="AD98" s="354">
        <f>IF(Table1[[#This Row],[Vin]]&gt;Vout, SQRT(Table1[[#This Row],[Duty Cycle BUCK Leg]]*(1-Table1[[#This Row],[Duty Cycle BUCK Leg]]))*SQRT(Table1[[#This Row],[Iout]]^2+(Table1[[#This Row],[Ripple Current pk-pk]]^2)/12), Table1[[#This Row],[Ripple Current pk-pk]]/SQRT(12))</f>
        <v>6.0196647477530885</v>
      </c>
      <c r="AE98" s="354">
        <f>RCinEsr*Table1[[#This Row],[Irms Cin]]^2</f>
        <v>7.2472727350682511E-2</v>
      </c>
      <c r="AF98" s="549">
        <f>Table1[[#This Row],[Cin ESR Loss]]</f>
        <v>7.2472727350682511E-2</v>
      </c>
      <c r="AG9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8.1464866989506728</v>
      </c>
      <c r="AH98" s="354">
        <f>Rdson1*Table1[[#This Row],[Irms BuCtrl]]^2</f>
        <v>0.278734031251957</v>
      </c>
      <c r="AI98" s="354">
        <f>CHOOSE(Table1[[#This Row],[Mode Digit]], (Table1[[#This Row],[Vin]]*Table1[[#This Row],[Iout]]/2)*(Fsw)*(Tr_buck+Tf_buck), 0, (Table1[[#This Row],[Vin]]*Table1[[#This Row],[Avg IL]]/2)*(Fsw/1)*(Tr_buck+Tf_buck))</f>
        <v>3.8626232515659735</v>
      </c>
      <c r="AJ98">
        <f>IF(Table1[[#This Row],[Vin]]&gt;Vout, IF(Table1[[#This Row],[Iout]]&gt;Table1[[#This Row],[Ripple Current pk-pk]]/2,0,ABS(Table1[[#This Row],[Iout]]-Table1[[#This Row],[Ripple Current pk-pk]]/2)*Vsd_Q1*Deadtime*Fsw),0)</f>
        <v>0</v>
      </c>
      <c r="AK98" s="354">
        <f>(Table1[[#This Row],[Dead Time Loss BuCtrl]]+Table1[[#This Row],[Transition Loss BuCtrl]]+Table1[[#This Row],[RDS(on) Loss BuCtrl]]*(1+RdsonTopTc*Ta-RdsonTopTc*25))/(1-Table1[[#This Row],[RDS(on) Loss BuCtrl]]*RdsonTopTc*ThetaJA_Q1)</f>
        <v>4.4382598576670347</v>
      </c>
      <c r="AL98" s="354">
        <f>CHOOSE(Table1[[#This Row],[Mode Digit]],SQRT((Fsw*(Table1[[#This Row],[t2_Ph_I]]+0))*((Table1[[#This Row],[I_0]]*Table1[[#This Row],[I_1]]+((Table1[[#This Row],[I_0]]-Table1[[#This Row],[I_1]])^2)/3))),0,SQRT((Fsw*(Table1[[#This Row],[t3_Ph_III]]+0))*((Table1[[#This Row],[I_0]]*Table1[[#This Row],[I_2]]+((Table1[[#This Row],[I_0]]-Table1[[#This Row],[I_2]])^2)/3))))</f>
        <v>8.9341070169677863</v>
      </c>
      <c r="AM98" s="354">
        <f>Rdson2*Table1[[#This Row],[Irms BuSync]]^2</f>
        <v>0.33523672640065877</v>
      </c>
      <c r="AN9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98" s="354">
        <f>(Table1[[#This Row],[Deadtime Loss BuSync]]+Table1[[#This Row],[RDS(on) Loss BuSync]]*(1+RdsonBotTc*Ta-RdsonBotTc*25))/(1-Table1[[#This Row],[RDS(on) Loss BuSync]]*RdsonBotTc*ThetaJA_Q2)</f>
        <v>0.99245817836521943</v>
      </c>
      <c r="AP98" s="354">
        <f>CHOOSE(Table1[[#This Row],[Mode Digit]],0,SQRT((Fsw*(Table1[[#This Row],[t1_Ph_II]]+0))*((Table1[[#This Row],[I_0]]*Table1[[#This Row],[I_1]]+((Table1[[#This Row],[I_0]]-Table1[[#This Row],[I_1]])^2)/3))),SQRT((Fsw*(Table1[[#This Row],[t2_Ph_I]]+0))*((Table1[[#This Row],[I_1]]*Table1[[#This Row],[I_2]]+((Table1[[#This Row],[I_1]]-Table1[[#This Row],[I_2]])^2)/3))))</f>
        <v>0</v>
      </c>
      <c r="AQ98" s="354">
        <f>Rdson4*Table1[[#This Row],[Irms BoCtlr]]^2</f>
        <v>0</v>
      </c>
      <c r="AR98" s="354">
        <f>CHOOSE(Table1[[#This Row],[Mode Digit]], 0, (Vout*Table1[[#This Row],[Iin]]/2)*(Fsw)*(Tr_boost+Tf_boost), (Vout*Iout/2)*(Fsw/1)*(Tr_boost+Tf_boost))</f>
        <v>0</v>
      </c>
      <c r="AS98">
        <f>IF(Table1[[#This Row],[Vin]]&gt;Vout, 0, IF(Table1[[#This Row],[Iin]]&gt;Table1[[#This Row],[Ripple Current pk-pk]]/2,0,ABS(Table1[[#This Row],[Iin]]-Table1[[#This Row],[Ripple Current pk-pk]]/2)*Vsd_Q4*Deadtime*Fsw))</f>
        <v>0</v>
      </c>
      <c r="AT98" s="354">
        <f>(Table1[[#This Row],[Dead Time Loss BoCtlr]]+Table1[[#This Row],[Transition Loss BoCtlr]]+Table1[[#This Row],[RDS(on) Loss BoCtlr]]*(1+RdsonTopTc*Ta-RdsonTopTc*25))/(1-Table1[[#This Row],[RDS(on) Loss BoCtlr]]*RdsonTopTc*ThetaJA_Q4)</f>
        <v>0</v>
      </c>
      <c r="AU9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12.090637440880165</v>
      </c>
      <c r="AV98" s="354">
        <f>Rdson3*Table1[[#This Row],[Irms BoSync]]^2</f>
        <v>0.61397075765261577</v>
      </c>
      <c r="AW9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98" s="354">
        <f>(Table1[[#This Row],[Deadtime Loss BoSync]]+Table1[[#This Row],[RDS(on) Loss BoSync]]*(1+RdsonBotTc*Ta-RdsonBotTc*25))/(1-Table1[[#This Row],[RDS(on) Loss BoSync]]*RdsonBotTc*ThetaJA_Q3)</f>
        <v>0.72007612127129417</v>
      </c>
      <c r="AY98" s="354">
        <f>CHOOSE(Table1[[#This Row],[Mode Digit]], Rdson3*Table1[[#This Row],[Irms Lf]]^2, Rdson1*Table1[[#This Row],[Irms Lf]]^2, 0)</f>
        <v>0.61397075765261577</v>
      </c>
      <c r="AZ98" s="354">
        <f>CHOOSE(Table1[[#This Row],[Mode Digit]], 2*Deadtime*Fsw*IF(VfdSky_Q2&gt;0,VfdSky_Q2,0)*Table1[[#This Row],[Iout]], 2*Deadtime*Fsw*IF(VfdSky_Q3&gt;0,VfdSky_Q3,0)*Table1[[#This Row],[Iin]], 2*Deadtime*Fsw*IF(VfdSky_Q2&gt;0,VfdSky_Q2,0)*Table1[[#This Row],[Iout]]+2*Deadtime*Fsw*IF(VfdSky_Q3&gt;0,VfdSky_Q3,0)*Table1[[#This Row],[Iin]])</f>
        <v>0</v>
      </c>
      <c r="BA98" s="354">
        <f>CHOOSE(Table1[[#This Row],[Mode Digit]], IF(QrrSky_Q2&gt;0,QrrSky_Q2,Qrr_Q2)*Fsw*(Table1[[#This Row],[Vin]]-Table1[[#This Row],[Iout]]*Rdson1),0,  IF(QrrSky_Q2&gt;0,QrrSky_Q2,Qrr_Q2)*Fsw*(Table1[[#This Row],[Vin]]-Table1[[#This Row],[Iout]]*Rdson1)+IF(QrrSky_Q3&gt;0,QrrSky_Q3,Qrr_Q3)*Fsw*Vout)</f>
        <v>0.38891519999999996</v>
      </c>
      <c r="BB98" s="354">
        <f>CHOOSE(Table1[[#This Row],[Mode Digit]],0, IF(QrrSky_Q3&gt;0,QrrSky_Q3,Qrr_Q3)*Fsw*Vout,  IF(QrrSky_Q2&gt;0,QrrSky_Q2,Qrr_Q2)*Fsw*(Table1[[#This Row],[Vin]]-Table1[[#This Row],[Iout]]*Rdson1)+IF(QrrSky_Q3&gt;0,QrrSky_Q3,Qrr_Q3)*Fsw*Vout)</f>
        <v>0</v>
      </c>
      <c r="BC98" s="354">
        <f>CHOOSE(Table1[[#This Row],[Mode Digit]], Rs*Table1[[#This Row],[Irms BuSync]]^2, Rs*Table1[[#This Row],[Irms BoCtlr]]^2, Rs*(Table1[[#This Row],[Irms BuSync]]^2+Table1[[#This Row],[Irms BoCtlr]]^2))</f>
        <v>0.19954567047658259</v>
      </c>
      <c r="BD98" s="354">
        <f t="shared" si="5"/>
        <v>1.44</v>
      </c>
      <c r="BE98" s="354">
        <f>IF(Vout&gt;8, Iq*Vout, Iq*Table1[[#This Row],[Vin]])</f>
        <v>4.3799999999999999E-2</v>
      </c>
      <c r="BF98" s="354">
        <f>CHOOSE(Table1[[#This Row],[Mode Digit]], (Qg_Q1+Qg_Q2)*Fsw, (Qg_Q3+Qg_Q4)*Fsw, (Qg_Q1+Qg_Q2+Qg_Q3+Qg_Q4)*Fsw)*IF(Vout&gt;8, Vout, Table1[[#This Row],[Vin]])</f>
        <v>0.47303999999999996</v>
      </c>
      <c r="BG98" s="354">
        <f t="shared" si="6"/>
        <v>0.45605042016806729</v>
      </c>
      <c r="BH98" s="354">
        <f>Table1[[#This Row],[IQ Loss]]+Table1[[#This Row],[Switching Current Loss]]</f>
        <v>0.51683999999999997</v>
      </c>
      <c r="BI9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11.072710766934643</v>
      </c>
      <c r="BJ98">
        <f>Vout*Table1[[#This Row],[Iout]]</f>
        <v>175.2</v>
      </c>
      <c r="BK98" s="550">
        <f>Table1[[#This Row],[Pout]]/(Table1[[#This Row],[Pout]]+Table1[[#This Row],[Total Loss]])</f>
        <v>0.9405564523040153</v>
      </c>
      <c r="BL9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266.29559146002208</v>
      </c>
      <c r="BM98" s="559">
        <f>IF(Table1[[#This Row],[Vin]]&gt;Vout, Table1[[#This Row],[Total Sync Bu MOSFET Loss]]*ThetaJA_Q2, ThetaJA_Q3*Table1[[#This Row],[Total Sync Bo MOSFET Loss]])</f>
        <v>59.547490701913169</v>
      </c>
      <c r="BN98" s="9"/>
      <c r="BO98" s="4">
        <f>Table1[[#This Row],[EFF, h]]*100</f>
        <v>94.055645230401524</v>
      </c>
      <c r="BP98" s="354">
        <f>Table1[[#This Row],[Total Inductor Loss]]</f>
        <v>2.2932254431697614</v>
      </c>
      <c r="BQ98" s="354">
        <f>Table1[[#This Row],[Total Control Bu MOSFET Loss]]+Table1[[#This Row],[Total Sync Bu MOSFET Loss]]+Table1[[#This Row],[Total Control Bo MOSFET Loss]]+Table1[[#This Row],[Total Sync Bo MOSFET Loss]]+Table1[[#This Row],[Reverse Recovery Loss MOSFET D BUCK]]+Table1[[#This Row],[Reverse Recovery Loss MOSFET D BOOST]]</f>
        <v>6.5397093573035479</v>
      </c>
      <c r="BR98" s="354">
        <f>Table1[[#This Row],[Total Control Bu MOSFET Loss]]+Table1[[#This Row],[Reverse Recovery Loss MOSFET D BUCK]]*0.66</f>
        <v>4.6949438896670346</v>
      </c>
      <c r="BS98" s="354">
        <f>Table1[[#This Row],[Total Sync Bu MOSFET Loss]]+Table1[[#This Row],[Reverse Recovery Loss MOSFET D BUCK]]*0.33</f>
        <v>1.1208001943652195</v>
      </c>
      <c r="BT98" s="354">
        <f xml:space="preserve"> Table1[[#This Row],[Total Control Bo MOSFET Loss]]+Table1[[#This Row],[Reverse Recovery Loss MOSFET D BOOST]]*0.66</f>
        <v>0</v>
      </c>
      <c r="BU98" s="354">
        <f xml:space="preserve"> Table1[[#This Row],[Total Sync Bo MOSFET Loss]]+Table1[[#This Row],[Reverse Recovery Loss MOSFET D BOOST]]*0.33</f>
        <v>0.72007612127129417</v>
      </c>
      <c r="BV98" s="354">
        <f>Table1[[#This Row],[Isense Shunt Loss]]</f>
        <v>0.19954567047658259</v>
      </c>
      <c r="CB98" s="18"/>
      <c r="CC98" s="19"/>
    </row>
    <row r="99" spans="7:81" x14ac:dyDescent="0.2">
      <c r="G99">
        <v>90</v>
      </c>
      <c r="H99" s="555">
        <f>VIN_min+(VIN_max-VIN_min)*(Table1[[#This Row],[Step]]/200)</f>
        <v>32.6</v>
      </c>
      <c r="I99" s="4" t="str">
        <f>IF(Mode = 2,IF(Table1[[#This Row],[Vin]]&gt;Vout, "BUCK","BOOST"),IF(Table1[[#This Row],[Vin]]&gt;VIN_BB_to_buck, "BUCK", IF(Table1[[#This Row],[Vin]]&lt;=VIN_boost_to_BB,"BOOST","BUCK-BST")))</f>
        <v>BUCK</v>
      </c>
      <c r="J99">
        <f>IF(Table1[[#This Row],[Mode]]="BOOST",2, IF(Table1[[#This Row],[Mode]]="BUCK", 1,3))</f>
        <v>1</v>
      </c>
      <c r="K99">
        <f t="shared" si="4"/>
        <v>12</v>
      </c>
      <c r="L99" s="4">
        <f>Vout*Table1[[#This Row],[Iout]]/(Table1[[#This Row],[Vin]]*Efficiency)</f>
        <v>5.6570875040361637</v>
      </c>
      <c r="M99" s="711">
        <f>MIN(1/Fsw,CHOOSE(Table1[[#This Row],[Mode Digit]],(Vout+(Rdson2+Rs+Rdcr)*Table1[[#This Row],[Iout]])/(Table1[[#This Row],[Vin]]+(Rs+Rdson2-Rdson1)*Table1[[#This Row],[Iout]])/Fsw,(Vout+(Rdson3+Rdcr)*Table1[[#This Row],[Iin]]-Table1[[#This Row],[Vin]])/(Vout+(Rdson3-Rdson4-Rs)*Table1[[#This Row],[Iin]])/Fsw,t1_Ph_II))</f>
        <v>7.5339666973133105E-7</v>
      </c>
      <c r="N99" s="602">
        <f>CHOOSE(Table1[[#This Row],[Mode Digit]],1/Fsw-Table1[[#This Row],[t1_Ph_II]],1/Fsw-Table1[[#This Row],[t1_Ph_II]],(Vout/Fsw-Table1[[#This Row],[Vin]]*t1_Ph_II)/(Table1[[#This Row],[Vin]]+Vout))</f>
        <v>9.1326999693533561E-7</v>
      </c>
      <c r="O99" s="602">
        <f>1/Fsw-(Table1[[#This Row],[t1_Ph_II]]+Table1[[#This Row],[t2_Ph_I]])</f>
        <v>0</v>
      </c>
      <c r="P9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9.4316022622795526</v>
      </c>
      <c r="Q99" s="4">
        <f>CHOOSE(Table1[[#This Row],[Mode Digit]],Table1[[#This Row],[I_0]]+1/Lf*(Table1[[#This Row],[Vin]]-Vout)*Table1[[#This Row],[t1_Ph_II]],Table1[[#This Row],[I_0]]+1/Lf*Table1[[#This Row],[Vin]]*Table1[[#This Row],[t1_Ph_II]],Table1[[#This Row],[I_0]]+(Table1[[#This Row],[Vin]]-Vout)/L*Table1[[#This Row],[t1_Ph_II]])</f>
        <v>14.568397737720446</v>
      </c>
      <c r="R99" s="4">
        <f>CHOOSE(Table1[[#This Row],[Mode Digit]],0,0,Table1[[#This Row],[I_1]]+Table1[[#This Row],[Vin]]/L*Table1[[#This Row],[t2_Ph_I]])</f>
        <v>0</v>
      </c>
      <c r="S99" s="4">
        <f>Fsw*(Table1[[#This Row],[I_0]]*Table1[[#This Row],[t1_Ph_II]]+Table1[[#This Row],[I_1]]*Table1[[#This Row],[t2_Ph_I]]+Table1[[#This Row],[I_2]]*Table1[[#This Row],[t3_Ph_III]])</f>
        <v>12.246370975147563</v>
      </c>
      <c r="T99" s="354">
        <f>MIN(1,CHOOSE(Table1[[#This Row],[Mode Digit]],(Vout+(Rdson2+Rs+Rdcr)*Table1[[#This Row],[Iout]])/(Table1[[#This Row],[Vin]]+(Rs+Rdson2-Rdson1)*Table1[[#This Row],[Iout]]),1,Fsw*Table1[[#This Row],[t2_Ph_I]]+Table1[[#This Row],[t1_Ph_II]]))</f>
        <v>0.45203800183879861</v>
      </c>
      <c r="U99" s="354">
        <f>MIN(1,CHOOSE(Table1[[#This Row],[Mode Digit]],0,(Vout+(Rdson3+Rdcr)*Table1[[#This Row],[Iin]]-Table1[[#This Row],[Vin]])/(Vout+(Rdson3-Rdson4-Rs)*Table1[[#This Row],[Iin]]),Fsw*Table1[[#This Row],[t1_Ph_II]]+Table1[[#This Row],[t3_Ph_III]]))</f>
        <v>0</v>
      </c>
      <c r="V99" s="4">
        <f>MAX(Table1[[#This Row],[I_0]:[I_2]])-MIN(Table1[[#This Row],[I_0]:[I_1]])</f>
        <v>5.1367954754408931</v>
      </c>
      <c r="W9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12.091273257176399</v>
      </c>
      <c r="X99" s="354">
        <f>(Table1[[#This Row],[Irms Lf]]^2*Rdcr*(1+Ltc*Ta-Ltc*25))/(1-Table1[[#This Row],[Irms Lf]]^2*Rdcr*Ltc*ThetaCa)</f>
        <v>0.90966162056123279</v>
      </c>
      <c r="Y99" s="354">
        <f>ABS(7.759*10^-3*Fsw^0.9458*(0.00787*Table1[[#This Row],[Ripple Current pk-pk]])^2.304)</f>
        <v>1.3948965110272082</v>
      </c>
      <c r="Z99" s="354">
        <f>Table1[[#This Row],[DCR    Loss]]+Table1[[#This Row],[Core Loss]]</f>
        <v>2.3045581315884411</v>
      </c>
      <c r="AA99" s="4">
        <f>IF(Table1[[#This Row],[Vin]]&gt;Vout, Table1[[#This Row],[Ripple Current pk-pk]]/SQRT(12), SQRT(Table1[[#This Row],[Duty Cycle BOOST Leg]]/(1-Table1[[#This Row],[Duty Cycle BOOST Leg]]))*SQRT(Table1[[#This Row],[Iout]]^2+(Table1[[#This Row],[Ripple Current pk-pk]]^2)/12))</f>
        <v>1.4828651252589258</v>
      </c>
      <c r="AB99" s="354">
        <f>RCoutEsr*Table1[[#This Row],[Irms Cout]]^2</f>
        <v>1.0994444898545848E-2</v>
      </c>
      <c r="AC99" s="354">
        <f>Table1[[#This Row],[Cout ESR Loss]]</f>
        <v>1.0994444898545848E-2</v>
      </c>
      <c r="AD99" s="354">
        <f>IF(Table1[[#This Row],[Vin]]&gt;Vout, SQRT(Table1[[#This Row],[Duty Cycle BUCK Leg]]*(1-Table1[[#This Row],[Duty Cycle BUCK Leg]]))*SQRT(Table1[[#This Row],[Iout]]^2+(Table1[[#This Row],[Ripple Current pk-pk]]^2)/12), Table1[[#This Row],[Ripple Current pk-pk]]/SQRT(12))</f>
        <v>6.0177581500872179</v>
      </c>
      <c r="AE99" s="354">
        <f>RCinEsr*Table1[[#This Row],[Irms Cin]]^2</f>
        <v>7.2426826305882278E-2</v>
      </c>
      <c r="AF99" s="549">
        <f>Table1[[#This Row],[Cin ESR Loss]]</f>
        <v>7.2426826305882278E-2</v>
      </c>
      <c r="AG9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8.129419022626406</v>
      </c>
      <c r="AH99" s="354">
        <f>Rdson1*Table1[[#This Row],[Irms BuCtrl]]^2</f>
        <v>0.27756730531084833</v>
      </c>
      <c r="AI99" s="354">
        <f>CHOOSE(Table1[[#This Row],[Mode Digit]], (Table1[[#This Row],[Vin]]*Table1[[#This Row],[Iout]]/2)*(Fsw)*(Tr_buck+Tf_buck), 0, (Table1[[#This Row],[Vin]]*Table1[[#This Row],[Avg IL]]/2)*(Fsw/1)*(Tr_buck+Tf_buck))</f>
        <v>3.8792827480299064</v>
      </c>
      <c r="AJ99">
        <f>IF(Table1[[#This Row],[Vin]]&gt;Vout, IF(Table1[[#This Row],[Iout]]&gt;Table1[[#This Row],[Ripple Current pk-pk]]/2,0,ABS(Table1[[#This Row],[Iout]]-Table1[[#This Row],[Ripple Current pk-pk]]/2)*Vsd_Q1*Deadtime*Fsw),0)</f>
        <v>0</v>
      </c>
      <c r="AK99" s="354">
        <f>(Table1[[#This Row],[Dead Time Loss BuCtrl]]+Table1[[#This Row],[Transition Loss BuCtrl]]+Table1[[#This Row],[RDS(on) Loss BuCtrl]]*(1+RdsonTopTc*Ta-RdsonTopTc*25))/(1-Table1[[#This Row],[RDS(on) Loss BuCtrl]]*RdsonTopTc*ThetaJA_Q1)</f>
        <v>4.4535268827763517</v>
      </c>
      <c r="AL99" s="354">
        <f>CHOOSE(Table1[[#This Row],[Mode Digit]],SQRT((Fsw*(Table1[[#This Row],[t2_Ph_I]]+0))*((Table1[[#This Row],[I_0]]*Table1[[#This Row],[I_1]]+((Table1[[#This Row],[I_0]]-Table1[[#This Row],[I_1]])^2)/3))),0,SQRT((Fsw*(Table1[[#This Row],[t3_Ph_III]]+0))*((Table1[[#This Row],[I_0]]*Table1[[#This Row],[I_2]]+((Table1[[#This Row],[I_0]]-Table1[[#This Row],[I_2]])^2)/3))))</f>
        <v>8.9504991667654537</v>
      </c>
      <c r="AM99" s="354">
        <f>Rdson2*Table1[[#This Row],[Irms BuSync]]^2</f>
        <v>0.33646802840393014</v>
      </c>
      <c r="AN9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99" s="354">
        <f>(Table1[[#This Row],[Deadtime Loss BuSync]]+Table1[[#This Row],[RDS(on) Loss BuSync]]*(1+RdsonBotTc*Ta-RdsonBotTc*25))/(1-Table1[[#This Row],[RDS(on) Loss BuSync]]*RdsonBotTc*ThetaJA_Q2)</f>
        <v>0.99411669306817918</v>
      </c>
      <c r="AP99" s="354">
        <f>CHOOSE(Table1[[#This Row],[Mode Digit]],0,SQRT((Fsw*(Table1[[#This Row],[t1_Ph_II]]+0))*((Table1[[#This Row],[I_0]]*Table1[[#This Row],[I_1]]+((Table1[[#This Row],[I_0]]-Table1[[#This Row],[I_1]])^2)/3))),SQRT((Fsw*(Table1[[#This Row],[t2_Ph_I]]+0))*((Table1[[#This Row],[I_1]]*Table1[[#This Row],[I_2]]+((Table1[[#This Row],[I_1]]-Table1[[#This Row],[I_2]])^2)/3))))</f>
        <v>0</v>
      </c>
      <c r="AQ99" s="354">
        <f>Rdson4*Table1[[#This Row],[Irms BoCtlr]]^2</f>
        <v>0</v>
      </c>
      <c r="AR99" s="354">
        <f>CHOOSE(Table1[[#This Row],[Mode Digit]], 0, (Vout*Table1[[#This Row],[Iin]]/2)*(Fsw)*(Tr_boost+Tf_boost), (Vout*Iout/2)*(Fsw/1)*(Tr_boost+Tf_boost))</f>
        <v>0</v>
      </c>
      <c r="AS99">
        <f>IF(Table1[[#This Row],[Vin]]&gt;Vout, 0, IF(Table1[[#This Row],[Iin]]&gt;Table1[[#This Row],[Ripple Current pk-pk]]/2,0,ABS(Table1[[#This Row],[Iin]]-Table1[[#This Row],[Ripple Current pk-pk]]/2)*Vsd_Q4*Deadtime*Fsw))</f>
        <v>0</v>
      </c>
      <c r="AT99" s="354">
        <f>(Table1[[#This Row],[Dead Time Loss BoCtlr]]+Table1[[#This Row],[Transition Loss BoCtlr]]+Table1[[#This Row],[RDS(on) Loss BoCtlr]]*(1+RdsonTopTc*Ta-RdsonTopTc*25))/(1-Table1[[#This Row],[RDS(on) Loss BoCtlr]]*RdsonTopTc*ThetaJA_Q4)</f>
        <v>0</v>
      </c>
      <c r="AU9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12.091273257176399</v>
      </c>
      <c r="AV99" s="354">
        <f>Rdson3*Table1[[#This Row],[Irms BoSync]]^2</f>
        <v>0.61403533371477859</v>
      </c>
      <c r="AW9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99" s="354">
        <f>(Table1[[#This Row],[Deadtime Loss BoSync]]+Table1[[#This Row],[RDS(on) Loss BoSync]]*(1+RdsonBotTc*Ta-RdsonBotTc*25))/(1-Table1[[#This Row],[RDS(on) Loss BoSync]]*RdsonBotTc*ThetaJA_Q3)</f>
        <v>0.72016494743322113</v>
      </c>
      <c r="AY99" s="354">
        <f>CHOOSE(Table1[[#This Row],[Mode Digit]], Rdson3*Table1[[#This Row],[Irms Lf]]^2, Rdson1*Table1[[#This Row],[Irms Lf]]^2, 0)</f>
        <v>0.61403533371477859</v>
      </c>
      <c r="AZ99" s="354">
        <f>CHOOSE(Table1[[#This Row],[Mode Digit]], 2*Deadtime*Fsw*IF(VfdSky_Q2&gt;0,VfdSky_Q2,0)*Table1[[#This Row],[Iout]], 2*Deadtime*Fsw*IF(VfdSky_Q3&gt;0,VfdSky_Q3,0)*Table1[[#This Row],[Iin]], 2*Deadtime*Fsw*IF(VfdSky_Q2&gt;0,VfdSky_Q2,0)*Table1[[#This Row],[Iout]]+2*Deadtime*Fsw*IF(VfdSky_Q3&gt;0,VfdSky_Q3,0)*Table1[[#This Row],[Iin]])</f>
        <v>0</v>
      </c>
      <c r="BA99" s="354">
        <f>CHOOSE(Table1[[#This Row],[Mode Digit]], IF(QrrSky_Q2&gt;0,QrrSky_Q2,Qrr_Q2)*Fsw*(Table1[[#This Row],[Vin]]-Table1[[#This Row],[Iout]]*Rdson1),0,  IF(QrrSky_Q2&gt;0,QrrSky_Q2,Qrr_Q2)*Fsw*(Table1[[#This Row],[Vin]]-Table1[[#This Row],[Iout]]*Rdson1)+IF(QrrSky_Q3&gt;0,QrrSky_Q3,Qrr_Q3)*Fsw*Vout)</f>
        <v>0.39059519999999998</v>
      </c>
      <c r="BB99" s="354">
        <f>CHOOSE(Table1[[#This Row],[Mode Digit]],0, IF(QrrSky_Q3&gt;0,QrrSky_Q3,Qrr_Q3)*Fsw*Vout,  IF(QrrSky_Q2&gt;0,QrrSky_Q2,Qrr_Q2)*Fsw*(Table1[[#This Row],[Vin]]-Table1[[#This Row],[Iout]]*Rdson1)+IF(QrrSky_Q3&gt;0,QrrSky_Q3,Qrr_Q3)*Fsw*Vout)</f>
        <v>0</v>
      </c>
      <c r="BC99" s="354">
        <f>CHOOSE(Table1[[#This Row],[Mode Digit]], Rs*Table1[[#This Row],[Irms BuSync]]^2, Rs*Table1[[#This Row],[Irms BoCtlr]]^2, Rs*(Table1[[#This Row],[Irms BuSync]]^2+Table1[[#This Row],[Irms BoCtlr]]^2))</f>
        <v>0.20027858833567269</v>
      </c>
      <c r="BD99" s="354">
        <f t="shared" si="5"/>
        <v>1.44</v>
      </c>
      <c r="BE99" s="354">
        <f>IF(Vout&gt;8, Iq*Vout, Iq*Table1[[#This Row],[Vin]])</f>
        <v>4.3799999999999999E-2</v>
      </c>
      <c r="BF99" s="354">
        <f>CHOOSE(Table1[[#This Row],[Mode Digit]], (Qg_Q1+Qg_Q2)*Fsw, (Qg_Q3+Qg_Q4)*Fsw, (Qg_Q1+Qg_Q2+Qg_Q3+Qg_Q4)*Fsw)*IF(Vout&gt;8, Vout, Table1[[#This Row],[Vin]])</f>
        <v>0.47303999999999996</v>
      </c>
      <c r="BG99" s="354">
        <f t="shared" si="6"/>
        <v>0.45605042016806729</v>
      </c>
      <c r="BH99" s="354">
        <f>Table1[[#This Row],[IQ Loss]]+Table1[[#This Row],[Switching Current Loss]]</f>
        <v>0.51683999999999997</v>
      </c>
      <c r="BI9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11.103501714406292</v>
      </c>
      <c r="BJ99">
        <f>Vout*Table1[[#This Row],[Iout]]</f>
        <v>175.2</v>
      </c>
      <c r="BK99" s="550">
        <f>Table1[[#This Row],[Pout]]/(Table1[[#This Row],[Pout]]+Table1[[#This Row],[Total Loss]])</f>
        <v>0.94040100367288104</v>
      </c>
      <c r="BL9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267.21161296658113</v>
      </c>
      <c r="BM99" s="559">
        <f>IF(Table1[[#This Row],[Vin]]&gt;Vout, Table1[[#This Row],[Total Sync Bu MOSFET Loss]]*ThetaJA_Q2, ThetaJA_Q3*Table1[[#This Row],[Total Sync Bo MOSFET Loss]])</f>
        <v>59.647001584090752</v>
      </c>
      <c r="BN99" s="9"/>
      <c r="BO99" s="4">
        <f>Table1[[#This Row],[EFF, h]]*100</f>
        <v>94.040100367288105</v>
      </c>
      <c r="BP99" s="354">
        <f>Table1[[#This Row],[Total Inductor Loss]]</f>
        <v>2.3045581315884411</v>
      </c>
      <c r="BQ99" s="354">
        <f>Table1[[#This Row],[Total Control Bu MOSFET Loss]]+Table1[[#This Row],[Total Sync Bu MOSFET Loss]]+Table1[[#This Row],[Total Control Bo MOSFET Loss]]+Table1[[#This Row],[Total Sync Bo MOSFET Loss]]+Table1[[#This Row],[Reverse Recovery Loss MOSFET D BUCK]]+Table1[[#This Row],[Reverse Recovery Loss MOSFET D BOOST]]</f>
        <v>6.5584037232777517</v>
      </c>
      <c r="BR99" s="354">
        <f>Table1[[#This Row],[Total Control Bu MOSFET Loss]]+Table1[[#This Row],[Reverse Recovery Loss MOSFET D BUCK]]*0.66</f>
        <v>4.7113197147763515</v>
      </c>
      <c r="BS99" s="354">
        <f>Table1[[#This Row],[Total Sync Bu MOSFET Loss]]+Table1[[#This Row],[Reverse Recovery Loss MOSFET D BUCK]]*0.33</f>
        <v>1.1230131090681792</v>
      </c>
      <c r="BT99" s="354">
        <f xml:space="preserve"> Table1[[#This Row],[Total Control Bo MOSFET Loss]]+Table1[[#This Row],[Reverse Recovery Loss MOSFET D BOOST]]*0.66</f>
        <v>0</v>
      </c>
      <c r="BU99" s="354">
        <f xml:space="preserve"> Table1[[#This Row],[Total Sync Bo MOSFET Loss]]+Table1[[#This Row],[Reverse Recovery Loss MOSFET D BOOST]]*0.33</f>
        <v>0.72016494743322113</v>
      </c>
      <c r="BV99" s="354">
        <f>Table1[[#This Row],[Isense Shunt Loss]]</f>
        <v>0.20027858833567269</v>
      </c>
      <c r="CB99" s="18"/>
      <c r="CC99" s="19"/>
    </row>
    <row r="100" spans="7:81" x14ac:dyDescent="0.2">
      <c r="G100">
        <v>91</v>
      </c>
      <c r="H100" s="555">
        <f>VIN_min+(VIN_max-VIN_min)*(Table1[[#This Row],[Step]]/200)</f>
        <v>32.74</v>
      </c>
      <c r="I100" s="4" t="str">
        <f>IF(Mode = 2,IF(Table1[[#This Row],[Vin]]&gt;Vout, "BUCK","BOOST"),IF(Table1[[#This Row],[Vin]]&gt;VIN_BB_to_buck, "BUCK", IF(Table1[[#This Row],[Vin]]&lt;=VIN_boost_to_BB,"BOOST","BUCK-BST")))</f>
        <v>BUCK</v>
      </c>
      <c r="J100">
        <f>IF(Table1[[#This Row],[Mode]]="BOOST",2, IF(Table1[[#This Row],[Mode]]="BUCK", 1,3))</f>
        <v>1</v>
      </c>
      <c r="K100">
        <f t="shared" si="4"/>
        <v>12</v>
      </c>
      <c r="L100" s="4">
        <f>Vout*Table1[[#This Row],[Iout]]/(Table1[[#This Row],[Vin]]*Efficiency)</f>
        <v>5.6328971481850623</v>
      </c>
      <c r="M100" s="711">
        <f>MIN(1/Fsw,CHOOSE(Table1[[#This Row],[Mode Digit]],(Vout+(Rdson2+Rs+Rdcr)*Table1[[#This Row],[Iout]])/(Table1[[#This Row],[Vin]]+(Rs+Rdson2-Rdson1)*Table1[[#This Row],[Iout]])/Fsw,(Vout+(Rdson3+Rdcr)*Table1[[#This Row],[Iin]]-Table1[[#This Row],[Vin]])/(Vout+(Rdson3-Rdson4-Rs)*Table1[[#This Row],[Iin]])/Fsw,t1_Ph_II))</f>
        <v>7.5017800834096219E-7</v>
      </c>
      <c r="N100" s="602">
        <f>CHOOSE(Table1[[#This Row],[Mode Digit]],1/Fsw-Table1[[#This Row],[t1_Ph_II]],1/Fsw-Table1[[#This Row],[t1_Ph_II]],(Vout/Fsw-Table1[[#This Row],[Vin]]*t1_Ph_II)/(Table1[[#This Row],[Vin]]+Vout))</f>
        <v>9.1648865832570447E-7</v>
      </c>
      <c r="O100" s="602">
        <f>1/Fsw-(Table1[[#This Row],[t1_Ph_II]]+Table1[[#This Row],[t2_Ph_I]])</f>
        <v>0</v>
      </c>
      <c r="P10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9.4226838880104058</v>
      </c>
      <c r="Q100" s="4">
        <f>CHOOSE(Table1[[#This Row],[Mode Digit]],Table1[[#This Row],[I_0]]+1/Lf*(Table1[[#This Row],[Vin]]-Vout)*Table1[[#This Row],[t1_Ph_II]],Table1[[#This Row],[I_0]]+1/Lf*Table1[[#This Row],[Vin]]*Table1[[#This Row],[t1_Ph_II]],Table1[[#This Row],[I_0]]+(Table1[[#This Row],[Vin]]-Vout)/L*Table1[[#This Row],[t1_Ph_II]])</f>
        <v>14.577316111989592</v>
      </c>
      <c r="R100" s="4">
        <f>CHOOSE(Table1[[#This Row],[Mode Digit]],0,0,Table1[[#This Row],[I_1]]+Table1[[#This Row],[Vin]]/L*Table1[[#This Row],[t2_Ph_I]])</f>
        <v>0</v>
      </c>
      <c r="S100" s="4">
        <f>Fsw*(Table1[[#This Row],[I_0]]*Table1[[#This Row],[t1_Ph_II]]+Table1[[#This Row],[I_1]]*Table1[[#This Row],[t2_Ph_I]]+Table1[[#This Row],[I_2]]*Table1[[#This Row],[t3_Ph_III]])</f>
        <v>12.257181070680682</v>
      </c>
      <c r="T100" s="354">
        <f>MIN(1,CHOOSE(Table1[[#This Row],[Mode Digit]],(Vout+(Rdson2+Rs+Rdcr)*Table1[[#This Row],[Iout]])/(Table1[[#This Row],[Vin]]+(Rs+Rdson2-Rdson1)*Table1[[#This Row],[Iout]]),1,Fsw*Table1[[#This Row],[t2_Ph_I]]+Table1[[#This Row],[t1_Ph_II]]))</f>
        <v>0.45010680500457734</v>
      </c>
      <c r="U100" s="354">
        <f>MIN(1,CHOOSE(Table1[[#This Row],[Mode Digit]],0,(Vout+(Rdson3+Rdcr)*Table1[[#This Row],[Iin]]-Table1[[#This Row],[Vin]])/(Vout+(Rdson3-Rdson4-Rs)*Table1[[#This Row],[Iin]]),Fsw*Table1[[#This Row],[t1_Ph_II]]+Table1[[#This Row],[t3_Ph_III]]))</f>
        <v>0</v>
      </c>
      <c r="V100" s="4">
        <f>MAX(Table1[[#This Row],[I_0]:[I_2]])-MIN(Table1[[#This Row],[I_0]:[I_1]])</f>
        <v>5.1546322239791866</v>
      </c>
      <c r="W10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12.091905809826134</v>
      </c>
      <c r="X100" s="354">
        <f>(Table1[[#This Row],[Irms Lf]]^2*Rdcr*(1+Ltc*Ta-Ltc*25))/(1-Table1[[#This Row],[Irms Lf]]^2*Rdcr*Ltc*ThetaCa)</f>
        <v>0.90976372790614879</v>
      </c>
      <c r="Y100" s="354">
        <f>ABS(7.759*10^-3*Fsw^0.9458*(0.00787*Table1[[#This Row],[Ripple Current pk-pk]])^2.304)</f>
        <v>1.406081365612009</v>
      </c>
      <c r="Z100" s="354">
        <f>Table1[[#This Row],[DCR    Loss]]+Table1[[#This Row],[Core Loss]]</f>
        <v>2.315845093518158</v>
      </c>
      <c r="AA100" s="4">
        <f>IF(Table1[[#This Row],[Vin]]&gt;Vout, Table1[[#This Row],[Ripple Current pk-pk]]/SQRT(12), SQRT(Table1[[#This Row],[Duty Cycle BOOST Leg]]/(1-Table1[[#This Row],[Duty Cycle BOOST Leg]]))*SQRT(Table1[[#This Row],[Iout]]^2+(Table1[[#This Row],[Ripple Current pk-pk]]^2)/12))</f>
        <v>1.4880141510439515</v>
      </c>
      <c r="AB100" s="354">
        <f>RCoutEsr*Table1[[#This Row],[Irms Cout]]^2</f>
        <v>1.1070930568535258E-2</v>
      </c>
      <c r="AC100" s="354">
        <f>Table1[[#This Row],[Cout ESR Loss]]</f>
        <v>1.1070930568535258E-2</v>
      </c>
      <c r="AD100" s="354">
        <f>IF(Table1[[#This Row],[Vin]]&gt;Vout, SQRT(Table1[[#This Row],[Duty Cycle BUCK Leg]]*(1-Table1[[#This Row],[Duty Cycle BUCK Leg]]))*SQRT(Table1[[#This Row],[Iout]]^2+(Table1[[#This Row],[Ripple Current pk-pk]]^2)/12), Table1[[#This Row],[Ripple Current pk-pk]]/SQRT(12))</f>
        <v>6.0157768439257957</v>
      </c>
      <c r="AE100" s="354">
        <f>RCinEsr*Table1[[#This Row],[Irms Cin]]^2</f>
        <v>7.2379142071827621E-2</v>
      </c>
      <c r="AF100" s="549">
        <f>Table1[[#This Row],[Cin ESR Loss]]</f>
        <v>7.2379142071827621E-2</v>
      </c>
      <c r="AG10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8.1124595627950775</v>
      </c>
      <c r="AH100" s="354">
        <f>Rdson1*Table1[[#This Row],[Irms BuCtrl]]^2</f>
        <v>0.27641040066353828</v>
      </c>
      <c r="AI100" s="354">
        <f>CHOOSE(Table1[[#This Row],[Mode Digit]], (Table1[[#This Row],[Vin]]*Table1[[#This Row],[Iout]]/2)*(Fsw)*(Tr_buck+Tf_buck), 0, (Table1[[#This Row],[Vin]]*Table1[[#This Row],[Avg IL]]/2)*(Fsw/1)*(Tr_buck+Tf_buck))</f>
        <v>3.8959422444938379</v>
      </c>
      <c r="AJ100">
        <f>IF(Table1[[#This Row],[Vin]]&gt;Vout, IF(Table1[[#This Row],[Iout]]&gt;Table1[[#This Row],[Ripple Current pk-pk]]/2,0,ABS(Table1[[#This Row],[Iout]]-Table1[[#This Row],[Ripple Current pk-pk]]/2)*Vsd_Q1*Deadtime*Fsw),0)</f>
        <v>0</v>
      </c>
      <c r="AK100" s="354">
        <f>(Table1[[#This Row],[Dead Time Loss BuCtrl]]+Table1[[#This Row],[Transition Loss BuCtrl]]+Table1[[#This Row],[RDS(on) Loss BuCtrl]]*(1+RdsonTopTc*Ta-RdsonTopTc*25))/(1-Table1[[#This Row],[RDS(on) Loss BuCtrl]]*RdsonTopTc*ThetaJA_Q1)</f>
        <v>4.4688065514041266</v>
      </c>
      <c r="AL100" s="354">
        <f>CHOOSE(Table1[[#This Row],[Mode Digit]],SQRT((Fsw*(Table1[[#This Row],[t2_Ph_I]]+0))*((Table1[[#This Row],[I_0]]*Table1[[#This Row],[I_1]]+((Table1[[#This Row],[I_0]]-Table1[[#This Row],[I_1]])^2)/3))),0,SQRT((Fsw*(Table1[[#This Row],[t3_Ph_III]]+0))*((Table1[[#This Row],[I_0]]*Table1[[#This Row],[I_2]]+((Table1[[#This Row],[I_0]]-Table1[[#This Row],[I_2]])^2)/3))))</f>
        <v>8.9667266020394383</v>
      </c>
      <c r="AM100" s="354">
        <f>Rdson2*Table1[[#This Row],[Irms BuSync]]^2</f>
        <v>0.33768918101403134</v>
      </c>
      <c r="AN10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00" s="354">
        <f>(Table1[[#This Row],[Deadtime Loss BuSync]]+Table1[[#This Row],[RDS(on) Loss BuSync]]*(1+RdsonBotTc*Ta-RdsonBotTc*25))/(1-Table1[[#This Row],[RDS(on) Loss BuSync]]*RdsonBotTc*ThetaJA_Q2)</f>
        <v>0.99576259046337701</v>
      </c>
      <c r="AP100" s="354">
        <f>CHOOSE(Table1[[#This Row],[Mode Digit]],0,SQRT((Fsw*(Table1[[#This Row],[t1_Ph_II]]+0))*((Table1[[#This Row],[I_0]]*Table1[[#This Row],[I_1]]+((Table1[[#This Row],[I_0]]-Table1[[#This Row],[I_1]])^2)/3))),SQRT((Fsw*(Table1[[#This Row],[t2_Ph_I]]+0))*((Table1[[#This Row],[I_1]]*Table1[[#This Row],[I_2]]+((Table1[[#This Row],[I_1]]-Table1[[#This Row],[I_2]])^2)/3))))</f>
        <v>0</v>
      </c>
      <c r="AQ100" s="354">
        <f>Rdson4*Table1[[#This Row],[Irms BoCtlr]]^2</f>
        <v>0</v>
      </c>
      <c r="AR100" s="354">
        <f>CHOOSE(Table1[[#This Row],[Mode Digit]], 0, (Vout*Table1[[#This Row],[Iin]]/2)*(Fsw)*(Tr_boost+Tf_boost), (Vout*Iout/2)*(Fsw/1)*(Tr_boost+Tf_boost))</f>
        <v>0</v>
      </c>
      <c r="AS100">
        <f>IF(Table1[[#This Row],[Vin]]&gt;Vout, 0, IF(Table1[[#This Row],[Iin]]&gt;Table1[[#This Row],[Ripple Current pk-pk]]/2,0,ABS(Table1[[#This Row],[Iin]]-Table1[[#This Row],[Ripple Current pk-pk]]/2)*Vsd_Q4*Deadtime*Fsw))</f>
        <v>0</v>
      </c>
      <c r="AT100" s="354">
        <f>(Table1[[#This Row],[Dead Time Loss BoCtlr]]+Table1[[#This Row],[Transition Loss BoCtlr]]+Table1[[#This Row],[RDS(on) Loss BoCtlr]]*(1+RdsonTopTc*Ta-RdsonTopTc*25))/(1-Table1[[#This Row],[RDS(on) Loss BoCtlr]]*RdsonTopTc*ThetaJA_Q4)</f>
        <v>0</v>
      </c>
      <c r="AU10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12.091905809826134</v>
      </c>
      <c r="AV100" s="354">
        <f>Rdson3*Table1[[#This Row],[Irms BoSync]]^2</f>
        <v>0.61409958167756951</v>
      </c>
      <c r="AW10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00" s="354">
        <f>(Table1[[#This Row],[Deadtime Loss BoSync]]+Table1[[#This Row],[RDS(on) Loss BoSync]]*(1+RdsonBotTc*Ta-RdsonBotTc*25))/(1-Table1[[#This Row],[RDS(on) Loss BoSync]]*RdsonBotTc*ThetaJA_Q3)</f>
        <v>0.72025332549004506</v>
      </c>
      <c r="AY100" s="354">
        <f>CHOOSE(Table1[[#This Row],[Mode Digit]], Rdson3*Table1[[#This Row],[Irms Lf]]^2, Rdson1*Table1[[#This Row],[Irms Lf]]^2, 0)</f>
        <v>0.61409958167756951</v>
      </c>
      <c r="AZ100" s="354">
        <f>CHOOSE(Table1[[#This Row],[Mode Digit]], 2*Deadtime*Fsw*IF(VfdSky_Q2&gt;0,VfdSky_Q2,0)*Table1[[#This Row],[Iout]], 2*Deadtime*Fsw*IF(VfdSky_Q3&gt;0,VfdSky_Q3,0)*Table1[[#This Row],[Iin]], 2*Deadtime*Fsw*IF(VfdSky_Q2&gt;0,VfdSky_Q2,0)*Table1[[#This Row],[Iout]]+2*Deadtime*Fsw*IF(VfdSky_Q3&gt;0,VfdSky_Q3,0)*Table1[[#This Row],[Iin]])</f>
        <v>0</v>
      </c>
      <c r="BA100" s="354">
        <f>CHOOSE(Table1[[#This Row],[Mode Digit]], IF(QrrSky_Q2&gt;0,QrrSky_Q2,Qrr_Q2)*Fsw*(Table1[[#This Row],[Vin]]-Table1[[#This Row],[Iout]]*Rdson1),0,  IF(QrrSky_Q2&gt;0,QrrSky_Q2,Qrr_Q2)*Fsw*(Table1[[#This Row],[Vin]]-Table1[[#This Row],[Iout]]*Rdson1)+IF(QrrSky_Q3&gt;0,QrrSky_Q3,Qrr_Q3)*Fsw*Vout)</f>
        <v>0.39227519999999999</v>
      </c>
      <c r="BB100" s="354">
        <f>CHOOSE(Table1[[#This Row],[Mode Digit]],0, IF(QrrSky_Q3&gt;0,QrrSky_Q3,Qrr_Q3)*Fsw*Vout,  IF(QrrSky_Q2&gt;0,QrrSky_Q2,Qrr_Q2)*Fsw*(Table1[[#This Row],[Vin]]-Table1[[#This Row],[Iout]]*Rdson1)+IF(QrrSky_Q3&gt;0,QrrSky_Q3,Qrr_Q3)*Fsw*Vout)</f>
        <v>0</v>
      </c>
      <c r="BC100" s="354">
        <f>CHOOSE(Table1[[#This Row],[Mode Digit]], Rs*Table1[[#This Row],[Irms BuSync]]^2, Rs*Table1[[#This Row],[Irms BoCtlr]]^2, Rs*(Table1[[#This Row],[Irms BuSync]]^2+Table1[[#This Row],[Irms BoCtlr]]^2))</f>
        <v>0.20100546488930435</v>
      </c>
      <c r="BD100" s="354">
        <f t="shared" si="5"/>
        <v>1.44</v>
      </c>
      <c r="BE100" s="354">
        <f>IF(Vout&gt;8, Iq*Vout, Iq*Table1[[#This Row],[Vin]])</f>
        <v>4.3799999999999999E-2</v>
      </c>
      <c r="BF100" s="354">
        <f>CHOOSE(Table1[[#This Row],[Mode Digit]], (Qg_Q1+Qg_Q2)*Fsw, (Qg_Q3+Qg_Q4)*Fsw, (Qg_Q1+Qg_Q2+Qg_Q3+Qg_Q4)*Fsw)*IF(Vout&gt;8, Vout, Table1[[#This Row],[Vin]])</f>
        <v>0.47303999999999996</v>
      </c>
      <c r="BG100" s="354">
        <f t="shared" si="6"/>
        <v>0.45605042016806729</v>
      </c>
      <c r="BH100" s="354">
        <f>Table1[[#This Row],[IQ Loss]]+Table1[[#This Row],[Switching Current Loss]]</f>
        <v>0.51683999999999997</v>
      </c>
      <c r="BI10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11.134238298405373</v>
      </c>
      <c r="BJ100">
        <f>Vout*Table1[[#This Row],[Iout]]</f>
        <v>175.2</v>
      </c>
      <c r="BK100" s="550">
        <f>Table1[[#This Row],[Pout]]/(Table1[[#This Row],[Pout]]+Table1[[#This Row],[Total Loss]])</f>
        <v>0.94024588073516358</v>
      </c>
      <c r="BL10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268.12839308424759</v>
      </c>
      <c r="BM100" s="559">
        <f>IF(Table1[[#This Row],[Vin]]&gt;Vout, Table1[[#This Row],[Total Sync Bu MOSFET Loss]]*ThetaJA_Q2, ThetaJA_Q3*Table1[[#This Row],[Total Sync Bo MOSFET Loss]])</f>
        <v>59.745755427802621</v>
      </c>
      <c r="BN100" s="9"/>
      <c r="BO100" s="4">
        <f>Table1[[#This Row],[EFF, h]]*100</f>
        <v>94.024588073516355</v>
      </c>
      <c r="BP100" s="354">
        <f>Table1[[#This Row],[Total Inductor Loss]]</f>
        <v>2.315845093518158</v>
      </c>
      <c r="BQ100" s="354">
        <f>Table1[[#This Row],[Total Control Bu MOSFET Loss]]+Table1[[#This Row],[Total Sync Bu MOSFET Loss]]+Table1[[#This Row],[Total Control Bo MOSFET Loss]]+Table1[[#This Row],[Total Sync Bo MOSFET Loss]]+Table1[[#This Row],[Reverse Recovery Loss MOSFET D BUCK]]+Table1[[#This Row],[Reverse Recovery Loss MOSFET D BOOST]]</f>
        <v>6.577097667357549</v>
      </c>
      <c r="BR100" s="354">
        <f>Table1[[#This Row],[Total Control Bu MOSFET Loss]]+Table1[[#This Row],[Reverse Recovery Loss MOSFET D BUCK]]*0.66</f>
        <v>4.7277081834041264</v>
      </c>
      <c r="BS100" s="354">
        <f>Table1[[#This Row],[Total Sync Bu MOSFET Loss]]+Table1[[#This Row],[Reverse Recovery Loss MOSFET D BUCK]]*0.33</f>
        <v>1.125213406463377</v>
      </c>
      <c r="BT100" s="354">
        <f xml:space="preserve"> Table1[[#This Row],[Total Control Bo MOSFET Loss]]+Table1[[#This Row],[Reverse Recovery Loss MOSFET D BOOST]]*0.66</f>
        <v>0</v>
      </c>
      <c r="BU100" s="354">
        <f xml:space="preserve"> Table1[[#This Row],[Total Sync Bo MOSFET Loss]]+Table1[[#This Row],[Reverse Recovery Loss MOSFET D BOOST]]*0.33</f>
        <v>0.72025332549004506</v>
      </c>
      <c r="BV100" s="354">
        <f>Table1[[#This Row],[Isense Shunt Loss]]</f>
        <v>0.20100546488930435</v>
      </c>
      <c r="CB100" s="18"/>
      <c r="CC100" s="19"/>
    </row>
    <row r="101" spans="7:81" x14ac:dyDescent="0.2">
      <c r="G101">
        <v>92</v>
      </c>
      <c r="H101" s="555">
        <f>VIN_min+(VIN_max-VIN_min)*(Table1[[#This Row],[Step]]/200)</f>
        <v>32.880000000000003</v>
      </c>
      <c r="I101" s="4" t="str">
        <f>IF(Mode = 2,IF(Table1[[#This Row],[Vin]]&gt;Vout, "BUCK","BOOST"),IF(Table1[[#This Row],[Vin]]&gt;VIN_BB_to_buck, "BUCK", IF(Table1[[#This Row],[Vin]]&lt;=VIN_boost_to_BB,"BOOST","BUCK-BST")))</f>
        <v>BUCK</v>
      </c>
      <c r="J101">
        <f>IF(Table1[[#This Row],[Mode]]="BOOST",2, IF(Table1[[#This Row],[Mode]]="BUCK", 1,3))</f>
        <v>1</v>
      </c>
      <c r="K101">
        <f t="shared" si="4"/>
        <v>12</v>
      </c>
      <c r="L101" s="4">
        <f>Vout*Table1[[#This Row],[Iout]]/(Table1[[#This Row],[Vin]]*Efficiency)</f>
        <v>5.6089127929312328</v>
      </c>
      <c r="M101" s="711">
        <f>MIN(1/Fsw,CHOOSE(Table1[[#This Row],[Mode Digit]],(Vout+(Rdson2+Rs+Rdcr)*Table1[[#This Row],[Iout]])/(Table1[[#This Row],[Vin]]+(Rs+Rdson2-Rdson1)*Table1[[#This Row],[Iout]])/Fsw,(Vout+(Rdson3+Rdcr)*Table1[[#This Row],[Iin]]-Table1[[#This Row],[Vin]])/(Vout+(Rdson3-Rdson4-Rs)*Table1[[#This Row],[Iin]])/Fsw,t1_Ph_II))</f>
        <v>7.4698673148992189E-7</v>
      </c>
      <c r="N101" s="602">
        <f>CHOOSE(Table1[[#This Row],[Mode Digit]],1/Fsw-Table1[[#This Row],[t1_Ph_II]],1/Fsw-Table1[[#This Row],[t1_Ph_II]],(Vout/Fsw-Table1[[#This Row],[Vin]]*t1_Ph_II)/(Table1[[#This Row],[Vin]]+Vout))</f>
        <v>9.1967993517674477E-7</v>
      </c>
      <c r="O101" s="602">
        <f>1/Fsw-(Table1[[#This Row],[t1_Ph_II]]+Table1[[#This Row],[t2_Ph_I]])</f>
        <v>0</v>
      </c>
      <c r="P10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9.413841391735648</v>
      </c>
      <c r="Q101" s="4">
        <f>CHOOSE(Table1[[#This Row],[Mode Digit]],Table1[[#This Row],[I_0]]+1/Lf*(Table1[[#This Row],[Vin]]-Vout)*Table1[[#This Row],[t1_Ph_II]],Table1[[#This Row],[I_0]]+1/Lf*Table1[[#This Row],[Vin]]*Table1[[#This Row],[t1_Ph_II]],Table1[[#This Row],[I_0]]+(Table1[[#This Row],[Vin]]-Vout)/L*Table1[[#This Row],[t1_Ph_II]])</f>
        <v>14.58615860826435</v>
      </c>
      <c r="R101" s="4">
        <f>CHOOSE(Table1[[#This Row],[Mode Digit]],0,0,Table1[[#This Row],[I_1]]+Table1[[#This Row],[Vin]]/L*Table1[[#This Row],[t2_Ph_I]])</f>
        <v>0</v>
      </c>
      <c r="S101" s="4">
        <f>Fsw*(Table1[[#This Row],[I_0]]*Table1[[#This Row],[t1_Ph_II]]+Table1[[#This Row],[I_1]]*Table1[[#This Row],[t2_Ph_I]]+Table1[[#This Row],[I_2]]*Table1[[#This Row],[t3_Ph_III]])</f>
        <v>12.267967209182054</v>
      </c>
      <c r="T101" s="354">
        <f>MIN(1,CHOOSE(Table1[[#This Row],[Mode Digit]],(Vout+(Rdson2+Rs+Rdcr)*Table1[[#This Row],[Iout]])/(Table1[[#This Row],[Vin]]+(Rs+Rdson2-Rdson1)*Table1[[#This Row],[Iout]]),1,Fsw*Table1[[#This Row],[t2_Ph_I]]+Table1[[#This Row],[t1_Ph_II]]))</f>
        <v>0.44819203889395315</v>
      </c>
      <c r="U101" s="354">
        <f>MIN(1,CHOOSE(Table1[[#This Row],[Mode Digit]],0,(Vout+(Rdson3+Rdcr)*Table1[[#This Row],[Iin]]-Table1[[#This Row],[Vin]])/(Vout+(Rdson3-Rdson4-Rs)*Table1[[#This Row],[Iin]]),Fsw*Table1[[#This Row],[t1_Ph_II]]+Table1[[#This Row],[t3_Ph_III]]))</f>
        <v>0</v>
      </c>
      <c r="V101" s="4">
        <f>MAX(Table1[[#This Row],[I_0]:[I_2]])-MIN(Table1[[#This Row],[I_0]:[I_1]])</f>
        <v>5.1723172165287021</v>
      </c>
      <c r="W10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12.092535112582194</v>
      </c>
      <c r="X101" s="354">
        <f>(Table1[[#This Row],[Irms Lf]]^2*Rdcr*(1+Ltc*Ta-Ltc*25))/(1-Table1[[#This Row],[Irms Lf]]^2*Rdcr*Ltc*ThetaCa)</f>
        <v>0.90986531749329647</v>
      </c>
      <c r="Y101" s="354">
        <f>ABS(7.759*10^-3*Fsw^0.9458*(0.00787*Table1[[#This Row],[Ripple Current pk-pk]])^2.304)</f>
        <v>1.4172209982203678</v>
      </c>
      <c r="Z101" s="354">
        <f>Table1[[#This Row],[DCR    Loss]]+Table1[[#This Row],[Core Loss]]</f>
        <v>2.3270863157136645</v>
      </c>
      <c r="AA101" s="4">
        <f>IF(Table1[[#This Row],[Vin]]&gt;Vout, Table1[[#This Row],[Ripple Current pk-pk]]/SQRT(12), SQRT(Table1[[#This Row],[Duty Cycle BOOST Leg]]/(1-Table1[[#This Row],[Duty Cycle BOOST Leg]]))*SQRT(Table1[[#This Row],[Iout]]^2+(Table1[[#This Row],[Ripple Current pk-pk]]^2)/12))</f>
        <v>1.4931193686484912</v>
      </c>
      <c r="AB101" s="354">
        <f>RCoutEsr*Table1[[#This Row],[Irms Cout]]^2</f>
        <v>1.1147027245166344E-2</v>
      </c>
      <c r="AC101" s="354">
        <f>Table1[[#This Row],[Cout ESR Loss]]</f>
        <v>1.1147027245166344E-2</v>
      </c>
      <c r="AD101" s="354">
        <f>IF(Table1[[#This Row],[Vin]]&gt;Vout, SQRT(Table1[[#This Row],[Duty Cycle BUCK Leg]]*(1-Table1[[#This Row],[Duty Cycle BUCK Leg]]))*SQRT(Table1[[#This Row],[Iout]]^2+(Table1[[#This Row],[Ripple Current pk-pk]]^2)/12), Table1[[#This Row],[Ripple Current pk-pk]]/SQRT(12))</f>
        <v>6.0137228201340358</v>
      </c>
      <c r="AE101" s="354">
        <f>RCinEsr*Table1[[#This Row],[Irms Cin]]^2</f>
        <v>7.2329724314801724E-2</v>
      </c>
      <c r="AF101" s="549">
        <f>Table1[[#This Row],[Cin ESR Loss]]</f>
        <v>7.2329724314801724E-2</v>
      </c>
      <c r="AG10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8.0956071652750516</v>
      </c>
      <c r="AH101" s="354">
        <f>Rdson1*Table1[[#This Row],[Irms BuCtrl]]^2</f>
        <v>0.2752631925727016</v>
      </c>
      <c r="AI101" s="354">
        <f>CHOOSE(Table1[[#This Row],[Mode Digit]], (Table1[[#This Row],[Vin]]*Table1[[#This Row],[Iout]]/2)*(Fsw)*(Tr_buck+Tf_buck), 0, (Table1[[#This Row],[Vin]]*Table1[[#This Row],[Avg IL]]/2)*(Fsw/1)*(Tr_buck+Tf_buck))</f>
        <v>3.9126017409577702</v>
      </c>
      <c r="AJ101">
        <f>IF(Table1[[#This Row],[Vin]]&gt;Vout, IF(Table1[[#This Row],[Iout]]&gt;Table1[[#This Row],[Ripple Current pk-pk]]/2,0,ABS(Table1[[#This Row],[Iout]]-Table1[[#This Row],[Ripple Current pk-pk]]/2)*Vsd_Q1*Deadtime*Fsw),0)</f>
        <v>0</v>
      </c>
      <c r="AK101" s="354">
        <f>(Table1[[#This Row],[Dead Time Loss BuCtrl]]+Table1[[#This Row],[Transition Loss BuCtrl]]+Table1[[#This Row],[RDS(on) Loss BuCtrl]]*(1+RdsonTopTc*Ta-RdsonTopTc*25))/(1-Table1[[#This Row],[RDS(on) Loss BuCtrl]]*RdsonTopTc*ThetaJA_Q1)</f>
        <v>4.48409869066748</v>
      </c>
      <c r="AL101" s="354">
        <f>CHOOSE(Table1[[#This Row],[Mode Digit]],SQRT((Fsw*(Table1[[#This Row],[t2_Ph_I]]+0))*((Table1[[#This Row],[I_0]]*Table1[[#This Row],[I_1]]+((Table1[[#This Row],[I_0]]-Table1[[#This Row],[I_1]])^2)/3))),0,SQRT((Fsw*(Table1[[#This Row],[t3_Ph_III]]+0))*((Table1[[#This Row],[I_0]]*Table1[[#This Row],[I_2]]+((Table1[[#This Row],[I_0]]-Table1[[#This Row],[I_2]])^2)/3))))</f>
        <v>8.9827918864115119</v>
      </c>
      <c r="AM101" s="354">
        <f>Rdson2*Table1[[#This Row],[Irms BuSync]]^2</f>
        <v>0.33890031031323808</v>
      </c>
      <c r="AN10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01" s="354">
        <f>(Table1[[#This Row],[Deadtime Loss BuSync]]+Table1[[#This Row],[RDS(on) Loss BuSync]]*(1+RdsonBotTc*Ta-RdsonBotTc*25))/(1-Table1[[#This Row],[RDS(on) Loss BuSync]]*RdsonBotTc*ThetaJA_Q2)</f>
        <v>0.9973960154810807</v>
      </c>
      <c r="AP101" s="354">
        <f>CHOOSE(Table1[[#This Row],[Mode Digit]],0,SQRT((Fsw*(Table1[[#This Row],[t1_Ph_II]]+0))*((Table1[[#This Row],[I_0]]*Table1[[#This Row],[I_1]]+((Table1[[#This Row],[I_0]]-Table1[[#This Row],[I_1]])^2)/3))),SQRT((Fsw*(Table1[[#This Row],[t2_Ph_I]]+0))*((Table1[[#This Row],[I_1]]*Table1[[#This Row],[I_2]]+((Table1[[#This Row],[I_1]]-Table1[[#This Row],[I_2]])^2)/3))))</f>
        <v>0</v>
      </c>
      <c r="AQ101" s="354">
        <f>Rdson4*Table1[[#This Row],[Irms BoCtlr]]^2</f>
        <v>0</v>
      </c>
      <c r="AR101" s="354">
        <f>CHOOSE(Table1[[#This Row],[Mode Digit]], 0, (Vout*Table1[[#This Row],[Iin]]/2)*(Fsw)*(Tr_boost+Tf_boost), (Vout*Iout/2)*(Fsw/1)*(Tr_boost+Tf_boost))</f>
        <v>0</v>
      </c>
      <c r="AS101">
        <f>IF(Table1[[#This Row],[Vin]]&gt;Vout, 0, IF(Table1[[#This Row],[Iin]]&gt;Table1[[#This Row],[Ripple Current pk-pk]]/2,0,ABS(Table1[[#This Row],[Iin]]-Table1[[#This Row],[Ripple Current pk-pk]]/2)*Vsd_Q4*Deadtime*Fsw))</f>
        <v>0</v>
      </c>
      <c r="AT101" s="354">
        <f>(Table1[[#This Row],[Dead Time Loss BoCtlr]]+Table1[[#This Row],[Transition Loss BoCtlr]]+Table1[[#This Row],[RDS(on) Loss BoCtlr]]*(1+RdsonTopTc*Ta-RdsonTopTc*25))/(1-Table1[[#This Row],[RDS(on) Loss BoCtlr]]*RdsonTopTc*ThetaJA_Q4)</f>
        <v>0</v>
      </c>
      <c r="AU10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12.092535112582194</v>
      </c>
      <c r="AV101" s="354">
        <f>Rdson3*Table1[[#This Row],[Irms BoSync]]^2</f>
        <v>0.61416350288593979</v>
      </c>
      <c r="AW10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01" s="354">
        <f>(Table1[[#This Row],[Deadtime Loss BoSync]]+Table1[[#This Row],[RDS(on) Loss BoSync]]*(1+RdsonBotTc*Ta-RdsonBotTc*25))/(1-Table1[[#This Row],[RDS(on) Loss BoSync]]*RdsonBotTc*ThetaJA_Q3)</f>
        <v>0.72034125724315157</v>
      </c>
      <c r="AY101" s="354">
        <f>CHOOSE(Table1[[#This Row],[Mode Digit]], Rdson3*Table1[[#This Row],[Irms Lf]]^2, Rdson1*Table1[[#This Row],[Irms Lf]]^2, 0)</f>
        <v>0.61416350288593979</v>
      </c>
      <c r="AZ101" s="354">
        <f>CHOOSE(Table1[[#This Row],[Mode Digit]], 2*Deadtime*Fsw*IF(VfdSky_Q2&gt;0,VfdSky_Q2,0)*Table1[[#This Row],[Iout]], 2*Deadtime*Fsw*IF(VfdSky_Q3&gt;0,VfdSky_Q3,0)*Table1[[#This Row],[Iin]], 2*Deadtime*Fsw*IF(VfdSky_Q2&gt;0,VfdSky_Q2,0)*Table1[[#This Row],[Iout]]+2*Deadtime*Fsw*IF(VfdSky_Q3&gt;0,VfdSky_Q3,0)*Table1[[#This Row],[Iin]])</f>
        <v>0</v>
      </c>
      <c r="BA101" s="354">
        <f>CHOOSE(Table1[[#This Row],[Mode Digit]], IF(QrrSky_Q2&gt;0,QrrSky_Q2,Qrr_Q2)*Fsw*(Table1[[#This Row],[Vin]]-Table1[[#This Row],[Iout]]*Rdson1),0,  IF(QrrSky_Q2&gt;0,QrrSky_Q2,Qrr_Q2)*Fsw*(Table1[[#This Row],[Vin]]-Table1[[#This Row],[Iout]]*Rdson1)+IF(QrrSky_Q3&gt;0,QrrSky_Q3,Qrr_Q3)*Fsw*Vout)</f>
        <v>0.39395520000000001</v>
      </c>
      <c r="BB101" s="354">
        <f>CHOOSE(Table1[[#This Row],[Mode Digit]],0, IF(QrrSky_Q3&gt;0,QrrSky_Q3,Qrr_Q3)*Fsw*Vout,  IF(QrrSky_Q2&gt;0,QrrSky_Q2,Qrr_Q2)*Fsw*(Table1[[#This Row],[Vin]]-Table1[[#This Row],[Iout]]*Rdson1)+IF(QrrSky_Q3&gt;0,QrrSky_Q3,Qrr_Q3)*Fsw*Vout)</f>
        <v>0</v>
      </c>
      <c r="BC101" s="354">
        <f>CHOOSE(Table1[[#This Row],[Mode Digit]], Rs*Table1[[#This Row],[Irms BuSync]]^2, Rs*Table1[[#This Row],[Irms BoCtlr]]^2, Rs*(Table1[[#This Row],[Irms BuSync]]^2+Table1[[#This Row],[Irms BoCtlr]]^2))</f>
        <v>0.20172637518645123</v>
      </c>
      <c r="BD101" s="354">
        <f t="shared" si="5"/>
        <v>1.44</v>
      </c>
      <c r="BE101" s="354">
        <f>IF(Vout&gt;8, Iq*Vout, Iq*Table1[[#This Row],[Vin]])</f>
        <v>4.3799999999999999E-2</v>
      </c>
      <c r="BF101" s="354">
        <f>CHOOSE(Table1[[#This Row],[Mode Digit]], (Qg_Q1+Qg_Q2)*Fsw, (Qg_Q3+Qg_Q4)*Fsw, (Qg_Q1+Qg_Q2+Qg_Q3+Qg_Q4)*Fsw)*IF(Vout&gt;8, Vout, Table1[[#This Row],[Vin]])</f>
        <v>0.47303999999999996</v>
      </c>
      <c r="BG101" s="354">
        <f t="shared" si="6"/>
        <v>0.45605042016806729</v>
      </c>
      <c r="BH101" s="354">
        <f>Table1[[#This Row],[IQ Loss]]+Table1[[#This Row],[Switching Current Loss]]</f>
        <v>0.51683999999999997</v>
      </c>
      <c r="BI10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11.164920605851796</v>
      </c>
      <c r="BJ101">
        <f>Vout*Table1[[#This Row],[Iout]]</f>
        <v>175.2</v>
      </c>
      <c r="BK101" s="550">
        <f>Table1[[#This Row],[Pout]]/(Table1[[#This Row],[Pout]]+Table1[[#This Row],[Total Loss]])</f>
        <v>0.94009108275551068</v>
      </c>
      <c r="BL10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269.0459214400488</v>
      </c>
      <c r="BM101" s="559">
        <f>IF(Table1[[#This Row],[Vin]]&gt;Vout, Table1[[#This Row],[Total Sync Bu MOSFET Loss]]*ThetaJA_Q2, ThetaJA_Q3*Table1[[#This Row],[Total Sync Bo MOSFET Loss]])</f>
        <v>59.843760928864839</v>
      </c>
      <c r="BN101" s="9"/>
      <c r="BO101" s="4">
        <f>Table1[[#This Row],[EFF, h]]*100</f>
        <v>94.009108275551071</v>
      </c>
      <c r="BP101" s="354">
        <f>Table1[[#This Row],[Total Inductor Loss]]</f>
        <v>2.3270863157136645</v>
      </c>
      <c r="BQ101" s="354">
        <f>Table1[[#This Row],[Total Control Bu MOSFET Loss]]+Table1[[#This Row],[Total Sync Bu MOSFET Loss]]+Table1[[#This Row],[Total Control Bo MOSFET Loss]]+Table1[[#This Row],[Total Sync Bo MOSFET Loss]]+Table1[[#This Row],[Reverse Recovery Loss MOSFET D BUCK]]+Table1[[#This Row],[Reverse Recovery Loss MOSFET D BOOST]]</f>
        <v>6.5957911633917119</v>
      </c>
      <c r="BR101" s="354">
        <f>Table1[[#This Row],[Total Control Bu MOSFET Loss]]+Table1[[#This Row],[Reverse Recovery Loss MOSFET D BUCK]]*0.66</f>
        <v>4.7441091226674796</v>
      </c>
      <c r="BS101" s="354">
        <f>Table1[[#This Row],[Total Sync Bu MOSFET Loss]]+Table1[[#This Row],[Reverse Recovery Loss MOSFET D BUCK]]*0.33</f>
        <v>1.1274012314810806</v>
      </c>
      <c r="BT101" s="354">
        <f xml:space="preserve"> Table1[[#This Row],[Total Control Bo MOSFET Loss]]+Table1[[#This Row],[Reverse Recovery Loss MOSFET D BOOST]]*0.66</f>
        <v>0</v>
      </c>
      <c r="BU101" s="354">
        <f xml:space="preserve"> Table1[[#This Row],[Total Sync Bo MOSFET Loss]]+Table1[[#This Row],[Reverse Recovery Loss MOSFET D BOOST]]*0.33</f>
        <v>0.72034125724315157</v>
      </c>
      <c r="BV101" s="354">
        <f>Table1[[#This Row],[Isense Shunt Loss]]</f>
        <v>0.20172637518645123</v>
      </c>
      <c r="CB101" s="18"/>
      <c r="CC101" s="19"/>
    </row>
    <row r="102" spans="7:81" x14ac:dyDescent="0.2">
      <c r="G102">
        <v>93</v>
      </c>
      <c r="H102" s="555">
        <f>VIN_min+(VIN_max-VIN_min)*(Table1[[#This Row],[Step]]/200)</f>
        <v>33.020000000000003</v>
      </c>
      <c r="I102" s="4" t="str">
        <f>IF(Mode = 2,IF(Table1[[#This Row],[Vin]]&gt;Vout, "BUCK","BOOST"),IF(Table1[[#This Row],[Vin]]&gt;VIN_BB_to_buck, "BUCK", IF(Table1[[#This Row],[Vin]]&lt;=VIN_boost_to_BB,"BOOST","BUCK-BST")))</f>
        <v>BUCK</v>
      </c>
      <c r="J102">
        <f>IF(Table1[[#This Row],[Mode]]="BOOST",2, IF(Table1[[#This Row],[Mode]]="BUCK", 1,3))</f>
        <v>1</v>
      </c>
      <c r="K102">
        <f t="shared" si="4"/>
        <v>12</v>
      </c>
      <c r="L102" s="4">
        <f>Vout*Table1[[#This Row],[Iout]]/(Table1[[#This Row],[Vin]]*Efficiency)</f>
        <v>5.5851318180369152</v>
      </c>
      <c r="M102" s="711">
        <f>MIN(1/Fsw,CHOOSE(Table1[[#This Row],[Mode Digit]],(Vout+(Rdson2+Rs+Rdcr)*Table1[[#This Row],[Iout]])/(Table1[[#This Row],[Vin]]+(Rs+Rdson2-Rdson1)*Table1[[#This Row],[Iout]])/Fsw,(Vout+(Rdson3+Rdcr)*Table1[[#This Row],[Iin]]-Table1[[#This Row],[Vin]])/(Vout+(Rdson3-Rdson4-Rs)*Table1[[#This Row],[Iin]])/Fsw,t1_Ph_II))</f>
        <v>7.438224911749873E-7</v>
      </c>
      <c r="N102" s="602">
        <f>CHOOSE(Table1[[#This Row],[Mode Digit]],1/Fsw-Table1[[#This Row],[t1_Ph_II]],1/Fsw-Table1[[#This Row],[t1_Ph_II]],(Vout/Fsw-Table1[[#This Row],[Vin]]*t1_Ph_II)/(Table1[[#This Row],[Vin]]+Vout))</f>
        <v>9.2284417549167936E-7</v>
      </c>
      <c r="O102" s="602">
        <f>1/Fsw-(Table1[[#This Row],[t1_Ph_II]]+Table1[[#This Row],[t2_Ph_I]])</f>
        <v>0</v>
      </c>
      <c r="P10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9.4050738091963506</v>
      </c>
      <c r="Q102" s="4">
        <f>CHOOSE(Table1[[#This Row],[Mode Digit]],Table1[[#This Row],[I_0]]+1/Lf*(Table1[[#This Row],[Vin]]-Vout)*Table1[[#This Row],[t1_Ph_II]],Table1[[#This Row],[I_0]]+1/Lf*Table1[[#This Row],[Vin]]*Table1[[#This Row],[t1_Ph_II]],Table1[[#This Row],[I_0]]+(Table1[[#This Row],[Vin]]-Vout)/L*Table1[[#This Row],[t1_Ph_II]])</f>
        <v>14.594926190803648</v>
      </c>
      <c r="R102" s="4">
        <f>CHOOSE(Table1[[#This Row],[Mode Digit]],0,0,Table1[[#This Row],[I_1]]+Table1[[#This Row],[Vin]]/L*Table1[[#This Row],[t2_Ph_I]])</f>
        <v>0</v>
      </c>
      <c r="S102" s="4">
        <f>Fsw*(Table1[[#This Row],[I_0]]*Table1[[#This Row],[t1_Ph_II]]+Table1[[#This Row],[I_1]]*Table1[[#This Row],[t2_Ph_I]]+Table1[[#This Row],[I_2]]*Table1[[#This Row],[t3_Ph_III]])</f>
        <v>12.2787288344131</v>
      </c>
      <c r="T102" s="354">
        <f>MIN(1,CHOOSE(Table1[[#This Row],[Mode Digit]],(Vout+(Rdson2+Rs+Rdcr)*Table1[[#This Row],[Iout]])/(Table1[[#This Row],[Vin]]+(Rs+Rdson2-Rdson1)*Table1[[#This Row],[Iout]]),1,Fsw*Table1[[#This Row],[t2_Ph_I]]+Table1[[#This Row],[t1_Ph_II]]))</f>
        <v>0.44629349470499236</v>
      </c>
      <c r="U102" s="354">
        <f>MIN(1,CHOOSE(Table1[[#This Row],[Mode Digit]],0,(Vout+(Rdson3+Rdcr)*Table1[[#This Row],[Iin]]-Table1[[#This Row],[Vin]])/(Vout+(Rdson3-Rdson4-Rs)*Table1[[#This Row],[Iin]]),Fsw*Table1[[#This Row],[t1_Ph_II]]+Table1[[#This Row],[t3_Ph_III]]))</f>
        <v>0</v>
      </c>
      <c r="V102" s="4">
        <f>MAX(Table1[[#This Row],[I_0]:[I_2]])-MIN(Table1[[#This Row],[I_0]:[I_1]])</f>
        <v>5.189852381607297</v>
      </c>
      <c r="W10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12.093161179439651</v>
      </c>
      <c r="X102" s="354">
        <f>(Table1[[#This Row],[Irms Lf]]^2*Rdcr*(1+Ltc*Ta-Ltc*25))/(1-Table1[[#This Row],[Irms Lf]]^2*Rdcr*Ltc*ThetaCa)</f>
        <v>0.90996639147667346</v>
      </c>
      <c r="Y102" s="354">
        <f>ABS(7.759*10^-3*Fsw^0.9458*(0.00787*Table1[[#This Row],[Ripple Current pk-pk]])^2.304)</f>
        <v>1.4283154027402558</v>
      </c>
      <c r="Z102" s="354">
        <f>Table1[[#This Row],[DCR    Loss]]+Table1[[#This Row],[Core Loss]]</f>
        <v>2.3382817942169294</v>
      </c>
      <c r="AA102" s="4">
        <f>IF(Table1[[#This Row],[Vin]]&gt;Vout, Table1[[#This Row],[Ripple Current pk-pk]]/SQRT(12), SQRT(Table1[[#This Row],[Duty Cycle BOOST Leg]]/(1-Table1[[#This Row],[Duty Cycle BOOST Leg]]))*SQRT(Table1[[#This Row],[Iout]]^2+(Table1[[#This Row],[Ripple Current pk-pk]]^2)/12))</f>
        <v>1.4981813347876967</v>
      </c>
      <c r="AB102" s="354">
        <f>RCoutEsr*Table1[[#This Row],[Irms Cout]]^2</f>
        <v>1.1222736559531222E-2</v>
      </c>
      <c r="AC102" s="354">
        <f>Table1[[#This Row],[Cout ESR Loss]]</f>
        <v>1.1222736559531222E-2</v>
      </c>
      <c r="AD102" s="354">
        <f>IF(Table1[[#This Row],[Vin]]&gt;Vout, SQRT(Table1[[#This Row],[Duty Cycle BUCK Leg]]*(1-Table1[[#This Row],[Duty Cycle BUCK Leg]]))*SQRT(Table1[[#This Row],[Iout]]^2+(Table1[[#This Row],[Ripple Current pk-pk]]^2)/12), Table1[[#This Row],[Ripple Current pk-pk]]/SQRT(12))</f>
        <v>6.0115980160573281</v>
      </c>
      <c r="AE102" s="354">
        <f>RCinEsr*Table1[[#This Row],[Irms Cin]]^2</f>
        <v>7.2278621413328803E-2</v>
      </c>
      <c r="AF102" s="549">
        <f>Table1[[#This Row],[Cin ESR Loss]]</f>
        <v>7.2278621413328803E-2</v>
      </c>
      <c r="AG10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8.0788606932772531</v>
      </c>
      <c r="AH102" s="354">
        <f>Rdson1*Table1[[#This Row],[Irms BuCtrl]]^2</f>
        <v>0.27412555842579694</v>
      </c>
      <c r="AI102" s="354">
        <f>CHOOSE(Table1[[#This Row],[Mode Digit]], (Table1[[#This Row],[Vin]]*Table1[[#This Row],[Iout]]/2)*(Fsw)*(Tr_buck+Tf_buck), 0, (Table1[[#This Row],[Vin]]*Table1[[#This Row],[Avg IL]]/2)*(Fsw/1)*(Tr_buck+Tf_buck))</f>
        <v>3.9292612374217022</v>
      </c>
      <c r="AJ102">
        <f>IF(Table1[[#This Row],[Vin]]&gt;Vout, IF(Table1[[#This Row],[Iout]]&gt;Table1[[#This Row],[Ripple Current pk-pk]]/2,0,ABS(Table1[[#This Row],[Iout]]-Table1[[#This Row],[Ripple Current pk-pk]]/2)*Vsd_Q1*Deadtime*Fsw),0)</f>
        <v>0</v>
      </c>
      <c r="AK102" s="354">
        <f>(Table1[[#This Row],[Dead Time Loss BuCtrl]]+Table1[[#This Row],[Transition Loss BuCtrl]]+Table1[[#This Row],[RDS(on) Loss BuCtrl]]*(1+RdsonTopTc*Ta-RdsonTopTc*25))/(1-Table1[[#This Row],[RDS(on) Loss BuCtrl]]*RdsonTopTc*ThetaJA_Q1)</f>
        <v>4.499403130845705</v>
      </c>
      <c r="AL102" s="354">
        <f>CHOOSE(Table1[[#This Row],[Mode Digit]],SQRT((Fsw*(Table1[[#This Row],[t2_Ph_I]]+0))*((Table1[[#This Row],[I_0]]*Table1[[#This Row],[I_1]]+((Table1[[#This Row],[I_0]]-Table1[[#This Row],[I_1]])^2)/3))),0,SQRT((Fsw*(Table1[[#This Row],[t3_Ph_III]]+0))*((Table1[[#This Row],[I_0]]*Table1[[#This Row],[I_2]]+((Table1[[#This Row],[I_0]]-Table1[[#This Row],[I_2]])^2)/3))))</f>
        <v>8.9986975285607862</v>
      </c>
      <c r="AM102" s="354">
        <f>Rdson2*Table1[[#This Row],[Irms BuSync]]^2</f>
        <v>0.34010154028420925</v>
      </c>
      <c r="AN10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02" s="354">
        <f>(Table1[[#This Row],[Deadtime Loss BuSync]]+Table1[[#This Row],[RDS(on) Loss BuSync]]*(1+RdsonBotTc*Ta-RdsonBotTc*25))/(1-Table1[[#This Row],[RDS(on) Loss BuSync]]*RdsonBotTc*ThetaJA_Q2)</f>
        <v>0.99901711081355027</v>
      </c>
      <c r="AP102" s="354">
        <f>CHOOSE(Table1[[#This Row],[Mode Digit]],0,SQRT((Fsw*(Table1[[#This Row],[t1_Ph_II]]+0))*((Table1[[#This Row],[I_0]]*Table1[[#This Row],[I_1]]+((Table1[[#This Row],[I_0]]-Table1[[#This Row],[I_1]])^2)/3))),SQRT((Fsw*(Table1[[#This Row],[t2_Ph_I]]+0))*((Table1[[#This Row],[I_1]]*Table1[[#This Row],[I_2]]+((Table1[[#This Row],[I_1]]-Table1[[#This Row],[I_2]])^2)/3))))</f>
        <v>0</v>
      </c>
      <c r="AQ102" s="354">
        <f>Rdson4*Table1[[#This Row],[Irms BoCtlr]]^2</f>
        <v>0</v>
      </c>
      <c r="AR102" s="354">
        <f>CHOOSE(Table1[[#This Row],[Mode Digit]], 0, (Vout*Table1[[#This Row],[Iin]]/2)*(Fsw)*(Tr_boost+Tf_boost), (Vout*Iout/2)*(Fsw/1)*(Tr_boost+Tf_boost))</f>
        <v>0</v>
      </c>
      <c r="AS102">
        <f>IF(Table1[[#This Row],[Vin]]&gt;Vout, 0, IF(Table1[[#This Row],[Iin]]&gt;Table1[[#This Row],[Ripple Current pk-pk]]/2,0,ABS(Table1[[#This Row],[Iin]]-Table1[[#This Row],[Ripple Current pk-pk]]/2)*Vsd_Q4*Deadtime*Fsw))</f>
        <v>0</v>
      </c>
      <c r="AT102" s="354">
        <f>(Table1[[#This Row],[Dead Time Loss BoCtlr]]+Table1[[#This Row],[Transition Loss BoCtlr]]+Table1[[#This Row],[RDS(on) Loss BoCtlr]]*(1+RdsonTopTc*Ta-RdsonTopTc*25))/(1-Table1[[#This Row],[RDS(on) Loss BoCtlr]]*RdsonTopTc*ThetaJA_Q4)</f>
        <v>0</v>
      </c>
      <c r="AU10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12.093161179439651</v>
      </c>
      <c r="AV102" s="354">
        <f>Rdson3*Table1[[#This Row],[Irms BoSync]]^2</f>
        <v>0.61422709871000625</v>
      </c>
      <c r="AW10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02" s="354">
        <f>(Table1[[#This Row],[Deadtime Loss BoSync]]+Table1[[#This Row],[RDS(on) Loss BoSync]]*(1+RdsonBotTc*Ta-RdsonBotTc*25))/(1-Table1[[#This Row],[RDS(on) Loss BoSync]]*RdsonBotTc*ThetaJA_Q3)</f>
        <v>0.72042874452905614</v>
      </c>
      <c r="AY102" s="354">
        <f>CHOOSE(Table1[[#This Row],[Mode Digit]], Rdson3*Table1[[#This Row],[Irms Lf]]^2, Rdson1*Table1[[#This Row],[Irms Lf]]^2, 0)</f>
        <v>0.61422709871000625</v>
      </c>
      <c r="AZ102" s="354">
        <f>CHOOSE(Table1[[#This Row],[Mode Digit]], 2*Deadtime*Fsw*IF(VfdSky_Q2&gt;0,VfdSky_Q2,0)*Table1[[#This Row],[Iout]], 2*Deadtime*Fsw*IF(VfdSky_Q3&gt;0,VfdSky_Q3,0)*Table1[[#This Row],[Iin]], 2*Deadtime*Fsw*IF(VfdSky_Q2&gt;0,VfdSky_Q2,0)*Table1[[#This Row],[Iout]]+2*Deadtime*Fsw*IF(VfdSky_Q3&gt;0,VfdSky_Q3,0)*Table1[[#This Row],[Iin]])</f>
        <v>0</v>
      </c>
      <c r="BA102" s="354">
        <f>CHOOSE(Table1[[#This Row],[Mode Digit]], IF(QrrSky_Q2&gt;0,QrrSky_Q2,Qrr_Q2)*Fsw*(Table1[[#This Row],[Vin]]-Table1[[#This Row],[Iout]]*Rdson1),0,  IF(QrrSky_Q2&gt;0,QrrSky_Q2,Qrr_Q2)*Fsw*(Table1[[#This Row],[Vin]]-Table1[[#This Row],[Iout]]*Rdson1)+IF(QrrSky_Q3&gt;0,QrrSky_Q3,Qrr_Q3)*Fsw*Vout)</f>
        <v>0.39563520000000002</v>
      </c>
      <c r="BB102" s="354">
        <f>CHOOSE(Table1[[#This Row],[Mode Digit]],0, IF(QrrSky_Q3&gt;0,QrrSky_Q3,Qrr_Q3)*Fsw*Vout,  IF(QrrSky_Q2&gt;0,QrrSky_Q2,Qrr_Q2)*Fsw*(Table1[[#This Row],[Vin]]-Table1[[#This Row],[Iout]]*Rdson1)+IF(QrrSky_Q3&gt;0,QrrSky_Q3,Qrr_Q3)*Fsw*Vout)</f>
        <v>0</v>
      </c>
      <c r="BC102" s="354">
        <f>CHOOSE(Table1[[#This Row],[Mode Digit]], Rs*Table1[[#This Row],[Irms BuSync]]^2, Rs*Table1[[#This Row],[Irms BoCtlr]]^2, Rs*(Table1[[#This Row],[Irms BuSync]]^2+Table1[[#This Row],[Irms BoCtlr]]^2))</f>
        <v>0.202441393026315</v>
      </c>
      <c r="BD102" s="354">
        <f t="shared" si="5"/>
        <v>1.44</v>
      </c>
      <c r="BE102" s="354">
        <f>IF(Vout&gt;8, Iq*Vout, Iq*Table1[[#This Row],[Vin]])</f>
        <v>4.3799999999999999E-2</v>
      </c>
      <c r="BF102" s="354">
        <f>CHOOSE(Table1[[#This Row],[Mode Digit]], (Qg_Q1+Qg_Q2)*Fsw, (Qg_Q3+Qg_Q4)*Fsw, (Qg_Q1+Qg_Q2+Qg_Q3+Qg_Q4)*Fsw)*IF(Vout&gt;8, Vout, Table1[[#This Row],[Vin]])</f>
        <v>0.47303999999999996</v>
      </c>
      <c r="BG102" s="354">
        <f t="shared" si="6"/>
        <v>0.45605042016806729</v>
      </c>
      <c r="BH102" s="354">
        <f>Table1[[#This Row],[IQ Loss]]+Table1[[#This Row],[Switching Current Loss]]</f>
        <v>0.51683999999999997</v>
      </c>
      <c r="BI10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11.195548731404415</v>
      </c>
      <c r="BJ102">
        <f>Vout*Table1[[#This Row],[Iout]]</f>
        <v>175.2</v>
      </c>
      <c r="BK102" s="550">
        <f>Table1[[#This Row],[Pout]]/(Table1[[#This Row],[Pout]]+Table1[[#This Row],[Total Loss]])</f>
        <v>0.93993660896088682</v>
      </c>
      <c r="BL10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269.96418785074229</v>
      </c>
      <c r="BM102" s="559">
        <f>IF(Table1[[#This Row],[Vin]]&gt;Vout, Table1[[#This Row],[Total Sync Bu MOSFET Loss]]*ThetaJA_Q2, ThetaJA_Q3*Table1[[#This Row],[Total Sync Bo MOSFET Loss]])</f>
        <v>59.941026648813015</v>
      </c>
      <c r="BN102" s="9"/>
      <c r="BO102" s="4">
        <f>Table1[[#This Row],[EFF, h]]*100</f>
        <v>93.993660896088684</v>
      </c>
      <c r="BP102" s="354">
        <f>Table1[[#This Row],[Total Inductor Loss]]</f>
        <v>2.3382817942169294</v>
      </c>
      <c r="BQ102" s="354">
        <f>Table1[[#This Row],[Total Control Bu MOSFET Loss]]+Table1[[#This Row],[Total Sync Bu MOSFET Loss]]+Table1[[#This Row],[Total Control Bo MOSFET Loss]]+Table1[[#This Row],[Total Sync Bo MOSFET Loss]]+Table1[[#This Row],[Reverse Recovery Loss MOSFET D BUCK]]+Table1[[#This Row],[Reverse Recovery Loss MOSFET D BOOST]]</f>
        <v>6.6144841861883119</v>
      </c>
      <c r="BR102" s="354">
        <f>Table1[[#This Row],[Total Control Bu MOSFET Loss]]+Table1[[#This Row],[Reverse Recovery Loss MOSFET D BUCK]]*0.66</f>
        <v>4.7605223628457054</v>
      </c>
      <c r="BS102" s="354">
        <f>Table1[[#This Row],[Total Sync Bu MOSFET Loss]]+Table1[[#This Row],[Reverse Recovery Loss MOSFET D BUCK]]*0.33</f>
        <v>1.1295767268135504</v>
      </c>
      <c r="BT102" s="354">
        <f xml:space="preserve"> Table1[[#This Row],[Total Control Bo MOSFET Loss]]+Table1[[#This Row],[Reverse Recovery Loss MOSFET D BOOST]]*0.66</f>
        <v>0</v>
      </c>
      <c r="BU102" s="354">
        <f xml:space="preserve"> Table1[[#This Row],[Total Sync Bo MOSFET Loss]]+Table1[[#This Row],[Reverse Recovery Loss MOSFET D BOOST]]*0.33</f>
        <v>0.72042874452905614</v>
      </c>
      <c r="BV102" s="354">
        <f>Table1[[#This Row],[Isense Shunt Loss]]</f>
        <v>0.202441393026315</v>
      </c>
      <c r="CB102" s="18"/>
      <c r="CC102" s="19"/>
    </row>
    <row r="103" spans="7:81" x14ac:dyDescent="0.2">
      <c r="G103">
        <v>94</v>
      </c>
      <c r="H103" s="555">
        <f>VIN_min+(VIN_max-VIN_min)*(Table1[[#This Row],[Step]]/200)</f>
        <v>33.159999999999997</v>
      </c>
      <c r="I103" s="4" t="str">
        <f>IF(Mode = 2,IF(Table1[[#This Row],[Vin]]&gt;Vout, "BUCK","BOOST"),IF(Table1[[#This Row],[Vin]]&gt;VIN_BB_to_buck, "BUCK", IF(Table1[[#This Row],[Vin]]&lt;=VIN_boost_to_BB,"BOOST","BUCK-BST")))</f>
        <v>BUCK</v>
      </c>
      <c r="J103">
        <f>IF(Table1[[#This Row],[Mode]]="BOOST",2, IF(Table1[[#This Row],[Mode]]="BUCK", 1,3))</f>
        <v>1</v>
      </c>
      <c r="K103">
        <f t="shared" si="4"/>
        <v>12</v>
      </c>
      <c r="L103" s="4">
        <f>Vout*Table1[[#This Row],[Iout]]/(Table1[[#This Row],[Vin]]*Efficiency)</f>
        <v>5.5615516475144444</v>
      </c>
      <c r="M103" s="711">
        <f>MIN(1/Fsw,CHOOSE(Table1[[#This Row],[Mode Digit]],(Vout+(Rdson2+Rs+Rdcr)*Table1[[#This Row],[Iout]])/(Table1[[#This Row],[Vin]]+(Rs+Rdson2-Rdson1)*Table1[[#This Row],[Iout]])/Fsw,(Vout+(Rdson3+Rdcr)*Table1[[#This Row],[Iin]]-Table1[[#This Row],[Vin]])/(Vout+(Rdson3-Rdson4-Rs)*Table1[[#This Row],[Iin]])/Fsw,t1_Ph_II))</f>
        <v>7.4068494526463806E-7</v>
      </c>
      <c r="N103" s="602">
        <f>CHOOSE(Table1[[#This Row],[Mode Digit]],1/Fsw-Table1[[#This Row],[t1_Ph_II]],1/Fsw-Table1[[#This Row],[t1_Ph_II]],(Vout/Fsw-Table1[[#This Row],[Vin]]*t1_Ph_II)/(Table1[[#This Row],[Vin]]+Vout))</f>
        <v>9.259817214020286E-7</v>
      </c>
      <c r="O103" s="602">
        <f>1/Fsw-(Table1[[#This Row],[t1_Ph_II]]+Table1[[#This Row],[t2_Ph_I]])</f>
        <v>0</v>
      </c>
      <c r="P10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9.3963801924030914</v>
      </c>
      <c r="Q103" s="4">
        <f>CHOOSE(Table1[[#This Row],[Mode Digit]],Table1[[#This Row],[I_0]]+1/Lf*(Table1[[#This Row],[Vin]]-Vout)*Table1[[#This Row],[t1_Ph_II]],Table1[[#This Row],[I_0]]+1/Lf*Table1[[#This Row],[Vin]]*Table1[[#This Row],[t1_Ph_II]],Table1[[#This Row],[I_0]]+(Table1[[#This Row],[Vin]]-Vout)/L*Table1[[#This Row],[t1_Ph_II]])</f>
        <v>14.60361980759691</v>
      </c>
      <c r="R103" s="4">
        <f>CHOOSE(Table1[[#This Row],[Mode Digit]],0,0,Table1[[#This Row],[I_1]]+Table1[[#This Row],[Vin]]/L*Table1[[#This Row],[t2_Ph_I]])</f>
        <v>0</v>
      </c>
      <c r="S103" s="4">
        <f>Fsw*(Table1[[#This Row],[I_0]]*Table1[[#This Row],[t1_Ph_II]]+Table1[[#This Row],[I_1]]*Table1[[#This Row],[t2_Ph_I]]+Table1[[#This Row],[I_2]]*Table1[[#This Row],[t3_Ph_III]])</f>
        <v>12.289465413981098</v>
      </c>
      <c r="T103" s="354">
        <f>MIN(1,CHOOSE(Table1[[#This Row],[Mode Digit]],(Vout+(Rdson2+Rs+Rdcr)*Table1[[#This Row],[Iout]])/(Table1[[#This Row],[Vin]]+(Rs+Rdson2-Rdson1)*Table1[[#This Row],[Iout]]),1,Fsw*Table1[[#This Row],[t2_Ph_I]]+Table1[[#This Row],[t1_Ph_II]]))</f>
        <v>0.44441096715878281</v>
      </c>
      <c r="U103" s="354">
        <f>MIN(1,CHOOSE(Table1[[#This Row],[Mode Digit]],0,(Vout+(Rdson3+Rdcr)*Table1[[#This Row],[Iin]]-Table1[[#This Row],[Vin]])/(Vout+(Rdson3-Rdson4-Rs)*Table1[[#This Row],[Iin]]),Fsw*Table1[[#This Row],[t1_Ph_II]]+Table1[[#This Row],[t3_Ph_III]]))</f>
        <v>0</v>
      </c>
      <c r="V103" s="4">
        <f>MAX(Table1[[#This Row],[I_0]:[I_2]])-MIN(Table1[[#This Row],[I_0]:[I_1]])</f>
        <v>5.2072396151938189</v>
      </c>
      <c r="W10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12.093784024620678</v>
      </c>
      <c r="X103" s="354">
        <f>(Table1[[#This Row],[Irms Lf]]^2*Rdcr*(1+Ltc*Ta-Ltc*25))/(1-Table1[[#This Row],[Irms Lf]]^2*Rdcr*Ltc*ThetaCa)</f>
        <v>0.91006695204808385</v>
      </c>
      <c r="Y103" s="354">
        <f>ABS(7.759*10^-3*Fsw^0.9458*(0.00787*Table1[[#This Row],[Ripple Current pk-pk]])^2.304)</f>
        <v>1.4393645819471474</v>
      </c>
      <c r="Z103" s="354">
        <f>Table1[[#This Row],[DCR    Loss]]+Table1[[#This Row],[Core Loss]]</f>
        <v>2.3494315339952312</v>
      </c>
      <c r="AA103" s="4">
        <f>IF(Table1[[#This Row],[Vin]]&gt;Vout, Table1[[#This Row],[Ripple Current pk-pk]]/SQRT(12), SQRT(Table1[[#This Row],[Duty Cycle BOOST Leg]]/(1-Table1[[#This Row],[Duty Cycle BOOST Leg]]))*SQRT(Table1[[#This Row],[Iout]]^2+(Table1[[#This Row],[Ripple Current pk-pk]]^2)/12))</f>
        <v>1.5032005967835174</v>
      </c>
      <c r="AB103" s="354">
        <f>RCoutEsr*Table1[[#This Row],[Irms Cout]]^2</f>
        <v>1.1298060170851615E-2</v>
      </c>
      <c r="AC103" s="354">
        <f>Table1[[#This Row],[Cout ESR Loss]]</f>
        <v>1.1298060170851615E-2</v>
      </c>
      <c r="AD103" s="354">
        <f>IF(Table1[[#This Row],[Vin]]&gt;Vout, SQRT(Table1[[#This Row],[Duty Cycle BUCK Leg]]*(1-Table1[[#This Row],[Duty Cycle BUCK Leg]]))*SQRT(Table1[[#This Row],[Iout]]^2+(Table1[[#This Row],[Ripple Current pk-pk]]^2)/12), Table1[[#This Row],[Ripple Current pk-pk]]/SQRT(12))</f>
        <v>6.0094043171780642</v>
      </c>
      <c r="AE103" s="354">
        <f>RCinEsr*Table1[[#This Row],[Irms Cin]]^2</f>
        <v>7.2225880494636713E-2</v>
      </c>
      <c r="AF103" s="549">
        <f>Table1[[#This Row],[Cin ESR Loss]]</f>
        <v>7.2225880494636713E-2</v>
      </c>
      <c r="AG10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8.062219027065316</v>
      </c>
      <c r="AH103" s="354">
        <f>Rdson1*Table1[[#This Row],[Irms BuCtrl]]^2</f>
        <v>0.27299737768957089</v>
      </c>
      <c r="AI103" s="354">
        <f>CHOOSE(Table1[[#This Row],[Mode Digit]], (Table1[[#This Row],[Vin]]*Table1[[#This Row],[Iout]]/2)*(Fsw)*(Tr_buck+Tf_buck), 0, (Table1[[#This Row],[Vin]]*Table1[[#This Row],[Avg IL]]/2)*(Fsw/1)*(Tr_buck+Tf_buck))</f>
        <v>3.9459207338856337</v>
      </c>
      <c r="AJ103">
        <f>IF(Table1[[#This Row],[Vin]]&gt;Vout, IF(Table1[[#This Row],[Iout]]&gt;Table1[[#This Row],[Ripple Current pk-pk]]/2,0,ABS(Table1[[#This Row],[Iout]]-Table1[[#This Row],[Ripple Current pk-pk]]/2)*Vsd_Q1*Deadtime*Fsw),0)</f>
        <v>0</v>
      </c>
      <c r="AK103" s="354">
        <f>(Table1[[#This Row],[Dead Time Loss BuCtrl]]+Table1[[#This Row],[Transition Loss BuCtrl]]+Table1[[#This Row],[RDS(on) Loss BuCtrl]]*(1+RdsonTopTc*Ta-RdsonTopTc*25))/(1-Table1[[#This Row],[RDS(on) Loss BuCtrl]]*RdsonTopTc*ThetaJA_Q1)</f>
        <v>4.5147197053077956</v>
      </c>
      <c r="AL103" s="354">
        <f>CHOOSE(Table1[[#This Row],[Mode Digit]],SQRT((Fsw*(Table1[[#This Row],[t2_Ph_I]]+0))*((Table1[[#This Row],[I_0]]*Table1[[#This Row],[I_1]]+((Table1[[#This Row],[I_0]]-Table1[[#This Row],[I_1]])^2)/3))),0,SQRT((Fsw*(Table1[[#This Row],[t3_Ph_III]]+0))*((Table1[[#This Row],[I_0]]*Table1[[#This Row],[I_2]]+((Table1[[#This Row],[I_0]]-Table1[[#This Row],[I_2]])^2)/3))))</f>
        <v>9.0144459837416715</v>
      </c>
      <c r="AM103" s="354">
        <f>Rdson2*Table1[[#This Row],[Irms BuSync]]^2</f>
        <v>0.34129299285394471</v>
      </c>
      <c r="AN10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03" s="354">
        <f>(Table1[[#This Row],[Deadtime Loss BuSync]]+Table1[[#This Row],[RDS(on) Loss BuSync]]*(1+RdsonBotTc*Ta-RdsonBotTc*25))/(1-Table1[[#This Row],[RDS(on) Loss BuSync]]*RdsonBotTc*ThetaJA_Q2)</f>
        <v>1.0006260169586552</v>
      </c>
      <c r="AP103" s="354">
        <f>CHOOSE(Table1[[#This Row],[Mode Digit]],0,SQRT((Fsw*(Table1[[#This Row],[t1_Ph_II]]+0))*((Table1[[#This Row],[I_0]]*Table1[[#This Row],[I_1]]+((Table1[[#This Row],[I_0]]-Table1[[#This Row],[I_1]])^2)/3))),SQRT((Fsw*(Table1[[#This Row],[t2_Ph_I]]+0))*((Table1[[#This Row],[I_1]]*Table1[[#This Row],[I_2]]+((Table1[[#This Row],[I_1]]-Table1[[#This Row],[I_2]])^2)/3))))</f>
        <v>0</v>
      </c>
      <c r="AQ103" s="354">
        <f>Rdson4*Table1[[#This Row],[Irms BoCtlr]]^2</f>
        <v>0</v>
      </c>
      <c r="AR103" s="354">
        <f>CHOOSE(Table1[[#This Row],[Mode Digit]], 0, (Vout*Table1[[#This Row],[Iin]]/2)*(Fsw)*(Tr_boost+Tf_boost), (Vout*Iout/2)*(Fsw/1)*(Tr_boost+Tf_boost))</f>
        <v>0</v>
      </c>
      <c r="AS103">
        <f>IF(Table1[[#This Row],[Vin]]&gt;Vout, 0, IF(Table1[[#This Row],[Iin]]&gt;Table1[[#This Row],[Ripple Current pk-pk]]/2,0,ABS(Table1[[#This Row],[Iin]]-Table1[[#This Row],[Ripple Current pk-pk]]/2)*Vsd_Q4*Deadtime*Fsw))</f>
        <v>0</v>
      </c>
      <c r="AT103" s="354">
        <f>(Table1[[#This Row],[Dead Time Loss BoCtlr]]+Table1[[#This Row],[Transition Loss BoCtlr]]+Table1[[#This Row],[RDS(on) Loss BoCtlr]]*(1+RdsonTopTc*Ta-RdsonTopTc*25))/(1-Table1[[#This Row],[RDS(on) Loss BoCtlr]]*RdsonTopTc*ThetaJA_Q4)</f>
        <v>0</v>
      </c>
      <c r="AU10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12.093784024620678</v>
      </c>
      <c r="AV103" s="354">
        <f>Rdson3*Table1[[#This Row],[Irms BoSync]]^2</f>
        <v>0.61429037054351543</v>
      </c>
      <c r="AW10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03" s="354">
        <f>(Table1[[#This Row],[Deadtime Loss BoSync]]+Table1[[#This Row],[RDS(on) Loss BoSync]]*(1+RdsonBotTc*Ta-RdsonBotTc*25))/(1-Table1[[#This Row],[RDS(on) Loss BoSync]]*RdsonBotTc*ThetaJA_Q3)</f>
        <v>0.72051578921729431</v>
      </c>
      <c r="AY103" s="354">
        <f>CHOOSE(Table1[[#This Row],[Mode Digit]], Rdson3*Table1[[#This Row],[Irms Lf]]^2, Rdson1*Table1[[#This Row],[Irms Lf]]^2, 0)</f>
        <v>0.61429037054351543</v>
      </c>
      <c r="AZ103" s="354">
        <f>CHOOSE(Table1[[#This Row],[Mode Digit]], 2*Deadtime*Fsw*IF(VfdSky_Q2&gt;0,VfdSky_Q2,0)*Table1[[#This Row],[Iout]], 2*Deadtime*Fsw*IF(VfdSky_Q3&gt;0,VfdSky_Q3,0)*Table1[[#This Row],[Iin]], 2*Deadtime*Fsw*IF(VfdSky_Q2&gt;0,VfdSky_Q2,0)*Table1[[#This Row],[Iout]]+2*Deadtime*Fsw*IF(VfdSky_Q3&gt;0,VfdSky_Q3,0)*Table1[[#This Row],[Iin]])</f>
        <v>0</v>
      </c>
      <c r="BA103" s="354">
        <f>CHOOSE(Table1[[#This Row],[Mode Digit]], IF(QrrSky_Q2&gt;0,QrrSky_Q2,Qrr_Q2)*Fsw*(Table1[[#This Row],[Vin]]-Table1[[#This Row],[Iout]]*Rdson1),0,  IF(QrrSky_Q2&gt;0,QrrSky_Q2,Qrr_Q2)*Fsw*(Table1[[#This Row],[Vin]]-Table1[[#This Row],[Iout]]*Rdson1)+IF(QrrSky_Q3&gt;0,QrrSky_Q3,Qrr_Q3)*Fsw*Vout)</f>
        <v>0.39731519999999992</v>
      </c>
      <c r="BB103" s="354">
        <f>CHOOSE(Table1[[#This Row],[Mode Digit]],0, IF(QrrSky_Q3&gt;0,QrrSky_Q3,Qrr_Q3)*Fsw*Vout,  IF(QrrSky_Q2&gt;0,QrrSky_Q2,Qrr_Q2)*Fsw*(Table1[[#This Row],[Vin]]-Table1[[#This Row],[Iout]]*Rdson1)+IF(QrrSky_Q3&gt;0,QrrSky_Q3,Qrr_Q3)*Fsw*Vout)</f>
        <v>0</v>
      </c>
      <c r="BC103" s="354">
        <f>CHOOSE(Table1[[#This Row],[Mode Digit]], Rs*Table1[[#This Row],[Irms BuSync]]^2, Rs*Table1[[#This Row],[Irms BoCtlr]]^2, Rs*(Table1[[#This Row],[Irms BuSync]]^2+Table1[[#This Row],[Irms BoCtlr]]^2))</f>
        <v>0.20315059098449087</v>
      </c>
      <c r="BD103" s="354">
        <f t="shared" si="5"/>
        <v>1.44</v>
      </c>
      <c r="BE103" s="354">
        <f>IF(Vout&gt;8, Iq*Vout, Iq*Table1[[#This Row],[Vin]])</f>
        <v>4.3799999999999999E-2</v>
      </c>
      <c r="BF103" s="354">
        <f>CHOOSE(Table1[[#This Row],[Mode Digit]], (Qg_Q1+Qg_Q2)*Fsw, (Qg_Q3+Qg_Q4)*Fsw, (Qg_Q1+Qg_Q2+Qg_Q3+Qg_Q4)*Fsw)*IF(Vout&gt;8, Vout, Table1[[#This Row],[Vin]])</f>
        <v>0.47303999999999996</v>
      </c>
      <c r="BG103" s="354">
        <f t="shared" si="6"/>
        <v>0.45605042016806729</v>
      </c>
      <c r="BH103" s="354">
        <f>Table1[[#This Row],[IQ Loss]]+Table1[[#This Row],[Switching Current Loss]]</f>
        <v>0.51683999999999997</v>
      </c>
      <c r="BI10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11.226122777128955</v>
      </c>
      <c r="BJ103">
        <f>Vout*Table1[[#This Row],[Iout]]</f>
        <v>175.2</v>
      </c>
      <c r="BK103" s="550">
        <f>Table1[[#This Row],[Pout]]/(Table1[[#This Row],[Pout]]+Table1[[#This Row],[Total Loss]])</f>
        <v>0.9397824585423058</v>
      </c>
      <c r="BL10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270.88318231846773</v>
      </c>
      <c r="BM103" s="559">
        <f>IF(Table1[[#This Row],[Vin]]&gt;Vout, Table1[[#This Row],[Total Sync Bu MOSFET Loss]]*ThetaJA_Q2, ThetaJA_Q3*Table1[[#This Row],[Total Sync Bo MOSFET Loss]])</f>
        <v>60.037561017519309</v>
      </c>
      <c r="BN103" s="9"/>
      <c r="BO103" s="4">
        <f>Table1[[#This Row],[EFF, h]]*100</f>
        <v>93.978245854230579</v>
      </c>
      <c r="BP103" s="354">
        <f>Table1[[#This Row],[Total Inductor Loss]]</f>
        <v>2.3494315339952312</v>
      </c>
      <c r="BQ103" s="354">
        <f>Table1[[#This Row],[Total Control Bu MOSFET Loss]]+Table1[[#This Row],[Total Sync Bu MOSFET Loss]]+Table1[[#This Row],[Total Control Bo MOSFET Loss]]+Table1[[#This Row],[Total Sync Bo MOSFET Loss]]+Table1[[#This Row],[Reverse Recovery Loss MOSFET D BUCK]]+Table1[[#This Row],[Reverse Recovery Loss MOSFET D BOOST]]</f>
        <v>6.6331767114837445</v>
      </c>
      <c r="BR103" s="354">
        <f>Table1[[#This Row],[Total Control Bu MOSFET Loss]]+Table1[[#This Row],[Reverse Recovery Loss MOSFET D BUCK]]*0.66</f>
        <v>4.776947737307796</v>
      </c>
      <c r="BS103" s="354">
        <f>Table1[[#This Row],[Total Sync Bu MOSFET Loss]]+Table1[[#This Row],[Reverse Recovery Loss MOSFET D BUCK]]*0.33</f>
        <v>1.1317400329586551</v>
      </c>
      <c r="BT103" s="354">
        <f xml:space="preserve"> Table1[[#This Row],[Total Control Bo MOSFET Loss]]+Table1[[#This Row],[Reverse Recovery Loss MOSFET D BOOST]]*0.66</f>
        <v>0</v>
      </c>
      <c r="BU103" s="354">
        <f xml:space="preserve"> Table1[[#This Row],[Total Sync Bo MOSFET Loss]]+Table1[[#This Row],[Reverse Recovery Loss MOSFET D BOOST]]*0.33</f>
        <v>0.72051578921729431</v>
      </c>
      <c r="BV103" s="354">
        <f>Table1[[#This Row],[Isense Shunt Loss]]</f>
        <v>0.20315059098449087</v>
      </c>
      <c r="CB103" s="18"/>
      <c r="CC103" s="19"/>
    </row>
    <row r="104" spans="7:81" x14ac:dyDescent="0.2">
      <c r="G104">
        <v>95</v>
      </c>
      <c r="H104" s="555">
        <f>VIN_min+(VIN_max-VIN_min)*(Table1[[#This Row],[Step]]/200)</f>
        <v>33.299999999999997</v>
      </c>
      <c r="I104" s="4" t="str">
        <f>IF(Mode = 2,IF(Table1[[#This Row],[Vin]]&gt;Vout, "BUCK","BOOST"),IF(Table1[[#This Row],[Vin]]&gt;VIN_BB_to_buck, "BUCK", IF(Table1[[#This Row],[Vin]]&lt;=VIN_boost_to_BB,"BOOST","BUCK-BST")))</f>
        <v>BUCK</v>
      </c>
      <c r="J104">
        <f>IF(Table1[[#This Row],[Mode]]="BOOST",2, IF(Table1[[#This Row],[Mode]]="BUCK", 1,3))</f>
        <v>1</v>
      </c>
      <c r="K104">
        <f t="shared" si="4"/>
        <v>12</v>
      </c>
      <c r="L104" s="4">
        <f>Vout*Table1[[#This Row],[Iout]]/(Table1[[#This Row],[Vin]]*Efficiency)</f>
        <v>5.538169748696065</v>
      </c>
      <c r="M104" s="711">
        <f>MIN(1/Fsw,CHOOSE(Table1[[#This Row],[Mode Digit]],(Vout+(Rdson2+Rs+Rdcr)*Table1[[#This Row],[Iout]])/(Table1[[#This Row],[Vin]]+(Rs+Rdson2-Rdson1)*Table1[[#This Row],[Iout]])/Fsw,(Vout+(Rdson3+Rdcr)*Table1[[#This Row],[Iin]]-Table1[[#This Row],[Vin]])/(Vout+(Rdson3-Rdson4-Rs)*Table1[[#This Row],[Iin]])/Fsw,t1_Ph_II))</f>
        <v>7.375737573757376E-7</v>
      </c>
      <c r="N104" s="602">
        <f>CHOOSE(Table1[[#This Row],[Mode Digit]],1/Fsw-Table1[[#This Row],[t1_Ph_II]],1/Fsw-Table1[[#This Row],[t1_Ph_II]],(Vout/Fsw-Table1[[#This Row],[Vin]]*t1_Ph_II)/(Table1[[#This Row],[Vin]]+Vout))</f>
        <v>9.2909290929092906E-7</v>
      </c>
      <c r="O104" s="602">
        <f>1/Fsw-(Table1[[#This Row],[t1_Ph_II]]+Table1[[#This Row],[t2_Ph_I]])</f>
        <v>0</v>
      </c>
      <c r="P10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9.3877596092942639</v>
      </c>
      <c r="Q104" s="4">
        <f>CHOOSE(Table1[[#This Row],[Mode Digit]],Table1[[#This Row],[I_0]]+1/Lf*(Table1[[#This Row],[Vin]]-Vout)*Table1[[#This Row],[t1_Ph_II]],Table1[[#This Row],[I_0]]+1/Lf*Table1[[#This Row],[Vin]]*Table1[[#This Row],[t1_Ph_II]],Table1[[#This Row],[I_0]]+(Table1[[#This Row],[Vin]]-Vout)/L*Table1[[#This Row],[t1_Ph_II]])</f>
        <v>14.612240390705738</v>
      </c>
      <c r="R104" s="4">
        <f>CHOOSE(Table1[[#This Row],[Mode Digit]],0,0,Table1[[#This Row],[I_1]]+Table1[[#This Row],[Vin]]/L*Table1[[#This Row],[t2_Ph_I]])</f>
        <v>0</v>
      </c>
      <c r="S104" s="4">
        <f>Fsw*(Table1[[#This Row],[I_0]]*Table1[[#This Row],[t1_Ph_II]]+Table1[[#This Row],[I_1]]*Table1[[#This Row],[t2_Ph_I]]+Table1[[#This Row],[I_2]]*Table1[[#This Row],[t3_Ph_III]])</f>
        <v>12.300176438535944</v>
      </c>
      <c r="T104" s="354">
        <f>MIN(1,CHOOSE(Table1[[#This Row],[Mode Digit]],(Vout+(Rdson2+Rs+Rdcr)*Table1[[#This Row],[Iout]])/(Table1[[#This Row],[Vin]]+(Rs+Rdson2-Rdson1)*Table1[[#This Row],[Iout]]),1,Fsw*Table1[[#This Row],[t2_Ph_I]]+Table1[[#This Row],[t1_Ph_II]]))</f>
        <v>0.44254425442544254</v>
      </c>
      <c r="U104" s="354">
        <f>MIN(1,CHOOSE(Table1[[#This Row],[Mode Digit]],0,(Vout+(Rdson3+Rdcr)*Table1[[#This Row],[Iin]]-Table1[[#This Row],[Vin]])/(Vout+(Rdson3-Rdson4-Rs)*Table1[[#This Row],[Iin]]),Fsw*Table1[[#This Row],[t1_Ph_II]]+Table1[[#This Row],[t3_Ph_III]]))</f>
        <v>0</v>
      </c>
      <c r="V104" s="4">
        <f>MAX(Table1[[#This Row],[I_0]:[I_2]])-MIN(Table1[[#This Row],[I_0]:[I_1]])</f>
        <v>5.224480781411474</v>
      </c>
      <c r="W10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12.094403662560005</v>
      </c>
      <c r="X104" s="354">
        <f>(Table1[[#This Row],[Irms Lf]]^2*Rdcr*(1+Ltc*Ta-Ltc*25))/(1-Table1[[#This Row],[Irms Lf]]^2*Rdcr*Ltc*ThetaCa)</f>
        <v>0.91016700143479434</v>
      </c>
      <c r="Y104" s="354">
        <f>ABS(7.759*10^-3*Fsw^0.9458*(0.00787*Table1[[#This Row],[Ripple Current pk-pk]])^2.304)</f>
        <v>1.4503685471570169</v>
      </c>
      <c r="Z104" s="354">
        <f>Table1[[#This Row],[DCR    Loss]]+Table1[[#This Row],[Core Loss]]</f>
        <v>2.3605355485918111</v>
      </c>
      <c r="AA104" s="4">
        <f>IF(Table1[[#This Row],[Vin]]&gt;Vout, Table1[[#This Row],[Ripple Current pk-pk]]/SQRT(12), SQRT(Table1[[#This Row],[Duty Cycle BOOST Leg]]/(1-Table1[[#This Row],[Duty Cycle BOOST Leg]]))*SQRT(Table1[[#This Row],[Iout]]^2+(Table1[[#This Row],[Ripple Current pk-pk]]^2)/12))</f>
        <v>1.5081776927619706</v>
      </c>
      <c r="AB104" s="354">
        <f>RCoutEsr*Table1[[#This Row],[Irms Cout]]^2</f>
        <v>1.1372999764724103E-2</v>
      </c>
      <c r="AC104" s="354">
        <f>Table1[[#This Row],[Cout ESR Loss]]</f>
        <v>1.1372999764724103E-2</v>
      </c>
      <c r="AD104" s="354">
        <f>IF(Table1[[#This Row],[Vin]]&gt;Vout, SQRT(Table1[[#This Row],[Duty Cycle BUCK Leg]]*(1-Table1[[#This Row],[Duty Cycle BUCK Leg]]))*SQRT(Table1[[#This Row],[Iout]]^2+(Table1[[#This Row],[Ripple Current pk-pk]]^2)/12), Table1[[#This Row],[Ripple Current pk-pk]]/SQRT(12))</f>
        <v>6.00714355871267</v>
      </c>
      <c r="AE104" s="354">
        <f>RCinEsr*Table1[[#This Row],[Irms Cin]]^2</f>
        <v>7.2171547469966249E-2</v>
      </c>
      <c r="AF104" s="549">
        <f>Table1[[#This Row],[Cin ESR Loss]]</f>
        <v>7.2171547469966249E-2</v>
      </c>
      <c r="AG10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8.0456810636238778</v>
      </c>
      <c r="AH104" s="354">
        <f>Rdson1*Table1[[#This Row],[Irms BuCtrl]]^2</f>
        <v>0.27187853186573463</v>
      </c>
      <c r="AI104" s="354">
        <f>CHOOSE(Table1[[#This Row],[Mode Digit]], (Table1[[#This Row],[Vin]]*Table1[[#This Row],[Iout]]/2)*(Fsw)*(Tr_buck+Tf_buck), 0, (Table1[[#This Row],[Vin]]*Table1[[#This Row],[Avg IL]]/2)*(Fsw/1)*(Tr_buck+Tf_buck))</f>
        <v>3.9625802303495656</v>
      </c>
      <c r="AJ104">
        <f>IF(Table1[[#This Row],[Vin]]&gt;Vout, IF(Table1[[#This Row],[Iout]]&gt;Table1[[#This Row],[Ripple Current pk-pk]]/2,0,ABS(Table1[[#This Row],[Iout]]-Table1[[#This Row],[Ripple Current pk-pk]]/2)*Vsd_Q1*Deadtime*Fsw),0)</f>
        <v>0</v>
      </c>
      <c r="AK104" s="354">
        <f>(Table1[[#This Row],[Dead Time Loss BuCtrl]]+Table1[[#This Row],[Transition Loss BuCtrl]]+Table1[[#This Row],[RDS(on) Loss BuCtrl]]*(1+RdsonTopTc*Ta-RdsonTopTc*25))/(1-Table1[[#This Row],[RDS(on) Loss BuCtrl]]*RdsonTopTc*ThetaJA_Q1)</f>
        <v>4.5300482504419648</v>
      </c>
      <c r="AL104" s="354">
        <f>CHOOSE(Table1[[#This Row],[Mode Digit]],SQRT((Fsw*(Table1[[#This Row],[t2_Ph_I]]+0))*((Table1[[#This Row],[I_0]]*Table1[[#This Row],[I_1]]+((Table1[[#This Row],[I_0]]-Table1[[#This Row],[I_1]])^2)/3))),0,SQRT((Fsw*(Table1[[#This Row],[t3_Ph_III]]+0))*((Table1[[#This Row],[I_0]]*Table1[[#This Row],[I_2]]+((Table1[[#This Row],[I_0]]-Table1[[#This Row],[I_2]])^2)/3))))</f>
        <v>9.0300396552500803</v>
      </c>
      <c r="AM104" s="354">
        <f>Rdson2*Table1[[#This Row],[Irms BuSync]]^2</f>
        <v>0.34247478793663383</v>
      </c>
      <c r="AN10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04" s="354">
        <f>(Table1[[#This Row],[Deadtime Loss BuSync]]+Table1[[#This Row],[RDS(on) Loss BuSync]]*(1+RdsonBotTc*Ta-RdsonBotTc*25))/(1-Table1[[#This Row],[RDS(on) Loss BuSync]]*RdsonBotTc*ThetaJA_Q2)</f>
        <v>1.0022228722624618</v>
      </c>
      <c r="AP104" s="354">
        <f>CHOOSE(Table1[[#This Row],[Mode Digit]],0,SQRT((Fsw*(Table1[[#This Row],[t1_Ph_II]]+0))*((Table1[[#This Row],[I_0]]*Table1[[#This Row],[I_1]]+((Table1[[#This Row],[I_0]]-Table1[[#This Row],[I_1]])^2)/3))),SQRT((Fsw*(Table1[[#This Row],[t2_Ph_I]]+0))*((Table1[[#This Row],[I_1]]*Table1[[#This Row],[I_2]]+((Table1[[#This Row],[I_1]]-Table1[[#This Row],[I_2]])^2)/3))))</f>
        <v>0</v>
      </c>
      <c r="AQ104" s="354">
        <f>Rdson4*Table1[[#This Row],[Irms BoCtlr]]^2</f>
        <v>0</v>
      </c>
      <c r="AR104" s="354">
        <f>CHOOSE(Table1[[#This Row],[Mode Digit]], 0, (Vout*Table1[[#This Row],[Iin]]/2)*(Fsw)*(Tr_boost+Tf_boost), (Vout*Iout/2)*(Fsw/1)*(Tr_boost+Tf_boost))</f>
        <v>0</v>
      </c>
      <c r="AS104">
        <f>IF(Table1[[#This Row],[Vin]]&gt;Vout, 0, IF(Table1[[#This Row],[Iin]]&gt;Table1[[#This Row],[Ripple Current pk-pk]]/2,0,ABS(Table1[[#This Row],[Iin]]-Table1[[#This Row],[Ripple Current pk-pk]]/2)*Vsd_Q4*Deadtime*Fsw))</f>
        <v>0</v>
      </c>
      <c r="AT104" s="354">
        <f>(Table1[[#This Row],[Dead Time Loss BoCtlr]]+Table1[[#This Row],[Transition Loss BoCtlr]]+Table1[[#This Row],[RDS(on) Loss BoCtlr]]*(1+RdsonTopTc*Ta-RdsonTopTc*25))/(1-Table1[[#This Row],[RDS(on) Loss BoCtlr]]*RdsonTopTc*ThetaJA_Q4)</f>
        <v>0</v>
      </c>
      <c r="AU10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12.094403662560005</v>
      </c>
      <c r="AV104" s="354">
        <f>Rdson3*Table1[[#This Row],[Irms BoSync]]^2</f>
        <v>0.61435331980236851</v>
      </c>
      <c r="AW10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04" s="354">
        <f>(Table1[[#This Row],[Deadtime Loss BoSync]]+Table1[[#This Row],[RDS(on) Loss BoSync]]*(1+RdsonBotTc*Ta-RdsonBotTc*25))/(1-Table1[[#This Row],[RDS(on) Loss BoSync]]*RdsonBotTc*ThetaJA_Q3)</f>
        <v>0.7206023932083947</v>
      </c>
      <c r="AY104" s="354">
        <f>CHOOSE(Table1[[#This Row],[Mode Digit]], Rdson3*Table1[[#This Row],[Irms Lf]]^2, Rdson1*Table1[[#This Row],[Irms Lf]]^2, 0)</f>
        <v>0.61435331980236851</v>
      </c>
      <c r="AZ104" s="354">
        <f>CHOOSE(Table1[[#This Row],[Mode Digit]], 2*Deadtime*Fsw*IF(VfdSky_Q2&gt;0,VfdSky_Q2,0)*Table1[[#This Row],[Iout]], 2*Deadtime*Fsw*IF(VfdSky_Q3&gt;0,VfdSky_Q3,0)*Table1[[#This Row],[Iin]], 2*Deadtime*Fsw*IF(VfdSky_Q2&gt;0,VfdSky_Q2,0)*Table1[[#This Row],[Iout]]+2*Deadtime*Fsw*IF(VfdSky_Q3&gt;0,VfdSky_Q3,0)*Table1[[#This Row],[Iin]])</f>
        <v>0</v>
      </c>
      <c r="BA104" s="354">
        <f>CHOOSE(Table1[[#This Row],[Mode Digit]], IF(QrrSky_Q2&gt;0,QrrSky_Q2,Qrr_Q2)*Fsw*(Table1[[#This Row],[Vin]]-Table1[[#This Row],[Iout]]*Rdson1),0,  IF(QrrSky_Q2&gt;0,QrrSky_Q2,Qrr_Q2)*Fsw*(Table1[[#This Row],[Vin]]-Table1[[#This Row],[Iout]]*Rdson1)+IF(QrrSky_Q3&gt;0,QrrSky_Q3,Qrr_Q3)*Fsw*Vout)</f>
        <v>0.39899519999999994</v>
      </c>
      <c r="BB104" s="354">
        <f>CHOOSE(Table1[[#This Row],[Mode Digit]],0, IF(QrrSky_Q3&gt;0,QrrSky_Q3,Qrr_Q3)*Fsw*Vout,  IF(QrrSky_Q2&gt;0,QrrSky_Q2,Qrr_Q2)*Fsw*(Table1[[#This Row],[Vin]]-Table1[[#This Row],[Iout]]*Rdson1)+IF(QrrSky_Q3&gt;0,QrrSky_Q3,Qrr_Q3)*Fsw*Vout)</f>
        <v>0</v>
      </c>
      <c r="BC104" s="354">
        <f>CHOOSE(Table1[[#This Row],[Mode Digit]], Rs*Table1[[#This Row],[Irms BuSync]]^2, Rs*Table1[[#This Row],[Irms BoCtlr]]^2, Rs*(Table1[[#This Row],[Irms BuSync]]^2+Table1[[#This Row],[Irms BoCtlr]]^2))</f>
        <v>0.20385404043847249</v>
      </c>
      <c r="BD104" s="354">
        <f t="shared" si="5"/>
        <v>1.44</v>
      </c>
      <c r="BE104" s="354">
        <f>IF(Vout&gt;8, Iq*Vout, Iq*Table1[[#This Row],[Vin]])</f>
        <v>4.3799999999999999E-2</v>
      </c>
      <c r="BF104" s="354">
        <f>CHOOSE(Table1[[#This Row],[Mode Digit]], (Qg_Q1+Qg_Q2)*Fsw, (Qg_Q3+Qg_Q4)*Fsw, (Qg_Q1+Qg_Q2+Qg_Q3+Qg_Q4)*Fsw)*IF(Vout&gt;8, Vout, Table1[[#This Row],[Vin]])</f>
        <v>0.47303999999999996</v>
      </c>
      <c r="BG104" s="354">
        <f t="shared" si="6"/>
        <v>0.45605042016806729</v>
      </c>
      <c r="BH104" s="354">
        <f>Table1[[#This Row],[IQ Loss]]+Table1[[#This Row],[Switching Current Loss]]</f>
        <v>0.51683999999999997</v>
      </c>
      <c r="BI10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11.256642852177794</v>
      </c>
      <c r="BJ104">
        <f>Vout*Table1[[#This Row],[Iout]]</f>
        <v>175.2</v>
      </c>
      <c r="BK104" s="550">
        <f>Table1[[#This Row],[Pout]]/(Table1[[#This Row],[Pout]]+Table1[[#This Row],[Total Loss]])</f>
        <v>0.93962863065650049</v>
      </c>
      <c r="BL10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271.80289502651789</v>
      </c>
      <c r="BM104" s="559">
        <f>IF(Table1[[#This Row],[Vin]]&gt;Vout, Table1[[#This Row],[Total Sync Bu MOSFET Loss]]*ThetaJA_Q2, ThetaJA_Q3*Table1[[#This Row],[Total Sync Bo MOSFET Loss]])</f>
        <v>60.133372335747708</v>
      </c>
      <c r="BN104" s="9"/>
      <c r="BO104" s="4">
        <f>Table1[[#This Row],[EFF, h]]*100</f>
        <v>93.962863065650055</v>
      </c>
      <c r="BP104" s="354">
        <f>Table1[[#This Row],[Total Inductor Loss]]</f>
        <v>2.3605355485918111</v>
      </c>
      <c r="BQ104" s="354">
        <f>Table1[[#This Row],[Total Control Bu MOSFET Loss]]+Table1[[#This Row],[Total Sync Bu MOSFET Loss]]+Table1[[#This Row],[Total Control Bo MOSFET Loss]]+Table1[[#This Row],[Total Sync Bo MOSFET Loss]]+Table1[[#This Row],[Reverse Recovery Loss MOSFET D BUCK]]+Table1[[#This Row],[Reverse Recovery Loss MOSFET D BOOST]]</f>
        <v>6.6518687159128209</v>
      </c>
      <c r="BR104" s="354">
        <f>Table1[[#This Row],[Total Control Bu MOSFET Loss]]+Table1[[#This Row],[Reverse Recovery Loss MOSFET D BUCK]]*0.66</f>
        <v>4.793385082441965</v>
      </c>
      <c r="BS104" s="354">
        <f>Table1[[#This Row],[Total Sync Bu MOSFET Loss]]+Table1[[#This Row],[Reverse Recovery Loss MOSFET D BUCK]]*0.33</f>
        <v>1.1338912882624617</v>
      </c>
      <c r="BT104" s="354">
        <f xml:space="preserve"> Table1[[#This Row],[Total Control Bo MOSFET Loss]]+Table1[[#This Row],[Reverse Recovery Loss MOSFET D BOOST]]*0.66</f>
        <v>0</v>
      </c>
      <c r="BU104" s="354">
        <f xml:space="preserve"> Table1[[#This Row],[Total Sync Bo MOSFET Loss]]+Table1[[#This Row],[Reverse Recovery Loss MOSFET D BOOST]]*0.33</f>
        <v>0.7206023932083947</v>
      </c>
      <c r="BV104" s="354">
        <f>Table1[[#This Row],[Isense Shunt Loss]]</f>
        <v>0.20385404043847249</v>
      </c>
      <c r="CB104" s="18"/>
      <c r="CC104" s="19"/>
    </row>
    <row r="105" spans="7:81" x14ac:dyDescent="0.2">
      <c r="G105">
        <v>96</v>
      </c>
      <c r="H105" s="555">
        <f>VIN_min+(VIN_max-VIN_min)*(Table1[[#This Row],[Step]]/200)</f>
        <v>33.44</v>
      </c>
      <c r="I105" s="4" t="str">
        <f>IF(Mode = 2,IF(Table1[[#This Row],[Vin]]&gt;Vout, "BUCK","BOOST"),IF(Table1[[#This Row],[Vin]]&gt;VIN_BB_to_buck, "BUCK", IF(Table1[[#This Row],[Vin]]&lt;=VIN_boost_to_BB,"BOOST","BUCK-BST")))</f>
        <v>BUCK</v>
      </c>
      <c r="J105">
        <f>IF(Table1[[#This Row],[Mode]]="BOOST",2, IF(Table1[[#This Row],[Mode]]="BUCK", 1,3))</f>
        <v>1</v>
      </c>
      <c r="K105">
        <f t="shared" si="4"/>
        <v>12</v>
      </c>
      <c r="L105" s="4">
        <f>Vout*Table1[[#This Row],[Iout]]/(Table1[[#This Row],[Vin]]*Efficiency)</f>
        <v>5.5149836313271221</v>
      </c>
      <c r="M105" s="711">
        <f>MIN(1/Fsw,CHOOSE(Table1[[#This Row],[Mode Digit]],(Vout+(Rdson2+Rs+Rdcr)*Table1[[#This Row],[Iout]])/(Table1[[#This Row],[Vin]]+(Rs+Rdson2-Rdson1)*Table1[[#This Row],[Iout]])/Fsw,(Vout+(Rdson3+Rdcr)*Table1[[#This Row],[Iin]]-Table1[[#This Row],[Vin]])/(Vout+(Rdson3-Rdson4-Rs)*Table1[[#This Row],[Iin]])/Fsw,t1_Ph_II))</f>
        <v>7.3448859675331145E-7</v>
      </c>
      <c r="N105" s="602">
        <f>CHOOSE(Table1[[#This Row],[Mode Digit]],1/Fsw-Table1[[#This Row],[t1_Ph_II]],1/Fsw-Table1[[#This Row],[t1_Ph_II]],(Vout/Fsw-Table1[[#This Row],[Vin]]*t1_Ph_II)/(Table1[[#This Row],[Vin]]+Vout))</f>
        <v>9.3217806991335521E-7</v>
      </c>
      <c r="O105" s="602">
        <f>1/Fsw-(Table1[[#This Row],[t1_Ph_II]]+Table1[[#This Row],[t2_Ph_I]])</f>
        <v>0</v>
      </c>
      <c r="P10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9.3792111434029568</v>
      </c>
      <c r="Q105" s="4">
        <f>CHOOSE(Table1[[#This Row],[Mode Digit]],Table1[[#This Row],[I_0]]+1/Lf*(Table1[[#This Row],[Vin]]-Vout)*Table1[[#This Row],[t1_Ph_II]],Table1[[#This Row],[I_0]]+1/Lf*Table1[[#This Row],[Vin]]*Table1[[#This Row],[t1_Ph_II]],Table1[[#This Row],[I_0]]+(Table1[[#This Row],[Vin]]-Vout)/L*Table1[[#This Row],[t1_Ph_II]])</f>
        <v>14.620788856597041</v>
      </c>
      <c r="R105" s="4">
        <f>CHOOSE(Table1[[#This Row],[Mode Digit]],0,0,Table1[[#This Row],[I_1]]+Table1[[#This Row],[Vin]]/L*Table1[[#This Row],[t2_Ph_I]])</f>
        <v>0</v>
      </c>
      <c r="S105" s="4">
        <f>Fsw*(Table1[[#This Row],[I_0]]*Table1[[#This Row],[t1_Ph_II]]+Table1[[#This Row],[I_1]]*Table1[[#This Row],[t2_Ph_I]]+Table1[[#This Row],[I_2]]*Table1[[#This Row],[t3_Ph_III]])</f>
        <v>12.310861420994629</v>
      </c>
      <c r="T105" s="354">
        <f>MIN(1,CHOOSE(Table1[[#This Row],[Mode Digit]],(Vout+(Rdson2+Rs+Rdcr)*Table1[[#This Row],[Iout]])/(Table1[[#This Row],[Vin]]+(Rs+Rdson2-Rdson1)*Table1[[#This Row],[Iout]]),1,Fsw*Table1[[#This Row],[t2_Ph_I]]+Table1[[#This Row],[t1_Ph_II]]))</f>
        <v>0.44069315805198689</v>
      </c>
      <c r="U105" s="354">
        <f>MIN(1,CHOOSE(Table1[[#This Row],[Mode Digit]],0,(Vout+(Rdson3+Rdcr)*Table1[[#This Row],[Iin]]-Table1[[#This Row],[Vin]])/(Vout+(Rdson3-Rdson4-Rs)*Table1[[#This Row],[Iin]]),Fsw*Table1[[#This Row],[t1_Ph_II]]+Table1[[#This Row],[t3_Ph_III]]))</f>
        <v>0</v>
      </c>
      <c r="V105" s="4">
        <f>MAX(Table1[[#This Row],[I_0]:[I_2]])-MIN(Table1[[#This Row],[I_0]:[I_1]])</f>
        <v>5.2415777131940846</v>
      </c>
      <c r="W10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12.095020107891004</v>
      </c>
      <c r="X105" s="354">
        <f>(Table1[[#This Row],[Irms Lf]]^2*Rdcr*(1+Ltc*Ta-Ltc*25))/(1-Table1[[#This Row],[Irms Lf]]^2*Rdcr*Ltc*ThetaCa)</f>
        <v>0.91026654189728984</v>
      </c>
      <c r="Y105" s="354">
        <f>ABS(7.759*10^-3*Fsw^0.9458*(0.00787*Table1[[#This Row],[Ripple Current pk-pk]])^2.304)</f>
        <v>1.4613273178914032</v>
      </c>
      <c r="Z105" s="354">
        <f>Table1[[#This Row],[DCR    Loss]]+Table1[[#This Row],[Core Loss]]</f>
        <v>2.371593859788693</v>
      </c>
      <c r="AA105" s="4">
        <f>IF(Table1[[#This Row],[Vin]]&gt;Vout, Table1[[#This Row],[Ripple Current pk-pk]]/SQRT(12), SQRT(Table1[[#This Row],[Duty Cycle BOOST Leg]]/(1-Table1[[#This Row],[Duty Cycle BOOST Leg]]))*SQRT(Table1[[#This Row],[Iout]]^2+(Table1[[#This Row],[Ripple Current pk-pk]]^2)/12))</f>
        <v>1.5131131518454739</v>
      </c>
      <c r="AB105" s="354">
        <f>RCoutEsr*Table1[[#This Row],[Irms Cout]]^2</f>
        <v>1.1447557051438722E-2</v>
      </c>
      <c r="AC105" s="354">
        <f>Table1[[#This Row],[Cout ESR Loss]]</f>
        <v>1.1447557051438722E-2</v>
      </c>
      <c r="AD105" s="354">
        <f>IF(Table1[[#This Row],[Vin]]&gt;Vout, SQRT(Table1[[#This Row],[Duty Cycle BUCK Leg]]*(1-Table1[[#This Row],[Duty Cycle BUCK Leg]]))*SQRT(Table1[[#This Row],[Iout]]^2+(Table1[[#This Row],[Ripple Current pk-pk]]^2)/12), Table1[[#This Row],[Ripple Current pk-pk]]/SQRT(12))</f>
        <v>6.0048175271513555</v>
      </c>
      <c r="AE105" s="354">
        <f>RCinEsr*Table1[[#This Row],[Irms Cin]]^2</f>
        <v>7.2115667068768249E-2</v>
      </c>
      <c r="AF105" s="549">
        <f>Table1[[#This Row],[Cin ESR Loss]]</f>
        <v>7.2115667068768249E-2</v>
      </c>
      <c r="AG10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8.0292457163348701</v>
      </c>
      <c r="AH105" s="354">
        <f>Rdson1*Table1[[#This Row],[Irms BuCtrl]]^2</f>
        <v>0.27076890444778384</v>
      </c>
      <c r="AI105" s="354">
        <f>CHOOSE(Table1[[#This Row],[Mode Digit]], (Table1[[#This Row],[Vin]]*Table1[[#This Row],[Iout]]/2)*(Fsw)*(Tr_buck+Tf_buck), 0, (Table1[[#This Row],[Vin]]*Table1[[#This Row],[Avg IL]]/2)*(Fsw/1)*(Tr_buck+Tf_buck))</f>
        <v>3.979239726813498</v>
      </c>
      <c r="AJ105">
        <f>IF(Table1[[#This Row],[Vin]]&gt;Vout, IF(Table1[[#This Row],[Iout]]&gt;Table1[[#This Row],[Ripple Current pk-pk]]/2,0,ABS(Table1[[#This Row],[Iout]]-Table1[[#This Row],[Ripple Current pk-pk]]/2)*Vsd_Q1*Deadtime*Fsw),0)</f>
        <v>0</v>
      </c>
      <c r="AK105" s="354">
        <f>(Table1[[#This Row],[Dead Time Loss BuCtrl]]+Table1[[#This Row],[Transition Loss BuCtrl]]+Table1[[#This Row],[RDS(on) Loss BuCtrl]]*(1+RdsonTopTc*Ta-RdsonTopTc*25))/(1-Table1[[#This Row],[RDS(on) Loss BuCtrl]]*RdsonTopTc*ThetaJA_Q1)</f>
        <v>4.545388605587104</v>
      </c>
      <c r="AL105" s="354">
        <f>CHOOSE(Table1[[#This Row],[Mode Digit]],SQRT((Fsw*(Table1[[#This Row],[t2_Ph_I]]+0))*((Table1[[#This Row],[I_0]]*Table1[[#This Row],[I_1]]+((Table1[[#This Row],[I_0]]-Table1[[#This Row],[I_1]])^2)/3))),0,SQRT((Fsw*(Table1[[#This Row],[t3_Ph_III]]+0))*((Table1[[#This Row],[I_0]]*Table1[[#This Row],[I_2]]+((Table1[[#This Row],[I_0]]-Table1[[#This Row],[I_2]])^2)/3))))</f>
        <v>9.0454808958399706</v>
      </c>
      <c r="AM105" s="354">
        <f>Rdson2*Table1[[#This Row],[Irms BuSync]]^2</f>
        <v>0.34364704347542474</v>
      </c>
      <c r="AN10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05" s="354">
        <f>(Table1[[#This Row],[Deadtime Loss BuSync]]+Table1[[#This Row],[RDS(on) Loss BuSync]]*(1+RdsonBotTc*Ta-RdsonBotTc*25))/(1-Table1[[#This Row],[RDS(on) Loss BuSync]]*RdsonBotTc*ThetaJA_Q2)</f>
        <v>1.0038078129608174</v>
      </c>
      <c r="AP105" s="354">
        <f>CHOOSE(Table1[[#This Row],[Mode Digit]],0,SQRT((Fsw*(Table1[[#This Row],[t1_Ph_II]]+0))*((Table1[[#This Row],[I_0]]*Table1[[#This Row],[I_1]]+((Table1[[#This Row],[I_0]]-Table1[[#This Row],[I_1]])^2)/3))),SQRT((Fsw*(Table1[[#This Row],[t2_Ph_I]]+0))*((Table1[[#This Row],[I_1]]*Table1[[#This Row],[I_2]]+((Table1[[#This Row],[I_1]]-Table1[[#This Row],[I_2]])^2)/3))))</f>
        <v>0</v>
      </c>
      <c r="AQ105" s="354">
        <f>Rdson4*Table1[[#This Row],[Irms BoCtlr]]^2</f>
        <v>0</v>
      </c>
      <c r="AR105" s="354">
        <f>CHOOSE(Table1[[#This Row],[Mode Digit]], 0, (Vout*Table1[[#This Row],[Iin]]/2)*(Fsw)*(Tr_boost+Tf_boost), (Vout*Iout/2)*(Fsw/1)*(Tr_boost+Tf_boost))</f>
        <v>0</v>
      </c>
      <c r="AS105">
        <f>IF(Table1[[#This Row],[Vin]]&gt;Vout, 0, IF(Table1[[#This Row],[Iin]]&gt;Table1[[#This Row],[Ripple Current pk-pk]]/2,0,ABS(Table1[[#This Row],[Iin]]-Table1[[#This Row],[Ripple Current pk-pk]]/2)*Vsd_Q4*Deadtime*Fsw))</f>
        <v>0</v>
      </c>
      <c r="AT105" s="354">
        <f>(Table1[[#This Row],[Dead Time Loss BoCtlr]]+Table1[[#This Row],[Transition Loss BoCtlr]]+Table1[[#This Row],[RDS(on) Loss BoCtlr]]*(1+RdsonTopTc*Ta-RdsonTopTc*25))/(1-Table1[[#This Row],[RDS(on) Loss BoCtlr]]*RdsonTopTc*ThetaJA_Q4)</f>
        <v>0</v>
      </c>
      <c r="AU10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12.095020107891004</v>
      </c>
      <c r="AV105" s="354">
        <f>Rdson3*Table1[[#This Row],[Irms BoSync]]^2</f>
        <v>0.61441594792320853</v>
      </c>
      <c r="AW10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05" s="354">
        <f>(Table1[[#This Row],[Deadtime Loss BoSync]]+Table1[[#This Row],[RDS(on) Loss BoSync]]*(1+RdsonBotTc*Ta-RdsonBotTc*25))/(1-Table1[[#This Row],[RDS(on) Loss BoSync]]*RdsonBotTc*ThetaJA_Q3)</f>
        <v>0.72068855843193713</v>
      </c>
      <c r="AY105" s="354">
        <f>CHOOSE(Table1[[#This Row],[Mode Digit]], Rdson3*Table1[[#This Row],[Irms Lf]]^2, Rdson1*Table1[[#This Row],[Irms Lf]]^2, 0)</f>
        <v>0.61441594792320853</v>
      </c>
      <c r="AZ105" s="354">
        <f>CHOOSE(Table1[[#This Row],[Mode Digit]], 2*Deadtime*Fsw*IF(VfdSky_Q2&gt;0,VfdSky_Q2,0)*Table1[[#This Row],[Iout]], 2*Deadtime*Fsw*IF(VfdSky_Q3&gt;0,VfdSky_Q3,0)*Table1[[#This Row],[Iin]], 2*Deadtime*Fsw*IF(VfdSky_Q2&gt;0,VfdSky_Q2,0)*Table1[[#This Row],[Iout]]+2*Deadtime*Fsw*IF(VfdSky_Q3&gt;0,VfdSky_Q3,0)*Table1[[#This Row],[Iin]])</f>
        <v>0</v>
      </c>
      <c r="BA105" s="354">
        <f>CHOOSE(Table1[[#This Row],[Mode Digit]], IF(QrrSky_Q2&gt;0,QrrSky_Q2,Qrr_Q2)*Fsw*(Table1[[#This Row],[Vin]]-Table1[[#This Row],[Iout]]*Rdson1),0,  IF(QrrSky_Q2&gt;0,QrrSky_Q2,Qrr_Q2)*Fsw*(Table1[[#This Row],[Vin]]-Table1[[#This Row],[Iout]]*Rdson1)+IF(QrrSky_Q3&gt;0,QrrSky_Q3,Qrr_Q3)*Fsw*Vout)</f>
        <v>0.40067519999999995</v>
      </c>
      <c r="BB105" s="354">
        <f>CHOOSE(Table1[[#This Row],[Mode Digit]],0, IF(QrrSky_Q3&gt;0,QrrSky_Q3,Qrr_Q3)*Fsw*Vout,  IF(QrrSky_Q2&gt;0,QrrSky_Q2,Qrr_Q2)*Fsw*(Table1[[#This Row],[Vin]]-Table1[[#This Row],[Iout]]*Rdson1)+IF(QrrSky_Q3&gt;0,QrrSky_Q3,Qrr_Q3)*Fsw*Vout)</f>
        <v>0</v>
      </c>
      <c r="BC105" s="354">
        <f>CHOOSE(Table1[[#This Row],[Mode Digit]], Rs*Table1[[#This Row],[Irms BuSync]]^2, Rs*Table1[[#This Row],[Irms BoCtlr]]^2, Rs*(Table1[[#This Row],[Irms BuSync]]^2+Table1[[#This Row],[Irms BoCtlr]]^2))</f>
        <v>0.2045518115925147</v>
      </c>
      <c r="BD105" s="354">
        <f t="shared" si="5"/>
        <v>1.44</v>
      </c>
      <c r="BE105" s="354">
        <f>IF(Vout&gt;8, Iq*Vout, Iq*Table1[[#This Row],[Vin]])</f>
        <v>4.3799999999999999E-2</v>
      </c>
      <c r="BF105" s="354">
        <f>CHOOSE(Table1[[#This Row],[Mode Digit]], (Qg_Q1+Qg_Q2)*Fsw, (Qg_Q3+Qg_Q4)*Fsw, (Qg_Q1+Qg_Q2+Qg_Q3+Qg_Q4)*Fsw)*IF(Vout&gt;8, Vout, Table1[[#This Row],[Vin]])</f>
        <v>0.47303999999999996</v>
      </c>
      <c r="BG105" s="354">
        <f t="shared" si="6"/>
        <v>0.45605042016806729</v>
      </c>
      <c r="BH105" s="354">
        <f>Table1[[#This Row],[IQ Loss]]+Table1[[#This Row],[Switching Current Loss]]</f>
        <v>0.51683999999999997</v>
      </c>
      <c r="BI10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11.287109072481272</v>
      </c>
      <c r="BJ105">
        <f>Vout*Table1[[#This Row],[Iout]]</f>
        <v>175.2</v>
      </c>
      <c r="BK105" s="550">
        <f>Table1[[#This Row],[Pout]]/(Table1[[#This Row],[Pout]]+Table1[[#This Row],[Total Loss]])</f>
        <v>0.93947512442753167</v>
      </c>
      <c r="BL10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272.72331633522623</v>
      </c>
      <c r="BM105" s="559">
        <f>IF(Table1[[#This Row],[Vin]]&gt;Vout, Table1[[#This Row],[Total Sync Bu MOSFET Loss]]*ThetaJA_Q2, ThetaJA_Q3*Table1[[#This Row],[Total Sync Bo MOSFET Loss]])</f>
        <v>60.228468777649049</v>
      </c>
      <c r="BN105" s="9"/>
      <c r="BO105" s="4">
        <f>Table1[[#This Row],[EFF, h]]*100</f>
        <v>93.947512442753165</v>
      </c>
      <c r="BP105" s="354">
        <f>Table1[[#This Row],[Total Inductor Loss]]</f>
        <v>2.371593859788693</v>
      </c>
      <c r="BQ105" s="354">
        <f>Table1[[#This Row],[Total Control Bu MOSFET Loss]]+Table1[[#This Row],[Total Sync Bu MOSFET Loss]]+Table1[[#This Row],[Total Control Bo MOSFET Loss]]+Table1[[#This Row],[Total Sync Bo MOSFET Loss]]+Table1[[#This Row],[Reverse Recovery Loss MOSFET D BUCK]]+Table1[[#This Row],[Reverse Recovery Loss MOSFET D BOOST]]</f>
        <v>6.6705601769798593</v>
      </c>
      <c r="BR105" s="354">
        <f>Table1[[#This Row],[Total Control Bu MOSFET Loss]]+Table1[[#This Row],[Reverse Recovery Loss MOSFET D BUCK]]*0.66</f>
        <v>4.8098342375871042</v>
      </c>
      <c r="BS105" s="354">
        <f>Table1[[#This Row],[Total Sync Bu MOSFET Loss]]+Table1[[#This Row],[Reverse Recovery Loss MOSFET D BUCK]]*0.33</f>
        <v>1.1360306289608175</v>
      </c>
      <c r="BT105" s="354">
        <f xml:space="preserve"> Table1[[#This Row],[Total Control Bo MOSFET Loss]]+Table1[[#This Row],[Reverse Recovery Loss MOSFET D BOOST]]*0.66</f>
        <v>0</v>
      </c>
      <c r="BU105" s="354">
        <f xml:space="preserve"> Table1[[#This Row],[Total Sync Bo MOSFET Loss]]+Table1[[#This Row],[Reverse Recovery Loss MOSFET D BOOST]]*0.33</f>
        <v>0.72068855843193713</v>
      </c>
      <c r="BV105" s="354">
        <f>Table1[[#This Row],[Isense Shunt Loss]]</f>
        <v>0.2045518115925147</v>
      </c>
      <c r="CB105" s="18"/>
      <c r="CC105" s="19"/>
    </row>
    <row r="106" spans="7:81" x14ac:dyDescent="0.2">
      <c r="G106">
        <v>97</v>
      </c>
      <c r="H106" s="555">
        <f>VIN_min+(VIN_max-VIN_min)*(Table1[[#This Row],[Step]]/200)</f>
        <v>33.58</v>
      </c>
      <c r="I106" s="4" t="str">
        <f>IF(Mode = 2,IF(Table1[[#This Row],[Vin]]&gt;Vout, "BUCK","BOOST"),IF(Table1[[#This Row],[Vin]]&gt;VIN_BB_to_buck, "BUCK", IF(Table1[[#This Row],[Vin]]&lt;=VIN_boost_to_BB,"BOOST","BUCK-BST")))</f>
        <v>BUCK</v>
      </c>
      <c r="J106">
        <f>IF(Table1[[#This Row],[Mode]]="BOOST",2, IF(Table1[[#This Row],[Mode]]="BUCK", 1,3))</f>
        <v>1</v>
      </c>
      <c r="K106">
        <f t="shared" si="4"/>
        <v>12</v>
      </c>
      <c r="L106" s="4">
        <f>Vout*Table1[[#This Row],[Iout]]/(Table1[[#This Row],[Vin]]*Efficiency)</f>
        <v>5.4919908466819223</v>
      </c>
      <c r="M106" s="711">
        <f>MIN(1/Fsw,CHOOSE(Table1[[#This Row],[Mode Digit]],(Vout+(Rdson2+Rs+Rdcr)*Table1[[#This Row],[Iout]])/(Table1[[#This Row],[Vin]]+(Rs+Rdson2-Rdson1)*Table1[[#This Row],[Iout]])/Fsw,(Vout+(Rdson3+Rdcr)*Table1[[#This Row],[Iin]]-Table1[[#This Row],[Vin]])/(Vout+(Rdson3-Rdson4-Rs)*Table1[[#This Row],[Iin]])/Fsw,t1_Ph_II))</f>
        <v>7.3142913815332739E-7</v>
      </c>
      <c r="N106" s="602">
        <f>CHOOSE(Table1[[#This Row],[Mode Digit]],1/Fsw-Table1[[#This Row],[t1_Ph_II]],1/Fsw-Table1[[#This Row],[t1_Ph_II]],(Vout/Fsw-Table1[[#This Row],[Vin]]*t1_Ph_II)/(Table1[[#This Row],[Vin]]+Vout))</f>
        <v>9.3523752851333927E-7</v>
      </c>
      <c r="O106" s="602">
        <f>1/Fsw-(Table1[[#This Row],[t1_Ph_II]]+Table1[[#This Row],[t2_Ph_I]])</f>
        <v>0</v>
      </c>
      <c r="P10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9.3707338935321687</v>
      </c>
      <c r="Q106" s="4">
        <f>CHOOSE(Table1[[#This Row],[Mode Digit]],Table1[[#This Row],[I_0]]+1/Lf*(Table1[[#This Row],[Vin]]-Vout)*Table1[[#This Row],[t1_Ph_II]],Table1[[#This Row],[I_0]]+1/Lf*Table1[[#This Row],[Vin]]*Table1[[#This Row],[t1_Ph_II]],Table1[[#This Row],[I_0]]+(Table1[[#This Row],[Vin]]-Vout)/L*Table1[[#This Row],[t1_Ph_II]])</f>
        <v>14.629266106467831</v>
      </c>
      <c r="R106" s="4">
        <f>CHOOSE(Table1[[#This Row],[Mode Digit]],0,0,Table1[[#This Row],[I_1]]+Table1[[#This Row],[Vin]]/L*Table1[[#This Row],[t2_Ph_I]])</f>
        <v>0</v>
      </c>
      <c r="S106" s="4">
        <f>Fsw*(Table1[[#This Row],[I_0]]*Table1[[#This Row],[t1_Ph_II]]+Table1[[#This Row],[I_1]]*Table1[[#This Row],[t2_Ph_I]]+Table1[[#This Row],[I_2]]*Table1[[#This Row],[t3_Ph_III]])</f>
        <v>12.321519895792408</v>
      </c>
      <c r="T106" s="354">
        <f>MIN(1,CHOOSE(Table1[[#This Row],[Mode Digit]],(Vout+(Rdson2+Rs+Rdcr)*Table1[[#This Row],[Iout]])/(Table1[[#This Row],[Vin]]+(Rs+Rdson2-Rdson1)*Table1[[#This Row],[Iout]]),1,Fsw*Table1[[#This Row],[t2_Ph_I]]+Table1[[#This Row],[t1_Ph_II]]))</f>
        <v>0.43885748289199644</v>
      </c>
      <c r="U106" s="354">
        <f>MIN(1,CHOOSE(Table1[[#This Row],[Mode Digit]],0,(Vout+(Rdson3+Rdcr)*Table1[[#This Row],[Iin]]-Table1[[#This Row],[Vin]])/(Vout+(Rdson3-Rdson4-Rs)*Table1[[#This Row],[Iin]]),Fsw*Table1[[#This Row],[t1_Ph_II]]+Table1[[#This Row],[t3_Ph_III]]))</f>
        <v>0</v>
      </c>
      <c r="V106" s="4">
        <f>MAX(Table1[[#This Row],[I_0]:[I_2]])-MIN(Table1[[#This Row],[I_0]:[I_1]])</f>
        <v>5.2585322129356626</v>
      </c>
      <c r="W10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12.095633375432373</v>
      </c>
      <c r="X106" s="354">
        <f>(Table1[[#This Row],[Irms Lf]]^2*Rdcr*(1+Ltc*Ta-Ltc*25))/(1-Table1[[#This Row],[Irms Lf]]^2*Rdcr*Ltc*ThetaCa)</f>
        <v>0.91036557572712662</v>
      </c>
      <c r="Y106" s="354">
        <f>ABS(7.759*10^-3*Fsw^0.9458*(0.00787*Table1[[#This Row],[Ripple Current pk-pk]])^2.304)</f>
        <v>1.4722409215540488</v>
      </c>
      <c r="Z106" s="354">
        <f>Table1[[#This Row],[DCR    Loss]]+Table1[[#This Row],[Core Loss]]</f>
        <v>2.3826064972811754</v>
      </c>
      <c r="AA106" s="4">
        <f>IF(Table1[[#This Row],[Vin]]&gt;Vout, Table1[[#This Row],[Ripple Current pk-pk]]/SQRT(12), SQRT(Table1[[#This Row],[Duty Cycle BOOST Leg]]/(1-Table1[[#This Row],[Duty Cycle BOOST Leg]]))*SQRT(Table1[[#This Row],[Iout]]^2+(Table1[[#This Row],[Ripple Current pk-pk]]^2)/12))</f>
        <v>1.5180074943403616</v>
      </c>
      <c r="AB106" s="354">
        <f>RCoutEsr*Table1[[#This Row],[Irms Cout]]^2</f>
        <v>1.1521733764367515E-2</v>
      </c>
      <c r="AC106" s="354">
        <f>Table1[[#This Row],[Cout ESR Loss]]</f>
        <v>1.1521733764367515E-2</v>
      </c>
      <c r="AD106" s="354">
        <f>IF(Table1[[#This Row],[Vin]]&gt;Vout, SQRT(Table1[[#This Row],[Duty Cycle BUCK Leg]]*(1-Table1[[#This Row],[Duty Cycle BUCK Leg]]))*SQRT(Table1[[#This Row],[Iout]]^2+(Table1[[#This Row],[Ripple Current pk-pk]]^2)/12), Table1[[#This Row],[Ripple Current pk-pk]]/SQRT(12))</f>
        <v>6.0024279617429492</v>
      </c>
      <c r="AE106" s="354">
        <f>RCinEsr*Table1[[#This Row],[Irms Cin]]^2</f>
        <v>7.2058282871827237E-2</v>
      </c>
      <c r="AF106" s="549">
        <f>Table1[[#This Row],[Cin ESR Loss]]</f>
        <v>7.2058282871827237E-2</v>
      </c>
      <c r="AG10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8.0129119146614798</v>
      </c>
      <c r="AH106" s="354">
        <f>Rdson1*Table1[[#This Row],[Irms BuCtrl]]^2</f>
        <v>0.26966838087892042</v>
      </c>
      <c r="AI106" s="354">
        <f>CHOOSE(Table1[[#This Row],[Mode Digit]], (Table1[[#This Row],[Vin]]*Table1[[#This Row],[Iout]]/2)*(Fsw)*(Tr_buck+Tf_buck), 0, (Table1[[#This Row],[Vin]]*Table1[[#This Row],[Avg IL]]/2)*(Fsw/1)*(Tr_buck+Tf_buck))</f>
        <v>3.9958992232774304</v>
      </c>
      <c r="AJ106">
        <f>IF(Table1[[#This Row],[Vin]]&gt;Vout, IF(Table1[[#This Row],[Iout]]&gt;Table1[[#This Row],[Ripple Current pk-pk]]/2,0,ABS(Table1[[#This Row],[Iout]]-Table1[[#This Row],[Ripple Current pk-pk]]/2)*Vsd_Q1*Deadtime*Fsw),0)</f>
        <v>0</v>
      </c>
      <c r="AK106" s="354">
        <f>(Table1[[#This Row],[Dead Time Loss BuCtrl]]+Table1[[#This Row],[Transition Loss BuCtrl]]+Table1[[#This Row],[RDS(on) Loss BuCtrl]]*(1+RdsonTopTc*Ta-RdsonTopTc*25))/(1-Table1[[#This Row],[RDS(on) Loss BuCtrl]]*RdsonTopTc*ThetaJA_Q1)</f>
        <v>4.5607406129661037</v>
      </c>
      <c r="AL106" s="354">
        <f>CHOOSE(Table1[[#This Row],[Mode Digit]],SQRT((Fsw*(Table1[[#This Row],[t2_Ph_I]]+0))*((Table1[[#This Row],[I_0]]*Table1[[#This Row],[I_1]]+((Table1[[#This Row],[I_0]]-Table1[[#This Row],[I_1]])^2)/3))),0,SQRT((Fsw*(Table1[[#This Row],[t3_Ph_III]]+0))*((Table1[[#This Row],[I_0]]*Table1[[#This Row],[I_2]]+((Table1[[#This Row],[I_0]]-Table1[[#This Row],[I_2]])^2)/3))))</f>
        <v>9.0607720090922506</v>
      </c>
      <c r="AM106" s="354">
        <f>Rdson2*Table1[[#This Row],[Irms BuSync]]^2</f>
        <v>0.3448098754831484</v>
      </c>
      <c r="AN10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06" s="354">
        <f>(Table1[[#This Row],[Deadtime Loss BuSync]]+Table1[[#This Row],[RDS(on) Loss BuSync]]*(1+RdsonBotTc*Ta-RdsonBotTc*25))/(1-Table1[[#This Row],[RDS(on) Loss BuSync]]*RdsonBotTc*ThetaJA_Q2)</f>
        <v>1.0053809732199614</v>
      </c>
      <c r="AP106" s="354">
        <f>CHOOSE(Table1[[#This Row],[Mode Digit]],0,SQRT((Fsw*(Table1[[#This Row],[t1_Ph_II]]+0))*((Table1[[#This Row],[I_0]]*Table1[[#This Row],[I_1]]+((Table1[[#This Row],[I_0]]-Table1[[#This Row],[I_1]])^2)/3))),SQRT((Fsw*(Table1[[#This Row],[t2_Ph_I]]+0))*((Table1[[#This Row],[I_1]]*Table1[[#This Row],[I_2]]+((Table1[[#This Row],[I_1]]-Table1[[#This Row],[I_2]])^2)/3))))</f>
        <v>0</v>
      </c>
      <c r="AQ106" s="354">
        <f>Rdson4*Table1[[#This Row],[Irms BoCtlr]]^2</f>
        <v>0</v>
      </c>
      <c r="AR106" s="354">
        <f>CHOOSE(Table1[[#This Row],[Mode Digit]], 0, (Vout*Table1[[#This Row],[Iin]]/2)*(Fsw)*(Tr_boost+Tf_boost), (Vout*Iout/2)*(Fsw/1)*(Tr_boost+Tf_boost))</f>
        <v>0</v>
      </c>
      <c r="AS106">
        <f>IF(Table1[[#This Row],[Vin]]&gt;Vout, 0, IF(Table1[[#This Row],[Iin]]&gt;Table1[[#This Row],[Ripple Current pk-pk]]/2,0,ABS(Table1[[#This Row],[Iin]]-Table1[[#This Row],[Ripple Current pk-pk]]/2)*Vsd_Q4*Deadtime*Fsw))</f>
        <v>0</v>
      </c>
      <c r="AT106" s="354">
        <f>(Table1[[#This Row],[Dead Time Loss BoCtlr]]+Table1[[#This Row],[Transition Loss BoCtlr]]+Table1[[#This Row],[RDS(on) Loss BoCtlr]]*(1+RdsonTopTc*Ta-RdsonTopTc*25))/(1-Table1[[#This Row],[RDS(on) Loss BoCtlr]]*RdsonTopTc*ThetaJA_Q4)</f>
        <v>0</v>
      </c>
      <c r="AU10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12.095633375432373</v>
      </c>
      <c r="AV106" s="354">
        <f>Rdson3*Table1[[#This Row],[Irms BoSync]]^2</f>
        <v>0.61447825636206888</v>
      </c>
      <c r="AW10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06" s="354">
        <f>(Table1[[#This Row],[Deadtime Loss BoSync]]+Table1[[#This Row],[RDS(on) Loss BoSync]]*(1+RdsonBotTc*Ta-RdsonBotTc*25))/(1-Table1[[#This Row],[RDS(on) Loss BoSync]]*RdsonBotTc*ThetaJA_Q3)</f>
        <v>0.72077428684469491</v>
      </c>
      <c r="AY106" s="354">
        <f>CHOOSE(Table1[[#This Row],[Mode Digit]], Rdson3*Table1[[#This Row],[Irms Lf]]^2, Rdson1*Table1[[#This Row],[Irms Lf]]^2, 0)</f>
        <v>0.61447825636206888</v>
      </c>
      <c r="AZ106" s="354">
        <f>CHOOSE(Table1[[#This Row],[Mode Digit]], 2*Deadtime*Fsw*IF(VfdSky_Q2&gt;0,VfdSky_Q2,0)*Table1[[#This Row],[Iout]], 2*Deadtime*Fsw*IF(VfdSky_Q3&gt;0,VfdSky_Q3,0)*Table1[[#This Row],[Iin]], 2*Deadtime*Fsw*IF(VfdSky_Q2&gt;0,VfdSky_Q2,0)*Table1[[#This Row],[Iout]]+2*Deadtime*Fsw*IF(VfdSky_Q3&gt;0,VfdSky_Q3,0)*Table1[[#This Row],[Iin]])</f>
        <v>0</v>
      </c>
      <c r="BA106" s="354">
        <f>CHOOSE(Table1[[#This Row],[Mode Digit]], IF(QrrSky_Q2&gt;0,QrrSky_Q2,Qrr_Q2)*Fsw*(Table1[[#This Row],[Vin]]-Table1[[#This Row],[Iout]]*Rdson1),0,  IF(QrrSky_Q2&gt;0,QrrSky_Q2,Qrr_Q2)*Fsw*(Table1[[#This Row],[Vin]]-Table1[[#This Row],[Iout]]*Rdson1)+IF(QrrSky_Q3&gt;0,QrrSky_Q3,Qrr_Q3)*Fsw*Vout)</f>
        <v>0.40235519999999997</v>
      </c>
      <c r="BB106" s="354">
        <f>CHOOSE(Table1[[#This Row],[Mode Digit]],0, IF(QrrSky_Q3&gt;0,QrrSky_Q3,Qrr_Q3)*Fsw*Vout,  IF(QrrSky_Q2&gt;0,QrrSky_Q2,Qrr_Q2)*Fsw*(Table1[[#This Row],[Vin]]-Table1[[#This Row],[Iout]]*Rdson1)+IF(QrrSky_Q3&gt;0,QrrSky_Q3,Qrr_Q3)*Fsw*Vout)</f>
        <v>0</v>
      </c>
      <c r="BC106" s="354">
        <f>CHOOSE(Table1[[#This Row],[Mode Digit]], Rs*Table1[[#This Row],[Irms BuSync]]^2, Rs*Table1[[#This Row],[Irms BoCtlr]]^2, Rs*(Table1[[#This Row],[Irms BuSync]]^2+Table1[[#This Row],[Irms BoCtlr]]^2))</f>
        <v>0.20524397350187404</v>
      </c>
      <c r="BD106" s="354">
        <f t="shared" si="5"/>
        <v>1.44</v>
      </c>
      <c r="BE106" s="354">
        <f>IF(Vout&gt;8, Iq*Vout, Iq*Table1[[#This Row],[Vin]])</f>
        <v>4.3799999999999999E-2</v>
      </c>
      <c r="BF106" s="354">
        <f>CHOOSE(Table1[[#This Row],[Mode Digit]], (Qg_Q1+Qg_Q2)*Fsw, (Qg_Q3+Qg_Q4)*Fsw, (Qg_Q1+Qg_Q2+Qg_Q3+Qg_Q4)*Fsw)*IF(Vout&gt;8, Vout, Table1[[#This Row],[Vin]])</f>
        <v>0.47303999999999996</v>
      </c>
      <c r="BG106" s="354">
        <f t="shared" si="6"/>
        <v>0.45605042016806729</v>
      </c>
      <c r="BH106" s="354">
        <f>Table1[[#This Row],[IQ Loss]]+Table1[[#This Row],[Switching Current Loss]]</f>
        <v>0.51683999999999997</v>
      </c>
      <c r="BI10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11.317521560450004</v>
      </c>
      <c r="BJ106">
        <f>Vout*Table1[[#This Row],[Iout]]</f>
        <v>175.2</v>
      </c>
      <c r="BK106" s="550">
        <f>Table1[[#This Row],[Pout]]/(Table1[[#This Row],[Pout]]+Table1[[#This Row],[Total Loss]])</f>
        <v>0.93932193894833615</v>
      </c>
      <c r="BL10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273.64443677796623</v>
      </c>
      <c r="BM106" s="559">
        <f>IF(Table1[[#This Row],[Vin]]&gt;Vout, Table1[[#This Row],[Total Sync Bu MOSFET Loss]]*ThetaJA_Q2, ThetaJA_Q3*Table1[[#This Row],[Total Sync Bo MOSFET Loss]])</f>
        <v>60.322858393197684</v>
      </c>
      <c r="BN106" s="9"/>
      <c r="BO106" s="4">
        <f>Table1[[#This Row],[EFF, h]]*100</f>
        <v>93.932193894833617</v>
      </c>
      <c r="BP106" s="354">
        <f>Table1[[#This Row],[Total Inductor Loss]]</f>
        <v>2.3826064972811754</v>
      </c>
      <c r="BQ106" s="354">
        <f>Table1[[#This Row],[Total Control Bu MOSFET Loss]]+Table1[[#This Row],[Total Sync Bu MOSFET Loss]]+Table1[[#This Row],[Total Control Bo MOSFET Loss]]+Table1[[#This Row],[Total Sync Bo MOSFET Loss]]+Table1[[#This Row],[Reverse Recovery Loss MOSFET D BUCK]]+Table1[[#This Row],[Reverse Recovery Loss MOSFET D BOOST]]</f>
        <v>6.6892510730307597</v>
      </c>
      <c r="BR106" s="354">
        <f>Table1[[#This Row],[Total Control Bu MOSFET Loss]]+Table1[[#This Row],[Reverse Recovery Loss MOSFET D BUCK]]*0.66</f>
        <v>4.8262950449661037</v>
      </c>
      <c r="BS106" s="354">
        <f>Table1[[#This Row],[Total Sync Bu MOSFET Loss]]+Table1[[#This Row],[Reverse Recovery Loss MOSFET D BUCK]]*0.33</f>
        <v>1.1381581892199615</v>
      </c>
      <c r="BT106" s="354">
        <f xml:space="preserve"> Table1[[#This Row],[Total Control Bo MOSFET Loss]]+Table1[[#This Row],[Reverse Recovery Loss MOSFET D BOOST]]*0.66</f>
        <v>0</v>
      </c>
      <c r="BU106" s="354">
        <f xml:space="preserve"> Table1[[#This Row],[Total Sync Bo MOSFET Loss]]+Table1[[#This Row],[Reverse Recovery Loss MOSFET D BOOST]]*0.33</f>
        <v>0.72077428684469491</v>
      </c>
      <c r="BV106" s="354">
        <f>Table1[[#This Row],[Isense Shunt Loss]]</f>
        <v>0.20524397350187404</v>
      </c>
      <c r="CB106" s="18"/>
      <c r="CC106" s="19"/>
    </row>
    <row r="107" spans="7:81" x14ac:dyDescent="0.2">
      <c r="G107">
        <v>98</v>
      </c>
      <c r="H107" s="555">
        <f>VIN_min+(VIN_max-VIN_min)*(Table1[[#This Row],[Step]]/200)</f>
        <v>33.72</v>
      </c>
      <c r="I107" s="4" t="str">
        <f>IF(Mode = 2,IF(Table1[[#This Row],[Vin]]&gt;Vout, "BUCK","BOOST"),IF(Table1[[#This Row],[Vin]]&gt;VIN_BB_to_buck, "BUCK", IF(Table1[[#This Row],[Vin]]&lt;=VIN_boost_to_BB,"BOOST","BUCK-BST")))</f>
        <v>BUCK</v>
      </c>
      <c r="J107">
        <f>IF(Table1[[#This Row],[Mode]]="BOOST",2, IF(Table1[[#This Row],[Mode]]="BUCK", 1,3))</f>
        <v>1</v>
      </c>
      <c r="K107">
        <f t="shared" si="4"/>
        <v>12</v>
      </c>
      <c r="L107" s="4">
        <f>Vout*Table1[[#This Row],[Iout]]/(Table1[[#This Row],[Vin]]*Efficiency)</f>
        <v>5.4691889867016297</v>
      </c>
      <c r="M107" s="711">
        <f>MIN(1/Fsw,CHOOSE(Table1[[#This Row],[Mode Digit]],(Vout+(Rdson2+Rs+Rdcr)*Table1[[#This Row],[Iout]])/(Table1[[#This Row],[Vin]]+(Rs+Rdson2-Rdson1)*Table1[[#This Row],[Iout]])/Fsw,(Vout+(Rdson3+Rdcr)*Table1[[#This Row],[Iin]]-Table1[[#This Row],[Vin]])/(Vout+(Rdson3-Rdson4-Rs)*Table1[[#This Row],[Iin]])/Fsw,t1_Ph_II))</f>
        <v>7.2839506172839515E-7</v>
      </c>
      <c r="N107" s="602">
        <f>CHOOSE(Table1[[#This Row],[Mode Digit]],1/Fsw-Table1[[#This Row],[t1_Ph_II]],1/Fsw-Table1[[#This Row],[t1_Ph_II]],(Vout/Fsw-Table1[[#This Row],[Vin]]*t1_Ph_II)/(Table1[[#This Row],[Vin]]+Vout))</f>
        <v>9.3827160493827152E-7</v>
      </c>
      <c r="O107" s="602">
        <f>1/Fsw-(Table1[[#This Row],[t1_Ph_II]]+Table1[[#This Row],[t2_Ph_I]])</f>
        <v>0</v>
      </c>
      <c r="P10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9.3623269734380852</v>
      </c>
      <c r="Q107" s="4">
        <f>CHOOSE(Table1[[#This Row],[Mode Digit]],Table1[[#This Row],[I_0]]+1/Lf*(Table1[[#This Row],[Vin]]-Vout)*Table1[[#This Row],[t1_Ph_II]],Table1[[#This Row],[I_0]]+1/Lf*Table1[[#This Row],[Vin]]*Table1[[#This Row],[t1_Ph_II]],Table1[[#This Row],[I_0]]+(Table1[[#This Row],[Vin]]-Vout)/L*Table1[[#This Row],[t1_Ph_II]])</f>
        <v>14.637673026561917</v>
      </c>
      <c r="R107" s="4">
        <f>CHOOSE(Table1[[#This Row],[Mode Digit]],0,0,Table1[[#This Row],[I_1]]+Table1[[#This Row],[Vin]]/L*Table1[[#This Row],[t2_Ph_I]])</f>
        <v>0</v>
      </c>
      <c r="S107" s="4">
        <f>Fsw*(Table1[[#This Row],[I_0]]*Table1[[#This Row],[t1_Ph_II]]+Table1[[#This Row],[I_1]]*Table1[[#This Row],[t2_Ph_I]]+Table1[[#This Row],[I_2]]*Table1[[#This Row],[t3_Ph_III]])</f>
        <v>12.332151418159651</v>
      </c>
      <c r="T107" s="354">
        <f>MIN(1,CHOOSE(Table1[[#This Row],[Mode Digit]],(Vout+(Rdson2+Rs+Rdcr)*Table1[[#This Row],[Iout]])/(Table1[[#This Row],[Vin]]+(Rs+Rdson2-Rdson1)*Table1[[#This Row],[Iout]]),1,Fsw*Table1[[#This Row],[t2_Ph_I]]+Table1[[#This Row],[t1_Ph_II]]))</f>
        <v>0.43703703703703706</v>
      </c>
      <c r="U107" s="354">
        <f>MIN(1,CHOOSE(Table1[[#This Row],[Mode Digit]],0,(Vout+(Rdson3+Rdcr)*Table1[[#This Row],[Iin]]-Table1[[#This Row],[Vin]])/(Vout+(Rdson3-Rdson4-Rs)*Table1[[#This Row],[Iin]]),Fsw*Table1[[#This Row],[t1_Ph_II]]+Table1[[#This Row],[t3_Ph_III]]))</f>
        <v>0</v>
      </c>
      <c r="V107" s="4">
        <f>MAX(Table1[[#This Row],[I_0]:[I_2]])-MIN(Table1[[#This Row],[I_0]:[I_1]])</f>
        <v>5.2753460531238314</v>
      </c>
      <c r="W10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12.096243480175326</v>
      </c>
      <c r="X107" s="354">
        <f>(Table1[[#This Row],[Irms Lf]]^2*Rdcr*(1+Ltc*Ta-Ltc*25))/(1-Table1[[#This Row],[Irms Lf]]^2*Rdcr*Ltc*ThetaCa)</f>
        <v>0.91046410524486598</v>
      </c>
      <c r="Y107" s="354">
        <f>ABS(7.759*10^-3*Fsw^0.9458*(0.00787*Table1[[#This Row],[Ripple Current pk-pk]])^2.304)</f>
        <v>1.4831093931187649</v>
      </c>
      <c r="Z107" s="354">
        <f>Table1[[#This Row],[DCR    Loss]]+Table1[[#This Row],[Core Loss]]</f>
        <v>2.3935734983636308</v>
      </c>
      <c r="AA107" s="4">
        <f>IF(Table1[[#This Row],[Vin]]&gt;Vout, Table1[[#This Row],[Ripple Current pk-pk]]/SQRT(12), SQRT(Table1[[#This Row],[Duty Cycle BOOST Leg]]/(1-Table1[[#This Row],[Duty Cycle BOOST Leg]]))*SQRT(Table1[[#This Row],[Iout]]^2+(Table1[[#This Row],[Ripple Current pk-pk]]^2)/12))</f>
        <v>1.522861231919737</v>
      </c>
      <c r="AB107" s="354">
        <f>RCoutEsr*Table1[[#This Row],[Irms Cout]]^2</f>
        <v>1.1595531658420494E-2</v>
      </c>
      <c r="AC107" s="354">
        <f>Table1[[#This Row],[Cout ESR Loss]]</f>
        <v>1.1595531658420494E-2</v>
      </c>
      <c r="AD107" s="354">
        <f>IF(Table1[[#This Row],[Vin]]&gt;Vout, SQRT(Table1[[#This Row],[Duty Cycle BUCK Leg]]*(1-Table1[[#This Row],[Duty Cycle BUCK Leg]]))*SQRT(Table1[[#This Row],[Iout]]^2+(Table1[[#This Row],[Ripple Current pk-pk]]^2)/12), Table1[[#This Row],[Ripple Current pk-pk]]/SQRT(12))</f>
        <v>5.9999765559270894</v>
      </c>
      <c r="AE107" s="354">
        <f>RCinEsr*Table1[[#This Row],[Irms Cin]]^2</f>
        <v>7.1999437343349404E-2</v>
      </c>
      <c r="AF107" s="549">
        <f>Table1[[#This Row],[Cin ESR Loss]]</f>
        <v>7.1999437343349404E-2</v>
      </c>
      <c r="AG10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7.996678603839622</v>
      </c>
      <c r="AH107" s="354">
        <f>Rdson1*Table1[[#This Row],[Irms BuCtrl]]^2</f>
        <v>0.26857684851104696</v>
      </c>
      <c r="AI107" s="354">
        <f>CHOOSE(Table1[[#This Row],[Mode Digit]], (Table1[[#This Row],[Vin]]*Table1[[#This Row],[Iout]]/2)*(Fsw)*(Tr_buck+Tf_buck), 0, (Table1[[#This Row],[Vin]]*Table1[[#This Row],[Avg IL]]/2)*(Fsw/1)*(Tr_buck+Tf_buck))</f>
        <v>4.0125587197413628</v>
      </c>
      <c r="AJ107">
        <f>IF(Table1[[#This Row],[Vin]]&gt;Vout, IF(Table1[[#This Row],[Iout]]&gt;Table1[[#This Row],[Ripple Current pk-pk]]/2,0,ABS(Table1[[#This Row],[Iout]]-Table1[[#This Row],[Ripple Current pk-pk]]/2)*Vsd_Q1*Deadtime*Fsw),0)</f>
        <v>0</v>
      </c>
      <c r="AK107" s="354">
        <f>(Table1[[#This Row],[Dead Time Loss BuCtrl]]+Table1[[#This Row],[Transition Loss BuCtrl]]+Table1[[#This Row],[RDS(on) Loss BuCtrl]]*(1+RdsonTopTc*Ta-RdsonTopTc*25))/(1-Table1[[#This Row],[RDS(on) Loss BuCtrl]]*RdsonTopTc*ThetaJA_Q1)</f>
        <v>4.5761041176209867</v>
      </c>
      <c r="AL107" s="354">
        <f>CHOOSE(Table1[[#This Row],[Mode Digit]],SQRT((Fsw*(Table1[[#This Row],[t2_Ph_I]]+0))*((Table1[[#This Row],[I_0]]*Table1[[#This Row],[I_1]]+((Table1[[#This Row],[I_0]]-Table1[[#This Row],[I_1]])^2)/3))),0,SQRT((Fsw*(Table1[[#This Row],[t3_Ph_III]]+0))*((Table1[[#This Row],[I_0]]*Table1[[#This Row],[I_2]]+((Table1[[#This Row],[I_0]]-Table1[[#This Row],[I_2]])^2)/3))))</f>
        <v>9.0759152507379497</v>
      </c>
      <c r="AM107" s="354">
        <f>Rdson2*Table1[[#This Row],[Irms BuSync]]^2</f>
        <v>0.34596339808202642</v>
      </c>
      <c r="AN10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07" s="354">
        <f>(Table1[[#This Row],[Deadtime Loss BuSync]]+Table1[[#This Row],[RDS(on) Loss BuSync]]*(1+RdsonBotTc*Ta-RdsonBotTc*25))/(1-Table1[[#This Row],[RDS(on) Loss BuSync]]*RdsonBotTc*ThetaJA_Q2)</f>
        <v>1.0069424851761863</v>
      </c>
      <c r="AP107" s="354">
        <f>CHOOSE(Table1[[#This Row],[Mode Digit]],0,SQRT((Fsw*(Table1[[#This Row],[t1_Ph_II]]+0))*((Table1[[#This Row],[I_0]]*Table1[[#This Row],[I_1]]+((Table1[[#This Row],[I_0]]-Table1[[#This Row],[I_1]])^2)/3))),SQRT((Fsw*(Table1[[#This Row],[t2_Ph_I]]+0))*((Table1[[#This Row],[I_1]]*Table1[[#This Row],[I_2]]+((Table1[[#This Row],[I_1]]-Table1[[#This Row],[I_2]])^2)/3))))</f>
        <v>0</v>
      </c>
      <c r="AQ107" s="354">
        <f>Rdson4*Table1[[#This Row],[Irms BoCtlr]]^2</f>
        <v>0</v>
      </c>
      <c r="AR107" s="354">
        <f>CHOOSE(Table1[[#This Row],[Mode Digit]], 0, (Vout*Table1[[#This Row],[Iin]]/2)*(Fsw)*(Tr_boost+Tf_boost), (Vout*Iout/2)*(Fsw/1)*(Tr_boost+Tf_boost))</f>
        <v>0</v>
      </c>
      <c r="AS107">
        <f>IF(Table1[[#This Row],[Vin]]&gt;Vout, 0, IF(Table1[[#This Row],[Iin]]&gt;Table1[[#This Row],[Ripple Current pk-pk]]/2,0,ABS(Table1[[#This Row],[Iin]]-Table1[[#This Row],[Ripple Current pk-pk]]/2)*Vsd_Q4*Deadtime*Fsw))</f>
        <v>0</v>
      </c>
      <c r="AT107" s="354">
        <f>(Table1[[#This Row],[Dead Time Loss BoCtlr]]+Table1[[#This Row],[Transition Loss BoCtlr]]+Table1[[#This Row],[RDS(on) Loss BoCtlr]]*(1+RdsonTopTc*Ta-RdsonTopTc*25))/(1-Table1[[#This Row],[RDS(on) Loss BoCtlr]]*RdsonTopTc*ThetaJA_Q4)</f>
        <v>0</v>
      </c>
      <c r="AU10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12.096243480175326</v>
      </c>
      <c r="AV107" s="354">
        <f>Rdson3*Table1[[#This Row],[Irms BoSync]]^2</f>
        <v>0.61454024659307327</v>
      </c>
      <c r="AW10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07" s="354">
        <f>(Table1[[#This Row],[Deadtime Loss BoSync]]+Table1[[#This Row],[RDS(on) Loss BoSync]]*(1+RdsonBotTc*Ta-RdsonBotTc*25))/(1-Table1[[#This Row],[RDS(on) Loss BoSync]]*RdsonBotTc*ThetaJA_Q3)</f>
        <v>0.72085958042884679</v>
      </c>
      <c r="AY107" s="354">
        <f>CHOOSE(Table1[[#This Row],[Mode Digit]], Rdson3*Table1[[#This Row],[Irms Lf]]^2, Rdson1*Table1[[#This Row],[Irms Lf]]^2, 0)</f>
        <v>0.61454024659307327</v>
      </c>
      <c r="AZ107" s="354">
        <f>CHOOSE(Table1[[#This Row],[Mode Digit]], 2*Deadtime*Fsw*IF(VfdSky_Q2&gt;0,VfdSky_Q2,0)*Table1[[#This Row],[Iout]], 2*Deadtime*Fsw*IF(VfdSky_Q3&gt;0,VfdSky_Q3,0)*Table1[[#This Row],[Iin]], 2*Deadtime*Fsw*IF(VfdSky_Q2&gt;0,VfdSky_Q2,0)*Table1[[#This Row],[Iout]]+2*Deadtime*Fsw*IF(VfdSky_Q3&gt;0,VfdSky_Q3,0)*Table1[[#This Row],[Iin]])</f>
        <v>0</v>
      </c>
      <c r="BA107" s="354">
        <f>CHOOSE(Table1[[#This Row],[Mode Digit]], IF(QrrSky_Q2&gt;0,QrrSky_Q2,Qrr_Q2)*Fsw*(Table1[[#This Row],[Vin]]-Table1[[#This Row],[Iout]]*Rdson1),0,  IF(QrrSky_Q2&gt;0,QrrSky_Q2,Qrr_Q2)*Fsw*(Table1[[#This Row],[Vin]]-Table1[[#This Row],[Iout]]*Rdson1)+IF(QrrSky_Q3&gt;0,QrrSky_Q3,Qrr_Q3)*Fsw*Vout)</f>
        <v>0.40403519999999993</v>
      </c>
      <c r="BB107" s="354">
        <f>CHOOSE(Table1[[#This Row],[Mode Digit]],0, IF(QrrSky_Q3&gt;0,QrrSky_Q3,Qrr_Q3)*Fsw*Vout,  IF(QrrSky_Q2&gt;0,QrrSky_Q2,Qrr_Q2)*Fsw*(Table1[[#This Row],[Vin]]-Table1[[#This Row],[Iout]]*Rdson1)+IF(QrrSky_Q3&gt;0,QrrSky_Q3,Qrr_Q3)*Fsw*Vout)</f>
        <v>0</v>
      </c>
      <c r="BC107" s="354">
        <f>CHOOSE(Table1[[#This Row],[Mode Digit]], Rs*Table1[[#This Row],[Irms BuSync]]^2, Rs*Table1[[#This Row],[Irms BoCtlr]]^2, Rs*(Table1[[#This Row],[Irms BuSync]]^2+Table1[[#This Row],[Irms BoCtlr]]^2))</f>
        <v>0.20593059409644426</v>
      </c>
      <c r="BD107" s="354">
        <f t="shared" si="5"/>
        <v>1.44</v>
      </c>
      <c r="BE107" s="354">
        <f>IF(Vout&gt;8, Iq*Vout, Iq*Table1[[#This Row],[Vin]])</f>
        <v>4.3799999999999999E-2</v>
      </c>
      <c r="BF107" s="354">
        <f>CHOOSE(Table1[[#This Row],[Mode Digit]], (Qg_Q1+Qg_Q2)*Fsw, (Qg_Q3+Qg_Q4)*Fsw, (Qg_Q1+Qg_Q2+Qg_Q3+Qg_Q4)*Fsw)*IF(Vout&gt;8, Vout, Table1[[#This Row],[Vin]])</f>
        <v>0.47303999999999996</v>
      </c>
      <c r="BG107" s="354">
        <f t="shared" si="6"/>
        <v>0.45605042016806729</v>
      </c>
      <c r="BH107" s="354">
        <f>Table1[[#This Row],[IQ Loss]]+Table1[[#This Row],[Switching Current Loss]]</f>
        <v>0.51683999999999997</v>
      </c>
      <c r="BI10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11.347880444687863</v>
      </c>
      <c r="BJ107">
        <f>Vout*Table1[[#This Row],[Iout]]</f>
        <v>175.2</v>
      </c>
      <c r="BK107" s="550">
        <f>Table1[[#This Row],[Pout]]/(Table1[[#This Row],[Pout]]+Table1[[#This Row],[Total Loss]])</f>
        <v>0.93916907328222066</v>
      </c>
      <c r="BL10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274.5662470572592</v>
      </c>
      <c r="BM107" s="559">
        <f>IF(Table1[[#This Row],[Vin]]&gt;Vout, Table1[[#This Row],[Total Sync Bu MOSFET Loss]]*ThetaJA_Q2, ThetaJA_Q3*Table1[[#This Row],[Total Sync Bo MOSFET Loss]])</f>
        <v>60.416549110571182</v>
      </c>
      <c r="BN107" s="9"/>
      <c r="BO107" s="4">
        <f>Table1[[#This Row],[EFF, h]]*100</f>
        <v>93.916907328222067</v>
      </c>
      <c r="BP107" s="354">
        <f>Table1[[#This Row],[Total Inductor Loss]]</f>
        <v>2.3935734983636308</v>
      </c>
      <c r="BQ107" s="354">
        <f>Table1[[#This Row],[Total Control Bu MOSFET Loss]]+Table1[[#This Row],[Total Sync Bu MOSFET Loss]]+Table1[[#This Row],[Total Control Bo MOSFET Loss]]+Table1[[#This Row],[Total Sync Bo MOSFET Loss]]+Table1[[#This Row],[Reverse Recovery Loss MOSFET D BUCK]]+Table1[[#This Row],[Reverse Recovery Loss MOSFET D BOOST]]</f>
        <v>6.7079413832260206</v>
      </c>
      <c r="BR107" s="354">
        <f>Table1[[#This Row],[Total Control Bu MOSFET Loss]]+Table1[[#This Row],[Reverse Recovery Loss MOSFET D BUCK]]*0.66</f>
        <v>4.8427673496209866</v>
      </c>
      <c r="BS107" s="354">
        <f>Table1[[#This Row],[Total Sync Bu MOSFET Loss]]+Table1[[#This Row],[Reverse Recovery Loss MOSFET D BUCK]]*0.33</f>
        <v>1.1402741011761863</v>
      </c>
      <c r="BT107" s="354">
        <f xml:space="preserve"> Table1[[#This Row],[Total Control Bo MOSFET Loss]]+Table1[[#This Row],[Reverse Recovery Loss MOSFET D BOOST]]*0.66</f>
        <v>0</v>
      </c>
      <c r="BU107" s="354">
        <f xml:space="preserve"> Table1[[#This Row],[Total Sync Bo MOSFET Loss]]+Table1[[#This Row],[Reverse Recovery Loss MOSFET D BOOST]]*0.33</f>
        <v>0.72085958042884679</v>
      </c>
      <c r="BV107" s="354">
        <f>Table1[[#This Row],[Isense Shunt Loss]]</f>
        <v>0.20593059409644426</v>
      </c>
      <c r="CB107" s="18"/>
      <c r="CC107" s="19"/>
    </row>
    <row r="108" spans="7:81" x14ac:dyDescent="0.2">
      <c r="G108">
        <v>99</v>
      </c>
      <c r="H108" s="555">
        <f>VIN_min+(VIN_max-VIN_min)*(Table1[[#This Row],[Step]]/200)</f>
        <v>33.86</v>
      </c>
      <c r="I108" s="4" t="str">
        <f>IF(Mode = 2,IF(Table1[[#This Row],[Vin]]&gt;Vout, "BUCK","BOOST"),IF(Table1[[#This Row],[Vin]]&gt;VIN_BB_to_buck, "BUCK", IF(Table1[[#This Row],[Vin]]&lt;=VIN_boost_to_BB,"BOOST","BUCK-BST")))</f>
        <v>BUCK</v>
      </c>
      <c r="J108">
        <f>IF(Table1[[#This Row],[Mode]]="BOOST",2, IF(Table1[[#This Row],[Mode]]="BUCK", 1,3))</f>
        <v>1</v>
      </c>
      <c r="K108">
        <f t="shared" si="4"/>
        <v>12</v>
      </c>
      <c r="L108" s="4">
        <f>Vout*Table1[[#This Row],[Iout]]/(Table1[[#This Row],[Vin]]*Efficiency)</f>
        <v>5.4465756831535428</v>
      </c>
      <c r="M108" s="711">
        <f>MIN(1/Fsw,CHOOSE(Table1[[#This Row],[Mode Digit]],(Vout+(Rdson2+Rs+Rdcr)*Table1[[#This Row],[Iout]])/(Table1[[#This Row],[Vin]]+(Rs+Rdson2-Rdson1)*Table1[[#This Row],[Iout]])/Fsw,(Vout+(Rdson3+Rdcr)*Table1[[#This Row],[Iin]]-Table1[[#This Row],[Vin]])/(Vout+(Rdson3-Rdson4-Rs)*Table1[[#This Row],[Iin]])/Fsw,t1_Ph_II))</f>
        <v>7.2538605291629778E-7</v>
      </c>
      <c r="N108" s="602">
        <f>CHOOSE(Table1[[#This Row],[Mode Digit]],1/Fsw-Table1[[#This Row],[t1_Ph_II]],1/Fsw-Table1[[#This Row],[t1_Ph_II]],(Vout/Fsw-Table1[[#This Row],[Vin]]*t1_Ph_II)/(Table1[[#This Row],[Vin]]+Vout))</f>
        <v>9.4128061375036888E-7</v>
      </c>
      <c r="O108" s="602">
        <f>1/Fsw-(Table1[[#This Row],[t1_Ph_II]]+Table1[[#This Row],[t2_Ph_I]])</f>
        <v>0</v>
      </c>
      <c r="P10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9.353989511521231</v>
      </c>
      <c r="Q108" s="4">
        <f>CHOOSE(Table1[[#This Row],[Mode Digit]],Table1[[#This Row],[I_0]]+1/Lf*(Table1[[#This Row],[Vin]]-Vout)*Table1[[#This Row],[t1_Ph_II]],Table1[[#This Row],[I_0]]+1/Lf*Table1[[#This Row],[Vin]]*Table1[[#This Row],[t1_Ph_II]],Table1[[#This Row],[I_0]]+(Table1[[#This Row],[Vin]]-Vout)/L*Table1[[#This Row],[t1_Ph_II]])</f>
        <v>14.646010488478767</v>
      </c>
      <c r="R108" s="4">
        <f>CHOOSE(Table1[[#This Row],[Mode Digit]],0,0,Table1[[#This Row],[I_1]]+Table1[[#This Row],[Vin]]/L*Table1[[#This Row],[t2_Ph_I]])</f>
        <v>0</v>
      </c>
      <c r="S108" s="4">
        <f>Fsw*(Table1[[#This Row],[I_0]]*Table1[[#This Row],[t1_Ph_II]]+Table1[[#This Row],[I_1]]*Table1[[#This Row],[t2_Ph_I]]+Table1[[#This Row],[I_2]]*Table1[[#This Row],[t3_Ph_III]])</f>
        <v>12.342755563423481</v>
      </c>
      <c r="T108" s="354">
        <f>MIN(1,CHOOSE(Table1[[#This Row],[Mode Digit]],(Vout+(Rdson2+Rs+Rdcr)*Table1[[#This Row],[Iout]])/(Table1[[#This Row],[Vin]]+(Rs+Rdson2-Rdson1)*Table1[[#This Row],[Iout]]),1,Fsw*Table1[[#This Row],[t2_Ph_I]]+Table1[[#This Row],[t1_Ph_II]]))</f>
        <v>0.43523163174977869</v>
      </c>
      <c r="U108" s="354">
        <f>MIN(1,CHOOSE(Table1[[#This Row],[Mode Digit]],0,(Vout+(Rdson3+Rdcr)*Table1[[#This Row],[Iin]]-Table1[[#This Row],[Vin]])/(Vout+(Rdson3-Rdson4-Rs)*Table1[[#This Row],[Iin]]),Fsw*Table1[[#This Row],[t1_Ph_II]]+Table1[[#This Row],[t3_Ph_III]]))</f>
        <v>0</v>
      </c>
      <c r="V108" s="4">
        <f>MAX(Table1[[#This Row],[I_0]:[I_2]])-MIN(Table1[[#This Row],[I_0]:[I_1]])</f>
        <v>5.2920209769575361</v>
      </c>
      <c r="W10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12.096850437271398</v>
      </c>
      <c r="X108" s="354">
        <f>(Table1[[#This Row],[Irms Lf]]^2*Rdcr*(1+Ltc*Ta-Ltc*25))/(1-Table1[[#This Row],[Irms Lf]]^2*Rdcr*Ltc*ThetaCa)</f>
        <v>0.91056213279810372</v>
      </c>
      <c r="Y108" s="354">
        <f>ABS(7.759*10^-3*Fsw^0.9458*(0.00787*Table1[[#This Row],[Ripple Current pk-pk]])^2.304)</f>
        <v>1.4939327748280891</v>
      </c>
      <c r="Z108" s="354">
        <f>Table1[[#This Row],[DCR    Loss]]+Table1[[#This Row],[Core Loss]]</f>
        <v>2.4044949076261926</v>
      </c>
      <c r="AA108" s="4">
        <f>IF(Table1[[#This Row],[Vin]]&gt;Vout, Table1[[#This Row],[Ripple Current pk-pk]]/SQRT(12), SQRT(Table1[[#This Row],[Duty Cycle BOOST Leg]]/(1-Table1[[#This Row],[Duty Cycle BOOST Leg]]))*SQRT(Table1[[#This Row],[Iout]]^2+(Table1[[#This Row],[Ripple Current pk-pk]]^2)/12))</f>
        <v>1.52767486780179</v>
      </c>
      <c r="AB108" s="354">
        <f>RCoutEsr*Table1[[#This Row],[Irms Cout]]^2</f>
        <v>1.1668952508566081E-2</v>
      </c>
      <c r="AC108" s="354">
        <f>Table1[[#This Row],[Cout ESR Loss]]</f>
        <v>1.1668952508566081E-2</v>
      </c>
      <c r="AD108" s="354">
        <f>IF(Table1[[#This Row],[Vin]]&gt;Vout, SQRT(Table1[[#This Row],[Duty Cycle BUCK Leg]]*(1-Table1[[#This Row],[Duty Cycle BUCK Leg]]))*SQRT(Table1[[#This Row],[Iout]]^2+(Table1[[#This Row],[Ripple Current pk-pk]]^2)/12), Table1[[#This Row],[Ripple Current pk-pk]]/SQRT(12))</f>
        <v>5.9974649587159323</v>
      </c>
      <c r="AE108" s="354">
        <f>RCinEsr*Table1[[#This Row],[Irms Cin]]^2</f>
        <v>7.1939171862050996E-2</v>
      </c>
      <c r="AF108" s="549">
        <f>Table1[[#This Row],[Cin ESR Loss]]</f>
        <v>7.1939171862050996E-2</v>
      </c>
      <c r="AG10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7.980544744576707</v>
      </c>
      <c r="AH108" s="354">
        <f>Rdson1*Table1[[#This Row],[Irms BuCtrl]]^2</f>
        <v>0.26749419656480183</v>
      </c>
      <c r="AI108" s="354">
        <f>CHOOSE(Table1[[#This Row],[Mode Digit]], (Table1[[#This Row],[Vin]]*Table1[[#This Row],[Iout]]/2)*(Fsw)*(Tr_buck+Tf_buck), 0, (Table1[[#This Row],[Vin]]*Table1[[#This Row],[Avg IL]]/2)*(Fsw/1)*(Tr_buck+Tf_buck))</f>
        <v>4.0292182162052947</v>
      </c>
      <c r="AJ108">
        <f>IF(Table1[[#This Row],[Vin]]&gt;Vout, IF(Table1[[#This Row],[Iout]]&gt;Table1[[#This Row],[Ripple Current pk-pk]]/2,0,ABS(Table1[[#This Row],[Iout]]-Table1[[#This Row],[Ripple Current pk-pk]]/2)*Vsd_Q1*Deadtime*Fsw),0)</f>
        <v>0</v>
      </c>
      <c r="AK108" s="354">
        <f>(Table1[[#This Row],[Dead Time Loss BuCtrl]]+Table1[[#This Row],[Transition Loss BuCtrl]]+Table1[[#This Row],[RDS(on) Loss BuCtrl]]*(1+RdsonTopTc*Ta-RdsonTopTc*25))/(1-Table1[[#This Row],[RDS(on) Loss BuCtrl]]*RdsonTopTc*ThetaJA_Q1)</f>
        <v>4.591478967349798</v>
      </c>
      <c r="AL108" s="354">
        <f>CHOOSE(Table1[[#This Row],[Mode Digit]],SQRT((Fsw*(Table1[[#This Row],[t2_Ph_I]]+0))*((Table1[[#This Row],[I_0]]*Table1[[#This Row],[I_1]]+((Table1[[#This Row],[I_0]]-Table1[[#This Row],[I_1]])^2)/3))),0,SQRT((Fsw*(Table1[[#This Row],[t3_Ph_III]]+0))*((Table1[[#This Row],[I_0]]*Table1[[#This Row],[I_2]]+((Table1[[#This Row],[I_0]]-Table1[[#This Row],[I_2]])^2)/3))))</f>
        <v>9.090912829937503</v>
      </c>
      <c r="AM108" s="354">
        <f>Rdson2*Table1[[#This Row],[Irms BuSync]]^2</f>
        <v>0.34710772354239372</v>
      </c>
      <c r="AN10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08" s="354">
        <f>(Table1[[#This Row],[Deadtime Loss BuSync]]+Table1[[#This Row],[RDS(on) Loss BuSync]]*(1+RdsonBotTc*Ta-RdsonBotTc*25))/(1-Table1[[#This Row],[RDS(on) Loss BuSync]]*RdsonBotTc*ThetaJA_Q2)</f>
        <v>1.0084924789745804</v>
      </c>
      <c r="AP108" s="354">
        <f>CHOOSE(Table1[[#This Row],[Mode Digit]],0,SQRT((Fsw*(Table1[[#This Row],[t1_Ph_II]]+0))*((Table1[[#This Row],[I_0]]*Table1[[#This Row],[I_1]]+((Table1[[#This Row],[I_0]]-Table1[[#This Row],[I_1]])^2)/3))),SQRT((Fsw*(Table1[[#This Row],[t2_Ph_I]]+0))*((Table1[[#This Row],[I_1]]*Table1[[#This Row],[I_2]]+((Table1[[#This Row],[I_1]]-Table1[[#This Row],[I_2]])^2)/3))))</f>
        <v>0</v>
      </c>
      <c r="AQ108" s="354">
        <f>Rdson4*Table1[[#This Row],[Irms BoCtlr]]^2</f>
        <v>0</v>
      </c>
      <c r="AR108" s="354">
        <f>CHOOSE(Table1[[#This Row],[Mode Digit]], 0, (Vout*Table1[[#This Row],[Iin]]/2)*(Fsw)*(Tr_boost+Tf_boost), (Vout*Iout/2)*(Fsw/1)*(Tr_boost+Tf_boost))</f>
        <v>0</v>
      </c>
      <c r="AS108">
        <f>IF(Table1[[#This Row],[Vin]]&gt;Vout, 0, IF(Table1[[#This Row],[Iin]]&gt;Table1[[#This Row],[Ripple Current pk-pk]]/2,0,ABS(Table1[[#This Row],[Iin]]-Table1[[#This Row],[Ripple Current pk-pk]]/2)*Vsd_Q4*Deadtime*Fsw))</f>
        <v>0</v>
      </c>
      <c r="AT108" s="354">
        <f>(Table1[[#This Row],[Dead Time Loss BoCtlr]]+Table1[[#This Row],[Transition Loss BoCtlr]]+Table1[[#This Row],[RDS(on) Loss BoCtlr]]*(1+RdsonTopTc*Ta-RdsonTopTc*25))/(1-Table1[[#This Row],[RDS(on) Loss BoCtlr]]*RdsonTopTc*ThetaJA_Q4)</f>
        <v>0</v>
      </c>
      <c r="AU10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12.096850437271398</v>
      </c>
      <c r="AV108" s="354">
        <f>Rdson3*Table1[[#This Row],[Irms BoSync]]^2</f>
        <v>0.6146019201071955</v>
      </c>
      <c r="AW10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08" s="354">
        <f>(Table1[[#This Row],[Deadtime Loss BoSync]]+Table1[[#This Row],[RDS(on) Loss BoSync]]*(1+RdsonBotTc*Ta-RdsonBotTc*25))/(1-Table1[[#This Row],[RDS(on) Loss BoSync]]*RdsonBotTc*ThetaJA_Q3)</f>
        <v>0.72094444119027157</v>
      </c>
      <c r="AY108" s="354">
        <f>CHOOSE(Table1[[#This Row],[Mode Digit]], Rdson3*Table1[[#This Row],[Irms Lf]]^2, Rdson1*Table1[[#This Row],[Irms Lf]]^2, 0)</f>
        <v>0.6146019201071955</v>
      </c>
      <c r="AZ108" s="354">
        <f>CHOOSE(Table1[[#This Row],[Mode Digit]], 2*Deadtime*Fsw*IF(VfdSky_Q2&gt;0,VfdSky_Q2,0)*Table1[[#This Row],[Iout]], 2*Deadtime*Fsw*IF(VfdSky_Q3&gt;0,VfdSky_Q3,0)*Table1[[#This Row],[Iin]], 2*Deadtime*Fsw*IF(VfdSky_Q2&gt;0,VfdSky_Q2,0)*Table1[[#This Row],[Iout]]+2*Deadtime*Fsw*IF(VfdSky_Q3&gt;0,VfdSky_Q3,0)*Table1[[#This Row],[Iin]])</f>
        <v>0</v>
      </c>
      <c r="BA108" s="354">
        <f>CHOOSE(Table1[[#This Row],[Mode Digit]], IF(QrrSky_Q2&gt;0,QrrSky_Q2,Qrr_Q2)*Fsw*(Table1[[#This Row],[Vin]]-Table1[[#This Row],[Iout]]*Rdson1),0,  IF(QrrSky_Q2&gt;0,QrrSky_Q2,Qrr_Q2)*Fsw*(Table1[[#This Row],[Vin]]-Table1[[#This Row],[Iout]]*Rdson1)+IF(QrrSky_Q3&gt;0,QrrSky_Q3,Qrr_Q3)*Fsw*Vout)</f>
        <v>0.40571519999999994</v>
      </c>
      <c r="BB108" s="354">
        <f>CHOOSE(Table1[[#This Row],[Mode Digit]],0, IF(QrrSky_Q3&gt;0,QrrSky_Q3,Qrr_Q3)*Fsw*Vout,  IF(QrrSky_Q2&gt;0,QrrSky_Q2,Qrr_Q2)*Fsw*(Table1[[#This Row],[Vin]]-Table1[[#This Row],[Iout]]*Rdson1)+IF(QrrSky_Q3&gt;0,QrrSky_Q3,Qrr_Q3)*Fsw*Vout)</f>
        <v>0</v>
      </c>
      <c r="BC108" s="354">
        <f>CHOOSE(Table1[[#This Row],[Mode Digit]], Rs*Table1[[#This Row],[Irms BuSync]]^2, Rs*Table1[[#This Row],[Irms BoCtlr]]^2, Rs*(Table1[[#This Row],[Irms BuSync]]^2+Table1[[#This Row],[Irms BoCtlr]]^2))</f>
        <v>0.20661174020380574</v>
      </c>
      <c r="BD108" s="354">
        <f t="shared" si="5"/>
        <v>1.44</v>
      </c>
      <c r="BE108" s="354">
        <f>IF(Vout&gt;8, Iq*Vout, Iq*Table1[[#This Row],[Vin]])</f>
        <v>4.3799999999999999E-2</v>
      </c>
      <c r="BF108" s="354">
        <f>CHOOSE(Table1[[#This Row],[Mode Digit]], (Qg_Q1+Qg_Q2)*Fsw, (Qg_Q3+Qg_Q4)*Fsw, (Qg_Q1+Qg_Q2+Qg_Q3+Qg_Q4)*Fsw)*IF(Vout&gt;8, Vout, Table1[[#This Row],[Vin]])</f>
        <v>0.47303999999999996</v>
      </c>
      <c r="BG108" s="354">
        <f t="shared" si="6"/>
        <v>0.45605042016806729</v>
      </c>
      <c r="BH108" s="354">
        <f>Table1[[#This Row],[IQ Loss]]+Table1[[#This Row],[Switching Current Loss]]</f>
        <v>0.51683999999999997</v>
      </c>
      <c r="BI10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11.378185859715265</v>
      </c>
      <c r="BJ108">
        <f>Vout*Table1[[#This Row],[Iout]]</f>
        <v>175.2</v>
      </c>
      <c r="BK108" s="550">
        <f>Table1[[#This Row],[Pout]]/(Table1[[#This Row],[Pout]]+Table1[[#This Row],[Total Loss]])</f>
        <v>0.93901652646429778</v>
      </c>
      <c r="BL10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275.48873804098787</v>
      </c>
      <c r="BM108" s="559">
        <f>IF(Table1[[#This Row],[Vin]]&gt;Vout, Table1[[#This Row],[Total Sync Bu MOSFET Loss]]*ThetaJA_Q2, ThetaJA_Q3*Table1[[#This Row],[Total Sync Bo MOSFET Loss]])</f>
        <v>60.50954873847482</v>
      </c>
      <c r="BN108" s="9"/>
      <c r="BO108" s="4">
        <f>Table1[[#This Row],[EFF, h]]*100</f>
        <v>93.901652646429781</v>
      </c>
      <c r="BP108" s="354">
        <f>Table1[[#This Row],[Total Inductor Loss]]</f>
        <v>2.4044949076261926</v>
      </c>
      <c r="BQ108" s="354">
        <f>Table1[[#This Row],[Total Control Bu MOSFET Loss]]+Table1[[#This Row],[Total Sync Bu MOSFET Loss]]+Table1[[#This Row],[Total Control Bo MOSFET Loss]]+Table1[[#This Row],[Total Sync Bo MOSFET Loss]]+Table1[[#This Row],[Reverse Recovery Loss MOSFET D BUCK]]+Table1[[#This Row],[Reverse Recovery Loss MOSFET D BOOST]]</f>
        <v>6.7266310875146491</v>
      </c>
      <c r="BR108" s="354">
        <f>Table1[[#This Row],[Total Control Bu MOSFET Loss]]+Table1[[#This Row],[Reverse Recovery Loss MOSFET D BUCK]]*0.66</f>
        <v>4.8592509993497979</v>
      </c>
      <c r="BS108" s="354">
        <f>Table1[[#This Row],[Total Sync Bu MOSFET Loss]]+Table1[[#This Row],[Reverse Recovery Loss MOSFET D BUCK]]*0.33</f>
        <v>1.1423784949745803</v>
      </c>
      <c r="BT108" s="354">
        <f xml:space="preserve"> Table1[[#This Row],[Total Control Bo MOSFET Loss]]+Table1[[#This Row],[Reverse Recovery Loss MOSFET D BOOST]]*0.66</f>
        <v>0</v>
      </c>
      <c r="BU108" s="354">
        <f xml:space="preserve"> Table1[[#This Row],[Total Sync Bo MOSFET Loss]]+Table1[[#This Row],[Reverse Recovery Loss MOSFET D BOOST]]*0.33</f>
        <v>0.72094444119027157</v>
      </c>
      <c r="BV108" s="354">
        <f>Table1[[#This Row],[Isense Shunt Loss]]</f>
        <v>0.20661174020380574</v>
      </c>
      <c r="CB108" s="18"/>
      <c r="CC108" s="19"/>
    </row>
    <row r="109" spans="7:81" x14ac:dyDescent="0.2">
      <c r="G109">
        <v>100</v>
      </c>
      <c r="H109" s="555">
        <f>VIN_min+(VIN_max-VIN_min)*(Table1[[#This Row],[Step]]/200)</f>
        <v>34</v>
      </c>
      <c r="I109" s="4" t="str">
        <f>IF(Mode = 2,IF(Table1[[#This Row],[Vin]]&gt;Vout, "BUCK","BOOST"),IF(Table1[[#This Row],[Vin]]&gt;VIN_BB_to_buck, "BUCK", IF(Table1[[#This Row],[Vin]]&lt;=VIN_boost_to_BB,"BOOST","BUCK-BST")))</f>
        <v>BUCK</v>
      </c>
      <c r="J109">
        <f>IF(Table1[[#This Row],[Mode]]="BOOST",2, IF(Table1[[#This Row],[Mode]]="BUCK", 1,3))</f>
        <v>1</v>
      </c>
      <c r="K109">
        <f t="shared" si="4"/>
        <v>12</v>
      </c>
      <c r="L109" s="4">
        <f>Vout*Table1[[#This Row],[Iout]]/(Table1[[#This Row],[Vin]]*Efficiency)</f>
        <v>5.424148606811146</v>
      </c>
      <c r="M109" s="711">
        <f>MIN(1/Fsw,CHOOSE(Table1[[#This Row],[Mode Digit]],(Vout+(Rdson2+Rs+Rdcr)*Table1[[#This Row],[Iout]])/(Table1[[#This Row],[Vin]]+(Rs+Rdson2-Rdson1)*Table1[[#This Row],[Iout]])/Fsw,(Vout+(Rdson3+Rdcr)*Table1[[#This Row],[Iin]]-Table1[[#This Row],[Vin]])/(Vout+(Rdson3-Rdson4-Rs)*Table1[[#This Row],[Iin]])/Fsw,t1_Ph_II))</f>
        <v>7.2240180233127632E-7</v>
      </c>
      <c r="N109" s="602">
        <f>CHOOSE(Table1[[#This Row],[Mode Digit]],1/Fsw-Table1[[#This Row],[t1_Ph_II]],1/Fsw-Table1[[#This Row],[t1_Ph_II]],(Vout/Fsw-Table1[[#This Row],[Vin]]*t1_Ph_II)/(Table1[[#This Row],[Vin]]+Vout))</f>
        <v>9.4426486433539035E-7</v>
      </c>
      <c r="O109" s="602">
        <f>1/Fsw-(Table1[[#This Row],[t1_Ph_II]]+Table1[[#This Row],[t2_Ph_I]])</f>
        <v>0</v>
      </c>
      <c r="P10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9.3457206505252355</v>
      </c>
      <c r="Q109" s="4">
        <f>CHOOSE(Table1[[#This Row],[Mode Digit]],Table1[[#This Row],[I_0]]+1/Lf*(Table1[[#This Row],[Vin]]-Vout)*Table1[[#This Row],[t1_Ph_II]],Table1[[#This Row],[I_0]]+1/Lf*Table1[[#This Row],[Vin]]*Table1[[#This Row],[t1_Ph_II]],Table1[[#This Row],[I_0]]+(Table1[[#This Row],[Vin]]-Vout)/L*Table1[[#This Row],[t1_Ph_II]])</f>
        <v>14.654279349474766</v>
      </c>
      <c r="R109" s="4">
        <f>CHOOSE(Table1[[#This Row],[Mode Digit]],0,0,Table1[[#This Row],[I_1]]+Table1[[#This Row],[Vin]]/L*Table1[[#This Row],[t2_Ph_I]])</f>
        <v>0</v>
      </c>
      <c r="S109" s="4">
        <f>Fsw*(Table1[[#This Row],[I_0]]*Table1[[#This Row],[t1_Ph_II]]+Table1[[#This Row],[I_1]]*Table1[[#This Row],[t2_Ph_I]]+Table1[[#This Row],[I_2]]*Table1[[#This Row],[t3_Ph_III]])</f>
        <v>12.353331926333256</v>
      </c>
      <c r="T109" s="354">
        <f>MIN(1,CHOOSE(Table1[[#This Row],[Mode Digit]],(Vout+(Rdson2+Rs+Rdcr)*Table1[[#This Row],[Iout]])/(Table1[[#This Row],[Vin]]+(Rs+Rdson2-Rdson1)*Table1[[#This Row],[Iout]]),1,Fsw*Table1[[#This Row],[t2_Ph_I]]+Table1[[#This Row],[t1_Ph_II]]))</f>
        <v>0.4334410813987658</v>
      </c>
      <c r="U109" s="354">
        <f>MIN(1,CHOOSE(Table1[[#This Row],[Mode Digit]],0,(Vout+(Rdson3+Rdcr)*Table1[[#This Row],[Iin]]-Table1[[#This Row],[Vin]])/(Vout+(Rdson3-Rdson4-Rs)*Table1[[#This Row],[Iin]]),Fsw*Table1[[#This Row],[t1_Ph_II]]+Table1[[#This Row],[t3_Ph_III]]))</f>
        <v>0</v>
      </c>
      <c r="V109" s="4">
        <f>MAX(Table1[[#This Row],[I_0]:[I_2]])-MIN(Table1[[#This Row],[I_0]:[I_1]])</f>
        <v>5.3085586989495308</v>
      </c>
      <c r="W10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12.097454262020699</v>
      </c>
      <c r="X109" s="354">
        <f>(Table1[[#This Row],[Irms Lf]]^2*Rdcr*(1+Ltc*Ta-Ltc*25))/(1-Table1[[#This Row],[Irms Lf]]^2*Rdcr*Ltc*ThetaCa)</f>
        <v>0.9106596607595755</v>
      </c>
      <c r="Y109" s="354">
        <f>ABS(7.759*10^-3*Fsw^0.9458*(0.00787*Table1[[#This Row],[Ripple Current pk-pk]])^2.304)</f>
        <v>1.5047111159023929</v>
      </c>
      <c r="Z109" s="354">
        <f>Table1[[#This Row],[DCR    Loss]]+Table1[[#This Row],[Core Loss]]</f>
        <v>2.4153707766619683</v>
      </c>
      <c r="AA109" s="4">
        <f>IF(Table1[[#This Row],[Vin]]&gt;Vout, Table1[[#This Row],[Ripple Current pk-pk]]/SQRT(12), SQRT(Table1[[#This Row],[Duty Cycle BOOST Leg]]/(1-Table1[[#This Row],[Duty Cycle BOOST Leg]]))*SQRT(Table1[[#This Row],[Iout]]^2+(Table1[[#This Row],[Ripple Current pk-pk]]^2)/12))</f>
        <v>1.5324488969237207</v>
      </c>
      <c r="AB109" s="354">
        <f>RCoutEsr*Table1[[#This Row],[Irms Cout]]^2</f>
        <v>1.1741998108413641E-2</v>
      </c>
      <c r="AC109" s="354">
        <f>Table1[[#This Row],[Cout ESR Loss]]</f>
        <v>1.1741998108413641E-2</v>
      </c>
      <c r="AD109" s="354">
        <f>IF(Table1[[#This Row],[Vin]]&gt;Vout, SQRT(Table1[[#This Row],[Duty Cycle BUCK Leg]]*(1-Table1[[#This Row],[Duty Cycle BUCK Leg]]))*SQRT(Table1[[#This Row],[Iout]]^2+(Table1[[#This Row],[Ripple Current pk-pk]]^2)/12), Table1[[#This Row],[Ripple Current pk-pk]]/SQRT(12))</f>
        <v>5.9948947760274169</v>
      </c>
      <c r="AE109" s="354">
        <f>RCinEsr*Table1[[#This Row],[Irms Cin]]^2</f>
        <v>7.1877526751281617E-2</v>
      </c>
      <c r="AF109" s="549">
        <f>Table1[[#This Row],[Cin ESR Loss]]</f>
        <v>7.1877526751281617E-2</v>
      </c>
      <c r="AG10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7.9645093127574977</v>
      </c>
      <c r="AH109" s="354">
        <f>Rdson1*Table1[[#This Row],[Irms BuCtrl]]^2</f>
        <v>0.26642031609060385</v>
      </c>
      <c r="AI109" s="354">
        <f>CHOOSE(Table1[[#This Row],[Mode Digit]], (Table1[[#This Row],[Vin]]*Table1[[#This Row],[Iout]]/2)*(Fsw)*(Tr_buck+Tf_buck), 0, (Table1[[#This Row],[Vin]]*Table1[[#This Row],[Avg IL]]/2)*(Fsw/1)*(Tr_buck+Tf_buck))</f>
        <v>4.0458777126692267</v>
      </c>
      <c r="AJ109">
        <f>IF(Table1[[#This Row],[Vin]]&gt;Vout, IF(Table1[[#This Row],[Iout]]&gt;Table1[[#This Row],[Ripple Current pk-pk]]/2,0,ABS(Table1[[#This Row],[Iout]]-Table1[[#This Row],[Ripple Current pk-pk]]/2)*Vsd_Q1*Deadtime*Fsw),0)</f>
        <v>0</v>
      </c>
      <c r="AK109" s="354">
        <f>(Table1[[#This Row],[Dead Time Loss BuCtrl]]+Table1[[#This Row],[Transition Loss BuCtrl]]+Table1[[#This Row],[RDS(on) Loss BuCtrl]]*(1+RdsonTopTc*Ta-RdsonTopTc*25))/(1-Table1[[#This Row],[RDS(on) Loss BuCtrl]]*RdsonTopTc*ThetaJA_Q1)</f>
        <v>4.6068650126451924</v>
      </c>
      <c r="AL109" s="354">
        <f>CHOOSE(Table1[[#This Row],[Mode Digit]],SQRT((Fsw*(Table1[[#This Row],[t2_Ph_I]]+0))*((Table1[[#This Row],[I_0]]*Table1[[#This Row],[I_1]]+((Table1[[#This Row],[I_0]]-Table1[[#This Row],[I_1]])^2)/3))),0,SQRT((Fsw*(Table1[[#This Row],[t3_Ph_III]]+0))*((Table1[[#This Row],[I_0]]*Table1[[#This Row],[I_2]]+((Table1[[#This Row],[I_0]]-Table1[[#This Row],[I_2]])^2)/3))))</f>
        <v>9.105766910517854</v>
      </c>
      <c r="AM109" s="354">
        <f>Rdson2*Table1[[#This Row],[Irms BuSync]]^2</f>
        <v>0.34824296232046392</v>
      </c>
      <c r="AN10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09" s="354">
        <f>(Table1[[#This Row],[Deadtime Loss BuSync]]+Table1[[#This Row],[RDS(on) Loss BuSync]]*(1+RdsonBotTc*Ta-RdsonBotTc*25))/(1-Table1[[#This Row],[RDS(on) Loss BuSync]]*RdsonBotTc*ThetaJA_Q2)</f>
        <v>1.010031082806871</v>
      </c>
      <c r="AP109" s="354">
        <f>CHOOSE(Table1[[#This Row],[Mode Digit]],0,SQRT((Fsw*(Table1[[#This Row],[t1_Ph_II]]+0))*((Table1[[#This Row],[I_0]]*Table1[[#This Row],[I_1]]+((Table1[[#This Row],[I_0]]-Table1[[#This Row],[I_1]])^2)/3))),SQRT((Fsw*(Table1[[#This Row],[t2_Ph_I]]+0))*((Table1[[#This Row],[I_1]]*Table1[[#This Row],[I_2]]+((Table1[[#This Row],[I_1]]-Table1[[#This Row],[I_2]])^2)/3))))</f>
        <v>0</v>
      </c>
      <c r="AQ109" s="354">
        <f>Rdson4*Table1[[#This Row],[Irms BoCtlr]]^2</f>
        <v>0</v>
      </c>
      <c r="AR109" s="354">
        <f>CHOOSE(Table1[[#This Row],[Mode Digit]], 0, (Vout*Table1[[#This Row],[Iin]]/2)*(Fsw)*(Tr_boost+Tf_boost), (Vout*Iout/2)*(Fsw/1)*(Tr_boost+Tf_boost))</f>
        <v>0</v>
      </c>
      <c r="AS109">
        <f>IF(Table1[[#This Row],[Vin]]&gt;Vout, 0, IF(Table1[[#This Row],[Iin]]&gt;Table1[[#This Row],[Ripple Current pk-pk]]/2,0,ABS(Table1[[#This Row],[Iin]]-Table1[[#This Row],[Ripple Current pk-pk]]/2)*Vsd_Q4*Deadtime*Fsw))</f>
        <v>0</v>
      </c>
      <c r="AT109" s="354">
        <f>(Table1[[#This Row],[Dead Time Loss BoCtlr]]+Table1[[#This Row],[Transition Loss BoCtlr]]+Table1[[#This Row],[RDS(on) Loss BoCtlr]]*(1+RdsonTopTc*Ta-RdsonTopTc*25))/(1-Table1[[#This Row],[RDS(on) Loss BoCtlr]]*RdsonTopTc*ThetaJA_Q4)</f>
        <v>0</v>
      </c>
      <c r="AU10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12.097454262020699</v>
      </c>
      <c r="AV109" s="354">
        <f>Rdson3*Table1[[#This Row],[Irms BoSync]]^2</f>
        <v>0.61466327841106772</v>
      </c>
      <c r="AW10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09" s="354">
        <f>(Table1[[#This Row],[Deadtime Loss BoSync]]+Table1[[#This Row],[RDS(on) Loss BoSync]]*(1+RdsonBotTc*Ta-RdsonBotTc*25))/(1-Table1[[#This Row],[RDS(on) Loss BoSync]]*RdsonBotTc*ThetaJA_Q3)</f>
        <v>0.7210288711569085</v>
      </c>
      <c r="AY109" s="354">
        <f>CHOOSE(Table1[[#This Row],[Mode Digit]], Rdson3*Table1[[#This Row],[Irms Lf]]^2, Rdson1*Table1[[#This Row],[Irms Lf]]^2, 0)</f>
        <v>0.61466327841106772</v>
      </c>
      <c r="AZ109" s="354">
        <f>CHOOSE(Table1[[#This Row],[Mode Digit]], 2*Deadtime*Fsw*IF(VfdSky_Q2&gt;0,VfdSky_Q2,0)*Table1[[#This Row],[Iout]], 2*Deadtime*Fsw*IF(VfdSky_Q3&gt;0,VfdSky_Q3,0)*Table1[[#This Row],[Iin]], 2*Deadtime*Fsw*IF(VfdSky_Q2&gt;0,VfdSky_Q2,0)*Table1[[#This Row],[Iout]]+2*Deadtime*Fsw*IF(VfdSky_Q3&gt;0,VfdSky_Q3,0)*Table1[[#This Row],[Iin]])</f>
        <v>0</v>
      </c>
      <c r="BA109" s="354">
        <f>CHOOSE(Table1[[#This Row],[Mode Digit]], IF(QrrSky_Q2&gt;0,QrrSky_Q2,Qrr_Q2)*Fsw*(Table1[[#This Row],[Vin]]-Table1[[#This Row],[Iout]]*Rdson1),0,  IF(QrrSky_Q2&gt;0,QrrSky_Q2,Qrr_Q2)*Fsw*(Table1[[#This Row],[Vin]]-Table1[[#This Row],[Iout]]*Rdson1)+IF(QrrSky_Q3&gt;0,QrrSky_Q3,Qrr_Q3)*Fsw*Vout)</f>
        <v>0.40739519999999996</v>
      </c>
      <c r="BB109" s="354">
        <f>CHOOSE(Table1[[#This Row],[Mode Digit]],0, IF(QrrSky_Q3&gt;0,QrrSky_Q3,Qrr_Q3)*Fsw*Vout,  IF(QrrSky_Q2&gt;0,QrrSky_Q2,Qrr_Q2)*Fsw*(Table1[[#This Row],[Vin]]-Table1[[#This Row],[Iout]]*Rdson1)+IF(QrrSky_Q3&gt;0,QrrSky_Q3,Qrr_Q3)*Fsw*Vout)</f>
        <v>0</v>
      </c>
      <c r="BC109" s="354">
        <f>CHOOSE(Table1[[#This Row],[Mode Digit]], Rs*Table1[[#This Row],[Irms BuSync]]^2, Rs*Table1[[#This Row],[Irms BoCtlr]]^2, Rs*(Table1[[#This Row],[Irms BuSync]]^2+Table1[[#This Row],[Irms BoCtlr]]^2))</f>
        <v>0.20728747757170468</v>
      </c>
      <c r="BD109" s="354">
        <f t="shared" si="5"/>
        <v>1.44</v>
      </c>
      <c r="BE109" s="354">
        <f>IF(Vout&gt;8, Iq*Vout, Iq*Table1[[#This Row],[Vin]])</f>
        <v>4.3799999999999999E-2</v>
      </c>
      <c r="BF109" s="354">
        <f>CHOOSE(Table1[[#This Row],[Mode Digit]], (Qg_Q1+Qg_Q2)*Fsw, (Qg_Q3+Qg_Q4)*Fsw, (Qg_Q1+Qg_Q2+Qg_Q3+Qg_Q4)*Fsw)*IF(Vout&gt;8, Vout, Table1[[#This Row],[Vin]])</f>
        <v>0.47303999999999996</v>
      </c>
      <c r="BG109" s="354">
        <f t="shared" si="6"/>
        <v>0.45605042016806729</v>
      </c>
      <c r="BH109" s="354">
        <f>Table1[[#This Row],[IQ Loss]]+Table1[[#This Row],[Switching Current Loss]]</f>
        <v>0.51683999999999997</v>
      </c>
      <c r="BI10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11.408437945702339</v>
      </c>
      <c r="BJ109">
        <f>Vout*Table1[[#This Row],[Iout]]</f>
        <v>175.2</v>
      </c>
      <c r="BK109" s="550">
        <f>Table1[[#This Row],[Pout]]/(Table1[[#This Row],[Pout]]+Table1[[#This Row],[Total Loss]])</f>
        <v>0.93886429750287148</v>
      </c>
      <c r="BL10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276.41190075871157</v>
      </c>
      <c r="BM109" s="559">
        <f>IF(Table1[[#This Row],[Vin]]&gt;Vout, Table1[[#This Row],[Total Sync Bu MOSFET Loss]]*ThetaJA_Q2, ThetaJA_Q3*Table1[[#This Row],[Total Sync Bo MOSFET Loss]])</f>
        <v>60.601864968412265</v>
      </c>
      <c r="BN109" s="9"/>
      <c r="BO109" s="4">
        <f>Table1[[#This Row],[EFF, h]]*100</f>
        <v>93.886429750287149</v>
      </c>
      <c r="BP109" s="354">
        <f>Table1[[#This Row],[Total Inductor Loss]]</f>
        <v>2.4153707766619683</v>
      </c>
      <c r="BQ109" s="354">
        <f>Table1[[#This Row],[Total Control Bu MOSFET Loss]]+Table1[[#This Row],[Total Sync Bu MOSFET Loss]]+Table1[[#This Row],[Total Control Bo MOSFET Loss]]+Table1[[#This Row],[Total Sync Bo MOSFET Loss]]+Table1[[#This Row],[Reverse Recovery Loss MOSFET D BUCK]]+Table1[[#This Row],[Reverse Recovery Loss MOSFET D BOOST]]</f>
        <v>6.7453201666089724</v>
      </c>
      <c r="BR109" s="354">
        <f>Table1[[#This Row],[Total Control Bu MOSFET Loss]]+Table1[[#This Row],[Reverse Recovery Loss MOSFET D BUCK]]*0.66</f>
        <v>4.8757458446451922</v>
      </c>
      <c r="BS109" s="354">
        <f>Table1[[#This Row],[Total Sync Bu MOSFET Loss]]+Table1[[#This Row],[Reverse Recovery Loss MOSFET D BUCK]]*0.33</f>
        <v>1.1444714988068709</v>
      </c>
      <c r="BT109" s="354">
        <f xml:space="preserve"> Table1[[#This Row],[Total Control Bo MOSFET Loss]]+Table1[[#This Row],[Reverse Recovery Loss MOSFET D BOOST]]*0.66</f>
        <v>0</v>
      </c>
      <c r="BU109" s="354">
        <f xml:space="preserve"> Table1[[#This Row],[Total Sync Bo MOSFET Loss]]+Table1[[#This Row],[Reverse Recovery Loss MOSFET D BOOST]]*0.33</f>
        <v>0.7210288711569085</v>
      </c>
      <c r="BV109" s="354">
        <f>Table1[[#This Row],[Isense Shunt Loss]]</f>
        <v>0.20728747757170468</v>
      </c>
      <c r="CB109" s="18"/>
      <c r="CC109" s="19"/>
    </row>
    <row r="110" spans="7:81" x14ac:dyDescent="0.2">
      <c r="G110">
        <v>101</v>
      </c>
      <c r="H110" s="555">
        <f>VIN_min+(VIN_max-VIN_min)*(Table1[[#This Row],[Step]]/200)</f>
        <v>34.14</v>
      </c>
      <c r="I110" s="4" t="str">
        <f>IF(Mode = 2,IF(Table1[[#This Row],[Vin]]&gt;Vout, "BUCK","BOOST"),IF(Table1[[#This Row],[Vin]]&gt;VIN_BB_to_buck, "BUCK", IF(Table1[[#This Row],[Vin]]&lt;=VIN_boost_to_BB,"BOOST","BUCK-BST")))</f>
        <v>BUCK</v>
      </c>
      <c r="J110">
        <f>IF(Table1[[#This Row],[Mode]]="BOOST",2, IF(Table1[[#This Row],[Mode]]="BUCK", 1,3))</f>
        <v>1</v>
      </c>
      <c r="K110">
        <f t="shared" si="4"/>
        <v>12</v>
      </c>
      <c r="L110" s="4">
        <f>Vout*Table1[[#This Row],[Iout]]/(Table1[[#This Row],[Vin]]*Efficiency)</f>
        <v>5.4019054666543331</v>
      </c>
      <c r="M110" s="711">
        <f>MIN(1/Fsw,CHOOSE(Table1[[#This Row],[Mode Digit]],(Vout+(Rdson2+Rs+Rdcr)*Table1[[#This Row],[Iout]])/(Table1[[#This Row],[Vin]]+(Rs+Rdson2-Rdson1)*Table1[[#This Row],[Iout]])/Fsw,(Vout+(Rdson3+Rdcr)*Table1[[#This Row],[Iin]]-Table1[[#This Row],[Vin]])/(Vout+(Rdson3-Rdson4-Rs)*Table1[[#This Row],[Iin]])/Fsw,t1_Ph_II))</f>
        <v>7.1944200565798457E-7</v>
      </c>
      <c r="N110" s="602">
        <f>CHOOSE(Table1[[#This Row],[Mode Digit]],1/Fsw-Table1[[#This Row],[t1_Ph_II]],1/Fsw-Table1[[#This Row],[t1_Ph_II]],(Vout/Fsw-Table1[[#This Row],[Vin]]*t1_Ph_II)/(Table1[[#This Row],[Vin]]+Vout))</f>
        <v>9.4722466100868209E-7</v>
      </c>
      <c r="O110" s="602">
        <f>1/Fsw-(Table1[[#This Row],[t1_Ph_II]]+Table1[[#This Row],[t2_Ph_I]])</f>
        <v>0</v>
      </c>
      <c r="P11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9.337519547242989</v>
      </c>
      <c r="Q110" s="4">
        <f>CHOOSE(Table1[[#This Row],[Mode Digit]],Table1[[#This Row],[I_0]]+1/Lf*(Table1[[#This Row],[Vin]]-Vout)*Table1[[#This Row],[t1_Ph_II]],Table1[[#This Row],[I_0]]+1/Lf*Table1[[#This Row],[Vin]]*Table1[[#This Row],[t1_Ph_II]],Table1[[#This Row],[I_0]]+(Table1[[#This Row],[Vin]]-Vout)/L*Table1[[#This Row],[t1_Ph_II]])</f>
        <v>14.662480452757011</v>
      </c>
      <c r="R110" s="4">
        <f>CHOOSE(Table1[[#This Row],[Mode Digit]],0,0,Table1[[#This Row],[I_1]]+Table1[[#This Row],[Vin]]/L*Table1[[#This Row],[t2_Ph_I]])</f>
        <v>0</v>
      </c>
      <c r="S110" s="4">
        <f>Fsw*(Table1[[#This Row],[I_0]]*Table1[[#This Row],[t1_Ph_II]]+Table1[[#This Row],[I_1]]*Table1[[#This Row],[t2_Ph_I]]+Table1[[#This Row],[I_2]]*Table1[[#This Row],[t3_Ph_III]])</f>
        <v>12.363880120408993</v>
      </c>
      <c r="T110" s="354">
        <f>MIN(1,CHOOSE(Table1[[#This Row],[Mode Digit]],(Vout+(Rdson2+Rs+Rdcr)*Table1[[#This Row],[Iout]])/(Table1[[#This Row],[Vin]]+(Rs+Rdson2-Rdson1)*Table1[[#This Row],[Iout]]),1,Fsw*Table1[[#This Row],[t2_Ph_I]]+Table1[[#This Row],[t1_Ph_II]]))</f>
        <v>0.43166520339479075</v>
      </c>
      <c r="U110" s="354">
        <f>MIN(1,CHOOSE(Table1[[#This Row],[Mode Digit]],0,(Vout+(Rdson3+Rdcr)*Table1[[#This Row],[Iin]]-Table1[[#This Row],[Vin]])/(Vout+(Rdson3-Rdson4-Rs)*Table1[[#This Row],[Iin]]),Fsw*Table1[[#This Row],[t1_Ph_II]]+Table1[[#This Row],[t3_Ph_III]]))</f>
        <v>0</v>
      </c>
      <c r="V110" s="4">
        <f>MAX(Table1[[#This Row],[I_0]:[I_2]])-MIN(Table1[[#This Row],[I_0]:[I_1]])</f>
        <v>5.3249609055140219</v>
      </c>
      <c r="W11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12.098054969860694</v>
      </c>
      <c r="X110" s="354">
        <f>(Table1[[#This Row],[Irms Lf]]^2*Rdcr*(1+Ltc*Ta-Ltc*25))/(1-Table1[[#This Row],[Irms Lf]]^2*Rdcr*Ltc*ThetaCa)</f>
        <v>0.91075669152534211</v>
      </c>
      <c r="Y110" s="354">
        <f>ABS(7.759*10^-3*Fsw^0.9458*(0.00787*Table1[[#This Row],[Ripple Current pk-pk]])^2.304)</f>
        <v>1.5154444722590306</v>
      </c>
      <c r="Z110" s="354">
        <f>Table1[[#This Row],[DCR    Loss]]+Table1[[#This Row],[Core Loss]]</f>
        <v>2.4262011637843726</v>
      </c>
      <c r="AA110" s="4">
        <f>IF(Table1[[#This Row],[Vin]]&gt;Vout, Table1[[#This Row],[Ripple Current pk-pk]]/SQRT(12), SQRT(Table1[[#This Row],[Duty Cycle BOOST Leg]]/(1-Table1[[#This Row],[Duty Cycle BOOST Leg]]))*SQRT(Table1[[#This Row],[Iout]]^2+(Table1[[#This Row],[Ripple Current pk-pk]]^2)/12))</f>
        <v>1.5371838061113769</v>
      </c>
      <c r="AB110" s="354">
        <f>RCoutEsr*Table1[[#This Row],[Irms Cout]]^2</f>
        <v>1.1814670268855297E-2</v>
      </c>
      <c r="AC110" s="354">
        <f>Table1[[#This Row],[Cout ESR Loss]]</f>
        <v>1.1814670268855297E-2</v>
      </c>
      <c r="AD110" s="354">
        <f>IF(Table1[[#This Row],[Vin]]&gt;Vout, SQRT(Table1[[#This Row],[Duty Cycle BUCK Leg]]*(1-Table1[[#This Row],[Duty Cycle BUCK Leg]]))*SQRT(Table1[[#This Row],[Iout]]^2+(Table1[[#This Row],[Ripple Current pk-pk]]^2)/12), Table1[[#This Row],[Ripple Current pk-pk]]/SQRT(12))</f>
        <v>5.9922675719720813</v>
      </c>
      <c r="AE110" s="354">
        <f>RCinEsr*Table1[[#This Row],[Irms Cin]]^2</f>
        <v>7.1814541308216365E-2</v>
      </c>
      <c r="AF110" s="549">
        <f>Table1[[#This Row],[Cin ESR Loss]]</f>
        <v>7.1814541308216365E-2</v>
      </c>
      <c r="AG11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7.9485712991568134</v>
      </c>
      <c r="AH110" s="354">
        <f>Rdson1*Table1[[#This Row],[Irms BuCtrl]]^2</f>
        <v>0.26535509993067363</v>
      </c>
      <c r="AI110" s="354">
        <f>CHOOSE(Table1[[#This Row],[Mode Digit]], (Table1[[#This Row],[Vin]]*Table1[[#This Row],[Iout]]/2)*(Fsw)*(Tr_buck+Tf_buck), 0, (Table1[[#This Row],[Vin]]*Table1[[#This Row],[Avg IL]]/2)*(Fsw/1)*(Tr_buck+Tf_buck))</f>
        <v>4.0625372091331586</v>
      </c>
      <c r="AJ110">
        <f>IF(Table1[[#This Row],[Vin]]&gt;Vout, IF(Table1[[#This Row],[Iout]]&gt;Table1[[#This Row],[Ripple Current pk-pk]]/2,0,ABS(Table1[[#This Row],[Iout]]-Table1[[#This Row],[Ripple Current pk-pk]]/2)*Vsd_Q1*Deadtime*Fsw),0)</f>
        <v>0</v>
      </c>
      <c r="AK110" s="354">
        <f>(Table1[[#This Row],[Dead Time Loss BuCtrl]]+Table1[[#This Row],[Transition Loss BuCtrl]]+Table1[[#This Row],[RDS(on) Loss BuCtrl]]*(1+RdsonTopTc*Ta-RdsonTopTc*25))/(1-Table1[[#This Row],[RDS(on) Loss BuCtrl]]*RdsonTopTc*ThetaJA_Q1)</f>
        <v>4.6222621066346665</v>
      </c>
      <c r="AL110" s="354">
        <f>CHOOSE(Table1[[#This Row],[Mode Digit]],SQRT((Fsw*(Table1[[#This Row],[t2_Ph_I]]+0))*((Table1[[#This Row],[I_0]]*Table1[[#This Row],[I_1]]+((Table1[[#This Row],[I_0]]-Table1[[#This Row],[I_1]])^2)/3))),0,SQRT((Fsw*(Table1[[#This Row],[t3_Ph_III]]+0))*((Table1[[#This Row],[I_0]]*Table1[[#This Row],[I_2]]+((Table1[[#This Row],[I_0]]-Table1[[#This Row],[I_2]])^2)/3))))</f>
        <v>9.1204796121690688</v>
      </c>
      <c r="AM110" s="354">
        <f>Rdson2*Table1[[#This Row],[Irms BuSync]]^2</f>
        <v>0.34936922309516499</v>
      </c>
      <c r="AN11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10" s="354">
        <f>(Table1[[#This Row],[Deadtime Loss BuSync]]+Table1[[#This Row],[RDS(on) Loss BuSync]]*(1+RdsonBotTc*Ta-RdsonBotTc*25))/(1-Table1[[#This Row],[RDS(on) Loss BuSync]]*RdsonBotTc*ThetaJA_Q2)</f>
        <v>1.011558422948398</v>
      </c>
      <c r="AP110" s="354">
        <f>CHOOSE(Table1[[#This Row],[Mode Digit]],0,SQRT((Fsw*(Table1[[#This Row],[t1_Ph_II]]+0))*((Table1[[#This Row],[I_0]]*Table1[[#This Row],[I_1]]+((Table1[[#This Row],[I_0]]-Table1[[#This Row],[I_1]])^2)/3))),SQRT((Fsw*(Table1[[#This Row],[t2_Ph_I]]+0))*((Table1[[#This Row],[I_1]]*Table1[[#This Row],[I_2]]+((Table1[[#This Row],[I_1]]-Table1[[#This Row],[I_2]])^2)/3))))</f>
        <v>0</v>
      </c>
      <c r="AQ110" s="354">
        <f>Rdson4*Table1[[#This Row],[Irms BoCtlr]]^2</f>
        <v>0</v>
      </c>
      <c r="AR110" s="354">
        <f>CHOOSE(Table1[[#This Row],[Mode Digit]], 0, (Vout*Table1[[#This Row],[Iin]]/2)*(Fsw)*(Tr_boost+Tf_boost), (Vout*Iout/2)*(Fsw/1)*(Tr_boost+Tf_boost))</f>
        <v>0</v>
      </c>
      <c r="AS110">
        <f>IF(Table1[[#This Row],[Vin]]&gt;Vout, 0, IF(Table1[[#This Row],[Iin]]&gt;Table1[[#This Row],[Ripple Current pk-pk]]/2,0,ABS(Table1[[#This Row],[Iin]]-Table1[[#This Row],[Ripple Current pk-pk]]/2)*Vsd_Q4*Deadtime*Fsw))</f>
        <v>0</v>
      </c>
      <c r="AT110" s="354">
        <f>(Table1[[#This Row],[Dead Time Loss BoCtlr]]+Table1[[#This Row],[Transition Loss BoCtlr]]+Table1[[#This Row],[RDS(on) Loss BoCtlr]]*(1+RdsonTopTc*Ta-RdsonTopTc*25))/(1-Table1[[#This Row],[RDS(on) Loss BoCtlr]]*RdsonTopTc*ThetaJA_Q4)</f>
        <v>0</v>
      </c>
      <c r="AU11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12.098054969860694</v>
      </c>
      <c r="AV110" s="354">
        <f>Rdson3*Table1[[#This Row],[Irms BoSync]]^2</f>
        <v>0.61472432302583857</v>
      </c>
      <c r="AW11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10" s="354">
        <f>(Table1[[#This Row],[Deadtime Loss BoSync]]+Table1[[#This Row],[RDS(on) Loss BoSync]]*(1+RdsonBotTc*Ta-RdsonBotTc*25))/(1-Table1[[#This Row],[RDS(on) Loss BoSync]]*RdsonBotTc*ThetaJA_Q3)</f>
        <v>0.72111287237718669</v>
      </c>
      <c r="AY110" s="354">
        <f>CHOOSE(Table1[[#This Row],[Mode Digit]], Rdson3*Table1[[#This Row],[Irms Lf]]^2, Rdson1*Table1[[#This Row],[Irms Lf]]^2, 0)</f>
        <v>0.61472432302583857</v>
      </c>
      <c r="AZ110" s="354">
        <f>CHOOSE(Table1[[#This Row],[Mode Digit]], 2*Deadtime*Fsw*IF(VfdSky_Q2&gt;0,VfdSky_Q2,0)*Table1[[#This Row],[Iout]], 2*Deadtime*Fsw*IF(VfdSky_Q3&gt;0,VfdSky_Q3,0)*Table1[[#This Row],[Iin]], 2*Deadtime*Fsw*IF(VfdSky_Q2&gt;0,VfdSky_Q2,0)*Table1[[#This Row],[Iout]]+2*Deadtime*Fsw*IF(VfdSky_Q3&gt;0,VfdSky_Q3,0)*Table1[[#This Row],[Iin]])</f>
        <v>0</v>
      </c>
      <c r="BA110" s="354">
        <f>CHOOSE(Table1[[#This Row],[Mode Digit]], IF(QrrSky_Q2&gt;0,QrrSky_Q2,Qrr_Q2)*Fsw*(Table1[[#This Row],[Vin]]-Table1[[#This Row],[Iout]]*Rdson1),0,  IF(QrrSky_Q2&gt;0,QrrSky_Q2,Qrr_Q2)*Fsw*(Table1[[#This Row],[Vin]]-Table1[[#This Row],[Iout]]*Rdson1)+IF(QrrSky_Q3&gt;0,QrrSky_Q3,Qrr_Q3)*Fsw*Vout)</f>
        <v>0.40907519999999997</v>
      </c>
      <c r="BB110" s="354">
        <f>CHOOSE(Table1[[#This Row],[Mode Digit]],0, IF(QrrSky_Q3&gt;0,QrrSky_Q3,Qrr_Q3)*Fsw*Vout,  IF(QrrSky_Q2&gt;0,QrrSky_Q2,Qrr_Q2)*Fsw*(Table1[[#This Row],[Vin]]-Table1[[#This Row],[Iout]]*Rdson1)+IF(QrrSky_Q3&gt;0,QrrSky_Q3,Qrr_Q3)*Fsw*Vout)</f>
        <v>0</v>
      </c>
      <c r="BC110" s="354">
        <f>CHOOSE(Table1[[#This Row],[Mode Digit]], Rs*Table1[[#This Row],[Irms BuSync]]^2, Rs*Table1[[#This Row],[Irms BoCtlr]]^2, Rs*(Table1[[#This Row],[Irms BuSync]]^2+Table1[[#This Row],[Irms BoCtlr]]^2))</f>
        <v>0.20795787088997914</v>
      </c>
      <c r="BD110" s="354">
        <f t="shared" si="5"/>
        <v>1.44</v>
      </c>
      <c r="BE110" s="354">
        <f>IF(Vout&gt;8, Iq*Vout, Iq*Table1[[#This Row],[Vin]])</f>
        <v>4.3799999999999999E-2</v>
      </c>
      <c r="BF110" s="354">
        <f>CHOOSE(Table1[[#This Row],[Mode Digit]], (Qg_Q1+Qg_Q2)*Fsw, (Qg_Q3+Qg_Q4)*Fsw, (Qg_Q1+Qg_Q2+Qg_Q3+Qg_Q4)*Fsw)*IF(Vout&gt;8, Vout, Table1[[#This Row],[Vin]])</f>
        <v>0.47303999999999996</v>
      </c>
      <c r="BG110" s="354">
        <f t="shared" si="6"/>
        <v>0.45605042016806729</v>
      </c>
      <c r="BH110" s="354">
        <f>Table1[[#This Row],[IQ Loss]]+Table1[[#This Row],[Switching Current Loss]]</f>
        <v>0.51683999999999997</v>
      </c>
      <c r="BI11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11.438636848211674</v>
      </c>
      <c r="BJ110">
        <f>Vout*Table1[[#This Row],[Iout]]</f>
        <v>175.2</v>
      </c>
      <c r="BK110" s="550">
        <f>Table1[[#This Row],[Pout]]/(Table1[[#This Row],[Pout]]+Table1[[#This Row],[Total Loss]])</f>
        <v>0.93871238538076973</v>
      </c>
      <c r="BL11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277.33572639808</v>
      </c>
      <c r="BM110" s="559">
        <f>IF(Table1[[#This Row],[Vin]]&gt;Vout, Table1[[#This Row],[Total Sync Bu MOSFET Loss]]*ThetaJA_Q2, ThetaJA_Q3*Table1[[#This Row],[Total Sync Bo MOSFET Loss]])</f>
        <v>60.693505376903886</v>
      </c>
      <c r="BN110" s="9"/>
      <c r="BO110" s="4">
        <f>Table1[[#This Row],[EFF, h]]*100</f>
        <v>93.871238538076966</v>
      </c>
      <c r="BP110" s="354">
        <f>Table1[[#This Row],[Total Inductor Loss]]</f>
        <v>2.4262011637843726</v>
      </c>
      <c r="BQ110" s="354">
        <f>Table1[[#This Row],[Total Control Bu MOSFET Loss]]+Table1[[#This Row],[Total Sync Bu MOSFET Loss]]+Table1[[#This Row],[Total Control Bo MOSFET Loss]]+Table1[[#This Row],[Total Sync Bo MOSFET Loss]]+Table1[[#This Row],[Reverse Recovery Loss MOSFET D BUCK]]+Table1[[#This Row],[Reverse Recovery Loss MOSFET D BOOST]]</f>
        <v>6.764008601960251</v>
      </c>
      <c r="BR110" s="354">
        <f>Table1[[#This Row],[Total Control Bu MOSFET Loss]]+Table1[[#This Row],[Reverse Recovery Loss MOSFET D BUCK]]*0.66</f>
        <v>4.8922517386346662</v>
      </c>
      <c r="BS110" s="354">
        <f>Table1[[#This Row],[Total Sync Bu MOSFET Loss]]+Table1[[#This Row],[Reverse Recovery Loss MOSFET D BUCK]]*0.33</f>
        <v>1.1465532389483981</v>
      </c>
      <c r="BT110" s="354">
        <f xml:space="preserve"> Table1[[#This Row],[Total Control Bo MOSFET Loss]]+Table1[[#This Row],[Reverse Recovery Loss MOSFET D BOOST]]*0.66</f>
        <v>0</v>
      </c>
      <c r="BU110" s="354">
        <f xml:space="preserve"> Table1[[#This Row],[Total Sync Bo MOSFET Loss]]+Table1[[#This Row],[Reverse Recovery Loss MOSFET D BOOST]]*0.33</f>
        <v>0.72111287237718669</v>
      </c>
      <c r="BV110" s="354">
        <f>Table1[[#This Row],[Isense Shunt Loss]]</f>
        <v>0.20795787088997914</v>
      </c>
    </row>
    <row r="111" spans="7:81" x14ac:dyDescent="0.2">
      <c r="G111">
        <v>102</v>
      </c>
      <c r="H111" s="555">
        <f>VIN_min+(VIN_max-VIN_min)*(Table1[[#This Row],[Step]]/200)</f>
        <v>34.28</v>
      </c>
      <c r="I111" s="4" t="str">
        <f>IF(Mode = 2,IF(Table1[[#This Row],[Vin]]&gt;Vout, "BUCK","BOOST"),IF(Table1[[#This Row],[Vin]]&gt;VIN_BB_to_buck, "BUCK", IF(Table1[[#This Row],[Vin]]&lt;=VIN_boost_to_BB,"BOOST","BUCK-BST")))</f>
        <v>BUCK</v>
      </c>
      <c r="J111">
        <f>IF(Table1[[#This Row],[Mode]]="BOOST",2, IF(Table1[[#This Row],[Mode]]="BUCK", 1,3))</f>
        <v>1</v>
      </c>
      <c r="K111">
        <f t="shared" si="4"/>
        <v>12</v>
      </c>
      <c r="L111" s="4">
        <f>Vout*Table1[[#This Row],[Iout]]/(Table1[[#This Row],[Vin]]*Efficiency)</f>
        <v>5.3798440090892337</v>
      </c>
      <c r="M111" s="711">
        <f>MIN(1/Fsw,CHOOSE(Table1[[#This Row],[Mode Digit]],(Vout+(Rdson2+Rs+Rdcr)*Table1[[#This Row],[Iout]])/(Table1[[#This Row],[Vin]]+(Rs+Rdson2-Rdson1)*Table1[[#This Row],[Iout]])/Fsw,(Vout+(Rdson3+Rdcr)*Table1[[#This Row],[Iin]]-Table1[[#This Row],[Vin]])/(Vout+(Rdson3-Rdson4-Rs)*Table1[[#This Row],[Iin]])/Fsw,t1_Ph_II))</f>
        <v>7.1650636354804232E-7</v>
      </c>
      <c r="N111" s="602">
        <f>CHOOSE(Table1[[#This Row],[Mode Digit]],1/Fsw-Table1[[#This Row],[t1_Ph_II]],1/Fsw-Table1[[#This Row],[t1_Ph_II]],(Vout/Fsw-Table1[[#This Row],[Vin]]*t1_Ph_II)/(Table1[[#This Row],[Vin]]+Vout))</f>
        <v>9.5016030311862434E-7</v>
      </c>
      <c r="O111" s="602">
        <f>1/Fsw-(Table1[[#This Row],[t1_Ph_II]]+Table1[[#This Row],[t2_Ph_I]])</f>
        <v>0</v>
      </c>
      <c r="P11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9.3293853722300248</v>
      </c>
      <c r="Q111" s="4">
        <f>CHOOSE(Table1[[#This Row],[Mode Digit]],Table1[[#This Row],[I_0]]+1/Lf*(Table1[[#This Row],[Vin]]-Vout)*Table1[[#This Row],[t1_Ph_II]],Table1[[#This Row],[I_0]]+1/Lf*Table1[[#This Row],[Vin]]*Table1[[#This Row],[t1_Ph_II]],Table1[[#This Row],[I_0]]+(Table1[[#This Row],[Vin]]-Vout)/L*Table1[[#This Row],[t1_Ph_II]])</f>
        <v>14.670614627769975</v>
      </c>
      <c r="R111" s="4">
        <f>CHOOSE(Table1[[#This Row],[Mode Digit]],0,0,Table1[[#This Row],[I_1]]+Table1[[#This Row],[Vin]]/L*Table1[[#This Row],[t2_Ph_I]])</f>
        <v>0</v>
      </c>
      <c r="S111" s="4">
        <f>Fsw*(Table1[[#This Row],[I_0]]*Table1[[#This Row],[t1_Ph_II]]+Table1[[#This Row],[I_1]]*Table1[[#This Row],[t2_Ph_I]]+Table1[[#This Row],[I_2]]*Table1[[#This Row],[t3_Ph_III]])</f>
        <v>12.374399777311966</v>
      </c>
      <c r="T111" s="354">
        <f>MIN(1,CHOOSE(Table1[[#This Row],[Mode Digit]],(Vout+(Rdson2+Rs+Rdcr)*Table1[[#This Row],[Iout]])/(Table1[[#This Row],[Vin]]+(Rs+Rdson2-Rdson1)*Table1[[#This Row],[Iout]]),1,Fsw*Table1[[#This Row],[t2_Ph_I]]+Table1[[#This Row],[t1_Ph_II]]))</f>
        <v>0.42990381812882539</v>
      </c>
      <c r="U111" s="354">
        <f>MIN(1,CHOOSE(Table1[[#This Row],[Mode Digit]],0,(Vout+(Rdson3+Rdcr)*Table1[[#This Row],[Iin]]-Table1[[#This Row],[Vin]])/(Vout+(Rdson3-Rdson4-Rs)*Table1[[#This Row],[Iin]]),Fsw*Table1[[#This Row],[t1_Ph_II]]+Table1[[#This Row],[t3_Ph_III]]))</f>
        <v>0</v>
      </c>
      <c r="V111" s="4">
        <f>MAX(Table1[[#This Row],[I_0]:[I_2]])-MIN(Table1[[#This Row],[I_0]:[I_1]])</f>
        <v>5.3412292555399503</v>
      </c>
      <c r="W11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12.098652576355475</v>
      </c>
      <c r="X111" s="354">
        <f>(Table1[[#This Row],[Irms Lf]]^2*Rdcr*(1+Ltc*Ta-Ltc*25))/(1-Table1[[#This Row],[Irms Lf]]^2*Rdcr*Ltc*ThetaCa)</f>
        <v>0.91085322751305653</v>
      </c>
      <c r="Y111" s="354">
        <f>ABS(7.759*10^-3*Fsw^0.9458*(0.00787*Table1[[#This Row],[Ripple Current pk-pk]])^2.304)</f>
        <v>1.5261329062412188</v>
      </c>
      <c r="Z111" s="354">
        <f>Table1[[#This Row],[DCR    Loss]]+Table1[[#This Row],[Core Loss]]</f>
        <v>2.4369861337542753</v>
      </c>
      <c r="AA111" s="4">
        <f>IF(Table1[[#This Row],[Vin]]&gt;Vout, Table1[[#This Row],[Ripple Current pk-pk]]/SQRT(12), SQRT(Table1[[#This Row],[Duty Cycle BOOST Leg]]/(1-Table1[[#This Row],[Duty Cycle BOOST Leg]]))*SQRT(Table1[[#This Row],[Iout]]^2+(Table1[[#This Row],[Ripple Current pk-pk]]^2)/12))</f>
        <v>1.5418800742447474</v>
      </c>
      <c r="AB111" s="354">
        <f>RCoutEsr*Table1[[#This Row],[Irms Cout]]^2</f>
        <v>1.1886970816764939E-2</v>
      </c>
      <c r="AC111" s="354">
        <f>Table1[[#This Row],[Cout ESR Loss]]</f>
        <v>1.1886970816764939E-2</v>
      </c>
      <c r="AD111" s="354">
        <f>IF(Table1[[#This Row],[Vin]]&gt;Vout, SQRT(Table1[[#This Row],[Duty Cycle BUCK Leg]]*(1-Table1[[#This Row],[Duty Cycle BUCK Leg]]))*SQRT(Table1[[#This Row],[Iout]]^2+(Table1[[#This Row],[Ripple Current pk-pk]]^2)/12), Table1[[#This Row],[Ripple Current pk-pk]]/SQRT(12))</f>
        <v>5.9895848700952525</v>
      </c>
      <c r="AE111" s="354">
        <f>RCinEsr*Table1[[#This Row],[Irms Cin]]^2</f>
        <v>7.175025383214792E-2</v>
      </c>
      <c r="AF111" s="549">
        <f>Table1[[#This Row],[Cin ESR Loss]]</f>
        <v>7.175025383214792E-2</v>
      </c>
      <c r="AG11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7.9327297091589788</v>
      </c>
      <c r="AH111" s="354">
        <f>Rdson1*Table1[[#This Row],[Irms BuCtrl]]^2</f>
        <v>0.26429844268200869</v>
      </c>
      <c r="AI111" s="354">
        <f>CHOOSE(Table1[[#This Row],[Mode Digit]], (Table1[[#This Row],[Vin]]*Table1[[#This Row],[Iout]]/2)*(Fsw)*(Tr_buck+Tf_buck), 0, (Table1[[#This Row],[Vin]]*Table1[[#This Row],[Avg IL]]/2)*(Fsw/1)*(Tr_buck+Tf_buck))</f>
        <v>4.0791967055970915</v>
      </c>
      <c r="AJ111">
        <f>IF(Table1[[#This Row],[Vin]]&gt;Vout, IF(Table1[[#This Row],[Iout]]&gt;Table1[[#This Row],[Ripple Current pk-pk]]/2,0,ABS(Table1[[#This Row],[Iout]]-Table1[[#This Row],[Ripple Current pk-pk]]/2)*Vsd_Q1*Deadtime*Fsw),0)</f>
        <v>0</v>
      </c>
      <c r="AK111" s="354">
        <f>(Table1[[#This Row],[Dead Time Loss BuCtrl]]+Table1[[#This Row],[Transition Loss BuCtrl]]+Table1[[#This Row],[RDS(on) Loss BuCtrl]]*(1+RdsonTopTc*Ta-RdsonTopTc*25))/(1-Table1[[#This Row],[RDS(on) Loss BuCtrl]]*RdsonTopTc*ThetaJA_Q1)</f>
        <v>4.6376701050223774</v>
      </c>
      <c r="AL111" s="354">
        <f>CHOOSE(Table1[[#This Row],[Mode Digit]],SQRT((Fsw*(Table1[[#This Row],[t2_Ph_I]]+0))*((Table1[[#This Row],[I_0]]*Table1[[#This Row],[I_1]]+((Table1[[#This Row],[I_0]]-Table1[[#This Row],[I_1]])^2)/3))),0,SQRT((Fsw*(Table1[[#This Row],[t3_Ph_III]]+0))*((Table1[[#This Row],[I_0]]*Table1[[#This Row],[I_2]]+((Table1[[#This Row],[I_0]]-Table1[[#This Row],[I_2]])^2)/3))))</f>
        <v>9.1350530116020394</v>
      </c>
      <c r="AM111" s="354">
        <f>Rdson2*Table1[[#This Row],[Irms BuSync]]^2</f>
        <v>0.35048661280407389</v>
      </c>
      <c r="AN11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11" s="354">
        <f>(Table1[[#This Row],[Deadtime Loss BuSync]]+Table1[[#This Row],[RDS(on) Loss BuSync]]*(1+RdsonBotTc*Ta-RdsonBotTc*25))/(1-Table1[[#This Row],[RDS(on) Loss BuSync]]*RdsonBotTc*ThetaJA_Q2)</f>
        <v>1.0130746237942396</v>
      </c>
      <c r="AP111" s="354">
        <f>CHOOSE(Table1[[#This Row],[Mode Digit]],0,SQRT((Fsw*(Table1[[#This Row],[t1_Ph_II]]+0))*((Table1[[#This Row],[I_0]]*Table1[[#This Row],[I_1]]+((Table1[[#This Row],[I_0]]-Table1[[#This Row],[I_1]])^2)/3))),SQRT((Fsw*(Table1[[#This Row],[t2_Ph_I]]+0))*((Table1[[#This Row],[I_1]]*Table1[[#This Row],[I_2]]+((Table1[[#This Row],[I_1]]-Table1[[#This Row],[I_2]])^2)/3))))</f>
        <v>0</v>
      </c>
      <c r="AQ111" s="354">
        <f>Rdson4*Table1[[#This Row],[Irms BoCtlr]]^2</f>
        <v>0</v>
      </c>
      <c r="AR111" s="354">
        <f>CHOOSE(Table1[[#This Row],[Mode Digit]], 0, (Vout*Table1[[#This Row],[Iin]]/2)*(Fsw)*(Tr_boost+Tf_boost), (Vout*Iout/2)*(Fsw/1)*(Tr_boost+Tf_boost))</f>
        <v>0</v>
      </c>
      <c r="AS111">
        <f>IF(Table1[[#This Row],[Vin]]&gt;Vout, 0, IF(Table1[[#This Row],[Iin]]&gt;Table1[[#This Row],[Ripple Current pk-pk]]/2,0,ABS(Table1[[#This Row],[Iin]]-Table1[[#This Row],[Ripple Current pk-pk]]/2)*Vsd_Q4*Deadtime*Fsw))</f>
        <v>0</v>
      </c>
      <c r="AT111" s="354">
        <f>(Table1[[#This Row],[Dead Time Loss BoCtlr]]+Table1[[#This Row],[Transition Loss BoCtlr]]+Table1[[#This Row],[RDS(on) Loss BoCtlr]]*(1+RdsonTopTc*Ta-RdsonTopTc*25))/(1-Table1[[#This Row],[RDS(on) Loss BoCtlr]]*RdsonTopTc*ThetaJA_Q4)</f>
        <v>0</v>
      </c>
      <c r="AU11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12.098652576355475</v>
      </c>
      <c r="AV111" s="354">
        <f>Rdson3*Table1[[#This Row],[Irms BoSync]]^2</f>
        <v>0.61478505548608253</v>
      </c>
      <c r="AW11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11" s="354">
        <f>(Table1[[#This Row],[Deadtime Loss BoSync]]+Table1[[#This Row],[RDS(on) Loss BoSync]]*(1+RdsonBotTc*Ta-RdsonBotTc*25))/(1-Table1[[#This Row],[RDS(on) Loss BoSync]]*RdsonBotTc*ThetaJA_Q3)</f>
        <v>0.72119644691852336</v>
      </c>
      <c r="AY111" s="354">
        <f>CHOOSE(Table1[[#This Row],[Mode Digit]], Rdson3*Table1[[#This Row],[Irms Lf]]^2, Rdson1*Table1[[#This Row],[Irms Lf]]^2, 0)</f>
        <v>0.61478505548608253</v>
      </c>
      <c r="AZ111" s="354">
        <f>CHOOSE(Table1[[#This Row],[Mode Digit]], 2*Deadtime*Fsw*IF(VfdSky_Q2&gt;0,VfdSky_Q2,0)*Table1[[#This Row],[Iout]], 2*Deadtime*Fsw*IF(VfdSky_Q3&gt;0,VfdSky_Q3,0)*Table1[[#This Row],[Iin]], 2*Deadtime*Fsw*IF(VfdSky_Q2&gt;0,VfdSky_Q2,0)*Table1[[#This Row],[Iout]]+2*Deadtime*Fsw*IF(VfdSky_Q3&gt;0,VfdSky_Q3,0)*Table1[[#This Row],[Iin]])</f>
        <v>0</v>
      </c>
      <c r="BA111" s="354">
        <f>CHOOSE(Table1[[#This Row],[Mode Digit]], IF(QrrSky_Q2&gt;0,QrrSky_Q2,Qrr_Q2)*Fsw*(Table1[[#This Row],[Vin]]-Table1[[#This Row],[Iout]]*Rdson1),0,  IF(QrrSky_Q2&gt;0,QrrSky_Q2,Qrr_Q2)*Fsw*(Table1[[#This Row],[Vin]]-Table1[[#This Row],[Iout]]*Rdson1)+IF(QrrSky_Q3&gt;0,QrrSky_Q3,Qrr_Q3)*Fsw*Vout)</f>
        <v>0.41075519999999999</v>
      </c>
      <c r="BB111" s="354">
        <f>CHOOSE(Table1[[#This Row],[Mode Digit]],0, IF(QrrSky_Q3&gt;0,QrrSky_Q3,Qrr_Q3)*Fsw*Vout,  IF(QrrSky_Q2&gt;0,QrrSky_Q2,Qrr_Q2)*Fsw*(Table1[[#This Row],[Vin]]-Table1[[#This Row],[Iout]]*Rdson1)+IF(QrrSky_Q3&gt;0,QrrSky_Q3,Qrr_Q3)*Fsw*Vout)</f>
        <v>0</v>
      </c>
      <c r="BC111" s="354">
        <f>CHOOSE(Table1[[#This Row],[Mode Digit]], Rs*Table1[[#This Row],[Irms BuSync]]^2, Rs*Table1[[#This Row],[Irms BoCtlr]]^2, Rs*(Table1[[#This Row],[Irms BuSync]]^2+Table1[[#This Row],[Irms BoCtlr]]^2))</f>
        <v>0.20862298381194871</v>
      </c>
      <c r="BD111" s="354">
        <f t="shared" si="5"/>
        <v>1.44</v>
      </c>
      <c r="BE111" s="354">
        <f>IF(Vout&gt;8, Iq*Vout, Iq*Table1[[#This Row],[Vin]])</f>
        <v>4.3799999999999999E-2</v>
      </c>
      <c r="BF111" s="354">
        <f>CHOOSE(Table1[[#This Row],[Mode Digit]], (Qg_Q1+Qg_Q2)*Fsw, (Qg_Q3+Qg_Q4)*Fsw, (Qg_Q1+Qg_Q2+Qg_Q3+Qg_Q4)*Fsw)*IF(Vout&gt;8, Vout, Table1[[#This Row],[Vin]])</f>
        <v>0.47303999999999996</v>
      </c>
      <c r="BG111" s="354">
        <f t="shared" si="6"/>
        <v>0.45605042016806729</v>
      </c>
      <c r="BH111" s="354">
        <f>Table1[[#This Row],[IQ Loss]]+Table1[[#This Row],[Switching Current Loss]]</f>
        <v>0.51683999999999997</v>
      </c>
      <c r="BI11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11.468782717950276</v>
      </c>
      <c r="BJ111">
        <f>Vout*Table1[[#This Row],[Iout]]</f>
        <v>175.2</v>
      </c>
      <c r="BK111" s="550">
        <f>Table1[[#This Row],[Pout]]/(Table1[[#This Row],[Pout]]+Table1[[#This Row],[Total Loss]])</f>
        <v>0.93856078905662987</v>
      </c>
      <c r="BL11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278.26020630134263</v>
      </c>
      <c r="BM111" s="559">
        <f>IF(Table1[[#This Row],[Vin]]&gt;Vout, Table1[[#This Row],[Total Sync Bu MOSFET Loss]]*ThetaJA_Q2, ThetaJA_Q3*Table1[[#This Row],[Total Sync Bo MOSFET Loss]])</f>
        <v>60.78447742765438</v>
      </c>
      <c r="BN111" s="9"/>
      <c r="BO111" s="4">
        <f>Table1[[#This Row],[EFF, h]]*100</f>
        <v>93.856078905662983</v>
      </c>
      <c r="BP111" s="354">
        <f>Table1[[#This Row],[Total Inductor Loss]]</f>
        <v>2.4369861337542753</v>
      </c>
      <c r="BQ111" s="354">
        <f>Table1[[#This Row],[Total Control Bu MOSFET Loss]]+Table1[[#This Row],[Total Sync Bu MOSFET Loss]]+Table1[[#This Row],[Total Control Bo MOSFET Loss]]+Table1[[#This Row],[Total Sync Bo MOSFET Loss]]+Table1[[#This Row],[Reverse Recovery Loss MOSFET D BUCK]]+Table1[[#This Row],[Reverse Recovery Loss MOSFET D BOOST]]</f>
        <v>6.7826963757351404</v>
      </c>
      <c r="BR111" s="354">
        <f>Table1[[#This Row],[Total Control Bu MOSFET Loss]]+Table1[[#This Row],[Reverse Recovery Loss MOSFET D BUCK]]*0.66</f>
        <v>4.908768537022377</v>
      </c>
      <c r="BS111" s="354">
        <f>Table1[[#This Row],[Total Sync Bu MOSFET Loss]]+Table1[[#This Row],[Reverse Recovery Loss MOSFET D BUCK]]*0.33</f>
        <v>1.1486238397942397</v>
      </c>
      <c r="BT111" s="354">
        <f xml:space="preserve"> Table1[[#This Row],[Total Control Bo MOSFET Loss]]+Table1[[#This Row],[Reverse Recovery Loss MOSFET D BOOST]]*0.66</f>
        <v>0</v>
      </c>
      <c r="BU111" s="354">
        <f xml:space="preserve"> Table1[[#This Row],[Total Sync Bo MOSFET Loss]]+Table1[[#This Row],[Reverse Recovery Loss MOSFET D BOOST]]*0.33</f>
        <v>0.72119644691852336</v>
      </c>
      <c r="BV111" s="354">
        <f>Table1[[#This Row],[Isense Shunt Loss]]</f>
        <v>0.20862298381194871</v>
      </c>
    </row>
    <row r="112" spans="7:81" x14ac:dyDescent="0.2">
      <c r="G112">
        <v>103</v>
      </c>
      <c r="H112" s="555">
        <f>VIN_min+(VIN_max-VIN_min)*(Table1[[#This Row],[Step]]/200)</f>
        <v>34.42</v>
      </c>
      <c r="I112" s="4" t="str">
        <f>IF(Mode = 2,IF(Table1[[#This Row],[Vin]]&gt;Vout, "BUCK","BOOST"),IF(Table1[[#This Row],[Vin]]&gt;VIN_BB_to_buck, "BUCK", IF(Table1[[#This Row],[Vin]]&lt;=VIN_boost_to_BB,"BOOST","BUCK-BST")))</f>
        <v>BUCK</v>
      </c>
      <c r="J112">
        <f>IF(Table1[[#This Row],[Mode]]="BOOST",2, IF(Table1[[#This Row],[Mode]]="BUCK", 1,3))</f>
        <v>1</v>
      </c>
      <c r="K112">
        <f t="shared" si="4"/>
        <v>12</v>
      </c>
      <c r="L112" s="4">
        <f>Vout*Table1[[#This Row],[Iout]]/(Table1[[#This Row],[Vin]]*Efficiency)</f>
        <v>5.3579620171870701</v>
      </c>
      <c r="M112" s="711">
        <f>MIN(1/Fsw,CHOOSE(Table1[[#This Row],[Mode Digit]],(Vout+(Rdson2+Rs+Rdcr)*Table1[[#This Row],[Iout]])/(Table1[[#This Row],[Vin]]+(Rs+Rdson2-Rdson1)*Table1[[#This Row],[Iout]])/Fsw,(Vout+(Rdson3+Rdcr)*Table1[[#This Row],[Iin]]-Table1[[#This Row],[Vin]])/(Vout+(Rdson3-Rdson4-Rs)*Table1[[#This Row],[Iin]])/Fsw,t1_Ph_II))</f>
        <v>7.1359458151910983E-7</v>
      </c>
      <c r="N112" s="602">
        <f>CHOOSE(Table1[[#This Row],[Mode Digit]],1/Fsw-Table1[[#This Row],[t1_Ph_II]],1/Fsw-Table1[[#This Row],[t1_Ph_II]],(Vout/Fsw-Table1[[#This Row],[Vin]]*t1_Ph_II)/(Table1[[#This Row],[Vin]]+Vout))</f>
        <v>9.5307208514755684E-7</v>
      </c>
      <c r="O112" s="602">
        <f>1/Fsw-(Table1[[#This Row],[t1_Ph_II]]+Table1[[#This Row],[t2_Ph_I]])</f>
        <v>0</v>
      </c>
      <c r="P11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9.321317309524856</v>
      </c>
      <c r="Q112" s="4">
        <f>CHOOSE(Table1[[#This Row],[Mode Digit]],Table1[[#This Row],[I_0]]+1/Lf*(Table1[[#This Row],[Vin]]-Vout)*Table1[[#This Row],[t1_Ph_II]],Table1[[#This Row],[I_0]]+1/Lf*Table1[[#This Row],[Vin]]*Table1[[#This Row],[t1_Ph_II]],Table1[[#This Row],[I_0]]+(Table1[[#This Row],[Vin]]-Vout)/L*Table1[[#This Row],[t1_Ph_II]])</f>
        <v>14.678682690475142</v>
      </c>
      <c r="R112" s="4">
        <f>CHOOSE(Table1[[#This Row],[Mode Digit]],0,0,Table1[[#This Row],[I_1]]+Table1[[#This Row],[Vin]]/L*Table1[[#This Row],[t2_Ph_I]])</f>
        <v>0</v>
      </c>
      <c r="S112" s="4">
        <f>Fsw*(Table1[[#This Row],[I_0]]*Table1[[#This Row],[t1_Ph_II]]+Table1[[#This Row],[I_1]]*Table1[[#This Row],[t2_Ph_I]]+Table1[[#This Row],[I_2]]*Table1[[#This Row],[t3_Ph_III]])</f>
        <v>12.384890546236631</v>
      </c>
      <c r="T112" s="354">
        <f>MIN(1,CHOOSE(Table1[[#This Row],[Mode Digit]],(Vout+(Rdson2+Rs+Rdcr)*Table1[[#This Row],[Iout]])/(Table1[[#This Row],[Vin]]+(Rs+Rdson2-Rdson1)*Table1[[#This Row],[Iout]]),1,Fsw*Table1[[#This Row],[t2_Ph_I]]+Table1[[#This Row],[t1_Ph_II]]))</f>
        <v>0.42815674891146588</v>
      </c>
      <c r="U112" s="354">
        <f>MIN(1,CHOOSE(Table1[[#This Row],[Mode Digit]],0,(Vout+(Rdson3+Rdcr)*Table1[[#This Row],[Iin]]-Table1[[#This Row],[Vin]])/(Vout+(Rdson3-Rdson4-Rs)*Table1[[#This Row],[Iin]]),Fsw*Table1[[#This Row],[t1_Ph_II]]+Table1[[#This Row],[t3_Ph_III]]))</f>
        <v>0</v>
      </c>
      <c r="V112" s="4">
        <f>MAX(Table1[[#This Row],[I_0]:[I_2]])-MIN(Table1[[#This Row],[I_0]:[I_1]])</f>
        <v>5.3573653809502861</v>
      </c>
      <c r="W11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12.099247097185442</v>
      </c>
      <c r="X112" s="354">
        <f>(Table1[[#This Row],[Irms Lf]]^2*Rdcr*(1+Ltc*Ta-Ltc*25))/(1-Table1[[#This Row],[Irms Lf]]^2*Rdcr*Ltc*ThetaCa)</f>
        <v>0.91094927116029567</v>
      </c>
      <c r="Y112" s="354">
        <f>ABS(7.759*10^-3*Fsw^0.9458*(0.00787*Table1[[#This Row],[Ripple Current pk-pk]])^2.304)</f>
        <v>1.5367764863562781</v>
      </c>
      <c r="Z112" s="354">
        <f>Table1[[#This Row],[DCR    Loss]]+Table1[[#This Row],[Core Loss]]</f>
        <v>2.4477257575165736</v>
      </c>
      <c r="AA112" s="4">
        <f>IF(Table1[[#This Row],[Vin]]&gt;Vout, Table1[[#This Row],[Ripple Current pk-pk]]/SQRT(12), SQRT(Table1[[#This Row],[Duty Cycle BOOST Leg]]/(1-Table1[[#This Row],[Duty Cycle BOOST Leg]]))*SQRT(Table1[[#This Row],[Iout]]^2+(Table1[[#This Row],[Ripple Current pk-pk]]^2)/12))</f>
        <v>1.5465381724194149</v>
      </c>
      <c r="AB112" s="354">
        <f>RCoutEsr*Table1[[#This Row],[Irms Cout]]^2</f>
        <v>1.195890159375192E-2</v>
      </c>
      <c r="AC112" s="354">
        <f>Table1[[#This Row],[Cout ESR Loss]]</f>
        <v>1.195890159375192E-2</v>
      </c>
      <c r="AD112" s="354">
        <f>IF(Table1[[#This Row],[Vin]]&gt;Vout, SQRT(Table1[[#This Row],[Duty Cycle BUCK Leg]]*(1-Table1[[#This Row],[Duty Cycle BUCK Leg]]))*SQRT(Table1[[#This Row],[Iout]]^2+(Table1[[#This Row],[Ripple Current pk-pk]]^2)/12), Table1[[#This Row],[Ripple Current pk-pk]]/SQRT(12))</f>
        <v>5.9868481545764434</v>
      </c>
      <c r="AE112" s="354">
        <f>RCinEsr*Table1[[#This Row],[Irms Cin]]^2</f>
        <v>7.1684701651910723E-2</v>
      </c>
      <c r="AF112" s="549">
        <f>Table1[[#This Row],[Cin ESR Loss]]</f>
        <v>7.1684701651910723E-2</v>
      </c>
      <c r="AG11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7.9169835624837361</v>
      </c>
      <c r="AH112" s="354">
        <f>Rdson1*Table1[[#This Row],[Irms BuCtrl]]^2</f>
        <v>0.26325024066027825</v>
      </c>
      <c r="AI112" s="354">
        <f>CHOOSE(Table1[[#This Row],[Mode Digit]], (Table1[[#This Row],[Vin]]*Table1[[#This Row],[Iout]]/2)*(Fsw)*(Tr_buck+Tf_buck), 0, (Table1[[#This Row],[Vin]]*Table1[[#This Row],[Avg IL]]/2)*(Fsw/1)*(Tr_buck+Tf_buck))</f>
        <v>4.0958562020610234</v>
      </c>
      <c r="AJ112">
        <f>IF(Table1[[#This Row],[Vin]]&gt;Vout, IF(Table1[[#This Row],[Iout]]&gt;Table1[[#This Row],[Ripple Current pk-pk]]/2,0,ABS(Table1[[#This Row],[Iout]]-Table1[[#This Row],[Ripple Current pk-pk]]/2)*Vsd_Q1*Deadtime*Fsw),0)</f>
        <v>0</v>
      </c>
      <c r="AK112" s="354">
        <f>(Table1[[#This Row],[Dead Time Loss BuCtrl]]+Table1[[#This Row],[Transition Loss BuCtrl]]+Table1[[#This Row],[RDS(on) Loss BuCtrl]]*(1+RdsonTopTc*Ta-RdsonTopTc*25))/(1-Table1[[#This Row],[RDS(on) Loss BuCtrl]]*RdsonTopTc*ThetaJA_Q1)</f>
        <v>4.6530888660325154</v>
      </c>
      <c r="AL112" s="354">
        <f>CHOOSE(Table1[[#This Row],[Mode Digit]],SQRT((Fsw*(Table1[[#This Row],[t2_Ph_I]]+0))*((Table1[[#This Row],[I_0]]*Table1[[#This Row],[I_1]]+((Table1[[#This Row],[I_0]]-Table1[[#This Row],[I_1]])^2)/3))),0,SQRT((Fsw*(Table1[[#This Row],[t3_Ph_III]]+0))*((Table1[[#This Row],[I_0]]*Table1[[#This Row],[I_2]]+((Table1[[#This Row],[I_0]]-Table1[[#This Row],[I_2]])^2)/3))))</f>
        <v>9.1494891436687702</v>
      </c>
      <c r="AM112" s="354">
        <f>Rdson2*Table1[[#This Row],[Irms BuSync]]^2</f>
        <v>0.35159523667847331</v>
      </c>
      <c r="AN11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12" s="354">
        <f>(Table1[[#This Row],[Deadtime Loss BuSync]]+Table1[[#This Row],[RDS(on) Loss BuSync]]*(1+RdsonBotTc*Ta-RdsonBotTc*25))/(1-Table1[[#This Row],[RDS(on) Loss BuSync]]*RdsonBotTc*ThetaJA_Q2)</f>
        <v>1.0145798078945107</v>
      </c>
      <c r="AP112" s="354">
        <f>CHOOSE(Table1[[#This Row],[Mode Digit]],0,SQRT((Fsw*(Table1[[#This Row],[t1_Ph_II]]+0))*((Table1[[#This Row],[I_0]]*Table1[[#This Row],[I_1]]+((Table1[[#This Row],[I_0]]-Table1[[#This Row],[I_1]])^2)/3))),SQRT((Fsw*(Table1[[#This Row],[t2_Ph_I]]+0))*((Table1[[#This Row],[I_1]]*Table1[[#This Row],[I_2]]+((Table1[[#This Row],[I_1]]-Table1[[#This Row],[I_2]])^2)/3))))</f>
        <v>0</v>
      </c>
      <c r="AQ112" s="354">
        <f>Rdson4*Table1[[#This Row],[Irms BoCtlr]]^2</f>
        <v>0</v>
      </c>
      <c r="AR112" s="354">
        <f>CHOOSE(Table1[[#This Row],[Mode Digit]], 0, (Vout*Table1[[#This Row],[Iin]]/2)*(Fsw)*(Tr_boost+Tf_boost), (Vout*Iout/2)*(Fsw/1)*(Tr_boost+Tf_boost))</f>
        <v>0</v>
      </c>
      <c r="AS112">
        <f>IF(Table1[[#This Row],[Vin]]&gt;Vout, 0, IF(Table1[[#This Row],[Iin]]&gt;Table1[[#This Row],[Ripple Current pk-pk]]/2,0,ABS(Table1[[#This Row],[Iin]]-Table1[[#This Row],[Ripple Current pk-pk]]/2)*Vsd_Q4*Deadtime*Fsw))</f>
        <v>0</v>
      </c>
      <c r="AT112" s="354">
        <f>(Table1[[#This Row],[Dead Time Loss BoCtlr]]+Table1[[#This Row],[Transition Loss BoCtlr]]+Table1[[#This Row],[RDS(on) Loss BoCtlr]]*(1+RdsonTopTc*Ta-RdsonTopTc*25))/(1-Table1[[#This Row],[RDS(on) Loss BoCtlr]]*RdsonTopTc*ThetaJA_Q4)</f>
        <v>0</v>
      </c>
      <c r="AU11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12.099247097185442</v>
      </c>
      <c r="AV112" s="354">
        <f>Rdson3*Table1[[#This Row],[Irms BoSync]]^2</f>
        <v>0.6148454773387515</v>
      </c>
      <c r="AW11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12" s="354">
        <f>(Table1[[#This Row],[Deadtime Loss BoSync]]+Table1[[#This Row],[RDS(on) Loss BoSync]]*(1+RdsonBotTc*Ta-RdsonBotTc*25))/(1-Table1[[#This Row],[RDS(on) Loss BoSync]]*RdsonBotTc*ThetaJA_Q3)</f>
        <v>0.72127959686588061</v>
      </c>
      <c r="AY112" s="354">
        <f>CHOOSE(Table1[[#This Row],[Mode Digit]], Rdson3*Table1[[#This Row],[Irms Lf]]^2, Rdson1*Table1[[#This Row],[Irms Lf]]^2, 0)</f>
        <v>0.6148454773387515</v>
      </c>
      <c r="AZ112" s="354">
        <f>CHOOSE(Table1[[#This Row],[Mode Digit]], 2*Deadtime*Fsw*IF(VfdSky_Q2&gt;0,VfdSky_Q2,0)*Table1[[#This Row],[Iout]], 2*Deadtime*Fsw*IF(VfdSky_Q3&gt;0,VfdSky_Q3,0)*Table1[[#This Row],[Iin]], 2*Deadtime*Fsw*IF(VfdSky_Q2&gt;0,VfdSky_Q2,0)*Table1[[#This Row],[Iout]]+2*Deadtime*Fsw*IF(VfdSky_Q3&gt;0,VfdSky_Q3,0)*Table1[[#This Row],[Iin]])</f>
        <v>0</v>
      </c>
      <c r="BA112" s="354">
        <f>CHOOSE(Table1[[#This Row],[Mode Digit]], IF(QrrSky_Q2&gt;0,QrrSky_Q2,Qrr_Q2)*Fsw*(Table1[[#This Row],[Vin]]-Table1[[#This Row],[Iout]]*Rdson1),0,  IF(QrrSky_Q2&gt;0,QrrSky_Q2,Qrr_Q2)*Fsw*(Table1[[#This Row],[Vin]]-Table1[[#This Row],[Iout]]*Rdson1)+IF(QrrSky_Q3&gt;0,QrrSky_Q3,Qrr_Q3)*Fsw*Vout)</f>
        <v>0.4124352</v>
      </c>
      <c r="BB112" s="354">
        <f>CHOOSE(Table1[[#This Row],[Mode Digit]],0, IF(QrrSky_Q3&gt;0,QrrSky_Q3,Qrr_Q3)*Fsw*Vout,  IF(QrrSky_Q2&gt;0,QrrSky_Q2,Qrr_Q2)*Fsw*(Table1[[#This Row],[Vin]]-Table1[[#This Row],[Iout]]*Rdson1)+IF(QrrSky_Q3&gt;0,QrrSky_Q3,Qrr_Q3)*Fsw*Vout)</f>
        <v>0</v>
      </c>
      <c r="BC112" s="354">
        <f>CHOOSE(Table1[[#This Row],[Mode Digit]], Rs*Table1[[#This Row],[Irms BuSync]]^2, Rs*Table1[[#This Row],[Irms BoCtlr]]^2, Rs*(Table1[[#This Row],[Irms BuSync]]^2+Table1[[#This Row],[Irms BoCtlr]]^2))</f>
        <v>0.20928287897528172</v>
      </c>
      <c r="BD112" s="354">
        <f t="shared" si="5"/>
        <v>1.44</v>
      </c>
      <c r="BE112" s="354">
        <f>IF(Vout&gt;8, Iq*Vout, Iq*Table1[[#This Row],[Vin]])</f>
        <v>4.3799999999999999E-2</v>
      </c>
      <c r="BF112" s="354">
        <f>CHOOSE(Table1[[#This Row],[Mode Digit]], (Qg_Q1+Qg_Q2)*Fsw, (Qg_Q3+Qg_Q4)*Fsw, (Qg_Q1+Qg_Q2+Qg_Q3+Qg_Q4)*Fsw)*IF(Vout&gt;8, Vout, Table1[[#This Row],[Vin]])</f>
        <v>0.47303999999999996</v>
      </c>
      <c r="BG112" s="354">
        <f t="shared" si="6"/>
        <v>0.45605042016806729</v>
      </c>
      <c r="BH112" s="354">
        <f>Table1[[#This Row],[IQ Loss]]+Table1[[#This Row],[Switching Current Loss]]</f>
        <v>0.51683999999999997</v>
      </c>
      <c r="BI11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11.498875710530426</v>
      </c>
      <c r="BJ112">
        <f>Vout*Table1[[#This Row],[Iout]]</f>
        <v>175.2</v>
      </c>
      <c r="BK112" s="550">
        <f>Table1[[#This Row],[Pout]]/(Table1[[#This Row],[Pout]]+Table1[[#This Row],[Total Loss]])</f>
        <v>0.93840950746613494</v>
      </c>
      <c r="BL11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279.18533196195091</v>
      </c>
      <c r="BM112" s="559">
        <f>IF(Table1[[#This Row],[Vin]]&gt;Vout, Table1[[#This Row],[Total Sync Bu MOSFET Loss]]*ThetaJA_Q2, ThetaJA_Q3*Table1[[#This Row],[Total Sync Bo MOSFET Loss]])</f>
        <v>60.874788473670648</v>
      </c>
      <c r="BN112" s="9"/>
      <c r="BO112" s="4">
        <f>Table1[[#This Row],[EFF, h]]*100</f>
        <v>93.840950746613487</v>
      </c>
      <c r="BP112" s="354">
        <f>Table1[[#This Row],[Total Inductor Loss]]</f>
        <v>2.4477257575165736</v>
      </c>
      <c r="BQ112" s="354">
        <f>Table1[[#This Row],[Total Control Bu MOSFET Loss]]+Table1[[#This Row],[Total Sync Bu MOSFET Loss]]+Table1[[#This Row],[Total Control Bo MOSFET Loss]]+Table1[[#This Row],[Total Sync Bo MOSFET Loss]]+Table1[[#This Row],[Reverse Recovery Loss MOSFET D BUCK]]+Table1[[#This Row],[Reverse Recovery Loss MOSFET D BOOST]]</f>
        <v>6.8013834707929064</v>
      </c>
      <c r="BR112" s="354">
        <f>Table1[[#This Row],[Total Control Bu MOSFET Loss]]+Table1[[#This Row],[Reverse Recovery Loss MOSFET D BUCK]]*0.66</f>
        <v>4.9252960980325158</v>
      </c>
      <c r="BS112" s="354">
        <f>Table1[[#This Row],[Total Sync Bu MOSFET Loss]]+Table1[[#This Row],[Reverse Recovery Loss MOSFET D BUCK]]*0.33</f>
        <v>1.1506834238945107</v>
      </c>
      <c r="BT112" s="354">
        <f xml:space="preserve"> Table1[[#This Row],[Total Control Bo MOSFET Loss]]+Table1[[#This Row],[Reverse Recovery Loss MOSFET D BOOST]]*0.66</f>
        <v>0</v>
      </c>
      <c r="BU112" s="354">
        <f xml:space="preserve"> Table1[[#This Row],[Total Sync Bo MOSFET Loss]]+Table1[[#This Row],[Reverse Recovery Loss MOSFET D BOOST]]*0.33</f>
        <v>0.72127959686588061</v>
      </c>
      <c r="BV112" s="354">
        <f>Table1[[#This Row],[Isense Shunt Loss]]</f>
        <v>0.20928287897528172</v>
      </c>
    </row>
    <row r="113" spans="7:74" x14ac:dyDescent="0.2">
      <c r="G113">
        <v>104</v>
      </c>
      <c r="H113" s="555">
        <f>VIN_min+(VIN_max-VIN_min)*(Table1[[#This Row],[Step]]/200)</f>
        <v>34.56</v>
      </c>
      <c r="I113" s="4" t="str">
        <f>IF(Mode = 2,IF(Table1[[#This Row],[Vin]]&gt;Vout, "BUCK","BOOST"),IF(Table1[[#This Row],[Vin]]&gt;VIN_BB_to_buck, "BUCK", IF(Table1[[#This Row],[Vin]]&lt;=VIN_boost_to_BB,"BOOST","BUCK-BST")))</f>
        <v>BUCK</v>
      </c>
      <c r="J113">
        <f>IF(Table1[[#This Row],[Mode]]="BOOST",2, IF(Table1[[#This Row],[Mode]]="BUCK", 1,3))</f>
        <v>1</v>
      </c>
      <c r="K113">
        <f t="shared" si="4"/>
        <v>12</v>
      </c>
      <c r="L113" s="4">
        <f>Vout*Table1[[#This Row],[Iout]]/(Table1[[#This Row],[Vin]]*Efficiency)</f>
        <v>5.3362573099415203</v>
      </c>
      <c r="M113" s="711">
        <f>MIN(1/Fsw,CHOOSE(Table1[[#This Row],[Mode Digit]],(Vout+(Rdson2+Rs+Rdcr)*Table1[[#This Row],[Iout]])/(Table1[[#This Row],[Vin]]+(Rs+Rdson2-Rdson1)*Table1[[#This Row],[Iout]])/Fsw,(Vout+(Rdson3+Rdcr)*Table1[[#This Row],[Iin]]-Table1[[#This Row],[Vin]])/(Vout+(Rdson3-Rdson4-Rs)*Table1[[#This Row],[Iin]])/Fsw,t1_Ph_II))</f>
        <v>7.1070636985641315E-7</v>
      </c>
      <c r="N113" s="602">
        <f>CHOOSE(Table1[[#This Row],[Mode Digit]],1/Fsw-Table1[[#This Row],[t1_Ph_II]],1/Fsw-Table1[[#This Row],[t1_Ph_II]],(Vout/Fsw-Table1[[#This Row],[Vin]]*t1_Ph_II)/(Table1[[#This Row],[Vin]]+Vout))</f>
        <v>9.5596029681025351E-7</v>
      </c>
      <c r="O113" s="602">
        <f>1/Fsw-(Table1[[#This Row],[t1_Ph_II]]+Table1[[#This Row],[t2_Ph_I]])</f>
        <v>0</v>
      </c>
      <c r="P11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9.3133145563761346</v>
      </c>
      <c r="Q113" s="4">
        <f>CHOOSE(Table1[[#This Row],[Mode Digit]],Table1[[#This Row],[I_0]]+1/Lf*(Table1[[#This Row],[Vin]]-Vout)*Table1[[#This Row],[t1_Ph_II]],Table1[[#This Row],[I_0]]+1/Lf*Table1[[#This Row],[Vin]]*Table1[[#This Row],[t1_Ph_II]],Table1[[#This Row],[I_0]]+(Table1[[#This Row],[Vin]]-Vout)/L*Table1[[#This Row],[t1_Ph_II]])</f>
        <v>14.686685443623865</v>
      </c>
      <c r="R113" s="4">
        <f>CHOOSE(Table1[[#This Row],[Mode Digit]],0,0,Table1[[#This Row],[I_1]]+Table1[[#This Row],[Vin]]/L*Table1[[#This Row],[t2_Ph_I]])</f>
        <v>0</v>
      </c>
      <c r="S113" s="4">
        <f>Fsw*(Table1[[#This Row],[I_0]]*Table1[[#This Row],[t1_Ph_II]]+Table1[[#This Row],[I_1]]*Table1[[#This Row],[t2_Ph_I]]+Table1[[#This Row],[I_2]]*Table1[[#This Row],[t3_Ph_III]])</f>
        <v>12.395352093323083</v>
      </c>
      <c r="T113" s="354">
        <f>MIN(1,CHOOSE(Table1[[#This Row],[Mode Digit]],(Vout+(Rdson2+Rs+Rdcr)*Table1[[#This Row],[Iout]])/(Table1[[#This Row],[Vin]]+(Rs+Rdson2-Rdson1)*Table1[[#This Row],[Iout]]),1,Fsw*Table1[[#This Row],[t2_Ph_I]]+Table1[[#This Row],[t1_Ph_II]]))</f>
        <v>0.42642382191384787</v>
      </c>
      <c r="U113" s="354">
        <f>MIN(1,CHOOSE(Table1[[#This Row],[Mode Digit]],0,(Vout+(Rdson3+Rdcr)*Table1[[#This Row],[Iin]]-Table1[[#This Row],[Vin]])/(Vout+(Rdson3-Rdson4-Rs)*Table1[[#This Row],[Iin]]),Fsw*Table1[[#This Row],[t1_Ph_II]]+Table1[[#This Row],[t3_Ph_III]]))</f>
        <v>0</v>
      </c>
      <c r="V113" s="4">
        <f>MAX(Table1[[#This Row],[I_0]:[I_2]])-MIN(Table1[[#This Row],[I_0]:[I_1]])</f>
        <v>5.3733708872477308</v>
      </c>
      <c r="W11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12.099838548137468</v>
      </c>
      <c r="X113" s="354">
        <f>(Table1[[#This Row],[Irms Lf]]^2*Rdcr*(1+Ltc*Ta-Ltc*25))/(1-Table1[[#This Row],[Irms Lf]]^2*Rdcr*Ltc*ThetaCa)</f>
        <v>0.91104482492296812</v>
      </c>
      <c r="Y113" s="354">
        <f>ABS(7.759*10^-3*Fsw^0.9458*(0.00787*Table1[[#This Row],[Ripple Current pk-pk]])^2.304)</f>
        <v>1.5473752870229227</v>
      </c>
      <c r="Z113" s="354">
        <f>Table1[[#This Row],[DCR    Loss]]+Table1[[#This Row],[Core Loss]]</f>
        <v>2.4584201119458911</v>
      </c>
      <c r="AA113" s="4">
        <f>IF(Table1[[#This Row],[Vin]]&gt;Vout, Table1[[#This Row],[Ripple Current pk-pk]]/SQRT(12), SQRT(Table1[[#This Row],[Duty Cycle BOOST Leg]]/(1-Table1[[#This Row],[Duty Cycle BOOST Leg]]))*SQRT(Table1[[#This Row],[Iout]]^2+(Table1[[#This Row],[Ripple Current pk-pk]]^2)/12))</f>
        <v>1.5511585641040879</v>
      </c>
      <c r="AB113" s="354">
        <f>RCoutEsr*Table1[[#This Row],[Irms Cout]]^2</f>
        <v>1.203046445496728E-2</v>
      </c>
      <c r="AC113" s="354">
        <f>Table1[[#This Row],[Cout ESR Loss]]</f>
        <v>1.203046445496728E-2</v>
      </c>
      <c r="AD113" s="354">
        <f>IF(Table1[[#This Row],[Vin]]&gt;Vout, SQRT(Table1[[#This Row],[Duty Cycle BUCK Leg]]*(1-Table1[[#This Row],[Duty Cycle BUCK Leg]]))*SQRT(Table1[[#This Row],[Iout]]^2+(Table1[[#This Row],[Ripple Current pk-pk]]^2)/12), Table1[[#This Row],[Ripple Current pk-pk]]/SQRT(12))</f>
        <v>5.9840588713876244</v>
      </c>
      <c r="AE113" s="354">
        <f>RCinEsr*Table1[[#This Row],[Irms Cin]]^2</f>
        <v>7.161792115246586E-2</v>
      </c>
      <c r="AF113" s="549">
        <f>Table1[[#This Row],[Cin ESR Loss]]</f>
        <v>7.161792115246586E-2</v>
      </c>
      <c r="AG11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7.9013318929185132</v>
      </c>
      <c r="AH113" s="354">
        <f>Rdson1*Table1[[#This Row],[Irms BuCtrl]]^2</f>
        <v>0.26221039186461531</v>
      </c>
      <c r="AI113" s="354">
        <f>CHOOSE(Table1[[#This Row],[Mode Digit]], (Table1[[#This Row],[Vin]]*Table1[[#This Row],[Iout]]/2)*(Fsw)*(Tr_buck+Tf_buck), 0, (Table1[[#This Row],[Vin]]*Table1[[#This Row],[Avg IL]]/2)*(Fsw/1)*(Tr_buck+Tf_buck))</f>
        <v>4.1125156985249554</v>
      </c>
      <c r="AJ113">
        <f>IF(Table1[[#This Row],[Vin]]&gt;Vout, IF(Table1[[#This Row],[Iout]]&gt;Table1[[#This Row],[Ripple Current pk-pk]]/2,0,ABS(Table1[[#This Row],[Iout]]-Table1[[#This Row],[Ripple Current pk-pk]]/2)*Vsd_Q1*Deadtime*Fsw),0)</f>
        <v>0</v>
      </c>
      <c r="AK113" s="354">
        <f>(Table1[[#This Row],[Dead Time Loss BuCtrl]]+Table1[[#This Row],[Transition Loss BuCtrl]]+Table1[[#This Row],[RDS(on) Loss BuCtrl]]*(1+RdsonTopTc*Ta-RdsonTopTc*25))/(1-Table1[[#This Row],[RDS(on) Loss BuCtrl]]*RdsonTopTc*ThetaJA_Q1)</f>
        <v>4.6685182503541647</v>
      </c>
      <c r="AL113" s="354">
        <f>CHOOSE(Table1[[#This Row],[Mode Digit]],SQRT((Fsw*(Table1[[#This Row],[t2_Ph_I]]+0))*((Table1[[#This Row],[I_0]]*Table1[[#This Row],[I_1]]+((Table1[[#This Row],[I_0]]-Table1[[#This Row],[I_1]])^2)/3))),0,SQRT((Fsw*(Table1[[#This Row],[t3_Ph_III]]+0))*((Table1[[#This Row],[I_0]]*Table1[[#This Row],[I_2]]+((Table1[[#This Row],[I_0]]-Table1[[#This Row],[I_2]])^2)/3))))</f>
        <v>9.1637900024467047</v>
      </c>
      <c r="AM113" s="354">
        <f>Rdson2*Table1[[#This Row],[Irms BuSync]]^2</f>
        <v>0.35269519827755719</v>
      </c>
      <c r="AN11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13" s="354">
        <f>(Table1[[#This Row],[Deadtime Loss BuSync]]+Table1[[#This Row],[RDS(on) Loss BuSync]]*(1+RdsonBotTc*Ta-RdsonBotTc*25))/(1-Table1[[#This Row],[RDS(on) Loss BuSync]]*RdsonBotTc*ThetaJA_Q2)</f>
        <v>1.0160740959888612</v>
      </c>
      <c r="AP113" s="354">
        <f>CHOOSE(Table1[[#This Row],[Mode Digit]],0,SQRT((Fsw*(Table1[[#This Row],[t1_Ph_II]]+0))*((Table1[[#This Row],[I_0]]*Table1[[#This Row],[I_1]]+((Table1[[#This Row],[I_0]]-Table1[[#This Row],[I_1]])^2)/3))),SQRT((Fsw*(Table1[[#This Row],[t2_Ph_I]]+0))*((Table1[[#This Row],[I_1]]*Table1[[#This Row],[I_2]]+((Table1[[#This Row],[I_1]]-Table1[[#This Row],[I_2]])^2)/3))))</f>
        <v>0</v>
      </c>
      <c r="AQ113" s="354">
        <f>Rdson4*Table1[[#This Row],[Irms BoCtlr]]^2</f>
        <v>0</v>
      </c>
      <c r="AR113" s="354">
        <f>CHOOSE(Table1[[#This Row],[Mode Digit]], 0, (Vout*Table1[[#This Row],[Iin]]/2)*(Fsw)*(Tr_boost+Tf_boost), (Vout*Iout/2)*(Fsw/1)*(Tr_boost+Tf_boost))</f>
        <v>0</v>
      </c>
      <c r="AS113">
        <f>IF(Table1[[#This Row],[Vin]]&gt;Vout, 0, IF(Table1[[#This Row],[Iin]]&gt;Table1[[#This Row],[Ripple Current pk-pk]]/2,0,ABS(Table1[[#This Row],[Iin]]-Table1[[#This Row],[Ripple Current pk-pk]]/2)*Vsd_Q4*Deadtime*Fsw))</f>
        <v>0</v>
      </c>
      <c r="AT113" s="354">
        <f>(Table1[[#This Row],[Dead Time Loss BoCtlr]]+Table1[[#This Row],[Transition Loss BoCtlr]]+Table1[[#This Row],[RDS(on) Loss BoCtlr]]*(1+RdsonTopTc*Ta-RdsonTopTc*25))/(1-Table1[[#This Row],[RDS(on) Loss BoCtlr]]*RdsonTopTc*ThetaJA_Q4)</f>
        <v>0</v>
      </c>
      <c r="AU11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12.099838548137468</v>
      </c>
      <c r="AV113" s="354">
        <f>Rdson3*Table1[[#This Row],[Irms BoSync]]^2</f>
        <v>0.6149055901421725</v>
      </c>
      <c r="AW11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13" s="354">
        <f>(Table1[[#This Row],[Deadtime Loss BoSync]]+Table1[[#This Row],[RDS(on) Loss BoSync]]*(1+RdsonBotTc*Ta-RdsonBotTc*25))/(1-Table1[[#This Row],[RDS(on) Loss BoSync]]*RdsonBotTc*ThetaJA_Q3)</f>
        <v>0.72136232432038594</v>
      </c>
      <c r="AY113" s="354">
        <f>CHOOSE(Table1[[#This Row],[Mode Digit]], Rdson3*Table1[[#This Row],[Irms Lf]]^2, Rdson1*Table1[[#This Row],[Irms Lf]]^2, 0)</f>
        <v>0.6149055901421725</v>
      </c>
      <c r="AZ113" s="354">
        <f>CHOOSE(Table1[[#This Row],[Mode Digit]], 2*Deadtime*Fsw*IF(VfdSky_Q2&gt;0,VfdSky_Q2,0)*Table1[[#This Row],[Iout]], 2*Deadtime*Fsw*IF(VfdSky_Q3&gt;0,VfdSky_Q3,0)*Table1[[#This Row],[Iin]], 2*Deadtime*Fsw*IF(VfdSky_Q2&gt;0,VfdSky_Q2,0)*Table1[[#This Row],[Iout]]+2*Deadtime*Fsw*IF(VfdSky_Q3&gt;0,VfdSky_Q3,0)*Table1[[#This Row],[Iin]])</f>
        <v>0</v>
      </c>
      <c r="BA113" s="354">
        <f>CHOOSE(Table1[[#This Row],[Mode Digit]], IF(QrrSky_Q2&gt;0,QrrSky_Q2,Qrr_Q2)*Fsw*(Table1[[#This Row],[Vin]]-Table1[[#This Row],[Iout]]*Rdson1),0,  IF(QrrSky_Q2&gt;0,QrrSky_Q2,Qrr_Q2)*Fsw*(Table1[[#This Row],[Vin]]-Table1[[#This Row],[Iout]]*Rdson1)+IF(QrrSky_Q3&gt;0,QrrSky_Q3,Qrr_Q3)*Fsw*Vout)</f>
        <v>0.41411520000000002</v>
      </c>
      <c r="BB113" s="354">
        <f>CHOOSE(Table1[[#This Row],[Mode Digit]],0, IF(QrrSky_Q3&gt;0,QrrSky_Q3,Qrr_Q3)*Fsw*Vout,  IF(QrrSky_Q2&gt;0,QrrSky_Q2,Qrr_Q2)*Fsw*(Table1[[#This Row],[Vin]]-Table1[[#This Row],[Iout]]*Rdson1)+IF(QrrSky_Q3&gt;0,QrrSky_Q3,Qrr_Q3)*Fsw*Vout)</f>
        <v>0</v>
      </c>
      <c r="BC113" s="354">
        <f>CHOOSE(Table1[[#This Row],[Mode Digit]], Rs*Table1[[#This Row],[Irms BuSync]]^2, Rs*Table1[[#This Row],[Irms BoCtlr]]^2, Rs*(Table1[[#This Row],[Irms BuSync]]^2+Table1[[#This Row],[Irms BoCtlr]]^2))</f>
        <v>0.20993761802235544</v>
      </c>
      <c r="BD113" s="354">
        <f t="shared" si="5"/>
        <v>1.44</v>
      </c>
      <c r="BE113" s="354">
        <f>IF(Vout&gt;8, Iq*Vout, Iq*Table1[[#This Row],[Vin]])</f>
        <v>4.3799999999999999E-2</v>
      </c>
      <c r="BF113" s="354">
        <f>CHOOSE(Table1[[#This Row],[Mode Digit]], (Qg_Q1+Qg_Q2)*Fsw, (Qg_Q3+Qg_Q4)*Fsw, (Qg_Q1+Qg_Q2+Qg_Q3+Qg_Q4)*Fsw)*IF(Vout&gt;8, Vout, Table1[[#This Row],[Vin]])</f>
        <v>0.47303999999999996</v>
      </c>
      <c r="BG113" s="354">
        <f t="shared" si="6"/>
        <v>0.45605042016806729</v>
      </c>
      <c r="BH113" s="354">
        <f>Table1[[#This Row],[IQ Loss]]+Table1[[#This Row],[Switching Current Loss]]</f>
        <v>0.51683999999999997</v>
      </c>
      <c r="BI11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11.52891598623909</v>
      </c>
      <c r="BJ113">
        <f>Vout*Table1[[#This Row],[Iout]]</f>
        <v>175.2</v>
      </c>
      <c r="BK113" s="550">
        <f>Table1[[#This Row],[Pout]]/(Table1[[#This Row],[Pout]]+Table1[[#This Row],[Total Loss]])</f>
        <v>0.93825853952320526</v>
      </c>
      <c r="BL11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280.11109502124987</v>
      </c>
      <c r="BM113" s="559">
        <f>IF(Table1[[#This Row],[Vin]]&gt;Vout, Table1[[#This Row],[Total Sync Bu MOSFET Loss]]*ThetaJA_Q2, ThetaJA_Q3*Table1[[#This Row],[Total Sync Bo MOSFET Loss]])</f>
        <v>60.964445759331674</v>
      </c>
      <c r="BN113" s="9"/>
      <c r="BO113" s="4">
        <f>Table1[[#This Row],[EFF, h]]*100</f>
        <v>93.825853952320529</v>
      </c>
      <c r="BP113" s="354">
        <f>Table1[[#This Row],[Total Inductor Loss]]</f>
        <v>2.4584201119458911</v>
      </c>
      <c r="BQ113" s="354">
        <f>Table1[[#This Row],[Total Control Bu MOSFET Loss]]+Table1[[#This Row],[Total Sync Bu MOSFET Loss]]+Table1[[#This Row],[Total Control Bo MOSFET Loss]]+Table1[[#This Row],[Total Sync Bo MOSFET Loss]]+Table1[[#This Row],[Reverse Recovery Loss MOSFET D BUCK]]+Table1[[#This Row],[Reverse Recovery Loss MOSFET D BOOST]]</f>
        <v>6.8200698706634117</v>
      </c>
      <c r="BR113" s="354">
        <f>Table1[[#This Row],[Total Control Bu MOSFET Loss]]+Table1[[#This Row],[Reverse Recovery Loss MOSFET D BUCK]]*0.66</f>
        <v>4.941834282354165</v>
      </c>
      <c r="BS113" s="354">
        <f>Table1[[#This Row],[Total Sync Bu MOSFET Loss]]+Table1[[#This Row],[Reverse Recovery Loss MOSFET D BUCK]]*0.33</f>
        <v>1.1527321119888612</v>
      </c>
      <c r="BT113" s="354">
        <f xml:space="preserve"> Table1[[#This Row],[Total Control Bo MOSFET Loss]]+Table1[[#This Row],[Reverse Recovery Loss MOSFET D BOOST]]*0.66</f>
        <v>0</v>
      </c>
      <c r="BU113" s="354">
        <f xml:space="preserve"> Table1[[#This Row],[Total Sync Bo MOSFET Loss]]+Table1[[#This Row],[Reverse Recovery Loss MOSFET D BOOST]]*0.33</f>
        <v>0.72136232432038594</v>
      </c>
      <c r="BV113" s="354">
        <f>Table1[[#This Row],[Isense Shunt Loss]]</f>
        <v>0.20993761802235544</v>
      </c>
    </row>
    <row r="114" spans="7:74" x14ac:dyDescent="0.2">
      <c r="G114">
        <v>105</v>
      </c>
      <c r="H114" s="555">
        <f>VIN_min+(VIN_max-VIN_min)*(Table1[[#This Row],[Step]]/200)</f>
        <v>34.700000000000003</v>
      </c>
      <c r="I114" s="4" t="str">
        <f>IF(Mode = 2,IF(Table1[[#This Row],[Vin]]&gt;Vout, "BUCK","BOOST"),IF(Table1[[#This Row],[Vin]]&gt;VIN_BB_to_buck, "BUCK", IF(Table1[[#This Row],[Vin]]&lt;=VIN_boost_to_BB,"BOOST","BUCK-BST")))</f>
        <v>BUCK</v>
      </c>
      <c r="J114">
        <f>IF(Table1[[#This Row],[Mode]]="BOOST",2, IF(Table1[[#This Row],[Mode]]="BUCK", 1,3))</f>
        <v>1</v>
      </c>
      <c r="K114">
        <f t="shared" si="4"/>
        <v>12</v>
      </c>
      <c r="L114" s="4">
        <f>Vout*Table1[[#This Row],[Iout]]/(Table1[[#This Row],[Vin]]*Efficiency)</f>
        <v>5.3147277415440612</v>
      </c>
      <c r="M114" s="711">
        <f>MIN(1/Fsw,CHOOSE(Table1[[#This Row],[Mode Digit]],(Vout+(Rdson2+Rs+Rdcr)*Table1[[#This Row],[Iout]])/(Table1[[#This Row],[Vin]]+(Rs+Rdson2-Rdson1)*Table1[[#This Row],[Iout]])/Fsw,(Vout+(Rdson3+Rdcr)*Table1[[#This Row],[Iin]]-Table1[[#This Row],[Vin]])/(Vout+(Rdson3-Rdson4-Rs)*Table1[[#This Row],[Iin]])/Fsw,t1_Ph_II))</f>
        <v>7.078414435166522E-7</v>
      </c>
      <c r="N114" s="602">
        <f>CHOOSE(Table1[[#This Row],[Mode Digit]],1/Fsw-Table1[[#This Row],[t1_Ph_II]],1/Fsw-Table1[[#This Row],[t1_Ph_II]],(Vout/Fsw-Table1[[#This Row],[Vin]]*t1_Ph_II)/(Table1[[#This Row],[Vin]]+Vout))</f>
        <v>9.5882522315001435E-7</v>
      </c>
      <c r="O114" s="602">
        <f>1/Fsw-(Table1[[#This Row],[t1_Ph_II]]+Table1[[#This Row],[t2_Ph_I]])</f>
        <v>0</v>
      </c>
      <c r="P11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9.3053763229763806</v>
      </c>
      <c r="Q114" s="4">
        <f>CHOOSE(Table1[[#This Row],[Mode Digit]],Table1[[#This Row],[I_0]]+1/Lf*(Table1[[#This Row],[Vin]]-Vout)*Table1[[#This Row],[t1_Ph_II]],Table1[[#This Row],[I_0]]+1/Lf*Table1[[#This Row],[Vin]]*Table1[[#This Row],[t1_Ph_II]],Table1[[#This Row],[I_0]]+(Table1[[#This Row],[Vin]]-Vout)/L*Table1[[#This Row],[t1_Ph_II]])</f>
        <v>14.694623677023619</v>
      </c>
      <c r="R114" s="4">
        <f>CHOOSE(Table1[[#This Row],[Mode Digit]],0,0,Table1[[#This Row],[I_1]]+Table1[[#This Row],[Vin]]/L*Table1[[#This Row],[t2_Ph_I]])</f>
        <v>0</v>
      </c>
      <c r="S114" s="4">
        <f>Fsw*(Table1[[#This Row],[I_0]]*Table1[[#This Row],[t1_Ph_II]]+Table1[[#This Row],[I_1]]*Table1[[#This Row],[t2_Ph_I]]+Table1[[#This Row],[I_2]]*Table1[[#This Row],[t3_Ph_III]])</f>
        <v>12.40578410108936</v>
      </c>
      <c r="T114" s="354">
        <f>MIN(1,CHOOSE(Table1[[#This Row],[Mode Digit]],(Vout+(Rdson2+Rs+Rdcr)*Table1[[#This Row],[Iout]])/(Table1[[#This Row],[Vin]]+(Rs+Rdson2-Rdson1)*Table1[[#This Row],[Iout]]),1,Fsw*Table1[[#This Row],[t2_Ph_I]]+Table1[[#This Row],[t1_Ph_II]]))</f>
        <v>0.42470486610999131</v>
      </c>
      <c r="U114" s="354">
        <f>MIN(1,CHOOSE(Table1[[#This Row],[Mode Digit]],0,(Vout+(Rdson3+Rdcr)*Table1[[#This Row],[Iin]]-Table1[[#This Row],[Vin]])/(Vout+(Rdson3-Rdson4-Rs)*Table1[[#This Row],[Iin]]),Fsw*Table1[[#This Row],[t1_Ph_II]]+Table1[[#This Row],[t3_Ph_III]]))</f>
        <v>0</v>
      </c>
      <c r="V114" s="4">
        <f>MAX(Table1[[#This Row],[I_0]:[I_2]])-MIN(Table1[[#This Row],[I_0]:[I_1]])</f>
        <v>5.3892473540472388</v>
      </c>
      <c r="W11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12.100426945095455</v>
      </c>
      <c r="X114" s="354">
        <f>(Table1[[#This Row],[Irms Lf]]^2*Rdcr*(1+Ltc*Ta-Ltc*25))/(1-Table1[[#This Row],[Irms Lf]]^2*Rdcr*Ltc*ThetaCa)</f>
        <v>0.91113989127378592</v>
      </c>
      <c r="Y114" s="354">
        <f>ABS(7.759*10^-3*Fsw^0.9458*(0.00787*Table1[[#This Row],[Ripple Current pk-pk]])^2.304)</f>
        <v>1.5579293883272816</v>
      </c>
      <c r="Z114" s="354">
        <f>Table1[[#This Row],[DCR    Loss]]+Table1[[#This Row],[Core Loss]]</f>
        <v>2.4690692796010674</v>
      </c>
      <c r="AA114" s="4">
        <f>IF(Table1[[#This Row],[Vin]]&gt;Vout, Table1[[#This Row],[Ripple Current pk-pk]]/SQRT(12), SQRT(Table1[[#This Row],[Duty Cycle BOOST Leg]]/(1-Table1[[#This Row],[Duty Cycle BOOST Leg]]))*SQRT(Table1[[#This Row],[Iout]]^2+(Table1[[#This Row],[Ripple Current pk-pk]]^2)/12))</f>
        <v>1.5557417052943259</v>
      </c>
      <c r="AB114" s="354">
        <f>RCoutEsr*Table1[[#This Row],[Irms Cout]]^2</f>
        <v>1.2101661267960487E-2</v>
      </c>
      <c r="AC114" s="354">
        <f>Table1[[#This Row],[Cout ESR Loss]]</f>
        <v>1.2101661267960487E-2</v>
      </c>
      <c r="AD114" s="354">
        <f>IF(Table1[[#This Row],[Vin]]&gt;Vout, SQRT(Table1[[#This Row],[Duty Cycle BUCK Leg]]*(1-Table1[[#This Row],[Duty Cycle BUCK Leg]]))*SQRT(Table1[[#This Row],[Iout]]^2+(Table1[[#This Row],[Ripple Current pk-pk]]^2)/12), Table1[[#This Row],[Ripple Current pk-pk]]/SQRT(12))</f>
        <v>5.9812184294120119</v>
      </c>
      <c r="AE114" s="354">
        <f>RCinEsr*Table1[[#This Row],[Irms Cin]]^2</f>
        <v>7.1549947800675778E-2</v>
      </c>
      <c r="AF114" s="549">
        <f>Table1[[#This Row],[Cin ESR Loss]]</f>
        <v>7.1549947800675778E-2</v>
      </c>
      <c r="AG11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7.8857737480568311</v>
      </c>
      <c r="AH114" s="354">
        <f>Rdson1*Table1[[#This Row],[Irms BuCtrl]]^2</f>
        <v>0.26117879594327764</v>
      </c>
      <c r="AI114" s="354">
        <f>CHOOSE(Table1[[#This Row],[Mode Digit]], (Table1[[#This Row],[Vin]]*Table1[[#This Row],[Iout]]/2)*(Fsw)*(Tr_buck+Tf_buck), 0, (Table1[[#This Row],[Vin]]*Table1[[#This Row],[Avg IL]]/2)*(Fsw/1)*(Tr_buck+Tf_buck))</f>
        <v>4.1291751949888882</v>
      </c>
      <c r="AJ114">
        <f>IF(Table1[[#This Row],[Vin]]&gt;Vout, IF(Table1[[#This Row],[Iout]]&gt;Table1[[#This Row],[Ripple Current pk-pk]]/2,0,ABS(Table1[[#This Row],[Iout]]-Table1[[#This Row],[Ripple Current pk-pk]]/2)*Vsd_Q1*Deadtime*Fsw),0)</f>
        <v>0</v>
      </c>
      <c r="AK114" s="354">
        <f>(Table1[[#This Row],[Dead Time Loss BuCtrl]]+Table1[[#This Row],[Transition Loss BuCtrl]]+Table1[[#This Row],[RDS(on) Loss BuCtrl]]*(1+RdsonTopTc*Ta-RdsonTopTc*25))/(1-Table1[[#This Row],[RDS(on) Loss BuCtrl]]*RdsonTopTc*ThetaJA_Q1)</f>
        <v>4.6839581210876222</v>
      </c>
      <c r="AL114" s="354">
        <f>CHOOSE(Table1[[#This Row],[Mode Digit]],SQRT((Fsw*(Table1[[#This Row],[t2_Ph_I]]+0))*((Table1[[#This Row],[I_0]]*Table1[[#This Row],[I_1]]+((Table1[[#This Row],[I_0]]-Table1[[#This Row],[I_1]])^2)/3))),0,SQRT((Fsw*(Table1[[#This Row],[t3_Ph_III]]+0))*((Table1[[#This Row],[I_0]]*Table1[[#This Row],[I_2]]+((Table1[[#This Row],[I_0]]-Table1[[#This Row],[I_2]])^2)/3))))</f>
        <v>9.1779575422884712</v>
      </c>
      <c r="AM114" s="354">
        <f>Rdson2*Table1[[#This Row],[Irms BuSync]]^2</f>
        <v>0.35378659952180935</v>
      </c>
      <c r="AN11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14" s="354">
        <f>(Table1[[#This Row],[Deadtime Loss BuSync]]+Table1[[#This Row],[RDS(on) Loss BuSync]]*(1+RdsonBotTc*Ta-RdsonBotTc*25))/(1-Table1[[#This Row],[RDS(on) Loss BuSync]]*RdsonBotTc*ThetaJA_Q2)</f>
        <v>1.0175576070401895</v>
      </c>
      <c r="AP114" s="354">
        <f>CHOOSE(Table1[[#This Row],[Mode Digit]],0,SQRT((Fsw*(Table1[[#This Row],[t1_Ph_II]]+0))*((Table1[[#This Row],[I_0]]*Table1[[#This Row],[I_1]]+((Table1[[#This Row],[I_0]]-Table1[[#This Row],[I_1]])^2)/3))),SQRT((Fsw*(Table1[[#This Row],[t2_Ph_I]]+0))*((Table1[[#This Row],[I_1]]*Table1[[#This Row],[I_2]]+((Table1[[#This Row],[I_1]]-Table1[[#This Row],[I_2]])^2)/3))))</f>
        <v>0</v>
      </c>
      <c r="AQ114" s="354">
        <f>Rdson4*Table1[[#This Row],[Irms BoCtlr]]^2</f>
        <v>0</v>
      </c>
      <c r="AR114" s="354">
        <f>CHOOSE(Table1[[#This Row],[Mode Digit]], 0, (Vout*Table1[[#This Row],[Iin]]/2)*(Fsw)*(Tr_boost+Tf_boost), (Vout*Iout/2)*(Fsw/1)*(Tr_boost+Tf_boost))</f>
        <v>0</v>
      </c>
      <c r="AS114">
        <f>IF(Table1[[#This Row],[Vin]]&gt;Vout, 0, IF(Table1[[#This Row],[Iin]]&gt;Table1[[#This Row],[Ripple Current pk-pk]]/2,0,ABS(Table1[[#This Row],[Iin]]-Table1[[#This Row],[Ripple Current pk-pk]]/2)*Vsd_Q4*Deadtime*Fsw))</f>
        <v>0</v>
      </c>
      <c r="AT114" s="354">
        <f>(Table1[[#This Row],[Dead Time Loss BoCtlr]]+Table1[[#This Row],[Transition Loss BoCtlr]]+Table1[[#This Row],[RDS(on) Loss BoCtlr]]*(1+RdsonTopTc*Ta-RdsonTopTc*25))/(1-Table1[[#This Row],[RDS(on) Loss BoCtlr]]*RdsonTopTc*ThetaJA_Q4)</f>
        <v>0</v>
      </c>
      <c r="AU11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12.100426945095455</v>
      </c>
      <c r="AV114" s="354">
        <f>Rdson3*Table1[[#This Row],[Irms BoSync]]^2</f>
        <v>0.61496539546508711</v>
      </c>
      <c r="AW11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14" s="354">
        <f>(Table1[[#This Row],[Deadtime Loss BoSync]]+Table1[[#This Row],[RDS(on) Loss BoSync]]*(1+RdsonBotTc*Ta-RdsonBotTc*25))/(1-Table1[[#This Row],[RDS(on) Loss BoSync]]*RdsonBotTc*ThetaJA_Q3)</f>
        <v>0.72144463139800885</v>
      </c>
      <c r="AY114" s="354">
        <f>CHOOSE(Table1[[#This Row],[Mode Digit]], Rdson3*Table1[[#This Row],[Irms Lf]]^2, Rdson1*Table1[[#This Row],[Irms Lf]]^2, 0)</f>
        <v>0.61496539546508711</v>
      </c>
      <c r="AZ114" s="354">
        <f>CHOOSE(Table1[[#This Row],[Mode Digit]], 2*Deadtime*Fsw*IF(VfdSky_Q2&gt;0,VfdSky_Q2,0)*Table1[[#This Row],[Iout]], 2*Deadtime*Fsw*IF(VfdSky_Q3&gt;0,VfdSky_Q3,0)*Table1[[#This Row],[Iin]], 2*Deadtime*Fsw*IF(VfdSky_Q2&gt;0,VfdSky_Q2,0)*Table1[[#This Row],[Iout]]+2*Deadtime*Fsw*IF(VfdSky_Q3&gt;0,VfdSky_Q3,0)*Table1[[#This Row],[Iin]])</f>
        <v>0</v>
      </c>
      <c r="BA114" s="354">
        <f>CHOOSE(Table1[[#This Row],[Mode Digit]], IF(QrrSky_Q2&gt;0,QrrSky_Q2,Qrr_Q2)*Fsw*(Table1[[#This Row],[Vin]]-Table1[[#This Row],[Iout]]*Rdson1),0,  IF(QrrSky_Q2&gt;0,QrrSky_Q2,Qrr_Q2)*Fsw*(Table1[[#This Row],[Vin]]-Table1[[#This Row],[Iout]]*Rdson1)+IF(QrrSky_Q3&gt;0,QrrSky_Q3,Qrr_Q3)*Fsw*Vout)</f>
        <v>0.41579519999999998</v>
      </c>
      <c r="BB114" s="354">
        <f>CHOOSE(Table1[[#This Row],[Mode Digit]],0, IF(QrrSky_Q3&gt;0,QrrSky_Q3,Qrr_Q3)*Fsw*Vout,  IF(QrrSky_Q2&gt;0,QrrSky_Q2,Qrr_Q2)*Fsw*(Table1[[#This Row],[Vin]]-Table1[[#This Row],[Iout]]*Rdson1)+IF(QrrSky_Q3&gt;0,QrrSky_Q3,Qrr_Q3)*Fsw*Vout)</f>
        <v>0</v>
      </c>
      <c r="BC114" s="354">
        <f>CHOOSE(Table1[[#This Row],[Mode Digit]], Rs*Table1[[#This Row],[Irms BuSync]]^2, Rs*Table1[[#This Row],[Irms BoCtlr]]^2, Rs*(Table1[[#This Row],[Irms BuSync]]^2+Table1[[#This Row],[Irms BoCtlr]]^2))</f>
        <v>0.21058726162012459</v>
      </c>
      <c r="BD114" s="354">
        <f t="shared" si="5"/>
        <v>1.44</v>
      </c>
      <c r="BE114" s="354">
        <f>IF(Vout&gt;8, Iq*Vout, Iq*Table1[[#This Row],[Vin]])</f>
        <v>4.3799999999999999E-2</v>
      </c>
      <c r="BF114" s="354">
        <f>CHOOSE(Table1[[#This Row],[Mode Digit]], (Qg_Q1+Qg_Q2)*Fsw, (Qg_Q3+Qg_Q4)*Fsw, (Qg_Q1+Qg_Q2+Qg_Q3+Qg_Q4)*Fsw)*IF(Vout&gt;8, Vout, Table1[[#This Row],[Vin]])</f>
        <v>0.47303999999999996</v>
      </c>
      <c r="BG114" s="354">
        <f t="shared" si="6"/>
        <v>0.45605042016806729</v>
      </c>
      <c r="BH114" s="354">
        <f>Table1[[#This Row],[IQ Loss]]+Table1[[#This Row],[Switching Current Loss]]</f>
        <v>0.51683999999999997</v>
      </c>
      <c r="BI11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11.558903709815649</v>
      </c>
      <c r="BJ114">
        <f>Vout*Table1[[#This Row],[Iout]]</f>
        <v>175.2</v>
      </c>
      <c r="BK114" s="550">
        <f>Table1[[#This Row],[Pout]]/(Table1[[#This Row],[Pout]]+Table1[[#This Row],[Total Loss]])</f>
        <v>0.93810788412114599</v>
      </c>
      <c r="BL11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281.03748726525731</v>
      </c>
      <c r="BM114" s="559">
        <f>IF(Table1[[#This Row],[Vin]]&gt;Vout, Table1[[#This Row],[Total Sync Bu MOSFET Loss]]*ThetaJA_Q2, ThetaJA_Q3*Table1[[#This Row],[Total Sync Bo MOSFET Loss]])</f>
        <v>61.053456422411372</v>
      </c>
      <c r="BN114" s="9"/>
      <c r="BO114" s="4">
        <f>Table1[[#This Row],[EFF, h]]*100</f>
        <v>93.810788412114604</v>
      </c>
      <c r="BP114" s="354">
        <f>Table1[[#This Row],[Total Inductor Loss]]</f>
        <v>2.4690692796010674</v>
      </c>
      <c r="BQ114" s="354">
        <f>Table1[[#This Row],[Total Control Bu MOSFET Loss]]+Table1[[#This Row],[Total Sync Bu MOSFET Loss]]+Table1[[#This Row],[Total Control Bo MOSFET Loss]]+Table1[[#This Row],[Total Sync Bo MOSFET Loss]]+Table1[[#This Row],[Reverse Recovery Loss MOSFET D BUCK]]+Table1[[#This Row],[Reverse Recovery Loss MOSFET D BOOST]]</f>
        <v>6.8387555595258203</v>
      </c>
      <c r="BR114" s="354">
        <f>Table1[[#This Row],[Total Control Bu MOSFET Loss]]+Table1[[#This Row],[Reverse Recovery Loss MOSFET D BUCK]]*0.66</f>
        <v>4.9583829530876224</v>
      </c>
      <c r="BS114" s="354">
        <f>Table1[[#This Row],[Total Sync Bu MOSFET Loss]]+Table1[[#This Row],[Reverse Recovery Loss MOSFET D BUCK]]*0.33</f>
        <v>1.1547700230401894</v>
      </c>
      <c r="BT114" s="354">
        <f xml:space="preserve"> Table1[[#This Row],[Total Control Bo MOSFET Loss]]+Table1[[#This Row],[Reverse Recovery Loss MOSFET D BOOST]]*0.66</f>
        <v>0</v>
      </c>
      <c r="BU114" s="354">
        <f xml:space="preserve"> Table1[[#This Row],[Total Sync Bo MOSFET Loss]]+Table1[[#This Row],[Reverse Recovery Loss MOSFET D BOOST]]*0.33</f>
        <v>0.72144463139800885</v>
      </c>
      <c r="BV114" s="354">
        <f>Table1[[#This Row],[Isense Shunt Loss]]</f>
        <v>0.21058726162012459</v>
      </c>
    </row>
    <row r="115" spans="7:74" x14ac:dyDescent="0.2">
      <c r="G115">
        <v>106</v>
      </c>
      <c r="H115" s="555">
        <f>VIN_min+(VIN_max-VIN_min)*(Table1[[#This Row],[Step]]/200)</f>
        <v>34.840000000000003</v>
      </c>
      <c r="I115" s="4" t="str">
        <f>IF(Mode = 2,IF(Table1[[#This Row],[Vin]]&gt;Vout, "BUCK","BOOST"),IF(Table1[[#This Row],[Vin]]&gt;VIN_BB_to_buck, "BUCK", IF(Table1[[#This Row],[Vin]]&lt;=VIN_boost_to_BB,"BOOST","BUCK-BST")))</f>
        <v>BUCK</v>
      </c>
      <c r="J115">
        <f>IF(Table1[[#This Row],[Mode]]="BOOST",2, IF(Table1[[#This Row],[Mode]]="BUCK", 1,3))</f>
        <v>1</v>
      </c>
      <c r="K115">
        <f t="shared" si="4"/>
        <v>12</v>
      </c>
      <c r="L115" s="4">
        <f>Vout*Table1[[#This Row],[Iout]]/(Table1[[#This Row],[Vin]]*Efficiency)</f>
        <v>5.2933712006767779</v>
      </c>
      <c r="M115" s="711">
        <f>MIN(1/Fsw,CHOOSE(Table1[[#This Row],[Mode Digit]],(Vout+(Rdson2+Rs+Rdcr)*Table1[[#This Row],[Iout]])/(Table1[[#This Row],[Vin]]+(Rs+Rdson2-Rdson1)*Table1[[#This Row],[Iout]])/Fsw,(Vout+(Rdson3+Rdcr)*Table1[[#This Row],[Iin]]-Table1[[#This Row],[Vin]])/(Vout+(Rdson3-Rdson4-Rs)*Table1[[#This Row],[Iin]])/Fsw,t1_Ph_II))</f>
        <v>7.0499952203422224E-7</v>
      </c>
      <c r="N115" s="602">
        <f>CHOOSE(Table1[[#This Row],[Mode Digit]],1/Fsw-Table1[[#This Row],[t1_Ph_II]],1/Fsw-Table1[[#This Row],[t1_Ph_II]],(Vout/Fsw-Table1[[#This Row],[Vin]]*t1_Ph_II)/(Table1[[#This Row],[Vin]]+Vout))</f>
        <v>9.6166714463244443E-7</v>
      </c>
      <c r="O115" s="602">
        <f>1/Fsw-(Table1[[#This Row],[t1_Ph_II]]+Table1[[#This Row],[t2_Ph_I]])</f>
        <v>0</v>
      </c>
      <c r="P11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9.2975018322021477</v>
      </c>
      <c r="Q115" s="4">
        <f>CHOOSE(Table1[[#This Row],[Mode Digit]],Table1[[#This Row],[I_0]]+1/Lf*(Table1[[#This Row],[Vin]]-Vout)*Table1[[#This Row],[t1_Ph_II]],Table1[[#This Row],[I_0]]+1/Lf*Table1[[#This Row],[Vin]]*Table1[[#This Row],[t1_Ph_II]],Table1[[#This Row],[I_0]]+(Table1[[#This Row],[Vin]]-Vout)/L*Table1[[#This Row],[t1_Ph_II]])</f>
        <v>14.702498167797852</v>
      </c>
      <c r="R115" s="4">
        <f>CHOOSE(Table1[[#This Row],[Mode Digit]],0,0,Table1[[#This Row],[I_1]]+Table1[[#This Row],[Vin]]/L*Table1[[#This Row],[t2_Ph_I]])</f>
        <v>0</v>
      </c>
      <c r="S115" s="4">
        <f>Fsw*(Table1[[#This Row],[I_0]]*Table1[[#This Row],[t1_Ph_II]]+Table1[[#This Row],[I_1]]*Table1[[#This Row],[t2_Ph_I]]+Table1[[#This Row],[I_2]]*Table1[[#This Row],[t3_Ph_III]])</f>
        <v>12.416186267882836</v>
      </c>
      <c r="T115" s="354">
        <f>MIN(1,CHOOSE(Table1[[#This Row],[Mode Digit]],(Vout+(Rdson2+Rs+Rdcr)*Table1[[#This Row],[Iout]])/(Table1[[#This Row],[Vin]]+(Rs+Rdson2-Rdson1)*Table1[[#This Row],[Iout]]),1,Fsw*Table1[[#This Row],[t2_Ph_I]]+Table1[[#This Row],[t1_Ph_II]]))</f>
        <v>0.42299971322053337</v>
      </c>
      <c r="U115" s="354">
        <f>MIN(1,CHOOSE(Table1[[#This Row],[Mode Digit]],0,(Vout+(Rdson3+Rdcr)*Table1[[#This Row],[Iin]]-Table1[[#This Row],[Vin]])/(Vout+(Rdson3-Rdson4-Rs)*Table1[[#This Row],[Iin]]),Fsw*Table1[[#This Row],[t1_Ph_II]]+Table1[[#This Row],[t3_Ph_III]]))</f>
        <v>0</v>
      </c>
      <c r="V115" s="4">
        <f>MAX(Table1[[#This Row],[I_0]:[I_2]])-MIN(Table1[[#This Row],[I_0]:[I_1]])</f>
        <v>5.4049963355957047</v>
      </c>
      <c r="W11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12.1010123040313</v>
      </c>
      <c r="X115" s="354">
        <f>(Table1[[#This Row],[Irms Lf]]^2*Rdcr*(1+Ltc*Ta-Ltc*25))/(1-Table1[[#This Row],[Irms Lf]]^2*Rdcr*Ltc*ThetaCa)</f>
        <v>0.91123447270080138</v>
      </c>
      <c r="Y115" s="354">
        <f>ABS(7.759*10^-3*Fsw^0.9458*(0.00787*Table1[[#This Row],[Ripple Current pk-pk]])^2.304)</f>
        <v>1.5684388757873593</v>
      </c>
      <c r="Z115" s="354">
        <f>Table1[[#This Row],[DCR    Loss]]+Table1[[#This Row],[Core Loss]]</f>
        <v>2.4796733484881606</v>
      </c>
      <c r="AA115" s="4">
        <f>IF(Table1[[#This Row],[Vin]]&gt;Vout, Table1[[#This Row],[Ripple Current pk-pk]]/SQRT(12), SQRT(Table1[[#This Row],[Duty Cycle BOOST Leg]]/(1-Table1[[#This Row],[Duty Cycle BOOST Leg]]))*SQRT(Table1[[#This Row],[Iout]]^2+(Table1[[#This Row],[Ripple Current pk-pk]]^2)/12))</f>
        <v>1.5602880446625607</v>
      </c>
      <c r="AB115" s="354">
        <f>RCoutEsr*Table1[[#This Row],[Irms Cout]]^2</f>
        <v>1.2172493911584585E-2</v>
      </c>
      <c r="AC115" s="354">
        <f>Table1[[#This Row],[Cout ESR Loss]]</f>
        <v>1.2172493911584585E-2</v>
      </c>
      <c r="AD115" s="354">
        <f>IF(Table1[[#This Row],[Vin]]&gt;Vout, SQRT(Table1[[#This Row],[Duty Cycle BUCK Leg]]*(1-Table1[[#This Row],[Duty Cycle BUCK Leg]]))*SQRT(Table1[[#This Row],[Iout]]^2+(Table1[[#This Row],[Ripple Current pk-pk]]^2)/12), Table1[[#This Row],[Ripple Current pk-pk]]/SQRT(12))</f>
        <v>5.9783282015249117</v>
      </c>
      <c r="AE115" s="354">
        <f>RCinEsr*Table1[[#This Row],[Irms Cin]]^2</f>
        <v>7.1480816170296169E-2</v>
      </c>
      <c r="AF115" s="549">
        <f>Table1[[#This Row],[Cin ESR Loss]]</f>
        <v>7.1480816170296169E-2</v>
      </c>
      <c r="AG11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7.8703081890427011</v>
      </c>
      <c r="AH115" s="354">
        <f>Rdson1*Table1[[#This Row],[Irms BuCtrl]]^2</f>
        <v>0.26015535416015295</v>
      </c>
      <c r="AI115" s="354">
        <f>CHOOSE(Table1[[#This Row],[Mode Digit]], (Table1[[#This Row],[Vin]]*Table1[[#This Row],[Iout]]/2)*(Fsw)*(Tr_buck+Tf_buck), 0, (Table1[[#This Row],[Vin]]*Table1[[#This Row],[Avg IL]]/2)*(Fsw/1)*(Tr_buck+Tf_buck))</f>
        <v>4.1458346914528201</v>
      </c>
      <c r="AJ115">
        <f>IF(Table1[[#This Row],[Vin]]&gt;Vout, IF(Table1[[#This Row],[Iout]]&gt;Table1[[#This Row],[Ripple Current pk-pk]]/2,0,ABS(Table1[[#This Row],[Iout]]-Table1[[#This Row],[Ripple Current pk-pk]]/2)*Vsd_Q1*Deadtime*Fsw),0)</f>
        <v>0</v>
      </c>
      <c r="AK115" s="354">
        <f>(Table1[[#This Row],[Dead Time Loss BuCtrl]]+Table1[[#This Row],[Transition Loss BuCtrl]]+Table1[[#This Row],[RDS(on) Loss BuCtrl]]*(1+RdsonTopTc*Ta-RdsonTopTc*25))/(1-Table1[[#This Row],[RDS(on) Loss BuCtrl]]*RdsonTopTc*ThetaJA_Q1)</f>
        <v>4.6994083436921086</v>
      </c>
      <c r="AL115" s="354">
        <f>CHOOSE(Table1[[#This Row],[Mode Digit]],SQRT((Fsw*(Table1[[#This Row],[t2_Ph_I]]+0))*((Table1[[#This Row],[I_0]]*Table1[[#This Row],[I_1]]+((Table1[[#This Row],[I_0]]-Table1[[#This Row],[I_1]])^2)/3))),0,SQRT((Fsw*(Table1[[#This Row],[t3_Ph_III]]+0))*((Table1[[#This Row],[I_0]]*Table1[[#This Row],[I_2]]+((Table1[[#This Row],[I_0]]-Table1[[#This Row],[I_2]])^2)/3))))</f>
        <v>9.1919936788383581</v>
      </c>
      <c r="AM115" s="354">
        <f>Rdson2*Table1[[#This Row],[Irms BuSync]]^2</f>
        <v>0.35486954072557825</v>
      </c>
      <c r="AN11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15" s="354">
        <f>(Table1[[#This Row],[Deadtime Loss BuSync]]+Table1[[#This Row],[RDS(on) Loss BuSync]]*(1+RdsonBotTc*Ta-RdsonBotTc*25))/(1-Table1[[#This Row],[RDS(on) Loss BuSync]]*RdsonBotTc*ThetaJA_Q2)</f>
        <v>1.0190304582675984</v>
      </c>
      <c r="AP115" s="354">
        <f>CHOOSE(Table1[[#This Row],[Mode Digit]],0,SQRT((Fsw*(Table1[[#This Row],[t1_Ph_II]]+0))*((Table1[[#This Row],[I_0]]*Table1[[#This Row],[I_1]]+((Table1[[#This Row],[I_0]]-Table1[[#This Row],[I_1]])^2)/3))),SQRT((Fsw*(Table1[[#This Row],[t2_Ph_I]]+0))*((Table1[[#This Row],[I_1]]*Table1[[#This Row],[I_2]]+((Table1[[#This Row],[I_1]]-Table1[[#This Row],[I_2]])^2)/3))))</f>
        <v>0</v>
      </c>
      <c r="AQ115" s="354">
        <f>Rdson4*Table1[[#This Row],[Irms BoCtlr]]^2</f>
        <v>0</v>
      </c>
      <c r="AR115" s="354">
        <f>CHOOSE(Table1[[#This Row],[Mode Digit]], 0, (Vout*Table1[[#This Row],[Iin]]/2)*(Fsw)*(Tr_boost+Tf_boost), (Vout*Iout/2)*(Fsw/1)*(Tr_boost+Tf_boost))</f>
        <v>0</v>
      </c>
      <c r="AS115">
        <f>IF(Table1[[#This Row],[Vin]]&gt;Vout, 0, IF(Table1[[#This Row],[Iin]]&gt;Table1[[#This Row],[Ripple Current pk-pk]]/2,0,ABS(Table1[[#This Row],[Iin]]-Table1[[#This Row],[Ripple Current pk-pk]]/2)*Vsd_Q4*Deadtime*Fsw))</f>
        <v>0</v>
      </c>
      <c r="AT115" s="354">
        <f>(Table1[[#This Row],[Dead Time Loss BoCtlr]]+Table1[[#This Row],[Transition Loss BoCtlr]]+Table1[[#This Row],[RDS(on) Loss BoCtlr]]*(1+RdsonTopTc*Ta-RdsonTopTc*25))/(1-Table1[[#This Row],[RDS(on) Loss BoCtlr]]*RdsonTopTc*ThetaJA_Q4)</f>
        <v>0</v>
      </c>
      <c r="AU11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12.1010123040313</v>
      </c>
      <c r="AV115" s="354">
        <f>Rdson3*Table1[[#This Row],[Irms BoSync]]^2</f>
        <v>0.6150248948857312</v>
      </c>
      <c r="AW11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15" s="354">
        <f>(Table1[[#This Row],[Deadtime Loss BoSync]]+Table1[[#This Row],[RDS(on) Loss BoSync]]*(1+RdsonBotTc*Ta-RdsonBotTc*25))/(1-Table1[[#This Row],[RDS(on) Loss BoSync]]*RdsonBotTc*ThetaJA_Q3)</f>
        <v>0.72152652022829278</v>
      </c>
      <c r="AY115" s="354">
        <f>CHOOSE(Table1[[#This Row],[Mode Digit]], Rdson3*Table1[[#This Row],[Irms Lf]]^2, Rdson1*Table1[[#This Row],[Irms Lf]]^2, 0)</f>
        <v>0.6150248948857312</v>
      </c>
      <c r="AZ115" s="354">
        <f>CHOOSE(Table1[[#This Row],[Mode Digit]], 2*Deadtime*Fsw*IF(VfdSky_Q2&gt;0,VfdSky_Q2,0)*Table1[[#This Row],[Iout]], 2*Deadtime*Fsw*IF(VfdSky_Q3&gt;0,VfdSky_Q3,0)*Table1[[#This Row],[Iin]], 2*Deadtime*Fsw*IF(VfdSky_Q2&gt;0,VfdSky_Q2,0)*Table1[[#This Row],[Iout]]+2*Deadtime*Fsw*IF(VfdSky_Q3&gt;0,VfdSky_Q3,0)*Table1[[#This Row],[Iin]])</f>
        <v>0</v>
      </c>
      <c r="BA115" s="354">
        <f>CHOOSE(Table1[[#This Row],[Mode Digit]], IF(QrrSky_Q2&gt;0,QrrSky_Q2,Qrr_Q2)*Fsw*(Table1[[#This Row],[Vin]]-Table1[[#This Row],[Iout]]*Rdson1),0,  IF(QrrSky_Q2&gt;0,QrrSky_Q2,Qrr_Q2)*Fsw*(Table1[[#This Row],[Vin]]-Table1[[#This Row],[Iout]]*Rdson1)+IF(QrrSky_Q3&gt;0,QrrSky_Q3,Qrr_Q3)*Fsw*Vout)</f>
        <v>0.41747519999999999</v>
      </c>
      <c r="BB115" s="354">
        <f>CHOOSE(Table1[[#This Row],[Mode Digit]],0, IF(QrrSky_Q3&gt;0,QrrSky_Q3,Qrr_Q3)*Fsw*Vout,  IF(QrrSky_Q2&gt;0,QrrSky_Q2,Qrr_Q2)*Fsw*(Table1[[#This Row],[Vin]]-Table1[[#This Row],[Iout]]*Rdson1)+IF(QrrSky_Q3&gt;0,QrrSky_Q3,Qrr_Q3)*Fsw*Vout)</f>
        <v>0</v>
      </c>
      <c r="BC115" s="354">
        <f>CHOOSE(Table1[[#This Row],[Mode Digit]], Rs*Table1[[#This Row],[Irms BuSync]]^2, Rs*Table1[[#This Row],[Irms BoCtlr]]^2, Rs*(Table1[[#This Row],[Irms BuSync]]^2+Table1[[#This Row],[Irms BoCtlr]]^2))</f>
        <v>0.21123186947951084</v>
      </c>
      <c r="BD115" s="354">
        <f t="shared" si="5"/>
        <v>1.44</v>
      </c>
      <c r="BE115" s="354">
        <f>IF(Vout&gt;8, Iq*Vout, Iq*Table1[[#This Row],[Vin]])</f>
        <v>4.3799999999999999E-2</v>
      </c>
      <c r="BF115" s="354">
        <f>CHOOSE(Table1[[#This Row],[Mode Digit]], (Qg_Q1+Qg_Q2)*Fsw, (Qg_Q3+Qg_Q4)*Fsw, (Qg_Q1+Qg_Q2+Qg_Q3+Qg_Q4)*Fsw)*IF(Vout&gt;8, Vout, Table1[[#This Row],[Vin]])</f>
        <v>0.47303999999999996</v>
      </c>
      <c r="BG115" s="354">
        <f t="shared" si="6"/>
        <v>0.45605042016806729</v>
      </c>
      <c r="BH115" s="354">
        <f>Table1[[#This Row],[IQ Loss]]+Table1[[#This Row],[Switching Current Loss]]</f>
        <v>0.51683999999999997</v>
      </c>
      <c r="BI11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11.588839050237551</v>
      </c>
      <c r="BJ115">
        <f>Vout*Table1[[#This Row],[Iout]]</f>
        <v>175.2</v>
      </c>
      <c r="BK115" s="550">
        <f>Table1[[#This Row],[Pout]]/(Table1[[#This Row],[Pout]]+Table1[[#This Row],[Total Loss]])</f>
        <v>0.93795754013375132</v>
      </c>
      <c r="BL11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281.9645006215265</v>
      </c>
      <c r="BM115" s="559">
        <f>IF(Table1[[#This Row],[Vin]]&gt;Vout, Table1[[#This Row],[Total Sync Bu MOSFET Loss]]*ThetaJA_Q2, ThetaJA_Q3*Table1[[#This Row],[Total Sync Bo MOSFET Loss]])</f>
        <v>61.141827496055903</v>
      </c>
      <c r="BN115" s="9"/>
      <c r="BO115" s="4">
        <f>Table1[[#This Row],[EFF, h]]*100</f>
        <v>93.795754013375131</v>
      </c>
      <c r="BP115" s="354">
        <f>Table1[[#This Row],[Total Inductor Loss]]</f>
        <v>2.4796733484881606</v>
      </c>
      <c r="BQ115" s="354">
        <f>Table1[[#This Row],[Total Control Bu MOSFET Loss]]+Table1[[#This Row],[Total Sync Bu MOSFET Loss]]+Table1[[#This Row],[Total Control Bo MOSFET Loss]]+Table1[[#This Row],[Total Sync Bo MOSFET Loss]]+Table1[[#This Row],[Reverse Recovery Loss MOSFET D BUCK]]+Table1[[#This Row],[Reverse Recovery Loss MOSFET D BOOST]]</f>
        <v>6.8574405221879999</v>
      </c>
      <c r="BR115" s="354">
        <f>Table1[[#This Row],[Total Control Bu MOSFET Loss]]+Table1[[#This Row],[Reverse Recovery Loss MOSFET D BUCK]]*0.66</f>
        <v>4.9749419756921087</v>
      </c>
      <c r="BS115" s="354">
        <f>Table1[[#This Row],[Total Sync Bu MOSFET Loss]]+Table1[[#This Row],[Reverse Recovery Loss MOSFET D BUCK]]*0.33</f>
        <v>1.1567972742675985</v>
      </c>
      <c r="BT115" s="354">
        <f xml:space="preserve"> Table1[[#This Row],[Total Control Bo MOSFET Loss]]+Table1[[#This Row],[Reverse Recovery Loss MOSFET D BOOST]]*0.66</f>
        <v>0</v>
      </c>
      <c r="BU115" s="354">
        <f xml:space="preserve"> Table1[[#This Row],[Total Sync Bo MOSFET Loss]]+Table1[[#This Row],[Reverse Recovery Loss MOSFET D BOOST]]*0.33</f>
        <v>0.72152652022829278</v>
      </c>
      <c r="BV115" s="354">
        <f>Table1[[#This Row],[Isense Shunt Loss]]</f>
        <v>0.21123186947951084</v>
      </c>
    </row>
    <row r="116" spans="7:74" x14ac:dyDescent="0.2">
      <c r="G116">
        <v>107</v>
      </c>
      <c r="H116" s="555">
        <f>VIN_min+(VIN_max-VIN_min)*(Table1[[#This Row],[Step]]/200)</f>
        <v>34.980000000000004</v>
      </c>
      <c r="I116" s="4" t="str">
        <f>IF(Mode = 2,IF(Table1[[#This Row],[Vin]]&gt;Vout, "BUCK","BOOST"),IF(Table1[[#This Row],[Vin]]&gt;VIN_BB_to_buck, "BUCK", IF(Table1[[#This Row],[Vin]]&lt;=VIN_boost_to_BB,"BOOST","BUCK-BST")))</f>
        <v>BUCK</v>
      </c>
      <c r="J116">
        <f>IF(Table1[[#This Row],[Mode]]="BOOST",2, IF(Table1[[#This Row],[Mode]]="BUCK", 1,3))</f>
        <v>1</v>
      </c>
      <c r="K116">
        <f t="shared" si="4"/>
        <v>12</v>
      </c>
      <c r="L116" s="4">
        <f>Vout*Table1[[#This Row],[Iout]]/(Table1[[#This Row],[Vin]]*Efficiency)</f>
        <v>5.2721856098221531</v>
      </c>
      <c r="M116" s="711">
        <f>MIN(1/Fsw,CHOOSE(Table1[[#This Row],[Mode Digit]],(Vout+(Rdson2+Rs+Rdcr)*Table1[[#This Row],[Iout]])/(Table1[[#This Row],[Vin]]+(Rs+Rdson2-Rdson1)*Table1[[#This Row],[Iout]])/Fsw,(Vout+(Rdson3+Rdcr)*Table1[[#This Row],[Iin]]-Table1[[#This Row],[Vin]])/(Vout+(Rdson3-Rdson4-Rs)*Table1[[#This Row],[Iin]])/Fsw,t1_Ph_II))</f>
        <v>7.0218032942968661E-7</v>
      </c>
      <c r="N116" s="602">
        <f>CHOOSE(Table1[[#This Row],[Mode Digit]],1/Fsw-Table1[[#This Row],[t1_Ph_II]],1/Fsw-Table1[[#This Row],[t1_Ph_II]],(Vout/Fsw-Table1[[#This Row],[Vin]]*t1_Ph_II)/(Table1[[#This Row],[Vin]]+Vout))</f>
        <v>9.6448633723698005E-7</v>
      </c>
      <c r="O116" s="602">
        <f>1/Fsw-(Table1[[#This Row],[t1_Ph_II]]+Table1[[#This Row],[t2_Ph_I]])</f>
        <v>0</v>
      </c>
      <c r="P11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9.2896903193604139</v>
      </c>
      <c r="Q116" s="4">
        <f>CHOOSE(Table1[[#This Row],[Mode Digit]],Table1[[#This Row],[I_0]]+1/Lf*(Table1[[#This Row],[Vin]]-Vout)*Table1[[#This Row],[t1_Ph_II]],Table1[[#This Row],[I_0]]+1/Lf*Table1[[#This Row],[Vin]]*Table1[[#This Row],[t1_Ph_II]],Table1[[#This Row],[I_0]]+(Table1[[#This Row],[Vin]]-Vout)/L*Table1[[#This Row],[t1_Ph_II]])</f>
        <v>14.710309680639586</v>
      </c>
      <c r="R116" s="4">
        <f>CHOOSE(Table1[[#This Row],[Mode Digit]],0,0,Table1[[#This Row],[I_1]]+Table1[[#This Row],[Vin]]/L*Table1[[#This Row],[t2_Ph_I]])</f>
        <v>0</v>
      </c>
      <c r="S116" s="4">
        <f>Fsw*(Table1[[#This Row],[I_0]]*Table1[[#This Row],[t1_Ph_II]]+Table1[[#This Row],[I_1]]*Table1[[#This Row],[t2_Ph_I]]+Table1[[#This Row],[I_2]]*Table1[[#This Row],[t3_Ph_III]])</f>
        <v>12.426558307350017</v>
      </c>
      <c r="T116" s="354">
        <f>MIN(1,CHOOSE(Table1[[#This Row],[Mode Digit]],(Vout+(Rdson2+Rs+Rdcr)*Table1[[#This Row],[Iout]])/(Table1[[#This Row],[Vin]]+(Rs+Rdson2-Rdson1)*Table1[[#This Row],[Iout]]),1,Fsw*Table1[[#This Row],[t2_Ph_I]]+Table1[[#This Row],[t1_Ph_II]]))</f>
        <v>0.42130819765781197</v>
      </c>
      <c r="U116" s="354">
        <f>MIN(1,CHOOSE(Table1[[#This Row],[Mode Digit]],0,(Vout+(Rdson3+Rdcr)*Table1[[#This Row],[Iin]]-Table1[[#This Row],[Vin]])/(Vout+(Rdson3-Rdson4-Rs)*Table1[[#This Row],[Iin]]),Fsw*Table1[[#This Row],[t1_Ph_II]]+Table1[[#This Row],[t3_Ph_III]]))</f>
        <v>0</v>
      </c>
      <c r="V116" s="4">
        <f>MAX(Table1[[#This Row],[I_0]:[I_2]])-MIN(Table1[[#This Row],[I_0]:[I_1]])</f>
        <v>5.4206193612791722</v>
      </c>
      <c r="W11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12.101594640996264</v>
      </c>
      <c r="X116" s="354">
        <f>(Table1[[#This Row],[Irms Lf]]^2*Rdcr*(1+Ltc*Ta-Ltc*25))/(1-Table1[[#This Row],[Irms Lf]]^2*Rdcr*Ltc*ThetaCa)</f>
        <v>0.91132857170600912</v>
      </c>
      <c r="Y116" s="354">
        <f>ABS(7.759*10^-3*Fsw^0.9458*(0.00787*Table1[[#This Row],[Ripple Current pk-pk]])^2.304)</f>
        <v>1.5789038401256104</v>
      </c>
      <c r="Z116" s="354">
        <f>Table1[[#This Row],[DCR    Loss]]+Table1[[#This Row],[Core Loss]]</f>
        <v>2.4902324118316193</v>
      </c>
      <c r="AA116" s="4">
        <f>IF(Table1[[#This Row],[Vin]]&gt;Vout, Table1[[#This Row],[Ripple Current pk-pk]]/SQRT(12), SQRT(Table1[[#This Row],[Duty Cycle BOOST Leg]]/(1-Table1[[#This Row],[Duty Cycle BOOST Leg]]))*SQRT(Table1[[#This Row],[Iout]]^2+(Table1[[#This Row],[Ripple Current pk-pk]]^2)/12))</f>
        <v>1.5647980237045138</v>
      </c>
      <c r="AB116" s="354">
        <f>RCoutEsr*Table1[[#This Row],[Irms Cout]]^2</f>
        <v>1.2242964274947761E-2</v>
      </c>
      <c r="AC116" s="354">
        <f>Table1[[#This Row],[Cout ESR Loss]]</f>
        <v>1.2242964274947761E-2</v>
      </c>
      <c r="AD116" s="354">
        <f>IF(Table1[[#This Row],[Vin]]&gt;Vout, SQRT(Table1[[#This Row],[Duty Cycle BUCK Leg]]*(1-Table1[[#This Row],[Duty Cycle BUCK Leg]]))*SQRT(Table1[[#This Row],[Iout]]^2+(Table1[[#This Row],[Ripple Current pk-pk]]^2)/12), Table1[[#This Row],[Ripple Current pk-pk]]/SQRT(12))</f>
        <v>5.9753895256381258</v>
      </c>
      <c r="AE116" s="354">
        <f>RCinEsr*Table1[[#This Row],[Irms Cin]]^2</f>
        <v>7.1410559966211651E-2</v>
      </c>
      <c r="AF116" s="549">
        <f>Table1[[#This Row],[Cin ESR Loss]]</f>
        <v>7.1410559966211651E-2</v>
      </c>
      <c r="AG11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7.8549342903208528</v>
      </c>
      <c r="AH116" s="354">
        <f>Rdson1*Table1[[#This Row],[Irms BuCtrl]]^2</f>
        <v>0.25913996936208517</v>
      </c>
      <c r="AI116" s="354">
        <f>CHOOSE(Table1[[#This Row],[Mode Digit]], (Table1[[#This Row],[Vin]]*Table1[[#This Row],[Iout]]/2)*(Fsw)*(Tr_buck+Tf_buck), 0, (Table1[[#This Row],[Vin]]*Table1[[#This Row],[Avg IL]]/2)*(Fsw/1)*(Tr_buck+Tf_buck))</f>
        <v>4.1624941879167521</v>
      </c>
      <c r="AJ116">
        <f>IF(Table1[[#This Row],[Vin]]&gt;Vout, IF(Table1[[#This Row],[Iout]]&gt;Table1[[#This Row],[Ripple Current pk-pk]]/2,0,ABS(Table1[[#This Row],[Iout]]-Table1[[#This Row],[Ripple Current pk-pk]]/2)*Vsd_Q1*Deadtime*Fsw),0)</f>
        <v>0</v>
      </c>
      <c r="AK116" s="354">
        <f>(Table1[[#This Row],[Dead Time Loss BuCtrl]]+Table1[[#This Row],[Transition Loss BuCtrl]]+Table1[[#This Row],[RDS(on) Loss BuCtrl]]*(1+RdsonTopTc*Ta-RdsonTopTc*25))/(1-Table1[[#This Row],[RDS(on) Loss BuCtrl]]*RdsonTopTc*ThetaJA_Q1)</f>
        <v>4.714868785934855</v>
      </c>
      <c r="AL116" s="354">
        <f>CHOOSE(Table1[[#This Row],[Mode Digit]],SQRT((Fsw*(Table1[[#This Row],[t2_Ph_I]]+0))*((Table1[[#This Row],[I_0]]*Table1[[#This Row],[I_1]]+((Table1[[#This Row],[I_0]]-Table1[[#This Row],[I_1]])^2)/3))),0,SQRT((Fsw*(Table1[[#This Row],[t3_Ph_III]]+0))*((Table1[[#This Row],[I_0]]*Table1[[#This Row],[I_2]]+((Table1[[#This Row],[I_0]]-Table1[[#This Row],[I_2]])^2)/3))))</f>
        <v>9.2059002900167872</v>
      </c>
      <c r="AM116" s="354">
        <f>Rdson2*Table1[[#This Row],[Irms BuSync]]^2</f>
        <v>0.35594412062887093</v>
      </c>
      <c r="AN11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16" s="354">
        <f>(Table1[[#This Row],[Deadtime Loss BuSync]]+Table1[[#This Row],[RDS(on) Loss BuSync]]*(1+RdsonBotTc*Ta-RdsonBotTc*25))/(1-Table1[[#This Row],[RDS(on) Loss BuSync]]*RdsonBotTc*ThetaJA_Q2)</f>
        <v>1.0204927651786095</v>
      </c>
      <c r="AP116" s="354">
        <f>CHOOSE(Table1[[#This Row],[Mode Digit]],0,SQRT((Fsw*(Table1[[#This Row],[t1_Ph_II]]+0))*((Table1[[#This Row],[I_0]]*Table1[[#This Row],[I_1]]+((Table1[[#This Row],[I_0]]-Table1[[#This Row],[I_1]])^2)/3))),SQRT((Fsw*(Table1[[#This Row],[t2_Ph_I]]+0))*((Table1[[#This Row],[I_1]]*Table1[[#This Row],[I_2]]+((Table1[[#This Row],[I_1]]-Table1[[#This Row],[I_2]])^2)/3))))</f>
        <v>0</v>
      </c>
      <c r="AQ116" s="354">
        <f>Rdson4*Table1[[#This Row],[Irms BoCtlr]]^2</f>
        <v>0</v>
      </c>
      <c r="AR116" s="354">
        <f>CHOOSE(Table1[[#This Row],[Mode Digit]], 0, (Vout*Table1[[#This Row],[Iin]]/2)*(Fsw)*(Tr_boost+Tf_boost), (Vout*Iout/2)*(Fsw/1)*(Tr_boost+Tf_boost))</f>
        <v>0</v>
      </c>
      <c r="AS116">
        <f>IF(Table1[[#This Row],[Vin]]&gt;Vout, 0, IF(Table1[[#This Row],[Iin]]&gt;Table1[[#This Row],[Ripple Current pk-pk]]/2,0,ABS(Table1[[#This Row],[Iin]]-Table1[[#This Row],[Ripple Current pk-pk]]/2)*Vsd_Q4*Deadtime*Fsw))</f>
        <v>0</v>
      </c>
      <c r="AT116" s="354">
        <f>(Table1[[#This Row],[Dead Time Loss BoCtlr]]+Table1[[#This Row],[Transition Loss BoCtlr]]+Table1[[#This Row],[RDS(on) Loss BoCtlr]]*(1+RdsonTopTc*Ta-RdsonTopTc*25))/(1-Table1[[#This Row],[RDS(on) Loss BoCtlr]]*RdsonTopTc*ThetaJA_Q4)</f>
        <v>0</v>
      </c>
      <c r="AU11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12.101594640996264</v>
      </c>
      <c r="AV116" s="354">
        <f>Rdson3*Table1[[#This Row],[Irms BoSync]]^2</f>
        <v>0.61508408999095598</v>
      </c>
      <c r="AW11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16" s="354">
        <f>(Table1[[#This Row],[Deadtime Loss BoSync]]+Table1[[#This Row],[RDS(on) Loss BoSync]]*(1+RdsonBotTc*Ta-RdsonBotTc*25))/(1-Table1[[#This Row],[RDS(on) Loss BoSync]]*RdsonBotTc*ThetaJA_Q3)</f>
        <v>0.72160799295314437</v>
      </c>
      <c r="AY116" s="354">
        <f>CHOOSE(Table1[[#This Row],[Mode Digit]], Rdson3*Table1[[#This Row],[Irms Lf]]^2, Rdson1*Table1[[#This Row],[Irms Lf]]^2, 0)</f>
        <v>0.61508408999095598</v>
      </c>
      <c r="AZ116" s="354">
        <f>CHOOSE(Table1[[#This Row],[Mode Digit]], 2*Deadtime*Fsw*IF(VfdSky_Q2&gt;0,VfdSky_Q2,0)*Table1[[#This Row],[Iout]], 2*Deadtime*Fsw*IF(VfdSky_Q3&gt;0,VfdSky_Q3,0)*Table1[[#This Row],[Iin]], 2*Deadtime*Fsw*IF(VfdSky_Q2&gt;0,VfdSky_Q2,0)*Table1[[#This Row],[Iout]]+2*Deadtime*Fsw*IF(VfdSky_Q3&gt;0,VfdSky_Q3,0)*Table1[[#This Row],[Iin]])</f>
        <v>0</v>
      </c>
      <c r="BA116" s="354">
        <f>CHOOSE(Table1[[#This Row],[Mode Digit]], IF(QrrSky_Q2&gt;0,QrrSky_Q2,Qrr_Q2)*Fsw*(Table1[[#This Row],[Vin]]-Table1[[#This Row],[Iout]]*Rdson1),0,  IF(QrrSky_Q2&gt;0,QrrSky_Q2,Qrr_Q2)*Fsw*(Table1[[#This Row],[Vin]]-Table1[[#This Row],[Iout]]*Rdson1)+IF(QrrSky_Q3&gt;0,QrrSky_Q3,Qrr_Q3)*Fsw*Vout)</f>
        <v>0.41915520000000001</v>
      </c>
      <c r="BB116" s="354">
        <f>CHOOSE(Table1[[#This Row],[Mode Digit]],0, IF(QrrSky_Q3&gt;0,QrrSky_Q3,Qrr_Q3)*Fsw*Vout,  IF(QrrSky_Q2&gt;0,QrrSky_Q2,Qrr_Q2)*Fsw*(Table1[[#This Row],[Vin]]-Table1[[#This Row],[Iout]]*Rdson1)+IF(QrrSky_Q3&gt;0,QrrSky_Q3,Qrr_Q3)*Fsw*Vout)</f>
        <v>0</v>
      </c>
      <c r="BC116" s="354">
        <f>CHOOSE(Table1[[#This Row],[Mode Digit]], Rs*Table1[[#This Row],[Irms BuSync]]^2, Rs*Table1[[#This Row],[Irms BoCtlr]]^2, Rs*(Table1[[#This Row],[Irms BuSync]]^2+Table1[[#This Row],[Irms BoCtlr]]^2))</f>
        <v>0.21187150037432789</v>
      </c>
      <c r="BD116" s="354">
        <f t="shared" si="5"/>
        <v>1.44</v>
      </c>
      <c r="BE116" s="354">
        <f>IF(Vout&gt;8, Iq*Vout, Iq*Table1[[#This Row],[Vin]])</f>
        <v>4.3799999999999999E-2</v>
      </c>
      <c r="BF116" s="354">
        <f>CHOOSE(Table1[[#This Row],[Mode Digit]], (Qg_Q1+Qg_Q2)*Fsw, (Qg_Q3+Qg_Q4)*Fsw, (Qg_Q1+Qg_Q2+Qg_Q3+Qg_Q4)*Fsw)*IF(Vout&gt;8, Vout, Table1[[#This Row],[Vin]])</f>
        <v>0.47303999999999996</v>
      </c>
      <c r="BG116" s="354">
        <f t="shared" si="6"/>
        <v>0.45605042016806729</v>
      </c>
      <c r="BH116" s="354">
        <f>Table1[[#This Row],[IQ Loss]]+Table1[[#This Row],[Switching Current Loss]]</f>
        <v>0.51683999999999997</v>
      </c>
      <c r="BI11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11.618722180513716</v>
      </c>
      <c r="BJ116">
        <f>Vout*Table1[[#This Row],[Iout]]</f>
        <v>175.2</v>
      </c>
      <c r="BK116" s="550">
        <f>Table1[[#This Row],[Pout]]/(Table1[[#This Row],[Pout]]+Table1[[#This Row],[Total Loss]])</f>
        <v>0.93780750641636912</v>
      </c>
      <c r="BL11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282.89212715609131</v>
      </c>
      <c r="BM116" s="559">
        <f>IF(Table1[[#This Row],[Vin]]&gt;Vout, Table1[[#This Row],[Total Sync Bu MOSFET Loss]]*ThetaJA_Q2, ThetaJA_Q3*Table1[[#This Row],[Total Sync Bo MOSFET Loss]])</f>
        <v>61.229565910716573</v>
      </c>
      <c r="BN116" s="9"/>
      <c r="BO116" s="4">
        <f>Table1[[#This Row],[EFF, h]]*100</f>
        <v>93.780750641636914</v>
      </c>
      <c r="BP116" s="354">
        <f>Table1[[#This Row],[Total Inductor Loss]]</f>
        <v>2.4902324118316193</v>
      </c>
      <c r="BQ116" s="354">
        <f>Table1[[#This Row],[Total Control Bu MOSFET Loss]]+Table1[[#This Row],[Total Sync Bu MOSFET Loss]]+Table1[[#This Row],[Total Control Bo MOSFET Loss]]+Table1[[#This Row],[Total Sync Bo MOSFET Loss]]+Table1[[#This Row],[Reverse Recovery Loss MOSFET D BUCK]]+Table1[[#This Row],[Reverse Recovery Loss MOSFET D BOOST]]</f>
        <v>6.8761247440666082</v>
      </c>
      <c r="BR116" s="354">
        <f>Table1[[#This Row],[Total Control Bu MOSFET Loss]]+Table1[[#This Row],[Reverse Recovery Loss MOSFET D BUCK]]*0.66</f>
        <v>4.9915112179348551</v>
      </c>
      <c r="BS116" s="354">
        <f>Table1[[#This Row],[Total Sync Bu MOSFET Loss]]+Table1[[#This Row],[Reverse Recovery Loss MOSFET D BUCK]]*0.33</f>
        <v>1.1588139811786096</v>
      </c>
      <c r="BT116" s="354">
        <f xml:space="preserve"> Table1[[#This Row],[Total Control Bo MOSFET Loss]]+Table1[[#This Row],[Reverse Recovery Loss MOSFET D BOOST]]*0.66</f>
        <v>0</v>
      </c>
      <c r="BU116" s="354">
        <f xml:space="preserve"> Table1[[#This Row],[Total Sync Bo MOSFET Loss]]+Table1[[#This Row],[Reverse Recovery Loss MOSFET D BOOST]]*0.33</f>
        <v>0.72160799295314437</v>
      </c>
      <c r="BV116" s="354">
        <f>Table1[[#This Row],[Isense Shunt Loss]]</f>
        <v>0.21187150037432789</v>
      </c>
    </row>
    <row r="117" spans="7:74" x14ac:dyDescent="0.2">
      <c r="G117">
        <v>108</v>
      </c>
      <c r="H117" s="555">
        <f>VIN_min+(VIN_max-VIN_min)*(Table1[[#This Row],[Step]]/200)</f>
        <v>35.120000000000005</v>
      </c>
      <c r="I117" s="4" t="str">
        <f>IF(Mode = 2,IF(Table1[[#This Row],[Vin]]&gt;Vout, "BUCK","BOOST"),IF(Table1[[#This Row],[Vin]]&gt;VIN_BB_to_buck, "BUCK", IF(Table1[[#This Row],[Vin]]&lt;=VIN_boost_to_BB,"BOOST","BUCK-BST")))</f>
        <v>BUCK</v>
      </c>
      <c r="J117">
        <f>IF(Table1[[#This Row],[Mode]]="BOOST",2, IF(Table1[[#This Row],[Mode]]="BUCK", 1,3))</f>
        <v>1</v>
      </c>
      <c r="K117">
        <f t="shared" si="4"/>
        <v>12</v>
      </c>
      <c r="L117" s="4">
        <f>Vout*Table1[[#This Row],[Iout]]/(Table1[[#This Row],[Vin]]*Efficiency)</f>
        <v>5.2511689245893765</v>
      </c>
      <c r="M117" s="711">
        <f>MIN(1/Fsw,CHOOSE(Table1[[#This Row],[Mode Digit]],(Vout+(Rdson2+Rs+Rdcr)*Table1[[#This Row],[Iout]])/(Table1[[#This Row],[Vin]]+(Rs+Rdson2-Rdson1)*Table1[[#This Row],[Iout]])/Fsw,(Vout+(Rdson3+Rdcr)*Table1[[#This Row],[Iin]]-Table1[[#This Row],[Vin]])/(Vout+(Rdson3-Rdson4-Rs)*Table1[[#This Row],[Iin]])/Fsw,t1_Ph_II))</f>
        <v>6.9938359412043604E-7</v>
      </c>
      <c r="N117" s="602">
        <f>CHOOSE(Table1[[#This Row],[Mode Digit]],1/Fsw-Table1[[#This Row],[t1_Ph_II]],1/Fsw-Table1[[#This Row],[t1_Ph_II]],(Vout/Fsw-Table1[[#This Row],[Vin]]*t1_Ph_II)/(Table1[[#This Row],[Vin]]+Vout))</f>
        <v>9.6728307254623063E-7</v>
      </c>
      <c r="O117" s="602">
        <f>1/Fsw-(Table1[[#This Row],[t1_Ph_II]]+Table1[[#This Row],[t2_Ph_I]])</f>
        <v>0</v>
      </c>
      <c r="P11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9.2819410319410327</v>
      </c>
      <c r="Q117" s="4">
        <f>CHOOSE(Table1[[#This Row],[Mode Digit]],Table1[[#This Row],[I_0]]+1/Lf*(Table1[[#This Row],[Vin]]-Vout)*Table1[[#This Row],[t1_Ph_II]],Table1[[#This Row],[I_0]]+1/Lf*Table1[[#This Row],[Vin]]*Table1[[#This Row],[t1_Ph_II]],Table1[[#This Row],[I_0]]+(Table1[[#This Row],[Vin]]-Vout)/L*Table1[[#This Row],[t1_Ph_II]])</f>
        <v>14.718058968058969</v>
      </c>
      <c r="R117" s="4">
        <f>CHOOSE(Table1[[#This Row],[Mode Digit]],0,0,Table1[[#This Row],[I_1]]+Table1[[#This Row],[Vin]]/L*Table1[[#This Row],[t2_Ph_I]])</f>
        <v>0</v>
      </c>
      <c r="S117" s="4">
        <f>Fsw*(Table1[[#This Row],[I_0]]*Table1[[#This Row],[t1_Ph_II]]+Table1[[#This Row],[I_1]]*Table1[[#This Row],[t2_Ph_I]]+Table1[[#This Row],[I_2]]*Table1[[#This Row],[t3_Ph_III]])</f>
        <v>12.436899947924132</v>
      </c>
      <c r="T117" s="354">
        <f>MIN(1,CHOOSE(Table1[[#This Row],[Mode Digit]],(Vout+(Rdson2+Rs+Rdcr)*Table1[[#This Row],[Iout]])/(Table1[[#This Row],[Vin]]+(Rs+Rdson2-Rdson1)*Table1[[#This Row],[Iout]]),1,Fsw*Table1[[#This Row],[t2_Ph_I]]+Table1[[#This Row],[t1_Ph_II]]))</f>
        <v>0.41963015647226165</v>
      </c>
      <c r="U117" s="354">
        <f>MIN(1,CHOOSE(Table1[[#This Row],[Mode Digit]],0,(Vout+(Rdson3+Rdcr)*Table1[[#This Row],[Iin]]-Table1[[#This Row],[Vin]])/(Vout+(Rdson3-Rdson4-Rs)*Table1[[#This Row],[Iin]]),Fsw*Table1[[#This Row],[t1_Ph_II]]+Table1[[#This Row],[t3_Ph_III]]))</f>
        <v>0</v>
      </c>
      <c r="V117" s="4">
        <f>MAX(Table1[[#This Row],[I_0]:[I_2]])-MIN(Table1[[#This Row],[I_0]:[I_1]])</f>
        <v>5.4361179361179364</v>
      </c>
      <c r="W11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12.102173972112695</v>
      </c>
      <c r="X117" s="354">
        <f>(Table1[[#This Row],[Irms Lf]]^2*Rdcr*(1+Ltc*Ta-Ltc*25))/(1-Table1[[#This Row],[Irms Lf]]^2*Rdcr*Ltc*ThetaCa)</f>
        <v>0.91142219080400344</v>
      </c>
      <c r="Y117" s="354">
        <f>ABS(7.759*10^-3*Fsw^0.9458*(0.00787*Table1[[#This Row],[Ripple Current pk-pk]])^2.304)</f>
        <v>1.5893243770493826</v>
      </c>
      <c r="Z117" s="354">
        <f>Table1[[#This Row],[DCR    Loss]]+Table1[[#This Row],[Core Loss]]</f>
        <v>2.500746567853386</v>
      </c>
      <c r="AA117" s="4">
        <f>IF(Table1[[#This Row],[Vin]]&gt;Vout, Table1[[#This Row],[Ripple Current pk-pk]]/SQRT(12), SQRT(Table1[[#This Row],[Duty Cycle BOOST Leg]]/(1-Table1[[#This Row],[Duty Cycle BOOST Leg]]))*SQRT(Table1[[#This Row],[Iout]]^2+(Table1[[#This Row],[Ripple Current pk-pk]]^2)/12))</f>
        <v>1.5692720768821218</v>
      </c>
      <c r="AB117" s="354">
        <f>RCoutEsr*Table1[[#This Row],[Irms Cout]]^2</f>
        <v>1.231307425640964E-2</v>
      </c>
      <c r="AC117" s="354">
        <f>Table1[[#This Row],[Cout ESR Loss]]</f>
        <v>1.231307425640964E-2</v>
      </c>
      <c r="AD117" s="354">
        <f>IF(Table1[[#This Row],[Vin]]&gt;Vout, SQRT(Table1[[#This Row],[Duty Cycle BUCK Leg]]*(1-Table1[[#This Row],[Duty Cycle BUCK Leg]]))*SQRT(Table1[[#This Row],[Iout]]^2+(Table1[[#This Row],[Ripple Current pk-pk]]^2)/12), Table1[[#This Row],[Ripple Current pk-pk]]/SQRT(12))</f>
        <v>5.9724037057093025</v>
      </c>
      <c r="AE117" s="354">
        <f>RCinEsr*Table1[[#This Row],[Irms Cin]]^2</f>
        <v>7.1339212047940428E-2</v>
      </c>
      <c r="AF117" s="549">
        <f>Table1[[#This Row],[Cin ESR Loss]]</f>
        <v>7.1339212047940428E-2</v>
      </c>
      <c r="AG11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7.8396511393926218</v>
      </c>
      <c r="AH117" s="354">
        <f>Rdson1*Table1[[#This Row],[Irms BuCtrl]]^2</f>
        <v>0.25813254594699619</v>
      </c>
      <c r="AI117" s="354">
        <f>CHOOSE(Table1[[#This Row],[Mode Digit]], (Table1[[#This Row],[Vin]]*Table1[[#This Row],[Iout]]/2)*(Fsw)*(Tr_buck+Tf_buck), 0, (Table1[[#This Row],[Vin]]*Table1[[#This Row],[Avg IL]]/2)*(Fsw/1)*(Tr_buck+Tf_buck))</f>
        <v>4.179153684380684</v>
      </c>
      <c r="AJ117">
        <f>IF(Table1[[#This Row],[Vin]]&gt;Vout, IF(Table1[[#This Row],[Iout]]&gt;Table1[[#This Row],[Ripple Current pk-pk]]/2,0,ABS(Table1[[#This Row],[Iout]]-Table1[[#This Row],[Ripple Current pk-pk]]/2)*Vsd_Q1*Deadtime*Fsw),0)</f>
        <v>0</v>
      </c>
      <c r="AK117" s="354">
        <f>(Table1[[#This Row],[Dead Time Loss BuCtrl]]+Table1[[#This Row],[Transition Loss BuCtrl]]+Table1[[#This Row],[RDS(on) Loss BuCtrl]]*(1+RdsonTopTc*Ta-RdsonTopTc*25))/(1-Table1[[#This Row],[RDS(on) Loss BuCtrl]]*RdsonTopTc*ThetaJA_Q1)</f>
        <v>4.730339317841505</v>
      </c>
      <c r="AL117" s="354">
        <f>CHOOSE(Table1[[#This Row],[Mode Digit]],SQRT((Fsw*(Table1[[#This Row],[t2_Ph_I]]+0))*((Table1[[#This Row],[I_0]]*Table1[[#This Row],[I_1]]+((Table1[[#This Row],[I_0]]-Table1[[#This Row],[I_1]])^2)/3))),0,SQRT((Fsw*(Table1[[#This Row],[t3_Ph_III]]+0))*((Table1[[#This Row],[I_0]]*Table1[[#This Row],[I_2]]+((Table1[[#This Row],[I_0]]-Table1[[#This Row],[I_2]])^2)/3))))</f>
        <v>9.2196792169739776</v>
      </c>
      <c r="AM117" s="354">
        <f>Rdson2*Table1[[#This Row],[Irms BuSync]]^2</f>
        <v>0.35701043642838803</v>
      </c>
      <c r="AN11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17" s="354">
        <f>(Table1[[#This Row],[Deadtime Loss BuSync]]+Table1[[#This Row],[RDS(on) Loss BuSync]]*(1+RdsonBotTc*Ta-RdsonBotTc*25))/(1-Table1[[#This Row],[RDS(on) Loss BuSync]]*RdsonBotTc*ThetaJA_Q2)</f>
        <v>1.0219446416006575</v>
      </c>
      <c r="AP117" s="354">
        <f>CHOOSE(Table1[[#This Row],[Mode Digit]],0,SQRT((Fsw*(Table1[[#This Row],[t1_Ph_II]]+0))*((Table1[[#This Row],[I_0]]*Table1[[#This Row],[I_1]]+((Table1[[#This Row],[I_0]]-Table1[[#This Row],[I_1]])^2)/3))),SQRT((Fsw*(Table1[[#This Row],[t2_Ph_I]]+0))*((Table1[[#This Row],[I_1]]*Table1[[#This Row],[I_2]]+((Table1[[#This Row],[I_1]]-Table1[[#This Row],[I_2]])^2)/3))))</f>
        <v>0</v>
      </c>
      <c r="AQ117" s="354">
        <f>Rdson4*Table1[[#This Row],[Irms BoCtlr]]^2</f>
        <v>0</v>
      </c>
      <c r="AR117" s="354">
        <f>CHOOSE(Table1[[#This Row],[Mode Digit]], 0, (Vout*Table1[[#This Row],[Iin]]/2)*(Fsw)*(Tr_boost+Tf_boost), (Vout*Iout/2)*(Fsw/1)*(Tr_boost+Tf_boost))</f>
        <v>0</v>
      </c>
      <c r="AS117">
        <f>IF(Table1[[#This Row],[Vin]]&gt;Vout, 0, IF(Table1[[#This Row],[Iin]]&gt;Table1[[#This Row],[Ripple Current pk-pk]]/2,0,ABS(Table1[[#This Row],[Iin]]-Table1[[#This Row],[Ripple Current pk-pk]]/2)*Vsd_Q4*Deadtime*Fsw))</f>
        <v>0</v>
      </c>
      <c r="AT117" s="354">
        <f>(Table1[[#This Row],[Dead Time Loss BoCtlr]]+Table1[[#This Row],[Transition Loss BoCtlr]]+Table1[[#This Row],[RDS(on) Loss BoCtlr]]*(1+RdsonTopTc*Ta-RdsonTopTc*25))/(1-Table1[[#This Row],[RDS(on) Loss BoCtlr]]*RdsonTopTc*ThetaJA_Q4)</f>
        <v>0</v>
      </c>
      <c r="AU11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12.102173972112695</v>
      </c>
      <c r="AV117" s="354">
        <f>Rdson3*Table1[[#This Row],[Irms BoSync]]^2</f>
        <v>0.61514298237538434</v>
      </c>
      <c r="AW11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17" s="354">
        <f>(Table1[[#This Row],[Deadtime Loss BoSync]]+Table1[[#This Row],[RDS(on) Loss BoSync]]*(1+RdsonBotTc*Ta-RdsonBotTc*25))/(1-Table1[[#This Row],[RDS(on) Loss BoSync]]*RdsonBotTc*ThetaJA_Q3)</f>
        <v>0.72168905172567044</v>
      </c>
      <c r="AY117" s="354">
        <f>CHOOSE(Table1[[#This Row],[Mode Digit]], Rdson3*Table1[[#This Row],[Irms Lf]]^2, Rdson1*Table1[[#This Row],[Irms Lf]]^2, 0)</f>
        <v>0.61514298237538434</v>
      </c>
      <c r="AZ117" s="354">
        <f>CHOOSE(Table1[[#This Row],[Mode Digit]], 2*Deadtime*Fsw*IF(VfdSky_Q2&gt;0,VfdSky_Q2,0)*Table1[[#This Row],[Iout]], 2*Deadtime*Fsw*IF(VfdSky_Q3&gt;0,VfdSky_Q3,0)*Table1[[#This Row],[Iin]], 2*Deadtime*Fsw*IF(VfdSky_Q2&gt;0,VfdSky_Q2,0)*Table1[[#This Row],[Iout]]+2*Deadtime*Fsw*IF(VfdSky_Q3&gt;0,VfdSky_Q3,0)*Table1[[#This Row],[Iin]])</f>
        <v>0</v>
      </c>
      <c r="BA117" s="354">
        <f>CHOOSE(Table1[[#This Row],[Mode Digit]], IF(QrrSky_Q2&gt;0,QrrSky_Q2,Qrr_Q2)*Fsw*(Table1[[#This Row],[Vin]]-Table1[[#This Row],[Iout]]*Rdson1),0,  IF(QrrSky_Q2&gt;0,QrrSky_Q2,Qrr_Q2)*Fsw*(Table1[[#This Row],[Vin]]-Table1[[#This Row],[Iout]]*Rdson1)+IF(QrrSky_Q3&gt;0,QrrSky_Q3,Qrr_Q3)*Fsw*Vout)</f>
        <v>0.42083520000000002</v>
      </c>
      <c r="BB117" s="354">
        <f>CHOOSE(Table1[[#This Row],[Mode Digit]],0, IF(QrrSky_Q3&gt;0,QrrSky_Q3,Qrr_Q3)*Fsw*Vout,  IF(QrrSky_Q2&gt;0,QrrSky_Q2,Qrr_Q2)*Fsw*(Table1[[#This Row],[Vin]]-Table1[[#This Row],[Iout]]*Rdson1)+IF(QrrSky_Q3&gt;0,QrrSky_Q3,Qrr_Q3)*Fsw*Vout)</f>
        <v>0</v>
      </c>
      <c r="BC117" s="354">
        <f>CHOOSE(Table1[[#This Row],[Mode Digit]], Rs*Table1[[#This Row],[Irms BuSync]]^2, Rs*Table1[[#This Row],[Irms BoCtlr]]^2, Rs*(Table1[[#This Row],[Irms BuSync]]^2+Table1[[#This Row],[Irms BoCtlr]]^2))</f>
        <v>0.21250621215975474</v>
      </c>
      <c r="BD117" s="354">
        <f t="shared" si="5"/>
        <v>1.44</v>
      </c>
      <c r="BE117" s="354">
        <f>IF(Vout&gt;8, Iq*Vout, Iq*Table1[[#This Row],[Vin]])</f>
        <v>4.3799999999999999E-2</v>
      </c>
      <c r="BF117" s="354">
        <f>CHOOSE(Table1[[#This Row],[Mode Digit]], (Qg_Q1+Qg_Q2)*Fsw, (Qg_Q3+Qg_Q4)*Fsw, (Qg_Q1+Qg_Q2+Qg_Q3+Qg_Q4)*Fsw)*IF(Vout&gt;8, Vout, Table1[[#This Row],[Vin]])</f>
        <v>0.47303999999999996</v>
      </c>
      <c r="BG117" s="354">
        <f t="shared" si="6"/>
        <v>0.45605042016806729</v>
      </c>
      <c r="BH117" s="354">
        <f>Table1[[#This Row],[IQ Loss]]+Table1[[#This Row],[Switching Current Loss]]</f>
        <v>0.51683999999999997</v>
      </c>
      <c r="BI11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11.648553277485325</v>
      </c>
      <c r="BJ117">
        <f>Vout*Table1[[#This Row],[Iout]]</f>
        <v>175.2</v>
      </c>
      <c r="BK117" s="550">
        <f>Table1[[#This Row],[Pout]]/(Table1[[#This Row],[Pout]]+Table1[[#This Row],[Total Loss]])</f>
        <v>0.93765778180692538</v>
      </c>
      <c r="BL11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283.82035907049033</v>
      </c>
      <c r="BM117" s="559">
        <f>IF(Table1[[#This Row],[Vin]]&gt;Vout, Table1[[#This Row],[Total Sync Bu MOSFET Loss]]*ThetaJA_Q2, ThetaJA_Q3*Table1[[#This Row],[Total Sync Bo MOSFET Loss]])</f>
        <v>61.316678496039444</v>
      </c>
      <c r="BN117" s="9"/>
      <c r="BO117" s="4">
        <f>Table1[[#This Row],[EFF, h]]*100</f>
        <v>93.765778180692536</v>
      </c>
      <c r="BP117" s="354">
        <f>Table1[[#This Row],[Total Inductor Loss]]</f>
        <v>2.500746567853386</v>
      </c>
      <c r="BQ117" s="354">
        <f>Table1[[#This Row],[Total Control Bu MOSFET Loss]]+Table1[[#This Row],[Total Sync Bu MOSFET Loss]]+Table1[[#This Row],[Total Control Bo MOSFET Loss]]+Table1[[#This Row],[Total Sync Bo MOSFET Loss]]+Table1[[#This Row],[Reverse Recovery Loss MOSFET D BUCK]]+Table1[[#This Row],[Reverse Recovery Loss MOSFET D BOOST]]</f>
        <v>6.8948082111678328</v>
      </c>
      <c r="BR117" s="354">
        <f>Table1[[#This Row],[Total Control Bu MOSFET Loss]]+Table1[[#This Row],[Reverse Recovery Loss MOSFET D BUCK]]*0.66</f>
        <v>5.0080905498415049</v>
      </c>
      <c r="BS117" s="354">
        <f>Table1[[#This Row],[Total Sync Bu MOSFET Loss]]+Table1[[#This Row],[Reverse Recovery Loss MOSFET D BUCK]]*0.33</f>
        <v>1.1608202576006574</v>
      </c>
      <c r="BT117" s="354">
        <f xml:space="preserve"> Table1[[#This Row],[Total Control Bo MOSFET Loss]]+Table1[[#This Row],[Reverse Recovery Loss MOSFET D BOOST]]*0.66</f>
        <v>0</v>
      </c>
      <c r="BU117" s="354">
        <f xml:space="preserve"> Table1[[#This Row],[Total Sync Bo MOSFET Loss]]+Table1[[#This Row],[Reverse Recovery Loss MOSFET D BOOST]]*0.33</f>
        <v>0.72168905172567044</v>
      </c>
      <c r="BV117" s="354">
        <f>Table1[[#This Row],[Isense Shunt Loss]]</f>
        <v>0.21250621215975474</v>
      </c>
    </row>
    <row r="118" spans="7:74" x14ac:dyDescent="0.2">
      <c r="G118">
        <v>109</v>
      </c>
      <c r="H118" s="555">
        <f>VIN_min+(VIN_max-VIN_min)*(Table1[[#This Row],[Step]]/200)</f>
        <v>35.260000000000005</v>
      </c>
      <c r="I118" s="4" t="str">
        <f>IF(Mode = 2,IF(Table1[[#This Row],[Vin]]&gt;Vout, "BUCK","BOOST"),IF(Table1[[#This Row],[Vin]]&gt;VIN_BB_to_buck, "BUCK", IF(Table1[[#This Row],[Vin]]&lt;=VIN_boost_to_BB,"BOOST","BUCK-BST")))</f>
        <v>BUCK</v>
      </c>
      <c r="J118">
        <f>IF(Table1[[#This Row],[Mode]]="BOOST",2, IF(Table1[[#This Row],[Mode]]="BUCK", 1,3))</f>
        <v>1</v>
      </c>
      <c r="K118">
        <f t="shared" si="4"/>
        <v>12</v>
      </c>
      <c r="L118" s="4">
        <f>Vout*Table1[[#This Row],[Iout]]/(Table1[[#This Row],[Vin]]*Efficiency)</f>
        <v>5.2303191330566916</v>
      </c>
      <c r="M118" s="711">
        <f>MIN(1/Fsw,CHOOSE(Table1[[#This Row],[Mode Digit]],(Vout+(Rdson2+Rs+Rdcr)*Table1[[#This Row],[Iout]])/(Table1[[#This Row],[Vin]]+(Rs+Rdson2-Rdson1)*Table1[[#This Row],[Iout]])/Fsw,(Vout+(Rdson3+Rdcr)*Table1[[#This Row],[Iin]]-Table1[[#This Row],[Vin]])/(Vout+(Rdson3-Rdson4-Rs)*Table1[[#This Row],[Iin]])/Fsw,t1_Ph_II))</f>
        <v>6.9660904883347494E-7</v>
      </c>
      <c r="N118" s="602">
        <f>CHOOSE(Table1[[#This Row],[Mode Digit]],1/Fsw-Table1[[#This Row],[t1_Ph_II]],1/Fsw-Table1[[#This Row],[t1_Ph_II]],(Vout/Fsw-Table1[[#This Row],[Vin]]*t1_Ph_II)/(Table1[[#This Row],[Vin]]+Vout))</f>
        <v>9.7005761783319172E-7</v>
      </c>
      <c r="O118" s="602">
        <f>1/Fsw-(Table1[[#This Row],[t1_Ph_II]]+Table1[[#This Row],[t2_Ph_I]])</f>
        <v>0</v>
      </c>
      <c r="P11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9.274253229375077</v>
      </c>
      <c r="Q118" s="4">
        <f>CHOOSE(Table1[[#This Row],[Mode Digit]],Table1[[#This Row],[I_0]]+1/Lf*(Table1[[#This Row],[Vin]]-Vout)*Table1[[#This Row],[t1_Ph_II]],Table1[[#This Row],[I_0]]+1/Lf*Table1[[#This Row],[Vin]]*Table1[[#This Row],[t1_Ph_II]],Table1[[#This Row],[I_0]]+(Table1[[#This Row],[Vin]]-Vout)/L*Table1[[#This Row],[t1_Ph_II]])</f>
        <v>14.725746770624923</v>
      </c>
      <c r="R118" s="4">
        <f>CHOOSE(Table1[[#This Row],[Mode Digit]],0,0,Table1[[#This Row],[I_1]]+Table1[[#This Row],[Vin]]/L*Table1[[#This Row],[t2_Ph_I]])</f>
        <v>0</v>
      </c>
      <c r="S118" s="4">
        <f>Fsw*(Table1[[#This Row],[I_0]]*Table1[[#This Row],[t1_Ph_II]]+Table1[[#This Row],[I_1]]*Table1[[#This Row],[t2_Ph_I]]+Table1[[#This Row],[I_2]]*Table1[[#This Row],[t3_Ph_III]])</f>
        <v>12.44721093232979</v>
      </c>
      <c r="T118" s="354">
        <f>MIN(1,CHOOSE(Table1[[#This Row],[Mode Digit]],(Vout+(Rdson2+Rs+Rdcr)*Table1[[#This Row],[Iout]])/(Table1[[#This Row],[Vin]]+(Rs+Rdson2-Rdson1)*Table1[[#This Row],[Iout]]),1,Fsw*Table1[[#This Row],[t2_Ph_I]]+Table1[[#This Row],[t1_Ph_II]]))</f>
        <v>0.41796542930008496</v>
      </c>
      <c r="U118" s="354">
        <f>MIN(1,CHOOSE(Table1[[#This Row],[Mode Digit]],0,(Vout+(Rdson3+Rdcr)*Table1[[#This Row],[Iin]]-Table1[[#This Row],[Vin]])/(Vout+(Rdson3-Rdson4-Rs)*Table1[[#This Row],[Iin]]),Fsw*Table1[[#This Row],[t1_Ph_II]]+Table1[[#This Row],[t3_Ph_III]]))</f>
        <v>0</v>
      </c>
      <c r="V118" s="4">
        <f>MAX(Table1[[#This Row],[I_0]:[I_2]])-MIN(Table1[[#This Row],[I_0]:[I_1]])</f>
        <v>5.451493541249846</v>
      </c>
      <c r="W11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12.102750313566089</v>
      </c>
      <c r="X118" s="354">
        <f>(Table1[[#This Row],[Irms Lf]]^2*Rdcr*(1+Ltc*Ta-Ltc*25))/(1-Table1[[#This Row],[Irms Lf]]^2*Rdcr*Ltc*ThetaCa)</f>
        <v>0.91151533252069183</v>
      </c>
      <c r="Y118" s="354">
        <f>ABS(7.759*10^-3*Fsw^0.9458*(0.00787*Table1[[#This Row],[Ripple Current pk-pk]])^2.304)</f>
        <v>1.5997005870389305</v>
      </c>
      <c r="Z118" s="354">
        <f>Table1[[#This Row],[DCR    Loss]]+Table1[[#This Row],[Core Loss]]</f>
        <v>2.5112159195596222</v>
      </c>
      <c r="AA118" s="4">
        <f>IF(Table1[[#This Row],[Vin]]&gt;Vout, Table1[[#This Row],[Ripple Current pk-pk]]/SQRT(12), SQRT(Table1[[#This Row],[Duty Cycle BOOST Leg]]/(1-Table1[[#This Row],[Duty Cycle BOOST Leg]]))*SQRT(Table1[[#This Row],[Iout]]^2+(Table1[[#This Row],[Ripple Current pk-pk]]^2)/12))</f>
        <v>1.5737106317630525</v>
      </c>
      <c r="AB118" s="354">
        <f>RCoutEsr*Table1[[#This Row],[Irms Cout]]^2</f>
        <v>1.2382825762620328E-2</v>
      </c>
      <c r="AC118" s="354">
        <f>Table1[[#This Row],[Cout ESR Loss]]</f>
        <v>1.2382825762620328E-2</v>
      </c>
      <c r="AD118" s="354">
        <f>IF(Table1[[#This Row],[Vin]]&gt;Vout, SQRT(Table1[[#This Row],[Duty Cycle BUCK Leg]]*(1-Table1[[#This Row],[Duty Cycle BUCK Leg]]))*SQRT(Table1[[#This Row],[Iout]]^2+(Table1[[#This Row],[Ripple Current pk-pk]]^2)/12), Table1[[#This Row],[Ripple Current pk-pk]]/SQRT(12))</f>
        <v>5.9693720127176153</v>
      </c>
      <c r="AE118" s="354">
        <f>RCinEsr*Table1[[#This Row],[Irms Cin]]^2</f>
        <v>7.1266804452432705E-2</v>
      </c>
      <c r="AF118" s="549">
        <f>Table1[[#This Row],[Cin ESR Loss]]</f>
        <v>7.1266804452432705E-2</v>
      </c>
      <c r="AG11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7.8244578365773432</v>
      </c>
      <c r="AH118" s="354">
        <f>Rdson1*Table1[[#This Row],[Irms BuCtrl]]^2</f>
        <v>0.25713298983278177</v>
      </c>
      <c r="AI118" s="354">
        <f>CHOOSE(Table1[[#This Row],[Mode Digit]], (Table1[[#This Row],[Vin]]*Table1[[#This Row],[Iout]]/2)*(Fsw)*(Tr_buck+Tf_buck), 0, (Table1[[#This Row],[Vin]]*Table1[[#This Row],[Avg IL]]/2)*(Fsw/1)*(Tr_buck+Tf_buck))</f>
        <v>4.195813180844616</v>
      </c>
      <c r="AJ118">
        <f>IF(Table1[[#This Row],[Vin]]&gt;Vout, IF(Table1[[#This Row],[Iout]]&gt;Table1[[#This Row],[Ripple Current pk-pk]]/2,0,ABS(Table1[[#This Row],[Iout]]-Table1[[#This Row],[Ripple Current pk-pk]]/2)*Vsd_Q1*Deadtime*Fsw),0)</f>
        <v>0</v>
      </c>
      <c r="AK118" s="354">
        <f>(Table1[[#This Row],[Dead Time Loss BuCtrl]]+Table1[[#This Row],[Transition Loss BuCtrl]]+Table1[[#This Row],[RDS(on) Loss BuCtrl]]*(1+RdsonTopTc*Ta-RdsonTopTc*25))/(1-Table1[[#This Row],[RDS(on) Loss BuCtrl]]*RdsonTopTc*ThetaJA_Q1)</f>
        <v>4.7458198116477925</v>
      </c>
      <c r="AL118" s="354">
        <f>CHOOSE(Table1[[#This Row],[Mode Digit]],SQRT((Fsw*(Table1[[#This Row],[t2_Ph_I]]+0))*((Table1[[#This Row],[I_0]]*Table1[[#This Row],[I_1]]+((Table1[[#This Row],[I_0]]-Table1[[#This Row],[I_1]])^2)/3))),0,SQRT((Fsw*(Table1[[#This Row],[t3_Ph_III]]+0))*((Table1[[#This Row],[I_0]]*Table1[[#This Row],[I_2]]+((Table1[[#This Row],[I_0]]-Table1[[#This Row],[I_2]])^2)/3))))</f>
        <v>9.2333322650139422</v>
      </c>
      <c r="AM118" s="354">
        <f>Rdson2*Table1[[#This Row],[Irms BuSync]]^2</f>
        <v>0.35806858380781953</v>
      </c>
      <c r="AN11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18" s="354">
        <f>(Table1[[#This Row],[Deadtime Loss BuSync]]+Table1[[#This Row],[RDS(on) Loss BuSync]]*(1+RdsonBotTc*Ta-RdsonBotTc*25))/(1-Table1[[#This Row],[RDS(on) Loss BuSync]]*RdsonBotTc*ThetaJA_Q2)</f>
        <v>1.0233861997118798</v>
      </c>
      <c r="AP118" s="354">
        <f>CHOOSE(Table1[[#This Row],[Mode Digit]],0,SQRT((Fsw*(Table1[[#This Row],[t1_Ph_II]]+0))*((Table1[[#This Row],[I_0]]*Table1[[#This Row],[I_1]]+((Table1[[#This Row],[I_0]]-Table1[[#This Row],[I_1]])^2)/3))),SQRT((Fsw*(Table1[[#This Row],[t2_Ph_I]]+0))*((Table1[[#This Row],[I_1]]*Table1[[#This Row],[I_2]]+((Table1[[#This Row],[I_1]]-Table1[[#This Row],[I_2]])^2)/3))))</f>
        <v>0</v>
      </c>
      <c r="AQ118" s="354">
        <f>Rdson4*Table1[[#This Row],[Irms BoCtlr]]^2</f>
        <v>0</v>
      </c>
      <c r="AR118" s="354">
        <f>CHOOSE(Table1[[#This Row],[Mode Digit]], 0, (Vout*Table1[[#This Row],[Iin]]/2)*(Fsw)*(Tr_boost+Tf_boost), (Vout*Iout/2)*(Fsw/1)*(Tr_boost+Tf_boost))</f>
        <v>0</v>
      </c>
      <c r="AS118">
        <f>IF(Table1[[#This Row],[Vin]]&gt;Vout, 0, IF(Table1[[#This Row],[Iin]]&gt;Table1[[#This Row],[Ripple Current pk-pk]]/2,0,ABS(Table1[[#This Row],[Iin]]-Table1[[#This Row],[Ripple Current pk-pk]]/2)*Vsd_Q4*Deadtime*Fsw))</f>
        <v>0</v>
      </c>
      <c r="AT118" s="354">
        <f>(Table1[[#This Row],[Dead Time Loss BoCtlr]]+Table1[[#This Row],[Transition Loss BoCtlr]]+Table1[[#This Row],[RDS(on) Loss BoCtlr]]*(1+RdsonTopTc*Ta-RdsonTopTc*25))/(1-Table1[[#This Row],[RDS(on) Loss BoCtlr]]*RdsonTopTc*ThetaJA_Q4)</f>
        <v>0</v>
      </c>
      <c r="AU11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12.102750313566089</v>
      </c>
      <c r="AV118" s="354">
        <f>Rdson3*Table1[[#This Row],[Irms BoSync]]^2</f>
        <v>0.61520157364060124</v>
      </c>
      <c r="AW11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18" s="354">
        <f>(Table1[[#This Row],[Deadtime Loss BoSync]]+Table1[[#This Row],[RDS(on) Loss BoSync]]*(1+RdsonBotTc*Ta-RdsonBotTc*25))/(1-Table1[[#This Row],[RDS(on) Loss BoSync]]*RdsonBotTc*ThetaJA_Q3)</f>
        <v>0.72176969870906138</v>
      </c>
      <c r="AY118" s="354">
        <f>CHOOSE(Table1[[#This Row],[Mode Digit]], Rdson3*Table1[[#This Row],[Irms Lf]]^2, Rdson1*Table1[[#This Row],[Irms Lf]]^2, 0)</f>
        <v>0.61520157364060124</v>
      </c>
      <c r="AZ118" s="354">
        <f>CHOOSE(Table1[[#This Row],[Mode Digit]], 2*Deadtime*Fsw*IF(VfdSky_Q2&gt;0,VfdSky_Q2,0)*Table1[[#This Row],[Iout]], 2*Deadtime*Fsw*IF(VfdSky_Q3&gt;0,VfdSky_Q3,0)*Table1[[#This Row],[Iin]], 2*Deadtime*Fsw*IF(VfdSky_Q2&gt;0,VfdSky_Q2,0)*Table1[[#This Row],[Iout]]+2*Deadtime*Fsw*IF(VfdSky_Q3&gt;0,VfdSky_Q3,0)*Table1[[#This Row],[Iin]])</f>
        <v>0</v>
      </c>
      <c r="BA118" s="354">
        <f>CHOOSE(Table1[[#This Row],[Mode Digit]], IF(QrrSky_Q2&gt;0,QrrSky_Q2,Qrr_Q2)*Fsw*(Table1[[#This Row],[Vin]]-Table1[[#This Row],[Iout]]*Rdson1),0,  IF(QrrSky_Q2&gt;0,QrrSky_Q2,Qrr_Q2)*Fsw*(Table1[[#This Row],[Vin]]-Table1[[#This Row],[Iout]]*Rdson1)+IF(QrrSky_Q3&gt;0,QrrSky_Q3,Qrr_Q3)*Fsw*Vout)</f>
        <v>0.42251520000000004</v>
      </c>
      <c r="BB118" s="354">
        <f>CHOOSE(Table1[[#This Row],[Mode Digit]],0, IF(QrrSky_Q3&gt;0,QrrSky_Q3,Qrr_Q3)*Fsw*Vout,  IF(QrrSky_Q2&gt;0,QrrSky_Q2,Qrr_Q2)*Fsw*(Table1[[#This Row],[Vin]]-Table1[[#This Row],[Iout]]*Rdson1)+IF(QrrSky_Q3&gt;0,QrrSky_Q3,Qrr_Q3)*Fsw*Vout)</f>
        <v>0</v>
      </c>
      <c r="BC118" s="354">
        <f>CHOOSE(Table1[[#This Row],[Mode Digit]], Rs*Table1[[#This Row],[Irms BuSync]]^2, Rs*Table1[[#This Row],[Irms BoCtlr]]^2, Rs*(Table1[[#This Row],[Irms BuSync]]^2+Table1[[#This Row],[Irms BoCtlr]]^2))</f>
        <v>0.21313606179036876</v>
      </c>
      <c r="BD118" s="354">
        <f t="shared" si="5"/>
        <v>1.44</v>
      </c>
      <c r="BE118" s="354">
        <f>IF(Vout&gt;8, Iq*Vout, Iq*Table1[[#This Row],[Vin]])</f>
        <v>4.3799999999999999E-2</v>
      </c>
      <c r="BF118" s="354">
        <f>CHOOSE(Table1[[#This Row],[Mode Digit]], (Qg_Q1+Qg_Q2)*Fsw, (Qg_Q3+Qg_Q4)*Fsw, (Qg_Q1+Qg_Q2+Qg_Q3+Qg_Q4)*Fsw)*IF(Vout&gt;8, Vout, Table1[[#This Row],[Vin]])</f>
        <v>0.47303999999999996</v>
      </c>
      <c r="BG118" s="354">
        <f t="shared" si="6"/>
        <v>0.45605042016806729</v>
      </c>
      <c r="BH118" s="354">
        <f>Table1[[#This Row],[IQ Loss]]+Table1[[#This Row],[Switching Current Loss]]</f>
        <v>0.51683999999999997</v>
      </c>
      <c r="BI11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11.678332521633777</v>
      </c>
      <c r="BJ118">
        <f>Vout*Table1[[#This Row],[Iout]]</f>
        <v>175.2</v>
      </c>
      <c r="BK118" s="550">
        <f>Table1[[#This Row],[Pout]]/(Table1[[#This Row],[Pout]]+Table1[[#This Row],[Total Loss]])</f>
        <v>0.93750836512691038</v>
      </c>
      <c r="BL11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284.74918869886756</v>
      </c>
      <c r="BM118" s="559">
        <f>IF(Table1[[#This Row],[Vin]]&gt;Vout, Table1[[#This Row],[Total Sync Bu MOSFET Loss]]*ThetaJA_Q2, ThetaJA_Q3*Table1[[#This Row],[Total Sync Bo MOSFET Loss]])</f>
        <v>61.403171982712792</v>
      </c>
      <c r="BN118" s="9"/>
      <c r="BO118" s="4">
        <f>Table1[[#This Row],[EFF, h]]*100</f>
        <v>93.750836512691038</v>
      </c>
      <c r="BP118" s="354">
        <f>Table1[[#This Row],[Total Inductor Loss]]</f>
        <v>2.5112159195596222</v>
      </c>
      <c r="BQ118" s="354">
        <f>Table1[[#This Row],[Total Control Bu MOSFET Loss]]+Table1[[#This Row],[Total Sync Bu MOSFET Loss]]+Table1[[#This Row],[Total Control Bo MOSFET Loss]]+Table1[[#This Row],[Total Sync Bo MOSFET Loss]]+Table1[[#This Row],[Reverse Recovery Loss MOSFET D BUCK]]+Table1[[#This Row],[Reverse Recovery Loss MOSFET D BOOST]]</f>
        <v>6.9134909100687345</v>
      </c>
      <c r="BR118" s="354">
        <f>Table1[[#This Row],[Total Control Bu MOSFET Loss]]+Table1[[#This Row],[Reverse Recovery Loss MOSFET D BUCK]]*0.66</f>
        <v>5.0246798436477924</v>
      </c>
      <c r="BS118" s="354">
        <f>Table1[[#This Row],[Total Sync Bu MOSFET Loss]]+Table1[[#This Row],[Reverse Recovery Loss MOSFET D BUCK]]*0.33</f>
        <v>1.1628162157118798</v>
      </c>
      <c r="BT118" s="354">
        <f xml:space="preserve"> Table1[[#This Row],[Total Control Bo MOSFET Loss]]+Table1[[#This Row],[Reverse Recovery Loss MOSFET D BOOST]]*0.66</f>
        <v>0</v>
      </c>
      <c r="BU118" s="354">
        <f xml:space="preserve"> Table1[[#This Row],[Total Sync Bo MOSFET Loss]]+Table1[[#This Row],[Reverse Recovery Loss MOSFET D BOOST]]*0.33</f>
        <v>0.72176969870906138</v>
      </c>
      <c r="BV118" s="354">
        <f>Table1[[#This Row],[Isense Shunt Loss]]</f>
        <v>0.21313606179036876</v>
      </c>
    </row>
    <row r="119" spans="7:74" x14ac:dyDescent="0.2">
      <c r="G119">
        <v>110</v>
      </c>
      <c r="H119" s="555">
        <f>VIN_min+(VIN_max-VIN_min)*(Table1[[#This Row],[Step]]/200)</f>
        <v>35.400000000000006</v>
      </c>
      <c r="I119" s="4" t="str">
        <f>IF(Mode = 2,IF(Table1[[#This Row],[Vin]]&gt;Vout, "BUCK","BOOST"),IF(Table1[[#This Row],[Vin]]&gt;VIN_BB_to_buck, "BUCK", IF(Table1[[#This Row],[Vin]]&lt;=VIN_boost_to_BB,"BOOST","BUCK-BST")))</f>
        <v>BUCK</v>
      </c>
      <c r="J119">
        <f>IF(Table1[[#This Row],[Mode]]="BOOST",2, IF(Table1[[#This Row],[Mode]]="BUCK", 1,3))</f>
        <v>1</v>
      </c>
      <c r="K119">
        <f t="shared" si="4"/>
        <v>12</v>
      </c>
      <c r="L119" s="4">
        <f>Vout*Table1[[#This Row],[Iout]]/(Table1[[#This Row],[Vin]]*Efficiency)</f>
        <v>5.2096342551293482</v>
      </c>
      <c r="M119" s="711">
        <f>MIN(1/Fsw,CHOOSE(Table1[[#This Row],[Mode Digit]],(Vout+(Rdson2+Rs+Rdcr)*Table1[[#This Row],[Iout]])/(Table1[[#This Row],[Vin]]+(Rs+Rdson2-Rdson1)*Table1[[#This Row],[Iout]])/Fsw,(Vout+(Rdson3+Rdcr)*Table1[[#This Row],[Iin]]-Table1[[#This Row],[Vin]])/(Vout+(Rdson3-Rdson4-Rs)*Table1[[#This Row],[Iin]])/Fsw,t1_Ph_II))</f>
        <v>6.938564305202746E-7</v>
      </c>
      <c r="N119" s="602">
        <f>CHOOSE(Table1[[#This Row],[Mode Digit]],1/Fsw-Table1[[#This Row],[t1_Ph_II]],1/Fsw-Table1[[#This Row],[t1_Ph_II]],(Vout/Fsw-Table1[[#This Row],[Vin]]*t1_Ph_II)/(Table1[[#This Row],[Vin]]+Vout))</f>
        <v>9.7281023614639196E-7</v>
      </c>
      <c r="O119" s="602">
        <f>1/Fsw-(Table1[[#This Row],[t1_Ph_II]]+Table1[[#This Row],[t2_Ph_I]])</f>
        <v>0</v>
      </c>
      <c r="P11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9.2666261827989178</v>
      </c>
      <c r="Q119" s="4">
        <f>CHOOSE(Table1[[#This Row],[Mode Digit]],Table1[[#This Row],[I_0]]+1/Lf*(Table1[[#This Row],[Vin]]-Vout)*Table1[[#This Row],[t1_Ph_II]],Table1[[#This Row],[I_0]]+1/Lf*Table1[[#This Row],[Vin]]*Table1[[#This Row],[t1_Ph_II]],Table1[[#This Row],[I_0]]+(Table1[[#This Row],[Vin]]-Vout)/L*Table1[[#This Row],[t1_Ph_II]])</f>
        <v>14.733373817201084</v>
      </c>
      <c r="R119" s="4">
        <f>CHOOSE(Table1[[#This Row],[Mode Digit]],0,0,Table1[[#This Row],[I_1]]+Table1[[#This Row],[Vin]]/L*Table1[[#This Row],[t2_Ph_I]])</f>
        <v>0</v>
      </c>
      <c r="S119" s="4">
        <f>Fsw*(Table1[[#This Row],[I_0]]*Table1[[#This Row],[t1_Ph_II]]+Table1[[#This Row],[I_1]]*Table1[[#This Row],[t2_Ph_I]]+Table1[[#This Row],[I_2]]*Table1[[#This Row],[t3_Ph_III]])</f>
        <v>12.457491017104219</v>
      </c>
      <c r="T119" s="354">
        <f>MIN(1,CHOOSE(Table1[[#This Row],[Mode Digit]],(Vout+(Rdson2+Rs+Rdcr)*Table1[[#This Row],[Iout]])/(Table1[[#This Row],[Vin]]+(Rs+Rdson2-Rdson1)*Table1[[#This Row],[Iout]]),1,Fsw*Table1[[#This Row],[t2_Ph_I]]+Table1[[#This Row],[t1_Ph_II]]))</f>
        <v>0.41631385831216478</v>
      </c>
      <c r="U119" s="354">
        <f>MIN(1,CHOOSE(Table1[[#This Row],[Mode Digit]],0,(Vout+(Rdson3+Rdcr)*Table1[[#This Row],[Iin]]-Table1[[#This Row],[Vin]])/(Vout+(Rdson3-Rdson4-Rs)*Table1[[#This Row],[Iin]]),Fsw*Table1[[#This Row],[t1_Ph_II]]+Table1[[#This Row],[t3_Ph_III]]))</f>
        <v>0</v>
      </c>
      <c r="V119" s="4">
        <f>MAX(Table1[[#This Row],[I_0]:[I_2]])-MIN(Table1[[#This Row],[I_0]:[I_1]])</f>
        <v>5.4667476344021662</v>
      </c>
      <c r="W11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12.103323681597555</v>
      </c>
      <c r="X119" s="354">
        <f>(Table1[[#This Row],[Irms Lf]]^2*Rdcr*(1+Ltc*Ta-Ltc*25))/(1-Table1[[#This Row],[Irms Lf]]^2*Rdcr*Ltc*ThetaCa)</f>
        <v>0.91160799939206982</v>
      </c>
      <c r="Y119" s="354">
        <f>ABS(7.759*10^-3*Fsw^0.9458*(0.00787*Table1[[#This Row],[Ripple Current pk-pk]])^2.304)</f>
        <v>1.6100325751427651</v>
      </c>
      <c r="Z119" s="354">
        <f>Table1[[#This Row],[DCR    Loss]]+Table1[[#This Row],[Core Loss]]</f>
        <v>2.5216405745348349</v>
      </c>
      <c r="AA119" s="4">
        <f>IF(Table1[[#This Row],[Vin]]&gt;Vout, Table1[[#This Row],[Ripple Current pk-pk]]/SQRT(12), SQRT(Table1[[#This Row],[Duty Cycle BOOST Leg]]/(1-Table1[[#This Row],[Duty Cycle BOOST Leg]]))*SQRT(Table1[[#This Row],[Iout]]^2+(Table1[[#This Row],[Ripple Current pk-pk]]^2)/12))</f>
        <v>1.5781141091569204</v>
      </c>
      <c r="AB119" s="354">
        <f>RCoutEsr*Table1[[#This Row],[Irms Cout]]^2</f>
        <v>1.2452220707600704E-2</v>
      </c>
      <c r="AC119" s="354">
        <f>Table1[[#This Row],[Cout ESR Loss]]</f>
        <v>1.2452220707600704E-2</v>
      </c>
      <c r="AD119" s="354">
        <f>IF(Table1[[#This Row],[Vin]]&gt;Vout, SQRT(Table1[[#This Row],[Duty Cycle BUCK Leg]]*(1-Table1[[#This Row],[Duty Cycle BUCK Leg]]))*SQRT(Table1[[#This Row],[Iout]]^2+(Table1[[#This Row],[Ripple Current pk-pk]]^2)/12), Table1[[#This Row],[Ripple Current pk-pk]]/SQRT(12))</f>
        <v>5.9662956856070446</v>
      </c>
      <c r="AE119" s="354">
        <f>RCinEsr*Table1[[#This Row],[Irms Cin]]^2</f>
        <v>7.1193368416186481E-2</v>
      </c>
      <c r="AF119" s="549">
        <f>Table1[[#This Row],[Cin ESR Loss]]</f>
        <v>7.1193368416186481E-2</v>
      </c>
      <c r="AG11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7.8093534947791241</v>
      </c>
      <c r="AH119" s="354">
        <f>Rdson1*Table1[[#This Row],[Irms BuCtrl]]^2</f>
        <v>0.25614120842695953</v>
      </c>
      <c r="AI119" s="354">
        <f>CHOOSE(Table1[[#This Row],[Mode Digit]], (Table1[[#This Row],[Vin]]*Table1[[#This Row],[Iout]]/2)*(Fsw)*(Tr_buck+Tf_buck), 0, (Table1[[#This Row],[Vin]]*Table1[[#This Row],[Avg IL]]/2)*(Fsw/1)*(Tr_buck+Tf_buck))</f>
        <v>4.2124726773085488</v>
      </c>
      <c r="AJ119">
        <f>IF(Table1[[#This Row],[Vin]]&gt;Vout, IF(Table1[[#This Row],[Iout]]&gt;Table1[[#This Row],[Ripple Current pk-pk]]/2,0,ABS(Table1[[#This Row],[Iout]]-Table1[[#This Row],[Ripple Current pk-pk]]/2)*Vsd_Q1*Deadtime*Fsw),0)</f>
        <v>0</v>
      </c>
      <c r="AK119" s="354">
        <f>(Table1[[#This Row],[Dead Time Loss BuCtrl]]+Table1[[#This Row],[Transition Loss BuCtrl]]+Table1[[#This Row],[RDS(on) Loss BuCtrl]]*(1+RdsonTopTc*Ta-RdsonTopTc*25))/(1-Table1[[#This Row],[RDS(on) Loss BuCtrl]]*RdsonTopTc*ThetaJA_Q1)</f>
        <v>4.7613101417524719</v>
      </c>
      <c r="AL119" s="354">
        <f>CHOOSE(Table1[[#This Row],[Mode Digit]],SQRT((Fsw*(Table1[[#This Row],[t2_Ph_I]]+0))*((Table1[[#This Row],[I_0]]*Table1[[#This Row],[I_1]]+((Table1[[#This Row],[I_0]]-Table1[[#This Row],[I_1]])^2)/3))),0,SQRT((Fsw*(Table1[[#This Row],[t3_Ph_III]]+0))*((Table1[[#This Row],[I_0]]*Table1[[#This Row],[I_2]]+((Table1[[#This Row],[I_0]]-Table1[[#This Row],[I_2]])^2)/3))))</f>
        <v>9.2468612044899459</v>
      </c>
      <c r="AM119" s="354">
        <f>Rdson2*Table1[[#This Row],[Irms BuSync]]^2</f>
        <v>0.35911865696742534</v>
      </c>
      <c r="AN11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19" s="354">
        <f>(Table1[[#This Row],[Deadtime Loss BuSync]]+Table1[[#This Row],[RDS(on) Loss BuSync]]*(1+RdsonBotTc*Ta-RdsonBotTc*25))/(1-Table1[[#This Row],[RDS(on) Loss BuSync]]*RdsonBotTc*ThetaJA_Q2)</f>
        <v>1.0248175500712282</v>
      </c>
      <c r="AP119" s="354">
        <f>CHOOSE(Table1[[#This Row],[Mode Digit]],0,SQRT((Fsw*(Table1[[#This Row],[t1_Ph_II]]+0))*((Table1[[#This Row],[I_0]]*Table1[[#This Row],[I_1]]+((Table1[[#This Row],[I_0]]-Table1[[#This Row],[I_1]])^2)/3))),SQRT((Fsw*(Table1[[#This Row],[t2_Ph_I]]+0))*((Table1[[#This Row],[I_1]]*Table1[[#This Row],[I_2]]+((Table1[[#This Row],[I_1]]-Table1[[#This Row],[I_2]])^2)/3))))</f>
        <v>0</v>
      </c>
      <c r="AQ119" s="354">
        <f>Rdson4*Table1[[#This Row],[Irms BoCtlr]]^2</f>
        <v>0</v>
      </c>
      <c r="AR119" s="354">
        <f>CHOOSE(Table1[[#This Row],[Mode Digit]], 0, (Vout*Table1[[#This Row],[Iin]]/2)*(Fsw)*(Tr_boost+Tf_boost), (Vout*Iout/2)*(Fsw/1)*(Tr_boost+Tf_boost))</f>
        <v>0</v>
      </c>
      <c r="AS119">
        <f>IF(Table1[[#This Row],[Vin]]&gt;Vout, 0, IF(Table1[[#This Row],[Iin]]&gt;Table1[[#This Row],[Ripple Current pk-pk]]/2,0,ABS(Table1[[#This Row],[Iin]]-Table1[[#This Row],[Ripple Current pk-pk]]/2)*Vsd_Q4*Deadtime*Fsw))</f>
        <v>0</v>
      </c>
      <c r="AT119" s="354">
        <f>(Table1[[#This Row],[Dead Time Loss BoCtlr]]+Table1[[#This Row],[Transition Loss BoCtlr]]+Table1[[#This Row],[RDS(on) Loss BoCtlr]]*(1+RdsonTopTc*Ta-RdsonTopTc*25))/(1-Table1[[#This Row],[RDS(on) Loss BoCtlr]]*RdsonTopTc*ThetaJA_Q4)</f>
        <v>0</v>
      </c>
      <c r="AU11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12.103323681597555</v>
      </c>
      <c r="AV119" s="354">
        <f>Rdson3*Table1[[#This Row],[Irms BoSync]]^2</f>
        <v>0.61525986539438482</v>
      </c>
      <c r="AW11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19" s="354">
        <f>(Table1[[#This Row],[Deadtime Loss BoSync]]+Table1[[#This Row],[RDS(on) Loss BoSync]]*(1+RdsonBotTc*Ta-RdsonBotTc*25))/(1-Table1[[#This Row],[RDS(on) Loss BoSync]]*RdsonBotTc*ThetaJA_Q3)</f>
        <v>0.72184993607553116</v>
      </c>
      <c r="AY119" s="354">
        <f>CHOOSE(Table1[[#This Row],[Mode Digit]], Rdson3*Table1[[#This Row],[Irms Lf]]^2, Rdson1*Table1[[#This Row],[Irms Lf]]^2, 0)</f>
        <v>0.61525986539438482</v>
      </c>
      <c r="AZ119" s="354">
        <f>CHOOSE(Table1[[#This Row],[Mode Digit]], 2*Deadtime*Fsw*IF(VfdSky_Q2&gt;0,VfdSky_Q2,0)*Table1[[#This Row],[Iout]], 2*Deadtime*Fsw*IF(VfdSky_Q3&gt;0,VfdSky_Q3,0)*Table1[[#This Row],[Iin]], 2*Deadtime*Fsw*IF(VfdSky_Q2&gt;0,VfdSky_Q2,0)*Table1[[#This Row],[Iout]]+2*Deadtime*Fsw*IF(VfdSky_Q3&gt;0,VfdSky_Q3,0)*Table1[[#This Row],[Iin]])</f>
        <v>0</v>
      </c>
      <c r="BA119" s="354">
        <f>CHOOSE(Table1[[#This Row],[Mode Digit]], IF(QrrSky_Q2&gt;0,QrrSky_Q2,Qrr_Q2)*Fsw*(Table1[[#This Row],[Vin]]-Table1[[#This Row],[Iout]]*Rdson1),0,  IF(QrrSky_Q2&gt;0,QrrSky_Q2,Qrr_Q2)*Fsw*(Table1[[#This Row],[Vin]]-Table1[[#This Row],[Iout]]*Rdson1)+IF(QrrSky_Q3&gt;0,QrrSky_Q3,Qrr_Q3)*Fsw*Vout)</f>
        <v>0.42419520000000005</v>
      </c>
      <c r="BB119" s="354">
        <f>CHOOSE(Table1[[#This Row],[Mode Digit]],0, IF(QrrSky_Q3&gt;0,QrrSky_Q3,Qrr_Q3)*Fsw*Vout,  IF(QrrSky_Q2&gt;0,QrrSky_Q2,Qrr_Q2)*Fsw*(Table1[[#This Row],[Vin]]-Table1[[#This Row],[Iout]]*Rdson1)+IF(QrrSky_Q3&gt;0,QrrSky_Q3,Qrr_Q3)*Fsw*Vout)</f>
        <v>0</v>
      </c>
      <c r="BC119" s="354">
        <f>CHOOSE(Table1[[#This Row],[Mode Digit]], Rs*Table1[[#This Row],[Irms BuSync]]^2, Rs*Table1[[#This Row],[Irms BoCtlr]]^2, Rs*(Table1[[#This Row],[Irms BuSync]]^2+Table1[[#This Row],[Irms BoCtlr]]^2))</f>
        <v>0.21376110533775314</v>
      </c>
      <c r="BD119" s="354">
        <f t="shared" si="5"/>
        <v>1.44</v>
      </c>
      <c r="BE119" s="354">
        <f>IF(Vout&gt;8, Iq*Vout, Iq*Table1[[#This Row],[Vin]])</f>
        <v>4.3799999999999999E-2</v>
      </c>
      <c r="BF119" s="354">
        <f>CHOOSE(Table1[[#This Row],[Mode Digit]], (Qg_Q1+Qg_Q2)*Fsw, (Qg_Q3+Qg_Q4)*Fsw, (Qg_Q1+Qg_Q2+Qg_Q3+Qg_Q4)*Fsw)*IF(Vout&gt;8, Vout, Table1[[#This Row],[Vin]])</f>
        <v>0.47303999999999996</v>
      </c>
      <c r="BG119" s="354">
        <f t="shared" si="6"/>
        <v>0.45605042016806729</v>
      </c>
      <c r="BH119" s="354">
        <f>Table1[[#This Row],[IQ Loss]]+Table1[[#This Row],[Switching Current Loss]]</f>
        <v>0.51683999999999997</v>
      </c>
      <c r="BI11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11.708060096895606</v>
      </c>
      <c r="BJ119">
        <f>Vout*Table1[[#This Row],[Iout]]</f>
        <v>175.2</v>
      </c>
      <c r="BK119" s="550">
        <f>Table1[[#This Row],[Pout]]/(Table1[[#This Row],[Pout]]+Table1[[#This Row],[Total Loss]])</f>
        <v>0.93735925518232877</v>
      </c>
      <c r="BL11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285.6786085051483</v>
      </c>
      <c r="BM119" s="559">
        <f>IF(Table1[[#This Row],[Vin]]&gt;Vout, Table1[[#This Row],[Total Sync Bu MOSFET Loss]]*ThetaJA_Q2, ThetaJA_Q3*Table1[[#This Row],[Total Sync Bo MOSFET Loss]])</f>
        <v>61.489053004273693</v>
      </c>
      <c r="BN119" s="9"/>
      <c r="BO119" s="4">
        <f>Table1[[#This Row],[EFF, h]]*100</f>
        <v>93.735925518232875</v>
      </c>
      <c r="BP119" s="354">
        <f>Table1[[#This Row],[Total Inductor Loss]]</f>
        <v>2.5216405745348349</v>
      </c>
      <c r="BQ119" s="354">
        <f>Table1[[#This Row],[Total Control Bu MOSFET Loss]]+Table1[[#This Row],[Total Sync Bu MOSFET Loss]]+Table1[[#This Row],[Total Control Bo MOSFET Loss]]+Table1[[#This Row],[Total Sync Bo MOSFET Loss]]+Table1[[#This Row],[Reverse Recovery Loss MOSFET D BUCK]]+Table1[[#This Row],[Reverse Recovery Loss MOSFET D BOOST]]</f>
        <v>6.9321728278992314</v>
      </c>
      <c r="BR119" s="354">
        <f>Table1[[#This Row],[Total Control Bu MOSFET Loss]]+Table1[[#This Row],[Reverse Recovery Loss MOSFET D BUCK]]*0.66</f>
        <v>5.0412789737524717</v>
      </c>
      <c r="BS119" s="354">
        <f>Table1[[#This Row],[Total Sync Bu MOSFET Loss]]+Table1[[#This Row],[Reverse Recovery Loss MOSFET D BUCK]]*0.33</f>
        <v>1.1648019660712283</v>
      </c>
      <c r="BT119" s="354">
        <f xml:space="preserve"> Table1[[#This Row],[Total Control Bo MOSFET Loss]]+Table1[[#This Row],[Reverse Recovery Loss MOSFET D BOOST]]*0.66</f>
        <v>0</v>
      </c>
      <c r="BU119" s="354">
        <f xml:space="preserve"> Table1[[#This Row],[Total Sync Bo MOSFET Loss]]+Table1[[#This Row],[Reverse Recovery Loss MOSFET D BOOST]]*0.33</f>
        <v>0.72184993607553116</v>
      </c>
      <c r="BV119" s="354">
        <f>Table1[[#This Row],[Isense Shunt Loss]]</f>
        <v>0.21376110533775314</v>
      </c>
    </row>
    <row r="120" spans="7:74" x14ac:dyDescent="0.2">
      <c r="G120">
        <v>111</v>
      </c>
      <c r="H120" s="555">
        <f>VIN_min+(VIN_max-VIN_min)*(Table1[[#This Row],[Step]]/200)</f>
        <v>35.54</v>
      </c>
      <c r="I120" s="4" t="str">
        <f>IF(Mode = 2,IF(Table1[[#This Row],[Vin]]&gt;Vout, "BUCK","BOOST"),IF(Table1[[#This Row],[Vin]]&gt;VIN_BB_to_buck, "BUCK", IF(Table1[[#This Row],[Vin]]&lt;=VIN_boost_to_BB,"BOOST","BUCK-BST")))</f>
        <v>BUCK</v>
      </c>
      <c r="J120">
        <f>IF(Table1[[#This Row],[Mode]]="BOOST",2, IF(Table1[[#This Row],[Mode]]="BUCK", 1,3))</f>
        <v>1</v>
      </c>
      <c r="K120">
        <f t="shared" si="4"/>
        <v>12</v>
      </c>
      <c r="L120" s="4">
        <f>Vout*Table1[[#This Row],[Iout]]/(Table1[[#This Row],[Vin]]*Efficiency)</f>
        <v>5.189112341912745</v>
      </c>
      <c r="M120" s="711">
        <f>MIN(1/Fsw,CHOOSE(Table1[[#This Row],[Mode Digit]],(Vout+(Rdson2+Rs+Rdcr)*Table1[[#This Row],[Iout]])/(Table1[[#This Row],[Vin]]+(Rs+Rdson2-Rdson1)*Table1[[#This Row],[Iout]])/Fsw,(Vout+(Rdson3+Rdcr)*Table1[[#This Row],[Iin]]-Table1[[#This Row],[Vin]])/(Vout+(Rdson3-Rdson4-Rs)*Table1[[#This Row],[Iin]])/Fsw,t1_Ph_II))</f>
        <v>6.911254802736389E-7</v>
      </c>
      <c r="N120" s="602">
        <f>CHOOSE(Table1[[#This Row],[Mode Digit]],1/Fsw-Table1[[#This Row],[t1_Ph_II]],1/Fsw-Table1[[#This Row],[t1_Ph_II]],(Vout/Fsw-Table1[[#This Row],[Vin]]*t1_Ph_II)/(Table1[[#This Row],[Vin]]+Vout))</f>
        <v>9.7554118639302787E-7</v>
      </c>
      <c r="O120" s="602">
        <f>1/Fsw-(Table1[[#This Row],[t1_Ph_II]]+Table1[[#This Row],[t2_Ph_I]])</f>
        <v>0</v>
      </c>
      <c r="P12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9.2590591748238644</v>
      </c>
      <c r="Q120" s="4">
        <f>CHOOSE(Table1[[#This Row],[Mode Digit]],Table1[[#This Row],[I_0]]+1/Lf*(Table1[[#This Row],[Vin]]-Vout)*Table1[[#This Row],[t1_Ph_II]],Table1[[#This Row],[I_0]]+1/Lf*Table1[[#This Row],[Vin]]*Table1[[#This Row],[t1_Ph_II]],Table1[[#This Row],[I_0]]+(Table1[[#This Row],[Vin]]-Vout)/L*Table1[[#This Row],[t1_Ph_II]])</f>
        <v>14.740940825176136</v>
      </c>
      <c r="R120" s="4">
        <f>CHOOSE(Table1[[#This Row],[Mode Digit]],0,0,Table1[[#This Row],[I_1]]+Table1[[#This Row],[Vin]]/L*Table1[[#This Row],[t2_Ph_I]])</f>
        <v>0</v>
      </c>
      <c r="S120" s="4">
        <f>Fsw*(Table1[[#This Row],[I_0]]*Table1[[#This Row],[t1_Ph_II]]+Table1[[#This Row],[I_1]]*Table1[[#This Row],[t2_Ph_I]]+Table1[[#This Row],[I_2]]*Table1[[#This Row],[t3_Ph_III]])</f>
        <v>12.467739972134359</v>
      </c>
      <c r="T120" s="354">
        <f>MIN(1,CHOOSE(Table1[[#This Row],[Mode Digit]],(Vout+(Rdson2+Rs+Rdcr)*Table1[[#This Row],[Iout]])/(Table1[[#This Row],[Vin]]+(Rs+Rdson2-Rdson1)*Table1[[#This Row],[Iout]]),1,Fsw*Table1[[#This Row],[t2_Ph_I]]+Table1[[#This Row],[t1_Ph_II]]))</f>
        <v>0.41467528816418331</v>
      </c>
      <c r="U120" s="354">
        <f>MIN(1,CHOOSE(Table1[[#This Row],[Mode Digit]],0,(Vout+(Rdson3+Rdcr)*Table1[[#This Row],[Iin]]-Table1[[#This Row],[Vin]])/(Vout+(Rdson3-Rdson4-Rs)*Table1[[#This Row],[Iin]]),Fsw*Table1[[#This Row],[t1_Ph_II]]+Table1[[#This Row],[t3_Ph_III]]))</f>
        <v>0</v>
      </c>
      <c r="V120" s="4">
        <f>MAX(Table1[[#This Row],[I_0]:[I_2]])-MIN(Table1[[#This Row],[I_0]:[I_1]])</f>
        <v>5.4818816503522712</v>
      </c>
      <c r="W12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12.10389409249653</v>
      </c>
      <c r="X120" s="354">
        <f>(Table1[[#This Row],[Irms Lf]]^2*Rdcr*(1+Ltc*Ta-Ltc*25))/(1-Table1[[#This Row],[Irms Lf]]^2*Rdcr*Ltc*ThetaCa)</f>
        <v>0.91170019396304114</v>
      </c>
      <c r="Y120" s="354">
        <f>ABS(7.759*10^-3*Fsw^0.9458*(0.00787*Table1[[#This Row],[Ripple Current pk-pk]])^2.304)</f>
        <v>1.6203204507800486</v>
      </c>
      <c r="Z120" s="354">
        <f>Table1[[#This Row],[DCR    Loss]]+Table1[[#This Row],[Core Loss]]</f>
        <v>2.5320206447430897</v>
      </c>
      <c r="AA120" s="4">
        <f>IF(Table1[[#This Row],[Vin]]&gt;Vout, Table1[[#This Row],[Ripple Current pk-pk]]/SQRT(12), SQRT(Table1[[#This Row],[Duty Cycle BOOST Leg]]/(1-Table1[[#This Row],[Duty Cycle BOOST Leg]]))*SQRT(Table1[[#This Row],[Iout]]^2+(Table1[[#This Row],[Ripple Current pk-pk]]^2)/12))</f>
        <v>1.5824829232482769</v>
      </c>
      <c r="AB120" s="354">
        <f>RCoutEsr*Table1[[#This Row],[Irms Cout]]^2</f>
        <v>1.2521261011862059E-2</v>
      </c>
      <c r="AC120" s="354">
        <f>Table1[[#This Row],[Cout ESR Loss]]</f>
        <v>1.2521261011862059E-2</v>
      </c>
      <c r="AD120" s="354">
        <f>IF(Table1[[#This Row],[Vin]]&gt;Vout, SQRT(Table1[[#This Row],[Duty Cycle BUCK Leg]]*(1-Table1[[#This Row],[Duty Cycle BUCK Leg]]))*SQRT(Table1[[#This Row],[Iout]]^2+(Table1[[#This Row],[Ripple Current pk-pk]]^2)/12), Table1[[#This Row],[Ripple Current pk-pk]]/SQRT(12))</f>
        <v>5.9631759321985038</v>
      </c>
      <c r="AE120" s="354">
        <f>RCinEsr*Table1[[#This Row],[Irms Cin]]^2</f>
        <v>7.1118934396702999E-2</v>
      </c>
      <c r="AF120" s="549">
        <f>Table1[[#This Row],[Cin ESR Loss]]</f>
        <v>7.1118934396702999E-2</v>
      </c>
      <c r="AG12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7.794337239258831</v>
      </c>
      <c r="AH120" s="354">
        <f>Rdson1*Table1[[#This Row],[Irms BuCtrl]]^2</f>
        <v>0.25515711059704732</v>
      </c>
      <c r="AI120" s="354">
        <f>CHOOSE(Table1[[#This Row],[Mode Digit]], (Table1[[#This Row],[Vin]]*Table1[[#This Row],[Iout]]/2)*(Fsw)*(Tr_buck+Tf_buck), 0, (Table1[[#This Row],[Vin]]*Table1[[#This Row],[Avg IL]]/2)*(Fsw/1)*(Tr_buck+Tf_buck))</f>
        <v>4.2291321737724799</v>
      </c>
      <c r="AJ120">
        <f>IF(Table1[[#This Row],[Vin]]&gt;Vout, IF(Table1[[#This Row],[Iout]]&gt;Table1[[#This Row],[Ripple Current pk-pk]]/2,0,ABS(Table1[[#This Row],[Iout]]-Table1[[#This Row],[Ripple Current pk-pk]]/2)*Vsd_Q1*Deadtime*Fsw),0)</f>
        <v>0</v>
      </c>
      <c r="AK120" s="354">
        <f>(Table1[[#This Row],[Dead Time Loss BuCtrl]]+Table1[[#This Row],[Transition Loss BuCtrl]]+Table1[[#This Row],[RDS(on) Loss BuCtrl]]*(1+RdsonTopTc*Ta-RdsonTopTc*25))/(1-Table1[[#This Row],[RDS(on) Loss BuCtrl]]*RdsonTopTc*ThetaJA_Q1)</f>
        <v>4.7768101846714428</v>
      </c>
      <c r="AL120" s="354">
        <f>CHOOSE(Table1[[#This Row],[Mode Digit]],SQRT((Fsw*(Table1[[#This Row],[t2_Ph_I]]+0))*((Table1[[#This Row],[I_0]]*Table1[[#This Row],[I_1]]+((Table1[[#This Row],[I_0]]-Table1[[#This Row],[I_1]])^2)/3))),0,SQRT((Fsw*(Table1[[#This Row],[t3_Ph_III]]+0))*((Table1[[#This Row],[I_0]]*Table1[[#This Row],[I_2]]+((Table1[[#This Row],[I_0]]-Table1[[#This Row],[I_2]])^2)/3))))</f>
        <v>9.2602677716724511</v>
      </c>
      <c r="AM120" s="354">
        <f>Rdson2*Table1[[#This Row],[Irms BuSync]]^2</f>
        <v>0.36016074865291697</v>
      </c>
      <c r="AN12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20" s="354">
        <f>(Table1[[#This Row],[Deadtime Loss BuSync]]+Table1[[#This Row],[RDS(on) Loss BuSync]]*(1+RdsonBotTc*Ta-RdsonBotTc*25))/(1-Table1[[#This Row],[RDS(on) Loss BuSync]]*RdsonBotTc*ThetaJA_Q2)</f>
        <v>1.0262388016479096</v>
      </c>
      <c r="AP120" s="354">
        <f>CHOOSE(Table1[[#This Row],[Mode Digit]],0,SQRT((Fsw*(Table1[[#This Row],[t1_Ph_II]]+0))*((Table1[[#This Row],[I_0]]*Table1[[#This Row],[I_1]]+((Table1[[#This Row],[I_0]]-Table1[[#This Row],[I_1]])^2)/3))),SQRT((Fsw*(Table1[[#This Row],[t2_Ph_I]]+0))*((Table1[[#This Row],[I_1]]*Table1[[#This Row],[I_2]]+((Table1[[#This Row],[I_1]]-Table1[[#This Row],[I_2]])^2)/3))))</f>
        <v>0</v>
      </c>
      <c r="AQ120" s="354">
        <f>Rdson4*Table1[[#This Row],[Irms BoCtlr]]^2</f>
        <v>0</v>
      </c>
      <c r="AR120" s="354">
        <f>CHOOSE(Table1[[#This Row],[Mode Digit]], 0, (Vout*Table1[[#This Row],[Iin]]/2)*(Fsw)*(Tr_boost+Tf_boost), (Vout*Iout/2)*(Fsw/1)*(Tr_boost+Tf_boost))</f>
        <v>0</v>
      </c>
      <c r="AS120">
        <f>IF(Table1[[#This Row],[Vin]]&gt;Vout, 0, IF(Table1[[#This Row],[Iin]]&gt;Table1[[#This Row],[Ripple Current pk-pk]]/2,0,ABS(Table1[[#This Row],[Iin]]-Table1[[#This Row],[Ripple Current pk-pk]]/2)*Vsd_Q4*Deadtime*Fsw))</f>
        <v>0</v>
      </c>
      <c r="AT120" s="354">
        <f>(Table1[[#This Row],[Dead Time Loss BoCtlr]]+Table1[[#This Row],[Transition Loss BoCtlr]]+Table1[[#This Row],[RDS(on) Loss BoCtlr]]*(1+RdsonTopTc*Ta-RdsonTopTc*25))/(1-Table1[[#This Row],[RDS(on) Loss BoCtlr]]*RdsonTopTc*ThetaJA_Q4)</f>
        <v>0</v>
      </c>
      <c r="AU12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12.10389409249653</v>
      </c>
      <c r="AV120" s="354">
        <f>Rdson3*Table1[[#This Row],[Irms BoSync]]^2</f>
        <v>0.61531785924996407</v>
      </c>
      <c r="AW12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20" s="354">
        <f>(Table1[[#This Row],[Deadtime Loss BoSync]]+Table1[[#This Row],[RDS(on) Loss BoSync]]*(1+RdsonBotTc*Ta-RdsonBotTc*25))/(1-Table1[[#This Row],[RDS(on) Loss BoSync]]*RdsonBotTc*ThetaJA_Q3)</f>
        <v>0.72192976600529313</v>
      </c>
      <c r="AY120" s="354">
        <f>CHOOSE(Table1[[#This Row],[Mode Digit]], Rdson3*Table1[[#This Row],[Irms Lf]]^2, Rdson1*Table1[[#This Row],[Irms Lf]]^2, 0)</f>
        <v>0.61531785924996407</v>
      </c>
      <c r="AZ120" s="354">
        <f>CHOOSE(Table1[[#This Row],[Mode Digit]], 2*Deadtime*Fsw*IF(VfdSky_Q2&gt;0,VfdSky_Q2,0)*Table1[[#This Row],[Iout]], 2*Deadtime*Fsw*IF(VfdSky_Q3&gt;0,VfdSky_Q3,0)*Table1[[#This Row],[Iin]], 2*Deadtime*Fsw*IF(VfdSky_Q2&gt;0,VfdSky_Q2,0)*Table1[[#This Row],[Iout]]+2*Deadtime*Fsw*IF(VfdSky_Q3&gt;0,VfdSky_Q3,0)*Table1[[#This Row],[Iin]])</f>
        <v>0</v>
      </c>
      <c r="BA120" s="354">
        <f>CHOOSE(Table1[[#This Row],[Mode Digit]], IF(QrrSky_Q2&gt;0,QrrSky_Q2,Qrr_Q2)*Fsw*(Table1[[#This Row],[Vin]]-Table1[[#This Row],[Iout]]*Rdson1),0,  IF(QrrSky_Q2&gt;0,QrrSky_Q2,Qrr_Q2)*Fsw*(Table1[[#This Row],[Vin]]-Table1[[#This Row],[Iout]]*Rdson1)+IF(QrrSky_Q3&gt;0,QrrSky_Q3,Qrr_Q3)*Fsw*Vout)</f>
        <v>0.42587519999999995</v>
      </c>
      <c r="BB120" s="354">
        <f>CHOOSE(Table1[[#This Row],[Mode Digit]],0, IF(QrrSky_Q3&gt;0,QrrSky_Q3,Qrr_Q3)*Fsw*Vout,  IF(QrrSky_Q2&gt;0,QrrSky_Q2,Qrr_Q2)*Fsw*(Table1[[#This Row],[Vin]]-Table1[[#This Row],[Iout]]*Rdson1)+IF(QrrSky_Q3&gt;0,QrrSky_Q3,Qrr_Q3)*Fsw*Vout)</f>
        <v>0</v>
      </c>
      <c r="BC120" s="354">
        <f>CHOOSE(Table1[[#This Row],[Mode Digit]], Rs*Table1[[#This Row],[Irms BuSync]]^2, Rs*Table1[[#This Row],[Irms BoCtlr]]^2, Rs*(Table1[[#This Row],[Irms BuSync]]^2+Table1[[#This Row],[Irms BoCtlr]]^2))</f>
        <v>0.21438139800768866</v>
      </c>
      <c r="BD120" s="354">
        <f t="shared" si="5"/>
        <v>1.44</v>
      </c>
      <c r="BE120" s="354">
        <f>IF(Vout&gt;8, Iq*Vout, Iq*Table1[[#This Row],[Vin]])</f>
        <v>4.3799999999999999E-2</v>
      </c>
      <c r="BF120" s="354">
        <f>CHOOSE(Table1[[#This Row],[Mode Digit]], (Qg_Q1+Qg_Q2)*Fsw, (Qg_Q3+Qg_Q4)*Fsw, (Qg_Q1+Qg_Q2+Qg_Q3+Qg_Q4)*Fsw)*IF(Vout&gt;8, Vout, Table1[[#This Row],[Vin]])</f>
        <v>0.47303999999999996</v>
      </c>
      <c r="BG120" s="354">
        <f t="shared" si="6"/>
        <v>0.45605042016806729</v>
      </c>
      <c r="BH120" s="354">
        <f>Table1[[#This Row],[IQ Loss]]+Table1[[#This Row],[Switching Current Loss]]</f>
        <v>0.51683999999999997</v>
      </c>
      <c r="BI12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11.737736190483988</v>
      </c>
      <c r="BJ120">
        <f>Vout*Table1[[#This Row],[Iout]]</f>
        <v>175.2</v>
      </c>
      <c r="BK120" s="550">
        <f>Table1[[#This Row],[Pout]]/(Table1[[#This Row],[Pout]]+Table1[[#This Row],[Total Loss]])</f>
        <v>0.93721045076461407</v>
      </c>
      <c r="BL12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286.60861108028655</v>
      </c>
      <c r="BM120" s="559">
        <f>IF(Table1[[#This Row],[Vin]]&gt;Vout, Table1[[#This Row],[Total Sync Bu MOSFET Loss]]*ThetaJA_Q2, ThetaJA_Q3*Table1[[#This Row],[Total Sync Bo MOSFET Loss]])</f>
        <v>61.574328098874574</v>
      </c>
      <c r="BN120" s="9"/>
      <c r="BO120" s="4">
        <f>Table1[[#This Row],[EFF, h]]*100</f>
        <v>93.721045076461408</v>
      </c>
      <c r="BP120" s="354">
        <f>Table1[[#This Row],[Total Inductor Loss]]</f>
        <v>2.5320206447430897</v>
      </c>
      <c r="BQ120" s="354">
        <f>Table1[[#This Row],[Total Control Bu MOSFET Loss]]+Table1[[#This Row],[Total Sync Bu MOSFET Loss]]+Table1[[#This Row],[Total Control Bo MOSFET Loss]]+Table1[[#This Row],[Total Sync Bo MOSFET Loss]]+Table1[[#This Row],[Reverse Recovery Loss MOSFET D BUCK]]+Table1[[#This Row],[Reverse Recovery Loss MOSFET D BOOST]]</f>
        <v>6.9508539523246453</v>
      </c>
      <c r="BR120" s="354">
        <f>Table1[[#This Row],[Total Control Bu MOSFET Loss]]+Table1[[#This Row],[Reverse Recovery Loss MOSFET D BUCK]]*0.66</f>
        <v>5.0578878166714425</v>
      </c>
      <c r="BS120" s="354">
        <f>Table1[[#This Row],[Total Sync Bu MOSFET Loss]]+Table1[[#This Row],[Reverse Recovery Loss MOSFET D BUCK]]*0.33</f>
        <v>1.1667776176479097</v>
      </c>
      <c r="BT120" s="354">
        <f xml:space="preserve"> Table1[[#This Row],[Total Control Bo MOSFET Loss]]+Table1[[#This Row],[Reverse Recovery Loss MOSFET D BOOST]]*0.66</f>
        <v>0</v>
      </c>
      <c r="BU120" s="354">
        <f xml:space="preserve"> Table1[[#This Row],[Total Sync Bo MOSFET Loss]]+Table1[[#This Row],[Reverse Recovery Loss MOSFET D BOOST]]*0.33</f>
        <v>0.72192976600529313</v>
      </c>
      <c r="BV120" s="354">
        <f>Table1[[#This Row],[Isense Shunt Loss]]</f>
        <v>0.21438139800768866</v>
      </c>
    </row>
    <row r="121" spans="7:74" x14ac:dyDescent="0.2">
      <c r="G121">
        <v>112</v>
      </c>
      <c r="H121" s="555">
        <f>VIN_min+(VIN_max-VIN_min)*(Table1[[#This Row],[Step]]/200)</f>
        <v>35.68</v>
      </c>
      <c r="I121" s="4" t="str">
        <f>IF(Mode = 2,IF(Table1[[#This Row],[Vin]]&gt;Vout, "BUCK","BOOST"),IF(Table1[[#This Row],[Vin]]&gt;VIN_BB_to_buck, "BUCK", IF(Table1[[#This Row],[Vin]]&lt;=VIN_boost_to_BB,"BOOST","BUCK-BST")))</f>
        <v>BUCK</v>
      </c>
      <c r="J121">
        <f>IF(Table1[[#This Row],[Mode]]="BOOST",2, IF(Table1[[#This Row],[Mode]]="BUCK", 1,3))</f>
        <v>1</v>
      </c>
      <c r="K121">
        <f t="shared" si="4"/>
        <v>12</v>
      </c>
      <c r="L121" s="4">
        <f>Vout*Table1[[#This Row],[Iout]]/(Table1[[#This Row],[Vin]]*Efficiency)</f>
        <v>5.1687514751003061</v>
      </c>
      <c r="M121" s="711">
        <f>MIN(1/Fsw,CHOOSE(Table1[[#This Row],[Mode Digit]],(Vout+(Rdson2+Rs+Rdcr)*Table1[[#This Row],[Iout]])/(Table1[[#This Row],[Vin]]+(Rs+Rdson2-Rdson1)*Table1[[#This Row],[Iout]])/Fsw,(Vout+(Rdson3+Rdcr)*Table1[[#This Row],[Iin]]-Table1[[#This Row],[Vin]])/(Vout+(Rdson3-Rdson4-Rs)*Table1[[#This Row],[Iin]])/Fsw,t1_Ph_II))</f>
        <v>6.8841594324652298E-7</v>
      </c>
      <c r="N121" s="602">
        <f>CHOOSE(Table1[[#This Row],[Mode Digit]],1/Fsw-Table1[[#This Row],[t1_Ph_II]],1/Fsw-Table1[[#This Row],[t1_Ph_II]],(Vout/Fsw-Table1[[#This Row],[Vin]]*t1_Ph_II)/(Table1[[#This Row],[Vin]]+Vout))</f>
        <v>9.7825072342014368E-7</v>
      </c>
      <c r="O121" s="602">
        <f>1/Fsw-(Table1[[#This Row],[t1_Ph_II]]+Table1[[#This Row],[t2_Ph_I]])</f>
        <v>0</v>
      </c>
      <c r="P12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9.2515514993112298</v>
      </c>
      <c r="Q121" s="4">
        <f>CHOOSE(Table1[[#This Row],[Mode Digit]],Table1[[#This Row],[I_0]]+1/Lf*(Table1[[#This Row],[Vin]]-Vout)*Table1[[#This Row],[t1_Ph_II]],Table1[[#This Row],[I_0]]+1/Lf*Table1[[#This Row],[Vin]]*Table1[[#This Row],[t1_Ph_II]],Table1[[#This Row],[I_0]]+(Table1[[#This Row],[Vin]]-Vout)/L*Table1[[#This Row],[t1_Ph_II]])</f>
        <v>14.74844850068877</v>
      </c>
      <c r="R121" s="4">
        <f>CHOOSE(Table1[[#This Row],[Mode Digit]],0,0,Table1[[#This Row],[I_1]]+Table1[[#This Row],[Vin]]/L*Table1[[#This Row],[t2_Ph_I]])</f>
        <v>0</v>
      </c>
      <c r="S121" s="4">
        <f>Fsw*(Table1[[#This Row],[I_0]]*Table1[[#This Row],[t1_Ph_II]]+Table1[[#This Row],[I_1]]*Table1[[#This Row],[t2_Ph_I]]+Table1[[#This Row],[I_2]]*Table1[[#This Row],[t3_Ph_III]])</f>
        <v>12.47795758020939</v>
      </c>
      <c r="T121" s="354">
        <f>MIN(1,CHOOSE(Table1[[#This Row],[Mode Digit]],(Vout+(Rdson2+Rs+Rdcr)*Table1[[#This Row],[Iout]])/(Table1[[#This Row],[Vin]]+(Rs+Rdson2-Rdson1)*Table1[[#This Row],[Iout]]),1,Fsw*Table1[[#This Row],[t2_Ph_I]]+Table1[[#This Row],[t1_Ph_II]]))</f>
        <v>0.41304956594791375</v>
      </c>
      <c r="U121" s="354">
        <f>MIN(1,CHOOSE(Table1[[#This Row],[Mode Digit]],0,(Vout+(Rdson3+Rdcr)*Table1[[#This Row],[Iin]]-Table1[[#This Row],[Vin]])/(Vout+(Rdson3-Rdson4-Rs)*Table1[[#This Row],[Iin]]),Fsw*Table1[[#This Row],[t1_Ph_II]]+Table1[[#This Row],[t3_Ph_III]]))</f>
        <v>0</v>
      </c>
      <c r="V121" s="4">
        <f>MAX(Table1[[#This Row],[I_0]:[I_2]])-MIN(Table1[[#This Row],[I_0]:[I_1]])</f>
        <v>5.4968970013775404</v>
      </c>
      <c r="W12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12.104461562593885</v>
      </c>
      <c r="X121" s="354">
        <f>(Table1[[#This Row],[Irms Lf]]^2*Rdcr*(1+Ltc*Ta-Ltc*25))/(1-Table1[[#This Row],[Irms Lf]]^2*Rdcr*Ltc*ThetaCa)</f>
        <v>0.91179191878629473</v>
      </c>
      <c r="Y121" s="354">
        <f>ABS(7.759*10^-3*Fsw^0.9458*(0.00787*Table1[[#This Row],[Ripple Current pk-pk]])^2.304)</f>
        <v>1.6305643275498383</v>
      </c>
      <c r="Z121" s="354">
        <f>Table1[[#This Row],[DCR    Loss]]+Table1[[#This Row],[Core Loss]]</f>
        <v>2.5423562463361331</v>
      </c>
      <c r="AA121" s="4">
        <f>IF(Table1[[#This Row],[Vin]]&gt;Vout, Table1[[#This Row],[Ripple Current pk-pk]]/SQRT(12), SQRT(Table1[[#This Row],[Duty Cycle BOOST Leg]]/(1-Table1[[#This Row],[Duty Cycle BOOST Leg]]))*SQRT(Table1[[#This Row],[Iout]]^2+(Table1[[#This Row],[Ripple Current pk-pk]]^2)/12))</f>
        <v>1.5868174817264848</v>
      </c>
      <c r="AB121" s="354">
        <f>RCoutEsr*Table1[[#This Row],[Irms Cout]]^2</f>
        <v>1.2589948601563917E-2</v>
      </c>
      <c r="AC121" s="354">
        <f>Table1[[#This Row],[Cout ESR Loss]]</f>
        <v>1.2589948601563917E-2</v>
      </c>
      <c r="AD121" s="354">
        <f>IF(Table1[[#This Row],[Vin]]&gt;Vout, SQRT(Table1[[#This Row],[Duty Cycle BUCK Leg]]*(1-Table1[[#This Row],[Duty Cycle BUCK Leg]]))*SQRT(Table1[[#This Row],[Iout]]^2+(Table1[[#This Row],[Ripple Current pk-pk]]^2)/12), Table1[[#This Row],[Ripple Current pk-pk]]/SQRT(12))</f>
        <v>5.9600139300720079</v>
      </c>
      <c r="AE121" s="354">
        <f>RCinEsr*Table1[[#This Row],[Irms Cin]]^2</f>
        <v>7.1043532093304759E-2</v>
      </c>
      <c r="AF121" s="549">
        <f>Table1[[#This Row],[Cin ESR Loss]]</f>
        <v>7.1043532093304759E-2</v>
      </c>
      <c r="AG12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7.7794082074111586</v>
      </c>
      <c r="AH121" s="354">
        <f>Rdson1*Table1[[#This Row],[Irms BuCtrl]]^2</f>
        <v>0.25418060664165165</v>
      </c>
      <c r="AI121" s="354">
        <f>CHOOSE(Table1[[#This Row],[Mode Digit]], (Table1[[#This Row],[Vin]]*Table1[[#This Row],[Iout]]/2)*(Fsw)*(Tr_buck+Tf_buck), 0, (Table1[[#This Row],[Vin]]*Table1[[#This Row],[Avg IL]]/2)*(Fsw/1)*(Tr_buck+Tf_buck))</f>
        <v>4.2457916702364118</v>
      </c>
      <c r="AJ121">
        <f>IF(Table1[[#This Row],[Vin]]&gt;Vout, IF(Table1[[#This Row],[Iout]]&gt;Table1[[#This Row],[Ripple Current pk-pk]]/2,0,ABS(Table1[[#This Row],[Iout]]-Table1[[#This Row],[Ripple Current pk-pk]]/2)*Vsd_Q1*Deadtime*Fsw),0)</f>
        <v>0</v>
      </c>
      <c r="AK121" s="354">
        <f>(Table1[[#This Row],[Dead Time Loss BuCtrl]]+Table1[[#This Row],[Transition Loss BuCtrl]]+Table1[[#This Row],[RDS(on) Loss BuCtrl]]*(1+RdsonTopTc*Ta-RdsonTopTc*25))/(1-Table1[[#This Row],[RDS(on) Loss BuCtrl]]*RdsonTopTc*ThetaJA_Q1)</f>
        <v>4.7923198189930547</v>
      </c>
      <c r="AL121" s="354">
        <f>CHOOSE(Table1[[#This Row],[Mode Digit]],SQRT((Fsw*(Table1[[#This Row],[t2_Ph_I]]+0))*((Table1[[#This Row],[I_0]]*Table1[[#This Row],[I_1]]+((Table1[[#This Row],[I_0]]-Table1[[#This Row],[I_1]])^2)/3))),0,SQRT((Fsw*(Table1[[#This Row],[t3_Ph_III]]+0))*((Table1[[#This Row],[I_0]]*Table1[[#This Row],[I_2]]+((Table1[[#This Row],[I_0]]-Table1[[#This Row],[I_2]])^2)/3))))</f>
        <v>9.2735536695905676</v>
      </c>
      <c r="AM121" s="354">
        <f>Rdson2*Table1[[#This Row],[Irms BuSync]]^2</f>
        <v>0.3611949501836621</v>
      </c>
      <c r="AN12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21" s="354">
        <f>(Table1[[#This Row],[Deadtime Loss BuSync]]+Table1[[#This Row],[RDS(on) Loss BuSync]]*(1+RdsonBotTc*Ta-RdsonBotTc*25))/(1-Table1[[#This Row],[RDS(on) Loss BuSync]]*RdsonBotTc*ThetaJA_Q2)</f>
        <v>1.027650061850182</v>
      </c>
      <c r="AP121" s="354">
        <f>CHOOSE(Table1[[#This Row],[Mode Digit]],0,SQRT((Fsw*(Table1[[#This Row],[t1_Ph_II]]+0))*((Table1[[#This Row],[I_0]]*Table1[[#This Row],[I_1]]+((Table1[[#This Row],[I_0]]-Table1[[#This Row],[I_1]])^2)/3))),SQRT((Fsw*(Table1[[#This Row],[t2_Ph_I]]+0))*((Table1[[#This Row],[I_1]]*Table1[[#This Row],[I_2]]+((Table1[[#This Row],[I_1]]-Table1[[#This Row],[I_2]])^2)/3))))</f>
        <v>0</v>
      </c>
      <c r="AQ121" s="354">
        <f>Rdson4*Table1[[#This Row],[Irms BoCtlr]]^2</f>
        <v>0</v>
      </c>
      <c r="AR121" s="354">
        <f>CHOOSE(Table1[[#This Row],[Mode Digit]], 0, (Vout*Table1[[#This Row],[Iin]]/2)*(Fsw)*(Tr_boost+Tf_boost), (Vout*Iout/2)*(Fsw/1)*(Tr_boost+Tf_boost))</f>
        <v>0</v>
      </c>
      <c r="AS121">
        <f>IF(Table1[[#This Row],[Vin]]&gt;Vout, 0, IF(Table1[[#This Row],[Iin]]&gt;Table1[[#This Row],[Ripple Current pk-pk]]/2,0,ABS(Table1[[#This Row],[Iin]]-Table1[[#This Row],[Ripple Current pk-pk]]/2)*Vsd_Q4*Deadtime*Fsw))</f>
        <v>0</v>
      </c>
      <c r="AT121" s="354">
        <f>(Table1[[#This Row],[Dead Time Loss BoCtlr]]+Table1[[#This Row],[Transition Loss BoCtlr]]+Table1[[#This Row],[RDS(on) Loss BoCtlr]]*(1+RdsonTopTc*Ta-RdsonTopTc*25))/(1-Table1[[#This Row],[RDS(on) Loss BoCtlr]]*RdsonTopTc*ThetaJA_Q4)</f>
        <v>0</v>
      </c>
      <c r="AU12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12.104461562593885</v>
      </c>
      <c r="AV121" s="354">
        <f>Rdson3*Table1[[#This Row],[Irms BoSync]]^2</f>
        <v>0.61537555682531375</v>
      </c>
      <c r="AW12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21" s="354">
        <f>(Table1[[#This Row],[Deadtime Loss BoSync]]+Table1[[#This Row],[RDS(on) Loss BoSync]]*(1+RdsonBotTc*Ta-RdsonBotTc*25))/(1-Table1[[#This Row],[RDS(on) Loss BoSync]]*RdsonBotTc*ThetaJA_Q3)</f>
        <v>0.72200919068558667</v>
      </c>
      <c r="AY121" s="354">
        <f>CHOOSE(Table1[[#This Row],[Mode Digit]], Rdson3*Table1[[#This Row],[Irms Lf]]^2, Rdson1*Table1[[#This Row],[Irms Lf]]^2, 0)</f>
        <v>0.61537555682531375</v>
      </c>
      <c r="AZ121" s="354">
        <f>CHOOSE(Table1[[#This Row],[Mode Digit]], 2*Deadtime*Fsw*IF(VfdSky_Q2&gt;0,VfdSky_Q2,0)*Table1[[#This Row],[Iout]], 2*Deadtime*Fsw*IF(VfdSky_Q3&gt;0,VfdSky_Q3,0)*Table1[[#This Row],[Iin]], 2*Deadtime*Fsw*IF(VfdSky_Q2&gt;0,VfdSky_Q2,0)*Table1[[#This Row],[Iout]]+2*Deadtime*Fsw*IF(VfdSky_Q3&gt;0,VfdSky_Q3,0)*Table1[[#This Row],[Iin]])</f>
        <v>0</v>
      </c>
      <c r="BA121" s="354">
        <f>CHOOSE(Table1[[#This Row],[Mode Digit]], IF(QrrSky_Q2&gt;0,QrrSky_Q2,Qrr_Q2)*Fsw*(Table1[[#This Row],[Vin]]-Table1[[#This Row],[Iout]]*Rdson1),0,  IF(QrrSky_Q2&gt;0,QrrSky_Q2,Qrr_Q2)*Fsw*(Table1[[#This Row],[Vin]]-Table1[[#This Row],[Iout]]*Rdson1)+IF(QrrSky_Q3&gt;0,QrrSky_Q3,Qrr_Q3)*Fsw*Vout)</f>
        <v>0.42755519999999997</v>
      </c>
      <c r="BB121" s="354">
        <f>CHOOSE(Table1[[#This Row],[Mode Digit]],0, IF(QrrSky_Q3&gt;0,QrrSky_Q3,Qrr_Q3)*Fsw*Vout,  IF(QrrSky_Q2&gt;0,QrrSky_Q2,Qrr_Q2)*Fsw*(Table1[[#This Row],[Vin]]-Table1[[#This Row],[Iout]]*Rdson1)+IF(QrrSky_Q3&gt;0,QrrSky_Q3,Qrr_Q3)*Fsw*Vout)</f>
        <v>0</v>
      </c>
      <c r="BC121" s="354">
        <f>CHOOSE(Table1[[#This Row],[Mode Digit]], Rs*Table1[[#This Row],[Irms BuSync]]^2, Rs*Table1[[#This Row],[Irms BoCtlr]]^2, Rs*(Table1[[#This Row],[Irms BuSync]]^2+Table1[[#This Row],[Irms BoCtlr]]^2))</f>
        <v>0.21499699415694171</v>
      </c>
      <c r="BD121" s="354">
        <f t="shared" si="5"/>
        <v>1.44</v>
      </c>
      <c r="BE121" s="354">
        <f>IF(Vout&gt;8, Iq*Vout, Iq*Table1[[#This Row],[Vin]])</f>
        <v>4.3799999999999999E-2</v>
      </c>
      <c r="BF121" s="354">
        <f>CHOOSE(Table1[[#This Row],[Mode Digit]], (Qg_Q1+Qg_Q2)*Fsw, (Qg_Q3+Qg_Q4)*Fsw, (Qg_Q1+Qg_Q2+Qg_Q3+Qg_Q4)*Fsw)*IF(Vout&gt;8, Vout, Table1[[#This Row],[Vin]])</f>
        <v>0.47303999999999996</v>
      </c>
      <c r="BG121" s="354">
        <f t="shared" si="6"/>
        <v>0.45605042016806729</v>
      </c>
      <c r="BH121" s="354">
        <f>Table1[[#This Row],[IQ Loss]]+Table1[[#This Row],[Switching Current Loss]]</f>
        <v>0.51683999999999997</v>
      </c>
      <c r="BI12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11.767360992716766</v>
      </c>
      <c r="BJ121">
        <f>Vout*Table1[[#This Row],[Iout]]</f>
        <v>175.2</v>
      </c>
      <c r="BK121" s="550">
        <f>Table1[[#This Row],[Pout]]/(Table1[[#This Row],[Pout]]+Table1[[#This Row],[Total Loss]])</f>
        <v>0.93706195065150888</v>
      </c>
      <c r="BL12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287.5391891395833</v>
      </c>
      <c r="BM121" s="559">
        <f>IF(Table1[[#This Row],[Vin]]&gt;Vout, Table1[[#This Row],[Total Sync Bu MOSFET Loss]]*ThetaJA_Q2, ThetaJA_Q3*Table1[[#This Row],[Total Sync Bo MOSFET Loss]])</f>
        <v>61.659003711010925</v>
      </c>
      <c r="BN121" s="9"/>
      <c r="BO121" s="4">
        <f>Table1[[#This Row],[EFF, h]]*100</f>
        <v>93.706195065150894</v>
      </c>
      <c r="BP121" s="354">
        <f>Table1[[#This Row],[Total Inductor Loss]]</f>
        <v>2.5423562463361331</v>
      </c>
      <c r="BQ121" s="354">
        <f>Table1[[#This Row],[Total Control Bu MOSFET Loss]]+Table1[[#This Row],[Total Sync Bu MOSFET Loss]]+Table1[[#This Row],[Total Control Bo MOSFET Loss]]+Table1[[#This Row],[Total Sync Bo MOSFET Loss]]+Table1[[#This Row],[Reverse Recovery Loss MOSFET D BUCK]]+Table1[[#This Row],[Reverse Recovery Loss MOSFET D BOOST]]</f>
        <v>6.9695342715288229</v>
      </c>
      <c r="BR121" s="354">
        <f>Table1[[#This Row],[Total Control Bu MOSFET Loss]]+Table1[[#This Row],[Reverse Recovery Loss MOSFET D BUCK]]*0.66</f>
        <v>5.0745062509930543</v>
      </c>
      <c r="BS121" s="354">
        <f>Table1[[#This Row],[Total Sync Bu MOSFET Loss]]+Table1[[#This Row],[Reverse Recovery Loss MOSFET D BUCK]]*0.33</f>
        <v>1.1687432778501821</v>
      </c>
      <c r="BT121" s="354">
        <f xml:space="preserve"> Table1[[#This Row],[Total Control Bo MOSFET Loss]]+Table1[[#This Row],[Reverse Recovery Loss MOSFET D BOOST]]*0.66</f>
        <v>0</v>
      </c>
      <c r="BU121" s="354">
        <f xml:space="preserve"> Table1[[#This Row],[Total Sync Bo MOSFET Loss]]+Table1[[#This Row],[Reverse Recovery Loss MOSFET D BOOST]]*0.33</f>
        <v>0.72200919068558667</v>
      </c>
      <c r="BV121" s="354">
        <f>Table1[[#This Row],[Isense Shunt Loss]]</f>
        <v>0.21499699415694171</v>
      </c>
    </row>
    <row r="122" spans="7:74" x14ac:dyDescent="0.2">
      <c r="G122">
        <v>113</v>
      </c>
      <c r="H122" s="555">
        <f>VIN_min+(VIN_max-VIN_min)*(Table1[[#This Row],[Step]]/200)</f>
        <v>35.82</v>
      </c>
      <c r="I122" s="4" t="str">
        <f>IF(Mode = 2,IF(Table1[[#This Row],[Vin]]&gt;Vout, "BUCK","BOOST"),IF(Table1[[#This Row],[Vin]]&gt;VIN_BB_to_buck, "BUCK", IF(Table1[[#This Row],[Vin]]&lt;=VIN_boost_to_BB,"BOOST","BUCK-BST")))</f>
        <v>BUCK</v>
      </c>
      <c r="J122">
        <f>IF(Table1[[#This Row],[Mode]]="BOOST",2, IF(Table1[[#This Row],[Mode]]="BUCK", 1,3))</f>
        <v>1</v>
      </c>
      <c r="K122">
        <f t="shared" si="4"/>
        <v>12</v>
      </c>
      <c r="L122" s="4">
        <f>Vout*Table1[[#This Row],[Iout]]/(Table1[[#This Row],[Vin]]*Efficiency)</f>
        <v>5.1485497663757389</v>
      </c>
      <c r="M122" s="711">
        <f>MIN(1/Fsw,CHOOSE(Table1[[#This Row],[Mode Digit]],(Vout+(Rdson2+Rs+Rdcr)*Table1[[#This Row],[Iout]])/(Table1[[#This Row],[Vin]]+(Rs+Rdson2-Rdson1)*Table1[[#This Row],[Iout]])/Fsw,(Vout+(Rdson3+Rdcr)*Table1[[#This Row],[Iin]]-Table1[[#This Row],[Vin]])/(Vout+(Rdson3-Rdson4-Rs)*Table1[[#This Row],[Iin]])/Fsw,t1_Ph_II))</f>
        <v>6.857275685727568E-7</v>
      </c>
      <c r="N122" s="602">
        <f>CHOOSE(Table1[[#This Row],[Mode Digit]],1/Fsw-Table1[[#This Row],[t1_Ph_II]],1/Fsw-Table1[[#This Row],[t1_Ph_II]],(Vout/Fsw-Table1[[#This Row],[Vin]]*t1_Ph_II)/(Table1[[#This Row],[Vin]]+Vout))</f>
        <v>9.8093909809390986E-7</v>
      </c>
      <c r="O122" s="602">
        <f>1/Fsw-(Table1[[#This Row],[t1_Ph_II]]+Table1[[#This Row],[t2_Ph_I]])</f>
        <v>0</v>
      </c>
      <c r="P12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9.2441024611526714</v>
      </c>
      <c r="Q122" s="4">
        <f>CHOOSE(Table1[[#This Row],[Mode Digit]],Table1[[#This Row],[I_0]]+1/Lf*(Table1[[#This Row],[Vin]]-Vout)*Table1[[#This Row],[t1_Ph_II]],Table1[[#This Row],[I_0]]+1/Lf*Table1[[#This Row],[Vin]]*Table1[[#This Row],[t1_Ph_II]],Table1[[#This Row],[I_0]]+(Table1[[#This Row],[Vin]]-Vout)/L*Table1[[#This Row],[t1_Ph_II]])</f>
        <v>14.755897538847329</v>
      </c>
      <c r="R122" s="4">
        <f>CHOOSE(Table1[[#This Row],[Mode Digit]],0,0,Table1[[#This Row],[I_1]]+Table1[[#This Row],[Vin]]/L*Table1[[#This Row],[t2_Ph_I]])</f>
        <v>0</v>
      </c>
      <c r="S122" s="4">
        <f>Fsw*(Table1[[#This Row],[I_0]]*Table1[[#This Row],[t1_Ph_II]]+Table1[[#This Row],[I_1]]*Table1[[#This Row],[t2_Ph_I]]+Table1[[#This Row],[I_2]]*Table1[[#This Row],[t3_Ph_III]])</f>
        <v>12.488143636588021</v>
      </c>
      <c r="T122" s="354">
        <f>MIN(1,CHOOSE(Table1[[#This Row],[Mode Digit]],(Vout+(Rdson2+Rs+Rdcr)*Table1[[#This Row],[Iout]])/(Table1[[#This Row],[Vin]]+(Rs+Rdson2-Rdson1)*Table1[[#This Row],[Iout]]),1,Fsw*Table1[[#This Row],[t2_Ph_I]]+Table1[[#This Row],[t1_Ph_II]]))</f>
        <v>0.41143654114365408</v>
      </c>
      <c r="U122" s="354">
        <f>MIN(1,CHOOSE(Table1[[#This Row],[Mode Digit]],0,(Vout+(Rdson3+Rdcr)*Table1[[#This Row],[Iin]]-Table1[[#This Row],[Vin]])/(Vout+(Rdson3-Rdson4-Rs)*Table1[[#This Row],[Iin]]),Fsw*Table1[[#This Row],[t1_Ph_II]]+Table1[[#This Row],[t3_Ph_III]]))</f>
        <v>0</v>
      </c>
      <c r="V122" s="4">
        <f>MAX(Table1[[#This Row],[I_0]:[I_2]])-MIN(Table1[[#This Row],[I_0]:[I_1]])</f>
        <v>5.5117950776946572</v>
      </c>
      <c r="W12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12.105026108255265</v>
      </c>
      <c r="X122" s="354">
        <f>(Table1[[#This Row],[Irms Lf]]^2*Rdcr*(1+Ltc*Ta-Ltc*25))/(1-Table1[[#This Row],[Irms Lf]]^2*Rdcr*Ltc*ThetaCa)</f>
        <v>0.91188317642122385</v>
      </c>
      <c r="Y122" s="354">
        <f>ABS(7.759*10^-3*Fsw^0.9458*(0.00787*Table1[[#This Row],[Ripple Current pk-pk]])^2.304)</f>
        <v>1.6407643230468827</v>
      </c>
      <c r="Z122" s="354">
        <f>Table1[[#This Row],[DCR    Loss]]+Table1[[#This Row],[Core Loss]]</f>
        <v>2.5526474994681063</v>
      </c>
      <c r="AA122" s="4">
        <f>IF(Table1[[#This Row],[Vin]]&gt;Vout, Table1[[#This Row],[Ripple Current pk-pk]]/SQRT(12), SQRT(Table1[[#This Row],[Duty Cycle BOOST Leg]]/(1-Table1[[#This Row],[Duty Cycle BOOST Leg]]))*SQRT(Table1[[#This Row],[Iout]]^2+(Table1[[#This Row],[Ripple Current pk-pk]]^2)/12))</f>
        <v>1.5911181859125323</v>
      </c>
      <c r="AB122" s="354">
        <f>RCoutEsr*Table1[[#This Row],[Irms Cout]]^2</f>
        <v>1.2658285407707939E-2</v>
      </c>
      <c r="AC122" s="354">
        <f>Table1[[#This Row],[Cout ESR Loss]]</f>
        <v>1.2658285407707939E-2</v>
      </c>
      <c r="AD122" s="354">
        <f>IF(Table1[[#This Row],[Vin]]&gt;Vout, SQRT(Table1[[#This Row],[Duty Cycle BUCK Leg]]*(1-Table1[[#This Row],[Duty Cycle BUCK Leg]]))*SQRT(Table1[[#This Row],[Iout]]^2+(Table1[[#This Row],[Ripple Current pk-pk]]^2)/12), Table1[[#This Row],[Ripple Current pk-pk]]/SQRT(12))</f>
        <v>5.9568108274199822</v>
      </c>
      <c r="AE122" s="354">
        <f>RCinEsr*Table1[[#This Row],[Irms Cin]]^2</f>
        <v>7.0967190467335864E-2</v>
      </c>
      <c r="AF122" s="549">
        <f>Table1[[#This Row],[Cin ESR Loss]]</f>
        <v>7.0967190467335864E-2</v>
      </c>
      <c r="AG12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7.7645655485466474</v>
      </c>
      <c r="AH122" s="354">
        <f>Rdson1*Table1[[#This Row],[Irms BuCtrl]]^2</f>
        <v>0.25321160826224554</v>
      </c>
      <c r="AI122" s="354">
        <f>CHOOSE(Table1[[#This Row],[Mode Digit]], (Table1[[#This Row],[Vin]]*Table1[[#This Row],[Iout]]/2)*(Fsw)*(Tr_buck+Tf_buck), 0, (Table1[[#This Row],[Vin]]*Table1[[#This Row],[Avg IL]]/2)*(Fsw/1)*(Tr_buck+Tf_buck))</f>
        <v>4.2624511667003446</v>
      </c>
      <c r="AJ122">
        <f>IF(Table1[[#This Row],[Vin]]&gt;Vout, IF(Table1[[#This Row],[Iout]]&gt;Table1[[#This Row],[Ripple Current pk-pk]]/2,0,ABS(Table1[[#This Row],[Iout]]-Table1[[#This Row],[Ripple Current pk-pk]]/2)*Vsd_Q1*Deadtime*Fsw),0)</f>
        <v>0</v>
      </c>
      <c r="AK122" s="354">
        <f>(Table1[[#This Row],[Dead Time Loss BuCtrl]]+Table1[[#This Row],[Transition Loss BuCtrl]]+Table1[[#This Row],[RDS(on) Loss BuCtrl]]*(1+RdsonTopTc*Ta-RdsonTopTc*25))/(1-Table1[[#This Row],[RDS(on) Loss BuCtrl]]*RdsonTopTc*ThetaJA_Q1)</f>
        <v>4.8078389253345382</v>
      </c>
      <c r="AL122" s="354">
        <f>CHOOSE(Table1[[#This Row],[Mode Digit]],SQRT((Fsw*(Table1[[#This Row],[t2_Ph_I]]+0))*((Table1[[#This Row],[I_0]]*Table1[[#This Row],[I_1]]+((Table1[[#This Row],[I_0]]-Table1[[#This Row],[I_1]])^2)/3))),0,SQRT((Fsw*(Table1[[#This Row],[t3_Ph_III]]+0))*((Table1[[#This Row],[I_0]]*Table1[[#This Row],[I_2]]+((Table1[[#This Row],[I_0]]-Table1[[#This Row],[I_2]])^2)/3))))</f>
        <v>9.2867205688479775</v>
      </c>
      <c r="AM122" s="354">
        <f>Rdson2*Table1[[#This Row],[Irms BuSync]]^2</f>
        <v>0.36222135148022933</v>
      </c>
      <c r="AN12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22" s="354">
        <f>(Table1[[#This Row],[Deadtime Loss BuSync]]+Table1[[#This Row],[RDS(on) Loss BuSync]]*(1+RdsonBotTc*Ta-RdsonBotTc*25))/(1-Table1[[#This Row],[RDS(on) Loss BuSync]]*RdsonBotTc*ThetaJA_Q2)</f>
        <v>1.0290514365535188</v>
      </c>
      <c r="AP122" s="354">
        <f>CHOOSE(Table1[[#This Row],[Mode Digit]],0,SQRT((Fsw*(Table1[[#This Row],[t1_Ph_II]]+0))*((Table1[[#This Row],[I_0]]*Table1[[#This Row],[I_1]]+((Table1[[#This Row],[I_0]]-Table1[[#This Row],[I_1]])^2)/3))),SQRT((Fsw*(Table1[[#This Row],[t2_Ph_I]]+0))*((Table1[[#This Row],[I_1]]*Table1[[#This Row],[I_2]]+((Table1[[#This Row],[I_1]]-Table1[[#This Row],[I_2]])^2)/3))))</f>
        <v>0</v>
      </c>
      <c r="AQ122" s="354">
        <f>Rdson4*Table1[[#This Row],[Irms BoCtlr]]^2</f>
        <v>0</v>
      </c>
      <c r="AR122" s="354">
        <f>CHOOSE(Table1[[#This Row],[Mode Digit]], 0, (Vout*Table1[[#This Row],[Iin]]/2)*(Fsw)*(Tr_boost+Tf_boost), (Vout*Iout/2)*(Fsw/1)*(Tr_boost+Tf_boost))</f>
        <v>0</v>
      </c>
      <c r="AS122">
        <f>IF(Table1[[#This Row],[Vin]]&gt;Vout, 0, IF(Table1[[#This Row],[Iin]]&gt;Table1[[#This Row],[Ripple Current pk-pk]]/2,0,ABS(Table1[[#This Row],[Iin]]-Table1[[#This Row],[Ripple Current pk-pk]]/2)*Vsd_Q4*Deadtime*Fsw))</f>
        <v>0</v>
      </c>
      <c r="AT122" s="354">
        <f>(Table1[[#This Row],[Dead Time Loss BoCtlr]]+Table1[[#This Row],[Transition Loss BoCtlr]]+Table1[[#This Row],[RDS(on) Loss BoCtlr]]*(1+RdsonTopTc*Ta-RdsonTopTc*25))/(1-Table1[[#This Row],[RDS(on) Loss BoCtlr]]*RdsonTopTc*ThetaJA_Q4)</f>
        <v>0</v>
      </c>
      <c r="AU12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12.105026108255265</v>
      </c>
      <c r="AV122" s="354">
        <f>Rdson3*Table1[[#This Row],[Irms BoSync]]^2</f>
        <v>0.61543295974247481</v>
      </c>
      <c r="AW12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22" s="354">
        <f>(Table1[[#This Row],[Deadtime Loss BoSync]]+Table1[[#This Row],[RDS(on) Loss BoSync]]*(1+RdsonBotTc*Ta-RdsonBotTc*25))/(1-Table1[[#This Row],[RDS(on) Loss BoSync]]*RdsonBotTc*ThetaJA_Q3)</f>
        <v>0.7220882123097393</v>
      </c>
      <c r="AY122" s="354">
        <f>CHOOSE(Table1[[#This Row],[Mode Digit]], Rdson3*Table1[[#This Row],[Irms Lf]]^2, Rdson1*Table1[[#This Row],[Irms Lf]]^2, 0)</f>
        <v>0.61543295974247481</v>
      </c>
      <c r="AZ122" s="354">
        <f>CHOOSE(Table1[[#This Row],[Mode Digit]], 2*Deadtime*Fsw*IF(VfdSky_Q2&gt;0,VfdSky_Q2,0)*Table1[[#This Row],[Iout]], 2*Deadtime*Fsw*IF(VfdSky_Q3&gt;0,VfdSky_Q3,0)*Table1[[#This Row],[Iin]], 2*Deadtime*Fsw*IF(VfdSky_Q2&gt;0,VfdSky_Q2,0)*Table1[[#This Row],[Iout]]+2*Deadtime*Fsw*IF(VfdSky_Q3&gt;0,VfdSky_Q3,0)*Table1[[#This Row],[Iin]])</f>
        <v>0</v>
      </c>
      <c r="BA122" s="354">
        <f>CHOOSE(Table1[[#This Row],[Mode Digit]], IF(QrrSky_Q2&gt;0,QrrSky_Q2,Qrr_Q2)*Fsw*(Table1[[#This Row],[Vin]]-Table1[[#This Row],[Iout]]*Rdson1),0,  IF(QrrSky_Q2&gt;0,QrrSky_Q2,Qrr_Q2)*Fsw*(Table1[[#This Row],[Vin]]-Table1[[#This Row],[Iout]]*Rdson1)+IF(QrrSky_Q3&gt;0,QrrSky_Q3,Qrr_Q3)*Fsw*Vout)</f>
        <v>0.42923519999999998</v>
      </c>
      <c r="BB122" s="354">
        <f>CHOOSE(Table1[[#This Row],[Mode Digit]],0, IF(QrrSky_Q3&gt;0,QrrSky_Q3,Qrr_Q3)*Fsw*Vout,  IF(QrrSky_Q2&gt;0,QrrSky_Q2,Qrr_Q2)*Fsw*(Table1[[#This Row],[Vin]]-Table1[[#This Row],[Iout]]*Rdson1)+IF(QrrSky_Q3&gt;0,QrrSky_Q3,Qrr_Q3)*Fsw*Vout)</f>
        <v>0</v>
      </c>
      <c r="BC122" s="354">
        <f>CHOOSE(Table1[[#This Row],[Mode Digit]], Rs*Table1[[#This Row],[Irms BuSync]]^2, Rs*Table1[[#This Row],[Irms BoCtlr]]^2, Rs*(Table1[[#This Row],[Irms BuSync]]^2+Table1[[#This Row],[Irms BoCtlr]]^2))</f>
        <v>0.21560794730966026</v>
      </c>
      <c r="BD122" s="354">
        <f t="shared" si="5"/>
        <v>1.44</v>
      </c>
      <c r="BE122" s="354">
        <f>IF(Vout&gt;8, Iq*Vout, Iq*Table1[[#This Row],[Vin]])</f>
        <v>4.3799999999999999E-2</v>
      </c>
      <c r="BF122" s="354">
        <f>CHOOSE(Table1[[#This Row],[Mode Digit]], (Qg_Q1+Qg_Q2)*Fsw, (Qg_Q3+Qg_Q4)*Fsw, (Qg_Q1+Qg_Q2+Qg_Q3+Qg_Q4)*Fsw)*IF(Vout&gt;8, Vout, Table1[[#This Row],[Vin]])</f>
        <v>0.47303999999999996</v>
      </c>
      <c r="BG122" s="354">
        <f t="shared" si="6"/>
        <v>0.45605042016806729</v>
      </c>
      <c r="BH122" s="354">
        <f>Table1[[#This Row],[IQ Loss]]+Table1[[#This Row],[Switching Current Loss]]</f>
        <v>0.51683999999999997</v>
      </c>
      <c r="BI12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11.796934696850608</v>
      </c>
      <c r="BJ122">
        <f>Vout*Table1[[#This Row],[Iout]]</f>
        <v>175.2</v>
      </c>
      <c r="BK122" s="550">
        <f>Table1[[#This Row],[Pout]]/(Table1[[#This Row],[Pout]]+Table1[[#This Row],[Total Loss]])</f>
        <v>0.93691375360791262</v>
      </c>
      <c r="BL12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288.4703355200723</v>
      </c>
      <c r="BM122" s="559">
        <f>IF(Table1[[#This Row],[Vin]]&gt;Vout, Table1[[#This Row],[Total Sync Bu MOSFET Loss]]*ThetaJA_Q2, ThetaJA_Q3*Table1[[#This Row],[Total Sync Bo MOSFET Loss]])</f>
        <v>61.743086193211127</v>
      </c>
      <c r="BN122" s="9"/>
      <c r="BO122" s="4">
        <f>Table1[[#This Row],[EFF, h]]*100</f>
        <v>93.691375360791255</v>
      </c>
      <c r="BP122" s="354">
        <f>Table1[[#This Row],[Total Inductor Loss]]</f>
        <v>2.5526474994681063</v>
      </c>
      <c r="BQ122" s="354">
        <f>Table1[[#This Row],[Total Control Bu MOSFET Loss]]+Table1[[#This Row],[Total Sync Bu MOSFET Loss]]+Table1[[#This Row],[Total Control Bo MOSFET Loss]]+Table1[[#This Row],[Total Sync Bo MOSFET Loss]]+Table1[[#This Row],[Reverse Recovery Loss MOSFET D BUCK]]+Table1[[#This Row],[Reverse Recovery Loss MOSFET D BOOST]]</f>
        <v>6.9882137741977957</v>
      </c>
      <c r="BR122" s="354">
        <f>Table1[[#This Row],[Total Control Bu MOSFET Loss]]+Table1[[#This Row],[Reverse Recovery Loss MOSFET D BUCK]]*0.66</f>
        <v>5.0911341573345386</v>
      </c>
      <c r="BS122" s="354">
        <f>Table1[[#This Row],[Total Sync Bu MOSFET Loss]]+Table1[[#This Row],[Reverse Recovery Loss MOSFET D BUCK]]*0.33</f>
        <v>1.1706990525535188</v>
      </c>
      <c r="BT122" s="354">
        <f xml:space="preserve"> Table1[[#This Row],[Total Control Bo MOSFET Loss]]+Table1[[#This Row],[Reverse Recovery Loss MOSFET D BOOST]]*0.66</f>
        <v>0</v>
      </c>
      <c r="BU122" s="354">
        <f xml:space="preserve"> Table1[[#This Row],[Total Sync Bo MOSFET Loss]]+Table1[[#This Row],[Reverse Recovery Loss MOSFET D BOOST]]*0.33</f>
        <v>0.7220882123097393</v>
      </c>
      <c r="BV122" s="354">
        <f>Table1[[#This Row],[Isense Shunt Loss]]</f>
        <v>0.21560794730966026</v>
      </c>
    </row>
    <row r="123" spans="7:74" x14ac:dyDescent="0.2">
      <c r="G123">
        <v>114</v>
      </c>
      <c r="H123" s="555">
        <f>VIN_min+(VIN_max-VIN_min)*(Table1[[#This Row],[Step]]/200)</f>
        <v>35.96</v>
      </c>
      <c r="I123" s="4" t="str">
        <f>IF(Mode = 2,IF(Table1[[#This Row],[Vin]]&gt;Vout, "BUCK","BOOST"),IF(Table1[[#This Row],[Vin]]&gt;VIN_BB_to_buck, "BUCK", IF(Table1[[#This Row],[Vin]]&lt;=VIN_boost_to_BB,"BOOST","BUCK-BST")))</f>
        <v>BUCK</v>
      </c>
      <c r="J123">
        <f>IF(Table1[[#This Row],[Mode]]="BOOST",2, IF(Table1[[#This Row],[Mode]]="BUCK", 1,3))</f>
        <v>1</v>
      </c>
      <c r="K123">
        <f t="shared" si="4"/>
        <v>12</v>
      </c>
      <c r="L123" s="4">
        <f>Vout*Table1[[#This Row],[Iout]]/(Table1[[#This Row],[Vin]]*Efficiency)</f>
        <v>5.1285053568292254</v>
      </c>
      <c r="M123" s="711">
        <f>MIN(1/Fsw,CHOOSE(Table1[[#This Row],[Mode Digit]],(Vout+(Rdson2+Rs+Rdcr)*Table1[[#This Row],[Iout]])/(Table1[[#This Row],[Vin]]+(Rs+Rdson2-Rdson1)*Table1[[#This Row],[Iout]])/Fsw,(Vout+(Rdson3+Rdcr)*Table1[[#This Row],[Iin]]-Table1[[#This Row],[Vin]])/(Vout+(Rdson3-Rdson4-Rs)*Table1[[#This Row],[Iin]])/Fsw,t1_Ph_II))</f>
        <v>6.830601092896174E-7</v>
      </c>
      <c r="N123" s="602">
        <f>CHOOSE(Table1[[#This Row],[Mode Digit]],1/Fsw-Table1[[#This Row],[t1_Ph_II]],1/Fsw-Table1[[#This Row],[t1_Ph_II]],(Vout/Fsw-Table1[[#This Row],[Vin]]*t1_Ph_II)/(Table1[[#This Row],[Vin]]+Vout))</f>
        <v>9.8360655737704926E-7</v>
      </c>
      <c r="O123" s="602">
        <f>1/Fsw-(Table1[[#This Row],[t1_Ph_II]]+Table1[[#This Row],[t2_Ph_I]])</f>
        <v>0</v>
      </c>
      <c r="P12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9.2367113760556379</v>
      </c>
      <c r="Q123" s="4">
        <f>CHOOSE(Table1[[#This Row],[Mode Digit]],Table1[[#This Row],[I_0]]+1/Lf*(Table1[[#This Row],[Vin]]-Vout)*Table1[[#This Row],[t1_Ph_II]],Table1[[#This Row],[I_0]]+1/Lf*Table1[[#This Row],[Vin]]*Table1[[#This Row],[t1_Ph_II]],Table1[[#This Row],[I_0]]+(Table1[[#This Row],[Vin]]-Vout)/L*Table1[[#This Row],[t1_Ph_II]])</f>
        <v>14.76328862394436</v>
      </c>
      <c r="R123" s="4">
        <f>CHOOSE(Table1[[#This Row],[Mode Digit]],0,0,Table1[[#This Row],[I_1]]+Table1[[#This Row],[Vin]]/L*Table1[[#This Row],[t2_Ph_I]])</f>
        <v>0</v>
      </c>
      <c r="S123" s="4">
        <f>Fsw*(Table1[[#This Row],[I_0]]*Table1[[#This Row],[t1_Ph_II]]+Table1[[#This Row],[I_1]]*Table1[[#This Row],[t2_Ph_I]]+Table1[[#This Row],[I_2]]*Table1[[#This Row],[t3_Ph_III]])</f>
        <v>12.498297948580131</v>
      </c>
      <c r="T123" s="354">
        <f>MIN(1,CHOOSE(Table1[[#This Row],[Mode Digit]],(Vout+(Rdson2+Rs+Rdcr)*Table1[[#This Row],[Iout]])/(Table1[[#This Row],[Vin]]+(Rs+Rdson2-Rdson1)*Table1[[#This Row],[Iout]]),1,Fsw*Table1[[#This Row],[t2_Ph_I]]+Table1[[#This Row],[t1_Ph_II]]))</f>
        <v>0.40983606557377045</v>
      </c>
      <c r="U123" s="354">
        <f>MIN(1,CHOOSE(Table1[[#This Row],[Mode Digit]],0,(Vout+(Rdson3+Rdcr)*Table1[[#This Row],[Iin]]-Table1[[#This Row],[Vin]])/(Vout+(Rdson3-Rdson4-Rs)*Table1[[#This Row],[Iin]]),Fsw*Table1[[#This Row],[t1_Ph_II]]+Table1[[#This Row],[t3_Ph_III]]))</f>
        <v>0</v>
      </c>
      <c r="V123" s="4">
        <f>MAX(Table1[[#This Row],[I_0]:[I_2]])-MIN(Table1[[#This Row],[I_0]:[I_1]])</f>
        <v>5.5265772478887225</v>
      </c>
      <c r="W12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12.105587745874772</v>
      </c>
      <c r="X123" s="354">
        <f>(Table1[[#This Row],[Irms Lf]]^2*Rdcr*(1+Ltc*Ta-Ltc*25))/(1-Table1[[#This Row],[Irms Lf]]^2*Rdcr*Ltc*ThetaCa)</f>
        <v>0.91197396943289744</v>
      </c>
      <c r="Y123" s="354">
        <f>ABS(7.759*10^-3*Fsw^0.9458*(0.00787*Table1[[#This Row],[Ripple Current pk-pk]])^2.304)</f>
        <v>1.6509205586838285</v>
      </c>
      <c r="Z123" s="354">
        <f>Table1[[#This Row],[DCR    Loss]]+Table1[[#This Row],[Core Loss]]</f>
        <v>2.5628945281167259</v>
      </c>
      <c r="AA123" s="4">
        <f>IF(Table1[[#This Row],[Vin]]&gt;Vout, Table1[[#This Row],[Ripple Current pk-pk]]/SQRT(12), SQRT(Table1[[#This Row],[Duty Cycle BOOST Leg]]/(1-Table1[[#This Row],[Duty Cycle BOOST Leg]]))*SQRT(Table1[[#This Row],[Iout]]^2+(Table1[[#This Row],[Ripple Current pk-pk]]^2)/12))</f>
        <v>1.5953854308829076</v>
      </c>
      <c r="AB123" s="354">
        <f>RCoutEsr*Table1[[#This Row],[Irms Cout]]^2</f>
        <v>1.2726273365367205E-2</v>
      </c>
      <c r="AC123" s="354">
        <f>Table1[[#This Row],[Cout ESR Loss]]</f>
        <v>1.2726273365367205E-2</v>
      </c>
      <c r="AD123" s="354">
        <f>IF(Table1[[#This Row],[Vin]]&gt;Vout, SQRT(Table1[[#This Row],[Duty Cycle BUCK Leg]]*(1-Table1[[#This Row],[Duty Cycle BUCK Leg]]))*SQRT(Table1[[#This Row],[Iout]]^2+(Table1[[#This Row],[Ripple Current pk-pk]]^2)/12), Table1[[#This Row],[Ripple Current pk-pk]]/SQRT(12))</f>
        <v>5.9535677438728385</v>
      </c>
      <c r="AE123" s="354">
        <f>RCinEsr*Table1[[#This Row],[Irms Cin]]^2</f>
        <v>7.0889937761766234E-2</v>
      </c>
      <c r="AF123" s="549">
        <f>Table1[[#This Row],[Cin ESR Loss]]</f>
        <v>7.0889937761766234E-2</v>
      </c>
      <c r="AG12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7.7498084236785241</v>
      </c>
      <c r="AH123" s="354">
        <f>Rdson1*Table1[[#This Row],[Irms BuCtrl]]^2</f>
        <v>0.25225002853561823</v>
      </c>
      <c r="AI123" s="354">
        <f>CHOOSE(Table1[[#This Row],[Mode Digit]], (Table1[[#This Row],[Vin]]*Table1[[#This Row],[Iout]]/2)*(Fsw)*(Tr_buck+Tf_buck), 0, (Table1[[#This Row],[Vin]]*Table1[[#This Row],[Avg IL]]/2)*(Fsw/1)*(Tr_buck+Tf_buck))</f>
        <v>4.2791106631642766</v>
      </c>
      <c r="AJ123">
        <f>IF(Table1[[#This Row],[Vin]]&gt;Vout, IF(Table1[[#This Row],[Iout]]&gt;Table1[[#This Row],[Ripple Current pk-pk]]/2,0,ABS(Table1[[#This Row],[Iout]]-Table1[[#This Row],[Ripple Current pk-pk]]/2)*Vsd_Q1*Deadtime*Fsw),0)</f>
        <v>0</v>
      </c>
      <c r="AK123" s="354">
        <f>(Table1[[#This Row],[Dead Time Loss BuCtrl]]+Table1[[#This Row],[Transition Loss BuCtrl]]+Table1[[#This Row],[RDS(on) Loss BuCtrl]]*(1+RdsonTopTc*Ta-RdsonTopTc*25))/(1-Table1[[#This Row],[RDS(on) Loss BuCtrl]]*RdsonTopTc*ThetaJA_Q1)</f>
        <v>4.8233673862995339</v>
      </c>
      <c r="AL123" s="354">
        <f>CHOOSE(Table1[[#This Row],[Mode Digit]],SQRT((Fsw*(Table1[[#This Row],[t2_Ph_I]]+0))*((Table1[[#This Row],[I_0]]*Table1[[#This Row],[I_1]]+((Table1[[#This Row],[I_0]]-Table1[[#This Row],[I_1]])^2)/3))),0,SQRT((Fsw*(Table1[[#This Row],[t3_Ph_III]]+0))*((Table1[[#This Row],[I_0]]*Table1[[#This Row],[I_2]]+((Table1[[#This Row],[I_0]]-Table1[[#This Row],[I_2]])^2)/3))))</f>
        <v>9.299770108414231</v>
      </c>
      <c r="AM123" s="354">
        <f>Rdson2*Table1[[#This Row],[Irms BuSync]]^2</f>
        <v>0.36324004109129038</v>
      </c>
      <c r="AN12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23" s="354">
        <f>(Table1[[#This Row],[Deadtime Loss BuSync]]+Table1[[#This Row],[RDS(on) Loss BuSync]]*(1+RdsonBotTc*Ta-RdsonBotTc*25))/(1-Table1[[#This Row],[RDS(on) Loss BuSync]]*RdsonBotTc*ThetaJA_Q2)</f>
        <v>1.0304430301281553</v>
      </c>
      <c r="AP123" s="354">
        <f>CHOOSE(Table1[[#This Row],[Mode Digit]],0,SQRT((Fsw*(Table1[[#This Row],[t1_Ph_II]]+0))*((Table1[[#This Row],[I_0]]*Table1[[#This Row],[I_1]]+((Table1[[#This Row],[I_0]]-Table1[[#This Row],[I_1]])^2)/3))),SQRT((Fsw*(Table1[[#This Row],[t2_Ph_I]]+0))*((Table1[[#This Row],[I_1]]*Table1[[#This Row],[I_2]]+((Table1[[#This Row],[I_1]]-Table1[[#This Row],[I_2]])^2)/3))))</f>
        <v>0</v>
      </c>
      <c r="AQ123" s="354">
        <f>Rdson4*Table1[[#This Row],[Irms BoCtlr]]^2</f>
        <v>0</v>
      </c>
      <c r="AR123" s="354">
        <f>CHOOSE(Table1[[#This Row],[Mode Digit]], 0, (Vout*Table1[[#This Row],[Iin]]/2)*(Fsw)*(Tr_boost+Tf_boost), (Vout*Iout/2)*(Fsw/1)*(Tr_boost+Tf_boost))</f>
        <v>0</v>
      </c>
      <c r="AS123">
        <f>IF(Table1[[#This Row],[Vin]]&gt;Vout, 0, IF(Table1[[#This Row],[Iin]]&gt;Table1[[#This Row],[Ripple Current pk-pk]]/2,0,ABS(Table1[[#This Row],[Iin]]-Table1[[#This Row],[Ripple Current pk-pk]]/2)*Vsd_Q4*Deadtime*Fsw))</f>
        <v>0</v>
      </c>
      <c r="AT123" s="354">
        <f>(Table1[[#This Row],[Dead Time Loss BoCtlr]]+Table1[[#This Row],[Transition Loss BoCtlr]]+Table1[[#This Row],[RDS(on) Loss BoCtlr]]*(1+RdsonTopTc*Ta-RdsonTopTc*25))/(1-Table1[[#This Row],[RDS(on) Loss BoCtlr]]*RdsonTopTc*ThetaJA_Q4)</f>
        <v>0</v>
      </c>
      <c r="AU12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12.105587745874772</v>
      </c>
      <c r="AV123" s="354">
        <f>Rdson3*Table1[[#This Row],[Irms BoSync]]^2</f>
        <v>0.61549006962690844</v>
      </c>
      <c r="AW12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23" s="354">
        <f>(Table1[[#This Row],[Deadtime Loss BoSync]]+Table1[[#This Row],[RDS(on) Loss BoSync]]*(1+RdsonBotTc*Ta-RdsonBotTc*25))/(1-Table1[[#This Row],[RDS(on) Loss BoSync]]*RdsonBotTc*ThetaJA_Q3)</f>
        <v>0.72216683307627494</v>
      </c>
      <c r="AY123" s="354">
        <f>CHOOSE(Table1[[#This Row],[Mode Digit]], Rdson3*Table1[[#This Row],[Irms Lf]]^2, Rdson1*Table1[[#This Row],[Irms Lf]]^2, 0)</f>
        <v>0.61549006962690844</v>
      </c>
      <c r="AZ123" s="354">
        <f>CHOOSE(Table1[[#This Row],[Mode Digit]], 2*Deadtime*Fsw*IF(VfdSky_Q2&gt;0,VfdSky_Q2,0)*Table1[[#This Row],[Iout]], 2*Deadtime*Fsw*IF(VfdSky_Q3&gt;0,VfdSky_Q3,0)*Table1[[#This Row],[Iin]], 2*Deadtime*Fsw*IF(VfdSky_Q2&gt;0,VfdSky_Q2,0)*Table1[[#This Row],[Iout]]+2*Deadtime*Fsw*IF(VfdSky_Q3&gt;0,VfdSky_Q3,0)*Table1[[#This Row],[Iin]])</f>
        <v>0</v>
      </c>
      <c r="BA123" s="354">
        <f>CHOOSE(Table1[[#This Row],[Mode Digit]], IF(QrrSky_Q2&gt;0,QrrSky_Q2,Qrr_Q2)*Fsw*(Table1[[#This Row],[Vin]]-Table1[[#This Row],[Iout]]*Rdson1),0,  IF(QrrSky_Q2&gt;0,QrrSky_Q2,Qrr_Q2)*Fsw*(Table1[[#This Row],[Vin]]-Table1[[#This Row],[Iout]]*Rdson1)+IF(QrrSky_Q3&gt;0,QrrSky_Q3,Qrr_Q3)*Fsw*Vout)</f>
        <v>0.4309152</v>
      </c>
      <c r="BB123" s="354">
        <f>CHOOSE(Table1[[#This Row],[Mode Digit]],0, IF(QrrSky_Q3&gt;0,QrrSky_Q3,Qrr_Q3)*Fsw*Vout,  IF(QrrSky_Q2&gt;0,QrrSky_Q2,Qrr_Q2)*Fsw*(Table1[[#This Row],[Vin]]-Table1[[#This Row],[Iout]]*Rdson1)+IF(QrrSky_Q3&gt;0,QrrSky_Q3,Qrr_Q3)*Fsw*Vout)</f>
        <v>0</v>
      </c>
      <c r="BC123" s="354">
        <f>CHOOSE(Table1[[#This Row],[Mode Digit]], Rs*Table1[[#This Row],[Irms BuSync]]^2, Rs*Table1[[#This Row],[Irms BoCtlr]]^2, Rs*(Table1[[#This Row],[Irms BuSync]]^2+Table1[[#This Row],[Irms BoCtlr]]^2))</f>
        <v>0.2162143101733871</v>
      </c>
      <c r="BD123" s="354">
        <f t="shared" si="5"/>
        <v>1.44</v>
      </c>
      <c r="BE123" s="354">
        <f>IF(Vout&gt;8, Iq*Vout, Iq*Table1[[#This Row],[Vin]])</f>
        <v>4.3799999999999999E-2</v>
      </c>
      <c r="BF123" s="354">
        <f>CHOOSE(Table1[[#This Row],[Mode Digit]], (Qg_Q1+Qg_Q2)*Fsw, (Qg_Q3+Qg_Q4)*Fsw, (Qg_Q1+Qg_Q2+Qg_Q3+Qg_Q4)*Fsw)*IF(Vout&gt;8, Vout, Table1[[#This Row],[Vin]])</f>
        <v>0.47303999999999996</v>
      </c>
      <c r="BG123" s="354">
        <f t="shared" si="6"/>
        <v>0.45605042016806729</v>
      </c>
      <c r="BH123" s="354">
        <f>Table1[[#This Row],[IQ Loss]]+Table1[[#This Row],[Switching Current Loss]]</f>
        <v>0.51683999999999997</v>
      </c>
      <c r="BI12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11.826457498921208</v>
      </c>
      <c r="BJ123">
        <f>Vout*Table1[[#This Row],[Iout]]</f>
        <v>175.2</v>
      </c>
      <c r="BK123" s="550">
        <f>Table1[[#This Row],[Pout]]/(Table1[[#This Row],[Pout]]+Table1[[#This Row],[Total Loss]])</f>
        <v>0.9367658583866969</v>
      </c>
      <c r="BL12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289.40204317797202</v>
      </c>
      <c r="BM123" s="559">
        <f>IF(Table1[[#This Row],[Vin]]&gt;Vout, Table1[[#This Row],[Total Sync Bu MOSFET Loss]]*ThetaJA_Q2, ThetaJA_Q3*Table1[[#This Row],[Total Sync Bo MOSFET Loss]])</f>
        <v>61.826581807689315</v>
      </c>
      <c r="BN123" s="9"/>
      <c r="BO123" s="4">
        <f>Table1[[#This Row],[EFF, h]]*100</f>
        <v>93.676585838669695</v>
      </c>
      <c r="BP123" s="354">
        <f>Table1[[#This Row],[Total Inductor Loss]]</f>
        <v>2.5628945281167259</v>
      </c>
      <c r="BQ123" s="354">
        <f>Table1[[#This Row],[Total Control Bu MOSFET Loss]]+Table1[[#This Row],[Total Sync Bu MOSFET Loss]]+Table1[[#This Row],[Total Control Bo MOSFET Loss]]+Table1[[#This Row],[Total Sync Bo MOSFET Loss]]+Table1[[#This Row],[Reverse Recovery Loss MOSFET D BUCK]]+Table1[[#This Row],[Reverse Recovery Loss MOSFET D BOOST]]</f>
        <v>7.0068924495039644</v>
      </c>
      <c r="BR123" s="354">
        <f>Table1[[#This Row],[Total Control Bu MOSFET Loss]]+Table1[[#This Row],[Reverse Recovery Loss MOSFET D BUCK]]*0.66</f>
        <v>5.1077714182995342</v>
      </c>
      <c r="BS123" s="354">
        <f>Table1[[#This Row],[Total Sync Bu MOSFET Loss]]+Table1[[#This Row],[Reverse Recovery Loss MOSFET D BUCK]]*0.33</f>
        <v>1.1726450461281552</v>
      </c>
      <c r="BT123" s="354">
        <f xml:space="preserve"> Table1[[#This Row],[Total Control Bo MOSFET Loss]]+Table1[[#This Row],[Reverse Recovery Loss MOSFET D BOOST]]*0.66</f>
        <v>0</v>
      </c>
      <c r="BU123" s="354">
        <f xml:space="preserve"> Table1[[#This Row],[Total Sync Bo MOSFET Loss]]+Table1[[#This Row],[Reverse Recovery Loss MOSFET D BOOST]]*0.33</f>
        <v>0.72216683307627494</v>
      </c>
      <c r="BV123" s="354">
        <f>Table1[[#This Row],[Isense Shunt Loss]]</f>
        <v>0.2162143101733871</v>
      </c>
    </row>
    <row r="124" spans="7:74" x14ac:dyDescent="0.2">
      <c r="G124">
        <v>115</v>
      </c>
      <c r="H124" s="555">
        <f>VIN_min+(VIN_max-VIN_min)*(Table1[[#This Row],[Step]]/200)</f>
        <v>36.099999999999994</v>
      </c>
      <c r="I124" s="4" t="str">
        <f>IF(Mode = 2,IF(Table1[[#This Row],[Vin]]&gt;Vout, "BUCK","BOOST"),IF(Table1[[#This Row],[Vin]]&gt;VIN_BB_to_buck, "BUCK", IF(Table1[[#This Row],[Vin]]&lt;=VIN_boost_to_BB,"BOOST","BUCK-BST")))</f>
        <v>BUCK</v>
      </c>
      <c r="J124">
        <f>IF(Table1[[#This Row],[Mode]]="BOOST",2, IF(Table1[[#This Row],[Mode]]="BUCK", 1,3))</f>
        <v>1</v>
      </c>
      <c r="K124">
        <f t="shared" si="4"/>
        <v>12</v>
      </c>
      <c r="L124" s="4">
        <f>Vout*Table1[[#This Row],[Iout]]/(Table1[[#This Row],[Vin]]*Efficiency)</f>
        <v>5.1086164163872292</v>
      </c>
      <c r="M124" s="711">
        <f>MIN(1/Fsw,CHOOSE(Table1[[#This Row],[Mode Digit]],(Vout+(Rdson2+Rs+Rdcr)*Table1[[#This Row],[Iout]])/(Table1[[#This Row],[Vin]]+(Rs+Rdson2-Rdson1)*Table1[[#This Row],[Iout]])/Fsw,(Vout+(Rdson3+Rdcr)*Table1[[#This Row],[Iin]]-Table1[[#This Row],[Vin]])/(Vout+(Rdson3-Rdson4-Rs)*Table1[[#This Row],[Iin]])/Fsw,t1_Ph_II))</f>
        <v>6.804133222622014E-7</v>
      </c>
      <c r="N124" s="602">
        <f>CHOOSE(Table1[[#This Row],[Mode Digit]],1/Fsw-Table1[[#This Row],[t1_Ph_II]],1/Fsw-Table1[[#This Row],[t1_Ph_II]],(Vout/Fsw-Table1[[#This Row],[Vin]]*t1_Ph_II)/(Table1[[#This Row],[Vin]]+Vout))</f>
        <v>9.8625334440446537E-7</v>
      </c>
      <c r="O124" s="602">
        <f>1/Fsw-(Table1[[#This Row],[t1_Ph_II]]+Table1[[#This Row],[t2_Ph_I]])</f>
        <v>0</v>
      </c>
      <c r="P12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9.2293775703338401</v>
      </c>
      <c r="Q124" s="4">
        <f>CHOOSE(Table1[[#This Row],[Mode Digit]],Table1[[#This Row],[I_0]]+1/Lf*(Table1[[#This Row],[Vin]]-Vout)*Table1[[#This Row],[t1_Ph_II]],Table1[[#This Row],[I_0]]+1/Lf*Table1[[#This Row],[Vin]]*Table1[[#This Row],[t1_Ph_II]],Table1[[#This Row],[I_0]]+(Table1[[#This Row],[Vin]]-Vout)/L*Table1[[#This Row],[t1_Ph_II]])</f>
        <v>14.77062242966616</v>
      </c>
      <c r="R124" s="4">
        <f>CHOOSE(Table1[[#This Row],[Mode Digit]],0,0,Table1[[#This Row],[I_1]]+Table1[[#This Row],[Vin]]/L*Table1[[#This Row],[t2_Ph_I]])</f>
        <v>0</v>
      </c>
      <c r="S124" s="4">
        <f>Fsw*(Table1[[#This Row],[I_0]]*Table1[[#This Row],[t1_Ph_II]]+Table1[[#This Row],[I_1]]*Table1[[#This Row],[t2_Ph_I]]+Table1[[#This Row],[I_2]]*Table1[[#This Row],[t3_Ph_III]])</f>
        <v>12.508420335142171</v>
      </c>
      <c r="T124" s="354">
        <f>MIN(1,CHOOSE(Table1[[#This Row],[Mode Digit]],(Vout+(Rdson2+Rs+Rdcr)*Table1[[#This Row],[Iout]])/(Table1[[#This Row],[Vin]]+(Rs+Rdson2-Rdson1)*Table1[[#This Row],[Iout]]),1,Fsw*Table1[[#This Row],[t2_Ph_I]]+Table1[[#This Row],[t1_Ph_II]]))</f>
        <v>0.40824799335732082</v>
      </c>
      <c r="U124" s="354">
        <f>MIN(1,CHOOSE(Table1[[#This Row],[Mode Digit]],0,(Vout+(Rdson3+Rdcr)*Table1[[#This Row],[Iin]]-Table1[[#This Row],[Vin]])/(Vout+(Rdson3-Rdson4-Rs)*Table1[[#This Row],[Iin]]),Fsw*Table1[[#This Row],[t1_Ph_II]]+Table1[[#This Row],[t3_Ph_III]]))</f>
        <v>0</v>
      </c>
      <c r="V124" s="4">
        <f>MAX(Table1[[#This Row],[I_0]:[I_2]])-MIN(Table1[[#This Row],[I_0]:[I_1]])</f>
        <v>5.5412448593323198</v>
      </c>
      <c r="W12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12.106146491868904</v>
      </c>
      <c r="X124" s="354">
        <f>(Table1[[#This Row],[Irms Lf]]^2*Rdcr*(1+Ltc*Ta-Ltc*25))/(1-Table1[[#This Row],[Irms Lf]]^2*Rdcr*Ltc*ThetaCa)</f>
        <v>0.91206430039107367</v>
      </c>
      <c r="Y124" s="354">
        <f>ABS(7.759*10^-3*Fsw^0.9458*(0.00787*Table1[[#This Row],[Ripple Current pk-pk]])^2.304)</f>
        <v>1.6610331595195171</v>
      </c>
      <c r="Z124" s="354">
        <f>Table1[[#This Row],[DCR    Loss]]+Table1[[#This Row],[Core Loss]]</f>
        <v>2.5730974599105907</v>
      </c>
      <c r="AA124" s="4">
        <f>IF(Table1[[#This Row],[Vin]]&gt;Vout, Table1[[#This Row],[Ripple Current pk-pk]]/SQRT(12), SQRT(Table1[[#This Row],[Duty Cycle BOOST Leg]]/(1-Table1[[#This Row],[Duty Cycle BOOST Leg]]))*SQRT(Table1[[#This Row],[Iout]]^2+(Table1[[#This Row],[Ripple Current pk-pk]]^2)/12))</f>
        <v>1.5996196055905725</v>
      </c>
      <c r="AB124" s="354">
        <f>RCoutEsr*Table1[[#This Row],[Irms Cout]]^2</f>
        <v>1.2793914412948693E-2</v>
      </c>
      <c r="AC124" s="354">
        <f>Table1[[#This Row],[Cout ESR Loss]]</f>
        <v>1.2793914412948693E-2</v>
      </c>
      <c r="AD124" s="354">
        <f>IF(Table1[[#This Row],[Vin]]&gt;Vout, SQRT(Table1[[#This Row],[Duty Cycle BUCK Leg]]*(1-Table1[[#This Row],[Duty Cycle BUCK Leg]]))*SQRT(Table1[[#This Row],[Iout]]^2+(Table1[[#This Row],[Ripple Current pk-pk]]^2)/12), Table1[[#This Row],[Ripple Current pk-pk]]/SQRT(12))</f>
        <v>5.9502857712978177</v>
      </c>
      <c r="AE124" s="354">
        <f>RCinEsr*Table1[[#This Row],[Irms Cin]]^2</f>
        <v>7.0811801520218529E-2</v>
      </c>
      <c r="AF124" s="549">
        <f>Table1[[#This Row],[Cin ESR Loss]]</f>
        <v>7.0811801520218529E-2</v>
      </c>
      <c r="AG12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7.7351360053142262</v>
      </c>
      <c r="AH124" s="354">
        <f>Rdson1*Table1[[#This Row],[Irms BuCtrl]]^2</f>
        <v>0.25129578188697588</v>
      </c>
      <c r="AI124" s="354">
        <f>CHOOSE(Table1[[#This Row],[Mode Digit]], (Table1[[#This Row],[Vin]]*Table1[[#This Row],[Iout]]/2)*(Fsw)*(Tr_buck+Tf_buck), 0, (Table1[[#This Row],[Vin]]*Table1[[#This Row],[Avg IL]]/2)*(Fsw/1)*(Tr_buck+Tf_buck))</f>
        <v>4.2957701596282076</v>
      </c>
      <c r="AJ124">
        <f>IF(Table1[[#This Row],[Vin]]&gt;Vout, IF(Table1[[#This Row],[Iout]]&gt;Table1[[#This Row],[Ripple Current pk-pk]]/2,0,ABS(Table1[[#This Row],[Iout]]-Table1[[#This Row],[Ripple Current pk-pk]]/2)*Vsd_Q1*Deadtime*Fsw),0)</f>
        <v>0</v>
      </c>
      <c r="AK124" s="354">
        <f>(Table1[[#This Row],[Dead Time Loss BuCtrl]]+Table1[[#This Row],[Transition Loss BuCtrl]]+Table1[[#This Row],[RDS(on) Loss BuCtrl]]*(1+RdsonTopTc*Ta-RdsonTopTc*25))/(1-Table1[[#This Row],[RDS(on) Loss BuCtrl]]*RdsonTopTc*ThetaJA_Q1)</f>
        <v>4.8389050864366983</v>
      </c>
      <c r="AL124" s="354">
        <f>CHOOSE(Table1[[#This Row],[Mode Digit]],SQRT((Fsw*(Table1[[#This Row],[t2_Ph_I]]+0))*((Table1[[#This Row],[I_0]]*Table1[[#This Row],[I_1]]+((Table1[[#This Row],[I_0]]-Table1[[#This Row],[I_1]])^2)/3))),0,SQRT((Fsw*(Table1[[#This Row],[t3_Ph_III]]+0))*((Table1[[#This Row],[I_0]]*Table1[[#This Row],[I_2]]+((Table1[[#This Row],[I_0]]-Table1[[#This Row],[I_2]])^2)/3))))</f>
        <v>9.3127038963923496</v>
      </c>
      <c r="AM124" s="354">
        <f>Rdson2*Table1[[#This Row],[Irms BuSync]]^2</f>
        <v>0.36425110621990131</v>
      </c>
      <c r="AN12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24" s="354">
        <f>(Table1[[#This Row],[Deadtime Loss BuSync]]+Table1[[#This Row],[RDS(on) Loss BuSync]]*(1+RdsonBotTc*Ta-RdsonBotTc*25))/(1-Table1[[#This Row],[RDS(on) Loss BuSync]]*RdsonBotTc*ThetaJA_Q2)</f>
        <v>1.0318249454660404</v>
      </c>
      <c r="AP124" s="354">
        <f>CHOOSE(Table1[[#This Row],[Mode Digit]],0,SQRT((Fsw*(Table1[[#This Row],[t1_Ph_II]]+0))*((Table1[[#This Row],[I_0]]*Table1[[#This Row],[I_1]]+((Table1[[#This Row],[I_0]]-Table1[[#This Row],[I_1]])^2)/3))),SQRT((Fsw*(Table1[[#This Row],[t2_Ph_I]]+0))*((Table1[[#This Row],[I_1]]*Table1[[#This Row],[I_2]]+((Table1[[#This Row],[I_1]]-Table1[[#This Row],[I_2]])^2)/3))))</f>
        <v>0</v>
      </c>
      <c r="AQ124" s="354">
        <f>Rdson4*Table1[[#This Row],[Irms BoCtlr]]^2</f>
        <v>0</v>
      </c>
      <c r="AR124" s="354">
        <f>CHOOSE(Table1[[#This Row],[Mode Digit]], 0, (Vout*Table1[[#This Row],[Iin]]/2)*(Fsw)*(Tr_boost+Tf_boost), (Vout*Iout/2)*(Fsw/1)*(Tr_boost+Tf_boost))</f>
        <v>0</v>
      </c>
      <c r="AS124">
        <f>IF(Table1[[#This Row],[Vin]]&gt;Vout, 0, IF(Table1[[#This Row],[Iin]]&gt;Table1[[#This Row],[Ripple Current pk-pk]]/2,0,ABS(Table1[[#This Row],[Iin]]-Table1[[#This Row],[Ripple Current pk-pk]]/2)*Vsd_Q4*Deadtime*Fsw))</f>
        <v>0</v>
      </c>
      <c r="AT124" s="354">
        <f>(Table1[[#This Row],[Dead Time Loss BoCtlr]]+Table1[[#This Row],[Transition Loss BoCtlr]]+Table1[[#This Row],[RDS(on) Loss BoCtlr]]*(1+RdsonTopTc*Ta-RdsonTopTc*25))/(1-Table1[[#This Row],[RDS(on) Loss BoCtlr]]*RdsonTopTc*ThetaJA_Q4)</f>
        <v>0</v>
      </c>
      <c r="AU12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12.106146491868904</v>
      </c>
      <c r="AV124" s="354">
        <f>Rdson3*Table1[[#This Row],[Irms BoSync]]^2</f>
        <v>0.61554688810687708</v>
      </c>
      <c r="AW12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24" s="354">
        <f>(Table1[[#This Row],[Deadtime Loss BoSync]]+Table1[[#This Row],[RDS(on) Loss BoSync]]*(1+RdsonBotTc*Ta-RdsonBotTc*25))/(1-Table1[[#This Row],[RDS(on) Loss BoSync]]*RdsonBotTc*ThetaJA_Q3)</f>
        <v>0.72224505518805848</v>
      </c>
      <c r="AY124" s="354">
        <f>CHOOSE(Table1[[#This Row],[Mode Digit]], Rdson3*Table1[[#This Row],[Irms Lf]]^2, Rdson1*Table1[[#This Row],[Irms Lf]]^2, 0)</f>
        <v>0.61554688810687708</v>
      </c>
      <c r="AZ124" s="354">
        <f>CHOOSE(Table1[[#This Row],[Mode Digit]], 2*Deadtime*Fsw*IF(VfdSky_Q2&gt;0,VfdSky_Q2,0)*Table1[[#This Row],[Iout]], 2*Deadtime*Fsw*IF(VfdSky_Q3&gt;0,VfdSky_Q3,0)*Table1[[#This Row],[Iin]], 2*Deadtime*Fsw*IF(VfdSky_Q2&gt;0,VfdSky_Q2,0)*Table1[[#This Row],[Iout]]+2*Deadtime*Fsw*IF(VfdSky_Q3&gt;0,VfdSky_Q3,0)*Table1[[#This Row],[Iin]])</f>
        <v>0</v>
      </c>
      <c r="BA124" s="354">
        <f>CHOOSE(Table1[[#This Row],[Mode Digit]], IF(QrrSky_Q2&gt;0,QrrSky_Q2,Qrr_Q2)*Fsw*(Table1[[#This Row],[Vin]]-Table1[[#This Row],[Iout]]*Rdson1),0,  IF(QrrSky_Q2&gt;0,QrrSky_Q2,Qrr_Q2)*Fsw*(Table1[[#This Row],[Vin]]-Table1[[#This Row],[Iout]]*Rdson1)+IF(QrrSky_Q3&gt;0,QrrSky_Q3,Qrr_Q3)*Fsw*Vout)</f>
        <v>0.4325951999999999</v>
      </c>
      <c r="BB124" s="354">
        <f>CHOOSE(Table1[[#This Row],[Mode Digit]],0, IF(QrrSky_Q3&gt;0,QrrSky_Q3,Qrr_Q3)*Fsw*Vout,  IF(QrrSky_Q2&gt;0,QrrSky_Q2,Qrr_Q2)*Fsw*(Table1[[#This Row],[Vin]]-Table1[[#This Row],[Iout]]*Rdson1)+IF(QrrSky_Q3&gt;0,QrrSky_Q3,Qrr_Q3)*Fsw*Vout)</f>
        <v>0</v>
      </c>
      <c r="BC124" s="354">
        <f>CHOOSE(Table1[[#This Row],[Mode Digit]], Rs*Table1[[#This Row],[Irms BuSync]]^2, Rs*Table1[[#This Row],[Irms BoCtlr]]^2, Rs*(Table1[[#This Row],[Irms BuSync]]^2+Table1[[#This Row],[Irms BoCtlr]]^2))</f>
        <v>0.21681613465470315</v>
      </c>
      <c r="BD124" s="354">
        <f t="shared" si="5"/>
        <v>1.44</v>
      </c>
      <c r="BE124" s="354">
        <f>IF(Vout&gt;8, Iq*Vout, Iq*Table1[[#This Row],[Vin]])</f>
        <v>4.3799999999999999E-2</v>
      </c>
      <c r="BF124" s="354">
        <f>CHOOSE(Table1[[#This Row],[Mode Digit]], (Qg_Q1+Qg_Q2)*Fsw, (Qg_Q3+Qg_Q4)*Fsw, (Qg_Q1+Qg_Q2+Qg_Q3+Qg_Q4)*Fsw)*IF(Vout&gt;8, Vout, Table1[[#This Row],[Vin]])</f>
        <v>0.47303999999999996</v>
      </c>
      <c r="BG124" s="354">
        <f t="shared" si="6"/>
        <v>0.45605042016806729</v>
      </c>
      <c r="BH124" s="354">
        <f>Table1[[#This Row],[IQ Loss]]+Table1[[#This Row],[Switching Current Loss]]</f>
        <v>0.51683999999999997</v>
      </c>
      <c r="BI12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11.855929597589256</v>
      </c>
      <c r="BJ124">
        <f>Vout*Table1[[#This Row],[Iout]]</f>
        <v>175.2</v>
      </c>
      <c r="BK124" s="550">
        <f>Table1[[#This Row],[Pout]]/(Table1[[#This Row],[Pout]]+Table1[[#This Row],[Total Loss]])</f>
        <v>0.9366182637294912</v>
      </c>
      <c r="BL12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290.3343051862019</v>
      </c>
      <c r="BM124" s="559">
        <f>IF(Table1[[#This Row],[Vin]]&gt;Vout, Table1[[#This Row],[Total Sync Bu MOSFET Loss]]*ThetaJA_Q2, ThetaJA_Q3*Table1[[#This Row],[Total Sync Bo MOSFET Loss]])</f>
        <v>61.909496727962427</v>
      </c>
      <c r="BN124" s="9"/>
      <c r="BO124" s="4">
        <f>Table1[[#This Row],[EFF, h]]*100</f>
        <v>93.661826372949122</v>
      </c>
      <c r="BP124" s="354">
        <f>Table1[[#This Row],[Total Inductor Loss]]</f>
        <v>2.5730974599105907</v>
      </c>
      <c r="BQ124" s="354">
        <f>Table1[[#This Row],[Total Control Bu MOSFET Loss]]+Table1[[#This Row],[Total Sync Bu MOSFET Loss]]+Table1[[#This Row],[Total Control Bo MOSFET Loss]]+Table1[[#This Row],[Total Sync Bo MOSFET Loss]]+Table1[[#This Row],[Reverse Recovery Loss MOSFET D BUCK]]+Table1[[#This Row],[Reverse Recovery Loss MOSFET D BOOST]]</f>
        <v>7.0255702870907966</v>
      </c>
      <c r="BR124" s="354">
        <f>Table1[[#This Row],[Total Control Bu MOSFET Loss]]+Table1[[#This Row],[Reverse Recovery Loss MOSFET D BUCK]]*0.66</f>
        <v>5.1244179184366985</v>
      </c>
      <c r="BS124" s="354">
        <f>Table1[[#This Row],[Total Sync Bu MOSFET Loss]]+Table1[[#This Row],[Reverse Recovery Loss MOSFET D BUCK]]*0.33</f>
        <v>1.1745813614660403</v>
      </c>
      <c r="BT124" s="354">
        <f xml:space="preserve"> Table1[[#This Row],[Total Control Bo MOSFET Loss]]+Table1[[#This Row],[Reverse Recovery Loss MOSFET D BOOST]]*0.66</f>
        <v>0</v>
      </c>
      <c r="BU124" s="354">
        <f xml:space="preserve"> Table1[[#This Row],[Total Sync Bo MOSFET Loss]]+Table1[[#This Row],[Reverse Recovery Loss MOSFET D BOOST]]*0.33</f>
        <v>0.72224505518805848</v>
      </c>
      <c r="BV124" s="354">
        <f>Table1[[#This Row],[Isense Shunt Loss]]</f>
        <v>0.21681613465470315</v>
      </c>
    </row>
    <row r="125" spans="7:74" x14ac:dyDescent="0.2">
      <c r="G125">
        <v>116</v>
      </c>
      <c r="H125" s="555">
        <f>VIN_min+(VIN_max-VIN_min)*(Table1[[#This Row],[Step]]/200)</f>
        <v>36.239999999999995</v>
      </c>
      <c r="I125" s="4" t="str">
        <f>IF(Mode = 2,IF(Table1[[#This Row],[Vin]]&gt;Vout, "BUCK","BOOST"),IF(Table1[[#This Row],[Vin]]&gt;VIN_BB_to_buck, "BUCK", IF(Table1[[#This Row],[Vin]]&lt;=VIN_boost_to_BB,"BOOST","BUCK-BST")))</f>
        <v>BUCK</v>
      </c>
      <c r="J125">
        <f>IF(Table1[[#This Row],[Mode]]="BOOST",2, IF(Table1[[#This Row],[Mode]]="BUCK", 1,3))</f>
        <v>1</v>
      </c>
      <c r="K125">
        <f t="shared" si="4"/>
        <v>12</v>
      </c>
      <c r="L125" s="4">
        <f>Vout*Table1[[#This Row],[Iout]]/(Table1[[#This Row],[Vin]]*Efficiency)</f>
        <v>5.0888811432554908</v>
      </c>
      <c r="M125" s="711">
        <f>MIN(1/Fsw,CHOOSE(Table1[[#This Row],[Mode Digit]],(Vout+(Rdson2+Rs+Rdcr)*Table1[[#This Row],[Iout]])/(Table1[[#This Row],[Vin]]+(Rs+Rdson2-Rdson1)*Table1[[#This Row],[Iout]])/Fsw,(Vout+(Rdson3+Rdcr)*Table1[[#This Row],[Iin]]-Table1[[#This Row],[Vin]])/(Vout+(Rdson3-Rdson4-Rs)*Table1[[#This Row],[Iin]])/Fsw,t1_Ph_II))</f>
        <v>6.7778696810954883E-7</v>
      </c>
      <c r="N125" s="602">
        <f>CHOOSE(Table1[[#This Row],[Mode Digit]],1/Fsw-Table1[[#This Row],[t1_Ph_II]],1/Fsw-Table1[[#This Row],[t1_Ph_II]],(Vout/Fsw-Table1[[#This Row],[Vin]]*t1_Ph_II)/(Table1[[#This Row],[Vin]]+Vout))</f>
        <v>9.8887969855711794E-7</v>
      </c>
      <c r="O125" s="602">
        <f>1/Fsw-(Table1[[#This Row],[t1_Ph_II]]+Table1[[#This Row],[t2_Ph_I]])</f>
        <v>0</v>
      </c>
      <c r="P12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9.2221003807025319</v>
      </c>
      <c r="Q125" s="4">
        <f>CHOOSE(Table1[[#This Row],[Mode Digit]],Table1[[#This Row],[I_0]]+1/Lf*(Table1[[#This Row],[Vin]]-Vout)*Table1[[#This Row],[t1_Ph_II]],Table1[[#This Row],[I_0]]+1/Lf*Table1[[#This Row],[Vin]]*Table1[[#This Row],[t1_Ph_II]],Table1[[#This Row],[I_0]]+(Table1[[#This Row],[Vin]]-Vout)/L*Table1[[#This Row],[t1_Ph_II]])</f>
        <v>14.777899619297468</v>
      </c>
      <c r="R125" s="4">
        <f>CHOOSE(Table1[[#This Row],[Mode Digit]],0,0,Table1[[#This Row],[I_1]]+Table1[[#This Row],[Vin]]/L*Table1[[#This Row],[t2_Ph_I]])</f>
        <v>0</v>
      </c>
      <c r="S125" s="4">
        <f>Fsw*(Table1[[#This Row],[I_0]]*Table1[[#This Row],[t1_Ph_II]]+Table1[[#This Row],[I_1]]*Table1[[#This Row],[t2_Ph_I]]+Table1[[#This Row],[I_2]]*Table1[[#This Row],[t3_Ph_III]])</f>
        <v>12.518510626485908</v>
      </c>
      <c r="T125" s="354">
        <f>MIN(1,CHOOSE(Table1[[#This Row],[Mode Digit]],(Vout+(Rdson2+Rs+Rdcr)*Table1[[#This Row],[Iout]])/(Table1[[#This Row],[Vin]]+(Rs+Rdson2-Rdson1)*Table1[[#This Row],[Iout]]),1,Fsw*Table1[[#This Row],[t2_Ph_I]]+Table1[[#This Row],[t1_Ph_II]]))</f>
        <v>0.40667218086572932</v>
      </c>
      <c r="U125" s="354">
        <f>MIN(1,CHOOSE(Table1[[#This Row],[Mode Digit]],0,(Vout+(Rdson3+Rdcr)*Table1[[#This Row],[Iin]]-Table1[[#This Row],[Vin]])/(Vout+(Rdson3-Rdson4-Rs)*Table1[[#This Row],[Iin]]),Fsw*Table1[[#This Row],[t1_Ph_II]]+Table1[[#This Row],[t3_Ph_III]]))</f>
        <v>0</v>
      </c>
      <c r="V125" s="4">
        <f>MAX(Table1[[#This Row],[I_0]:[I_2]])-MIN(Table1[[#This Row],[I_0]:[I_1]])</f>
        <v>5.5557992385949362</v>
      </c>
      <c r="W12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12.106702362670756</v>
      </c>
      <c r="X125" s="354">
        <f>(Table1[[#This Row],[Irms Lf]]^2*Rdcr*(1+Ltc*Ta-Ltc*25))/(1-Table1[[#This Row],[Irms Lf]]^2*Rdcr*Ltc*ThetaCa)</f>
        <v>0.91215417186925585</v>
      </c>
      <c r="Y125" s="354">
        <f>ABS(7.759*10^-3*Fsw^0.9458*(0.00787*Table1[[#This Row],[Ripple Current pk-pk]])^2.304)</f>
        <v>1.6711022540932623</v>
      </c>
      <c r="Z125" s="354">
        <f>Table1[[#This Row],[DCR    Loss]]+Table1[[#This Row],[Core Loss]]</f>
        <v>2.5832564259625181</v>
      </c>
      <c r="AA125" s="4">
        <f>IF(Table1[[#This Row],[Vin]]&gt;Vout, Table1[[#This Row],[Ripple Current pk-pk]]/SQRT(12), SQRT(Table1[[#This Row],[Duty Cycle BOOST Leg]]/(1-Table1[[#This Row],[Duty Cycle BOOST Leg]]))*SQRT(Table1[[#This Row],[Iout]]^2+(Table1[[#This Row],[Ripple Current pk-pk]]^2)/12))</f>
        <v>1.6038210929831522</v>
      </c>
      <c r="AB125" s="354">
        <f>RCoutEsr*Table1[[#This Row],[Irms Cout]]^2</f>
        <v>1.2861210491488367E-2</v>
      </c>
      <c r="AC125" s="354">
        <f>Table1[[#This Row],[Cout ESR Loss]]</f>
        <v>1.2861210491488367E-2</v>
      </c>
      <c r="AD125" s="354">
        <f>IF(Table1[[#This Row],[Vin]]&gt;Vout, SQRT(Table1[[#This Row],[Duty Cycle BUCK Leg]]*(1-Table1[[#This Row],[Duty Cycle BUCK Leg]]))*SQRT(Table1[[#This Row],[Iout]]^2+(Table1[[#This Row],[Ripple Current pk-pk]]^2)/12), Table1[[#This Row],[Ripple Current pk-pk]]/SQRT(12))</f>
        <v>5.9469659745721151</v>
      </c>
      <c r="AE125" s="354">
        <f>RCinEsr*Table1[[#This Row],[Irms Cin]]^2</f>
        <v>7.0732808605436931E-2</v>
      </c>
      <c r="AF125" s="549">
        <f>Table1[[#This Row],[Cin ESR Loss]]</f>
        <v>7.0732808605436931E-2</v>
      </c>
      <c r="AG12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7.7205474772514915</v>
      </c>
      <c r="AH125" s="354">
        <f>Rdson1*Table1[[#This Row],[Irms BuCtrl]]^2</f>
        <v>0.25034878406367639</v>
      </c>
      <c r="AI125" s="354">
        <f>CHOOSE(Table1[[#This Row],[Mode Digit]], (Table1[[#This Row],[Vin]]*Table1[[#This Row],[Iout]]/2)*(Fsw)*(Tr_buck+Tf_buck), 0, (Table1[[#This Row],[Vin]]*Table1[[#This Row],[Avg IL]]/2)*(Fsw/1)*(Tr_buck+Tf_buck))</f>
        <v>4.3124296560921405</v>
      </c>
      <c r="AJ125">
        <f>IF(Table1[[#This Row],[Vin]]&gt;Vout, IF(Table1[[#This Row],[Iout]]&gt;Table1[[#This Row],[Ripple Current pk-pk]]/2,0,ABS(Table1[[#This Row],[Iout]]-Table1[[#This Row],[Ripple Current pk-pk]]/2)*Vsd_Q1*Deadtime*Fsw),0)</f>
        <v>0</v>
      </c>
      <c r="AK125" s="354">
        <f>(Table1[[#This Row],[Dead Time Loss BuCtrl]]+Table1[[#This Row],[Transition Loss BuCtrl]]+Table1[[#This Row],[RDS(on) Loss BuCtrl]]*(1+RdsonTopTc*Ta-RdsonTopTc*25))/(1-Table1[[#This Row],[RDS(on) Loss BuCtrl]]*RdsonTopTc*ThetaJA_Q1)</f>
        <v>4.8544519121993428</v>
      </c>
      <c r="AL125" s="354">
        <f>CHOOSE(Table1[[#This Row],[Mode Digit]],SQRT((Fsw*(Table1[[#This Row],[t2_Ph_I]]+0))*((Table1[[#This Row],[I_0]]*Table1[[#This Row],[I_1]]+((Table1[[#This Row],[I_0]]-Table1[[#This Row],[I_1]])^2)/3))),0,SQRT((Fsw*(Table1[[#This Row],[t3_Ph_III]]+0))*((Table1[[#This Row],[I_0]]*Table1[[#This Row],[I_2]]+((Table1[[#This Row],[I_0]]-Table1[[#This Row],[I_2]])^2)/3))))</f>
        <v>9.3255235107635279</v>
      </c>
      <c r="AM125" s="354">
        <f>Rdson2*Table1[[#This Row],[Irms BuSync]]^2</f>
        <v>0.36525463274917397</v>
      </c>
      <c r="AN12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25" s="354">
        <f>(Table1[[#This Row],[Deadtime Loss BuSync]]+Table1[[#This Row],[RDS(on) Loss BuSync]]*(1+RdsonBotTc*Ta-RdsonBotTc*25))/(1-Table1[[#This Row],[RDS(on) Loss BuSync]]*RdsonBotTc*ThetaJA_Q2)</f>
        <v>1.0331972840072012</v>
      </c>
      <c r="AP125" s="354">
        <f>CHOOSE(Table1[[#This Row],[Mode Digit]],0,SQRT((Fsw*(Table1[[#This Row],[t1_Ph_II]]+0))*((Table1[[#This Row],[I_0]]*Table1[[#This Row],[I_1]]+((Table1[[#This Row],[I_0]]-Table1[[#This Row],[I_1]])^2)/3))),SQRT((Fsw*(Table1[[#This Row],[t2_Ph_I]]+0))*((Table1[[#This Row],[I_1]]*Table1[[#This Row],[I_2]]+((Table1[[#This Row],[I_1]]-Table1[[#This Row],[I_2]])^2)/3))))</f>
        <v>0</v>
      </c>
      <c r="AQ125" s="354">
        <f>Rdson4*Table1[[#This Row],[Irms BoCtlr]]^2</f>
        <v>0</v>
      </c>
      <c r="AR125" s="354">
        <f>CHOOSE(Table1[[#This Row],[Mode Digit]], 0, (Vout*Table1[[#This Row],[Iin]]/2)*(Fsw)*(Tr_boost+Tf_boost), (Vout*Iout/2)*(Fsw/1)*(Tr_boost+Tf_boost))</f>
        <v>0</v>
      </c>
      <c r="AS125">
        <f>IF(Table1[[#This Row],[Vin]]&gt;Vout, 0, IF(Table1[[#This Row],[Iin]]&gt;Table1[[#This Row],[Ripple Current pk-pk]]/2,0,ABS(Table1[[#This Row],[Iin]]-Table1[[#This Row],[Ripple Current pk-pk]]/2)*Vsd_Q4*Deadtime*Fsw))</f>
        <v>0</v>
      </c>
      <c r="AT125" s="354">
        <f>(Table1[[#This Row],[Dead Time Loss BoCtlr]]+Table1[[#This Row],[Transition Loss BoCtlr]]+Table1[[#This Row],[RDS(on) Loss BoCtlr]]*(1+RdsonTopTc*Ta-RdsonTopTc*25))/(1-Table1[[#This Row],[RDS(on) Loss BoCtlr]]*RdsonTopTc*ThetaJA_Q4)</f>
        <v>0</v>
      </c>
      <c r="AU12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12.106702362670756</v>
      </c>
      <c r="AV125" s="354">
        <f>Rdson3*Table1[[#This Row],[Irms BoSync]]^2</f>
        <v>0.61560341681285025</v>
      </c>
      <c r="AW12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25" s="354">
        <f>(Table1[[#This Row],[Deadtime Loss BoSync]]+Table1[[#This Row],[RDS(on) Loss BoSync]]*(1+RdsonBotTc*Ta-RdsonBotTc*25))/(1-Table1[[#This Row],[RDS(on) Loss BoSync]]*RdsonBotTc*ThetaJA_Q3)</f>
        <v>0.72232288085147489</v>
      </c>
      <c r="AY125" s="354">
        <f>CHOOSE(Table1[[#This Row],[Mode Digit]], Rdson3*Table1[[#This Row],[Irms Lf]]^2, Rdson1*Table1[[#This Row],[Irms Lf]]^2, 0)</f>
        <v>0.61560341681285025</v>
      </c>
      <c r="AZ125" s="354">
        <f>CHOOSE(Table1[[#This Row],[Mode Digit]], 2*Deadtime*Fsw*IF(VfdSky_Q2&gt;0,VfdSky_Q2,0)*Table1[[#This Row],[Iout]], 2*Deadtime*Fsw*IF(VfdSky_Q3&gt;0,VfdSky_Q3,0)*Table1[[#This Row],[Iin]], 2*Deadtime*Fsw*IF(VfdSky_Q2&gt;0,VfdSky_Q2,0)*Table1[[#This Row],[Iout]]+2*Deadtime*Fsw*IF(VfdSky_Q3&gt;0,VfdSky_Q3,0)*Table1[[#This Row],[Iin]])</f>
        <v>0</v>
      </c>
      <c r="BA125" s="354">
        <f>CHOOSE(Table1[[#This Row],[Mode Digit]], IF(QrrSky_Q2&gt;0,QrrSky_Q2,Qrr_Q2)*Fsw*(Table1[[#This Row],[Vin]]-Table1[[#This Row],[Iout]]*Rdson1),0,  IF(QrrSky_Q2&gt;0,QrrSky_Q2,Qrr_Q2)*Fsw*(Table1[[#This Row],[Vin]]-Table1[[#This Row],[Iout]]*Rdson1)+IF(QrrSky_Q3&gt;0,QrrSky_Q3,Qrr_Q3)*Fsw*Vout)</f>
        <v>0.43427519999999992</v>
      </c>
      <c r="BB125" s="354">
        <f>CHOOSE(Table1[[#This Row],[Mode Digit]],0, IF(QrrSky_Q3&gt;0,QrrSky_Q3,Qrr_Q3)*Fsw*Vout,  IF(QrrSky_Q2&gt;0,QrrSky_Q2,Qrr_Q2)*Fsw*(Table1[[#This Row],[Vin]]-Table1[[#This Row],[Iout]]*Rdson1)+IF(QrrSky_Q3&gt;0,QrrSky_Q3,Qrr_Q3)*Fsw*Vout)</f>
        <v>0</v>
      </c>
      <c r="BC125" s="354">
        <f>CHOOSE(Table1[[#This Row],[Mode Digit]], Rs*Table1[[#This Row],[Irms BuSync]]^2, Rs*Table1[[#This Row],[Irms BoCtlr]]^2, Rs*(Table1[[#This Row],[Irms BuSync]]^2+Table1[[#This Row],[Irms BoCtlr]]^2))</f>
        <v>0.21741347187450827</v>
      </c>
      <c r="BD125" s="354">
        <f t="shared" si="5"/>
        <v>1.44</v>
      </c>
      <c r="BE125" s="354">
        <f>IF(Vout&gt;8, Iq*Vout, Iq*Table1[[#This Row],[Vin]])</f>
        <v>4.3799999999999999E-2</v>
      </c>
      <c r="BF125" s="354">
        <f>CHOOSE(Table1[[#This Row],[Mode Digit]], (Qg_Q1+Qg_Q2)*Fsw, (Qg_Q3+Qg_Q4)*Fsw, (Qg_Q1+Qg_Q2+Qg_Q3+Qg_Q4)*Fsw)*IF(Vout&gt;8, Vout, Table1[[#This Row],[Vin]])</f>
        <v>0.47303999999999996</v>
      </c>
      <c r="BG125" s="354">
        <f t="shared" si="6"/>
        <v>0.45605042016806729</v>
      </c>
      <c r="BH125" s="354">
        <f>Table1[[#This Row],[IQ Loss]]+Table1[[#This Row],[Switching Current Loss]]</f>
        <v>0.51683999999999997</v>
      </c>
      <c r="BI12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11.885351193991971</v>
      </c>
      <c r="BJ125">
        <f>Vout*Table1[[#This Row],[Iout]]</f>
        <v>175.2</v>
      </c>
      <c r="BK125" s="550">
        <f>Table1[[#This Row],[Pout]]/(Table1[[#This Row],[Pout]]+Table1[[#This Row],[Total Loss]])</f>
        <v>0.93647096836743859</v>
      </c>
      <c r="BL12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291.26711473196059</v>
      </c>
      <c r="BM125" s="559">
        <f>IF(Table1[[#This Row],[Vin]]&gt;Vout, Table1[[#This Row],[Total Sync Bu MOSFET Loss]]*ThetaJA_Q2, ThetaJA_Q3*Table1[[#This Row],[Total Sync Bo MOSFET Loss]])</f>
        <v>61.991837040432074</v>
      </c>
      <c r="BN125" s="9"/>
      <c r="BO125" s="4">
        <f>Table1[[#This Row],[EFF, h]]*100</f>
        <v>93.647096836743856</v>
      </c>
      <c r="BP125" s="354">
        <f>Table1[[#This Row],[Total Inductor Loss]]</f>
        <v>2.5832564259625181</v>
      </c>
      <c r="BQ125" s="354">
        <f>Table1[[#This Row],[Total Control Bu MOSFET Loss]]+Table1[[#This Row],[Total Sync Bu MOSFET Loss]]+Table1[[#This Row],[Total Control Bo MOSFET Loss]]+Table1[[#This Row],[Total Sync Bo MOSFET Loss]]+Table1[[#This Row],[Reverse Recovery Loss MOSFET D BUCK]]+Table1[[#This Row],[Reverse Recovery Loss MOSFET D BOOST]]</f>
        <v>7.0442472770580187</v>
      </c>
      <c r="BR125" s="354">
        <f>Table1[[#This Row],[Total Control Bu MOSFET Loss]]+Table1[[#This Row],[Reverse Recovery Loss MOSFET D BUCK]]*0.66</f>
        <v>5.1410735441993429</v>
      </c>
      <c r="BS125" s="354">
        <f>Table1[[#This Row],[Total Sync Bu MOSFET Loss]]+Table1[[#This Row],[Reverse Recovery Loss MOSFET D BUCK]]*0.33</f>
        <v>1.1765081000072013</v>
      </c>
      <c r="BT125" s="354">
        <f xml:space="preserve"> Table1[[#This Row],[Total Control Bo MOSFET Loss]]+Table1[[#This Row],[Reverse Recovery Loss MOSFET D BOOST]]*0.66</f>
        <v>0</v>
      </c>
      <c r="BU125" s="354">
        <f xml:space="preserve"> Table1[[#This Row],[Total Sync Bo MOSFET Loss]]+Table1[[#This Row],[Reverse Recovery Loss MOSFET D BOOST]]*0.33</f>
        <v>0.72232288085147489</v>
      </c>
      <c r="BV125" s="354">
        <f>Table1[[#This Row],[Isense Shunt Loss]]</f>
        <v>0.21741347187450827</v>
      </c>
    </row>
    <row r="126" spans="7:74" x14ac:dyDescent="0.2">
      <c r="G126">
        <v>117</v>
      </c>
      <c r="H126" s="555">
        <f>VIN_min+(VIN_max-VIN_min)*(Table1[[#This Row],[Step]]/200)</f>
        <v>36.379999999999995</v>
      </c>
      <c r="I126" s="4" t="str">
        <f>IF(Mode = 2,IF(Table1[[#This Row],[Vin]]&gt;Vout, "BUCK","BOOST"),IF(Table1[[#This Row],[Vin]]&gt;VIN_BB_to_buck, "BUCK", IF(Table1[[#This Row],[Vin]]&lt;=VIN_boost_to_BB,"BOOST","BUCK-BST")))</f>
        <v>BUCK</v>
      </c>
      <c r="J126">
        <f>IF(Table1[[#This Row],[Mode]]="BOOST",2, IF(Table1[[#This Row],[Mode]]="BUCK", 1,3))</f>
        <v>1</v>
      </c>
      <c r="K126">
        <f t="shared" si="4"/>
        <v>12</v>
      </c>
      <c r="L126" s="4">
        <f>Vout*Table1[[#This Row],[Iout]]/(Table1[[#This Row],[Vin]]*Efficiency)</f>
        <v>5.0692977633749035</v>
      </c>
      <c r="M126" s="711">
        <f>MIN(1/Fsw,CHOOSE(Table1[[#This Row],[Mode Digit]],(Vout+(Rdson2+Rs+Rdcr)*Table1[[#This Row],[Iout]])/(Table1[[#This Row],[Vin]]+(Rs+Rdson2-Rdson1)*Table1[[#This Row],[Iout]])/Fsw,(Vout+(Rdson3+Rdcr)*Table1[[#This Row],[Iin]]-Table1[[#This Row],[Vin]])/(Vout+(Rdson3-Rdson4-Rs)*Table1[[#This Row],[Iin]])/Fsw,t1_Ph_II))</f>
        <v>6.7518081113247285E-7</v>
      </c>
      <c r="N126" s="602">
        <f>CHOOSE(Table1[[#This Row],[Mode Digit]],1/Fsw-Table1[[#This Row],[t1_Ph_II]],1/Fsw-Table1[[#This Row],[t1_Ph_II]],(Vout/Fsw-Table1[[#This Row],[Vin]]*t1_Ph_II)/(Table1[[#This Row],[Vin]]+Vout))</f>
        <v>9.9148585553419381E-7</v>
      </c>
      <c r="O126" s="602">
        <f>1/Fsw-(Table1[[#This Row],[t1_Ph_II]]+Table1[[#This Row],[t2_Ph_I]])</f>
        <v>0</v>
      </c>
      <c r="P12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9.2148791540785506</v>
      </c>
      <c r="Q126" s="4">
        <f>CHOOSE(Table1[[#This Row],[Mode Digit]],Table1[[#This Row],[I_0]]+1/Lf*(Table1[[#This Row],[Vin]]-Vout)*Table1[[#This Row],[t1_Ph_II]],Table1[[#This Row],[I_0]]+1/Lf*Table1[[#This Row],[Vin]]*Table1[[#This Row],[t1_Ph_II]],Table1[[#This Row],[I_0]]+(Table1[[#This Row],[Vin]]-Vout)/L*Table1[[#This Row],[t1_Ph_II]])</f>
        <v>14.785120845921449</v>
      </c>
      <c r="R126" s="4">
        <f>CHOOSE(Table1[[#This Row],[Mode Digit]],0,0,Table1[[#This Row],[I_1]]+Table1[[#This Row],[Vin]]/L*Table1[[#This Row],[t2_Ph_I]])</f>
        <v>0</v>
      </c>
      <c r="S126" s="4">
        <f>Fsw*(Table1[[#This Row],[I_0]]*Table1[[#This Row],[t1_Ph_II]]+Table1[[#This Row],[I_1]]*Table1[[#This Row],[t2_Ph_I]]+Table1[[#This Row],[I_2]]*Table1[[#This Row],[t3_Ph_III]])</f>
        <v>12.528568663700005</v>
      </c>
      <c r="T126" s="354">
        <f>MIN(1,CHOOSE(Table1[[#This Row],[Mode Digit]],(Vout+(Rdson2+Rs+Rdcr)*Table1[[#This Row],[Iout]])/(Table1[[#This Row],[Vin]]+(Rs+Rdson2-Rdson1)*Table1[[#This Row],[Iout]]),1,Fsw*Table1[[#This Row],[t2_Ph_I]]+Table1[[#This Row],[t1_Ph_II]]))</f>
        <v>0.40510848667948368</v>
      </c>
      <c r="U126" s="354">
        <f>MIN(1,CHOOSE(Table1[[#This Row],[Mode Digit]],0,(Vout+(Rdson3+Rdcr)*Table1[[#This Row],[Iin]]-Table1[[#This Row],[Vin]])/(Vout+(Rdson3-Rdson4-Rs)*Table1[[#This Row],[Iin]]),Fsw*Table1[[#This Row],[t1_Ph_II]]+Table1[[#This Row],[t3_Ph_III]]))</f>
        <v>0</v>
      </c>
      <c r="V126" s="4">
        <f>MAX(Table1[[#This Row],[I_0]:[I_2]])-MIN(Table1[[#This Row],[I_0]:[I_1]])</f>
        <v>5.5702416918428987</v>
      </c>
      <c r="W12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12.107255374724504</v>
      </c>
      <c r="X126" s="354">
        <f>(Table1[[#This Row],[Irms Lf]]^2*Rdcr*(1+Ltc*Ta-Ltc*25))/(1-Table1[[#This Row],[Irms Lf]]^2*Rdcr*Ltc*ThetaCa)</f>
        <v>0.91224358644379278</v>
      </c>
      <c r="Y126" s="354">
        <f>ABS(7.759*10^-3*Fsw^0.9458*(0.00787*Table1[[#This Row],[Ripple Current pk-pk]])^2.304)</f>
        <v>1.6811279742648246</v>
      </c>
      <c r="Z126" s="354">
        <f>Table1[[#This Row],[DCR    Loss]]+Table1[[#This Row],[Core Loss]]</f>
        <v>2.5933715607086176</v>
      </c>
      <c r="AA126" s="4">
        <f>IF(Table1[[#This Row],[Vin]]&gt;Vout, Table1[[#This Row],[Ripple Current pk-pk]]/SQRT(12), SQRT(Table1[[#This Row],[Duty Cycle BOOST Leg]]/(1-Table1[[#This Row],[Duty Cycle BOOST Leg]]))*SQRT(Table1[[#This Row],[Iout]]^2+(Table1[[#This Row],[Ripple Current pk-pk]]^2)/12))</f>
        <v>1.607990270118387</v>
      </c>
      <c r="AB126" s="354">
        <f>RCoutEsr*Table1[[#This Row],[Irms Cout]]^2</f>
        <v>1.2928163543977016E-2</v>
      </c>
      <c r="AC126" s="354">
        <f>Table1[[#This Row],[Cout ESR Loss]]</f>
        <v>1.2928163543977016E-2</v>
      </c>
      <c r="AD126" s="354">
        <f>IF(Table1[[#This Row],[Vin]]&gt;Vout, SQRT(Table1[[#This Row],[Duty Cycle BUCK Leg]]*(1-Table1[[#This Row],[Duty Cycle BUCK Leg]]))*SQRT(Table1[[#This Row],[Iout]]^2+(Table1[[#This Row],[Ripple Current pk-pk]]^2)/12), Table1[[#This Row],[Ripple Current pk-pk]]/SQRT(12))</f>
        <v>5.9436093923312239</v>
      </c>
      <c r="AE126" s="354">
        <f>RCinEsr*Table1[[#This Row],[Irms Cin]]^2</f>
        <v>7.0652985217215886E-2</v>
      </c>
      <c r="AF126" s="549">
        <f>Table1[[#This Row],[Cin ESR Loss]]</f>
        <v>7.0652985217215886E-2</v>
      </c>
      <c r="AG12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7.7060420343789149</v>
      </c>
      <c r="AH126" s="354">
        <f>Rdson1*Table1[[#This Row],[Irms BuCtrl]]^2</f>
        <v>0.24940895210958189</v>
      </c>
      <c r="AI126" s="354">
        <f>CHOOSE(Table1[[#This Row],[Mode Digit]], (Table1[[#This Row],[Vin]]*Table1[[#This Row],[Iout]]/2)*(Fsw)*(Tr_buck+Tf_buck), 0, (Table1[[#This Row],[Vin]]*Table1[[#This Row],[Avg IL]]/2)*(Fsw/1)*(Tr_buck+Tf_buck))</f>
        <v>4.3290891525560724</v>
      </c>
      <c r="AJ126">
        <f>IF(Table1[[#This Row],[Vin]]&gt;Vout, IF(Table1[[#This Row],[Iout]]&gt;Table1[[#This Row],[Ripple Current pk-pk]]/2,0,ABS(Table1[[#This Row],[Iout]]-Table1[[#This Row],[Ripple Current pk-pk]]/2)*Vsd_Q1*Deadtime*Fsw),0)</f>
        <v>0</v>
      </c>
      <c r="AK126" s="354">
        <f>(Table1[[#This Row],[Dead Time Loss BuCtrl]]+Table1[[#This Row],[Transition Loss BuCtrl]]+Table1[[#This Row],[RDS(on) Loss BuCtrl]]*(1+RdsonTopTc*Ta-RdsonTopTc*25))/(1-Table1[[#This Row],[RDS(on) Loss BuCtrl]]*RdsonTopTc*ThetaJA_Q1)</f>
        <v>4.8700077519060789</v>
      </c>
      <c r="AL126" s="354">
        <f>CHOOSE(Table1[[#This Row],[Mode Digit]],SQRT((Fsw*(Table1[[#This Row],[t2_Ph_I]]+0))*((Table1[[#This Row],[I_0]]*Table1[[#This Row],[I_1]]+((Table1[[#This Row],[I_0]]-Table1[[#This Row],[I_1]])^2)/3))),0,SQRT((Fsw*(Table1[[#This Row],[t3_Ph_III]]+0))*((Table1[[#This Row],[I_0]]*Table1[[#This Row],[I_2]]+((Table1[[#This Row],[I_0]]-Table1[[#This Row],[I_2]])^2)/3))))</f>
        <v>9.3382305001097858</v>
      </c>
      <c r="AM126" s="354">
        <f>Rdson2*Table1[[#This Row],[Irms BuSync]]^2</f>
        <v>0.36625070526735881</v>
      </c>
      <c r="AN12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26" s="354">
        <f>(Table1[[#This Row],[Deadtime Loss BuSync]]+Table1[[#This Row],[RDS(on) Loss BuSync]]*(1+RdsonBotTc*Ta-RdsonBotTc*25))/(1-Table1[[#This Row],[RDS(on) Loss BuSync]]*RdsonBotTc*ThetaJA_Q2)</f>
        <v>1.0345601457655385</v>
      </c>
      <c r="AP126" s="354">
        <f>CHOOSE(Table1[[#This Row],[Mode Digit]],0,SQRT((Fsw*(Table1[[#This Row],[t1_Ph_II]]+0))*((Table1[[#This Row],[I_0]]*Table1[[#This Row],[I_1]]+((Table1[[#This Row],[I_0]]-Table1[[#This Row],[I_1]])^2)/3))),SQRT((Fsw*(Table1[[#This Row],[t2_Ph_I]]+0))*((Table1[[#This Row],[I_1]]*Table1[[#This Row],[I_2]]+((Table1[[#This Row],[I_1]]-Table1[[#This Row],[I_2]])^2)/3))))</f>
        <v>0</v>
      </c>
      <c r="AQ126" s="354">
        <f>Rdson4*Table1[[#This Row],[Irms BoCtlr]]^2</f>
        <v>0</v>
      </c>
      <c r="AR126" s="354">
        <f>CHOOSE(Table1[[#This Row],[Mode Digit]], 0, (Vout*Table1[[#This Row],[Iin]]/2)*(Fsw)*(Tr_boost+Tf_boost), (Vout*Iout/2)*(Fsw/1)*(Tr_boost+Tf_boost))</f>
        <v>0</v>
      </c>
      <c r="AS126">
        <f>IF(Table1[[#This Row],[Vin]]&gt;Vout, 0, IF(Table1[[#This Row],[Iin]]&gt;Table1[[#This Row],[Ripple Current pk-pk]]/2,0,ABS(Table1[[#This Row],[Iin]]-Table1[[#This Row],[Ripple Current pk-pk]]/2)*Vsd_Q4*Deadtime*Fsw))</f>
        <v>0</v>
      </c>
      <c r="AT126" s="354">
        <f>(Table1[[#This Row],[Dead Time Loss BoCtlr]]+Table1[[#This Row],[Transition Loss BoCtlr]]+Table1[[#This Row],[RDS(on) Loss BoCtlr]]*(1+RdsonTopTc*Ta-RdsonTopTc*25))/(1-Table1[[#This Row],[RDS(on) Loss BoCtlr]]*RdsonTopTc*ThetaJA_Q4)</f>
        <v>0</v>
      </c>
      <c r="AU12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12.107255374724504</v>
      </c>
      <c r="AV126" s="354">
        <f>Rdson3*Table1[[#This Row],[Irms BoSync]]^2</f>
        <v>0.61565965737694073</v>
      </c>
      <c r="AW12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26" s="354">
        <f>(Table1[[#This Row],[Deadtime Loss BoSync]]+Table1[[#This Row],[RDS(on) Loss BoSync]]*(1+RdsonBotTc*Ta-RdsonBotTc*25))/(1-Table1[[#This Row],[RDS(on) Loss BoSync]]*RdsonBotTc*ThetaJA_Q3)</f>
        <v>0.72240031227564994</v>
      </c>
      <c r="AY126" s="354">
        <f>CHOOSE(Table1[[#This Row],[Mode Digit]], Rdson3*Table1[[#This Row],[Irms Lf]]^2, Rdson1*Table1[[#This Row],[Irms Lf]]^2, 0)</f>
        <v>0.61565965737694073</v>
      </c>
      <c r="AZ126" s="354">
        <f>CHOOSE(Table1[[#This Row],[Mode Digit]], 2*Deadtime*Fsw*IF(VfdSky_Q2&gt;0,VfdSky_Q2,0)*Table1[[#This Row],[Iout]], 2*Deadtime*Fsw*IF(VfdSky_Q3&gt;0,VfdSky_Q3,0)*Table1[[#This Row],[Iin]], 2*Deadtime*Fsw*IF(VfdSky_Q2&gt;0,VfdSky_Q2,0)*Table1[[#This Row],[Iout]]+2*Deadtime*Fsw*IF(VfdSky_Q3&gt;0,VfdSky_Q3,0)*Table1[[#This Row],[Iin]])</f>
        <v>0</v>
      </c>
      <c r="BA126" s="354">
        <f>CHOOSE(Table1[[#This Row],[Mode Digit]], IF(QrrSky_Q2&gt;0,QrrSky_Q2,Qrr_Q2)*Fsw*(Table1[[#This Row],[Vin]]-Table1[[#This Row],[Iout]]*Rdson1),0,  IF(QrrSky_Q2&gt;0,QrrSky_Q2,Qrr_Q2)*Fsw*(Table1[[#This Row],[Vin]]-Table1[[#This Row],[Iout]]*Rdson1)+IF(QrrSky_Q3&gt;0,QrrSky_Q3,Qrr_Q3)*Fsw*Vout)</f>
        <v>0.43595519999999993</v>
      </c>
      <c r="BB126" s="354">
        <f>CHOOSE(Table1[[#This Row],[Mode Digit]],0, IF(QrrSky_Q3&gt;0,QrrSky_Q3,Qrr_Q3)*Fsw*Vout,  IF(QrrSky_Q2&gt;0,QrrSky_Q2,Qrr_Q2)*Fsw*(Table1[[#This Row],[Vin]]-Table1[[#This Row],[Iout]]*Rdson1)+IF(QrrSky_Q3&gt;0,QrrSky_Q3,Qrr_Q3)*Fsw*Vout)</f>
        <v>0</v>
      </c>
      <c r="BC126" s="354">
        <f>CHOOSE(Table1[[#This Row],[Mode Digit]], Rs*Table1[[#This Row],[Irms BuSync]]^2, Rs*Table1[[#This Row],[Irms BoCtlr]]^2, Rs*(Table1[[#This Row],[Irms BuSync]]^2+Table1[[#This Row],[Irms BoCtlr]]^2))</f>
        <v>0.21800637218295166</v>
      </c>
      <c r="BD126" s="354">
        <f t="shared" si="5"/>
        <v>1.44</v>
      </c>
      <c r="BE126" s="354">
        <f>IF(Vout&gt;8, Iq*Vout, Iq*Table1[[#This Row],[Vin]])</f>
        <v>4.3799999999999999E-2</v>
      </c>
      <c r="BF126" s="354">
        <f>CHOOSE(Table1[[#This Row],[Mode Digit]], (Qg_Q1+Qg_Q2)*Fsw, (Qg_Q3+Qg_Q4)*Fsw, (Qg_Q1+Qg_Q2+Qg_Q3+Qg_Q4)*Fsw)*IF(Vout&gt;8, Vout, Table1[[#This Row],[Vin]])</f>
        <v>0.47303999999999996</v>
      </c>
      <c r="BG126" s="354">
        <f t="shared" si="6"/>
        <v>0.45605042016806729</v>
      </c>
      <c r="BH126" s="354">
        <f>Table1[[#This Row],[IQ Loss]]+Table1[[#This Row],[Switching Current Loss]]</f>
        <v>0.51683999999999997</v>
      </c>
      <c r="BI12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11.914722491600029</v>
      </c>
      <c r="BJ126">
        <f>Vout*Table1[[#This Row],[Iout]]</f>
        <v>175.2</v>
      </c>
      <c r="BK126" s="550">
        <f>Table1[[#This Row],[Pout]]/(Table1[[#This Row],[Pout]]+Table1[[#This Row],[Total Loss]])</f>
        <v>0.93632397102192266</v>
      </c>
      <c r="BL12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292.20046511436476</v>
      </c>
      <c r="BM126" s="559">
        <f>IF(Table1[[#This Row],[Vin]]&gt;Vout, Table1[[#This Row],[Total Sync Bu MOSFET Loss]]*ThetaJA_Q2, ThetaJA_Q3*Table1[[#This Row],[Total Sync Bo MOSFET Loss]])</f>
        <v>62.073608745932304</v>
      </c>
      <c r="BN126" s="9"/>
      <c r="BO126" s="4">
        <f>Table1[[#This Row],[EFF, h]]*100</f>
        <v>93.632397102192272</v>
      </c>
      <c r="BP126" s="354">
        <f>Table1[[#This Row],[Total Inductor Loss]]</f>
        <v>2.5933715607086176</v>
      </c>
      <c r="BQ126" s="354">
        <f>Table1[[#This Row],[Total Control Bu MOSFET Loss]]+Table1[[#This Row],[Total Sync Bu MOSFET Loss]]+Table1[[#This Row],[Total Control Bo MOSFET Loss]]+Table1[[#This Row],[Total Sync Bo MOSFET Loss]]+Table1[[#This Row],[Reverse Recovery Loss MOSFET D BUCK]]+Table1[[#This Row],[Reverse Recovery Loss MOSFET D BOOST]]</f>
        <v>7.0629234099472669</v>
      </c>
      <c r="BR126" s="354">
        <f>Table1[[#This Row],[Total Control Bu MOSFET Loss]]+Table1[[#This Row],[Reverse Recovery Loss MOSFET D BUCK]]*0.66</f>
        <v>5.157738183906079</v>
      </c>
      <c r="BS126" s="354">
        <f>Table1[[#This Row],[Total Sync Bu MOSFET Loss]]+Table1[[#This Row],[Reverse Recovery Loss MOSFET D BUCK]]*0.33</f>
        <v>1.1784253617655385</v>
      </c>
      <c r="BT126" s="354">
        <f xml:space="preserve"> Table1[[#This Row],[Total Control Bo MOSFET Loss]]+Table1[[#This Row],[Reverse Recovery Loss MOSFET D BOOST]]*0.66</f>
        <v>0</v>
      </c>
      <c r="BU126" s="354">
        <f xml:space="preserve"> Table1[[#This Row],[Total Sync Bo MOSFET Loss]]+Table1[[#This Row],[Reverse Recovery Loss MOSFET D BOOST]]*0.33</f>
        <v>0.72240031227564994</v>
      </c>
      <c r="BV126" s="354">
        <f>Table1[[#This Row],[Isense Shunt Loss]]</f>
        <v>0.21800637218295166</v>
      </c>
    </row>
    <row r="127" spans="7:74" x14ac:dyDescent="0.2">
      <c r="G127">
        <v>118</v>
      </c>
      <c r="H127" s="555">
        <f>VIN_min+(VIN_max-VIN_min)*(Table1[[#This Row],[Step]]/200)</f>
        <v>36.519999999999996</v>
      </c>
      <c r="I127" s="4" t="str">
        <f>IF(Mode = 2,IF(Table1[[#This Row],[Vin]]&gt;Vout, "BUCK","BOOST"),IF(Table1[[#This Row],[Vin]]&gt;VIN_BB_to_buck, "BUCK", IF(Table1[[#This Row],[Vin]]&lt;=VIN_boost_to_BB,"BOOST","BUCK-BST")))</f>
        <v>BUCK</v>
      </c>
      <c r="J127">
        <f>IF(Table1[[#This Row],[Mode]]="BOOST",2, IF(Table1[[#This Row],[Mode]]="BUCK", 1,3))</f>
        <v>1</v>
      </c>
      <c r="K127">
        <f t="shared" si="4"/>
        <v>12</v>
      </c>
      <c r="L127" s="4">
        <f>Vout*Table1[[#This Row],[Iout]]/(Table1[[#This Row],[Vin]]*Efficiency)</f>
        <v>5.049864529889895</v>
      </c>
      <c r="M127" s="711">
        <f>MIN(1/Fsw,CHOOSE(Table1[[#This Row],[Mode Digit]],(Vout+(Rdson2+Rs+Rdcr)*Table1[[#This Row],[Iout]])/(Table1[[#This Row],[Vin]]+(Rs+Rdson2-Rdson1)*Table1[[#This Row],[Iout]])/Fsw,(Vout+(Rdson3+Rdcr)*Table1[[#This Row],[Iin]]-Table1[[#This Row],[Vin]])/(Vout+(Rdson3-Rdson4-Rs)*Table1[[#This Row],[Iin]])/Fsw,t1_Ph_II))</f>
        <v>6.7259461924304604E-7</v>
      </c>
      <c r="N127" s="602">
        <f>CHOOSE(Table1[[#This Row],[Mode Digit]],1/Fsw-Table1[[#This Row],[t1_Ph_II]],1/Fsw-Table1[[#This Row],[t1_Ph_II]],(Vout/Fsw-Table1[[#This Row],[Vin]]*t1_Ph_II)/(Table1[[#This Row],[Vin]]+Vout))</f>
        <v>9.9407204742362052E-7</v>
      </c>
      <c r="O127" s="602">
        <f>1/Fsw-(Table1[[#This Row],[t1_Ph_II]]+Table1[[#This Row],[t2_Ph_I]])</f>
        <v>0</v>
      </c>
      <c r="P12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9.2077132473849304</v>
      </c>
      <c r="Q127" s="4">
        <f>CHOOSE(Table1[[#This Row],[Mode Digit]],Table1[[#This Row],[I_0]]+1/Lf*(Table1[[#This Row],[Vin]]-Vout)*Table1[[#This Row],[t1_Ph_II]],Table1[[#This Row],[I_0]]+1/Lf*Table1[[#This Row],[Vin]]*Table1[[#This Row],[t1_Ph_II]],Table1[[#This Row],[I_0]]+(Table1[[#This Row],[Vin]]-Vout)/L*Table1[[#This Row],[t1_Ph_II]])</f>
        <v>14.79228675261507</v>
      </c>
      <c r="R127" s="4">
        <f>CHOOSE(Table1[[#This Row],[Mode Digit]],0,0,Table1[[#This Row],[I_1]]+Table1[[#This Row],[Vin]]/L*Table1[[#This Row],[t2_Ph_I]])</f>
        <v>0</v>
      </c>
      <c r="S127" s="4">
        <f>Fsw*(Table1[[#This Row],[I_0]]*Table1[[#This Row],[t1_Ph_II]]+Table1[[#This Row],[I_1]]*Table1[[#This Row],[t2_Ph_I]]+Table1[[#This Row],[I_2]]*Table1[[#This Row],[t3_Ph_III]])</f>
        <v>12.538594298384027</v>
      </c>
      <c r="T127" s="354">
        <f>MIN(1,CHOOSE(Table1[[#This Row],[Mode Digit]],(Vout+(Rdson2+Rs+Rdcr)*Table1[[#This Row],[Iout]])/(Table1[[#This Row],[Vin]]+(Rs+Rdson2-Rdson1)*Table1[[#This Row],[Iout]]),1,Fsw*Table1[[#This Row],[t2_Ph_I]]+Table1[[#This Row],[t1_Ph_II]]))</f>
        <v>0.40355677154582764</v>
      </c>
      <c r="U127" s="354">
        <f>MIN(1,CHOOSE(Table1[[#This Row],[Mode Digit]],0,(Vout+(Rdson3+Rdcr)*Table1[[#This Row],[Iin]]-Table1[[#This Row],[Vin]])/(Vout+(Rdson3-Rdson4-Rs)*Table1[[#This Row],[Iin]]),Fsw*Table1[[#This Row],[t1_Ph_II]]+Table1[[#This Row],[t3_Ph_III]]))</f>
        <v>0</v>
      </c>
      <c r="V127" s="4">
        <f>MAX(Table1[[#This Row],[I_0]:[I_2]])-MIN(Table1[[#This Row],[I_0]:[I_1]])</f>
        <v>5.5845735052301393</v>
      </c>
      <c r="W12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12.107805544480106</v>
      </c>
      <c r="X127" s="354">
        <f>(Table1[[#This Row],[Irms Lf]]^2*Rdcr*(1+Ltc*Ta-Ltc*25))/(1-Table1[[#This Row],[Irms Lf]]^2*Rdcr*Ltc*ThetaCa)</f>
        <v>0.91233254669301422</v>
      </c>
      <c r="Y127" s="354">
        <f>ABS(7.759*10^-3*Fsw^0.9458*(0.00787*Table1[[#This Row],[Ripple Current pk-pk]])^2.304)</f>
        <v>1.6911104550599416</v>
      </c>
      <c r="Z127" s="354">
        <f>Table1[[#This Row],[DCR    Loss]]+Table1[[#This Row],[Core Loss]]</f>
        <v>2.603443001752956</v>
      </c>
      <c r="AA127" s="4">
        <f>IF(Table1[[#This Row],[Vin]]&gt;Vout, Table1[[#This Row],[Ripple Current pk-pk]]/SQRT(12), SQRT(Table1[[#This Row],[Duty Cycle BOOST Leg]]/(1-Table1[[#This Row],[Duty Cycle BOOST Leg]]))*SQRT(Table1[[#This Row],[Iout]]^2+(Table1[[#This Row],[Ripple Current pk-pk]]^2)/12))</f>
        <v>1.6121275082769366</v>
      </c>
      <c r="AB127" s="354">
        <f>RCoutEsr*Table1[[#This Row],[Irms Cout]]^2</f>
        <v>1.2994775514716022E-2</v>
      </c>
      <c r="AC127" s="354">
        <f>Table1[[#This Row],[Cout ESR Loss]]</f>
        <v>1.2994775514716022E-2</v>
      </c>
      <c r="AD127" s="354">
        <f>IF(Table1[[#This Row],[Vin]]&gt;Vout, SQRT(Table1[[#This Row],[Duty Cycle BUCK Leg]]*(1-Table1[[#This Row],[Duty Cycle BUCK Leg]]))*SQRT(Table1[[#This Row],[Iout]]^2+(Table1[[#This Row],[Ripple Current pk-pk]]^2)/12), Table1[[#This Row],[Ripple Current pk-pk]]/SQRT(12))</f>
        <v>5.940217037693424</v>
      </c>
      <c r="AE127" s="354">
        <f>RCinEsr*Table1[[#This Row],[Irms Cin]]^2</f>
        <v>7.0572356909806469E-2</v>
      </c>
      <c r="AF127" s="549">
        <f>Table1[[#This Row],[Cin ESR Loss]]</f>
        <v>7.0572356909806469E-2</v>
      </c>
      <c r="AG12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7.6916188824808192</v>
      </c>
      <c r="AH127" s="354">
        <f>Rdson1*Table1[[#This Row],[Irms BuCtrl]]^2</f>
        <v>0.24847620434000908</v>
      </c>
      <c r="AI127" s="354">
        <f>CHOOSE(Table1[[#This Row],[Mode Digit]], (Table1[[#This Row],[Vin]]*Table1[[#This Row],[Iout]]/2)*(Fsw)*(Tr_buck+Tf_buck), 0, (Table1[[#This Row],[Vin]]*Table1[[#This Row],[Avg IL]]/2)*(Fsw/1)*(Tr_buck+Tf_buck))</f>
        <v>4.3457486490200044</v>
      </c>
      <c r="AJ127">
        <f>IF(Table1[[#This Row],[Vin]]&gt;Vout, IF(Table1[[#This Row],[Iout]]&gt;Table1[[#This Row],[Ripple Current pk-pk]]/2,0,ABS(Table1[[#This Row],[Iout]]-Table1[[#This Row],[Ripple Current pk-pk]]/2)*Vsd_Q1*Deadtime*Fsw),0)</f>
        <v>0</v>
      </c>
      <c r="AK127" s="354">
        <f>(Table1[[#This Row],[Dead Time Loss BuCtrl]]+Table1[[#This Row],[Transition Loss BuCtrl]]+Table1[[#This Row],[RDS(on) Loss BuCtrl]]*(1+RdsonTopTc*Ta-RdsonTopTc*25))/(1-Table1[[#This Row],[RDS(on) Loss BuCtrl]]*RdsonTopTc*ThetaJA_Q1)</f>
        <v>4.8855724957024345</v>
      </c>
      <c r="AL127" s="354">
        <f>CHOOSE(Table1[[#This Row],[Mode Digit]],SQRT((Fsw*(Table1[[#This Row],[t2_Ph_I]]+0))*((Table1[[#This Row],[I_0]]*Table1[[#This Row],[I_1]]+((Table1[[#This Row],[I_0]]-Table1[[#This Row],[I_1]])^2)/3))),0,SQRT((Fsw*(Table1[[#This Row],[t3_Ph_III]]+0))*((Table1[[#This Row],[I_0]]*Table1[[#This Row],[I_2]]+((Table1[[#This Row],[I_0]]-Table1[[#This Row],[I_2]])^2)/3))))</f>
        <v>9.3508263843153294</v>
      </c>
      <c r="AM127" s="354">
        <f>Rdson2*Table1[[#This Row],[Irms BuSync]]^2</f>
        <v>0.36723940709235237</v>
      </c>
      <c r="AN12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27" s="354">
        <f>(Table1[[#This Row],[Deadtime Loss BuSync]]+Table1[[#This Row],[RDS(on) Loss BuSync]]*(1+RdsonBotTc*Ta-RdsonBotTc*25))/(1-Table1[[#This Row],[RDS(on) Loss BuSync]]*RdsonBotTc*ThetaJA_Q2)</f>
        <v>1.0359136293540712</v>
      </c>
      <c r="AP127" s="354">
        <f>CHOOSE(Table1[[#This Row],[Mode Digit]],0,SQRT((Fsw*(Table1[[#This Row],[t1_Ph_II]]+0))*((Table1[[#This Row],[I_0]]*Table1[[#This Row],[I_1]]+((Table1[[#This Row],[I_0]]-Table1[[#This Row],[I_1]])^2)/3))),SQRT((Fsw*(Table1[[#This Row],[t2_Ph_I]]+0))*((Table1[[#This Row],[I_1]]*Table1[[#This Row],[I_2]]+((Table1[[#This Row],[I_1]]-Table1[[#This Row],[I_2]])^2)/3))))</f>
        <v>0</v>
      </c>
      <c r="AQ127" s="354">
        <f>Rdson4*Table1[[#This Row],[Irms BoCtlr]]^2</f>
        <v>0</v>
      </c>
      <c r="AR127" s="354">
        <f>CHOOSE(Table1[[#This Row],[Mode Digit]], 0, (Vout*Table1[[#This Row],[Iin]]/2)*(Fsw)*(Tr_boost+Tf_boost), (Vout*Iout/2)*(Fsw/1)*(Tr_boost+Tf_boost))</f>
        <v>0</v>
      </c>
      <c r="AS127">
        <f>IF(Table1[[#This Row],[Vin]]&gt;Vout, 0, IF(Table1[[#This Row],[Iin]]&gt;Table1[[#This Row],[Ripple Current pk-pk]]/2,0,ABS(Table1[[#This Row],[Iin]]-Table1[[#This Row],[Ripple Current pk-pk]]/2)*Vsd_Q4*Deadtime*Fsw))</f>
        <v>0</v>
      </c>
      <c r="AT127" s="354">
        <f>(Table1[[#This Row],[Dead Time Loss BoCtlr]]+Table1[[#This Row],[Transition Loss BoCtlr]]+Table1[[#This Row],[RDS(on) Loss BoCtlr]]*(1+RdsonTopTc*Ta-RdsonTopTc*25))/(1-Table1[[#This Row],[RDS(on) Loss BoCtlr]]*RdsonTopTc*ThetaJA_Q4)</f>
        <v>0</v>
      </c>
      <c r="AU12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12.107805544480106</v>
      </c>
      <c r="AV127" s="354">
        <f>Rdson3*Table1[[#This Row],[Irms BoSync]]^2</f>
        <v>0.61571561143236153</v>
      </c>
      <c r="AW12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27" s="354">
        <f>(Table1[[#This Row],[Deadtime Loss BoSync]]+Table1[[#This Row],[RDS(on) Loss BoSync]]*(1+RdsonBotTc*Ta-RdsonBotTc*25))/(1-Table1[[#This Row],[RDS(on) Loss BoSync]]*RdsonBotTc*ThetaJA_Q3)</f>
        <v>0.72247735167169913</v>
      </c>
      <c r="AY127" s="354">
        <f>CHOOSE(Table1[[#This Row],[Mode Digit]], Rdson3*Table1[[#This Row],[Irms Lf]]^2, Rdson1*Table1[[#This Row],[Irms Lf]]^2, 0)</f>
        <v>0.61571561143236153</v>
      </c>
      <c r="AZ127" s="354">
        <f>CHOOSE(Table1[[#This Row],[Mode Digit]], 2*Deadtime*Fsw*IF(VfdSky_Q2&gt;0,VfdSky_Q2,0)*Table1[[#This Row],[Iout]], 2*Deadtime*Fsw*IF(VfdSky_Q3&gt;0,VfdSky_Q3,0)*Table1[[#This Row],[Iin]], 2*Deadtime*Fsw*IF(VfdSky_Q2&gt;0,VfdSky_Q2,0)*Table1[[#This Row],[Iout]]+2*Deadtime*Fsw*IF(VfdSky_Q3&gt;0,VfdSky_Q3,0)*Table1[[#This Row],[Iin]])</f>
        <v>0</v>
      </c>
      <c r="BA127" s="354">
        <f>CHOOSE(Table1[[#This Row],[Mode Digit]], IF(QrrSky_Q2&gt;0,QrrSky_Q2,Qrr_Q2)*Fsw*(Table1[[#This Row],[Vin]]-Table1[[#This Row],[Iout]]*Rdson1),0,  IF(QrrSky_Q2&gt;0,QrrSky_Q2,Qrr_Q2)*Fsw*(Table1[[#This Row],[Vin]]-Table1[[#This Row],[Iout]]*Rdson1)+IF(QrrSky_Q3&gt;0,QrrSky_Q3,Qrr_Q3)*Fsw*Vout)</f>
        <v>0.43763519999999995</v>
      </c>
      <c r="BB127" s="354">
        <f>CHOOSE(Table1[[#This Row],[Mode Digit]],0, IF(QrrSky_Q3&gt;0,QrrSky_Q3,Qrr_Q3)*Fsw*Vout,  IF(QrrSky_Q2&gt;0,QrrSky_Q2,Qrr_Q2)*Fsw*(Table1[[#This Row],[Vin]]-Table1[[#This Row],[Iout]]*Rdson1)+IF(QrrSky_Q3&gt;0,QrrSky_Q3,Qrr_Q3)*Fsw*Vout)</f>
        <v>0</v>
      </c>
      <c r="BC127" s="354">
        <f>CHOOSE(Table1[[#This Row],[Mode Digit]], Rs*Table1[[#This Row],[Irms BuSync]]^2, Rs*Table1[[#This Row],[Irms BoCtlr]]^2, Rs*(Table1[[#This Row],[Irms BuSync]]^2+Table1[[#This Row],[Irms BoCtlr]]^2))</f>
        <v>0.21859488517401926</v>
      </c>
      <c r="BD127" s="354">
        <f t="shared" si="5"/>
        <v>1.44</v>
      </c>
      <c r="BE127" s="354">
        <f>IF(Vout&gt;8, Iq*Vout, Iq*Table1[[#This Row],[Vin]])</f>
        <v>4.3799999999999999E-2</v>
      </c>
      <c r="BF127" s="354">
        <f>CHOOSE(Table1[[#This Row],[Mode Digit]], (Qg_Q1+Qg_Q2)*Fsw, (Qg_Q3+Qg_Q4)*Fsw, (Qg_Q1+Qg_Q2+Qg_Q3+Qg_Q4)*Fsw)*IF(Vout&gt;8, Vout, Table1[[#This Row],[Vin]])</f>
        <v>0.47303999999999996</v>
      </c>
      <c r="BG127" s="354">
        <f t="shared" si="6"/>
        <v>0.45605042016806729</v>
      </c>
      <c r="BH127" s="354">
        <f>Table1[[#This Row],[IQ Loss]]+Table1[[#This Row],[Switching Current Loss]]</f>
        <v>0.51683999999999997</v>
      </c>
      <c r="BI12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11.944043696079703</v>
      </c>
      <c r="BJ127">
        <f>Vout*Table1[[#This Row],[Iout]]</f>
        <v>175.2</v>
      </c>
      <c r="BK127" s="550">
        <f>Table1[[#This Row],[Pout]]/(Table1[[#This Row],[Pout]]+Table1[[#This Row],[Total Loss]])</f>
        <v>0.93617727040526755</v>
      </c>
      <c r="BL12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293.13434974214607</v>
      </c>
      <c r="BM127" s="559">
        <f>IF(Table1[[#This Row],[Vin]]&gt;Vout, Table1[[#This Row],[Total Sync Bu MOSFET Loss]]*ThetaJA_Q2, ThetaJA_Q3*Table1[[#This Row],[Total Sync Bo MOSFET Loss]])</f>
        <v>62.154817761244267</v>
      </c>
      <c r="BN127" s="9"/>
      <c r="BO127" s="4">
        <f>Table1[[#This Row],[EFF, h]]*100</f>
        <v>93.617727040526759</v>
      </c>
      <c r="BP127" s="354">
        <f>Table1[[#This Row],[Total Inductor Loss]]</f>
        <v>2.603443001752956</v>
      </c>
      <c r="BQ127" s="354">
        <f>Table1[[#This Row],[Total Control Bu MOSFET Loss]]+Table1[[#This Row],[Total Sync Bu MOSFET Loss]]+Table1[[#This Row],[Total Control Bo MOSFET Loss]]+Table1[[#This Row],[Total Sync Bo MOSFET Loss]]+Table1[[#This Row],[Reverse Recovery Loss MOSFET D BUCK]]+Table1[[#This Row],[Reverse Recovery Loss MOSFET D BOOST]]</f>
        <v>7.0815986767282046</v>
      </c>
      <c r="BR127" s="354">
        <f>Table1[[#This Row],[Total Control Bu MOSFET Loss]]+Table1[[#This Row],[Reverse Recovery Loss MOSFET D BUCK]]*0.66</f>
        <v>5.1744117277024344</v>
      </c>
      <c r="BS127" s="354">
        <f>Table1[[#This Row],[Total Sync Bu MOSFET Loss]]+Table1[[#This Row],[Reverse Recovery Loss MOSFET D BUCK]]*0.33</f>
        <v>1.1803332453540711</v>
      </c>
      <c r="BT127" s="354">
        <f xml:space="preserve"> Table1[[#This Row],[Total Control Bo MOSFET Loss]]+Table1[[#This Row],[Reverse Recovery Loss MOSFET D BOOST]]*0.66</f>
        <v>0</v>
      </c>
      <c r="BU127" s="354">
        <f xml:space="preserve"> Table1[[#This Row],[Total Sync Bo MOSFET Loss]]+Table1[[#This Row],[Reverse Recovery Loss MOSFET D BOOST]]*0.33</f>
        <v>0.72247735167169913</v>
      </c>
      <c r="BV127" s="354">
        <f>Table1[[#This Row],[Isense Shunt Loss]]</f>
        <v>0.21859488517401926</v>
      </c>
    </row>
    <row r="128" spans="7:74" x14ac:dyDescent="0.2">
      <c r="G128">
        <v>119</v>
      </c>
      <c r="H128" s="555">
        <f>VIN_min+(VIN_max-VIN_min)*(Table1[[#This Row],[Step]]/200)</f>
        <v>36.659999999999997</v>
      </c>
      <c r="I128" s="4" t="str">
        <f>IF(Mode = 2,IF(Table1[[#This Row],[Vin]]&gt;Vout, "BUCK","BOOST"),IF(Table1[[#This Row],[Vin]]&gt;VIN_BB_to_buck, "BUCK", IF(Table1[[#This Row],[Vin]]&lt;=VIN_boost_to_BB,"BOOST","BUCK-BST")))</f>
        <v>BUCK</v>
      </c>
      <c r="J128">
        <f>IF(Table1[[#This Row],[Mode]]="BOOST",2, IF(Table1[[#This Row],[Mode]]="BUCK", 1,3))</f>
        <v>1</v>
      </c>
      <c r="K128">
        <f t="shared" si="4"/>
        <v>12</v>
      </c>
      <c r="L128" s="4">
        <f>Vout*Table1[[#This Row],[Iout]]/(Table1[[#This Row],[Vin]]*Efficiency)</f>
        <v>5.0305797226289943</v>
      </c>
      <c r="M128" s="711">
        <f>MIN(1/Fsw,CHOOSE(Table1[[#This Row],[Mode Digit]],(Vout+(Rdson2+Rs+Rdcr)*Table1[[#This Row],[Iout]])/(Table1[[#This Row],[Vin]]+(Rs+Rdson2-Rdson1)*Table1[[#This Row],[Iout]])/Fsw,(Vout+(Rdson3+Rdcr)*Table1[[#This Row],[Iin]]-Table1[[#This Row],[Vin]])/(Vout+(Rdson3-Rdson4-Rs)*Table1[[#This Row],[Iin]])/Fsw,t1_Ph_II))</f>
        <v>6.7002816389570275E-7</v>
      </c>
      <c r="N128" s="602">
        <f>CHOOSE(Table1[[#This Row],[Mode Digit]],1/Fsw-Table1[[#This Row],[t1_Ph_II]],1/Fsw-Table1[[#This Row],[t1_Ph_II]],(Vout/Fsw-Table1[[#This Row],[Vin]]*t1_Ph_II)/(Table1[[#This Row],[Vin]]+Vout))</f>
        <v>9.9663850277096391E-7</v>
      </c>
      <c r="O128" s="602">
        <f>1/Fsw-(Table1[[#This Row],[t1_Ph_II]]+Table1[[#This Row],[t2_Ph_I]])</f>
        <v>0</v>
      </c>
      <c r="P12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9.2006020273600004</v>
      </c>
      <c r="Q128" s="4">
        <f>CHOOSE(Table1[[#This Row],[Mode Digit]],Table1[[#This Row],[I_0]]+1/Lf*(Table1[[#This Row],[Vin]]-Vout)*Table1[[#This Row],[t1_Ph_II]],Table1[[#This Row],[I_0]]+1/Lf*Table1[[#This Row],[Vin]]*Table1[[#This Row],[t1_Ph_II]],Table1[[#This Row],[I_0]]+(Table1[[#This Row],[Vin]]-Vout)/L*Table1[[#This Row],[t1_Ph_II]])</f>
        <v>14.799397972640001</v>
      </c>
      <c r="R128" s="4">
        <f>CHOOSE(Table1[[#This Row],[Mode Digit]],0,0,Table1[[#This Row],[I_1]]+Table1[[#This Row],[Vin]]/L*Table1[[#This Row],[t2_Ph_I]])</f>
        <v>0</v>
      </c>
      <c r="S128" s="4">
        <f>Fsw*(Table1[[#This Row],[I_0]]*Table1[[#This Row],[t1_Ph_II]]+Table1[[#This Row],[I_1]]*Table1[[#This Row],[t2_Ph_I]]+Table1[[#This Row],[I_2]]*Table1[[#This Row],[t3_Ph_III]])</f>
        <v>12.548587392294403</v>
      </c>
      <c r="T128" s="354">
        <f>MIN(1,CHOOSE(Table1[[#This Row],[Mode Digit]],(Vout+(Rdson2+Rs+Rdcr)*Table1[[#This Row],[Iout]])/(Table1[[#This Row],[Vin]]+(Rs+Rdson2-Rdson1)*Table1[[#This Row],[Iout]]),1,Fsw*Table1[[#This Row],[t2_Ph_I]]+Table1[[#This Row],[t1_Ph_II]]))</f>
        <v>0.40201689833742166</v>
      </c>
      <c r="U128" s="354">
        <f>MIN(1,CHOOSE(Table1[[#This Row],[Mode Digit]],0,(Vout+(Rdson3+Rdcr)*Table1[[#This Row],[Iin]]-Table1[[#This Row],[Vin]])/(Vout+(Rdson3-Rdson4-Rs)*Table1[[#This Row],[Iin]]),Fsw*Table1[[#This Row],[t1_Ph_II]]+Table1[[#This Row],[t3_Ph_III]]))</f>
        <v>0</v>
      </c>
      <c r="V128" s="4">
        <f>MAX(Table1[[#This Row],[I_0]:[I_2]])-MIN(Table1[[#This Row],[I_0]:[I_1]])</f>
        <v>5.5987959452800009</v>
      </c>
      <c r="W12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12.108352888388261</v>
      </c>
      <c r="X128" s="354">
        <f>(Table1[[#This Row],[Irms Lf]]^2*Rdcr*(1+Ltc*Ta-Ltc*25))/(1-Table1[[#This Row],[Irms Lf]]^2*Rdcr*Ltc*ThetaCa)</f>
        <v>0.91242105519640926</v>
      </c>
      <c r="Y128" s="354">
        <f>ABS(7.759*10^-3*Fsw^0.9458*(0.00787*Table1[[#This Row],[Ripple Current pk-pk]])^2.304)</f>
        <v>1.7010498345211906</v>
      </c>
      <c r="Z128" s="354">
        <f>Table1[[#This Row],[DCR    Loss]]+Table1[[#This Row],[Core Loss]]</f>
        <v>2.6134708897176</v>
      </c>
      <c r="AA128" s="4">
        <f>IF(Table1[[#This Row],[Vin]]&gt;Vout, Table1[[#This Row],[Ripple Current pk-pk]]/SQRT(12), SQRT(Table1[[#This Row],[Duty Cycle BOOST Leg]]/(1-Table1[[#This Row],[Duty Cycle BOOST Leg]]))*SQRT(Table1[[#This Row],[Iout]]^2+(Table1[[#This Row],[Ripple Current pk-pk]]^2)/12))</f>
        <v>1.616233173072597</v>
      </c>
      <c r="AB128" s="354">
        <f>RCoutEsr*Table1[[#This Row],[Irms Cout]]^2</f>
        <v>1.3061048348701577E-2</v>
      </c>
      <c r="AC128" s="354">
        <f>Table1[[#This Row],[Cout ESR Loss]]</f>
        <v>1.3061048348701577E-2</v>
      </c>
      <c r="AD128" s="354">
        <f>IF(Table1[[#This Row],[Vin]]&gt;Vout, SQRT(Table1[[#This Row],[Duty Cycle BUCK Leg]]*(1-Table1[[#This Row],[Duty Cycle BUCK Leg]]))*SQRT(Table1[[#This Row],[Iout]]^2+(Table1[[#This Row],[Ripple Current pk-pk]]^2)/12), Table1[[#This Row],[Ripple Current pk-pk]]/SQRT(12))</f>
        <v>5.9367898989612797</v>
      </c>
      <c r="AE128" s="354">
        <f>RCinEsr*Table1[[#This Row],[Irms Cin]]^2</f>
        <v>7.0490948608817369E-2</v>
      </c>
      <c r="AF128" s="549">
        <f>Table1[[#This Row],[Cin ESR Loss]]</f>
        <v>7.0490948608817369E-2</v>
      </c>
      <c r="AG12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7.6772772380463605</v>
      </c>
      <c r="AH128" s="354">
        <f>Rdson1*Table1[[#This Row],[Irms BuCtrl]]^2</f>
        <v>0.24755046031726399</v>
      </c>
      <c r="AI128" s="354">
        <f>CHOOSE(Table1[[#This Row],[Mode Digit]], (Table1[[#This Row],[Vin]]*Table1[[#This Row],[Iout]]/2)*(Fsw)*(Tr_buck+Tf_buck), 0, (Table1[[#This Row],[Vin]]*Table1[[#This Row],[Avg IL]]/2)*(Fsw/1)*(Tr_buck+Tf_buck))</f>
        <v>4.3624081454839363</v>
      </c>
      <c r="AJ128">
        <f>IF(Table1[[#This Row],[Vin]]&gt;Vout, IF(Table1[[#This Row],[Iout]]&gt;Table1[[#This Row],[Ripple Current pk-pk]]/2,0,ABS(Table1[[#This Row],[Iout]]-Table1[[#This Row],[Ripple Current pk-pk]]/2)*Vsd_Q1*Deadtime*Fsw),0)</f>
        <v>0</v>
      </c>
      <c r="AK128" s="354">
        <f>(Table1[[#This Row],[Dead Time Loss BuCtrl]]+Table1[[#This Row],[Transition Loss BuCtrl]]+Table1[[#This Row],[RDS(on) Loss BuCtrl]]*(1+RdsonTopTc*Ta-RdsonTopTc*25))/(1-Table1[[#This Row],[RDS(on) Loss BuCtrl]]*RdsonTopTc*ThetaJA_Q1)</f>
        <v>4.9011460355234302</v>
      </c>
      <c r="AL128" s="354">
        <f>CHOOSE(Table1[[#This Row],[Mode Digit]],SQRT((Fsw*(Table1[[#This Row],[t2_Ph_I]]+0))*((Table1[[#This Row],[I_0]]*Table1[[#This Row],[I_1]]+((Table1[[#This Row],[I_0]]-Table1[[#This Row],[I_1]])^2)/3))),0,SQRT((Fsw*(Table1[[#This Row],[t3_Ph_III]]+0))*((Table1[[#This Row],[I_0]]*Table1[[#This Row],[I_2]]+((Table1[[#This Row],[I_0]]-Table1[[#This Row],[I_2]])^2)/3))))</f>
        <v>9.3633126552473733</v>
      </c>
      <c r="AM128" s="354">
        <f>Rdson2*Table1[[#This Row],[Irms BuSync]]^2</f>
        <v>0.36822082029564562</v>
      </c>
      <c r="AN12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28" s="354">
        <f>(Table1[[#This Row],[Deadtime Loss BuSync]]+Table1[[#This Row],[RDS(on) Loss BuSync]]*(1+RdsonBotTc*Ta-RdsonBotTc*25))/(1-Table1[[#This Row],[RDS(on) Loss BuSync]]*RdsonBotTc*ThetaJA_Q2)</f>
        <v>1.0372578320096353</v>
      </c>
      <c r="AP128" s="354">
        <f>CHOOSE(Table1[[#This Row],[Mode Digit]],0,SQRT((Fsw*(Table1[[#This Row],[t1_Ph_II]]+0))*((Table1[[#This Row],[I_0]]*Table1[[#This Row],[I_1]]+((Table1[[#This Row],[I_0]]-Table1[[#This Row],[I_1]])^2)/3))),SQRT((Fsw*(Table1[[#This Row],[t2_Ph_I]]+0))*((Table1[[#This Row],[I_1]]*Table1[[#This Row],[I_2]]+((Table1[[#This Row],[I_1]]-Table1[[#This Row],[I_2]])^2)/3))))</f>
        <v>0</v>
      </c>
      <c r="AQ128" s="354">
        <f>Rdson4*Table1[[#This Row],[Irms BoCtlr]]^2</f>
        <v>0</v>
      </c>
      <c r="AR128" s="354">
        <f>CHOOSE(Table1[[#This Row],[Mode Digit]], 0, (Vout*Table1[[#This Row],[Iin]]/2)*(Fsw)*(Tr_boost+Tf_boost), (Vout*Iout/2)*(Fsw/1)*(Tr_boost+Tf_boost))</f>
        <v>0</v>
      </c>
      <c r="AS128">
        <f>IF(Table1[[#This Row],[Vin]]&gt;Vout, 0, IF(Table1[[#This Row],[Iin]]&gt;Table1[[#This Row],[Ripple Current pk-pk]]/2,0,ABS(Table1[[#This Row],[Iin]]-Table1[[#This Row],[Ripple Current pk-pk]]/2)*Vsd_Q4*Deadtime*Fsw))</f>
        <v>0</v>
      </c>
      <c r="AT128" s="354">
        <f>(Table1[[#This Row],[Dead Time Loss BoCtlr]]+Table1[[#This Row],[Transition Loss BoCtlr]]+Table1[[#This Row],[RDS(on) Loss BoCtlr]]*(1+RdsonTopTc*Ta-RdsonTopTc*25))/(1-Table1[[#This Row],[RDS(on) Loss BoCtlr]]*RdsonTopTc*ThetaJA_Q4)</f>
        <v>0</v>
      </c>
      <c r="AU12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12.108352888388261</v>
      </c>
      <c r="AV128" s="354">
        <f>Rdson3*Table1[[#This Row],[Irms BoSync]]^2</f>
        <v>0.61577128061290953</v>
      </c>
      <c r="AW12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28" s="354">
        <f>(Table1[[#This Row],[Deadtime Loss BoSync]]+Table1[[#This Row],[RDS(on) Loss BoSync]]*(1+RdsonBotTc*Ta-RdsonBotTc*25))/(1-Table1[[#This Row],[RDS(on) Loss BoSync]]*RdsonBotTc*ThetaJA_Q3)</f>
        <v>0.72255400125201374</v>
      </c>
      <c r="AY128" s="354">
        <f>CHOOSE(Table1[[#This Row],[Mode Digit]], Rdson3*Table1[[#This Row],[Irms Lf]]^2, Rdson1*Table1[[#This Row],[Irms Lf]]^2, 0)</f>
        <v>0.61577128061290953</v>
      </c>
      <c r="AZ128" s="354">
        <f>CHOOSE(Table1[[#This Row],[Mode Digit]], 2*Deadtime*Fsw*IF(VfdSky_Q2&gt;0,VfdSky_Q2,0)*Table1[[#This Row],[Iout]], 2*Deadtime*Fsw*IF(VfdSky_Q3&gt;0,VfdSky_Q3,0)*Table1[[#This Row],[Iin]], 2*Deadtime*Fsw*IF(VfdSky_Q2&gt;0,VfdSky_Q2,0)*Table1[[#This Row],[Iout]]+2*Deadtime*Fsw*IF(VfdSky_Q3&gt;0,VfdSky_Q3,0)*Table1[[#This Row],[Iin]])</f>
        <v>0</v>
      </c>
      <c r="BA128" s="354">
        <f>CHOOSE(Table1[[#This Row],[Mode Digit]], IF(QrrSky_Q2&gt;0,QrrSky_Q2,Qrr_Q2)*Fsw*(Table1[[#This Row],[Vin]]-Table1[[#This Row],[Iout]]*Rdson1),0,  IF(QrrSky_Q2&gt;0,QrrSky_Q2,Qrr_Q2)*Fsw*(Table1[[#This Row],[Vin]]-Table1[[#This Row],[Iout]]*Rdson1)+IF(QrrSky_Q3&gt;0,QrrSky_Q3,Qrr_Q3)*Fsw*Vout)</f>
        <v>0.43931519999999991</v>
      </c>
      <c r="BB128" s="354">
        <f>CHOOSE(Table1[[#This Row],[Mode Digit]],0, IF(QrrSky_Q3&gt;0,QrrSky_Q3,Qrr_Q3)*Fsw*Vout,  IF(QrrSky_Q2&gt;0,QrrSky_Q2,Qrr_Q2)*Fsw*(Table1[[#This Row],[Vin]]-Table1[[#This Row],[Iout]]*Rdson1)+IF(QrrSky_Q3&gt;0,QrrSky_Q3,Qrr_Q3)*Fsw*Vout)</f>
        <v>0</v>
      </c>
      <c r="BC128" s="354">
        <f>CHOOSE(Table1[[#This Row],[Mode Digit]], Rs*Table1[[#This Row],[Irms BuSync]]^2, Rs*Table1[[#This Row],[Irms BoCtlr]]^2, Rs*(Table1[[#This Row],[Irms BuSync]]^2+Table1[[#This Row],[Irms BoCtlr]]^2))</f>
        <v>0.21917905969978904</v>
      </c>
      <c r="BD128" s="354">
        <f t="shared" si="5"/>
        <v>1.44</v>
      </c>
      <c r="BE128" s="354">
        <f>IF(Vout&gt;8, Iq*Vout, Iq*Table1[[#This Row],[Vin]])</f>
        <v>4.3799999999999999E-2</v>
      </c>
      <c r="BF128" s="354">
        <f>CHOOSE(Table1[[#This Row],[Mode Digit]], (Qg_Q1+Qg_Q2)*Fsw, (Qg_Q3+Qg_Q4)*Fsw, (Qg_Q1+Qg_Q2+Qg_Q3+Qg_Q4)*Fsw)*IF(Vout&gt;8, Vout, Table1[[#This Row],[Vin]])</f>
        <v>0.47303999999999996</v>
      </c>
      <c r="BG128" s="354">
        <f t="shared" si="6"/>
        <v>0.45605042016806729</v>
      </c>
      <c r="BH128" s="354">
        <f>Table1[[#This Row],[IQ Loss]]+Table1[[#This Row],[Switching Current Loss]]</f>
        <v>0.51683999999999997</v>
      </c>
      <c r="BI12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11.973315015159987</v>
      </c>
      <c r="BJ128">
        <f>Vout*Table1[[#This Row],[Iout]]</f>
        <v>175.2</v>
      </c>
      <c r="BK128" s="550">
        <f>Table1[[#This Row],[Pout]]/(Table1[[#This Row],[Pout]]+Table1[[#This Row],[Total Loss]])</f>
        <v>0.93603086522141143</v>
      </c>
      <c r="BL12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294.06876213140583</v>
      </c>
      <c r="BM128" s="559">
        <f>IF(Table1[[#This Row],[Vin]]&gt;Vout, Table1[[#This Row],[Total Sync Bu MOSFET Loss]]*ThetaJA_Q2, ThetaJA_Q3*Table1[[#This Row],[Total Sync Bo MOSFET Loss]])</f>
        <v>62.235469920578119</v>
      </c>
      <c r="BN128" s="9"/>
      <c r="BO128" s="4">
        <f>Table1[[#This Row],[EFF, h]]*100</f>
        <v>93.60308652214114</v>
      </c>
      <c r="BP128" s="354">
        <f>Table1[[#This Row],[Total Inductor Loss]]</f>
        <v>2.6134708897176</v>
      </c>
      <c r="BQ128" s="354">
        <f>Table1[[#This Row],[Total Control Bu MOSFET Loss]]+Table1[[#This Row],[Total Sync Bu MOSFET Loss]]+Table1[[#This Row],[Total Control Bo MOSFET Loss]]+Table1[[#This Row],[Total Sync Bo MOSFET Loss]]+Table1[[#This Row],[Reverse Recovery Loss MOSFET D BUCK]]+Table1[[#This Row],[Reverse Recovery Loss MOSFET D BOOST]]</f>
        <v>7.1002730687850795</v>
      </c>
      <c r="BR128" s="354">
        <f>Table1[[#This Row],[Total Control Bu MOSFET Loss]]+Table1[[#This Row],[Reverse Recovery Loss MOSFET D BUCK]]*0.66</f>
        <v>5.1910940675234301</v>
      </c>
      <c r="BS128" s="354">
        <f>Table1[[#This Row],[Total Sync Bu MOSFET Loss]]+Table1[[#This Row],[Reverse Recovery Loss MOSFET D BUCK]]*0.33</f>
        <v>1.1822318480096352</v>
      </c>
      <c r="BT128" s="354">
        <f xml:space="preserve"> Table1[[#This Row],[Total Control Bo MOSFET Loss]]+Table1[[#This Row],[Reverse Recovery Loss MOSFET D BOOST]]*0.66</f>
        <v>0</v>
      </c>
      <c r="BU128" s="354">
        <f xml:space="preserve"> Table1[[#This Row],[Total Sync Bo MOSFET Loss]]+Table1[[#This Row],[Reverse Recovery Loss MOSFET D BOOST]]*0.33</f>
        <v>0.72255400125201374</v>
      </c>
      <c r="BV128" s="354">
        <f>Table1[[#This Row],[Isense Shunt Loss]]</f>
        <v>0.21917905969978904</v>
      </c>
    </row>
    <row r="129" spans="7:74" x14ac:dyDescent="0.2">
      <c r="G129">
        <v>120</v>
      </c>
      <c r="H129" s="555">
        <f>VIN_min+(VIN_max-VIN_min)*(Table1[[#This Row],[Step]]/200)</f>
        <v>36.799999999999997</v>
      </c>
      <c r="I129" s="4" t="str">
        <f>IF(Mode = 2,IF(Table1[[#This Row],[Vin]]&gt;Vout, "BUCK","BOOST"),IF(Table1[[#This Row],[Vin]]&gt;VIN_BB_to_buck, "BUCK", IF(Table1[[#This Row],[Vin]]&lt;=VIN_boost_to_BB,"BOOST","BUCK-BST")))</f>
        <v>BUCK</v>
      </c>
      <c r="J129">
        <f>IF(Table1[[#This Row],[Mode]]="BOOST",2, IF(Table1[[#This Row],[Mode]]="BUCK", 1,3))</f>
        <v>1</v>
      </c>
      <c r="K129">
        <f t="shared" si="4"/>
        <v>12</v>
      </c>
      <c r="L129" s="4">
        <f>Vout*Table1[[#This Row],[Iout]]/(Table1[[#This Row],[Vin]]*Efficiency)</f>
        <v>5.0114416475972545</v>
      </c>
      <c r="M129" s="711">
        <f>MIN(1/Fsw,CHOOSE(Table1[[#This Row],[Mode Digit]],(Vout+(Rdson2+Rs+Rdcr)*Table1[[#This Row],[Iout]])/(Table1[[#This Row],[Vin]]+(Rs+Rdson2-Rdson1)*Table1[[#This Row],[Iout]])/Fsw,(Vout+(Rdson3+Rdcr)*Table1[[#This Row],[Iin]]-Table1[[#This Row],[Vin]])/(Vout+(Rdson3-Rdson4-Rs)*Table1[[#This Row],[Iin]])/Fsw,t1_Ph_II))</f>
        <v>6.6748122001991133E-7</v>
      </c>
      <c r="N129" s="602">
        <f>CHOOSE(Table1[[#This Row],[Mode Digit]],1/Fsw-Table1[[#This Row],[t1_Ph_II]],1/Fsw-Table1[[#This Row],[t1_Ph_II]],(Vout/Fsw-Table1[[#This Row],[Vin]]*t1_Ph_II)/(Table1[[#This Row],[Vin]]+Vout))</f>
        <v>9.9918544664675543E-7</v>
      </c>
      <c r="O129" s="602">
        <f>1/Fsw-(Table1[[#This Row],[t1_Ph_II]]+Table1[[#This Row],[t2_Ph_I]])</f>
        <v>0</v>
      </c>
      <c r="P12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9.1935448703708271</v>
      </c>
      <c r="Q129" s="4">
        <f>CHOOSE(Table1[[#This Row],[Mode Digit]],Table1[[#This Row],[I_0]]+1/Lf*(Table1[[#This Row],[Vin]]-Vout)*Table1[[#This Row],[t1_Ph_II]],Table1[[#This Row],[I_0]]+1/Lf*Table1[[#This Row],[Vin]]*Table1[[#This Row],[t1_Ph_II]],Table1[[#This Row],[I_0]]+(Table1[[#This Row],[Vin]]-Vout)/L*Table1[[#This Row],[t1_Ph_II]])</f>
        <v>14.806455129629171</v>
      </c>
      <c r="R129" s="4">
        <f>CHOOSE(Table1[[#This Row],[Mode Digit]],0,0,Table1[[#This Row],[I_1]]+Table1[[#This Row],[Vin]]/L*Table1[[#This Row],[t2_Ph_I]])</f>
        <v>0</v>
      </c>
      <c r="S129" s="4">
        <f>Fsw*(Table1[[#This Row],[I_0]]*Table1[[#This Row],[t1_Ph_II]]+Table1[[#This Row],[I_1]]*Table1[[#This Row],[t2_Ph_I]]+Table1[[#This Row],[I_2]]*Table1[[#This Row],[t3_Ph_III]])</f>
        <v>12.558547817001951</v>
      </c>
      <c r="T129" s="354">
        <f>MIN(1,CHOOSE(Table1[[#This Row],[Mode Digit]],(Vout+(Rdson2+Rs+Rdcr)*Table1[[#This Row],[Iout]])/(Table1[[#This Row],[Vin]]+(Rs+Rdson2-Rdson1)*Table1[[#This Row],[Iout]]),1,Fsw*Table1[[#This Row],[t2_Ph_I]]+Table1[[#This Row],[t1_Ph_II]]))</f>
        <v>0.40048873201194679</v>
      </c>
      <c r="U129" s="354">
        <f>MIN(1,CHOOSE(Table1[[#This Row],[Mode Digit]],0,(Vout+(Rdson3+Rdcr)*Table1[[#This Row],[Iin]]-Table1[[#This Row],[Vin]])/(Vout+(Rdson3-Rdson4-Rs)*Table1[[#This Row],[Iin]]),Fsw*Table1[[#This Row],[t1_Ph_II]]+Table1[[#This Row],[t3_Ph_III]]))</f>
        <v>0</v>
      </c>
      <c r="V129" s="4">
        <f>MAX(Table1[[#This Row],[I_0]:[I_2]])-MIN(Table1[[#This Row],[I_0]:[I_1]])</f>
        <v>5.612910259258344</v>
      </c>
      <c r="W12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12.108897422895582</v>
      </c>
      <c r="X129" s="354">
        <f>(Table1[[#This Row],[Irms Lf]]^2*Rdcr*(1+Ltc*Ta-Ltc*25))/(1-Table1[[#This Row],[Irms Lf]]^2*Rdcr*Ltc*ThetaCa)</f>
        <v>0.9125091145338361</v>
      </c>
      <c r="Y129" s="354">
        <f>ABS(7.759*10^-3*Fsw^0.9458*(0.00787*Table1[[#This Row],[Ripple Current pk-pk]])^2.304)</f>
        <v>1.7109462535640192</v>
      </c>
      <c r="Z129" s="354">
        <f>Table1[[#This Row],[DCR    Loss]]+Table1[[#This Row],[Core Loss]]</f>
        <v>2.6234553680978552</v>
      </c>
      <c r="AA129" s="4">
        <f>IF(Table1[[#This Row],[Vin]]&gt;Vout, Table1[[#This Row],[Ripple Current pk-pk]]/SQRT(12), SQRT(Table1[[#This Row],[Duty Cycle BOOST Leg]]/(1-Table1[[#This Row],[Duty Cycle BOOST Leg]]))*SQRT(Table1[[#This Row],[Iout]]^2+(Table1[[#This Row],[Ripple Current pk-pk]]^2)/12))</f>
        <v>1.6203076245600085</v>
      </c>
      <c r="AB129" s="354">
        <f>RCoutEsr*Table1[[#This Row],[Irms Cout]]^2</f>
        <v>1.3126983991036487E-2</v>
      </c>
      <c r="AC129" s="354">
        <f>Table1[[#This Row],[Cout ESR Loss]]</f>
        <v>1.3126983991036487E-2</v>
      </c>
      <c r="AD129" s="354">
        <f>IF(Table1[[#This Row],[Vin]]&gt;Vout, SQRT(Table1[[#This Row],[Duty Cycle BUCK Leg]]*(1-Table1[[#This Row],[Duty Cycle BUCK Leg]]))*SQRT(Table1[[#This Row],[Iout]]^2+(Table1[[#This Row],[Ripple Current pk-pk]]^2)/12), Table1[[#This Row],[Ripple Current pk-pk]]/SQRT(12))</f>
        <v>5.9333289403009708</v>
      </c>
      <c r="AE129" s="354">
        <f>RCinEsr*Table1[[#This Row],[Irms Cin]]^2</f>
        <v>7.0408784627626078E-2</v>
      </c>
      <c r="AF129" s="549">
        <f>Table1[[#This Row],[Cin ESR Loss]]</f>
        <v>7.0408784627626078E-2</v>
      </c>
      <c r="AG12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7.6630163280827341</v>
      </c>
      <c r="AH129" s="354">
        <f>Rdson1*Table1[[#This Row],[Irms BuCtrl]]^2</f>
        <v>0.24663164082674291</v>
      </c>
      <c r="AI129" s="354">
        <f>CHOOSE(Table1[[#This Row],[Mode Digit]], (Table1[[#This Row],[Vin]]*Table1[[#This Row],[Iout]]/2)*(Fsw)*(Tr_buck+Tf_buck), 0, (Table1[[#This Row],[Vin]]*Table1[[#This Row],[Avg IL]]/2)*(Fsw/1)*(Tr_buck+Tf_buck))</f>
        <v>4.3790676419478682</v>
      </c>
      <c r="AJ129">
        <f>IF(Table1[[#This Row],[Vin]]&gt;Vout, IF(Table1[[#This Row],[Iout]]&gt;Table1[[#This Row],[Ripple Current pk-pk]]/2,0,ABS(Table1[[#This Row],[Iout]]-Table1[[#This Row],[Ripple Current pk-pk]]/2)*Vsd_Q1*Deadtime*Fsw),0)</f>
        <v>0</v>
      </c>
      <c r="AK129" s="354">
        <f>(Table1[[#This Row],[Dead Time Loss BuCtrl]]+Table1[[#This Row],[Transition Loss BuCtrl]]+Table1[[#This Row],[RDS(on) Loss BuCtrl]]*(1+RdsonTopTc*Ta-RdsonTopTc*25))/(1-Table1[[#This Row],[RDS(on) Loss BuCtrl]]*RdsonTopTc*ThetaJA_Q1)</f>
        <v>4.9167282650570714</v>
      </c>
      <c r="AL129" s="354">
        <f>CHOOSE(Table1[[#This Row],[Mode Digit]],SQRT((Fsw*(Table1[[#This Row],[t2_Ph_I]]+0))*((Table1[[#This Row],[I_0]]*Table1[[#This Row],[I_1]]+((Table1[[#This Row],[I_0]]-Table1[[#This Row],[I_1]])^2)/3))),0,SQRT((Fsw*(Table1[[#This Row],[t3_Ph_III]]+0))*((Table1[[#This Row],[I_0]]*Table1[[#This Row],[I_2]]+((Table1[[#This Row],[I_0]]-Table1[[#This Row],[I_2]])^2)/3))))</f>
        <v>9.3756907774171321</v>
      </c>
      <c r="AM129" s="354">
        <f>Rdson2*Table1[[#This Row],[Irms BuSync]]^2</f>
        <v>0.36919502572572765</v>
      </c>
      <c r="AN12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29" s="354">
        <f>(Table1[[#This Row],[Deadtime Loss BuSync]]+Table1[[#This Row],[RDS(on) Loss BuSync]]*(1+RdsonBotTc*Ta-RdsonBotTc*25))/(1-Table1[[#This Row],[RDS(on) Loss BuSync]]*RdsonBotTc*ThetaJA_Q2)</f>
        <v>1.0385928496170584</v>
      </c>
      <c r="AP129" s="354">
        <f>CHOOSE(Table1[[#This Row],[Mode Digit]],0,SQRT((Fsw*(Table1[[#This Row],[t1_Ph_II]]+0))*((Table1[[#This Row],[I_0]]*Table1[[#This Row],[I_1]]+((Table1[[#This Row],[I_0]]-Table1[[#This Row],[I_1]])^2)/3))),SQRT((Fsw*(Table1[[#This Row],[t2_Ph_I]]+0))*((Table1[[#This Row],[I_1]]*Table1[[#This Row],[I_2]]+((Table1[[#This Row],[I_1]]-Table1[[#This Row],[I_2]])^2)/3))))</f>
        <v>0</v>
      </c>
      <c r="AQ129" s="354">
        <f>Rdson4*Table1[[#This Row],[Irms BoCtlr]]^2</f>
        <v>0</v>
      </c>
      <c r="AR129" s="354">
        <f>CHOOSE(Table1[[#This Row],[Mode Digit]], 0, (Vout*Table1[[#This Row],[Iin]]/2)*(Fsw)*(Tr_boost+Tf_boost), (Vout*Iout/2)*(Fsw/1)*(Tr_boost+Tf_boost))</f>
        <v>0</v>
      </c>
      <c r="AS129">
        <f>IF(Table1[[#This Row],[Vin]]&gt;Vout, 0, IF(Table1[[#This Row],[Iin]]&gt;Table1[[#This Row],[Ripple Current pk-pk]]/2,0,ABS(Table1[[#This Row],[Iin]]-Table1[[#This Row],[Ripple Current pk-pk]]/2)*Vsd_Q4*Deadtime*Fsw))</f>
        <v>0</v>
      </c>
      <c r="AT129" s="354">
        <f>(Table1[[#This Row],[Dead Time Loss BoCtlr]]+Table1[[#This Row],[Transition Loss BoCtlr]]+Table1[[#This Row],[RDS(on) Loss BoCtlr]]*(1+RdsonTopTc*Ta-RdsonTopTc*25))/(1-Table1[[#This Row],[RDS(on) Loss BoCtlr]]*RdsonTopTc*ThetaJA_Q4)</f>
        <v>0</v>
      </c>
      <c r="AU12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12.108897422895582</v>
      </c>
      <c r="AV129" s="354">
        <f>Rdson3*Table1[[#This Row],[Irms BoSync]]^2</f>
        <v>0.61582666655247065</v>
      </c>
      <c r="AW12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29" s="354">
        <f>(Table1[[#This Row],[Deadtime Loss BoSync]]+Table1[[#This Row],[RDS(on) Loss BoSync]]*(1+RdsonBotTc*Ta-RdsonBotTc*25))/(1-Table1[[#This Row],[RDS(on) Loss BoSync]]*RdsonBotTc*ThetaJA_Q3)</f>
        <v>0.72263026322957558</v>
      </c>
      <c r="AY129" s="354">
        <f>CHOOSE(Table1[[#This Row],[Mode Digit]], Rdson3*Table1[[#This Row],[Irms Lf]]^2, Rdson1*Table1[[#This Row],[Irms Lf]]^2, 0)</f>
        <v>0.61582666655247065</v>
      </c>
      <c r="AZ129" s="354">
        <f>CHOOSE(Table1[[#This Row],[Mode Digit]], 2*Deadtime*Fsw*IF(VfdSky_Q2&gt;0,VfdSky_Q2,0)*Table1[[#This Row],[Iout]], 2*Deadtime*Fsw*IF(VfdSky_Q3&gt;0,VfdSky_Q3,0)*Table1[[#This Row],[Iin]], 2*Deadtime*Fsw*IF(VfdSky_Q2&gt;0,VfdSky_Q2,0)*Table1[[#This Row],[Iout]]+2*Deadtime*Fsw*IF(VfdSky_Q3&gt;0,VfdSky_Q3,0)*Table1[[#This Row],[Iin]])</f>
        <v>0</v>
      </c>
      <c r="BA129" s="354">
        <f>CHOOSE(Table1[[#This Row],[Mode Digit]], IF(QrrSky_Q2&gt;0,QrrSky_Q2,Qrr_Q2)*Fsw*(Table1[[#This Row],[Vin]]-Table1[[#This Row],[Iout]]*Rdson1),0,  IF(QrrSky_Q2&gt;0,QrrSky_Q2,Qrr_Q2)*Fsw*(Table1[[#This Row],[Vin]]-Table1[[#This Row],[Iout]]*Rdson1)+IF(QrrSky_Q3&gt;0,QrrSky_Q3,Qrr_Q3)*Fsw*Vout)</f>
        <v>0.44099519999999992</v>
      </c>
      <c r="BB129" s="354">
        <f>CHOOSE(Table1[[#This Row],[Mode Digit]],0, IF(QrrSky_Q3&gt;0,QrrSky_Q3,Qrr_Q3)*Fsw*Vout,  IF(QrrSky_Q2&gt;0,QrrSky_Q2,Qrr_Q2)*Fsw*(Table1[[#This Row],[Vin]]-Table1[[#This Row],[Iout]]*Rdson1)+IF(QrrSky_Q3&gt;0,QrrSky_Q3,Qrr_Q3)*Fsw*Vout)</f>
        <v>0</v>
      </c>
      <c r="BC129" s="354">
        <f>CHOOSE(Table1[[#This Row],[Mode Digit]], Rs*Table1[[#This Row],[Irms BuSync]]^2, Rs*Table1[[#This Row],[Irms BoCtlr]]^2, Rs*(Table1[[#This Row],[Irms BuSync]]^2+Table1[[#This Row],[Irms BoCtlr]]^2))</f>
        <v>0.21975894388436168</v>
      </c>
      <c r="BD129" s="354">
        <f t="shared" si="5"/>
        <v>1.44</v>
      </c>
      <c r="BE129" s="354">
        <f>IF(Vout&gt;8, Iq*Vout, Iq*Table1[[#This Row],[Vin]])</f>
        <v>4.3799999999999999E-2</v>
      </c>
      <c r="BF129" s="354">
        <f>CHOOSE(Table1[[#This Row],[Mode Digit]], (Qg_Q1+Qg_Q2)*Fsw, (Qg_Q3+Qg_Q4)*Fsw, (Qg_Q1+Qg_Q2+Qg_Q3+Qg_Q4)*Fsw)*IF(Vout&gt;8, Vout, Table1[[#This Row],[Vin]])</f>
        <v>0.47303999999999996</v>
      </c>
      <c r="BG129" s="354">
        <f t="shared" si="6"/>
        <v>0.45605042016806729</v>
      </c>
      <c r="BH129" s="354">
        <f>Table1[[#This Row],[IQ Loss]]+Table1[[#This Row],[Switching Current Loss]]</f>
        <v>0.51683999999999997</v>
      </c>
      <c r="BI12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12.002536658504583</v>
      </c>
      <c r="BJ129">
        <f>Vout*Table1[[#This Row],[Iout]]</f>
        <v>175.2</v>
      </c>
      <c r="BK129" s="550">
        <f>Table1[[#This Row],[Pout]]/(Table1[[#This Row],[Pout]]+Table1[[#This Row],[Total Loss]])</f>
        <v>0.93588475416655459</v>
      </c>
      <c r="BL12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295.00369590342427</v>
      </c>
      <c r="BM129" s="559">
        <f>IF(Table1[[#This Row],[Vin]]&gt;Vout, Table1[[#This Row],[Total Sync Bu MOSFET Loss]]*ThetaJA_Q2, ThetaJA_Q3*Table1[[#This Row],[Total Sync Bo MOSFET Loss]])</f>
        <v>62.315570977023505</v>
      </c>
      <c r="BN129" s="9"/>
      <c r="BO129" s="4">
        <f>Table1[[#This Row],[EFF, h]]*100</f>
        <v>93.588475416655456</v>
      </c>
      <c r="BP129" s="354">
        <f>Table1[[#This Row],[Total Inductor Loss]]</f>
        <v>2.6234553680978552</v>
      </c>
      <c r="BQ129" s="354">
        <f>Table1[[#This Row],[Total Control Bu MOSFET Loss]]+Table1[[#This Row],[Total Sync Bu MOSFET Loss]]+Table1[[#This Row],[Total Control Bo MOSFET Loss]]+Table1[[#This Row],[Total Sync Bo MOSFET Loss]]+Table1[[#This Row],[Reverse Recovery Loss MOSFET D BUCK]]+Table1[[#This Row],[Reverse Recovery Loss MOSFET D BOOST]]</f>
        <v>7.1189465779037047</v>
      </c>
      <c r="BR129" s="354">
        <f>Table1[[#This Row],[Total Control Bu MOSFET Loss]]+Table1[[#This Row],[Reverse Recovery Loss MOSFET D BUCK]]*0.66</f>
        <v>5.2077850970570712</v>
      </c>
      <c r="BS129" s="354">
        <f>Table1[[#This Row],[Total Sync Bu MOSFET Loss]]+Table1[[#This Row],[Reverse Recovery Loss MOSFET D BUCK]]*0.33</f>
        <v>1.1841212656170583</v>
      </c>
      <c r="BT129" s="354">
        <f xml:space="preserve"> Table1[[#This Row],[Total Control Bo MOSFET Loss]]+Table1[[#This Row],[Reverse Recovery Loss MOSFET D BOOST]]*0.66</f>
        <v>0</v>
      </c>
      <c r="BU129" s="354">
        <f xml:space="preserve"> Table1[[#This Row],[Total Sync Bo MOSFET Loss]]+Table1[[#This Row],[Reverse Recovery Loss MOSFET D BOOST]]*0.33</f>
        <v>0.72263026322957558</v>
      </c>
      <c r="BV129" s="354">
        <f>Table1[[#This Row],[Isense Shunt Loss]]</f>
        <v>0.21975894388436168</v>
      </c>
    </row>
    <row r="130" spans="7:74" x14ac:dyDescent="0.2">
      <c r="G130">
        <v>121</v>
      </c>
      <c r="H130" s="555">
        <f>VIN_min+(VIN_max-VIN_min)*(Table1[[#This Row],[Step]]/200)</f>
        <v>36.94</v>
      </c>
      <c r="I130" s="4" t="str">
        <f>IF(Mode = 2,IF(Table1[[#This Row],[Vin]]&gt;Vout, "BUCK","BOOST"),IF(Table1[[#This Row],[Vin]]&gt;VIN_BB_to_buck, "BUCK", IF(Table1[[#This Row],[Vin]]&lt;=VIN_boost_to_BB,"BOOST","BUCK-BST")))</f>
        <v>BUCK</v>
      </c>
      <c r="J130">
        <f>IF(Table1[[#This Row],[Mode]]="BOOST",2, IF(Table1[[#This Row],[Mode]]="BUCK", 1,3))</f>
        <v>1</v>
      </c>
      <c r="K130">
        <f t="shared" si="4"/>
        <v>12</v>
      </c>
      <c r="L130" s="4">
        <f>Vout*Table1[[#This Row],[Iout]]/(Table1[[#This Row],[Vin]]*Efficiency)</f>
        <v>4.9924486364802103</v>
      </c>
      <c r="M130" s="711">
        <f>MIN(1/Fsw,CHOOSE(Table1[[#This Row],[Mode Digit]],(Vout+(Rdson2+Rs+Rdcr)*Table1[[#This Row],[Iout]])/(Table1[[#This Row],[Vin]]+(Rs+Rdson2-Rdson1)*Table1[[#This Row],[Iout]])/Fsw,(Vout+(Rdson3+Rdcr)*Table1[[#This Row],[Iin]]-Table1[[#This Row],[Vin]])/(Vout+(Rdson3-Rdson4-Rs)*Table1[[#This Row],[Iin]])/Fsw,t1_Ph_II))</f>
        <v>6.6495356595437743E-7</v>
      </c>
      <c r="N130" s="602">
        <f>CHOOSE(Table1[[#This Row],[Mode Digit]],1/Fsw-Table1[[#This Row],[t1_Ph_II]],1/Fsw-Table1[[#This Row],[t1_Ph_II]],(Vout/Fsw-Table1[[#This Row],[Vin]]*t1_Ph_II)/(Table1[[#This Row],[Vin]]+Vout))</f>
        <v>1.0017131007122892E-6</v>
      </c>
      <c r="O130" s="602">
        <f>1/Fsw-(Table1[[#This Row],[t1_Ph_II]]+Table1[[#This Row],[t2_Ph_I]])</f>
        <v>0</v>
      </c>
      <c r="P13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9.1865411622309114</v>
      </c>
      <c r="Q130" s="4">
        <f>CHOOSE(Table1[[#This Row],[Mode Digit]],Table1[[#This Row],[I_0]]+1/Lf*(Table1[[#This Row],[Vin]]-Vout)*Table1[[#This Row],[t1_Ph_II]],Table1[[#This Row],[I_0]]+1/Lf*Table1[[#This Row],[Vin]]*Table1[[#This Row],[t1_Ph_II]],Table1[[#This Row],[I_0]]+(Table1[[#This Row],[Vin]]-Vout)/L*Table1[[#This Row],[t1_Ph_II]])</f>
        <v>14.81345883776909</v>
      </c>
      <c r="R130" s="4">
        <f>CHOOSE(Table1[[#This Row],[Mode Digit]],0,0,Table1[[#This Row],[I_1]]+Table1[[#This Row],[Vin]]/L*Table1[[#This Row],[t2_Ph_I]])</f>
        <v>0</v>
      </c>
      <c r="S130" s="4">
        <f>Fsw*(Table1[[#This Row],[I_0]]*Table1[[#This Row],[t1_Ph_II]]+Table1[[#This Row],[I_1]]*Table1[[#This Row],[t2_Ph_I]]+Table1[[#This Row],[I_2]]*Table1[[#This Row],[t3_Ph_III]])</f>
        <v>12.568475453560593</v>
      </c>
      <c r="T130" s="354">
        <f>MIN(1,CHOOSE(Table1[[#This Row],[Mode Digit]],(Vout+(Rdson2+Rs+Rdcr)*Table1[[#This Row],[Iout]])/(Table1[[#This Row],[Vin]]+(Rs+Rdson2-Rdson1)*Table1[[#This Row],[Iout]]),1,Fsw*Table1[[#This Row],[t2_Ph_I]]+Table1[[#This Row],[t1_Ph_II]]))</f>
        <v>0.39897213957262645</v>
      </c>
      <c r="U130" s="354">
        <f>MIN(1,CHOOSE(Table1[[#This Row],[Mode Digit]],0,(Vout+(Rdson3+Rdcr)*Table1[[#This Row],[Iin]]-Table1[[#This Row],[Vin]])/(Vout+(Rdson3-Rdson4-Rs)*Table1[[#This Row],[Iin]]),Fsw*Table1[[#This Row],[t1_Ph_II]]+Table1[[#This Row],[t3_Ph_III]]))</f>
        <v>0</v>
      </c>
      <c r="V130" s="4">
        <f>MAX(Table1[[#This Row],[I_0]:[I_2]])-MIN(Table1[[#This Row],[I_0]:[I_1]])</f>
        <v>5.6269176755381789</v>
      </c>
      <c r="W13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12.109439164440015</v>
      </c>
      <c r="X130" s="354">
        <f>(Table1[[#This Row],[Irms Lf]]^2*Rdcr*(1+Ltc*Ta-Ltc*25))/(1-Table1[[#This Row],[Irms Lf]]^2*Rdcr*Ltc*ThetaCa)</f>
        <v>0.91259672728477459</v>
      </c>
      <c r="Y130" s="354">
        <f>ABS(7.759*10^-3*Fsw^0.9458*(0.00787*Table1[[#This Row],[Ripple Current pk-pk]])^2.304)</f>
        <v>1.7207998558377715</v>
      </c>
      <c r="Z130" s="354">
        <f>Table1[[#This Row],[DCR    Loss]]+Table1[[#This Row],[Core Loss]]</f>
        <v>2.6333965831225461</v>
      </c>
      <c r="AA130" s="4">
        <f>IF(Table1[[#This Row],[Vin]]&gt;Vout, Table1[[#This Row],[Ripple Current pk-pk]]/SQRT(12), SQRT(Table1[[#This Row],[Duty Cycle BOOST Leg]]/(1-Table1[[#This Row],[Duty Cycle BOOST Leg]]))*SQRT(Table1[[#This Row],[Iout]]^2+(Table1[[#This Row],[Ripple Current pk-pk]]^2)/12))</f>
        <v>1.6243512173399155</v>
      </c>
      <c r="AB130" s="354">
        <f>RCoutEsr*Table1[[#This Row],[Irms Cout]]^2</f>
        <v>1.3192584386368326E-2</v>
      </c>
      <c r="AC130" s="354">
        <f>Table1[[#This Row],[Cout ESR Loss]]</f>
        <v>1.3192584386368326E-2</v>
      </c>
      <c r="AD130" s="354">
        <f>IF(Table1[[#This Row],[Vin]]&gt;Vout, SQRT(Table1[[#This Row],[Duty Cycle BUCK Leg]]*(1-Table1[[#This Row],[Duty Cycle BUCK Leg]]))*SQRT(Table1[[#This Row],[Iout]]^2+(Table1[[#This Row],[Ripple Current pk-pk]]^2)/12), Table1[[#This Row],[Ripple Current pk-pk]]/SQRT(12))</f>
        <v>5.9298351024002853</v>
      </c>
      <c r="AE130" s="354">
        <f>RCinEsr*Table1[[#This Row],[Irms Cin]]^2</f>
        <v>7.0325888683317198E-2</v>
      </c>
      <c r="AF130" s="549">
        <f>Table1[[#This Row],[Cin ESR Loss]]</f>
        <v>7.0325888683317198E-2</v>
      </c>
      <c r="AG13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7.6488353899324162</v>
      </c>
      <c r="AH130" s="354">
        <f>Rdson1*Table1[[#This Row],[Irms BuCtrl]]^2</f>
        <v>0.24571966785358684</v>
      </c>
      <c r="AI130" s="354">
        <f>CHOOSE(Table1[[#This Row],[Mode Digit]], (Table1[[#This Row],[Vin]]*Table1[[#This Row],[Iout]]/2)*(Fsw)*(Tr_buck+Tf_buck), 0, (Table1[[#This Row],[Vin]]*Table1[[#This Row],[Avg IL]]/2)*(Fsw/1)*(Tr_buck+Tf_buck))</f>
        <v>4.3957271384118011</v>
      </c>
      <c r="AJ130">
        <f>IF(Table1[[#This Row],[Vin]]&gt;Vout, IF(Table1[[#This Row],[Iout]]&gt;Table1[[#This Row],[Ripple Current pk-pk]]/2,0,ABS(Table1[[#This Row],[Iout]]-Table1[[#This Row],[Ripple Current pk-pk]]/2)*Vsd_Q1*Deadtime*Fsw),0)</f>
        <v>0</v>
      </c>
      <c r="AK130" s="354">
        <f>(Table1[[#This Row],[Dead Time Loss BuCtrl]]+Table1[[#This Row],[Transition Loss BuCtrl]]+Table1[[#This Row],[RDS(on) Loss BuCtrl]]*(1+RdsonTopTc*Ta-RdsonTopTc*25))/(1-Table1[[#This Row],[RDS(on) Loss BuCtrl]]*RdsonTopTc*ThetaJA_Q1)</f>
        <v>4.9323190797087335</v>
      </c>
      <c r="AL130" s="354">
        <f>CHOOSE(Table1[[#This Row],[Mode Digit]],SQRT((Fsw*(Table1[[#This Row],[t2_Ph_I]]+0))*((Table1[[#This Row],[I_0]]*Table1[[#This Row],[I_1]]+((Table1[[#This Row],[I_0]]-Table1[[#This Row],[I_1]])^2)/3))),0,SQRT((Fsw*(Table1[[#This Row],[t3_Ph_III]]+0))*((Table1[[#This Row],[I_0]]*Table1[[#This Row],[I_2]]+((Table1[[#This Row],[I_0]]-Table1[[#This Row],[I_2]])^2)/3))))</f>
        <v>9.3879621886217191</v>
      </c>
      <c r="AM130" s="354">
        <f>Rdson2*Table1[[#This Row],[Irms BuSync]]^2</f>
        <v>0.37016210303096264</v>
      </c>
      <c r="AN13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30" s="354">
        <f>(Table1[[#This Row],[Deadtime Loss BuSync]]+Table1[[#This Row],[RDS(on) Loss BuSync]]*(1+RdsonBotTc*Ta-RdsonBotTc*25))/(1-Table1[[#This Row],[RDS(on) Loss BuSync]]*RdsonBotTc*ThetaJA_Q2)</f>
        <v>1.0399187767328253</v>
      </c>
      <c r="AP130" s="354">
        <f>CHOOSE(Table1[[#This Row],[Mode Digit]],0,SQRT((Fsw*(Table1[[#This Row],[t1_Ph_II]]+0))*((Table1[[#This Row],[I_0]]*Table1[[#This Row],[I_1]]+((Table1[[#This Row],[I_0]]-Table1[[#This Row],[I_1]])^2)/3))),SQRT((Fsw*(Table1[[#This Row],[t2_Ph_I]]+0))*((Table1[[#This Row],[I_1]]*Table1[[#This Row],[I_2]]+((Table1[[#This Row],[I_1]]-Table1[[#This Row],[I_2]])^2)/3))))</f>
        <v>0</v>
      </c>
      <c r="AQ130" s="354">
        <f>Rdson4*Table1[[#This Row],[Irms BoCtlr]]^2</f>
        <v>0</v>
      </c>
      <c r="AR130" s="354">
        <f>CHOOSE(Table1[[#This Row],[Mode Digit]], 0, (Vout*Table1[[#This Row],[Iin]]/2)*(Fsw)*(Tr_boost+Tf_boost), (Vout*Iout/2)*(Fsw/1)*(Tr_boost+Tf_boost))</f>
        <v>0</v>
      </c>
      <c r="AS130">
        <f>IF(Table1[[#This Row],[Vin]]&gt;Vout, 0, IF(Table1[[#This Row],[Iin]]&gt;Table1[[#This Row],[Ripple Current pk-pk]]/2,0,ABS(Table1[[#This Row],[Iin]]-Table1[[#This Row],[Ripple Current pk-pk]]/2)*Vsd_Q4*Deadtime*Fsw))</f>
        <v>0</v>
      </c>
      <c r="AT130" s="354">
        <f>(Table1[[#This Row],[Dead Time Loss BoCtlr]]+Table1[[#This Row],[Transition Loss BoCtlr]]+Table1[[#This Row],[RDS(on) Loss BoCtlr]]*(1+RdsonTopTc*Ta-RdsonTopTc*25))/(1-Table1[[#This Row],[RDS(on) Loss BoCtlr]]*RdsonTopTc*ThetaJA_Q4)</f>
        <v>0</v>
      </c>
      <c r="AU13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12.109439164440015</v>
      </c>
      <c r="AV130" s="354">
        <f>Rdson3*Table1[[#This Row],[Irms BoSync]]^2</f>
        <v>0.61588177088454965</v>
      </c>
      <c r="AW13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30" s="354">
        <f>(Table1[[#This Row],[Deadtime Loss BoSync]]+Table1[[#This Row],[RDS(on) Loss BoSync]]*(1+RdsonBotTc*Ta-RdsonBotTc*25))/(1-Table1[[#This Row],[RDS(on) Loss BoSync]]*RdsonBotTc*ThetaJA_Q3)</f>
        <v>0.72270613981730636</v>
      </c>
      <c r="AY130" s="354">
        <f>CHOOSE(Table1[[#This Row],[Mode Digit]], Rdson3*Table1[[#This Row],[Irms Lf]]^2, Rdson1*Table1[[#This Row],[Irms Lf]]^2, 0)</f>
        <v>0.61588177088454965</v>
      </c>
      <c r="AZ130" s="354">
        <f>CHOOSE(Table1[[#This Row],[Mode Digit]], 2*Deadtime*Fsw*IF(VfdSky_Q2&gt;0,VfdSky_Q2,0)*Table1[[#This Row],[Iout]], 2*Deadtime*Fsw*IF(VfdSky_Q3&gt;0,VfdSky_Q3,0)*Table1[[#This Row],[Iin]], 2*Deadtime*Fsw*IF(VfdSky_Q2&gt;0,VfdSky_Q2,0)*Table1[[#This Row],[Iout]]+2*Deadtime*Fsw*IF(VfdSky_Q3&gt;0,VfdSky_Q3,0)*Table1[[#This Row],[Iin]])</f>
        <v>0</v>
      </c>
      <c r="BA130" s="354">
        <f>CHOOSE(Table1[[#This Row],[Mode Digit]], IF(QrrSky_Q2&gt;0,QrrSky_Q2,Qrr_Q2)*Fsw*(Table1[[#This Row],[Vin]]-Table1[[#This Row],[Iout]]*Rdson1),0,  IF(QrrSky_Q2&gt;0,QrrSky_Q2,Qrr_Q2)*Fsw*(Table1[[#This Row],[Vin]]-Table1[[#This Row],[Iout]]*Rdson1)+IF(QrrSky_Q3&gt;0,QrrSky_Q3,Qrr_Q3)*Fsw*Vout)</f>
        <v>0.44267519999999994</v>
      </c>
      <c r="BB130" s="354">
        <f>CHOOSE(Table1[[#This Row],[Mode Digit]],0, IF(QrrSky_Q3&gt;0,QrrSky_Q3,Qrr_Q3)*Fsw*Vout,  IF(QrrSky_Q2&gt;0,QrrSky_Q2,Qrr_Q2)*Fsw*(Table1[[#This Row],[Vin]]-Table1[[#This Row],[Iout]]*Rdson1)+IF(QrrSky_Q3&gt;0,QrrSky_Q3,Qrr_Q3)*Fsw*Vout)</f>
        <v>0</v>
      </c>
      <c r="BC130" s="354">
        <f>CHOOSE(Table1[[#This Row],[Mode Digit]], Rs*Table1[[#This Row],[Irms BuSync]]^2, Rs*Table1[[#This Row],[Irms BoCtlr]]^2, Rs*(Table1[[#This Row],[Irms BuSync]]^2+Table1[[#This Row],[Irms BoCtlr]]^2))</f>
        <v>0.22033458513747775</v>
      </c>
      <c r="BD130" s="354">
        <f t="shared" si="5"/>
        <v>1.44</v>
      </c>
      <c r="BE130" s="354">
        <f>IF(Vout&gt;8, Iq*Vout, Iq*Table1[[#This Row],[Vin]])</f>
        <v>4.3799999999999999E-2</v>
      </c>
      <c r="BF130" s="354">
        <f>CHOOSE(Table1[[#This Row],[Mode Digit]], (Qg_Q1+Qg_Q2)*Fsw, (Qg_Q3+Qg_Q4)*Fsw, (Qg_Q1+Qg_Q2+Qg_Q3+Qg_Q4)*Fsw)*IF(Vout&gt;8, Vout, Table1[[#This Row],[Vin]])</f>
        <v>0.47303999999999996</v>
      </c>
      <c r="BG130" s="354">
        <f t="shared" si="6"/>
        <v>0.45605042016806729</v>
      </c>
      <c r="BH130" s="354">
        <f>Table1[[#This Row],[IQ Loss]]+Table1[[#This Row],[Switching Current Loss]]</f>
        <v>0.51683999999999997</v>
      </c>
      <c r="BI13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12.031708837588575</v>
      </c>
      <c r="BJ130">
        <f>Vout*Table1[[#This Row],[Iout]]</f>
        <v>175.2</v>
      </c>
      <c r="BK130" s="550">
        <f>Table1[[#This Row],[Pout]]/(Table1[[#This Row],[Pout]]+Table1[[#This Row],[Total Loss]])</f>
        <v>0.93573893592978252</v>
      </c>
      <c r="BL13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295.93914478252401</v>
      </c>
      <c r="BM130" s="559">
        <f>IF(Table1[[#This Row],[Vin]]&gt;Vout, Table1[[#This Row],[Total Sync Bu MOSFET Loss]]*ThetaJA_Q2, ThetaJA_Q3*Table1[[#This Row],[Total Sync Bo MOSFET Loss]])</f>
        <v>62.395126603969516</v>
      </c>
      <c r="BN130" s="9"/>
      <c r="BO130" s="4">
        <f>Table1[[#This Row],[EFF, h]]*100</f>
        <v>93.573893592978251</v>
      </c>
      <c r="BP130" s="354">
        <f>Table1[[#This Row],[Total Inductor Loss]]</f>
        <v>2.6333965831225461</v>
      </c>
      <c r="BQ130" s="354">
        <f>Table1[[#This Row],[Total Control Bu MOSFET Loss]]+Table1[[#This Row],[Total Sync Bu MOSFET Loss]]+Table1[[#This Row],[Total Control Bo MOSFET Loss]]+Table1[[#This Row],[Total Sync Bo MOSFET Loss]]+Table1[[#This Row],[Reverse Recovery Loss MOSFET D BUCK]]+Table1[[#This Row],[Reverse Recovery Loss MOSFET D BOOST]]</f>
        <v>7.137619196258866</v>
      </c>
      <c r="BR130" s="354">
        <f>Table1[[#This Row],[Total Control Bu MOSFET Loss]]+Table1[[#This Row],[Reverse Recovery Loss MOSFET D BUCK]]*0.66</f>
        <v>5.2244847117087332</v>
      </c>
      <c r="BS130" s="354">
        <f>Table1[[#This Row],[Total Sync Bu MOSFET Loss]]+Table1[[#This Row],[Reverse Recovery Loss MOSFET D BUCK]]*0.33</f>
        <v>1.1860015927328253</v>
      </c>
      <c r="BT130" s="354">
        <f xml:space="preserve"> Table1[[#This Row],[Total Control Bo MOSFET Loss]]+Table1[[#This Row],[Reverse Recovery Loss MOSFET D BOOST]]*0.66</f>
        <v>0</v>
      </c>
      <c r="BU130" s="354">
        <f xml:space="preserve"> Table1[[#This Row],[Total Sync Bo MOSFET Loss]]+Table1[[#This Row],[Reverse Recovery Loss MOSFET D BOOST]]*0.33</f>
        <v>0.72270613981730636</v>
      </c>
      <c r="BV130" s="354">
        <f>Table1[[#This Row],[Isense Shunt Loss]]</f>
        <v>0.22033458513747775</v>
      </c>
    </row>
    <row r="131" spans="7:74" x14ac:dyDescent="0.2">
      <c r="G131">
        <v>122</v>
      </c>
      <c r="H131" s="555">
        <f>VIN_min+(VIN_max-VIN_min)*(Table1[[#This Row],[Step]]/200)</f>
        <v>37.08</v>
      </c>
      <c r="I131" s="4" t="str">
        <f>IF(Mode = 2,IF(Table1[[#This Row],[Vin]]&gt;Vout, "BUCK","BOOST"),IF(Table1[[#This Row],[Vin]]&gt;VIN_BB_to_buck, "BUCK", IF(Table1[[#This Row],[Vin]]&lt;=VIN_boost_to_BB,"BOOST","BUCK-BST")))</f>
        <v>BUCK</v>
      </c>
      <c r="J131">
        <f>IF(Table1[[#This Row],[Mode]]="BOOST",2, IF(Table1[[#This Row],[Mode]]="BUCK", 1,3))</f>
        <v>1</v>
      </c>
      <c r="K131">
        <f t="shared" si="4"/>
        <v>12</v>
      </c>
      <c r="L131" s="4">
        <f>Vout*Table1[[#This Row],[Iout]]/(Table1[[#This Row],[Vin]]*Efficiency)</f>
        <v>4.9735990461590864</v>
      </c>
      <c r="M131" s="711">
        <f>MIN(1/Fsw,CHOOSE(Table1[[#This Row],[Mode Digit]],(Vout+(Rdson2+Rs+Rdcr)*Table1[[#This Row],[Iout]])/(Table1[[#This Row],[Vin]]+(Rs+Rdson2-Rdson1)*Table1[[#This Row],[Iout]])/Fsw,(Vout+(Rdson3+Rdcr)*Table1[[#This Row],[Iin]]-Table1[[#This Row],[Vin]])/(Vout+(Rdson3-Rdson4-Rs)*Table1[[#This Row],[Iin]])/Fsw,t1_Ph_II))</f>
        <v>6.6244498338273598E-7</v>
      </c>
      <c r="N131" s="602">
        <f>CHOOSE(Table1[[#This Row],[Mode Digit]],1/Fsw-Table1[[#This Row],[t1_Ph_II]],1/Fsw-Table1[[#This Row],[t1_Ph_II]],(Vout/Fsw-Table1[[#This Row],[Vin]]*t1_Ph_II)/(Table1[[#This Row],[Vin]]+Vout))</f>
        <v>1.0042216832839306E-6</v>
      </c>
      <c r="O131" s="602">
        <f>1/Fsw-(Table1[[#This Row],[t1_Ph_II]]+Table1[[#This Row],[t2_Ph_I]])</f>
        <v>0</v>
      </c>
      <c r="P13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9.1795902980219886</v>
      </c>
      <c r="Q131" s="4">
        <f>CHOOSE(Table1[[#This Row],[Mode Digit]],Table1[[#This Row],[I_0]]+1/Lf*(Table1[[#This Row],[Vin]]-Vout)*Table1[[#This Row],[t1_Ph_II]],Table1[[#This Row],[I_0]]+1/Lf*Table1[[#This Row],[Vin]]*Table1[[#This Row],[t1_Ph_II]],Table1[[#This Row],[I_0]]+(Table1[[#This Row],[Vin]]-Vout)/L*Table1[[#This Row],[t1_Ph_II]])</f>
        <v>14.820409701978011</v>
      </c>
      <c r="R131" s="4">
        <f>CHOOSE(Table1[[#This Row],[Mode Digit]],0,0,Table1[[#This Row],[I_1]]+Table1[[#This Row],[Vin]]/L*Table1[[#This Row],[t2_Ph_I]])</f>
        <v>0</v>
      </c>
      <c r="S131" s="4">
        <f>Fsw*(Table1[[#This Row],[I_0]]*Table1[[#This Row],[t1_Ph_II]]+Table1[[#This Row],[I_1]]*Table1[[#This Row],[t2_Ph_I]]+Table1[[#This Row],[I_2]]*Table1[[#This Row],[t3_Ph_III]])</f>
        <v>12.578370192186814</v>
      </c>
      <c r="T131" s="354">
        <f>MIN(1,CHOOSE(Table1[[#This Row],[Mode Digit]],(Vout+(Rdson2+Rs+Rdcr)*Table1[[#This Row],[Iout]])/(Table1[[#This Row],[Vin]]+(Rs+Rdson2-Rdson1)*Table1[[#This Row],[Iout]]),1,Fsw*Table1[[#This Row],[t2_Ph_I]]+Table1[[#This Row],[t1_Ph_II]]))</f>
        <v>0.39746699002964159</v>
      </c>
      <c r="U131" s="354">
        <f>MIN(1,CHOOSE(Table1[[#This Row],[Mode Digit]],0,(Vout+(Rdson3+Rdcr)*Table1[[#This Row],[Iin]]-Table1[[#This Row],[Vin]])/(Vout+(Rdson3-Rdson4-Rs)*Table1[[#This Row],[Iin]]),Fsw*Table1[[#This Row],[t1_Ph_II]]+Table1[[#This Row],[t3_Ph_III]]))</f>
        <v>0</v>
      </c>
      <c r="V131" s="4">
        <f>MAX(Table1[[#This Row],[I_0]:[I_2]])-MIN(Table1[[#This Row],[I_0]:[I_1]])</f>
        <v>5.6408194039560229</v>
      </c>
      <c r="W13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12.109978129446418</v>
      </c>
      <c r="X131" s="354">
        <f>(Table1[[#This Row],[Irms Lf]]^2*Rdcr*(1+Ltc*Ta-Ltc*25))/(1-Table1[[#This Row],[Irms Lf]]^2*Rdcr*Ltc*ThetaCa)</f>
        <v>0.91268389602760158</v>
      </c>
      <c r="Y131" s="354">
        <f>ABS(7.759*10^-3*Fsw^0.9458*(0.00787*Table1[[#This Row],[Ripple Current pk-pk]])^2.304)</f>
        <v>1.7306107875915167</v>
      </c>
      <c r="Z131" s="354">
        <f>Table1[[#This Row],[DCR    Loss]]+Table1[[#This Row],[Core Loss]]</f>
        <v>2.6432946836191182</v>
      </c>
      <c r="AA131" s="4">
        <f>IF(Table1[[#This Row],[Vin]]&gt;Vout, Table1[[#This Row],[Ripple Current pk-pk]]/SQRT(12), SQRT(Table1[[#This Row],[Duty Cycle BOOST Leg]]/(1-Table1[[#This Row],[Duty Cycle BOOST Leg]]))*SQRT(Table1[[#This Row],[Iout]]^2+(Table1[[#This Row],[Ripple Current pk-pk]]^2)/12))</f>
        <v>1.6283643006620372</v>
      </c>
      <c r="AB131" s="354">
        <f>RCoutEsr*Table1[[#This Row],[Irms Cout]]^2</f>
        <v>1.3257851478352827E-2</v>
      </c>
      <c r="AC131" s="354">
        <f>Table1[[#This Row],[Cout ESR Loss]]</f>
        <v>1.3257851478352827E-2</v>
      </c>
      <c r="AD131" s="354">
        <f>IF(Table1[[#This Row],[Vin]]&gt;Vout, SQRT(Table1[[#This Row],[Duty Cycle BUCK Leg]]*(1-Table1[[#This Row],[Duty Cycle BUCK Leg]]))*SQRT(Table1[[#This Row],[Iout]]^2+(Table1[[#This Row],[Ripple Current pk-pk]]^2)/12), Table1[[#This Row],[Ripple Current pk-pk]]/SQRT(12))</f>
        <v>5.9263093031060263</v>
      </c>
      <c r="AE131" s="354">
        <f>RCinEsr*Table1[[#This Row],[Irms Cin]]^2</f>
        <v>7.0242283912162071E-2</v>
      </c>
      <c r="AF131" s="549">
        <f>Table1[[#This Row],[Cin ESR Loss]]</f>
        <v>7.0242283912162071E-2</v>
      </c>
      <c r="AG13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7.6347336710942697</v>
      </c>
      <c r="AH131" s="354">
        <f>Rdson1*Table1[[#This Row],[Irms BuCtrl]]^2</f>
        <v>0.24481446455987049</v>
      </c>
      <c r="AI131" s="354">
        <f>CHOOSE(Table1[[#This Row],[Mode Digit]], (Table1[[#This Row],[Vin]]*Table1[[#This Row],[Iout]]/2)*(Fsw)*(Tr_buck+Tf_buck), 0, (Table1[[#This Row],[Vin]]*Table1[[#This Row],[Avg IL]]/2)*(Fsw/1)*(Tr_buck+Tf_buck))</f>
        <v>4.412386634875733</v>
      </c>
      <c r="AJ131">
        <f>IF(Table1[[#This Row],[Vin]]&gt;Vout, IF(Table1[[#This Row],[Iout]]&gt;Table1[[#This Row],[Ripple Current pk-pk]]/2,0,ABS(Table1[[#This Row],[Iout]]-Table1[[#This Row],[Ripple Current pk-pk]]/2)*Vsd_Q1*Deadtime*Fsw),0)</f>
        <v>0</v>
      </c>
      <c r="AK131" s="354">
        <f>(Table1[[#This Row],[Dead Time Loss BuCtrl]]+Table1[[#This Row],[Transition Loss BuCtrl]]+Table1[[#This Row],[RDS(on) Loss BuCtrl]]*(1+RdsonTopTc*Ta-RdsonTopTc*25))/(1-Table1[[#This Row],[RDS(on) Loss BuCtrl]]*RdsonTopTc*ThetaJA_Q1)</f>
        <v>4.9479183765664159</v>
      </c>
      <c r="AL131" s="354">
        <f>CHOOSE(Table1[[#This Row],[Mode Digit]],SQRT((Fsw*(Table1[[#This Row],[t2_Ph_I]]+0))*((Table1[[#This Row],[I_0]]*Table1[[#This Row],[I_1]]+((Table1[[#This Row],[I_0]]-Table1[[#This Row],[I_1]])^2)/3))),0,SQRT((Fsw*(Table1[[#This Row],[t3_Ph_III]]+0))*((Table1[[#This Row],[I_0]]*Table1[[#This Row],[I_2]]+((Table1[[#This Row],[I_0]]-Table1[[#This Row],[I_2]])^2)/3))))</f>
        <v>9.4001283005674967</v>
      </c>
      <c r="AM131" s="354">
        <f>Rdson2*Table1[[#This Row],[Irms BuSync]]^2</f>
        <v>0.37112213068194599</v>
      </c>
      <c r="AN13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31" s="354">
        <f>(Table1[[#This Row],[Deadtime Loss BuSync]]+Table1[[#This Row],[RDS(on) Loss BuSync]]*(1+RdsonBotTc*Ta-RdsonBotTc*25))/(1-Table1[[#This Row],[RDS(on) Loss BuSync]]*RdsonBotTc*ThetaJA_Q2)</f>
        <v>1.0412357066082309</v>
      </c>
      <c r="AP131" s="354">
        <f>CHOOSE(Table1[[#This Row],[Mode Digit]],0,SQRT((Fsw*(Table1[[#This Row],[t1_Ph_II]]+0))*((Table1[[#This Row],[I_0]]*Table1[[#This Row],[I_1]]+((Table1[[#This Row],[I_0]]-Table1[[#This Row],[I_1]])^2)/3))),SQRT((Fsw*(Table1[[#This Row],[t2_Ph_I]]+0))*((Table1[[#This Row],[I_1]]*Table1[[#This Row],[I_2]]+((Table1[[#This Row],[I_1]]-Table1[[#This Row],[I_2]])^2)/3))))</f>
        <v>0</v>
      </c>
      <c r="AQ131" s="354">
        <f>Rdson4*Table1[[#This Row],[Irms BoCtlr]]^2</f>
        <v>0</v>
      </c>
      <c r="AR131" s="354">
        <f>CHOOSE(Table1[[#This Row],[Mode Digit]], 0, (Vout*Table1[[#This Row],[Iin]]/2)*(Fsw)*(Tr_boost+Tf_boost), (Vout*Iout/2)*(Fsw/1)*(Tr_boost+Tf_boost))</f>
        <v>0</v>
      </c>
      <c r="AS131">
        <f>IF(Table1[[#This Row],[Vin]]&gt;Vout, 0, IF(Table1[[#This Row],[Iin]]&gt;Table1[[#This Row],[Ripple Current pk-pk]]/2,0,ABS(Table1[[#This Row],[Iin]]-Table1[[#This Row],[Ripple Current pk-pk]]/2)*Vsd_Q4*Deadtime*Fsw))</f>
        <v>0</v>
      </c>
      <c r="AT131" s="354">
        <f>(Table1[[#This Row],[Dead Time Loss BoCtlr]]+Table1[[#This Row],[Transition Loss BoCtlr]]+Table1[[#This Row],[RDS(on) Loss BoCtlr]]*(1+RdsonTopTc*Ta-RdsonTopTc*25))/(1-Table1[[#This Row],[RDS(on) Loss BoCtlr]]*RdsonTopTc*ThetaJA_Q4)</f>
        <v>0</v>
      </c>
      <c r="AU13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12.109978129446418</v>
      </c>
      <c r="AV131" s="354">
        <f>Rdson3*Table1[[#This Row],[Irms BoSync]]^2</f>
        <v>0.61593659524181643</v>
      </c>
      <c r="AW13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31" s="354">
        <f>(Table1[[#This Row],[Deadtime Loss BoSync]]+Table1[[#This Row],[RDS(on) Loss BoSync]]*(1+RdsonBotTc*Ta-RdsonBotTc*25))/(1-Table1[[#This Row],[RDS(on) Loss BoSync]]*RdsonBotTc*ThetaJA_Q3)</f>
        <v>0.72278163322743916</v>
      </c>
      <c r="AY131" s="354">
        <f>CHOOSE(Table1[[#This Row],[Mode Digit]], Rdson3*Table1[[#This Row],[Irms Lf]]^2, Rdson1*Table1[[#This Row],[Irms Lf]]^2, 0)</f>
        <v>0.61593659524181643</v>
      </c>
      <c r="AZ131" s="354">
        <f>CHOOSE(Table1[[#This Row],[Mode Digit]], 2*Deadtime*Fsw*IF(VfdSky_Q2&gt;0,VfdSky_Q2,0)*Table1[[#This Row],[Iout]], 2*Deadtime*Fsw*IF(VfdSky_Q3&gt;0,VfdSky_Q3,0)*Table1[[#This Row],[Iin]], 2*Deadtime*Fsw*IF(VfdSky_Q2&gt;0,VfdSky_Q2,0)*Table1[[#This Row],[Iout]]+2*Deadtime*Fsw*IF(VfdSky_Q3&gt;0,VfdSky_Q3,0)*Table1[[#This Row],[Iin]])</f>
        <v>0</v>
      </c>
      <c r="BA131" s="354">
        <f>CHOOSE(Table1[[#This Row],[Mode Digit]], IF(QrrSky_Q2&gt;0,QrrSky_Q2,Qrr_Q2)*Fsw*(Table1[[#This Row],[Vin]]-Table1[[#This Row],[Iout]]*Rdson1),0,  IF(QrrSky_Q2&gt;0,QrrSky_Q2,Qrr_Q2)*Fsw*(Table1[[#This Row],[Vin]]-Table1[[#This Row],[Iout]]*Rdson1)+IF(QrrSky_Q3&gt;0,QrrSky_Q3,Qrr_Q3)*Fsw*Vout)</f>
        <v>0.44435519999999995</v>
      </c>
      <c r="BB131" s="354">
        <f>CHOOSE(Table1[[#This Row],[Mode Digit]],0, IF(QrrSky_Q3&gt;0,QrrSky_Q3,Qrr_Q3)*Fsw*Vout,  IF(QrrSky_Q2&gt;0,QrrSky_Q2,Qrr_Q2)*Fsw*(Table1[[#This Row],[Vin]]-Table1[[#This Row],[Iout]]*Rdson1)+IF(QrrSky_Q3&gt;0,QrrSky_Q3,Qrr_Q3)*Fsw*Vout)</f>
        <v>0</v>
      </c>
      <c r="BC131" s="354">
        <f>CHOOSE(Table1[[#This Row],[Mode Digit]], Rs*Table1[[#This Row],[Irms BuSync]]^2, Rs*Table1[[#This Row],[Irms BoCtlr]]^2, Rs*(Table1[[#This Row],[Irms BuSync]]^2+Table1[[#This Row],[Irms BoCtlr]]^2))</f>
        <v>0.22090603016782495</v>
      </c>
      <c r="BD131" s="354">
        <f t="shared" si="5"/>
        <v>1.44</v>
      </c>
      <c r="BE131" s="354">
        <f>IF(Vout&gt;8, Iq*Vout, Iq*Table1[[#This Row],[Vin]])</f>
        <v>4.3799999999999999E-2</v>
      </c>
      <c r="BF131" s="354">
        <f>CHOOSE(Table1[[#This Row],[Mode Digit]], (Qg_Q1+Qg_Q2)*Fsw, (Qg_Q3+Qg_Q4)*Fsw, (Qg_Q1+Qg_Q2+Qg_Q3+Qg_Q4)*Fsw)*IF(Vout&gt;8, Vout, Table1[[#This Row],[Vin]])</f>
        <v>0.47303999999999996</v>
      </c>
      <c r="BG131" s="354">
        <f t="shared" si="6"/>
        <v>0.45605042016806729</v>
      </c>
      <c r="BH131" s="354">
        <f>Table1[[#This Row],[IQ Loss]]+Table1[[#This Row],[Switching Current Loss]]</f>
        <v>0.51683999999999997</v>
      </c>
      <c r="BI13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12.060831765579545</v>
      </c>
      <c r="BJ131">
        <f>Vout*Table1[[#This Row],[Iout]]</f>
        <v>175.2</v>
      </c>
      <c r="BK131" s="550">
        <f>Table1[[#This Row],[Pout]]/(Table1[[#This Row],[Pout]]+Table1[[#This Row],[Total Loss]])</f>
        <v>0.9355934091936654</v>
      </c>
      <c r="BL13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296.87510259398493</v>
      </c>
      <c r="BM131" s="559">
        <f>IF(Table1[[#This Row],[Vin]]&gt;Vout, Table1[[#This Row],[Total Sync Bu MOSFET Loss]]*ThetaJA_Q2, ThetaJA_Q3*Table1[[#This Row],[Total Sync Bo MOSFET Loss]])</f>
        <v>62.47414239649386</v>
      </c>
      <c r="BN131" s="9"/>
      <c r="BO131" s="4">
        <f>Table1[[#This Row],[EFF, h]]*100</f>
        <v>93.559340919366534</v>
      </c>
      <c r="BP131" s="354">
        <f>Table1[[#This Row],[Total Inductor Loss]]</f>
        <v>2.6432946836191182</v>
      </c>
      <c r="BQ131" s="354">
        <f>Table1[[#This Row],[Total Control Bu MOSFET Loss]]+Table1[[#This Row],[Total Sync Bu MOSFET Loss]]+Table1[[#This Row],[Total Control Bo MOSFET Loss]]+Table1[[#This Row],[Total Sync Bo MOSFET Loss]]+Table1[[#This Row],[Reverse Recovery Loss MOSFET D BUCK]]+Table1[[#This Row],[Reverse Recovery Loss MOSFET D BOOST]]</f>
        <v>7.1562909164020851</v>
      </c>
      <c r="BR131" s="354">
        <f>Table1[[#This Row],[Total Control Bu MOSFET Loss]]+Table1[[#This Row],[Reverse Recovery Loss MOSFET D BUCK]]*0.66</f>
        <v>5.2411928085664155</v>
      </c>
      <c r="BS131" s="354">
        <f>Table1[[#This Row],[Total Sync Bu MOSFET Loss]]+Table1[[#This Row],[Reverse Recovery Loss MOSFET D BUCK]]*0.33</f>
        <v>1.187872922608231</v>
      </c>
      <c r="BT131" s="354">
        <f xml:space="preserve"> Table1[[#This Row],[Total Control Bo MOSFET Loss]]+Table1[[#This Row],[Reverse Recovery Loss MOSFET D BOOST]]*0.66</f>
        <v>0</v>
      </c>
      <c r="BU131" s="354">
        <f xml:space="preserve"> Table1[[#This Row],[Total Sync Bo MOSFET Loss]]+Table1[[#This Row],[Reverse Recovery Loss MOSFET D BOOST]]*0.33</f>
        <v>0.72278163322743916</v>
      </c>
      <c r="BV131" s="354">
        <f>Table1[[#This Row],[Isense Shunt Loss]]</f>
        <v>0.22090603016782495</v>
      </c>
    </row>
    <row r="132" spans="7:74" x14ac:dyDescent="0.2">
      <c r="G132">
        <v>123</v>
      </c>
      <c r="H132" s="555">
        <f>VIN_min+(VIN_max-VIN_min)*(Table1[[#This Row],[Step]]/200)</f>
        <v>37.22</v>
      </c>
      <c r="I132" s="4" t="str">
        <f>IF(Mode = 2,IF(Table1[[#This Row],[Vin]]&gt;Vout, "BUCK","BOOST"),IF(Table1[[#This Row],[Vin]]&gt;VIN_BB_to_buck, "BUCK", IF(Table1[[#This Row],[Vin]]&lt;=VIN_boost_to_BB,"BOOST","BUCK-BST")))</f>
        <v>BUCK</v>
      </c>
      <c r="J132">
        <f>IF(Table1[[#This Row],[Mode]]="BOOST",2, IF(Table1[[#This Row],[Mode]]="BUCK", 1,3))</f>
        <v>1</v>
      </c>
      <c r="K132">
        <f t="shared" si="4"/>
        <v>12</v>
      </c>
      <c r="L132" s="4">
        <f>Vout*Table1[[#This Row],[Iout]]/(Table1[[#This Row],[Vin]]*Efficiency)</f>
        <v>4.9548912582369411</v>
      </c>
      <c r="M132" s="711">
        <f>MIN(1/Fsw,CHOOSE(Table1[[#This Row],[Mode Digit]],(Vout+(Rdson2+Rs+Rdcr)*Table1[[#This Row],[Iout]])/(Table1[[#This Row],[Vin]]+(Rs+Rdson2-Rdson1)*Table1[[#This Row],[Iout]])/Fsw,(Vout+(Rdson3+Rdcr)*Table1[[#This Row],[Iin]]-Table1[[#This Row],[Vin]])/(Vout+(Rdson3-Rdson4-Rs)*Table1[[#This Row],[Iin]])/Fsw,t1_Ph_II))</f>
        <v>6.5995525727069345E-7</v>
      </c>
      <c r="N132" s="602">
        <f>CHOOSE(Table1[[#This Row],[Mode Digit]],1/Fsw-Table1[[#This Row],[t1_Ph_II]],1/Fsw-Table1[[#This Row],[t1_Ph_II]],(Vout/Fsw-Table1[[#This Row],[Vin]]*t1_Ph_II)/(Table1[[#This Row],[Vin]]+Vout))</f>
        <v>1.0067114093959733E-6</v>
      </c>
      <c r="O132" s="602">
        <f>1/Fsw-(Table1[[#This Row],[t1_Ph_II]]+Table1[[#This Row],[t2_Ph_I]])</f>
        <v>0</v>
      </c>
      <c r="P13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9.1726916819198703</v>
      </c>
      <c r="Q132" s="4">
        <f>CHOOSE(Table1[[#This Row],[Mode Digit]],Table1[[#This Row],[I_0]]+1/Lf*(Table1[[#This Row],[Vin]]-Vout)*Table1[[#This Row],[t1_Ph_II]],Table1[[#This Row],[I_0]]+1/Lf*Table1[[#This Row],[Vin]]*Table1[[#This Row],[t1_Ph_II]],Table1[[#This Row],[I_0]]+(Table1[[#This Row],[Vin]]-Vout)/L*Table1[[#This Row],[t1_Ph_II]])</f>
        <v>14.827308318080128</v>
      </c>
      <c r="R132" s="4">
        <f>CHOOSE(Table1[[#This Row],[Mode Digit]],0,0,Table1[[#This Row],[I_1]]+Table1[[#This Row],[Vin]]/L*Table1[[#This Row],[t2_Ph_I]])</f>
        <v>0</v>
      </c>
      <c r="S132" s="4">
        <f>Fsw*(Table1[[#This Row],[I_0]]*Table1[[#This Row],[t1_Ph_II]]+Table1[[#This Row],[I_1]]*Table1[[#This Row],[t2_Ph_I]]+Table1[[#This Row],[I_2]]*Table1[[#This Row],[t3_Ph_III]])</f>
        <v>12.588231931949556</v>
      </c>
      <c r="T132" s="354">
        <f>MIN(1,CHOOSE(Table1[[#This Row],[Mode Digit]],(Vout+(Rdson2+Rs+Rdcr)*Table1[[#This Row],[Iout]])/(Table1[[#This Row],[Vin]]+(Rs+Rdson2-Rdson1)*Table1[[#This Row],[Iout]]),1,Fsw*Table1[[#This Row],[t2_Ph_I]]+Table1[[#This Row],[t1_Ph_II]]))</f>
        <v>0.39597315436241609</v>
      </c>
      <c r="U132" s="354">
        <f>MIN(1,CHOOSE(Table1[[#This Row],[Mode Digit]],0,(Vout+(Rdson3+Rdcr)*Table1[[#This Row],[Iin]]-Table1[[#This Row],[Vin]])/(Vout+(Rdson3-Rdson4-Rs)*Table1[[#This Row],[Iin]]),Fsw*Table1[[#This Row],[t1_Ph_II]]+Table1[[#This Row],[t3_Ph_III]]))</f>
        <v>0</v>
      </c>
      <c r="V132" s="4">
        <f>MAX(Table1[[#This Row],[I_0]:[I_2]])-MIN(Table1[[#This Row],[I_0]:[I_1]])</f>
        <v>5.6546166361602577</v>
      </c>
      <c r="W13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12.110514334322401</v>
      </c>
      <c r="X132" s="354">
        <f>(Table1[[#This Row],[Irms Lf]]^2*Rdcr*(1+Ltc*Ta-Ltc*25))/(1-Table1[[#This Row],[Irms Lf]]^2*Rdcr*Ltc*ThetaCa)</f>
        <v>0.91277062333891146</v>
      </c>
      <c r="Y132" s="354">
        <f>ABS(7.759*10^-3*Fsw^0.9458*(0.00787*Table1[[#This Row],[Ripple Current pk-pk]])^2.304)</f>
        <v>1.7403791975445417</v>
      </c>
      <c r="Z132" s="354">
        <f>Table1[[#This Row],[DCR    Loss]]+Table1[[#This Row],[Core Loss]]</f>
        <v>2.6531498208834532</v>
      </c>
      <c r="AA132" s="4">
        <f>IF(Table1[[#This Row],[Vin]]&gt;Vout, Table1[[#This Row],[Ripple Current pk-pk]]/SQRT(12), SQRT(Table1[[#This Row],[Duty Cycle BOOST Leg]]/(1-Table1[[#This Row],[Duty Cycle BOOST Leg]]))*SQRT(Table1[[#This Row],[Iout]]^2+(Table1[[#This Row],[Ripple Current pk-pk]]^2)/12))</f>
        <v>1.6323472185256305</v>
      </c>
      <c r="AB132" s="354">
        <f>RCoutEsr*Table1[[#This Row],[Irms Cout]]^2</f>
        <v>1.3322787209141811E-2</v>
      </c>
      <c r="AC132" s="354">
        <f>Table1[[#This Row],[Cout ESR Loss]]</f>
        <v>1.3322787209141811E-2</v>
      </c>
      <c r="AD132" s="354">
        <f>IF(Table1[[#This Row],[Vin]]&gt;Vout, SQRT(Table1[[#This Row],[Duty Cycle BUCK Leg]]*(1-Table1[[#This Row],[Duty Cycle BUCK Leg]]))*SQRT(Table1[[#This Row],[Iout]]^2+(Table1[[#This Row],[Ripple Current pk-pk]]^2)/12), Table1[[#This Row],[Ripple Current pk-pk]]/SQRT(12))</f>
        <v>5.9227524380415648</v>
      </c>
      <c r="AE132" s="354">
        <f>RCinEsr*Table1[[#This Row],[Irms Cin]]^2</f>
        <v>7.0157992884654602E-2</v>
      </c>
      <c r="AF132" s="549">
        <f>Table1[[#This Row],[Cin ESR Loss]]</f>
        <v>7.0157992884654602E-2</v>
      </c>
      <c r="AG13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7.6207104290484979</v>
      </c>
      <c r="AH132" s="354">
        <f>Rdson1*Table1[[#This Row],[Irms BuCtrl]]^2</f>
        <v>0.24391595526231591</v>
      </c>
      <c r="AI132" s="354">
        <f>CHOOSE(Table1[[#This Row],[Mode Digit]], (Table1[[#This Row],[Vin]]*Table1[[#This Row],[Iout]]/2)*(Fsw)*(Tr_buck+Tf_buck), 0, (Table1[[#This Row],[Vin]]*Table1[[#This Row],[Avg IL]]/2)*(Fsw/1)*(Tr_buck+Tf_buck))</f>
        <v>4.429046131339665</v>
      </c>
      <c r="AJ132">
        <f>IF(Table1[[#This Row],[Vin]]&gt;Vout, IF(Table1[[#This Row],[Iout]]&gt;Table1[[#This Row],[Ripple Current pk-pk]]/2,0,ABS(Table1[[#This Row],[Iout]]-Table1[[#This Row],[Ripple Current pk-pk]]/2)*Vsd_Q1*Deadtime*Fsw),0)</f>
        <v>0</v>
      </c>
      <c r="AK132" s="354">
        <f>(Table1[[#This Row],[Dead Time Loss BuCtrl]]+Table1[[#This Row],[Transition Loss BuCtrl]]+Table1[[#This Row],[RDS(on) Loss BuCtrl]]*(1+RdsonTopTc*Ta-RdsonTopTc*25))/(1-Table1[[#This Row],[RDS(on) Loss BuCtrl]]*RdsonTopTc*ThetaJA_Q1)</f>
        <v>4.9635260543668487</v>
      </c>
      <c r="AL132" s="354">
        <f>CHOOSE(Table1[[#This Row],[Mode Digit]],SQRT((Fsw*(Table1[[#This Row],[t2_Ph_I]]+0))*((Table1[[#This Row],[I_0]]*Table1[[#This Row],[I_1]]+((Table1[[#This Row],[I_0]]-Table1[[#This Row],[I_1]])^2)/3))),0,SQRT((Fsw*(Table1[[#This Row],[t3_Ph_III]]+0))*((Table1[[#This Row],[I_0]]*Table1[[#This Row],[I_2]]+((Table1[[#This Row],[I_0]]-Table1[[#This Row],[I_2]])^2)/3))))</f>
        <v>9.412190499475658</v>
      </c>
      <c r="AM132" s="354">
        <f>Rdson2*Table1[[#This Row],[Irms BuSync]]^2</f>
        <v>0.37207518599336337</v>
      </c>
      <c r="AN13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32" s="354">
        <f>(Table1[[#This Row],[Deadtime Loss BuSync]]+Table1[[#This Row],[RDS(on) Loss BuSync]]*(1+RdsonBotTc*Ta-RdsonBotTc*25))/(1-Table1[[#This Row],[RDS(on) Loss BuSync]]*RdsonBotTc*ThetaJA_Q2)</f>
        <v>1.0425437312120578</v>
      </c>
      <c r="AP132" s="354">
        <f>CHOOSE(Table1[[#This Row],[Mode Digit]],0,SQRT((Fsw*(Table1[[#This Row],[t1_Ph_II]]+0))*((Table1[[#This Row],[I_0]]*Table1[[#This Row],[I_1]]+((Table1[[#This Row],[I_0]]-Table1[[#This Row],[I_1]])^2)/3))),SQRT((Fsw*(Table1[[#This Row],[t2_Ph_I]]+0))*((Table1[[#This Row],[I_1]]*Table1[[#This Row],[I_2]]+((Table1[[#This Row],[I_1]]-Table1[[#This Row],[I_2]])^2)/3))))</f>
        <v>0</v>
      </c>
      <c r="AQ132" s="354">
        <f>Rdson4*Table1[[#This Row],[Irms BoCtlr]]^2</f>
        <v>0</v>
      </c>
      <c r="AR132" s="354">
        <f>CHOOSE(Table1[[#This Row],[Mode Digit]], 0, (Vout*Table1[[#This Row],[Iin]]/2)*(Fsw)*(Tr_boost+Tf_boost), (Vout*Iout/2)*(Fsw/1)*(Tr_boost+Tf_boost))</f>
        <v>0</v>
      </c>
      <c r="AS132">
        <f>IF(Table1[[#This Row],[Vin]]&gt;Vout, 0, IF(Table1[[#This Row],[Iin]]&gt;Table1[[#This Row],[Ripple Current pk-pk]]/2,0,ABS(Table1[[#This Row],[Iin]]-Table1[[#This Row],[Ripple Current pk-pk]]/2)*Vsd_Q4*Deadtime*Fsw))</f>
        <v>0</v>
      </c>
      <c r="AT132" s="354">
        <f>(Table1[[#This Row],[Dead Time Loss BoCtlr]]+Table1[[#This Row],[Transition Loss BoCtlr]]+Table1[[#This Row],[RDS(on) Loss BoCtlr]]*(1+RdsonTopTc*Ta-RdsonTopTc*25))/(1-Table1[[#This Row],[RDS(on) Loss BoCtlr]]*RdsonTopTc*ThetaJA_Q4)</f>
        <v>0</v>
      </c>
      <c r="AU13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12.110514334322401</v>
      </c>
      <c r="AV132" s="354">
        <f>Rdson3*Table1[[#This Row],[Irms BoSync]]^2</f>
        <v>0.61599114125567911</v>
      </c>
      <c r="AW13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32" s="354">
        <f>(Table1[[#This Row],[Deadtime Loss BoSync]]+Table1[[#This Row],[RDS(on) Loss BoSync]]*(1+RdsonBotTc*Ta-RdsonBotTc*25))/(1-Table1[[#This Row],[RDS(on) Loss BoSync]]*RdsonBotTc*ThetaJA_Q3)</f>
        <v>0.72285674567092728</v>
      </c>
      <c r="AY132" s="354">
        <f>CHOOSE(Table1[[#This Row],[Mode Digit]], Rdson3*Table1[[#This Row],[Irms Lf]]^2, Rdson1*Table1[[#This Row],[Irms Lf]]^2, 0)</f>
        <v>0.61599114125567911</v>
      </c>
      <c r="AZ132" s="354">
        <f>CHOOSE(Table1[[#This Row],[Mode Digit]], 2*Deadtime*Fsw*IF(VfdSky_Q2&gt;0,VfdSky_Q2,0)*Table1[[#This Row],[Iout]], 2*Deadtime*Fsw*IF(VfdSky_Q3&gt;0,VfdSky_Q3,0)*Table1[[#This Row],[Iin]], 2*Deadtime*Fsw*IF(VfdSky_Q2&gt;0,VfdSky_Q2,0)*Table1[[#This Row],[Iout]]+2*Deadtime*Fsw*IF(VfdSky_Q3&gt;0,VfdSky_Q3,0)*Table1[[#This Row],[Iin]])</f>
        <v>0</v>
      </c>
      <c r="BA132" s="354">
        <f>CHOOSE(Table1[[#This Row],[Mode Digit]], IF(QrrSky_Q2&gt;0,QrrSky_Q2,Qrr_Q2)*Fsw*(Table1[[#This Row],[Vin]]-Table1[[#This Row],[Iout]]*Rdson1),0,  IF(QrrSky_Q2&gt;0,QrrSky_Q2,Qrr_Q2)*Fsw*(Table1[[#This Row],[Vin]]-Table1[[#This Row],[Iout]]*Rdson1)+IF(QrrSky_Q3&gt;0,QrrSky_Q3,Qrr_Q3)*Fsw*Vout)</f>
        <v>0.44603519999999997</v>
      </c>
      <c r="BB132" s="354">
        <f>CHOOSE(Table1[[#This Row],[Mode Digit]],0, IF(QrrSky_Q3&gt;0,QrrSky_Q3,Qrr_Q3)*Fsw*Vout,  IF(QrrSky_Q2&gt;0,QrrSky_Q2,Qrr_Q2)*Fsw*(Table1[[#This Row],[Vin]]-Table1[[#This Row],[Iout]]*Rdson1)+IF(QrrSky_Q3&gt;0,QrrSky_Q3,Qrr_Q3)*Fsw*Vout)</f>
        <v>0</v>
      </c>
      <c r="BC132" s="354">
        <f>CHOOSE(Table1[[#This Row],[Mode Digit]], Rs*Table1[[#This Row],[Irms BuSync]]^2, Rs*Table1[[#This Row],[Irms BoCtlr]]^2, Rs*(Table1[[#This Row],[Irms BuSync]]^2+Table1[[#This Row],[Irms BoCtlr]]^2))</f>
        <v>0.2214733249960496</v>
      </c>
      <c r="BD132" s="354">
        <f t="shared" si="5"/>
        <v>1.44</v>
      </c>
      <c r="BE132" s="354">
        <f>IF(Vout&gt;8, Iq*Vout, Iq*Table1[[#This Row],[Vin]])</f>
        <v>4.3799999999999999E-2</v>
      </c>
      <c r="BF132" s="354">
        <f>CHOOSE(Table1[[#This Row],[Mode Digit]], (Qg_Q1+Qg_Q2)*Fsw, (Qg_Q3+Qg_Q4)*Fsw, (Qg_Q1+Qg_Q2+Qg_Q3+Qg_Q4)*Fsw)*IF(Vout&gt;8, Vout, Table1[[#This Row],[Vin]])</f>
        <v>0.47303999999999996</v>
      </c>
      <c r="BG132" s="354">
        <f t="shared" si="6"/>
        <v>0.45605042016806729</v>
      </c>
      <c r="BH132" s="354">
        <f>Table1[[#This Row],[IQ Loss]]+Table1[[#This Row],[Switching Current Loss]]</f>
        <v>0.51683999999999997</v>
      </c>
      <c r="BI13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12.089905657223134</v>
      </c>
      <c r="BJ132">
        <f>Vout*Table1[[#This Row],[Iout]]</f>
        <v>175.2</v>
      </c>
      <c r="BK132" s="550">
        <f>Table1[[#This Row],[Pout]]/(Table1[[#This Row],[Pout]]+Table1[[#This Row],[Total Loss]])</f>
        <v>0.93544817263483482</v>
      </c>
      <c r="BL13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297.81156326201091</v>
      </c>
      <c r="BM132" s="559">
        <f>IF(Table1[[#This Row],[Vin]]&gt;Vout, Table1[[#This Row],[Total Sync Bu MOSFET Loss]]*ThetaJA_Q2, ThetaJA_Q3*Table1[[#This Row],[Total Sync Bo MOSFET Loss]])</f>
        <v>62.552623872723466</v>
      </c>
      <c r="BN132" s="9"/>
      <c r="BO132" s="4">
        <f>Table1[[#This Row],[EFF, h]]*100</f>
        <v>93.54481726348348</v>
      </c>
      <c r="BP132" s="354">
        <f>Table1[[#This Row],[Total Inductor Loss]]</f>
        <v>2.6531498208834532</v>
      </c>
      <c r="BQ132" s="354">
        <f>Table1[[#This Row],[Total Control Bu MOSFET Loss]]+Table1[[#This Row],[Total Sync Bu MOSFET Loss]]+Table1[[#This Row],[Total Control Bo MOSFET Loss]]+Table1[[#This Row],[Total Sync Bo MOSFET Loss]]+Table1[[#This Row],[Reverse Recovery Loss MOSFET D BUCK]]+Table1[[#This Row],[Reverse Recovery Loss MOSFET D BOOST]]</f>
        <v>7.1749617312498337</v>
      </c>
      <c r="BR132" s="354">
        <f>Table1[[#This Row],[Total Control Bu MOSFET Loss]]+Table1[[#This Row],[Reverse Recovery Loss MOSFET D BUCK]]*0.66</f>
        <v>5.2579092863668491</v>
      </c>
      <c r="BS132" s="354">
        <f>Table1[[#This Row],[Total Sync Bu MOSFET Loss]]+Table1[[#This Row],[Reverse Recovery Loss MOSFET D BUCK]]*0.33</f>
        <v>1.1897353472120578</v>
      </c>
      <c r="BT132" s="354">
        <f xml:space="preserve"> Table1[[#This Row],[Total Control Bo MOSFET Loss]]+Table1[[#This Row],[Reverse Recovery Loss MOSFET D BOOST]]*0.66</f>
        <v>0</v>
      </c>
      <c r="BU132" s="354">
        <f xml:space="preserve"> Table1[[#This Row],[Total Sync Bo MOSFET Loss]]+Table1[[#This Row],[Reverse Recovery Loss MOSFET D BOOST]]*0.33</f>
        <v>0.72285674567092728</v>
      </c>
      <c r="BV132" s="354">
        <f>Table1[[#This Row],[Isense Shunt Loss]]</f>
        <v>0.2214733249960496</v>
      </c>
    </row>
    <row r="133" spans="7:74" x14ac:dyDescent="0.2">
      <c r="G133">
        <v>124</v>
      </c>
      <c r="H133" s="555">
        <f>VIN_min+(VIN_max-VIN_min)*(Table1[[#This Row],[Step]]/200)</f>
        <v>37.36</v>
      </c>
      <c r="I133" s="4" t="str">
        <f>IF(Mode = 2,IF(Table1[[#This Row],[Vin]]&gt;Vout, "BUCK","BOOST"),IF(Table1[[#This Row],[Vin]]&gt;VIN_BB_to_buck, "BUCK", IF(Table1[[#This Row],[Vin]]&lt;=VIN_boost_to_BB,"BOOST","BUCK-BST")))</f>
        <v>BUCK</v>
      </c>
      <c r="J133">
        <f>IF(Table1[[#This Row],[Mode]]="BOOST",2, IF(Table1[[#This Row],[Mode]]="BUCK", 1,3))</f>
        <v>1</v>
      </c>
      <c r="K133">
        <f t="shared" si="4"/>
        <v>12</v>
      </c>
      <c r="L133" s="4">
        <f>Vout*Table1[[#This Row],[Iout]]/(Table1[[#This Row],[Vin]]*Efficiency)</f>
        <v>4.9363236785754534</v>
      </c>
      <c r="M133" s="711">
        <f>MIN(1/Fsw,CHOOSE(Table1[[#This Row],[Mode Digit]],(Vout+(Rdson2+Rs+Rdcr)*Table1[[#This Row],[Iout]])/(Table1[[#This Row],[Vin]]+(Rs+Rdson2-Rdson1)*Table1[[#This Row],[Iout]])/Fsw,(Vout+(Rdson3+Rdcr)*Table1[[#This Row],[Iin]]-Table1[[#This Row],[Vin]])/(Vout+(Rdson3-Rdson4-Rs)*Table1[[#This Row],[Iin]])/Fsw,t1_Ph_II))</f>
        <v>6.5748417580458234E-7</v>
      </c>
      <c r="N133" s="602">
        <f>CHOOSE(Table1[[#This Row],[Mode Digit]],1/Fsw-Table1[[#This Row],[t1_Ph_II]],1/Fsw-Table1[[#This Row],[t1_Ph_II]],(Vout/Fsw-Table1[[#This Row],[Vin]]*t1_Ph_II)/(Table1[[#This Row],[Vin]]+Vout))</f>
        <v>1.0091824908620843E-6</v>
      </c>
      <c r="O133" s="602">
        <f>1/Fsw-(Table1[[#This Row],[t1_Ph_II]]+Table1[[#This Row],[t2_Ph_I]])</f>
        <v>0</v>
      </c>
      <c r="P13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9.1658447270241865</v>
      </c>
      <c r="Q133" s="4">
        <f>CHOOSE(Table1[[#This Row],[Mode Digit]],Table1[[#This Row],[I_0]]+1/Lf*(Table1[[#This Row],[Vin]]-Vout)*Table1[[#This Row],[t1_Ph_II]],Table1[[#This Row],[I_0]]+1/Lf*Table1[[#This Row],[Vin]]*Table1[[#This Row],[t1_Ph_II]],Table1[[#This Row],[I_0]]+(Table1[[#This Row],[Vin]]-Vout)/L*Table1[[#This Row],[t1_Ph_II]])</f>
        <v>14.834155272975813</v>
      </c>
      <c r="R133" s="4">
        <f>CHOOSE(Table1[[#This Row],[Mode Digit]],0,0,Table1[[#This Row],[I_1]]+Table1[[#This Row],[Vin]]/L*Table1[[#This Row],[t2_Ph_I]])</f>
        <v>0</v>
      </c>
      <c r="S133" s="4">
        <f>Fsw*(Table1[[#This Row],[I_0]]*Table1[[#This Row],[t1_Ph_II]]+Table1[[#This Row],[I_1]]*Table1[[#This Row],[t2_Ph_I]]+Table1[[#This Row],[I_2]]*Table1[[#This Row],[t3_Ph_III]])</f>
        <v>12.598060580470158</v>
      </c>
      <c r="T133" s="354">
        <f>MIN(1,CHOOSE(Table1[[#This Row],[Mode Digit]],(Vout+(Rdson2+Rs+Rdcr)*Table1[[#This Row],[Iout]])/(Table1[[#This Row],[Vin]]+(Rs+Rdson2-Rdson1)*Table1[[#This Row],[Iout]]),1,Fsw*Table1[[#This Row],[t2_Ph_I]]+Table1[[#This Row],[t1_Ph_II]]))</f>
        <v>0.39449050548274939</v>
      </c>
      <c r="U133" s="354">
        <f>MIN(1,CHOOSE(Table1[[#This Row],[Mode Digit]],0,(Vout+(Rdson3+Rdcr)*Table1[[#This Row],[Iin]]-Table1[[#This Row],[Vin]])/(Vout+(Rdson3-Rdson4-Rs)*Table1[[#This Row],[Iin]]),Fsw*Table1[[#This Row],[t1_Ph_II]]+Table1[[#This Row],[t3_Ph_III]]))</f>
        <v>0</v>
      </c>
      <c r="V133" s="4">
        <f>MAX(Table1[[#This Row],[I_0]:[I_2]])-MIN(Table1[[#This Row],[I_0]:[I_1]])</f>
        <v>5.668310545951627</v>
      </c>
      <c r="W13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12.111047795454317</v>
      </c>
      <c r="X133" s="354">
        <f>(Table1[[#This Row],[Irms Lf]]^2*Rdcr*(1+Ltc*Ta-Ltc*25))/(1-Table1[[#This Row],[Irms Lf]]^2*Rdcr*Ltc*ThetaCa)</f>
        <v>0.91285691179285711</v>
      </c>
      <c r="Y133" s="354">
        <f>ABS(7.759*10^-3*Fsw^0.9458*(0.00787*Table1[[#This Row],[Ripple Current pk-pk]])^2.304)</f>
        <v>1.7501052367613519</v>
      </c>
      <c r="Z133" s="354">
        <f>Table1[[#This Row],[DCR    Loss]]+Table1[[#This Row],[Core Loss]]</f>
        <v>2.6629621485542092</v>
      </c>
      <c r="AA133" s="4">
        <f>IF(Table1[[#This Row],[Vin]]&gt;Vout, Table1[[#This Row],[Ripple Current pk-pk]]/SQRT(12), SQRT(Table1[[#This Row],[Duty Cycle BOOST Leg]]/(1-Table1[[#This Row],[Duty Cycle BOOST Leg]]))*SQRT(Table1[[#This Row],[Iout]]^2+(Table1[[#This Row],[Ripple Current pk-pk]]^2)/12))</f>
        <v>1.6363003097777833</v>
      </c>
      <c r="AB133" s="354">
        <f>RCoutEsr*Table1[[#This Row],[Irms Cout]]^2</f>
        <v>1.3387393518894349E-2</v>
      </c>
      <c r="AC133" s="354">
        <f>Table1[[#This Row],[Cout ESR Loss]]</f>
        <v>1.3387393518894349E-2</v>
      </c>
      <c r="AD133" s="354">
        <f>IF(Table1[[#This Row],[Vin]]&gt;Vout, SQRT(Table1[[#This Row],[Duty Cycle BUCK Leg]]*(1-Table1[[#This Row],[Duty Cycle BUCK Leg]]))*SQRT(Table1[[#This Row],[Iout]]^2+(Table1[[#This Row],[Ripple Current pk-pk]]^2)/12), Table1[[#This Row],[Ripple Current pk-pk]]/SQRT(12))</f>
        <v>5.9191653812052651</v>
      </c>
      <c r="AE133" s="354">
        <f>RCinEsr*Table1[[#This Row],[Irms Cin]]^2</f>
        <v>7.007303762011774E-2</v>
      </c>
      <c r="AF133" s="549">
        <f>Table1[[#This Row],[Cin ESR Loss]]</f>
        <v>7.007303762011774E-2</v>
      </c>
      <c r="AG13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7.6067649310852854</v>
      </c>
      <c r="AH133" s="354">
        <f>Rdson1*Table1[[#This Row],[Irms BuCtrl]]^2</f>
        <v>0.24302406541051352</v>
      </c>
      <c r="AI133" s="354">
        <f>CHOOSE(Table1[[#This Row],[Mode Digit]], (Table1[[#This Row],[Vin]]*Table1[[#This Row],[Iout]]/2)*(Fsw)*(Tr_buck+Tf_buck), 0, (Table1[[#This Row],[Vin]]*Table1[[#This Row],[Avg IL]]/2)*(Fsw/1)*(Tr_buck+Tf_buck))</f>
        <v>4.4457056278035978</v>
      </c>
      <c r="AJ133">
        <f>IF(Table1[[#This Row],[Vin]]&gt;Vout, IF(Table1[[#This Row],[Iout]]&gt;Table1[[#This Row],[Ripple Current pk-pk]]/2,0,ABS(Table1[[#This Row],[Iout]]-Table1[[#This Row],[Ripple Current pk-pk]]/2)*Vsd_Q1*Deadtime*Fsw),0)</f>
        <v>0</v>
      </c>
      <c r="AK133" s="354">
        <f>(Table1[[#This Row],[Dead Time Loss BuCtrl]]+Table1[[#This Row],[Transition Loss BuCtrl]]+Table1[[#This Row],[RDS(on) Loss BuCtrl]]*(1+RdsonTopTc*Ta-RdsonTopTc*25))/(1-Table1[[#This Row],[RDS(on) Loss BuCtrl]]*RdsonTopTc*ThetaJA_Q1)</f>
        <v>4.9791420134624138</v>
      </c>
      <c r="AL133" s="354">
        <f>CHOOSE(Table1[[#This Row],[Mode Digit]],SQRT((Fsw*(Table1[[#This Row],[t2_Ph_I]]+0))*((Table1[[#This Row],[I_0]]*Table1[[#This Row],[I_1]]+((Table1[[#This Row],[I_0]]-Table1[[#This Row],[I_1]])^2)/3))),0,SQRT((Fsw*(Table1[[#This Row],[t3_Ph_III]]+0))*((Table1[[#This Row],[I_0]]*Table1[[#This Row],[I_2]]+((Table1[[#This Row],[I_0]]-Table1[[#This Row],[I_2]])^2)/3))))</f>
        <v>9.4241501466705166</v>
      </c>
      <c r="AM133" s="354">
        <f>Rdson2*Table1[[#This Row],[Irms BuSync]]^2</f>
        <v>0.37302134514535773</v>
      </c>
      <c r="AN13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33" s="354">
        <f>(Table1[[#This Row],[Deadtime Loss BuSync]]+Table1[[#This Row],[RDS(on) Loss BuSync]]*(1+RdsonBotTc*Ta-RdsonBotTc*25))/(1-Table1[[#This Row],[RDS(on) Loss BuSync]]*RdsonBotTc*ThetaJA_Q2)</f>
        <v>1.043842941252769</v>
      </c>
      <c r="AP133" s="354">
        <f>CHOOSE(Table1[[#This Row],[Mode Digit]],0,SQRT((Fsw*(Table1[[#This Row],[t1_Ph_II]]+0))*((Table1[[#This Row],[I_0]]*Table1[[#This Row],[I_1]]+((Table1[[#This Row],[I_0]]-Table1[[#This Row],[I_1]])^2)/3))),SQRT((Fsw*(Table1[[#This Row],[t2_Ph_I]]+0))*((Table1[[#This Row],[I_1]]*Table1[[#This Row],[I_2]]+((Table1[[#This Row],[I_1]]-Table1[[#This Row],[I_2]])^2)/3))))</f>
        <v>0</v>
      </c>
      <c r="AQ133" s="354">
        <f>Rdson4*Table1[[#This Row],[Irms BoCtlr]]^2</f>
        <v>0</v>
      </c>
      <c r="AR133" s="354">
        <f>CHOOSE(Table1[[#This Row],[Mode Digit]], 0, (Vout*Table1[[#This Row],[Iin]]/2)*(Fsw)*(Tr_boost+Tf_boost), (Vout*Iout/2)*(Fsw/1)*(Tr_boost+Tf_boost))</f>
        <v>0</v>
      </c>
      <c r="AS133">
        <f>IF(Table1[[#This Row],[Vin]]&gt;Vout, 0, IF(Table1[[#This Row],[Iin]]&gt;Table1[[#This Row],[Ripple Current pk-pk]]/2,0,ABS(Table1[[#This Row],[Iin]]-Table1[[#This Row],[Ripple Current pk-pk]]/2)*Vsd_Q4*Deadtime*Fsw))</f>
        <v>0</v>
      </c>
      <c r="AT133" s="354">
        <f>(Table1[[#This Row],[Dead Time Loss BoCtlr]]+Table1[[#This Row],[Transition Loss BoCtlr]]+Table1[[#This Row],[RDS(on) Loss BoCtlr]]*(1+RdsonTopTc*Ta-RdsonTopTc*25))/(1-Table1[[#This Row],[RDS(on) Loss BoCtlr]]*RdsonTopTc*ThetaJA_Q4)</f>
        <v>0</v>
      </c>
      <c r="AU13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12.111047795454317</v>
      </c>
      <c r="AV133" s="354">
        <f>Rdson3*Table1[[#This Row],[Irms BoSync]]^2</f>
        <v>0.61604541055587125</v>
      </c>
      <c r="AW13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33" s="354">
        <f>(Table1[[#This Row],[Deadtime Loss BoSync]]+Table1[[#This Row],[RDS(on) Loss BoSync]]*(1+RdsonBotTc*Ta-RdsonBotTc*25))/(1-Table1[[#This Row],[RDS(on) Loss BoSync]]*RdsonBotTc*ThetaJA_Q3)</f>
        <v>0.7229314793568713</v>
      </c>
      <c r="AY133" s="354">
        <f>CHOOSE(Table1[[#This Row],[Mode Digit]], Rdson3*Table1[[#This Row],[Irms Lf]]^2, Rdson1*Table1[[#This Row],[Irms Lf]]^2, 0)</f>
        <v>0.61604541055587125</v>
      </c>
      <c r="AZ133" s="354">
        <f>CHOOSE(Table1[[#This Row],[Mode Digit]], 2*Deadtime*Fsw*IF(VfdSky_Q2&gt;0,VfdSky_Q2,0)*Table1[[#This Row],[Iout]], 2*Deadtime*Fsw*IF(VfdSky_Q3&gt;0,VfdSky_Q3,0)*Table1[[#This Row],[Iin]], 2*Deadtime*Fsw*IF(VfdSky_Q2&gt;0,VfdSky_Q2,0)*Table1[[#This Row],[Iout]]+2*Deadtime*Fsw*IF(VfdSky_Q3&gt;0,VfdSky_Q3,0)*Table1[[#This Row],[Iin]])</f>
        <v>0</v>
      </c>
      <c r="BA133" s="354">
        <f>CHOOSE(Table1[[#This Row],[Mode Digit]], IF(QrrSky_Q2&gt;0,QrrSky_Q2,Qrr_Q2)*Fsw*(Table1[[#This Row],[Vin]]-Table1[[#This Row],[Iout]]*Rdson1),0,  IF(QrrSky_Q2&gt;0,QrrSky_Q2,Qrr_Q2)*Fsw*(Table1[[#This Row],[Vin]]-Table1[[#This Row],[Iout]]*Rdson1)+IF(QrrSky_Q3&gt;0,QrrSky_Q3,Qrr_Q3)*Fsw*Vout)</f>
        <v>0.44771519999999998</v>
      </c>
      <c r="BB133" s="354">
        <f>CHOOSE(Table1[[#This Row],[Mode Digit]],0, IF(QrrSky_Q3&gt;0,QrrSky_Q3,Qrr_Q3)*Fsw*Vout,  IF(QrrSky_Q2&gt;0,QrrSky_Q2,Qrr_Q2)*Fsw*(Table1[[#This Row],[Vin]]-Table1[[#This Row],[Iout]]*Rdson1)+IF(QrrSky_Q3&gt;0,QrrSky_Q3,Qrr_Q3)*Fsw*Vout)</f>
        <v>0</v>
      </c>
      <c r="BC133" s="354">
        <f>CHOOSE(Table1[[#This Row],[Mode Digit]], Rs*Table1[[#This Row],[Irms BuSync]]^2, Rs*Table1[[#This Row],[Irms BoCtlr]]^2, Rs*(Table1[[#This Row],[Irms BuSync]]^2+Table1[[#This Row],[Irms BoCtlr]]^2))</f>
        <v>0.22203651496747479</v>
      </c>
      <c r="BD133" s="354">
        <f t="shared" si="5"/>
        <v>1.44</v>
      </c>
      <c r="BE133" s="354">
        <f>IF(Vout&gt;8, Iq*Vout, Iq*Table1[[#This Row],[Vin]])</f>
        <v>4.3799999999999999E-2</v>
      </c>
      <c r="BF133" s="354">
        <f>CHOOSE(Table1[[#This Row],[Mode Digit]], (Qg_Q1+Qg_Q2)*Fsw, (Qg_Q3+Qg_Q4)*Fsw, (Qg_Q1+Qg_Q2+Qg_Q3+Qg_Q4)*Fsw)*IF(Vout&gt;8, Vout, Table1[[#This Row],[Vin]])</f>
        <v>0.47303999999999996</v>
      </c>
      <c r="BG133" s="354">
        <f t="shared" si="6"/>
        <v>0.45605042016806729</v>
      </c>
      <c r="BH133" s="354">
        <f>Table1[[#This Row],[IQ Loss]]+Table1[[#This Row],[Switching Current Loss]]</f>
        <v>0.51683999999999997</v>
      </c>
      <c r="BI13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12.118930728732749</v>
      </c>
      <c r="BJ133">
        <f>Vout*Table1[[#This Row],[Iout]]</f>
        <v>175.2</v>
      </c>
      <c r="BK133" s="550">
        <f>Table1[[#This Row],[Pout]]/(Table1[[#This Row],[Pout]]+Table1[[#This Row],[Total Loss]])</f>
        <v>0.93530322492453866</v>
      </c>
      <c r="BL13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298.74852080774485</v>
      </c>
      <c r="BM133" s="559">
        <f>IF(Table1[[#This Row],[Vin]]&gt;Vout, Table1[[#This Row],[Total Sync Bu MOSFET Loss]]*ThetaJA_Q2, ThetaJA_Q3*Table1[[#This Row],[Total Sync Bo MOSFET Loss]])</f>
        <v>62.630576475166137</v>
      </c>
      <c r="BN133" s="9"/>
      <c r="BO133" s="4">
        <f>Table1[[#This Row],[EFF, h]]*100</f>
        <v>93.530322492453863</v>
      </c>
      <c r="BP133" s="354">
        <f>Table1[[#This Row],[Total Inductor Loss]]</f>
        <v>2.6629621485542092</v>
      </c>
      <c r="BQ133" s="354">
        <f>Table1[[#This Row],[Total Control Bu MOSFET Loss]]+Table1[[#This Row],[Total Sync Bu MOSFET Loss]]+Table1[[#This Row],[Total Control Bo MOSFET Loss]]+Table1[[#This Row],[Total Sync Bo MOSFET Loss]]+Table1[[#This Row],[Reverse Recovery Loss MOSFET D BUCK]]+Table1[[#This Row],[Reverse Recovery Loss MOSFET D BOOST]]</f>
        <v>7.1936316340720543</v>
      </c>
      <c r="BR133" s="354">
        <f>Table1[[#This Row],[Total Control Bu MOSFET Loss]]+Table1[[#This Row],[Reverse Recovery Loss MOSFET D BUCK]]*0.66</f>
        <v>5.2746340454624141</v>
      </c>
      <c r="BS133" s="354">
        <f>Table1[[#This Row],[Total Sync Bu MOSFET Loss]]+Table1[[#This Row],[Reverse Recovery Loss MOSFET D BUCK]]*0.33</f>
        <v>1.1915889572527689</v>
      </c>
      <c r="BT133" s="354">
        <f xml:space="preserve"> Table1[[#This Row],[Total Control Bo MOSFET Loss]]+Table1[[#This Row],[Reverse Recovery Loss MOSFET D BOOST]]*0.66</f>
        <v>0</v>
      </c>
      <c r="BU133" s="354">
        <f xml:space="preserve"> Table1[[#This Row],[Total Sync Bo MOSFET Loss]]+Table1[[#This Row],[Reverse Recovery Loss MOSFET D BOOST]]*0.33</f>
        <v>0.7229314793568713</v>
      </c>
      <c r="BV133" s="354">
        <f>Table1[[#This Row],[Isense Shunt Loss]]</f>
        <v>0.22203651496747479</v>
      </c>
    </row>
    <row r="134" spans="7:74" x14ac:dyDescent="0.2">
      <c r="G134">
        <v>125</v>
      </c>
      <c r="H134" s="555">
        <f>VIN_min+(VIN_max-VIN_min)*(Table1[[#This Row],[Step]]/200)</f>
        <v>37.5</v>
      </c>
      <c r="I134" s="4" t="str">
        <f>IF(Mode = 2,IF(Table1[[#This Row],[Vin]]&gt;Vout, "BUCK","BOOST"),IF(Table1[[#This Row],[Vin]]&gt;VIN_BB_to_buck, "BUCK", IF(Table1[[#This Row],[Vin]]&lt;=VIN_boost_to_BB,"BOOST","BUCK-BST")))</f>
        <v>BUCK</v>
      </c>
      <c r="J134">
        <f>IF(Table1[[#This Row],[Mode]]="BOOST",2, IF(Table1[[#This Row],[Mode]]="BUCK", 1,3))</f>
        <v>1</v>
      </c>
      <c r="K134">
        <f t="shared" si="4"/>
        <v>12</v>
      </c>
      <c r="L134" s="4">
        <f>Vout*Table1[[#This Row],[Iout]]/(Table1[[#This Row],[Vin]]*Efficiency)</f>
        <v>4.9178947368421051</v>
      </c>
      <c r="M134" s="711">
        <f>MIN(1/Fsw,CHOOSE(Table1[[#This Row],[Mode Digit]],(Vout+(Rdson2+Rs+Rdcr)*Table1[[#This Row],[Iout]])/(Table1[[#This Row],[Vin]]+(Rs+Rdson2-Rdson1)*Table1[[#This Row],[Iout]])/Fsw,(Vout+(Rdson3+Rdcr)*Table1[[#This Row],[Iin]]-Table1[[#This Row],[Vin]])/(Vout+(Rdson3-Rdson4-Rs)*Table1[[#This Row],[Iin]])/Fsw,t1_Ph_II))</f>
        <v>6.5503153033129057E-7</v>
      </c>
      <c r="N134" s="602">
        <f>CHOOSE(Table1[[#This Row],[Mode Digit]],1/Fsw-Table1[[#This Row],[t1_Ph_II]],1/Fsw-Table1[[#This Row],[t1_Ph_II]],(Vout/Fsw-Table1[[#This Row],[Vin]]*t1_Ph_II)/(Table1[[#This Row],[Vin]]+Vout))</f>
        <v>1.0116351363353761E-6</v>
      </c>
      <c r="O134" s="602">
        <f>1/Fsw-(Table1[[#This Row],[t1_Ph_II]]+Table1[[#This Row],[t2_Ph_I]])</f>
        <v>0</v>
      </c>
      <c r="P13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9.1590488551919407</v>
      </c>
      <c r="Q134" s="4">
        <f>CHOOSE(Table1[[#This Row],[Mode Digit]],Table1[[#This Row],[I_0]]+1/Lf*(Table1[[#This Row],[Vin]]-Vout)*Table1[[#This Row],[t1_Ph_II]],Table1[[#This Row],[I_0]]+1/Lf*Table1[[#This Row],[Vin]]*Table1[[#This Row],[t1_Ph_II]],Table1[[#This Row],[I_0]]+(Table1[[#This Row],[Vin]]-Vout)/L*Table1[[#This Row],[t1_Ph_II]])</f>
        <v>14.840951144808059</v>
      </c>
      <c r="R134" s="4">
        <f>CHOOSE(Table1[[#This Row],[Mode Digit]],0,0,Table1[[#This Row],[I_1]]+Table1[[#This Row],[Vin]]/L*Table1[[#This Row],[t2_Ph_I]])</f>
        <v>0</v>
      </c>
      <c r="S134" s="4">
        <f>Fsw*(Table1[[#This Row],[I_0]]*Table1[[#This Row],[t1_Ph_II]]+Table1[[#This Row],[I_1]]*Table1[[#This Row],[t2_Ph_I]]+Table1[[#This Row],[I_2]]*Table1[[#This Row],[t3_Ph_III]])</f>
        <v>12.607856053631993</v>
      </c>
      <c r="T134" s="354">
        <f>MIN(1,CHOOSE(Table1[[#This Row],[Mode Digit]],(Vout+(Rdson2+Rs+Rdcr)*Table1[[#This Row],[Iout]])/(Table1[[#This Row],[Vin]]+(Rs+Rdson2-Rdson1)*Table1[[#This Row],[Iout]]),1,Fsw*Table1[[#This Row],[t2_Ph_I]]+Table1[[#This Row],[t1_Ph_II]]))</f>
        <v>0.39301891819877433</v>
      </c>
      <c r="U134" s="354">
        <f>MIN(1,CHOOSE(Table1[[#This Row],[Mode Digit]],0,(Vout+(Rdson3+Rdcr)*Table1[[#This Row],[Iin]]-Table1[[#This Row],[Vin]])/(Vout+(Rdson3-Rdson4-Rs)*Table1[[#This Row],[Iin]]),Fsw*Table1[[#This Row],[t1_Ph_II]]+Table1[[#This Row],[t3_Ph_III]]))</f>
        <v>0</v>
      </c>
      <c r="V134" s="4">
        <f>MAX(Table1[[#This Row],[I_0]:[I_2]])-MIN(Table1[[#This Row],[I_0]:[I_1]])</f>
        <v>5.6819022896161187</v>
      </c>
      <c r="W13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12.111578529203452</v>
      </c>
      <c r="X134" s="354">
        <f>(Table1[[#This Row],[Irms Lf]]^2*Rdcr*(1+Ltc*Ta-Ltc*25))/(1-Table1[[#This Row],[Irms Lf]]^2*Rdcr*Ltc*ThetaCa)</f>
        <v>0.91294276396052643</v>
      </c>
      <c r="Y134" s="354">
        <f>ABS(7.759*10^-3*Fsw^0.9458*(0.00787*Table1[[#This Row],[Ripple Current pk-pk]])^2.304)</f>
        <v>1.7597890585309821</v>
      </c>
      <c r="Z134" s="354">
        <f>Table1[[#This Row],[DCR    Loss]]+Table1[[#This Row],[Core Loss]]</f>
        <v>2.6727318224915084</v>
      </c>
      <c r="AA134" s="4">
        <f>IF(Table1[[#This Row],[Vin]]&gt;Vout, Table1[[#This Row],[Ripple Current pk-pk]]/SQRT(12), SQRT(Table1[[#This Row],[Duty Cycle BOOST Leg]]/(1-Table1[[#This Row],[Duty Cycle BOOST Leg]]))*SQRT(Table1[[#This Row],[Iout]]^2+(Table1[[#This Row],[Ripple Current pk-pk]]^2)/12))</f>
        <v>1.6402239082095087</v>
      </c>
      <c r="AB134" s="354">
        <f>RCoutEsr*Table1[[#This Row],[Irms Cout]]^2</f>
        <v>1.3451672345310375E-2</v>
      </c>
      <c r="AC134" s="354">
        <f>Table1[[#This Row],[Cout ESR Loss]]</f>
        <v>1.3451672345310375E-2</v>
      </c>
      <c r="AD134" s="354">
        <f>IF(Table1[[#This Row],[Vin]]&gt;Vout, SQRT(Table1[[#This Row],[Duty Cycle BUCK Leg]]*(1-Table1[[#This Row],[Duty Cycle BUCK Leg]]))*SQRT(Table1[[#This Row],[Iout]]^2+(Table1[[#This Row],[Ripple Current pk-pk]]^2)/12), Table1[[#This Row],[Ripple Current pk-pk]]/SQRT(12))</f>
        <v>5.9155489855504406</v>
      </c>
      <c r="AE134" s="354">
        <f>RCinEsr*Table1[[#This Row],[Irms Cin]]^2</f>
        <v>6.9987439600893694E-2</v>
      </c>
      <c r="AF134" s="549">
        <f>Table1[[#This Row],[Cin ESR Loss]]</f>
        <v>6.9987439600893694E-2</v>
      </c>
      <c r="AG13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7.5928964541370609</v>
      </c>
      <c r="AH134" s="354">
        <f>Rdson1*Table1[[#This Row],[Irms BuCtrl]]^2</f>
        <v>0.24213872156563809</v>
      </c>
      <c r="AI134" s="354">
        <f>CHOOSE(Table1[[#This Row],[Mode Digit]], (Table1[[#This Row],[Vin]]*Table1[[#This Row],[Iout]]/2)*(Fsw)*(Tr_buck+Tf_buck), 0, (Table1[[#This Row],[Vin]]*Table1[[#This Row],[Avg IL]]/2)*(Fsw/1)*(Tr_buck+Tf_buck))</f>
        <v>4.4623651242675297</v>
      </c>
      <c r="AJ134">
        <f>IF(Table1[[#This Row],[Vin]]&gt;Vout, IF(Table1[[#This Row],[Iout]]&gt;Table1[[#This Row],[Ripple Current pk-pk]]/2,0,ABS(Table1[[#This Row],[Iout]]-Table1[[#This Row],[Ripple Current pk-pk]]/2)*Vsd_Q1*Deadtime*Fsw),0)</f>
        <v>0</v>
      </c>
      <c r="AK134" s="354">
        <f>(Table1[[#This Row],[Dead Time Loss BuCtrl]]+Table1[[#This Row],[Transition Loss BuCtrl]]+Table1[[#This Row],[RDS(on) Loss BuCtrl]]*(1+RdsonTopTc*Ta-RdsonTopTc*25))/(1-Table1[[#This Row],[RDS(on) Loss BuCtrl]]*RdsonTopTc*ThetaJA_Q1)</f>
        <v>4.994766155788855</v>
      </c>
      <c r="AL134" s="354">
        <f>CHOOSE(Table1[[#This Row],[Mode Digit]],SQRT((Fsw*(Table1[[#This Row],[t2_Ph_I]]+0))*((Table1[[#This Row],[I_0]]*Table1[[#This Row],[I_1]]+((Table1[[#This Row],[I_0]]-Table1[[#This Row],[I_1]])^2)/3))),0,SQRT((Fsw*(Table1[[#This Row],[t3_Ph_III]]+0))*((Table1[[#This Row],[I_0]]*Table1[[#This Row],[I_2]]+((Table1[[#This Row],[I_0]]-Table1[[#This Row],[I_2]])^2)/3))))</f>
        <v>9.4360085791511938</v>
      </c>
      <c r="AM134" s="354">
        <f>Rdson2*Table1[[#This Row],[Irms BuSync]]^2</f>
        <v>0.37396068320442277</v>
      </c>
      <c r="AN13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34" s="354">
        <f>(Table1[[#This Row],[Deadtime Loss BuSync]]+Table1[[#This Row],[RDS(on) Loss BuSync]]*(1+RdsonBotTc*Ta-RdsonBotTc*25))/(1-Table1[[#This Row],[RDS(on) Loss BuSync]]*RdsonBotTc*ThetaJA_Q2)</f>
        <v>1.0451334262002403</v>
      </c>
      <c r="AP134" s="354">
        <f>CHOOSE(Table1[[#This Row],[Mode Digit]],0,SQRT((Fsw*(Table1[[#This Row],[t1_Ph_II]]+0))*((Table1[[#This Row],[I_0]]*Table1[[#This Row],[I_1]]+((Table1[[#This Row],[I_0]]-Table1[[#This Row],[I_1]])^2)/3))),SQRT((Fsw*(Table1[[#This Row],[t2_Ph_I]]+0))*((Table1[[#This Row],[I_1]]*Table1[[#This Row],[I_2]]+((Table1[[#This Row],[I_1]]-Table1[[#This Row],[I_2]])^2)/3))))</f>
        <v>0</v>
      </c>
      <c r="AQ134" s="354">
        <f>Rdson4*Table1[[#This Row],[Irms BoCtlr]]^2</f>
        <v>0</v>
      </c>
      <c r="AR134" s="354">
        <f>CHOOSE(Table1[[#This Row],[Mode Digit]], 0, (Vout*Table1[[#This Row],[Iin]]/2)*(Fsw)*(Tr_boost+Tf_boost), (Vout*Iout/2)*(Fsw/1)*(Tr_boost+Tf_boost))</f>
        <v>0</v>
      </c>
      <c r="AS134">
        <f>IF(Table1[[#This Row],[Vin]]&gt;Vout, 0, IF(Table1[[#This Row],[Iin]]&gt;Table1[[#This Row],[Ripple Current pk-pk]]/2,0,ABS(Table1[[#This Row],[Iin]]-Table1[[#This Row],[Ripple Current pk-pk]]/2)*Vsd_Q4*Deadtime*Fsw))</f>
        <v>0</v>
      </c>
      <c r="AT134" s="354">
        <f>(Table1[[#This Row],[Dead Time Loss BoCtlr]]+Table1[[#This Row],[Transition Loss BoCtlr]]+Table1[[#This Row],[RDS(on) Loss BoCtlr]]*(1+RdsonTopTc*Ta-RdsonTopTc*25))/(1-Table1[[#This Row],[RDS(on) Loss BoCtlr]]*RdsonTopTc*ThetaJA_Q4)</f>
        <v>0</v>
      </c>
      <c r="AU13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12.111578529203452</v>
      </c>
      <c r="AV134" s="354">
        <f>Rdson3*Table1[[#This Row],[Irms BoSync]]^2</f>
        <v>0.61609940477006075</v>
      </c>
      <c r="AW13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34" s="354">
        <f>(Table1[[#This Row],[Deadtime Loss BoSync]]+Table1[[#This Row],[RDS(on) Loss BoSync]]*(1+RdsonBotTc*Ta-RdsonBotTc*25))/(1-Table1[[#This Row],[RDS(on) Loss BoSync]]*RdsonBotTc*ThetaJA_Q3)</f>
        <v>0.72300583649197769</v>
      </c>
      <c r="AY134" s="354">
        <f>CHOOSE(Table1[[#This Row],[Mode Digit]], Rdson3*Table1[[#This Row],[Irms Lf]]^2, Rdson1*Table1[[#This Row],[Irms Lf]]^2, 0)</f>
        <v>0.61609940477006075</v>
      </c>
      <c r="AZ134" s="354">
        <f>CHOOSE(Table1[[#This Row],[Mode Digit]], 2*Deadtime*Fsw*IF(VfdSky_Q2&gt;0,VfdSky_Q2,0)*Table1[[#This Row],[Iout]], 2*Deadtime*Fsw*IF(VfdSky_Q3&gt;0,VfdSky_Q3,0)*Table1[[#This Row],[Iin]], 2*Deadtime*Fsw*IF(VfdSky_Q2&gt;0,VfdSky_Q2,0)*Table1[[#This Row],[Iout]]+2*Deadtime*Fsw*IF(VfdSky_Q3&gt;0,VfdSky_Q3,0)*Table1[[#This Row],[Iin]])</f>
        <v>0</v>
      </c>
      <c r="BA134" s="354">
        <f>CHOOSE(Table1[[#This Row],[Mode Digit]], IF(QrrSky_Q2&gt;0,QrrSky_Q2,Qrr_Q2)*Fsw*(Table1[[#This Row],[Vin]]-Table1[[#This Row],[Iout]]*Rdson1),0,  IF(QrrSky_Q2&gt;0,QrrSky_Q2,Qrr_Q2)*Fsw*(Table1[[#This Row],[Vin]]-Table1[[#This Row],[Iout]]*Rdson1)+IF(QrrSky_Q3&gt;0,QrrSky_Q3,Qrr_Q3)*Fsw*Vout)</f>
        <v>0.44939519999999999</v>
      </c>
      <c r="BB134" s="354">
        <f>CHOOSE(Table1[[#This Row],[Mode Digit]],0, IF(QrrSky_Q3&gt;0,QrrSky_Q3,Qrr_Q3)*Fsw*Vout,  IF(QrrSky_Q2&gt;0,QrrSky_Q2,Qrr_Q2)*Fsw*(Table1[[#This Row],[Vin]]-Table1[[#This Row],[Iout]]*Rdson1)+IF(QrrSky_Q3&gt;0,QrrSky_Q3,Qrr_Q3)*Fsw*Vout)</f>
        <v>0</v>
      </c>
      <c r="BC134" s="354">
        <f>CHOOSE(Table1[[#This Row],[Mode Digit]], Rs*Table1[[#This Row],[Irms BuSync]]^2, Rs*Table1[[#This Row],[Irms BoCtlr]]^2, Rs*(Table1[[#This Row],[Irms BuSync]]^2+Table1[[#This Row],[Irms BoCtlr]]^2))</f>
        <v>0.22259564476453733</v>
      </c>
      <c r="BD134" s="354">
        <f t="shared" si="5"/>
        <v>1.44</v>
      </c>
      <c r="BE134" s="354">
        <f>IF(Vout&gt;8, Iq*Vout, Iq*Table1[[#This Row],[Vin]])</f>
        <v>4.3799999999999999E-2</v>
      </c>
      <c r="BF134" s="354">
        <f>CHOOSE(Table1[[#This Row],[Mode Digit]], (Qg_Q1+Qg_Q2)*Fsw, (Qg_Q3+Qg_Q4)*Fsw, (Qg_Q1+Qg_Q2+Qg_Q3+Qg_Q4)*Fsw)*IF(Vout&gt;8, Vout, Table1[[#This Row],[Vin]])</f>
        <v>0.47303999999999996</v>
      </c>
      <c r="BG134" s="354">
        <f t="shared" si="6"/>
        <v>0.45605042016806729</v>
      </c>
      <c r="BH134" s="354">
        <f>Table1[[#This Row],[IQ Loss]]+Table1[[#This Row],[Switching Current Loss]]</f>
        <v>0.51683999999999997</v>
      </c>
      <c r="BI13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12.147907197683324</v>
      </c>
      <c r="BJ134">
        <f>Vout*Table1[[#This Row],[Iout]]</f>
        <v>175.2</v>
      </c>
      <c r="BK134" s="550">
        <f>Table1[[#This Row],[Pout]]/(Table1[[#This Row],[Pout]]+Table1[[#This Row],[Total Loss]])</f>
        <v>0.93515856472917391</v>
      </c>
      <c r="BL13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299.68596934733131</v>
      </c>
      <c r="BM134" s="559">
        <f>IF(Table1[[#This Row],[Vin]]&gt;Vout, Table1[[#This Row],[Total Sync Bu MOSFET Loss]]*ThetaJA_Q2, ThetaJA_Q3*Table1[[#This Row],[Total Sync Bo MOSFET Loss]])</f>
        <v>62.708005572014414</v>
      </c>
      <c r="BN134" s="9"/>
      <c r="BO134" s="4">
        <f>Table1[[#This Row],[EFF, h]]*100</f>
        <v>93.515856472917392</v>
      </c>
      <c r="BP134" s="354">
        <f>Table1[[#This Row],[Total Inductor Loss]]</f>
        <v>2.6727318224915084</v>
      </c>
      <c r="BQ134" s="354">
        <f>Table1[[#This Row],[Total Control Bu MOSFET Loss]]+Table1[[#This Row],[Total Sync Bu MOSFET Loss]]+Table1[[#This Row],[Total Control Bo MOSFET Loss]]+Table1[[#This Row],[Total Sync Bo MOSFET Loss]]+Table1[[#This Row],[Reverse Recovery Loss MOSFET D BUCK]]+Table1[[#This Row],[Reverse Recovery Loss MOSFET D BOOST]]</f>
        <v>7.2123006184810725</v>
      </c>
      <c r="BR134" s="354">
        <f>Table1[[#This Row],[Total Control Bu MOSFET Loss]]+Table1[[#This Row],[Reverse Recovery Loss MOSFET D BUCK]]*0.66</f>
        <v>5.2913669877888552</v>
      </c>
      <c r="BS134" s="354">
        <f>Table1[[#This Row],[Total Sync Bu MOSFET Loss]]+Table1[[#This Row],[Reverse Recovery Loss MOSFET D BUCK]]*0.33</f>
        <v>1.1934338422002404</v>
      </c>
      <c r="BT134" s="354">
        <f xml:space="preserve"> Table1[[#This Row],[Total Control Bo MOSFET Loss]]+Table1[[#This Row],[Reverse Recovery Loss MOSFET D BOOST]]*0.66</f>
        <v>0</v>
      </c>
      <c r="BU134" s="354">
        <f xml:space="preserve"> Table1[[#This Row],[Total Sync Bo MOSFET Loss]]+Table1[[#This Row],[Reverse Recovery Loss MOSFET D BOOST]]*0.33</f>
        <v>0.72300583649197769</v>
      </c>
      <c r="BV134" s="354">
        <f>Table1[[#This Row],[Isense Shunt Loss]]</f>
        <v>0.22259564476453733</v>
      </c>
    </row>
    <row r="135" spans="7:74" x14ac:dyDescent="0.2">
      <c r="G135">
        <v>126</v>
      </c>
      <c r="H135" s="555">
        <f>VIN_min+(VIN_max-VIN_min)*(Table1[[#This Row],[Step]]/200)</f>
        <v>37.64</v>
      </c>
      <c r="I135" s="4" t="str">
        <f>IF(Mode = 2,IF(Table1[[#This Row],[Vin]]&gt;Vout, "BUCK","BOOST"),IF(Table1[[#This Row],[Vin]]&gt;VIN_BB_to_buck, "BUCK", IF(Table1[[#This Row],[Vin]]&lt;=VIN_boost_to_BB,"BOOST","BUCK-BST")))</f>
        <v>BUCK</v>
      </c>
      <c r="J135">
        <f>IF(Table1[[#This Row],[Mode]]="BOOST",2, IF(Table1[[#This Row],[Mode]]="BUCK", 1,3))</f>
        <v>1</v>
      </c>
      <c r="K135">
        <f t="shared" si="4"/>
        <v>12</v>
      </c>
      <c r="L135" s="4">
        <f>Vout*Table1[[#This Row],[Iout]]/(Table1[[#This Row],[Vin]]*Efficiency)</f>
        <v>4.8996028860674539</v>
      </c>
      <c r="M135" s="711">
        <f>MIN(1/Fsw,CHOOSE(Table1[[#This Row],[Mode Digit]],(Vout+(Rdson2+Rs+Rdcr)*Table1[[#This Row],[Iout]])/(Table1[[#This Row],[Vin]]+(Rs+Rdson2-Rdson1)*Table1[[#This Row],[Iout]])/Fsw,(Vout+(Rdson3+Rdcr)*Table1[[#This Row],[Iin]]-Table1[[#This Row],[Vin]])/(Vout+(Rdson3-Rdson4-Rs)*Table1[[#This Row],[Iin]])/Fsw,t1_Ph_II))</f>
        <v>6.5259711529953099E-7</v>
      </c>
      <c r="N135" s="602">
        <f>CHOOSE(Table1[[#This Row],[Mode Digit]],1/Fsw-Table1[[#This Row],[t1_Ph_II]],1/Fsw-Table1[[#This Row],[t1_Ph_II]],(Vout/Fsw-Table1[[#This Row],[Vin]]*t1_Ph_II)/(Table1[[#This Row],[Vin]]+Vout))</f>
        <v>1.0140695513671358E-6</v>
      </c>
      <c r="O135" s="602">
        <f>1/Fsw-(Table1[[#This Row],[t1_Ph_II]]+Table1[[#This Row],[t2_Ph_I]])</f>
        <v>0</v>
      </c>
      <c r="P13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9.1523034968747741</v>
      </c>
      <c r="Q135" s="4">
        <f>CHOOSE(Table1[[#This Row],[Mode Digit]],Table1[[#This Row],[I_0]]+1/Lf*(Table1[[#This Row],[Vin]]-Vout)*Table1[[#This Row],[t1_Ph_II]],Table1[[#This Row],[I_0]]+1/Lf*Table1[[#This Row],[Vin]]*Table1[[#This Row],[t1_Ph_II]],Table1[[#This Row],[I_0]]+(Table1[[#This Row],[Vin]]-Vout)/L*Table1[[#This Row],[t1_Ph_II]])</f>
        <v>14.847696503125226</v>
      </c>
      <c r="R135" s="4">
        <f>CHOOSE(Table1[[#This Row],[Mode Digit]],0,0,Table1[[#This Row],[I_1]]+Table1[[#This Row],[Vin]]/L*Table1[[#This Row],[t2_Ph_I]])</f>
        <v>0</v>
      </c>
      <c r="S135" s="4">
        <f>Fsw*(Table1[[#This Row],[I_0]]*Table1[[#This Row],[t1_Ph_II]]+Table1[[#This Row],[I_1]]*Table1[[#This Row],[t2_Ph_I]]+Table1[[#This Row],[I_2]]*Table1[[#This Row],[t3_Ph_III]])</f>
        <v>12.617618275299524</v>
      </c>
      <c r="T135" s="354">
        <f>MIN(1,CHOOSE(Table1[[#This Row],[Mode Digit]],(Vout+(Rdson2+Rs+Rdcr)*Table1[[#This Row],[Iout]])/(Table1[[#This Row],[Vin]]+(Rs+Rdson2-Rdson1)*Table1[[#This Row],[Iout]]),1,Fsw*Table1[[#This Row],[t2_Ph_I]]+Table1[[#This Row],[t1_Ph_II]]))</f>
        <v>0.39155826917971859</v>
      </c>
      <c r="U135" s="354">
        <f>MIN(1,CHOOSE(Table1[[#This Row],[Mode Digit]],0,(Vout+(Rdson3+Rdcr)*Table1[[#This Row],[Iin]]-Table1[[#This Row],[Vin]])/(Vout+(Rdson3-Rdson4-Rs)*Table1[[#This Row],[Iin]]),Fsw*Table1[[#This Row],[t1_Ph_II]]+Table1[[#This Row],[t3_Ph_III]]))</f>
        <v>0</v>
      </c>
      <c r="V135" s="4">
        <f>MAX(Table1[[#This Row],[I_0]:[I_2]])-MIN(Table1[[#This Row],[I_0]:[I_1]])</f>
        <v>5.6953930062504519</v>
      </c>
      <c r="W13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12.112106551902407</v>
      </c>
      <c r="X135" s="354">
        <f>(Table1[[#This Row],[Irms Lf]]^2*Rdcr*(1+Ltc*Ta-Ltc*25))/(1-Table1[[#This Row],[Irms Lf]]^2*Rdcr*Ltc*ThetaCa)</f>
        <v>0.91302818240934758</v>
      </c>
      <c r="Y135" s="354">
        <f>ABS(7.759*10^-3*Fsw^0.9458*(0.00787*Table1[[#This Row],[Ripple Current pk-pk]])^2.304)</f>
        <v>1.7694308182505534</v>
      </c>
      <c r="Z135" s="354">
        <f>Table1[[#This Row],[DCR    Loss]]+Table1[[#This Row],[Core Loss]]</f>
        <v>2.6824590006599012</v>
      </c>
      <c r="AA135" s="4">
        <f>IF(Table1[[#This Row],[Vin]]&gt;Vout, Table1[[#This Row],[Ripple Current pk-pk]]/SQRT(12), SQRT(Table1[[#This Row],[Duty Cycle BOOST Leg]]/(1-Table1[[#This Row],[Duty Cycle BOOST Leg]]))*SQRT(Table1[[#This Row],[Iout]]^2+(Table1[[#This Row],[Ripple Current pk-pk]]^2)/12))</f>
        <v>1.6441183426497052</v>
      </c>
      <c r="AB135" s="354">
        <f>RCoutEsr*Table1[[#This Row],[Irms Cout]]^2</f>
        <v>1.3515625623186067E-2</v>
      </c>
      <c r="AC135" s="354">
        <f>Table1[[#This Row],[Cout ESR Loss]]</f>
        <v>1.3515625623186067E-2</v>
      </c>
      <c r="AD135" s="354">
        <f>IF(Table1[[#This Row],[Vin]]&gt;Vout, SQRT(Table1[[#This Row],[Duty Cycle BUCK Leg]]*(1-Table1[[#This Row],[Duty Cycle BUCK Leg]]))*SQRT(Table1[[#This Row],[Iout]]^2+(Table1[[#This Row],[Ripple Current pk-pk]]^2)/12), Table1[[#This Row],[Ripple Current pk-pk]]/SQRT(12))</f>
        <v>5.9119040835475056</v>
      </c>
      <c r="AE135" s="354">
        <f>RCinEsr*Table1[[#This Row],[Irms Cin]]^2</f>
        <v>6.9901219786131355E-2</v>
      </c>
      <c r="AF135" s="549">
        <f>Table1[[#This Row],[Cin ESR Loss]]</f>
        <v>6.9901219786131355E-2</v>
      </c>
      <c r="AG13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7.579104284614286</v>
      </c>
      <c r="AH135" s="354">
        <f>Rdson1*Table1[[#This Row],[Irms BuCtrl]]^2</f>
        <v>0.24125985137964626</v>
      </c>
      <c r="AI135" s="354">
        <f>CHOOSE(Table1[[#This Row],[Mode Digit]], (Table1[[#This Row],[Vin]]*Table1[[#This Row],[Iout]]/2)*(Fsw)*(Tr_buck+Tf_buck), 0, (Table1[[#This Row],[Vin]]*Table1[[#This Row],[Avg IL]]/2)*(Fsw/1)*(Tr_buck+Tf_buck))</f>
        <v>4.4790246207314617</v>
      </c>
      <c r="AJ135">
        <f>IF(Table1[[#This Row],[Vin]]&gt;Vout, IF(Table1[[#This Row],[Iout]]&gt;Table1[[#This Row],[Ripple Current pk-pk]]/2,0,ABS(Table1[[#This Row],[Iout]]-Table1[[#This Row],[Ripple Current pk-pk]]/2)*Vsd_Q1*Deadtime*Fsw),0)</f>
        <v>0</v>
      </c>
      <c r="AK135" s="354">
        <f>(Table1[[#This Row],[Dead Time Loss BuCtrl]]+Table1[[#This Row],[Transition Loss BuCtrl]]+Table1[[#This Row],[RDS(on) Loss BuCtrl]]*(1+RdsonTopTc*Ta-RdsonTopTc*25))/(1-Table1[[#This Row],[RDS(on) Loss BuCtrl]]*RdsonTopTc*ThetaJA_Q1)</f>
        <v>5.0103983848337839</v>
      </c>
      <c r="AL135" s="354">
        <f>CHOOSE(Table1[[#This Row],[Mode Digit]],SQRT((Fsw*(Table1[[#This Row],[t2_Ph_I]]+0))*((Table1[[#This Row],[I_0]]*Table1[[#This Row],[I_1]]+((Table1[[#This Row],[I_0]]-Table1[[#This Row],[I_1]])^2)/3))),0,SQRT((Fsw*(Table1[[#This Row],[t3_Ph_III]]+0))*((Table1[[#This Row],[I_0]]*Table1[[#This Row],[I_2]]+((Table1[[#This Row],[I_0]]-Table1[[#This Row],[I_2]])^2)/3))))</f>
        <v>9.4477671101471685</v>
      </c>
      <c r="AM135" s="354">
        <f>Rdson2*Table1[[#This Row],[Irms BuSync]]^2</f>
        <v>0.37489327414383011</v>
      </c>
      <c r="AN13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35" s="354">
        <f>(Table1[[#This Row],[Deadtime Loss BuSync]]+Table1[[#This Row],[RDS(on) Loss BuSync]]*(1+RdsonBotTc*Ta-RdsonBotTc*25))/(1-Table1[[#This Row],[RDS(on) Loss BuSync]]*RdsonBotTc*ThetaJA_Q2)</f>
        <v>1.0464152743070376</v>
      </c>
      <c r="AP135" s="354">
        <f>CHOOSE(Table1[[#This Row],[Mode Digit]],0,SQRT((Fsw*(Table1[[#This Row],[t1_Ph_II]]+0))*((Table1[[#This Row],[I_0]]*Table1[[#This Row],[I_1]]+((Table1[[#This Row],[I_0]]-Table1[[#This Row],[I_1]])^2)/3))),SQRT((Fsw*(Table1[[#This Row],[t2_Ph_I]]+0))*((Table1[[#This Row],[I_1]]*Table1[[#This Row],[I_2]]+((Table1[[#This Row],[I_1]]-Table1[[#This Row],[I_2]])^2)/3))))</f>
        <v>0</v>
      </c>
      <c r="AQ135" s="354">
        <f>Rdson4*Table1[[#This Row],[Irms BoCtlr]]^2</f>
        <v>0</v>
      </c>
      <c r="AR135" s="354">
        <f>CHOOSE(Table1[[#This Row],[Mode Digit]], 0, (Vout*Table1[[#This Row],[Iin]]/2)*(Fsw)*(Tr_boost+Tf_boost), (Vout*Iout/2)*(Fsw/1)*(Tr_boost+Tf_boost))</f>
        <v>0</v>
      </c>
      <c r="AS135">
        <f>IF(Table1[[#This Row],[Vin]]&gt;Vout, 0, IF(Table1[[#This Row],[Iin]]&gt;Table1[[#This Row],[Ripple Current pk-pk]]/2,0,ABS(Table1[[#This Row],[Iin]]-Table1[[#This Row],[Ripple Current pk-pk]]/2)*Vsd_Q4*Deadtime*Fsw))</f>
        <v>0</v>
      </c>
      <c r="AT135" s="354">
        <f>(Table1[[#This Row],[Dead Time Loss BoCtlr]]+Table1[[#This Row],[Transition Loss BoCtlr]]+Table1[[#This Row],[RDS(on) Loss BoCtlr]]*(1+RdsonTopTc*Ta-RdsonTopTc*25))/(1-Table1[[#This Row],[RDS(on) Loss BoCtlr]]*RdsonTopTc*ThetaJA_Q4)</f>
        <v>0</v>
      </c>
      <c r="AU13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12.112106551902407</v>
      </c>
      <c r="AV135" s="354">
        <f>Rdson3*Table1[[#This Row],[Irms BoSync]]^2</f>
        <v>0.61615312552347634</v>
      </c>
      <c r="AW13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35" s="354">
        <f>(Table1[[#This Row],[Deadtime Loss BoSync]]+Table1[[#This Row],[RDS(on) Loss BoSync]]*(1+RdsonBotTc*Ta-RdsonBotTc*25))/(1-Table1[[#This Row],[RDS(on) Loss BoSync]]*RdsonBotTc*ThetaJA_Q3)</f>
        <v>0.7230798192800395</v>
      </c>
      <c r="AY135" s="354">
        <f>CHOOSE(Table1[[#This Row],[Mode Digit]], Rdson3*Table1[[#This Row],[Irms Lf]]^2, Rdson1*Table1[[#This Row],[Irms Lf]]^2, 0)</f>
        <v>0.61615312552347634</v>
      </c>
      <c r="AZ135" s="354">
        <f>CHOOSE(Table1[[#This Row],[Mode Digit]], 2*Deadtime*Fsw*IF(VfdSky_Q2&gt;0,VfdSky_Q2,0)*Table1[[#This Row],[Iout]], 2*Deadtime*Fsw*IF(VfdSky_Q3&gt;0,VfdSky_Q3,0)*Table1[[#This Row],[Iin]], 2*Deadtime*Fsw*IF(VfdSky_Q2&gt;0,VfdSky_Q2,0)*Table1[[#This Row],[Iout]]+2*Deadtime*Fsw*IF(VfdSky_Q3&gt;0,VfdSky_Q3,0)*Table1[[#This Row],[Iin]])</f>
        <v>0</v>
      </c>
      <c r="BA135" s="354">
        <f>CHOOSE(Table1[[#This Row],[Mode Digit]], IF(QrrSky_Q2&gt;0,QrrSky_Q2,Qrr_Q2)*Fsw*(Table1[[#This Row],[Vin]]-Table1[[#This Row],[Iout]]*Rdson1),0,  IF(QrrSky_Q2&gt;0,QrrSky_Q2,Qrr_Q2)*Fsw*(Table1[[#This Row],[Vin]]-Table1[[#This Row],[Iout]]*Rdson1)+IF(QrrSky_Q3&gt;0,QrrSky_Q3,Qrr_Q3)*Fsw*Vout)</f>
        <v>0.45107519999999995</v>
      </c>
      <c r="BB135" s="354">
        <f>CHOOSE(Table1[[#This Row],[Mode Digit]],0, IF(QrrSky_Q3&gt;0,QrrSky_Q3,Qrr_Q3)*Fsw*Vout,  IF(QrrSky_Q2&gt;0,QrrSky_Q2,Qrr_Q2)*Fsw*(Table1[[#This Row],[Vin]]-Table1[[#This Row],[Iout]]*Rdson1)+IF(QrrSky_Q3&gt;0,QrrSky_Q3,Qrr_Q3)*Fsw*Vout)</f>
        <v>0</v>
      </c>
      <c r="BC135" s="354">
        <f>CHOOSE(Table1[[#This Row],[Mode Digit]], Rs*Table1[[#This Row],[Irms BuSync]]^2, Rs*Table1[[#This Row],[Irms BoCtlr]]^2, Rs*(Table1[[#This Row],[Irms BuSync]]^2+Table1[[#This Row],[Irms BoCtlr]]^2))</f>
        <v>0.22315075841894647</v>
      </c>
      <c r="BD135" s="354">
        <f t="shared" si="5"/>
        <v>1.44</v>
      </c>
      <c r="BE135" s="354">
        <f>IF(Vout&gt;8, Iq*Vout, Iq*Table1[[#This Row],[Vin]])</f>
        <v>4.3799999999999999E-2</v>
      </c>
      <c r="BF135" s="354">
        <f>CHOOSE(Table1[[#This Row],[Mode Digit]], (Qg_Q1+Qg_Q2)*Fsw, (Qg_Q3+Qg_Q4)*Fsw, (Qg_Q1+Qg_Q2+Qg_Q3+Qg_Q4)*Fsw)*IF(Vout&gt;8, Vout, Table1[[#This Row],[Vin]])</f>
        <v>0.47303999999999996</v>
      </c>
      <c r="BG135" s="354">
        <f t="shared" si="6"/>
        <v>0.45605042016806729</v>
      </c>
      <c r="BH135" s="354">
        <f>Table1[[#This Row],[IQ Loss]]+Table1[[#This Row],[Switching Current Loss]]</f>
        <v>0.51683999999999997</v>
      </c>
      <c r="BI13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12.176835282909025</v>
      </c>
      <c r="BJ135">
        <f>Vout*Table1[[#This Row],[Iout]]</f>
        <v>175.2</v>
      </c>
      <c r="BK135" s="550">
        <f>Table1[[#This Row],[Pout]]/(Table1[[#This Row],[Pout]]+Table1[[#This Row],[Total Loss]])</f>
        <v>0.93501419071079972</v>
      </c>
      <c r="BL13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300.62390309002706</v>
      </c>
      <c r="BM135" s="559">
        <f>IF(Table1[[#This Row],[Vin]]&gt;Vout, Table1[[#This Row],[Total Sync Bu MOSFET Loss]]*ThetaJA_Q2, ThetaJA_Q3*Table1[[#This Row],[Total Sync Bo MOSFET Loss]])</f>
        <v>62.784916458422259</v>
      </c>
      <c r="BN135" s="9"/>
      <c r="BO135" s="4">
        <f>Table1[[#This Row],[EFF, h]]*100</f>
        <v>93.501419071079965</v>
      </c>
      <c r="BP135" s="354">
        <f>Table1[[#This Row],[Total Inductor Loss]]</f>
        <v>2.6824590006599012</v>
      </c>
      <c r="BQ135" s="354">
        <f>Table1[[#This Row],[Total Control Bu MOSFET Loss]]+Table1[[#This Row],[Total Sync Bu MOSFET Loss]]+Table1[[#This Row],[Total Control Bo MOSFET Loss]]+Table1[[#This Row],[Total Sync Bo MOSFET Loss]]+Table1[[#This Row],[Reverse Recovery Loss MOSFET D BUCK]]+Table1[[#This Row],[Reverse Recovery Loss MOSFET D BOOST]]</f>
        <v>7.2309686784208616</v>
      </c>
      <c r="BR135" s="354">
        <f>Table1[[#This Row],[Total Control Bu MOSFET Loss]]+Table1[[#This Row],[Reverse Recovery Loss MOSFET D BUCK]]*0.66</f>
        <v>5.308108016833784</v>
      </c>
      <c r="BS135" s="354">
        <f>Table1[[#This Row],[Total Sync Bu MOSFET Loss]]+Table1[[#This Row],[Reverse Recovery Loss MOSFET D BUCK]]*0.33</f>
        <v>1.1952700903070377</v>
      </c>
      <c r="BT135" s="354">
        <f xml:space="preserve"> Table1[[#This Row],[Total Control Bo MOSFET Loss]]+Table1[[#This Row],[Reverse Recovery Loss MOSFET D BOOST]]*0.66</f>
        <v>0</v>
      </c>
      <c r="BU135" s="354">
        <f xml:space="preserve"> Table1[[#This Row],[Total Sync Bo MOSFET Loss]]+Table1[[#This Row],[Reverse Recovery Loss MOSFET D BOOST]]*0.33</f>
        <v>0.7230798192800395</v>
      </c>
      <c r="BV135" s="354">
        <f>Table1[[#This Row],[Isense Shunt Loss]]</f>
        <v>0.22315075841894647</v>
      </c>
    </row>
    <row r="136" spans="7:74" x14ac:dyDescent="0.2">
      <c r="G136">
        <v>127</v>
      </c>
      <c r="H136" s="555">
        <f>VIN_min+(VIN_max-VIN_min)*(Table1[[#This Row],[Step]]/200)</f>
        <v>37.78</v>
      </c>
      <c r="I136" s="4" t="str">
        <f>IF(Mode = 2,IF(Table1[[#This Row],[Vin]]&gt;Vout, "BUCK","BOOST"),IF(Table1[[#This Row],[Vin]]&gt;VIN_BB_to_buck, "BUCK", IF(Table1[[#This Row],[Vin]]&lt;=VIN_boost_to_BB,"BOOST","BUCK-BST")))</f>
        <v>BUCK</v>
      </c>
      <c r="J136">
        <f>IF(Table1[[#This Row],[Mode]]="BOOST",2, IF(Table1[[#This Row],[Mode]]="BUCK", 1,3))</f>
        <v>1</v>
      </c>
      <c r="K136">
        <f t="shared" si="4"/>
        <v>12</v>
      </c>
      <c r="L136" s="4">
        <f>Vout*Table1[[#This Row],[Iout]]/(Table1[[#This Row],[Vin]]*Efficiency)</f>
        <v>4.8814466022122538</v>
      </c>
      <c r="M136" s="711">
        <f>MIN(1/Fsw,CHOOSE(Table1[[#This Row],[Mode Digit]],(Vout+(Rdson2+Rs+Rdcr)*Table1[[#This Row],[Iout]])/(Table1[[#This Row],[Vin]]+(Rs+Rdson2-Rdson1)*Table1[[#This Row],[Iout]])/Fsw,(Vout+(Rdson3+Rdcr)*Table1[[#This Row],[Iin]]-Table1[[#This Row],[Vin]])/(Vout+(Rdson3-Rdson4-Rs)*Table1[[#This Row],[Iin]])/Fsw,t1_Ph_II))</f>
        <v>6.5018072820241547E-7</v>
      </c>
      <c r="N136" s="602">
        <f>CHOOSE(Table1[[#This Row],[Mode Digit]],1/Fsw-Table1[[#This Row],[t1_Ph_II]],1/Fsw-Table1[[#This Row],[t1_Ph_II]],(Vout/Fsw-Table1[[#This Row],[Vin]]*t1_Ph_II)/(Table1[[#This Row],[Vin]]+Vout))</f>
        <v>1.0164859384642511E-6</v>
      </c>
      <c r="O136" s="602">
        <f>1/Fsw-(Table1[[#This Row],[t1_Ph_II]]+Table1[[#This Row],[t2_Ph_I]])</f>
        <v>0</v>
      </c>
      <c r="P13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9.1456080909598505</v>
      </c>
      <c r="Q136" s="4">
        <f>CHOOSE(Table1[[#This Row],[Mode Digit]],Table1[[#This Row],[I_0]]+1/Lf*(Table1[[#This Row],[Vin]]-Vout)*Table1[[#This Row],[t1_Ph_II]],Table1[[#This Row],[I_0]]+1/Lf*Table1[[#This Row],[Vin]]*Table1[[#This Row],[t1_Ph_II]],Table1[[#This Row],[I_0]]+(Table1[[#This Row],[Vin]]-Vout)/L*Table1[[#This Row],[t1_Ph_II]])</f>
        <v>14.854391909040149</v>
      </c>
      <c r="R136" s="4">
        <f>CHOOSE(Table1[[#This Row],[Mode Digit]],0,0,Table1[[#This Row],[I_1]]+Table1[[#This Row],[Vin]]/L*Table1[[#This Row],[t2_Ph_I]])</f>
        <v>0</v>
      </c>
      <c r="S136" s="4">
        <f>Fsw*(Table1[[#This Row],[I_0]]*Table1[[#This Row],[t1_Ph_II]]+Table1[[#This Row],[I_1]]*Table1[[#This Row],[t2_Ph_I]]+Table1[[#This Row],[I_2]]*Table1[[#This Row],[t3_Ph_III]])</f>
        <v>12.62734717704638</v>
      </c>
      <c r="T136" s="354">
        <f>MIN(1,CHOOSE(Table1[[#This Row],[Mode Digit]],(Vout+(Rdson2+Rs+Rdcr)*Table1[[#This Row],[Iout]])/(Table1[[#This Row],[Vin]]+(Rs+Rdson2-Rdson1)*Table1[[#This Row],[Iout]]),1,Fsw*Table1[[#This Row],[t2_Ph_I]]+Table1[[#This Row],[t1_Ph_II]]))</f>
        <v>0.39010843692144931</v>
      </c>
      <c r="U136" s="354">
        <f>MIN(1,CHOOSE(Table1[[#This Row],[Mode Digit]],0,(Vout+(Rdson3+Rdcr)*Table1[[#This Row],[Iin]]-Table1[[#This Row],[Vin]])/(Vout+(Rdson3-Rdson4-Rs)*Table1[[#This Row],[Iin]]),Fsw*Table1[[#This Row],[t1_Ph_II]]+Table1[[#This Row],[t3_Ph_III]]))</f>
        <v>0</v>
      </c>
      <c r="V136" s="4">
        <f>MAX(Table1[[#This Row],[I_0]:[I_2]])-MIN(Table1[[#This Row],[I_0]:[I_1]])</f>
        <v>5.708783818080299</v>
      </c>
      <c r="W13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12.112631879851627</v>
      </c>
      <c r="X136" s="354">
        <f>(Table1[[#This Row],[Irms Lf]]^2*Rdcr*(1+Ltc*Ta-Ltc*25))/(1-Table1[[#This Row],[Irms Lf]]^2*Rdcr*Ltc*ThetaCa)</f>
        <v>0.9131131697025191</v>
      </c>
      <c r="Y136" s="354">
        <f>ABS(7.759*10^-3*Fsw^0.9458*(0.00787*Table1[[#This Row],[Ripple Current pk-pk]])^2.304)</f>
        <v>1.7790306733128414</v>
      </c>
      <c r="Z136" s="354">
        <f>Table1[[#This Row],[DCR    Loss]]+Table1[[#This Row],[Core Loss]]</f>
        <v>2.6921438430153604</v>
      </c>
      <c r="AA136" s="4">
        <f>IF(Table1[[#This Row],[Vin]]&gt;Vout, Table1[[#This Row],[Ripple Current pk-pk]]/SQRT(12), SQRT(Table1[[#This Row],[Duty Cycle BOOST Leg]]/(1-Table1[[#This Row],[Duty Cycle BOOST Leg]]))*SQRT(Table1[[#This Row],[Iout]]^2+(Table1[[#This Row],[Ripple Current pk-pk]]^2)/12))</f>
        <v>1.6479839370570202</v>
      </c>
      <c r="AB136" s="354">
        <f>RCoutEsr*Table1[[#This Row],[Irms Cout]]^2</f>
        <v>1.3579255283989785E-2</v>
      </c>
      <c r="AC136" s="354">
        <f>Table1[[#This Row],[Cout ESR Loss]]</f>
        <v>1.3579255283989785E-2</v>
      </c>
      <c r="AD136" s="354">
        <f>IF(Table1[[#This Row],[Vin]]&gt;Vout, SQRT(Table1[[#This Row],[Duty Cycle BUCK Leg]]*(1-Table1[[#This Row],[Duty Cycle BUCK Leg]]))*SQRT(Table1[[#This Row],[Iout]]^2+(Table1[[#This Row],[Ripple Current pk-pk]]^2)/12), Table1[[#This Row],[Ripple Current pk-pk]]/SQRT(12))</f>
        <v>5.9082314877289486</v>
      </c>
      <c r="AE136" s="354">
        <f>RCinEsr*Table1[[#This Row],[Irms Cin]]^2</f>
        <v>6.9814398625183655E-2</v>
      </c>
      <c r="AF136" s="549">
        <f>Table1[[#This Row],[Cin ESR Loss]]</f>
        <v>6.9814398625183655E-2</v>
      </c>
      <c r="AG13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7.5653877182446916</v>
      </c>
      <c r="AH136" s="354">
        <f>Rdson1*Table1[[#This Row],[Irms BuCtrl]]^2</f>
        <v>0.24038738357494405</v>
      </c>
      <c r="AI136" s="354">
        <f>CHOOSE(Table1[[#This Row],[Mode Digit]], (Table1[[#This Row],[Vin]]*Table1[[#This Row],[Iout]]/2)*(Fsw)*(Tr_buck+Tf_buck), 0, (Table1[[#This Row],[Vin]]*Table1[[#This Row],[Avg IL]]/2)*(Fsw/1)*(Tr_buck+Tf_buck))</f>
        <v>4.4956841171953936</v>
      </c>
      <c r="AJ136">
        <f>IF(Table1[[#This Row],[Vin]]&gt;Vout, IF(Table1[[#This Row],[Iout]]&gt;Table1[[#This Row],[Ripple Current pk-pk]]/2,0,ABS(Table1[[#This Row],[Iout]]-Table1[[#This Row],[Ripple Current pk-pk]]/2)*Vsd_Q1*Deadtime*Fsw),0)</f>
        <v>0</v>
      </c>
      <c r="AK136" s="354">
        <f>(Table1[[#This Row],[Dead Time Loss BuCtrl]]+Table1[[#This Row],[Transition Loss BuCtrl]]+Table1[[#This Row],[RDS(on) Loss BuCtrl]]*(1+RdsonTopTc*Ta-RdsonTopTc*25))/(1-Table1[[#This Row],[RDS(on) Loss BuCtrl]]*RdsonTopTc*ThetaJA_Q1)</f>
        <v>5.0260386056059225</v>
      </c>
      <c r="AL136" s="354">
        <f>CHOOSE(Table1[[#This Row],[Mode Digit]],SQRT((Fsw*(Table1[[#This Row],[t2_Ph_I]]+0))*((Table1[[#This Row],[I_0]]*Table1[[#This Row],[I_1]]+((Table1[[#This Row],[I_0]]-Table1[[#This Row],[I_1]])^2)/3))),0,SQRT((Fsw*(Table1[[#This Row],[t3_Ph_III]]+0))*((Table1[[#This Row],[I_0]]*Table1[[#This Row],[I_2]]+((Table1[[#This Row],[I_0]]-Table1[[#This Row],[I_2]])^2)/3))))</f>
        <v>9.4594270296583147</v>
      </c>
      <c r="AM136" s="354">
        <f>Rdson2*Table1[[#This Row],[Irms BuSync]]^2</f>
        <v>0.37581919086360743</v>
      </c>
      <c r="AN13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36" s="354">
        <f>(Table1[[#This Row],[Deadtime Loss BuSync]]+Table1[[#This Row],[RDS(on) Loss BuSync]]*(1+RdsonBotTc*Ta-RdsonBotTc*25))/(1-Table1[[#This Row],[RDS(on) Loss BuSync]]*RdsonBotTc*ThetaJA_Q2)</f>
        <v>1.0476885726292535</v>
      </c>
      <c r="AP136" s="354">
        <f>CHOOSE(Table1[[#This Row],[Mode Digit]],0,SQRT((Fsw*(Table1[[#This Row],[t1_Ph_II]]+0))*((Table1[[#This Row],[I_0]]*Table1[[#This Row],[I_1]]+((Table1[[#This Row],[I_0]]-Table1[[#This Row],[I_1]])^2)/3))),SQRT((Fsw*(Table1[[#This Row],[t2_Ph_I]]+0))*((Table1[[#This Row],[I_1]]*Table1[[#This Row],[I_2]]+((Table1[[#This Row],[I_1]]-Table1[[#This Row],[I_2]])^2)/3))))</f>
        <v>0</v>
      </c>
      <c r="AQ136" s="354">
        <f>Rdson4*Table1[[#This Row],[Irms BoCtlr]]^2</f>
        <v>0</v>
      </c>
      <c r="AR136" s="354">
        <f>CHOOSE(Table1[[#This Row],[Mode Digit]], 0, (Vout*Table1[[#This Row],[Iin]]/2)*(Fsw)*(Tr_boost+Tf_boost), (Vout*Iout/2)*(Fsw/1)*(Tr_boost+Tf_boost))</f>
        <v>0</v>
      </c>
      <c r="AS136">
        <f>IF(Table1[[#This Row],[Vin]]&gt;Vout, 0, IF(Table1[[#This Row],[Iin]]&gt;Table1[[#This Row],[Ripple Current pk-pk]]/2,0,ABS(Table1[[#This Row],[Iin]]-Table1[[#This Row],[Ripple Current pk-pk]]/2)*Vsd_Q4*Deadtime*Fsw))</f>
        <v>0</v>
      </c>
      <c r="AT136" s="354">
        <f>(Table1[[#This Row],[Dead Time Loss BoCtlr]]+Table1[[#This Row],[Transition Loss BoCtlr]]+Table1[[#This Row],[RDS(on) Loss BoCtlr]]*(1+RdsonTopTc*Ta-RdsonTopTc*25))/(1-Table1[[#This Row],[RDS(on) Loss BoCtlr]]*RdsonTopTc*ThetaJA_Q4)</f>
        <v>0</v>
      </c>
      <c r="AU13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12.112631879851627</v>
      </c>
      <c r="AV136" s="354">
        <f>Rdson3*Table1[[#This Row],[Irms BoSync]]^2</f>
        <v>0.61620657443855154</v>
      </c>
      <c r="AW13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36" s="354">
        <f>(Table1[[#This Row],[Deadtime Loss BoSync]]+Table1[[#This Row],[RDS(on) Loss BoSync]]*(1+RdsonBotTc*Ta-RdsonBotTc*25))/(1-Table1[[#This Row],[RDS(on) Loss BoSync]]*RdsonBotTc*ThetaJA_Q3)</f>
        <v>0.72315342992144316</v>
      </c>
      <c r="AY136" s="354">
        <f>CHOOSE(Table1[[#This Row],[Mode Digit]], Rdson3*Table1[[#This Row],[Irms Lf]]^2, Rdson1*Table1[[#This Row],[Irms Lf]]^2, 0)</f>
        <v>0.61620657443855154</v>
      </c>
      <c r="AZ136" s="354">
        <f>CHOOSE(Table1[[#This Row],[Mode Digit]], 2*Deadtime*Fsw*IF(VfdSky_Q2&gt;0,VfdSky_Q2,0)*Table1[[#This Row],[Iout]], 2*Deadtime*Fsw*IF(VfdSky_Q3&gt;0,VfdSky_Q3,0)*Table1[[#This Row],[Iin]], 2*Deadtime*Fsw*IF(VfdSky_Q2&gt;0,VfdSky_Q2,0)*Table1[[#This Row],[Iout]]+2*Deadtime*Fsw*IF(VfdSky_Q3&gt;0,VfdSky_Q3,0)*Table1[[#This Row],[Iin]])</f>
        <v>0</v>
      </c>
      <c r="BA136" s="354">
        <f>CHOOSE(Table1[[#This Row],[Mode Digit]], IF(QrrSky_Q2&gt;0,QrrSky_Q2,Qrr_Q2)*Fsw*(Table1[[#This Row],[Vin]]-Table1[[#This Row],[Iout]]*Rdson1),0,  IF(QrrSky_Q2&gt;0,QrrSky_Q2,Qrr_Q2)*Fsw*(Table1[[#This Row],[Vin]]-Table1[[#This Row],[Iout]]*Rdson1)+IF(QrrSky_Q3&gt;0,QrrSky_Q3,Qrr_Q3)*Fsw*Vout)</f>
        <v>0.45275519999999997</v>
      </c>
      <c r="BB136" s="354">
        <f>CHOOSE(Table1[[#This Row],[Mode Digit]],0, IF(QrrSky_Q3&gt;0,QrrSky_Q3,Qrr_Q3)*Fsw*Vout,  IF(QrrSky_Q2&gt;0,QrrSky_Q2,Qrr_Q2)*Fsw*(Table1[[#This Row],[Vin]]-Table1[[#This Row],[Iout]]*Rdson1)+IF(QrrSky_Q3&gt;0,QrrSky_Q3,Qrr_Q3)*Fsw*Vout)</f>
        <v>0</v>
      </c>
      <c r="BC136" s="354">
        <f>CHOOSE(Table1[[#This Row],[Mode Digit]], Rs*Table1[[#This Row],[Irms BuSync]]^2, Rs*Table1[[#This Row],[Irms BoCtlr]]^2, Rs*(Table1[[#This Row],[Irms BuSync]]^2+Table1[[#This Row],[Irms BoCtlr]]^2))</f>
        <v>0.22370189932357584</v>
      </c>
      <c r="BD136" s="354">
        <f t="shared" si="5"/>
        <v>1.44</v>
      </c>
      <c r="BE136" s="354">
        <f>IF(Vout&gt;8, Iq*Vout, Iq*Table1[[#This Row],[Vin]])</f>
        <v>4.3799999999999999E-2</v>
      </c>
      <c r="BF136" s="354">
        <f>CHOOSE(Table1[[#This Row],[Mode Digit]], (Qg_Q1+Qg_Q2)*Fsw, (Qg_Q3+Qg_Q4)*Fsw, (Qg_Q1+Qg_Q2+Qg_Q3+Qg_Q4)*Fsw)*IF(Vout&gt;8, Vout, Table1[[#This Row],[Vin]])</f>
        <v>0.47303999999999996</v>
      </c>
      <c r="BG136" s="354">
        <f t="shared" si="6"/>
        <v>0.45605042016806729</v>
      </c>
      <c r="BH136" s="354">
        <f>Table1[[#This Row],[IQ Loss]]+Table1[[#This Row],[Switching Current Loss]]</f>
        <v>0.51683999999999997</v>
      </c>
      <c r="BI13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12.205715204404727</v>
      </c>
      <c r="BJ136">
        <f>Vout*Table1[[#This Row],[Iout]]</f>
        <v>175.2</v>
      </c>
      <c r="BK136" s="550">
        <f>Table1[[#This Row],[Pout]]/(Table1[[#This Row],[Pout]]+Table1[[#This Row],[Total Loss]])</f>
        <v>0.93487010152763017</v>
      </c>
      <c r="BL13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301.56231633635537</v>
      </c>
      <c r="BM136" s="559">
        <f>IF(Table1[[#This Row],[Vin]]&gt;Vout, Table1[[#This Row],[Total Sync Bu MOSFET Loss]]*ThetaJA_Q2, ThetaJA_Q3*Table1[[#This Row],[Total Sync Bo MOSFET Loss]])</f>
        <v>62.861314357755212</v>
      </c>
      <c r="BN136" s="9"/>
      <c r="BO136" s="4">
        <f>Table1[[#This Row],[EFF, h]]*100</f>
        <v>93.48701015276302</v>
      </c>
      <c r="BP136" s="354">
        <f>Table1[[#This Row],[Total Inductor Loss]]</f>
        <v>2.6921438430153604</v>
      </c>
      <c r="BQ136" s="354">
        <f>Table1[[#This Row],[Total Control Bu MOSFET Loss]]+Table1[[#This Row],[Total Sync Bu MOSFET Loss]]+Table1[[#This Row],[Total Control Bo MOSFET Loss]]+Table1[[#This Row],[Total Sync Bo MOSFET Loss]]+Table1[[#This Row],[Reverse Recovery Loss MOSFET D BUCK]]+Table1[[#This Row],[Reverse Recovery Loss MOSFET D BOOST]]</f>
        <v>7.2496358081566195</v>
      </c>
      <c r="BR136" s="354">
        <f>Table1[[#This Row],[Total Control Bu MOSFET Loss]]+Table1[[#This Row],[Reverse Recovery Loss MOSFET D BUCK]]*0.66</f>
        <v>5.3248570376059225</v>
      </c>
      <c r="BS136" s="354">
        <f>Table1[[#This Row],[Total Sync Bu MOSFET Loss]]+Table1[[#This Row],[Reverse Recovery Loss MOSFET D BUCK]]*0.33</f>
        <v>1.1970977886292535</v>
      </c>
      <c r="BT136" s="354">
        <f xml:space="preserve"> Table1[[#This Row],[Total Control Bo MOSFET Loss]]+Table1[[#This Row],[Reverse Recovery Loss MOSFET D BOOST]]*0.66</f>
        <v>0</v>
      </c>
      <c r="BU136" s="354">
        <f xml:space="preserve"> Table1[[#This Row],[Total Sync Bo MOSFET Loss]]+Table1[[#This Row],[Reverse Recovery Loss MOSFET D BOOST]]*0.33</f>
        <v>0.72315342992144316</v>
      </c>
      <c r="BV136" s="354">
        <f>Table1[[#This Row],[Isense Shunt Loss]]</f>
        <v>0.22370189932357584</v>
      </c>
    </row>
    <row r="137" spans="7:74" x14ac:dyDescent="0.2">
      <c r="G137">
        <v>128</v>
      </c>
      <c r="H137" s="555">
        <f>VIN_min+(VIN_max-VIN_min)*(Table1[[#This Row],[Step]]/200)</f>
        <v>37.92</v>
      </c>
      <c r="I137" s="4" t="str">
        <f>IF(Mode = 2,IF(Table1[[#This Row],[Vin]]&gt;Vout, "BUCK","BOOST"),IF(Table1[[#This Row],[Vin]]&gt;VIN_BB_to_buck, "BUCK", IF(Table1[[#This Row],[Vin]]&lt;=VIN_boost_to_BB,"BOOST","BUCK-BST")))</f>
        <v>BUCK</v>
      </c>
      <c r="J137">
        <f>IF(Table1[[#This Row],[Mode]]="BOOST",2, IF(Table1[[#This Row],[Mode]]="BUCK", 1,3))</f>
        <v>1</v>
      </c>
      <c r="K137">
        <f t="shared" ref="K137:K200" si="7">Iout</f>
        <v>12</v>
      </c>
      <c r="L137" s="4">
        <f>Vout*Table1[[#This Row],[Iout]]/(Table1[[#This Row],[Vin]]*Efficiency)</f>
        <v>4.86342438374417</v>
      </c>
      <c r="M137" s="711">
        <f>MIN(1/Fsw,CHOOSE(Table1[[#This Row],[Mode Digit]],(Vout+(Rdson2+Rs+Rdcr)*Table1[[#This Row],[Iout]])/(Table1[[#This Row],[Vin]]+(Rs+Rdson2-Rdson1)*Table1[[#This Row],[Iout]])/Fsw,(Vout+(Rdson3+Rdcr)*Table1[[#This Row],[Iin]]-Table1[[#This Row],[Vin]])/(Vout+(Rdson3-Rdson4-Rs)*Table1[[#This Row],[Iin]])/Fsw,t1_Ph_II))</f>
        <v>6.4778216952129994E-7</v>
      </c>
      <c r="N137" s="602">
        <f>CHOOSE(Table1[[#This Row],[Mode Digit]],1/Fsw-Table1[[#This Row],[t1_Ph_II]],1/Fsw-Table1[[#This Row],[t1_Ph_II]],(Vout/Fsw-Table1[[#This Row],[Vin]]*t1_Ph_II)/(Table1[[#This Row],[Vin]]+Vout))</f>
        <v>1.0188844971453666E-6</v>
      </c>
      <c r="O137" s="602">
        <f>1/Fsw-(Table1[[#This Row],[t1_Ph_II]]+Table1[[#This Row],[t2_Ph_I]])</f>
        <v>0</v>
      </c>
      <c r="P13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9.1389620846142581</v>
      </c>
      <c r="Q137" s="4">
        <f>CHOOSE(Table1[[#This Row],[Mode Digit]],Table1[[#This Row],[I_0]]+1/Lf*(Table1[[#This Row],[Vin]]-Vout)*Table1[[#This Row],[t1_Ph_II]],Table1[[#This Row],[I_0]]+1/Lf*Table1[[#This Row],[Vin]]*Table1[[#This Row],[t1_Ph_II]],Table1[[#This Row],[I_0]]+(Table1[[#This Row],[Vin]]-Vout)/L*Table1[[#This Row],[t1_Ph_II]])</f>
        <v>14.86103791538574</v>
      </c>
      <c r="R137" s="4">
        <f>CHOOSE(Table1[[#This Row],[Mode Digit]],0,0,Table1[[#This Row],[I_1]]+Table1[[#This Row],[Vin]]/L*Table1[[#This Row],[t2_Ph_I]])</f>
        <v>0</v>
      </c>
      <c r="S137" s="4">
        <f>Fsw*(Table1[[#This Row],[I_0]]*Table1[[#This Row],[t1_Ph_II]]+Table1[[#This Row],[I_1]]*Table1[[#This Row],[t2_Ph_I]]+Table1[[#This Row],[I_2]]*Table1[[#This Row],[t3_Ph_III]])</f>
        <v>12.637042697892213</v>
      </c>
      <c r="T137" s="354">
        <f>MIN(1,CHOOSE(Table1[[#This Row],[Mode Digit]],(Vout+(Rdson2+Rs+Rdcr)*Table1[[#This Row],[Iout]])/(Table1[[#This Row],[Vin]]+(Rs+Rdson2-Rdson1)*Table1[[#This Row],[Iout]]),1,Fsw*Table1[[#This Row],[t2_Ph_I]]+Table1[[#This Row],[t1_Ph_II]]))</f>
        <v>0.38866930171277997</v>
      </c>
      <c r="U137" s="354">
        <f>MIN(1,CHOOSE(Table1[[#This Row],[Mode Digit]],0,(Vout+(Rdson3+Rdcr)*Table1[[#This Row],[Iin]]-Table1[[#This Row],[Vin]])/(Vout+(Rdson3-Rdson4-Rs)*Table1[[#This Row],[Iin]]),Fsw*Table1[[#This Row],[t1_Ph_II]]+Table1[[#This Row],[t3_Ph_III]]))</f>
        <v>0</v>
      </c>
      <c r="V137" s="4">
        <f>MAX(Table1[[#This Row],[I_0]:[I_2]])-MIN(Table1[[#This Row],[I_0]:[I_1]])</f>
        <v>5.7220758307714821</v>
      </c>
      <c r="W13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12.113154529316118</v>
      </c>
      <c r="X137" s="354">
        <f>(Table1[[#This Row],[Irms Lf]]^2*Rdcr*(1+Ltc*Ta-Ltc*25))/(1-Table1[[#This Row],[Irms Lf]]^2*Rdcr*Ltc*ThetaCa)</f>
        <v>0.91319772839846913</v>
      </c>
      <c r="Y137" s="354">
        <f>ABS(7.759*10^-3*Fsw^0.9458*(0.00787*Table1[[#This Row],[Ripple Current pk-pk]])^2.304)</f>
        <v>1.7885887829978027</v>
      </c>
      <c r="Z137" s="354">
        <f>Table1[[#This Row],[DCR    Loss]]+Table1[[#This Row],[Core Loss]]</f>
        <v>2.7017865113962718</v>
      </c>
      <c r="AA137" s="4">
        <f>IF(Table1[[#This Row],[Vin]]&gt;Vout, Table1[[#This Row],[Ripple Current pk-pk]]/SQRT(12), SQRT(Table1[[#This Row],[Duty Cycle BOOST Leg]]/(1-Table1[[#This Row],[Duty Cycle BOOST Leg]]))*SQRT(Table1[[#This Row],[Iout]]^2+(Table1[[#This Row],[Ripple Current pk-pk]]^2)/12))</f>
        <v>1.6518210106096833</v>
      </c>
      <c r="AB137" s="354">
        <f>RCoutEsr*Table1[[#This Row],[Irms Cout]]^2</f>
        <v>1.3642563255457978E-2</v>
      </c>
      <c r="AC137" s="354">
        <f>Table1[[#This Row],[Cout ESR Loss]]</f>
        <v>1.3642563255457978E-2</v>
      </c>
      <c r="AD137" s="354">
        <f>IF(Table1[[#This Row],[Vin]]&gt;Vout, SQRT(Table1[[#This Row],[Duty Cycle BUCK Leg]]*(1-Table1[[#This Row],[Duty Cycle BUCK Leg]]))*SQRT(Table1[[#This Row],[Iout]]^2+(Table1[[#This Row],[Ripple Current pk-pk]]^2)/12), Table1[[#This Row],[Ripple Current pk-pk]]/SQRT(12))</f>
        <v>5.9045319912177172</v>
      </c>
      <c r="AE137" s="354">
        <f>RCinEsr*Table1[[#This Row],[Irms Cin]]^2</f>
        <v>6.972699607062692E-2</v>
      </c>
      <c r="AF137" s="549">
        <f>Table1[[#This Row],[Cin ESR Loss]]</f>
        <v>6.972699607062692E-2</v>
      </c>
      <c r="AG13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7.5517460599158506</v>
      </c>
      <c r="AH137" s="354">
        <f>Rdson1*Table1[[#This Row],[Irms BuCtrl]]^2</f>
        <v>0.23952124792450924</v>
      </c>
      <c r="AI137" s="354">
        <f>CHOOSE(Table1[[#This Row],[Mode Digit]], (Table1[[#This Row],[Vin]]*Table1[[#This Row],[Iout]]/2)*(Fsw)*(Tr_buck+Tf_buck), 0, (Table1[[#This Row],[Vin]]*Table1[[#This Row],[Avg IL]]/2)*(Fsw/1)*(Tr_buck+Tf_buck))</f>
        <v>4.5123436136593256</v>
      </c>
      <c r="AJ137">
        <f>IF(Table1[[#This Row],[Vin]]&gt;Vout, IF(Table1[[#This Row],[Iout]]&gt;Table1[[#This Row],[Ripple Current pk-pk]]/2,0,ABS(Table1[[#This Row],[Iout]]-Table1[[#This Row],[Ripple Current pk-pk]]/2)*Vsd_Q1*Deadtime*Fsw),0)</f>
        <v>0</v>
      </c>
      <c r="AK137" s="354">
        <f>(Table1[[#This Row],[Dead Time Loss BuCtrl]]+Table1[[#This Row],[Transition Loss BuCtrl]]+Table1[[#This Row],[RDS(on) Loss BuCtrl]]*(1+RdsonTopTc*Ta-RdsonTopTc*25))/(1-Table1[[#This Row],[RDS(on) Loss BuCtrl]]*RdsonTopTc*ThetaJA_Q1)</f>
        <v>5.0416867246050758</v>
      </c>
      <c r="AL137" s="354">
        <f>CHOOSE(Table1[[#This Row],[Mode Digit]],SQRT((Fsw*(Table1[[#This Row],[t2_Ph_I]]+0))*((Table1[[#This Row],[I_0]]*Table1[[#This Row],[I_1]]+((Table1[[#This Row],[I_0]]-Table1[[#This Row],[I_1]])^2)/3))),0,SQRT((Fsw*(Table1[[#This Row],[t3_Ph_III]]+0))*((Table1[[#This Row],[I_0]]*Table1[[#This Row],[I_2]]+((Table1[[#This Row],[I_0]]-Table1[[#This Row],[I_2]])^2)/3))))</f>
        <v>9.4709896049798843</v>
      </c>
      <c r="AM137" s="354">
        <f>Rdson2*Table1[[#This Row],[Irms BuSync]]^2</f>
        <v>0.37673850521007551</v>
      </c>
      <c r="AN13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37" s="354">
        <f>(Table1[[#This Row],[Deadtime Loss BuSync]]+Table1[[#This Row],[RDS(on) Loss BuSync]]*(1+RdsonBotTc*Ta-RdsonBotTc*25))/(1-Table1[[#This Row],[RDS(on) Loss BuSync]]*RdsonBotTc*ThetaJA_Q2)</f>
        <v>1.0489534070469129</v>
      </c>
      <c r="AP137" s="354">
        <f>CHOOSE(Table1[[#This Row],[Mode Digit]],0,SQRT((Fsw*(Table1[[#This Row],[t1_Ph_II]]+0))*((Table1[[#This Row],[I_0]]*Table1[[#This Row],[I_1]]+((Table1[[#This Row],[I_0]]-Table1[[#This Row],[I_1]])^2)/3))),SQRT((Fsw*(Table1[[#This Row],[t2_Ph_I]]+0))*((Table1[[#This Row],[I_1]]*Table1[[#This Row],[I_2]]+((Table1[[#This Row],[I_1]]-Table1[[#This Row],[I_2]])^2)/3))))</f>
        <v>0</v>
      </c>
      <c r="AQ137" s="354">
        <f>Rdson4*Table1[[#This Row],[Irms BoCtlr]]^2</f>
        <v>0</v>
      </c>
      <c r="AR137" s="354">
        <f>CHOOSE(Table1[[#This Row],[Mode Digit]], 0, (Vout*Table1[[#This Row],[Iin]]/2)*(Fsw)*(Tr_boost+Tf_boost), (Vout*Iout/2)*(Fsw/1)*(Tr_boost+Tf_boost))</f>
        <v>0</v>
      </c>
      <c r="AS137">
        <f>IF(Table1[[#This Row],[Vin]]&gt;Vout, 0, IF(Table1[[#This Row],[Iin]]&gt;Table1[[#This Row],[Ripple Current pk-pk]]/2,0,ABS(Table1[[#This Row],[Iin]]-Table1[[#This Row],[Ripple Current pk-pk]]/2)*Vsd_Q4*Deadtime*Fsw))</f>
        <v>0</v>
      </c>
      <c r="AT137" s="354">
        <f>(Table1[[#This Row],[Dead Time Loss BoCtlr]]+Table1[[#This Row],[Transition Loss BoCtlr]]+Table1[[#This Row],[RDS(on) Loss BoCtlr]]*(1+RdsonTopTc*Ta-RdsonTopTc*25))/(1-Table1[[#This Row],[RDS(on) Loss BoCtlr]]*RdsonTopTc*ThetaJA_Q4)</f>
        <v>0</v>
      </c>
      <c r="AU13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12.113154529316118</v>
      </c>
      <c r="AV137" s="354">
        <f>Rdson3*Table1[[#This Row],[Irms BoSync]]^2</f>
        <v>0.61625975313458481</v>
      </c>
      <c r="AW13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37" s="354">
        <f>(Table1[[#This Row],[Deadtime Loss BoSync]]+Table1[[#This Row],[RDS(on) Loss BoSync]]*(1+RdsonBotTc*Ta-RdsonBotTc*25))/(1-Table1[[#This Row],[RDS(on) Loss BoSync]]*RdsonBotTc*ThetaJA_Q3)</f>
        <v>0.72322667061269541</v>
      </c>
      <c r="AY137" s="354">
        <f>CHOOSE(Table1[[#This Row],[Mode Digit]], Rdson3*Table1[[#This Row],[Irms Lf]]^2, Rdson1*Table1[[#This Row],[Irms Lf]]^2, 0)</f>
        <v>0.61625975313458481</v>
      </c>
      <c r="AZ137" s="354">
        <f>CHOOSE(Table1[[#This Row],[Mode Digit]], 2*Deadtime*Fsw*IF(VfdSky_Q2&gt;0,VfdSky_Q2,0)*Table1[[#This Row],[Iout]], 2*Deadtime*Fsw*IF(VfdSky_Q3&gt;0,VfdSky_Q3,0)*Table1[[#This Row],[Iin]], 2*Deadtime*Fsw*IF(VfdSky_Q2&gt;0,VfdSky_Q2,0)*Table1[[#This Row],[Iout]]+2*Deadtime*Fsw*IF(VfdSky_Q3&gt;0,VfdSky_Q3,0)*Table1[[#This Row],[Iin]])</f>
        <v>0</v>
      </c>
      <c r="BA137" s="354">
        <f>CHOOSE(Table1[[#This Row],[Mode Digit]], IF(QrrSky_Q2&gt;0,QrrSky_Q2,Qrr_Q2)*Fsw*(Table1[[#This Row],[Vin]]-Table1[[#This Row],[Iout]]*Rdson1),0,  IF(QrrSky_Q2&gt;0,QrrSky_Q2,Qrr_Q2)*Fsw*(Table1[[#This Row],[Vin]]-Table1[[#This Row],[Iout]]*Rdson1)+IF(QrrSky_Q3&gt;0,QrrSky_Q3,Qrr_Q3)*Fsw*Vout)</f>
        <v>0.45443519999999998</v>
      </c>
      <c r="BB137" s="354">
        <f>CHOOSE(Table1[[#This Row],[Mode Digit]],0, IF(QrrSky_Q3&gt;0,QrrSky_Q3,Qrr_Q3)*Fsw*Vout,  IF(QrrSky_Q2&gt;0,QrrSky_Q2,Qrr_Q2)*Fsw*(Table1[[#This Row],[Vin]]-Table1[[#This Row],[Iout]]*Rdson1)+IF(QrrSky_Q3&gt;0,QrrSky_Q3,Qrr_Q3)*Fsw*Vout)</f>
        <v>0</v>
      </c>
      <c r="BC137" s="354">
        <f>CHOOSE(Table1[[#This Row],[Mode Digit]], Rs*Table1[[#This Row],[Irms BuSync]]^2, Rs*Table1[[#This Row],[Irms BoCtlr]]^2, Rs*(Table1[[#This Row],[Irms BuSync]]^2+Table1[[#This Row],[Irms BoCtlr]]^2))</f>
        <v>0.22424911024409255</v>
      </c>
      <c r="BD137" s="354">
        <f t="shared" ref="BD137:BD200" si="8">Rshunt/1000*Iout^2</f>
        <v>1.44</v>
      </c>
      <c r="BE137" s="354">
        <f>IF(Vout&gt;8, Iq*Vout, Iq*Table1[[#This Row],[Vin]])</f>
        <v>4.3799999999999999E-2</v>
      </c>
      <c r="BF137" s="354">
        <f>CHOOSE(Table1[[#This Row],[Mode Digit]], (Qg_Q1+Qg_Q2)*Fsw, (Qg_Q3+Qg_Q4)*Fsw, (Qg_Q1+Qg_Q2+Qg_Q3+Qg_Q4)*Fsw)*IF(Vout&gt;8, Vout, Table1[[#This Row],[Vin]])</f>
        <v>0.47303999999999996</v>
      </c>
      <c r="BG137" s="354">
        <f t="shared" ref="BG137:BG200" si="9">(Vin-Vdd)*Fsw*(Qg_Q1+Qg_Q2)+(RdsonDRT+RdsonDRT2)*Fsw*Qg_Q1*Vdd/(RdsonDRT+2*Rgate1+RdsonDRT2)+(RdsonDRB+RdsonDRB2)*Fsw*Qg_Q2*Vdd/(RdsonDRB+2*Rgate2+RdsonDRB2)</f>
        <v>0.45605042016806729</v>
      </c>
      <c r="BH137" s="354">
        <f>Table1[[#This Row],[IQ Loss]]+Table1[[#This Row],[Switching Current Loss]]</f>
        <v>0.51683999999999997</v>
      </c>
      <c r="BI13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12.234547183231134</v>
      </c>
      <c r="BJ137">
        <f>Vout*Table1[[#This Row],[Iout]]</f>
        <v>175.2</v>
      </c>
      <c r="BK137" s="550">
        <f>Table1[[#This Row],[Pout]]/(Table1[[#This Row],[Pout]]+Table1[[#This Row],[Total Loss]])</f>
        <v>0.93472629583450817</v>
      </c>
      <c r="BL13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302.50120347630457</v>
      </c>
      <c r="BM137" s="559">
        <f>IF(Table1[[#This Row],[Vin]]&gt;Vout, Table1[[#This Row],[Total Sync Bu MOSFET Loss]]*ThetaJA_Q2, ThetaJA_Q3*Table1[[#This Row],[Total Sync Bo MOSFET Loss]])</f>
        <v>62.937204422814773</v>
      </c>
      <c r="BN137" s="9"/>
      <c r="BO137" s="4">
        <f>Table1[[#This Row],[EFF, h]]*100</f>
        <v>93.472629583450811</v>
      </c>
      <c r="BP137" s="354">
        <f>Table1[[#This Row],[Total Inductor Loss]]</f>
        <v>2.7017865113962718</v>
      </c>
      <c r="BQ137" s="354">
        <f>Table1[[#This Row],[Total Control Bu MOSFET Loss]]+Table1[[#This Row],[Total Sync Bu MOSFET Loss]]+Table1[[#This Row],[Total Control Bo MOSFET Loss]]+Table1[[#This Row],[Total Sync Bo MOSFET Loss]]+Table1[[#This Row],[Reverse Recovery Loss MOSFET D BUCK]]+Table1[[#This Row],[Reverse Recovery Loss MOSFET D BOOST]]</f>
        <v>7.2683020022646838</v>
      </c>
      <c r="BR137" s="354">
        <f>Table1[[#This Row],[Total Control Bu MOSFET Loss]]+Table1[[#This Row],[Reverse Recovery Loss MOSFET D BUCK]]*0.66</f>
        <v>5.3416139566050758</v>
      </c>
      <c r="BS137" s="354">
        <f>Table1[[#This Row],[Total Sync Bu MOSFET Loss]]+Table1[[#This Row],[Reverse Recovery Loss MOSFET D BUCK]]*0.33</f>
        <v>1.1989170230469128</v>
      </c>
      <c r="BT137" s="354">
        <f xml:space="preserve"> Table1[[#This Row],[Total Control Bo MOSFET Loss]]+Table1[[#This Row],[Reverse Recovery Loss MOSFET D BOOST]]*0.66</f>
        <v>0</v>
      </c>
      <c r="BU137" s="354">
        <f xml:space="preserve"> Table1[[#This Row],[Total Sync Bo MOSFET Loss]]+Table1[[#This Row],[Reverse Recovery Loss MOSFET D BOOST]]*0.33</f>
        <v>0.72322667061269541</v>
      </c>
      <c r="BV137" s="354">
        <f>Table1[[#This Row],[Isense Shunt Loss]]</f>
        <v>0.22424911024409255</v>
      </c>
    </row>
    <row r="138" spans="7:74" x14ac:dyDescent="0.2">
      <c r="G138">
        <v>129</v>
      </c>
      <c r="H138" s="555">
        <f>VIN_min+(VIN_max-VIN_min)*(Table1[[#This Row],[Step]]/200)</f>
        <v>38.06</v>
      </c>
      <c r="I138" s="4" t="str">
        <f>IF(Mode = 2,IF(Table1[[#This Row],[Vin]]&gt;Vout, "BUCK","BOOST"),IF(Table1[[#This Row],[Vin]]&gt;VIN_BB_to_buck, "BUCK", IF(Table1[[#This Row],[Vin]]&lt;=VIN_boost_to_BB,"BOOST","BUCK-BST")))</f>
        <v>BUCK</v>
      </c>
      <c r="J138">
        <f>IF(Table1[[#This Row],[Mode]]="BOOST",2, IF(Table1[[#This Row],[Mode]]="BUCK", 1,3))</f>
        <v>1</v>
      </c>
      <c r="K138">
        <f t="shared" si="7"/>
        <v>12</v>
      </c>
      <c r="L138" s="4">
        <f>Vout*Table1[[#This Row],[Iout]]/(Table1[[#This Row],[Vin]]*Efficiency)</f>
        <v>4.8455347512238287</v>
      </c>
      <c r="M138" s="711">
        <f>MIN(1/Fsw,CHOOSE(Table1[[#This Row],[Mode Digit]],(Vout+(Rdson2+Rs+Rdcr)*Table1[[#This Row],[Iout]])/(Table1[[#This Row],[Vin]]+(Rs+Rdson2-Rdson1)*Table1[[#This Row],[Iout]])/Fsw,(Vout+(Rdson3+Rdcr)*Table1[[#This Row],[Iin]]-Table1[[#This Row],[Vin]])/(Vout+(Rdson3-Rdson4-Rs)*Table1[[#This Row],[Iin]])/Fsw,t1_Ph_II))</f>
        <v>6.4540124267086719E-7</v>
      </c>
      <c r="N138" s="602">
        <f>CHOOSE(Table1[[#This Row],[Mode Digit]],1/Fsw-Table1[[#This Row],[t1_Ph_II]],1/Fsw-Table1[[#This Row],[t1_Ph_II]],(Vout/Fsw-Table1[[#This Row],[Vin]]*t1_Ph_II)/(Table1[[#This Row],[Vin]]+Vout))</f>
        <v>1.0212654239957994E-6</v>
      </c>
      <c r="O138" s="602">
        <f>1/Fsw-(Table1[[#This Row],[t1_Ph_II]]+Table1[[#This Row],[t2_Ph_I]])</f>
        <v>0</v>
      </c>
      <c r="P13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9.1323649331328518</v>
      </c>
      <c r="Q138" s="4">
        <f>CHOOSE(Table1[[#This Row],[Mode Digit]],Table1[[#This Row],[I_0]]+1/Lf*(Table1[[#This Row],[Vin]]-Vout)*Table1[[#This Row],[t1_Ph_II]],Table1[[#This Row],[I_0]]+1/Lf*Table1[[#This Row],[Vin]]*Table1[[#This Row],[t1_Ph_II]],Table1[[#This Row],[I_0]]+(Table1[[#This Row],[Vin]]-Vout)/L*Table1[[#This Row],[t1_Ph_II]])</f>
        <v>14.867635066867148</v>
      </c>
      <c r="R138" s="4">
        <f>CHOOSE(Table1[[#This Row],[Mode Digit]],0,0,Table1[[#This Row],[I_1]]+Table1[[#This Row],[Vin]]/L*Table1[[#This Row],[t2_Ph_I]])</f>
        <v>0</v>
      </c>
      <c r="S138" s="4">
        <f>Fsw*(Table1[[#This Row],[I_0]]*Table1[[#This Row],[t1_Ph_II]]+Table1[[#This Row],[I_1]]*Table1[[#This Row],[t2_Ph_I]]+Table1[[#This Row],[I_2]]*Table1[[#This Row],[t3_Ph_III]])</f>
        <v>12.646704784048014</v>
      </c>
      <c r="T138" s="354">
        <f>MIN(1,CHOOSE(Table1[[#This Row],[Mode Digit]],(Vout+(Rdson2+Rs+Rdcr)*Table1[[#This Row],[Iout]])/(Table1[[#This Row],[Vin]]+(Rs+Rdson2-Rdson1)*Table1[[#This Row],[Iout]]),1,Fsw*Table1[[#This Row],[t2_Ph_I]]+Table1[[#This Row],[t1_Ph_II]]))</f>
        <v>0.38724074560252031</v>
      </c>
      <c r="U138" s="354">
        <f>MIN(1,CHOOSE(Table1[[#This Row],[Mode Digit]],0,(Vout+(Rdson3+Rdcr)*Table1[[#This Row],[Iin]]-Table1[[#This Row],[Vin]])/(Vout+(Rdson3-Rdson4-Rs)*Table1[[#This Row],[Iin]]),Fsw*Table1[[#This Row],[t1_Ph_II]]+Table1[[#This Row],[t3_Ph_III]]))</f>
        <v>0</v>
      </c>
      <c r="V138" s="4">
        <f>MAX(Table1[[#This Row],[I_0]:[I_2]])-MIN(Table1[[#This Row],[I_0]:[I_1]])</f>
        <v>5.7352701337342964</v>
      </c>
      <c r="W13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12.113674516522311</v>
      </c>
      <c r="X138" s="354">
        <f>(Table1[[#This Row],[Irms Lf]]^2*Rdcr*(1+Ltc*Ta-Ltc*25))/(1-Table1[[#This Row],[Irms Lf]]^2*Rdcr*Ltc*ThetaCa)</f>
        <v>0.91328186105033926</v>
      </c>
      <c r="Y138" s="354">
        <f>ABS(7.759*10^-3*Fsw^0.9458*(0.00787*Table1[[#This Row],[Ripple Current pk-pk]])^2.304)</f>
        <v>1.7981053083678384</v>
      </c>
      <c r="Z138" s="354">
        <f>Table1[[#This Row],[DCR    Loss]]+Table1[[#This Row],[Core Loss]]</f>
        <v>2.7113871694181775</v>
      </c>
      <c r="AA138" s="4">
        <f>IF(Table1[[#This Row],[Vin]]&gt;Vout, Table1[[#This Row],[Ripple Current pk-pk]]/SQRT(12), SQRT(Table1[[#This Row],[Duty Cycle BOOST Leg]]/(1-Table1[[#This Row],[Duty Cycle BOOST Leg]]))*SQRT(Table1[[#This Row],[Iout]]^2+(Table1[[#This Row],[Ripple Current pk-pk]]^2)/12))</f>
        <v>1.6556298777933587</v>
      </c>
      <c r="AB138" s="354">
        <f>RCoutEsr*Table1[[#This Row],[Irms Cout]]^2</f>
        <v>1.3705551461210259E-2</v>
      </c>
      <c r="AC138" s="354">
        <f>Table1[[#This Row],[Cout ESR Loss]]</f>
        <v>1.3705551461210259E-2</v>
      </c>
      <c r="AD138" s="354">
        <f>IF(Table1[[#This Row],[Vin]]&gt;Vout, SQRT(Table1[[#This Row],[Duty Cycle BUCK Leg]]*(1-Table1[[#This Row],[Duty Cycle BUCK Leg]]))*SQRT(Table1[[#This Row],[Iout]]^2+(Table1[[#This Row],[Ripple Current pk-pk]]^2)/12), Table1[[#This Row],[Ripple Current pk-pk]]/SQRT(12))</f>
        <v>5.9008063682395946</v>
      </c>
      <c r="AE138" s="354">
        <f>RCinEsr*Table1[[#This Row],[Irms Cin]]^2</f>
        <v>6.9639031590913905E-2</v>
      </c>
      <c r="AF138" s="549">
        <f>Table1[[#This Row],[Cin ESR Loss]]</f>
        <v>6.9639031590913905E-2</v>
      </c>
      <c r="AG13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7.5381786235210342</v>
      </c>
      <c r="AH138" s="354">
        <f>Rdson1*Table1[[#This Row],[Irms BuCtrl]]^2</f>
        <v>0.23866137523245981</v>
      </c>
      <c r="AI138" s="354">
        <f>CHOOSE(Table1[[#This Row],[Mode Digit]], (Table1[[#This Row],[Vin]]*Table1[[#This Row],[Iout]]/2)*(Fsw)*(Tr_buck+Tf_buck), 0, (Table1[[#This Row],[Vin]]*Table1[[#This Row],[Avg IL]]/2)*(Fsw/1)*(Tr_buck+Tf_buck))</f>
        <v>4.5290031101232584</v>
      </c>
      <c r="AJ138">
        <f>IF(Table1[[#This Row],[Vin]]&gt;Vout, IF(Table1[[#This Row],[Iout]]&gt;Table1[[#This Row],[Ripple Current pk-pk]]/2,0,ABS(Table1[[#This Row],[Iout]]-Table1[[#This Row],[Ripple Current pk-pk]]/2)*Vsd_Q1*Deadtime*Fsw),0)</f>
        <v>0</v>
      </c>
      <c r="AK138" s="354">
        <f>(Table1[[#This Row],[Dead Time Loss BuCtrl]]+Table1[[#This Row],[Transition Loss BuCtrl]]+Table1[[#This Row],[RDS(on) Loss BuCtrl]]*(1+RdsonTopTc*Ta-RdsonTopTc*25))/(1-Table1[[#This Row],[RDS(on) Loss BuCtrl]]*RdsonTopTc*ThetaJA_Q1)</f>
        <v>5.0573426497928375</v>
      </c>
      <c r="AL138" s="354">
        <f>CHOOSE(Table1[[#This Row],[Mode Digit]],SQRT((Fsw*(Table1[[#This Row],[t2_Ph_I]]+0))*((Table1[[#This Row],[I_0]]*Table1[[#This Row],[I_1]]+((Table1[[#This Row],[I_0]]-Table1[[#This Row],[I_1]])^2)/3))),0,SQRT((Fsw*(Table1[[#This Row],[t3_Ph_III]]+0))*((Table1[[#This Row],[I_0]]*Table1[[#This Row],[I_2]]+((Table1[[#This Row],[I_0]]-Table1[[#This Row],[I_2]])^2)/3))))</f>
        <v>9.4824560812129555</v>
      </c>
      <c r="AM138" s="354">
        <f>Rdson2*Table1[[#This Row],[Irms BuSync]]^2</f>
        <v>0.37765128799495679</v>
      </c>
      <c r="AN13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38" s="354">
        <f>(Table1[[#This Row],[Deadtime Loss BuSync]]+Table1[[#This Row],[RDS(on) Loss BuSync]]*(1+RdsonBotTc*Ta-RdsonBotTc*25))/(1-Table1[[#This Row],[RDS(on) Loss BuSync]]*RdsonBotTc*ThetaJA_Q2)</f>
        <v>1.0502098622839555</v>
      </c>
      <c r="AP138" s="354">
        <f>CHOOSE(Table1[[#This Row],[Mode Digit]],0,SQRT((Fsw*(Table1[[#This Row],[t1_Ph_II]]+0))*((Table1[[#This Row],[I_0]]*Table1[[#This Row],[I_1]]+((Table1[[#This Row],[I_0]]-Table1[[#This Row],[I_1]])^2)/3))),SQRT((Fsw*(Table1[[#This Row],[t2_Ph_I]]+0))*((Table1[[#This Row],[I_1]]*Table1[[#This Row],[I_2]]+((Table1[[#This Row],[I_1]]-Table1[[#This Row],[I_2]])^2)/3))))</f>
        <v>0</v>
      </c>
      <c r="AQ138" s="354">
        <f>Rdson4*Table1[[#This Row],[Irms BoCtlr]]^2</f>
        <v>0</v>
      </c>
      <c r="AR138" s="354">
        <f>CHOOSE(Table1[[#This Row],[Mode Digit]], 0, (Vout*Table1[[#This Row],[Iin]]/2)*(Fsw)*(Tr_boost+Tf_boost), (Vout*Iout/2)*(Fsw/1)*(Tr_boost+Tf_boost))</f>
        <v>0</v>
      </c>
      <c r="AS138">
        <f>IF(Table1[[#This Row],[Vin]]&gt;Vout, 0, IF(Table1[[#This Row],[Iin]]&gt;Table1[[#This Row],[Ripple Current pk-pk]]/2,0,ABS(Table1[[#This Row],[Iin]]-Table1[[#This Row],[Ripple Current pk-pk]]/2)*Vsd_Q4*Deadtime*Fsw))</f>
        <v>0</v>
      </c>
      <c r="AT138" s="354">
        <f>(Table1[[#This Row],[Dead Time Loss BoCtlr]]+Table1[[#This Row],[Transition Loss BoCtlr]]+Table1[[#This Row],[RDS(on) Loss BoCtlr]]*(1+RdsonTopTc*Ta-RdsonTopTc*25))/(1-Table1[[#This Row],[RDS(on) Loss BoCtlr]]*RdsonTopTc*ThetaJA_Q4)</f>
        <v>0</v>
      </c>
      <c r="AU13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12.113674516522311</v>
      </c>
      <c r="AV138" s="354">
        <f>Rdson3*Table1[[#This Row],[Irms BoSync]]^2</f>
        <v>0.61631266322741662</v>
      </c>
      <c r="AW13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38" s="354">
        <f>(Table1[[#This Row],[Deadtime Loss BoSync]]+Table1[[#This Row],[RDS(on) Loss BoSync]]*(1+RdsonBotTc*Ta-RdsonBotTc*25))/(1-Table1[[#This Row],[RDS(on) Loss BoSync]]*RdsonBotTc*ThetaJA_Q3)</f>
        <v>0.72329954354597548</v>
      </c>
      <c r="AY138" s="354">
        <f>CHOOSE(Table1[[#This Row],[Mode Digit]], Rdson3*Table1[[#This Row],[Irms Lf]]^2, Rdson1*Table1[[#This Row],[Irms Lf]]^2, 0)</f>
        <v>0.61631266322741662</v>
      </c>
      <c r="AZ138" s="354">
        <f>CHOOSE(Table1[[#This Row],[Mode Digit]], 2*Deadtime*Fsw*IF(VfdSky_Q2&gt;0,VfdSky_Q2,0)*Table1[[#This Row],[Iout]], 2*Deadtime*Fsw*IF(VfdSky_Q3&gt;0,VfdSky_Q3,0)*Table1[[#This Row],[Iin]], 2*Deadtime*Fsw*IF(VfdSky_Q2&gt;0,VfdSky_Q2,0)*Table1[[#This Row],[Iout]]+2*Deadtime*Fsw*IF(VfdSky_Q3&gt;0,VfdSky_Q3,0)*Table1[[#This Row],[Iin]])</f>
        <v>0</v>
      </c>
      <c r="BA138" s="354">
        <f>CHOOSE(Table1[[#This Row],[Mode Digit]], IF(QrrSky_Q2&gt;0,QrrSky_Q2,Qrr_Q2)*Fsw*(Table1[[#This Row],[Vin]]-Table1[[#This Row],[Iout]]*Rdson1),0,  IF(QrrSky_Q2&gt;0,QrrSky_Q2,Qrr_Q2)*Fsw*(Table1[[#This Row],[Vin]]-Table1[[#This Row],[Iout]]*Rdson1)+IF(QrrSky_Q3&gt;0,QrrSky_Q3,Qrr_Q3)*Fsw*Vout)</f>
        <v>0.4561152</v>
      </c>
      <c r="BB138" s="354">
        <f>CHOOSE(Table1[[#This Row],[Mode Digit]],0, IF(QrrSky_Q3&gt;0,QrrSky_Q3,Qrr_Q3)*Fsw*Vout,  IF(QrrSky_Q2&gt;0,QrrSky_Q2,Qrr_Q2)*Fsw*(Table1[[#This Row],[Vin]]-Table1[[#This Row],[Iout]]*Rdson1)+IF(QrrSky_Q3&gt;0,QrrSky_Q3,Qrr_Q3)*Fsw*Vout)</f>
        <v>0</v>
      </c>
      <c r="BC138" s="354">
        <f>CHOOSE(Table1[[#This Row],[Mode Digit]], Rs*Table1[[#This Row],[Irms BuSync]]^2, Rs*Table1[[#This Row],[Irms BoCtlr]]^2, Rs*(Table1[[#This Row],[Irms BuSync]]^2+Table1[[#This Row],[Irms BoCtlr]]^2))</f>
        <v>0.22479243333033139</v>
      </c>
      <c r="BD138" s="354">
        <f t="shared" si="8"/>
        <v>1.44</v>
      </c>
      <c r="BE138" s="354">
        <f>IF(Vout&gt;8, Iq*Vout, Iq*Table1[[#This Row],[Vin]])</f>
        <v>4.3799999999999999E-2</v>
      </c>
      <c r="BF138" s="354">
        <f>CHOOSE(Table1[[#This Row],[Mode Digit]], (Qg_Q1+Qg_Q2)*Fsw, (Qg_Q3+Qg_Q4)*Fsw, (Qg_Q1+Qg_Q2+Qg_Q3+Qg_Q4)*Fsw)*IF(Vout&gt;8, Vout, Table1[[#This Row],[Vin]])</f>
        <v>0.47303999999999996</v>
      </c>
      <c r="BG138" s="354">
        <f t="shared" si="9"/>
        <v>0.45605042016806729</v>
      </c>
      <c r="BH138" s="354">
        <f>Table1[[#This Row],[IQ Loss]]+Table1[[#This Row],[Switching Current Loss]]</f>
        <v>0.51683999999999997</v>
      </c>
      <c r="BI13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12.2633314414234</v>
      </c>
      <c r="BJ138">
        <f>Vout*Table1[[#This Row],[Iout]]</f>
        <v>175.2</v>
      </c>
      <c r="BK138" s="550">
        <f>Table1[[#This Row],[Pout]]/(Table1[[#This Row],[Pout]]+Table1[[#This Row],[Total Loss]])</f>
        <v>0.93458277228336084</v>
      </c>
      <c r="BL13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303.44055898757023</v>
      </c>
      <c r="BM138" s="559">
        <f>IF(Table1[[#This Row],[Vin]]&gt;Vout, Table1[[#This Row],[Total Sync Bu MOSFET Loss]]*ThetaJA_Q2, ThetaJA_Q3*Table1[[#This Row],[Total Sync Bo MOSFET Loss]])</f>
        <v>63.012591737037333</v>
      </c>
      <c r="BN138" s="9"/>
      <c r="BO138" s="4">
        <f>Table1[[#This Row],[EFF, h]]*100</f>
        <v>93.458277228336087</v>
      </c>
      <c r="BP138" s="354">
        <f>Table1[[#This Row],[Total Inductor Loss]]</f>
        <v>2.7113871694181775</v>
      </c>
      <c r="BQ138" s="354">
        <f>Table1[[#This Row],[Total Control Bu MOSFET Loss]]+Table1[[#This Row],[Total Sync Bu MOSFET Loss]]+Table1[[#This Row],[Total Control Bo MOSFET Loss]]+Table1[[#This Row],[Total Sync Bo MOSFET Loss]]+Table1[[#This Row],[Reverse Recovery Loss MOSFET D BUCK]]+Table1[[#This Row],[Reverse Recovery Loss MOSFET D BOOST]]</f>
        <v>7.2869672556227689</v>
      </c>
      <c r="BR138" s="354">
        <f>Table1[[#This Row],[Total Control Bu MOSFET Loss]]+Table1[[#This Row],[Reverse Recovery Loss MOSFET D BUCK]]*0.66</f>
        <v>5.3583786817928374</v>
      </c>
      <c r="BS138" s="354">
        <f>Table1[[#This Row],[Total Sync Bu MOSFET Loss]]+Table1[[#This Row],[Reverse Recovery Loss MOSFET D BUCK]]*0.33</f>
        <v>1.2007278782839554</v>
      </c>
      <c r="BT138" s="354">
        <f xml:space="preserve"> Table1[[#This Row],[Total Control Bo MOSFET Loss]]+Table1[[#This Row],[Reverse Recovery Loss MOSFET D BOOST]]*0.66</f>
        <v>0</v>
      </c>
      <c r="BU138" s="354">
        <f xml:space="preserve"> Table1[[#This Row],[Total Sync Bo MOSFET Loss]]+Table1[[#This Row],[Reverse Recovery Loss MOSFET D BOOST]]*0.33</f>
        <v>0.72329954354597548</v>
      </c>
      <c r="BV138" s="354">
        <f>Table1[[#This Row],[Isense Shunt Loss]]</f>
        <v>0.22479243333033139</v>
      </c>
    </row>
    <row r="139" spans="7:74" x14ac:dyDescent="0.2">
      <c r="G139">
        <v>130</v>
      </c>
      <c r="H139" s="555">
        <f>VIN_min+(VIN_max-VIN_min)*(Table1[[#This Row],[Step]]/200)</f>
        <v>38.200000000000003</v>
      </c>
      <c r="I139" s="4" t="str">
        <f>IF(Mode = 2,IF(Table1[[#This Row],[Vin]]&gt;Vout, "BUCK","BOOST"),IF(Table1[[#This Row],[Vin]]&gt;VIN_BB_to_buck, "BUCK", IF(Table1[[#This Row],[Vin]]&lt;=VIN_boost_to_BB,"BOOST","BUCK-BST")))</f>
        <v>BUCK</v>
      </c>
      <c r="J139">
        <f>IF(Table1[[#This Row],[Mode]]="BOOST",2, IF(Table1[[#This Row],[Mode]]="BUCK", 1,3))</f>
        <v>1</v>
      </c>
      <c r="K139">
        <f t="shared" si="7"/>
        <v>12</v>
      </c>
      <c r="L139" s="4">
        <f>Vout*Table1[[#This Row],[Iout]]/(Table1[[#This Row],[Vin]]*Efficiency)</f>
        <v>4.8277762468999725</v>
      </c>
      <c r="M139" s="711">
        <f>MIN(1/Fsw,CHOOSE(Table1[[#This Row],[Mode Digit]],(Vout+(Rdson2+Rs+Rdcr)*Table1[[#This Row],[Iout]])/(Table1[[#This Row],[Vin]]+(Rs+Rdson2-Rdson1)*Table1[[#This Row],[Iout]])/Fsw,(Vout+(Rdson3+Rdcr)*Table1[[#This Row],[Iin]]-Table1[[#This Row],[Vin]])/(Vout+(Rdson3-Rdson4-Rs)*Table1[[#This Row],[Iin]])/Fsw,t1_Ph_II))</f>
        <v>6.4303775394541802E-7</v>
      </c>
      <c r="N139" s="602">
        <f>CHOOSE(Table1[[#This Row],[Mode Digit]],1/Fsw-Table1[[#This Row],[t1_Ph_II]],1/Fsw-Table1[[#This Row],[t1_Ph_II]],(Vout/Fsw-Table1[[#This Row],[Vin]]*t1_Ph_II)/(Table1[[#This Row],[Vin]]+Vout))</f>
        <v>1.0236289127212486E-6</v>
      </c>
      <c r="O139" s="602">
        <f>1/Fsw-(Table1[[#This Row],[t1_Ph_II]]+Table1[[#This Row],[t2_Ph_I]])</f>
        <v>0</v>
      </c>
      <c r="P13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9.1258160997894198</v>
      </c>
      <c r="Q139" s="4">
        <f>CHOOSE(Table1[[#This Row],[Mode Digit]],Table1[[#This Row],[I_0]]+1/Lf*(Table1[[#This Row],[Vin]]-Vout)*Table1[[#This Row],[t1_Ph_II]],Table1[[#This Row],[I_0]]+1/Lf*Table1[[#This Row],[Vin]]*Table1[[#This Row],[t1_Ph_II]],Table1[[#This Row],[I_0]]+(Table1[[#This Row],[Vin]]-Vout)/L*Table1[[#This Row],[t1_Ph_II]])</f>
        <v>14.874183900210582</v>
      </c>
      <c r="R139" s="4">
        <f>CHOOSE(Table1[[#This Row],[Mode Digit]],0,0,Table1[[#This Row],[I_1]]+Table1[[#This Row],[Vin]]/L*Table1[[#This Row],[t2_Ph_I]])</f>
        <v>0</v>
      </c>
      <c r="S139" s="4">
        <f>Fsw*(Table1[[#This Row],[I_0]]*Table1[[#This Row],[t1_Ph_II]]+Table1[[#This Row],[I_1]]*Table1[[#This Row],[t2_Ph_I]]+Table1[[#This Row],[I_2]]*Table1[[#This Row],[t3_Ph_III]])</f>
        <v>12.656333388669591</v>
      </c>
      <c r="T139" s="354">
        <f>MIN(1,CHOOSE(Table1[[#This Row],[Mode Digit]],(Vout+(Rdson2+Rs+Rdcr)*Table1[[#This Row],[Iout]])/(Table1[[#This Row],[Vin]]+(Rs+Rdson2-Rdson1)*Table1[[#This Row],[Iout]]),1,Fsw*Table1[[#This Row],[t2_Ph_I]]+Table1[[#This Row],[t1_Ph_II]]))</f>
        <v>0.38582265236725083</v>
      </c>
      <c r="U139" s="354">
        <f>MIN(1,CHOOSE(Table1[[#This Row],[Mode Digit]],0,(Vout+(Rdson3+Rdcr)*Table1[[#This Row],[Iin]]-Table1[[#This Row],[Vin]])/(Vout+(Rdson3-Rdson4-Rs)*Table1[[#This Row],[Iin]]),Fsw*Table1[[#This Row],[t1_Ph_II]]+Table1[[#This Row],[t3_Ph_III]]))</f>
        <v>0</v>
      </c>
      <c r="V139" s="4">
        <f>MAX(Table1[[#This Row],[I_0]:[I_2]])-MIN(Table1[[#This Row],[I_0]:[I_1]])</f>
        <v>5.7483678004211622</v>
      </c>
      <c r="W13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12.114191857655078</v>
      </c>
      <c r="X139" s="354">
        <f>(Table1[[#This Row],[Irms Lf]]^2*Rdcr*(1+Ltc*Ta-Ltc*25))/(1-Table1[[#This Row],[Irms Lf]]^2*Rdcr*Ltc*ThetaCa)</f>
        <v>0.9133655702054928</v>
      </c>
      <c r="Y139" s="354">
        <f>ABS(7.759*10^-3*Fsw^0.9458*(0.00787*Table1[[#This Row],[Ripple Current pk-pk]])^2.304)</f>
        <v>1.807580412166784</v>
      </c>
      <c r="Z139" s="354">
        <f>Table1[[#This Row],[DCR    Loss]]+Table1[[#This Row],[Core Loss]]</f>
        <v>2.7209459823722768</v>
      </c>
      <c r="AA139" s="4">
        <f>IF(Table1[[#This Row],[Vin]]&gt;Vout, Table1[[#This Row],[Ripple Current pk-pk]]/SQRT(12), SQRT(Table1[[#This Row],[Duty Cycle BOOST Leg]]/(1-Table1[[#This Row],[Duty Cycle BOOST Leg]]))*SQRT(Table1[[#This Row],[Iout]]^2+(Table1[[#This Row],[Ripple Current pk-pk]]^2)/12))</f>
        <v>1.6594108484870675</v>
      </c>
      <c r="AB139" s="354">
        <f>RCoutEsr*Table1[[#This Row],[Irms Cout]]^2</f>
        <v>1.3768221820382847E-2</v>
      </c>
      <c r="AC139" s="354">
        <f>Table1[[#This Row],[Cout ESR Loss]]</f>
        <v>1.3768221820382847E-2</v>
      </c>
      <c r="AD139" s="354">
        <f>IF(Table1[[#This Row],[Vin]]&gt;Vout, SQRT(Table1[[#This Row],[Duty Cycle BUCK Leg]]*(1-Table1[[#This Row],[Duty Cycle BUCK Leg]]))*SQRT(Table1[[#This Row],[Iout]]^2+(Table1[[#This Row],[Ripple Current pk-pk]]^2)/12), Table1[[#This Row],[Ripple Current pk-pk]]/SQRT(12))</f>
        <v>5.8970553746201322</v>
      </c>
      <c r="AE139" s="354">
        <f>RCinEsr*Table1[[#This Row],[Irms Cin]]^2</f>
        <v>6.955052418267238E-2</v>
      </c>
      <c r="AF139" s="549">
        <f>Table1[[#This Row],[Cin ESR Loss]]</f>
        <v>6.955052418267238E-2</v>
      </c>
      <c r="AG13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7.5246847318082555</v>
      </c>
      <c r="AH139" s="354">
        <f>Rdson1*Table1[[#This Row],[Irms BuCtrl]]^2</f>
        <v>0.2378076973150548</v>
      </c>
      <c r="AI139" s="354">
        <f>CHOOSE(Table1[[#This Row],[Mode Digit]], (Table1[[#This Row],[Vin]]*Table1[[#This Row],[Iout]]/2)*(Fsw)*(Tr_buck+Tf_buck), 0, (Table1[[#This Row],[Vin]]*Table1[[#This Row],[Avg IL]]/2)*(Fsw/1)*(Tr_buck+Tf_buck))</f>
        <v>4.5456626065871903</v>
      </c>
      <c r="AJ139">
        <f>IF(Table1[[#This Row],[Vin]]&gt;Vout, IF(Table1[[#This Row],[Iout]]&gt;Table1[[#This Row],[Ripple Current pk-pk]]/2,0,ABS(Table1[[#This Row],[Iout]]-Table1[[#This Row],[Ripple Current pk-pk]]/2)*Vsd_Q1*Deadtime*Fsw),0)</f>
        <v>0</v>
      </c>
      <c r="AK139" s="354">
        <f>(Table1[[#This Row],[Dead Time Loss BuCtrl]]+Table1[[#This Row],[Transition Loss BuCtrl]]+Table1[[#This Row],[RDS(on) Loss BuCtrl]]*(1+RdsonTopTc*Ta-RdsonTopTc*25))/(1-Table1[[#This Row],[RDS(on) Loss BuCtrl]]*RdsonTopTc*ThetaJA_Q1)</f>
        <v>5.0730062905639581</v>
      </c>
      <c r="AL139" s="354">
        <f>CHOOSE(Table1[[#This Row],[Mode Digit]],SQRT((Fsw*(Table1[[#This Row],[t2_Ph_I]]+0))*((Table1[[#This Row],[I_0]]*Table1[[#This Row],[I_1]]+((Table1[[#This Row],[I_0]]-Table1[[#This Row],[I_1]])^2)/3))),0,SQRT((Fsw*(Table1[[#This Row],[t3_Ph_III]]+0))*((Table1[[#This Row],[I_0]]*Table1[[#This Row],[I_2]]+((Table1[[#This Row],[I_0]]-Table1[[#This Row],[I_2]])^2)/3))))</f>
        <v>9.4938276817608358</v>
      </c>
      <c r="AM139" s="354">
        <f>Rdson2*Table1[[#This Row],[Irms BuSync]]^2</f>
        <v>0.37855760901406699</v>
      </c>
      <c r="AN13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39" s="354">
        <f>(Table1[[#This Row],[Deadtime Loss BuSync]]+Table1[[#This Row],[RDS(on) Loss BuSync]]*(1+RdsonBotTc*Ta-RdsonBotTc*25))/(1-Table1[[#This Row],[RDS(on) Loss BuSync]]*RdsonBotTc*ThetaJA_Q2)</f>
        <v>1.0514580219278122</v>
      </c>
      <c r="AP139" s="354">
        <f>CHOOSE(Table1[[#This Row],[Mode Digit]],0,SQRT((Fsw*(Table1[[#This Row],[t1_Ph_II]]+0))*((Table1[[#This Row],[I_0]]*Table1[[#This Row],[I_1]]+((Table1[[#This Row],[I_0]]-Table1[[#This Row],[I_1]])^2)/3))),SQRT((Fsw*(Table1[[#This Row],[t2_Ph_I]]+0))*((Table1[[#This Row],[I_1]]*Table1[[#This Row],[I_2]]+((Table1[[#This Row],[I_1]]-Table1[[#This Row],[I_2]])^2)/3))))</f>
        <v>0</v>
      </c>
      <c r="AQ139" s="354">
        <f>Rdson4*Table1[[#This Row],[Irms BoCtlr]]^2</f>
        <v>0</v>
      </c>
      <c r="AR139" s="354">
        <f>CHOOSE(Table1[[#This Row],[Mode Digit]], 0, (Vout*Table1[[#This Row],[Iin]]/2)*(Fsw)*(Tr_boost+Tf_boost), (Vout*Iout/2)*(Fsw/1)*(Tr_boost+Tf_boost))</f>
        <v>0</v>
      </c>
      <c r="AS139">
        <f>IF(Table1[[#This Row],[Vin]]&gt;Vout, 0, IF(Table1[[#This Row],[Iin]]&gt;Table1[[#This Row],[Ripple Current pk-pk]]/2,0,ABS(Table1[[#This Row],[Iin]]-Table1[[#This Row],[Ripple Current pk-pk]]/2)*Vsd_Q4*Deadtime*Fsw))</f>
        <v>0</v>
      </c>
      <c r="AT139" s="354">
        <f>(Table1[[#This Row],[Dead Time Loss BoCtlr]]+Table1[[#This Row],[Transition Loss BoCtlr]]+Table1[[#This Row],[RDS(on) Loss BoCtlr]]*(1+RdsonTopTc*Ta-RdsonTopTc*25))/(1-Table1[[#This Row],[RDS(on) Loss BoCtlr]]*RdsonTopTc*ThetaJA_Q4)</f>
        <v>0</v>
      </c>
      <c r="AU13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12.114191857655078</v>
      </c>
      <c r="AV139" s="354">
        <f>Rdson3*Table1[[#This Row],[Irms BoSync]]^2</f>
        <v>0.61636530632912179</v>
      </c>
      <c r="AW13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39" s="354">
        <f>(Table1[[#This Row],[Deadtime Loss BoSync]]+Table1[[#This Row],[RDS(on) Loss BoSync]]*(1+RdsonBotTc*Ta-RdsonBotTc*25))/(1-Table1[[#This Row],[RDS(on) Loss BoSync]]*RdsonBotTc*ThetaJA_Q3)</f>
        <v>0.72337205090870649</v>
      </c>
      <c r="AY139" s="354">
        <f>CHOOSE(Table1[[#This Row],[Mode Digit]], Rdson3*Table1[[#This Row],[Irms Lf]]^2, Rdson1*Table1[[#This Row],[Irms Lf]]^2, 0)</f>
        <v>0.61636530632912179</v>
      </c>
      <c r="AZ139" s="354">
        <f>CHOOSE(Table1[[#This Row],[Mode Digit]], 2*Deadtime*Fsw*IF(VfdSky_Q2&gt;0,VfdSky_Q2,0)*Table1[[#This Row],[Iout]], 2*Deadtime*Fsw*IF(VfdSky_Q3&gt;0,VfdSky_Q3,0)*Table1[[#This Row],[Iin]], 2*Deadtime*Fsw*IF(VfdSky_Q2&gt;0,VfdSky_Q2,0)*Table1[[#This Row],[Iout]]+2*Deadtime*Fsw*IF(VfdSky_Q3&gt;0,VfdSky_Q3,0)*Table1[[#This Row],[Iin]])</f>
        <v>0</v>
      </c>
      <c r="BA139" s="354">
        <f>CHOOSE(Table1[[#This Row],[Mode Digit]], IF(QrrSky_Q2&gt;0,QrrSky_Q2,Qrr_Q2)*Fsw*(Table1[[#This Row],[Vin]]-Table1[[#This Row],[Iout]]*Rdson1),0,  IF(QrrSky_Q2&gt;0,QrrSky_Q2,Qrr_Q2)*Fsw*(Table1[[#This Row],[Vin]]-Table1[[#This Row],[Iout]]*Rdson1)+IF(QrrSky_Q3&gt;0,QrrSky_Q3,Qrr_Q3)*Fsw*Vout)</f>
        <v>0.45779520000000001</v>
      </c>
      <c r="BB139" s="354">
        <f>CHOOSE(Table1[[#This Row],[Mode Digit]],0, IF(QrrSky_Q3&gt;0,QrrSky_Q3,Qrr_Q3)*Fsw*Vout,  IF(QrrSky_Q2&gt;0,QrrSky_Q2,Qrr_Q2)*Fsw*(Table1[[#This Row],[Vin]]-Table1[[#This Row],[Iout]]*Rdson1)+IF(QrrSky_Q3&gt;0,QrrSky_Q3,Qrr_Q3)*Fsw*Vout)</f>
        <v>0</v>
      </c>
      <c r="BC139" s="354">
        <f>CHOOSE(Table1[[#This Row],[Mode Digit]], Rs*Table1[[#This Row],[Irms BuSync]]^2, Rs*Table1[[#This Row],[Irms BoCtlr]]^2, Rs*(Table1[[#This Row],[Irms BuSync]]^2+Table1[[#This Row],[Irms BoCtlr]]^2))</f>
        <v>0.22533191012742079</v>
      </c>
      <c r="BD139" s="354">
        <f t="shared" si="8"/>
        <v>1.44</v>
      </c>
      <c r="BE139" s="354">
        <f>IF(Vout&gt;8, Iq*Vout, Iq*Table1[[#This Row],[Vin]])</f>
        <v>4.3799999999999999E-2</v>
      </c>
      <c r="BF139" s="354">
        <f>CHOOSE(Table1[[#This Row],[Mode Digit]], (Qg_Q1+Qg_Q2)*Fsw, (Qg_Q3+Qg_Q4)*Fsw, (Qg_Q1+Qg_Q2+Qg_Q3+Qg_Q4)*Fsw)*IF(Vout&gt;8, Vout, Table1[[#This Row],[Vin]])</f>
        <v>0.47303999999999996</v>
      </c>
      <c r="BG139" s="354">
        <f t="shared" si="9"/>
        <v>0.45605042016806729</v>
      </c>
      <c r="BH139" s="354">
        <f>Table1[[#This Row],[IQ Loss]]+Table1[[#This Row],[Switching Current Loss]]</f>
        <v>0.51683999999999997</v>
      </c>
      <c r="BI13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12.292068201903229</v>
      </c>
      <c r="BJ139">
        <f>Vout*Table1[[#This Row],[Iout]]</f>
        <v>175.2</v>
      </c>
      <c r="BK139" s="550">
        <f>Table1[[#This Row],[Pout]]/(Table1[[#This Row],[Pout]]+Table1[[#This Row],[Total Loss]])</f>
        <v>0.9344395295236364</v>
      </c>
      <c r="BL13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304.38037743383751</v>
      </c>
      <c r="BM139" s="559">
        <f>IF(Table1[[#This Row],[Vin]]&gt;Vout, Table1[[#This Row],[Total Sync Bu MOSFET Loss]]*ThetaJA_Q2, ThetaJA_Q3*Table1[[#This Row],[Total Sync Bo MOSFET Loss]])</f>
        <v>63.087481315668732</v>
      </c>
      <c r="BN139" s="9"/>
      <c r="BO139" s="4">
        <f>Table1[[#This Row],[EFF, h]]*100</f>
        <v>93.443952952363645</v>
      </c>
      <c r="BP139" s="354">
        <f>Table1[[#This Row],[Total Inductor Loss]]</f>
        <v>2.7209459823722768</v>
      </c>
      <c r="BQ139" s="354">
        <f>Table1[[#This Row],[Total Control Bu MOSFET Loss]]+Table1[[#This Row],[Total Sync Bu MOSFET Loss]]+Table1[[#This Row],[Total Control Bo MOSFET Loss]]+Table1[[#This Row],[Total Sync Bo MOSFET Loss]]+Table1[[#This Row],[Reverse Recovery Loss MOSFET D BUCK]]+Table1[[#This Row],[Reverse Recovery Loss MOSFET D BOOST]]</f>
        <v>7.3056315634004765</v>
      </c>
      <c r="BR139" s="354">
        <f>Table1[[#This Row],[Total Control Bu MOSFET Loss]]+Table1[[#This Row],[Reverse Recovery Loss MOSFET D BUCK]]*0.66</f>
        <v>5.3751511225639579</v>
      </c>
      <c r="BS139" s="354">
        <f>Table1[[#This Row],[Total Sync Bu MOSFET Loss]]+Table1[[#This Row],[Reverse Recovery Loss MOSFET D BUCK]]*0.33</f>
        <v>1.2025304379278123</v>
      </c>
      <c r="BT139" s="354">
        <f xml:space="preserve"> Table1[[#This Row],[Total Control Bo MOSFET Loss]]+Table1[[#This Row],[Reverse Recovery Loss MOSFET D BOOST]]*0.66</f>
        <v>0</v>
      </c>
      <c r="BU139" s="354">
        <f xml:space="preserve"> Table1[[#This Row],[Total Sync Bo MOSFET Loss]]+Table1[[#This Row],[Reverse Recovery Loss MOSFET D BOOST]]*0.33</f>
        <v>0.72337205090870649</v>
      </c>
      <c r="BV139" s="354">
        <f>Table1[[#This Row],[Isense Shunt Loss]]</f>
        <v>0.22533191012742079</v>
      </c>
    </row>
    <row r="140" spans="7:74" x14ac:dyDescent="0.2">
      <c r="G140">
        <v>131</v>
      </c>
      <c r="H140" s="555">
        <f>VIN_min+(VIN_max-VIN_min)*(Table1[[#This Row],[Step]]/200)</f>
        <v>38.340000000000003</v>
      </c>
      <c r="I140" s="4" t="str">
        <f>IF(Mode = 2,IF(Table1[[#This Row],[Vin]]&gt;Vout, "BUCK","BOOST"),IF(Table1[[#This Row],[Vin]]&gt;VIN_BB_to_buck, "BUCK", IF(Table1[[#This Row],[Vin]]&lt;=VIN_boost_to_BB,"BOOST","BUCK-BST")))</f>
        <v>BUCK</v>
      </c>
      <c r="J140">
        <f>IF(Table1[[#This Row],[Mode]]="BOOST",2, IF(Table1[[#This Row],[Mode]]="BUCK", 1,3))</f>
        <v>1</v>
      </c>
      <c r="K140">
        <f t="shared" si="7"/>
        <v>12</v>
      </c>
      <c r="L140" s="4">
        <f>Vout*Table1[[#This Row],[Iout]]/(Table1[[#This Row],[Vin]]*Efficiency)</f>
        <v>4.8101474343134827</v>
      </c>
      <c r="M140" s="711">
        <f>MIN(1/Fsw,CHOOSE(Table1[[#This Row],[Mode Digit]],(Vout+(Rdson2+Rs+Rdcr)*Table1[[#This Row],[Iout]])/(Table1[[#This Row],[Vin]]+(Rs+Rdson2-Rdson1)*Table1[[#This Row],[Iout]])/Fsw,(Vout+(Rdson3+Rdcr)*Table1[[#This Row],[Iin]]-Table1[[#This Row],[Vin]])/(Vout+(Rdson3-Rdson4-Rs)*Table1[[#This Row],[Iin]])/Fsw,t1_Ph_II))</f>
        <v>6.4069151246633651E-7</v>
      </c>
      <c r="N140" s="602">
        <f>CHOOSE(Table1[[#This Row],[Mode Digit]],1/Fsw-Table1[[#This Row],[t1_Ph_II]],1/Fsw-Table1[[#This Row],[t1_Ph_II]],(Vout/Fsw-Table1[[#This Row],[Vin]]*t1_Ph_II)/(Table1[[#This Row],[Vin]]+Vout))</f>
        <v>1.0259751542003302E-6</v>
      </c>
      <c r="O140" s="602">
        <f>1/Fsw-(Table1[[#This Row],[t1_Ph_II]]+Table1[[#This Row],[t2_Ph_I]])</f>
        <v>0</v>
      </c>
      <c r="P14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9.119315055691132</v>
      </c>
      <c r="Q140" s="4">
        <f>CHOOSE(Table1[[#This Row],[Mode Digit]],Table1[[#This Row],[I_0]]+1/Lf*(Table1[[#This Row],[Vin]]-Vout)*Table1[[#This Row],[t1_Ph_II]],Table1[[#This Row],[I_0]]+1/Lf*Table1[[#This Row],[Vin]]*Table1[[#This Row],[t1_Ph_II]],Table1[[#This Row],[I_0]]+(Table1[[#This Row],[Vin]]-Vout)/L*Table1[[#This Row],[t1_Ph_II]])</f>
        <v>14.88068494430887</v>
      </c>
      <c r="R140" s="4">
        <f>CHOOSE(Table1[[#This Row],[Mode Digit]],0,0,Table1[[#This Row],[I_1]]+Table1[[#This Row],[Vin]]/L*Table1[[#This Row],[t2_Ph_I]])</f>
        <v>0</v>
      </c>
      <c r="S140" s="4">
        <f>Fsw*(Table1[[#This Row],[I_0]]*Table1[[#This Row],[t1_Ph_II]]+Table1[[#This Row],[I_1]]*Table1[[#This Row],[t2_Ph_I]]+Table1[[#This Row],[I_2]]*Table1[[#This Row],[t3_Ph_III]])</f>
        <v>12.665928471618967</v>
      </c>
      <c r="T140" s="354">
        <f>MIN(1,CHOOSE(Table1[[#This Row],[Mode Digit]],(Vout+(Rdson2+Rs+Rdcr)*Table1[[#This Row],[Iout]])/(Table1[[#This Row],[Vin]]+(Rs+Rdson2-Rdson1)*Table1[[#This Row],[Iout]]),1,Fsw*Table1[[#This Row],[t2_Ph_I]]+Table1[[#This Row],[t1_Ph_II]]))</f>
        <v>0.38441490747980189</v>
      </c>
      <c r="U140" s="354">
        <f>MIN(1,CHOOSE(Table1[[#This Row],[Mode Digit]],0,(Vout+(Rdson3+Rdcr)*Table1[[#This Row],[Iin]]-Table1[[#This Row],[Vin]])/(Vout+(Rdson3-Rdson4-Rs)*Table1[[#This Row],[Iin]]),Fsw*Table1[[#This Row],[t1_Ph_II]]+Table1[[#This Row],[t3_Ph_III]]))</f>
        <v>0</v>
      </c>
      <c r="V140" s="4">
        <f>MAX(Table1[[#This Row],[I_0]:[I_2]])-MIN(Table1[[#This Row],[I_0]:[I_1]])</f>
        <v>5.7613698886177378</v>
      </c>
      <c r="W14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12.114706568854896</v>
      </c>
      <c r="X140" s="354">
        <f>(Table1[[#This Row],[Irms Lf]]^2*Rdcr*(1+Ltc*Ta-Ltc*25))/(1-Table1[[#This Row],[Irms Lf]]^2*Rdcr*Ltc*ThetaCa)</f>
        <v>0.91344885840504619</v>
      </c>
      <c r="Y140" s="354">
        <f>ABS(7.759*10^-3*Fsw^0.9458*(0.00787*Table1[[#This Row],[Ripple Current pk-pk]])^2.304)</f>
        <v>1.8170142587223681</v>
      </c>
      <c r="Z140" s="354">
        <f>Table1[[#This Row],[DCR    Loss]]+Table1[[#This Row],[Core Loss]]</f>
        <v>2.7304631171274143</v>
      </c>
      <c r="AA140" s="4">
        <f>IF(Table1[[#This Row],[Vin]]&gt;Vout, Table1[[#This Row],[Ripple Current pk-pk]]/SQRT(12), SQRT(Table1[[#This Row],[Duty Cycle BOOST Leg]]/(1-Table1[[#This Row],[Duty Cycle BOOST Leg]]))*SQRT(Table1[[#This Row],[Iout]]^2+(Table1[[#This Row],[Ripple Current pk-pk]]^2)/12))</f>
        <v>1.6631642280472276</v>
      </c>
      <c r="AB140" s="354">
        <f>RCoutEsr*Table1[[#This Row],[Irms Cout]]^2</f>
        <v>1.3830576247279654E-2</v>
      </c>
      <c r="AC140" s="354">
        <f>Table1[[#This Row],[Cout ESR Loss]]</f>
        <v>1.3830576247279654E-2</v>
      </c>
      <c r="AD140" s="354">
        <f>IF(Table1[[#This Row],[Vin]]&gt;Vout, SQRT(Table1[[#This Row],[Duty Cycle BUCK Leg]]*(1-Table1[[#This Row],[Duty Cycle BUCK Leg]]))*SQRT(Table1[[#This Row],[Iout]]^2+(Table1[[#This Row],[Ripple Current pk-pk]]^2)/12), Table1[[#This Row],[Ripple Current pk-pk]]/SQRT(12))</f>
        <v>5.8932797482666581</v>
      </c>
      <c r="AE140" s="354">
        <f>RCinEsr*Table1[[#This Row],[Irms Cin]]^2</f>
        <v>6.9461492382659862E-2</v>
      </c>
      <c r="AF140" s="549">
        <f>Table1[[#This Row],[Cin ESR Loss]]</f>
        <v>6.9461492382659862E-2</v>
      </c>
      <c r="AG14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7.5112637162324116</v>
      </c>
      <c r="AH140" s="354">
        <f>Rdson1*Table1[[#This Row],[Irms BuCtrl]]^2</f>
        <v>0.23696014698211609</v>
      </c>
      <c r="AI140" s="354">
        <f>CHOOSE(Table1[[#This Row],[Mode Digit]], (Table1[[#This Row],[Vin]]*Table1[[#This Row],[Iout]]/2)*(Fsw)*(Tr_buck+Tf_buck), 0, (Table1[[#This Row],[Vin]]*Table1[[#This Row],[Avg IL]]/2)*(Fsw/1)*(Tr_buck+Tf_buck))</f>
        <v>4.5623221030511223</v>
      </c>
      <c r="AJ140">
        <f>IF(Table1[[#This Row],[Vin]]&gt;Vout, IF(Table1[[#This Row],[Iout]]&gt;Table1[[#This Row],[Ripple Current pk-pk]]/2,0,ABS(Table1[[#This Row],[Iout]]-Table1[[#This Row],[Ripple Current pk-pk]]/2)*Vsd_Q1*Deadtime*Fsw),0)</f>
        <v>0</v>
      </c>
      <c r="AK140" s="354">
        <f>(Table1[[#This Row],[Dead Time Loss BuCtrl]]+Table1[[#This Row],[Transition Loss BuCtrl]]+Table1[[#This Row],[RDS(on) Loss BuCtrl]]*(1+RdsonTopTc*Ta-RdsonTopTc*25))/(1-Table1[[#This Row],[RDS(on) Loss BuCtrl]]*RdsonTopTc*ThetaJA_Q1)</f>
        <v>5.0886775577184107</v>
      </c>
      <c r="AL140" s="354">
        <f>CHOOSE(Table1[[#This Row],[Mode Digit]],SQRT((Fsw*(Table1[[#This Row],[t2_Ph_I]]+0))*((Table1[[#This Row],[I_0]]*Table1[[#This Row],[I_1]]+((Table1[[#This Row],[I_0]]-Table1[[#This Row],[I_1]])^2)/3))),0,SQRT((Fsw*(Table1[[#This Row],[t3_Ph_III]]+0))*((Table1[[#This Row],[I_0]]*Table1[[#This Row],[I_2]]+((Table1[[#This Row],[I_0]]-Table1[[#This Row],[I_2]])^2)/3))))</f>
        <v>9.505105608811844</v>
      </c>
      <c r="AM140" s="354">
        <f>Rdson2*Table1[[#This Row],[Irms BuSync]]^2</f>
        <v>0.37945753706559882</v>
      </c>
      <c r="AN14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40" s="354">
        <f>(Table1[[#This Row],[Deadtime Loss BuSync]]+Table1[[#This Row],[RDS(on) Loss BuSync]]*(1+RdsonBotTc*Ta-RdsonBotTc*25))/(1-Table1[[#This Row],[RDS(on) Loss BuSync]]*RdsonBotTc*ThetaJA_Q2)</f>
        <v>1.0526979684485769</v>
      </c>
      <c r="AP140" s="354">
        <f>CHOOSE(Table1[[#This Row],[Mode Digit]],0,SQRT((Fsw*(Table1[[#This Row],[t1_Ph_II]]+0))*((Table1[[#This Row],[I_0]]*Table1[[#This Row],[I_1]]+((Table1[[#This Row],[I_0]]-Table1[[#This Row],[I_1]])^2)/3))),SQRT((Fsw*(Table1[[#This Row],[t2_Ph_I]]+0))*((Table1[[#This Row],[I_1]]*Table1[[#This Row],[I_2]]+((Table1[[#This Row],[I_1]]-Table1[[#This Row],[I_2]])^2)/3))))</f>
        <v>0</v>
      </c>
      <c r="AQ140" s="354">
        <f>Rdson4*Table1[[#This Row],[Irms BoCtlr]]^2</f>
        <v>0</v>
      </c>
      <c r="AR140" s="354">
        <f>CHOOSE(Table1[[#This Row],[Mode Digit]], 0, (Vout*Table1[[#This Row],[Iin]]/2)*(Fsw)*(Tr_boost+Tf_boost), (Vout*Iout/2)*(Fsw/1)*(Tr_boost+Tf_boost))</f>
        <v>0</v>
      </c>
      <c r="AS140">
        <f>IF(Table1[[#This Row],[Vin]]&gt;Vout, 0, IF(Table1[[#This Row],[Iin]]&gt;Table1[[#This Row],[Ripple Current pk-pk]]/2,0,ABS(Table1[[#This Row],[Iin]]-Table1[[#This Row],[Ripple Current pk-pk]]/2)*Vsd_Q4*Deadtime*Fsw))</f>
        <v>0</v>
      </c>
      <c r="AT140" s="354">
        <f>(Table1[[#This Row],[Dead Time Loss BoCtlr]]+Table1[[#This Row],[Transition Loss BoCtlr]]+Table1[[#This Row],[RDS(on) Loss BoCtlr]]*(1+RdsonTopTc*Ta-RdsonTopTc*25))/(1-Table1[[#This Row],[RDS(on) Loss BoCtlr]]*RdsonTopTc*ThetaJA_Q4)</f>
        <v>0</v>
      </c>
      <c r="AU14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12.114706568854896</v>
      </c>
      <c r="AV140" s="354">
        <f>Rdson3*Table1[[#This Row],[Irms BoSync]]^2</f>
        <v>0.61641768404771513</v>
      </c>
      <c r="AW14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40" s="354">
        <f>(Table1[[#This Row],[Deadtime Loss BoSync]]+Table1[[#This Row],[RDS(on) Loss BoSync]]*(1+RdsonBotTc*Ta-RdsonBotTc*25))/(1-Table1[[#This Row],[RDS(on) Loss BoSync]]*RdsonBotTc*ThetaJA_Q3)</f>
        <v>0.72344419488314715</v>
      </c>
      <c r="AY140" s="354">
        <f>CHOOSE(Table1[[#This Row],[Mode Digit]], Rdson3*Table1[[#This Row],[Irms Lf]]^2, Rdson1*Table1[[#This Row],[Irms Lf]]^2, 0)</f>
        <v>0.61641768404771513</v>
      </c>
      <c r="AZ140" s="354">
        <f>CHOOSE(Table1[[#This Row],[Mode Digit]], 2*Deadtime*Fsw*IF(VfdSky_Q2&gt;0,VfdSky_Q2,0)*Table1[[#This Row],[Iout]], 2*Deadtime*Fsw*IF(VfdSky_Q3&gt;0,VfdSky_Q3,0)*Table1[[#This Row],[Iin]], 2*Deadtime*Fsw*IF(VfdSky_Q2&gt;0,VfdSky_Q2,0)*Table1[[#This Row],[Iout]]+2*Deadtime*Fsw*IF(VfdSky_Q3&gt;0,VfdSky_Q3,0)*Table1[[#This Row],[Iin]])</f>
        <v>0</v>
      </c>
      <c r="BA140" s="354">
        <f>CHOOSE(Table1[[#This Row],[Mode Digit]], IF(QrrSky_Q2&gt;0,QrrSky_Q2,Qrr_Q2)*Fsw*(Table1[[#This Row],[Vin]]-Table1[[#This Row],[Iout]]*Rdson1),0,  IF(QrrSky_Q2&gt;0,QrrSky_Q2,Qrr_Q2)*Fsw*(Table1[[#This Row],[Vin]]-Table1[[#This Row],[Iout]]*Rdson1)+IF(QrrSky_Q3&gt;0,QrrSky_Q3,Qrr_Q3)*Fsw*Vout)</f>
        <v>0.45947520000000003</v>
      </c>
      <c r="BB140" s="354">
        <f>CHOOSE(Table1[[#This Row],[Mode Digit]],0, IF(QrrSky_Q3&gt;0,QrrSky_Q3,Qrr_Q3)*Fsw*Vout,  IF(QrrSky_Q2&gt;0,QrrSky_Q2,Qrr_Q2)*Fsw*(Table1[[#This Row],[Vin]]-Table1[[#This Row],[Iout]]*Rdson1)+IF(QrrSky_Q3&gt;0,QrrSky_Q3,Qrr_Q3)*Fsw*Vout)</f>
        <v>0</v>
      </c>
      <c r="BC140" s="354">
        <f>CHOOSE(Table1[[#This Row],[Mode Digit]], Rs*Table1[[#This Row],[Irms BuSync]]^2, Rs*Table1[[#This Row],[Irms BoCtlr]]^2, Rs*(Table1[[#This Row],[Irms BuSync]]^2+Table1[[#This Row],[Irms BoCtlr]]^2))</f>
        <v>0.22586758158666595</v>
      </c>
      <c r="BD140" s="354">
        <f t="shared" si="8"/>
        <v>1.44</v>
      </c>
      <c r="BE140" s="354">
        <f>IF(Vout&gt;8, Iq*Vout, Iq*Table1[[#This Row],[Vin]])</f>
        <v>4.3799999999999999E-2</v>
      </c>
      <c r="BF140" s="354">
        <f>CHOOSE(Table1[[#This Row],[Mode Digit]], (Qg_Q1+Qg_Q2)*Fsw, (Qg_Q3+Qg_Q4)*Fsw, (Qg_Q1+Qg_Q2+Qg_Q3+Qg_Q4)*Fsw)*IF(Vout&gt;8, Vout, Table1[[#This Row],[Vin]])</f>
        <v>0.47303999999999996</v>
      </c>
      <c r="BG140" s="354">
        <f t="shared" si="9"/>
        <v>0.45605042016806729</v>
      </c>
      <c r="BH140" s="354">
        <f>Table1[[#This Row],[IQ Loss]]+Table1[[#This Row],[Switching Current Loss]]</f>
        <v>0.51683999999999997</v>
      </c>
      <c r="BI14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12.320757688394155</v>
      </c>
      <c r="BJ140">
        <f>Vout*Table1[[#This Row],[Iout]]</f>
        <v>175.2</v>
      </c>
      <c r="BK140" s="550">
        <f>Table1[[#This Row],[Pout]]/(Table1[[#This Row],[Pout]]+Table1[[#This Row],[Total Loss]])</f>
        <v>0.9342965662027255</v>
      </c>
      <c r="BL14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305.32065346310463</v>
      </c>
      <c r="BM140" s="559">
        <f>IF(Table1[[#This Row],[Vin]]&gt;Vout, Table1[[#This Row],[Total Sync Bu MOSFET Loss]]*ThetaJA_Q2, ThetaJA_Q3*Table1[[#This Row],[Total Sync Bo MOSFET Loss]])</f>
        <v>63.161878106914614</v>
      </c>
      <c r="BN140" s="9"/>
      <c r="BO140" s="4">
        <f>Table1[[#This Row],[EFF, h]]*100</f>
        <v>93.429656620272553</v>
      </c>
      <c r="BP140" s="354">
        <f>Table1[[#This Row],[Total Inductor Loss]]</f>
        <v>2.7304631171274143</v>
      </c>
      <c r="BQ140" s="354">
        <f>Table1[[#This Row],[Total Control Bu MOSFET Loss]]+Table1[[#This Row],[Total Sync Bu MOSFET Loss]]+Table1[[#This Row],[Total Control Bo MOSFET Loss]]+Table1[[#This Row],[Total Sync Bo MOSFET Loss]]+Table1[[#This Row],[Reverse Recovery Loss MOSFET D BUCK]]+Table1[[#This Row],[Reverse Recovery Loss MOSFET D BOOST]]</f>
        <v>7.324294921050134</v>
      </c>
      <c r="BR140" s="354">
        <f>Table1[[#This Row],[Total Control Bu MOSFET Loss]]+Table1[[#This Row],[Reverse Recovery Loss MOSFET D BUCK]]*0.66</f>
        <v>5.3919311897184103</v>
      </c>
      <c r="BS140" s="354">
        <f>Table1[[#This Row],[Total Sync Bu MOSFET Loss]]+Table1[[#This Row],[Reverse Recovery Loss MOSFET D BUCK]]*0.33</f>
        <v>1.2043247844485769</v>
      </c>
      <c r="BT140" s="354">
        <f xml:space="preserve"> Table1[[#This Row],[Total Control Bo MOSFET Loss]]+Table1[[#This Row],[Reverse Recovery Loss MOSFET D BOOST]]*0.66</f>
        <v>0</v>
      </c>
      <c r="BU140" s="354">
        <f xml:space="preserve"> Table1[[#This Row],[Total Sync Bo MOSFET Loss]]+Table1[[#This Row],[Reverse Recovery Loss MOSFET D BOOST]]*0.33</f>
        <v>0.72344419488314715</v>
      </c>
      <c r="BV140" s="354">
        <f>Table1[[#This Row],[Isense Shunt Loss]]</f>
        <v>0.22586758158666595</v>
      </c>
    </row>
    <row r="141" spans="7:74" x14ac:dyDescent="0.2">
      <c r="G141">
        <v>132</v>
      </c>
      <c r="H141" s="555">
        <f>VIN_min+(VIN_max-VIN_min)*(Table1[[#This Row],[Step]]/200)</f>
        <v>38.480000000000004</v>
      </c>
      <c r="I141" s="4" t="str">
        <f>IF(Mode = 2,IF(Table1[[#This Row],[Vin]]&gt;Vout, "BUCK","BOOST"),IF(Table1[[#This Row],[Vin]]&gt;VIN_BB_to_buck, "BUCK", IF(Table1[[#This Row],[Vin]]&lt;=VIN_boost_to_BB,"BOOST","BUCK-BST")))</f>
        <v>BUCK</v>
      </c>
      <c r="J141">
        <f>IF(Table1[[#This Row],[Mode]]="BOOST",2, IF(Table1[[#This Row],[Mode]]="BUCK", 1,3))</f>
        <v>1</v>
      </c>
      <c r="K141">
        <f t="shared" si="7"/>
        <v>12</v>
      </c>
      <c r="L141" s="4">
        <f>Vout*Table1[[#This Row],[Iout]]/(Table1[[#This Row],[Vin]]*Efficiency)</f>
        <v>4.7926468979100552</v>
      </c>
      <c r="M141" s="711">
        <f>MIN(1/Fsw,CHOOSE(Table1[[#This Row],[Mode Digit]],(Vout+(Rdson2+Rs+Rdcr)*Table1[[#This Row],[Iout]])/(Table1[[#This Row],[Vin]]+(Rs+Rdson2-Rdson1)*Table1[[#This Row],[Iout]])/Fsw,(Vout+(Rdson3+Rdcr)*Table1[[#This Row],[Iin]]-Table1[[#This Row],[Vin]])/(Vout+(Rdson3-Rdson4-Rs)*Table1[[#This Row],[Iin]])/Fsw,t1_Ph_II))</f>
        <v>6.3836233013070188E-7</v>
      </c>
      <c r="N141" s="602">
        <f>CHOOSE(Table1[[#This Row],[Mode Digit]],1/Fsw-Table1[[#This Row],[t1_Ph_II]],1/Fsw-Table1[[#This Row],[t1_Ph_II]],(Vout/Fsw-Table1[[#This Row],[Vin]]*t1_Ph_II)/(Table1[[#This Row],[Vin]]+Vout))</f>
        <v>1.0283043365359648E-6</v>
      </c>
      <c r="O141" s="602">
        <f>1/Fsw-(Table1[[#This Row],[t1_Ph_II]]+Table1[[#This Row],[t2_Ph_I]])</f>
        <v>0</v>
      </c>
      <c r="P14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9.1128612796361423</v>
      </c>
      <c r="Q141" s="4">
        <f>CHOOSE(Table1[[#This Row],[Mode Digit]],Table1[[#This Row],[I_0]]+1/Lf*(Table1[[#This Row],[Vin]]-Vout)*Table1[[#This Row],[t1_Ph_II]],Table1[[#This Row],[I_0]]+1/Lf*Table1[[#This Row],[Vin]]*Table1[[#This Row],[t1_Ph_II]],Table1[[#This Row],[I_0]]+(Table1[[#This Row],[Vin]]-Vout)/L*Table1[[#This Row],[t1_Ph_II]])</f>
        <v>14.887138720363856</v>
      </c>
      <c r="R141" s="4">
        <f>CHOOSE(Table1[[#This Row],[Mode Digit]],0,0,Table1[[#This Row],[I_1]]+Table1[[#This Row],[Vin]]/L*Table1[[#This Row],[t2_Ph_I]])</f>
        <v>0</v>
      </c>
      <c r="S141" s="4">
        <f>Fsw*(Table1[[#This Row],[I_0]]*Table1[[#This Row],[t1_Ph_II]]+Table1[[#This Row],[I_1]]*Table1[[#This Row],[t2_Ph_I]]+Table1[[#This Row],[I_2]]*Table1[[#This Row],[t3_Ph_III]])</f>
        <v>12.675489999233401</v>
      </c>
      <c r="T141" s="354">
        <f>MIN(1,CHOOSE(Table1[[#This Row],[Mode Digit]],(Vout+(Rdson2+Rs+Rdcr)*Table1[[#This Row],[Iout]])/(Table1[[#This Row],[Vin]]+(Rs+Rdson2-Rdson1)*Table1[[#This Row],[Iout]]),1,Fsw*Table1[[#This Row],[t2_Ph_I]]+Table1[[#This Row],[t1_Ph_II]]))</f>
        <v>0.38301739807842111</v>
      </c>
      <c r="U141" s="354">
        <f>MIN(1,CHOOSE(Table1[[#This Row],[Mode Digit]],0,(Vout+(Rdson3+Rdcr)*Table1[[#This Row],[Iin]]-Table1[[#This Row],[Vin]])/(Vout+(Rdson3-Rdson4-Rs)*Table1[[#This Row],[Iin]]),Fsw*Table1[[#This Row],[t1_Ph_II]]+Table1[[#This Row],[t3_Ph_III]]))</f>
        <v>0</v>
      </c>
      <c r="V141" s="4">
        <f>MAX(Table1[[#This Row],[I_0]:[I_2]])-MIN(Table1[[#This Row],[I_0]:[I_1]])</f>
        <v>5.7742774407277135</v>
      </c>
      <c r="W14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12.115218666215153</v>
      </c>
      <c r="X141" s="354">
        <f>(Table1[[#This Row],[Irms Lf]]^2*Rdcr*(1+Ltc*Ta-Ltc*25))/(1-Table1[[#This Row],[Irms Lf]]^2*Rdcr*Ltc*ThetaCa)</f>
        <v>0.91353172818342476</v>
      </c>
      <c r="Y141" s="354">
        <f>ABS(7.759*10^-3*Fsw^0.9458*(0.00787*Table1[[#This Row],[Ripple Current pk-pk]])^2.304)</f>
        <v>1.8264070138521469</v>
      </c>
      <c r="Z141" s="354">
        <f>Table1[[#This Row],[DCR    Loss]]+Table1[[#This Row],[Core Loss]]</f>
        <v>2.7399387420355716</v>
      </c>
      <c r="AA141" s="4">
        <f>IF(Table1[[#This Row],[Vin]]&gt;Vout, Table1[[#This Row],[Ripple Current pk-pk]]/SQRT(12), SQRT(Table1[[#This Row],[Duty Cycle BOOST Leg]]/(1-Table1[[#This Row],[Duty Cycle BOOST Leg]]))*SQRT(Table1[[#This Row],[Iout]]^2+(Table1[[#This Row],[Ripple Current pk-pk]]^2)/12))</f>
        <v>1.6668903173898644</v>
      </c>
      <c r="AB141" s="354">
        <f>RCoutEsr*Table1[[#This Row],[Irms Cout]]^2</f>
        <v>1.3892616651040414E-2</v>
      </c>
      <c r="AC141" s="354">
        <f>Table1[[#This Row],[Cout ESR Loss]]</f>
        <v>1.3892616651040414E-2</v>
      </c>
      <c r="AD141" s="354">
        <f>IF(Table1[[#This Row],[Vin]]&gt;Vout, SQRT(Table1[[#This Row],[Duty Cycle BUCK Leg]]*(1-Table1[[#This Row],[Duty Cycle BUCK Leg]]))*SQRT(Table1[[#This Row],[Iout]]^2+(Table1[[#This Row],[Ripple Current pk-pk]]^2)/12), Table1[[#This Row],[Ripple Current pk-pk]]/SQRT(12))</f>
        <v>5.8894802096358774</v>
      </c>
      <c r="AE141" s="354">
        <f>RCinEsr*Table1[[#This Row],[Irms Cin]]^2</f>
        <v>6.937195427938532E-2</v>
      </c>
      <c r="AF141" s="549">
        <f>Table1[[#This Row],[Cin ESR Loss]]</f>
        <v>6.937195427938532E-2</v>
      </c>
      <c r="AG14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7.4979149168104806</v>
      </c>
      <c r="AH141" s="354">
        <f>Rdson1*Table1[[#This Row],[Irms BuCtrl]]^2</f>
        <v>0.23611865801886234</v>
      </c>
      <c r="AI141" s="354">
        <f>CHOOSE(Table1[[#This Row],[Mode Digit]], (Table1[[#This Row],[Vin]]*Table1[[#This Row],[Iout]]/2)*(Fsw)*(Tr_buck+Tf_buck), 0, (Table1[[#This Row],[Vin]]*Table1[[#This Row],[Avg IL]]/2)*(Fsw/1)*(Tr_buck+Tf_buck))</f>
        <v>4.5789815995150542</v>
      </c>
      <c r="AJ141">
        <f>IF(Table1[[#This Row],[Vin]]&gt;Vout, IF(Table1[[#This Row],[Iout]]&gt;Table1[[#This Row],[Ripple Current pk-pk]]/2,0,ABS(Table1[[#This Row],[Iout]]-Table1[[#This Row],[Ripple Current pk-pk]]/2)*Vsd_Q1*Deadtime*Fsw),0)</f>
        <v>0</v>
      </c>
      <c r="AK141" s="354">
        <f>(Table1[[#This Row],[Dead Time Loss BuCtrl]]+Table1[[#This Row],[Transition Loss BuCtrl]]+Table1[[#This Row],[RDS(on) Loss BuCtrl]]*(1+RdsonTopTc*Ta-RdsonTopTc*25))/(1-Table1[[#This Row],[RDS(on) Loss BuCtrl]]*RdsonTopTc*ThetaJA_Q1)</f>
        <v>5.1043563634341016</v>
      </c>
      <c r="AL141" s="354">
        <f>CHOOSE(Table1[[#This Row],[Mode Digit]],SQRT((Fsw*(Table1[[#This Row],[t2_Ph_I]]+0))*((Table1[[#This Row],[I_0]]*Table1[[#This Row],[I_1]]+((Table1[[#This Row],[I_0]]-Table1[[#This Row],[I_1]])^2)/3))),0,SQRT((Fsw*(Table1[[#This Row],[t3_Ph_III]]+0))*((Table1[[#This Row],[I_0]]*Table1[[#This Row],[I_2]]+((Table1[[#This Row],[I_0]]-Table1[[#This Row],[I_2]])^2)/3))))</f>
        <v>9.5162910438089749</v>
      </c>
      <c r="AM141" s="354">
        <f>Rdson2*Table1[[#This Row],[Irms BuSync]]^2</f>
        <v>0.38035113996801151</v>
      </c>
      <c r="AN14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41" s="354">
        <f>(Table1[[#This Row],[Deadtime Loss BuSync]]+Table1[[#This Row],[RDS(on) Loss BuSync]]*(1+RdsonBotTc*Ta-RdsonBotTc*25))/(1-Table1[[#This Row],[RDS(on) Loss BuSync]]*RdsonBotTc*ThetaJA_Q2)</f>
        <v>1.0539297832177901</v>
      </c>
      <c r="AP141" s="354">
        <f>CHOOSE(Table1[[#This Row],[Mode Digit]],0,SQRT((Fsw*(Table1[[#This Row],[t1_Ph_II]]+0))*((Table1[[#This Row],[I_0]]*Table1[[#This Row],[I_1]]+((Table1[[#This Row],[I_0]]-Table1[[#This Row],[I_1]])^2)/3))),SQRT((Fsw*(Table1[[#This Row],[t2_Ph_I]]+0))*((Table1[[#This Row],[I_1]]*Table1[[#This Row],[I_2]]+((Table1[[#This Row],[I_1]]-Table1[[#This Row],[I_2]])^2)/3))))</f>
        <v>0</v>
      </c>
      <c r="AQ141" s="354">
        <f>Rdson4*Table1[[#This Row],[Irms BoCtlr]]^2</f>
        <v>0</v>
      </c>
      <c r="AR141" s="354">
        <f>CHOOSE(Table1[[#This Row],[Mode Digit]], 0, (Vout*Table1[[#This Row],[Iin]]/2)*(Fsw)*(Tr_boost+Tf_boost), (Vout*Iout/2)*(Fsw/1)*(Tr_boost+Tf_boost))</f>
        <v>0</v>
      </c>
      <c r="AS141">
        <f>IF(Table1[[#This Row],[Vin]]&gt;Vout, 0, IF(Table1[[#This Row],[Iin]]&gt;Table1[[#This Row],[Ripple Current pk-pk]]/2,0,ABS(Table1[[#This Row],[Iin]]-Table1[[#This Row],[Ripple Current pk-pk]]/2)*Vsd_Q4*Deadtime*Fsw))</f>
        <v>0</v>
      </c>
      <c r="AT141" s="354">
        <f>(Table1[[#This Row],[Dead Time Loss BoCtlr]]+Table1[[#This Row],[Transition Loss BoCtlr]]+Table1[[#This Row],[RDS(on) Loss BoCtlr]]*(1+RdsonTopTc*Ta-RdsonTopTc*25))/(1-Table1[[#This Row],[RDS(on) Loss BoCtlr]]*RdsonTopTc*ThetaJA_Q4)</f>
        <v>0</v>
      </c>
      <c r="AU14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12.115218666215153</v>
      </c>
      <c r="AV141" s="354">
        <f>Rdson3*Table1[[#This Row],[Irms BoSync]]^2</f>
        <v>0.61646979798687396</v>
      </c>
      <c r="AW14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41" s="354">
        <f>(Table1[[#This Row],[Deadtime Loss BoSync]]+Table1[[#This Row],[RDS(on) Loss BoSync]]*(1+RdsonBotTc*Ta-RdsonBotTc*25))/(1-Table1[[#This Row],[RDS(on) Loss BoSync]]*RdsonBotTc*ThetaJA_Q3)</f>
        <v>0.72351597764600373</v>
      </c>
      <c r="AY141" s="354">
        <f>CHOOSE(Table1[[#This Row],[Mode Digit]], Rdson3*Table1[[#This Row],[Irms Lf]]^2, Rdson1*Table1[[#This Row],[Irms Lf]]^2, 0)</f>
        <v>0.61646979798687396</v>
      </c>
      <c r="AZ141" s="354">
        <f>CHOOSE(Table1[[#This Row],[Mode Digit]], 2*Deadtime*Fsw*IF(VfdSky_Q2&gt;0,VfdSky_Q2,0)*Table1[[#This Row],[Iout]], 2*Deadtime*Fsw*IF(VfdSky_Q3&gt;0,VfdSky_Q3,0)*Table1[[#This Row],[Iin]], 2*Deadtime*Fsw*IF(VfdSky_Q2&gt;0,VfdSky_Q2,0)*Table1[[#This Row],[Iout]]+2*Deadtime*Fsw*IF(VfdSky_Q3&gt;0,VfdSky_Q3,0)*Table1[[#This Row],[Iin]])</f>
        <v>0</v>
      </c>
      <c r="BA141" s="354">
        <f>CHOOSE(Table1[[#This Row],[Mode Digit]], IF(QrrSky_Q2&gt;0,QrrSky_Q2,Qrr_Q2)*Fsw*(Table1[[#This Row],[Vin]]-Table1[[#This Row],[Iout]]*Rdson1),0,  IF(QrrSky_Q2&gt;0,QrrSky_Q2,Qrr_Q2)*Fsw*(Table1[[#This Row],[Vin]]-Table1[[#This Row],[Iout]]*Rdson1)+IF(QrrSky_Q3&gt;0,QrrSky_Q3,Qrr_Q3)*Fsw*Vout)</f>
        <v>0.46115520000000004</v>
      </c>
      <c r="BB141" s="354">
        <f>CHOOSE(Table1[[#This Row],[Mode Digit]],0, IF(QrrSky_Q3&gt;0,QrrSky_Q3,Qrr_Q3)*Fsw*Vout,  IF(QrrSky_Q2&gt;0,QrrSky_Q2,Qrr_Q2)*Fsw*(Table1[[#This Row],[Vin]]-Table1[[#This Row],[Iout]]*Rdson1)+IF(QrrSky_Q3&gt;0,QrrSky_Q3,Qrr_Q3)*Fsw*Vout)</f>
        <v>0</v>
      </c>
      <c r="BC141" s="354">
        <f>CHOOSE(Table1[[#This Row],[Mode Digit]], Rs*Table1[[#This Row],[Irms BuSync]]^2, Rs*Table1[[#This Row],[Irms BoCtlr]]^2, Rs*(Table1[[#This Row],[Irms BuSync]]^2+Table1[[#This Row],[Irms BoCtlr]]^2))</f>
        <v>0.22639948807619728</v>
      </c>
      <c r="BD141" s="354">
        <f t="shared" si="8"/>
        <v>1.44</v>
      </c>
      <c r="BE141" s="354">
        <f>IF(Vout&gt;8, Iq*Vout, Iq*Table1[[#This Row],[Vin]])</f>
        <v>4.3799999999999999E-2</v>
      </c>
      <c r="BF141" s="354">
        <f>CHOOSE(Table1[[#This Row],[Mode Digit]], (Qg_Q1+Qg_Q2)*Fsw, (Qg_Q3+Qg_Q4)*Fsw, (Qg_Q1+Qg_Q2+Qg_Q3+Qg_Q4)*Fsw)*IF(Vout&gt;8, Vout, Table1[[#This Row],[Vin]])</f>
        <v>0.47303999999999996</v>
      </c>
      <c r="BG141" s="354">
        <f t="shared" si="9"/>
        <v>0.45605042016806729</v>
      </c>
      <c r="BH141" s="354">
        <f>Table1[[#This Row],[IQ Loss]]+Table1[[#This Row],[Switching Current Loss]]</f>
        <v>0.51683999999999997</v>
      </c>
      <c r="BI14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12.34940012534009</v>
      </c>
      <c r="BJ141">
        <f>Vout*Table1[[#This Row],[Iout]]</f>
        <v>175.2</v>
      </c>
      <c r="BK141" s="550">
        <f>Table1[[#This Row],[Pout]]/(Table1[[#This Row],[Pout]]+Table1[[#This Row],[Total Loss]])</f>
        <v>0.93415388096636442</v>
      </c>
      <c r="BL14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306.26138180604607</v>
      </c>
      <c r="BM141" s="559">
        <f>IF(Table1[[#This Row],[Vin]]&gt;Vout, Table1[[#This Row],[Total Sync Bu MOSFET Loss]]*ThetaJA_Q2, ThetaJA_Q3*Table1[[#This Row],[Total Sync Bo MOSFET Loss]])</f>
        <v>63.235786993067407</v>
      </c>
      <c r="BN141" s="9"/>
      <c r="BO141" s="4">
        <f>Table1[[#This Row],[EFF, h]]*100</f>
        <v>93.415388096636448</v>
      </c>
      <c r="BP141" s="354">
        <f>Table1[[#This Row],[Total Inductor Loss]]</f>
        <v>2.7399387420355716</v>
      </c>
      <c r="BQ141" s="354">
        <f>Table1[[#This Row],[Total Control Bu MOSFET Loss]]+Table1[[#This Row],[Total Sync Bu MOSFET Loss]]+Table1[[#This Row],[Total Control Bo MOSFET Loss]]+Table1[[#This Row],[Total Sync Bo MOSFET Loss]]+Table1[[#This Row],[Reverse Recovery Loss MOSFET D BUCK]]+Table1[[#This Row],[Reverse Recovery Loss MOSFET D BOOST]]</f>
        <v>7.3429573242978963</v>
      </c>
      <c r="BR141" s="354">
        <f>Table1[[#This Row],[Total Control Bu MOSFET Loss]]+Table1[[#This Row],[Reverse Recovery Loss MOSFET D BUCK]]*0.66</f>
        <v>5.4087187954341012</v>
      </c>
      <c r="BS141" s="354">
        <f>Table1[[#This Row],[Total Sync Bu MOSFET Loss]]+Table1[[#This Row],[Reverse Recovery Loss MOSFET D BUCK]]*0.33</f>
        <v>1.2061109992177901</v>
      </c>
      <c r="BT141" s="354">
        <f xml:space="preserve"> Table1[[#This Row],[Total Control Bo MOSFET Loss]]+Table1[[#This Row],[Reverse Recovery Loss MOSFET D BOOST]]*0.66</f>
        <v>0</v>
      </c>
      <c r="BU141" s="354">
        <f xml:space="preserve"> Table1[[#This Row],[Total Sync Bo MOSFET Loss]]+Table1[[#This Row],[Reverse Recovery Loss MOSFET D BOOST]]*0.33</f>
        <v>0.72351597764600373</v>
      </c>
      <c r="BV141" s="354">
        <f>Table1[[#This Row],[Isense Shunt Loss]]</f>
        <v>0.22639948807619728</v>
      </c>
    </row>
    <row r="142" spans="7:74" x14ac:dyDescent="0.2">
      <c r="G142">
        <v>133</v>
      </c>
      <c r="H142" s="555">
        <f>VIN_min+(VIN_max-VIN_min)*(Table1[[#This Row],[Step]]/200)</f>
        <v>38.620000000000005</v>
      </c>
      <c r="I142" s="4" t="str">
        <f>IF(Mode = 2,IF(Table1[[#This Row],[Vin]]&gt;Vout, "BUCK","BOOST"),IF(Table1[[#This Row],[Vin]]&gt;VIN_BB_to_buck, "BUCK", IF(Table1[[#This Row],[Vin]]&lt;=VIN_boost_to_BB,"BOOST","BUCK-BST")))</f>
        <v>BUCK</v>
      </c>
      <c r="J142">
        <f>IF(Table1[[#This Row],[Mode]]="BOOST",2, IF(Table1[[#This Row],[Mode]]="BUCK", 1,3))</f>
        <v>1</v>
      </c>
      <c r="K142">
        <f t="shared" si="7"/>
        <v>12</v>
      </c>
      <c r="L142" s="4">
        <f>Vout*Table1[[#This Row],[Iout]]/(Table1[[#This Row],[Vin]]*Efficiency)</f>
        <v>4.7752732426612878</v>
      </c>
      <c r="M142" s="711">
        <f>MIN(1/Fsw,CHOOSE(Table1[[#This Row],[Mode Digit]],(Vout+(Rdson2+Rs+Rdcr)*Table1[[#This Row],[Iout]])/(Table1[[#This Row],[Vin]]+(Rs+Rdson2-Rdson1)*Table1[[#This Row],[Iout]])/Fsw,(Vout+(Rdson3+Rdcr)*Table1[[#This Row],[Iin]]-Table1[[#This Row],[Vin]])/(Vout+(Rdson3-Rdson4-Rs)*Table1[[#This Row],[Iin]])/Fsw,t1_Ph_II))</f>
        <v>6.3605002156101756E-7</v>
      </c>
      <c r="N142" s="602">
        <f>CHOOSE(Table1[[#This Row],[Mode Digit]],1/Fsw-Table1[[#This Row],[t1_Ph_II]],1/Fsw-Table1[[#This Row],[t1_Ph_II]],(Vout/Fsw-Table1[[#This Row],[Vin]]*t1_Ph_II)/(Table1[[#This Row],[Vin]]+Vout))</f>
        <v>1.0306166451056492E-6</v>
      </c>
      <c r="O142" s="602">
        <f>1/Fsw-(Table1[[#This Row],[t1_Ph_II]]+Table1[[#This Row],[t2_Ph_I]])</f>
        <v>0</v>
      </c>
      <c r="P14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9.1064542579743097</v>
      </c>
      <c r="Q142" s="4">
        <f>CHOOSE(Table1[[#This Row],[Mode Digit]],Table1[[#This Row],[I_0]]+1/Lf*(Table1[[#This Row],[Vin]]-Vout)*Table1[[#This Row],[t1_Ph_II]],Table1[[#This Row],[I_0]]+1/Lf*Table1[[#This Row],[Vin]]*Table1[[#This Row],[t1_Ph_II]],Table1[[#This Row],[I_0]]+(Table1[[#This Row],[Vin]]-Vout)/L*Table1[[#This Row],[t1_Ph_II]])</f>
        <v>14.89354574202569</v>
      </c>
      <c r="R142" s="4">
        <f>CHOOSE(Table1[[#This Row],[Mode Digit]],0,0,Table1[[#This Row],[I_1]]+Table1[[#This Row],[Vin]]/L*Table1[[#This Row],[t2_Ph_I]])</f>
        <v>0</v>
      </c>
      <c r="S142" s="4">
        <f>Fsw*(Table1[[#This Row],[I_0]]*Table1[[#This Row],[t1_Ph_II]]+Table1[[#This Row],[I_1]]*Table1[[#This Row],[t2_Ph_I]]+Table1[[#This Row],[I_2]]*Table1[[#This Row],[t3_Ph_III]])</f>
        <v>12.685017944101814</v>
      </c>
      <c r="T142" s="354">
        <f>MIN(1,CHOOSE(Table1[[#This Row],[Mode Digit]],(Vout+(Rdson2+Rs+Rdcr)*Table1[[#This Row],[Iout]])/(Table1[[#This Row],[Vin]]+(Rs+Rdson2-Rdson1)*Table1[[#This Row],[Iout]]),1,Fsw*Table1[[#This Row],[t2_Ph_I]]+Table1[[#This Row],[t1_Ph_II]]))</f>
        <v>0.38163001293661053</v>
      </c>
      <c r="U142" s="354">
        <f>MIN(1,CHOOSE(Table1[[#This Row],[Mode Digit]],0,(Vout+(Rdson3+Rdcr)*Table1[[#This Row],[Iin]]-Table1[[#This Row],[Vin]])/(Vout+(Rdson3-Rdson4-Rs)*Table1[[#This Row],[Iin]]),Fsw*Table1[[#This Row],[t1_Ph_II]]+Table1[[#This Row],[t3_Ph_III]]))</f>
        <v>0</v>
      </c>
      <c r="V142" s="4">
        <f>MAX(Table1[[#This Row],[I_0]:[I_2]])-MIN(Table1[[#This Row],[I_0]:[I_1]])</f>
        <v>5.7870914840513805</v>
      </c>
      <c r="W14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12.115728165779595</v>
      </c>
      <c r="X142" s="354">
        <f>(Table1[[#This Row],[Irms Lf]]^2*Rdcr*(1+Ltc*Ta-Ltc*25))/(1-Table1[[#This Row],[Irms Lf]]^2*Rdcr*Ltc*ThetaCa)</f>
        <v>0.91361418206793865</v>
      </c>
      <c r="Y142" s="354">
        <f>ABS(7.759*10^-3*Fsw^0.9458*(0.00787*Table1[[#This Row],[Ripple Current pk-pk]])^2.304)</f>
        <v>1.8357588447726958</v>
      </c>
      <c r="Z142" s="354">
        <f>Table1[[#This Row],[DCR    Loss]]+Table1[[#This Row],[Core Loss]]</f>
        <v>2.7493730268406344</v>
      </c>
      <c r="AA142" s="4">
        <f>IF(Table1[[#This Row],[Vin]]&gt;Vout, Table1[[#This Row],[Ripple Current pk-pk]]/SQRT(12), SQRT(Table1[[#This Row],[Duty Cycle BOOST Leg]]/(1-Table1[[#This Row],[Duty Cycle BOOST Leg]]))*SQRT(Table1[[#This Row],[Iout]]^2+(Table1[[#This Row],[Ripple Current pk-pk]]^2)/12))</f>
        <v>1.6705894130710277</v>
      </c>
      <c r="AB142" s="354">
        <f>RCoutEsr*Table1[[#This Row],[Irms Cout]]^2</f>
        <v>1.3954344935325005E-2</v>
      </c>
      <c r="AC142" s="354">
        <f>Table1[[#This Row],[Cout ESR Loss]]</f>
        <v>1.3954344935325005E-2</v>
      </c>
      <c r="AD142" s="354">
        <f>IF(Table1[[#This Row],[Vin]]&gt;Vout, SQRT(Table1[[#This Row],[Duty Cycle BUCK Leg]]*(1-Table1[[#This Row],[Duty Cycle BUCK Leg]]))*SQRT(Table1[[#This Row],[Iout]]^2+(Table1[[#This Row],[Ripple Current pk-pk]]^2)/12), Table1[[#This Row],[Ripple Current pk-pk]]/SQRT(12))</f>
        <v>5.8856574621875559</v>
      </c>
      <c r="AE142" s="354">
        <f>RCinEsr*Table1[[#This Row],[Irms Cin]]^2</f>
        <v>6.9281927524408121E-2</v>
      </c>
      <c r="AF142" s="549">
        <f>Table1[[#This Row],[Cin ESR Loss]]</f>
        <v>6.9281927524408121E-2</v>
      </c>
      <c r="AG14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7.4846376819796641</v>
      </c>
      <c r="AH142" s="354">
        <f>Rdson1*Table1[[#This Row],[Irms BuCtrl]]^2</f>
        <v>0.23528316516814168</v>
      </c>
      <c r="AI142" s="354">
        <f>CHOOSE(Table1[[#This Row],[Mode Digit]], (Table1[[#This Row],[Vin]]*Table1[[#This Row],[Iout]]/2)*(Fsw)*(Tr_buck+Tf_buck), 0, (Table1[[#This Row],[Vin]]*Table1[[#This Row],[Avg IL]]/2)*(Fsw/1)*(Tr_buck+Tf_buck))</f>
        <v>4.5956410959789871</v>
      </c>
      <c r="AJ142">
        <f>IF(Table1[[#This Row],[Vin]]&gt;Vout, IF(Table1[[#This Row],[Iout]]&gt;Table1[[#This Row],[Ripple Current pk-pk]]/2,0,ABS(Table1[[#This Row],[Iout]]-Table1[[#This Row],[Ripple Current pk-pk]]/2)*Vsd_Q1*Deadtime*Fsw),0)</f>
        <v>0</v>
      </c>
      <c r="AK142" s="354">
        <f>(Table1[[#This Row],[Dead Time Loss BuCtrl]]+Table1[[#This Row],[Transition Loss BuCtrl]]+Table1[[#This Row],[RDS(on) Loss BuCtrl]]*(1+RdsonTopTc*Ta-RdsonTopTc*25))/(1-Table1[[#This Row],[RDS(on) Loss BuCtrl]]*RdsonTopTc*ThetaJA_Q1)</f>
        <v>5.1200426212402128</v>
      </c>
      <c r="AL142" s="354">
        <f>CHOOSE(Table1[[#This Row],[Mode Digit]],SQRT((Fsw*(Table1[[#This Row],[t2_Ph_I]]+0))*((Table1[[#This Row],[I_0]]*Table1[[#This Row],[I_1]]+((Table1[[#This Row],[I_0]]-Table1[[#This Row],[I_1]])^2)/3))),0,SQRT((Fsw*(Table1[[#This Row],[t3_Ph_III]]+0))*((Table1[[#This Row],[I_0]]*Table1[[#This Row],[I_2]]+((Table1[[#This Row],[I_0]]-Table1[[#This Row],[I_2]])^2)/3))))</f>
        <v>9.5273851479068004</v>
      </c>
      <c r="AM142" s="354">
        <f>Rdson2*Table1[[#This Row],[Irms BuSync]]^2</f>
        <v>0.3812384845775314</v>
      </c>
      <c r="AN14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42" s="354">
        <f>(Table1[[#This Row],[Deadtime Loss BuSync]]+Table1[[#This Row],[RDS(on) Loss BuSync]]*(1+RdsonBotTc*Ta-RdsonBotTc*25))/(1-Table1[[#This Row],[RDS(on) Loss BuSync]]*RdsonBotTc*ThetaJA_Q2)</f>
        <v>1.05515354652684</v>
      </c>
      <c r="AP142" s="354">
        <f>CHOOSE(Table1[[#This Row],[Mode Digit]],0,SQRT((Fsw*(Table1[[#This Row],[t1_Ph_II]]+0))*((Table1[[#This Row],[I_0]]*Table1[[#This Row],[I_1]]+((Table1[[#This Row],[I_0]]-Table1[[#This Row],[I_1]])^2)/3))),SQRT((Fsw*(Table1[[#This Row],[t2_Ph_I]]+0))*((Table1[[#This Row],[I_1]]*Table1[[#This Row],[I_2]]+((Table1[[#This Row],[I_1]]-Table1[[#This Row],[I_2]])^2)/3))))</f>
        <v>0</v>
      </c>
      <c r="AQ142" s="354">
        <f>Rdson4*Table1[[#This Row],[Irms BoCtlr]]^2</f>
        <v>0</v>
      </c>
      <c r="AR142" s="354">
        <f>CHOOSE(Table1[[#This Row],[Mode Digit]], 0, (Vout*Table1[[#This Row],[Iin]]/2)*(Fsw)*(Tr_boost+Tf_boost), (Vout*Iout/2)*(Fsw/1)*(Tr_boost+Tf_boost))</f>
        <v>0</v>
      </c>
      <c r="AS142">
        <f>IF(Table1[[#This Row],[Vin]]&gt;Vout, 0, IF(Table1[[#This Row],[Iin]]&gt;Table1[[#This Row],[Ripple Current pk-pk]]/2,0,ABS(Table1[[#This Row],[Iin]]-Table1[[#This Row],[Ripple Current pk-pk]]/2)*Vsd_Q4*Deadtime*Fsw))</f>
        <v>0</v>
      </c>
      <c r="AT142" s="354">
        <f>(Table1[[#This Row],[Dead Time Loss BoCtlr]]+Table1[[#This Row],[Transition Loss BoCtlr]]+Table1[[#This Row],[RDS(on) Loss BoCtlr]]*(1+RdsonTopTc*Ta-RdsonTopTc*25))/(1-Table1[[#This Row],[RDS(on) Loss BoCtlr]]*RdsonTopTc*ThetaJA_Q4)</f>
        <v>0</v>
      </c>
      <c r="AU14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12.115728165779595</v>
      </c>
      <c r="AV142" s="354">
        <f>Rdson3*Table1[[#This Row],[Irms BoSync]]^2</f>
        <v>0.61652164974567303</v>
      </c>
      <c r="AW14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42" s="354">
        <f>(Table1[[#This Row],[Deadtime Loss BoSync]]+Table1[[#This Row],[RDS(on) Loss BoSync]]*(1+RdsonBotTc*Ta-RdsonBotTc*25))/(1-Table1[[#This Row],[RDS(on) Loss BoSync]]*RdsonBotTc*ThetaJA_Q3)</f>
        <v>0.72358740136806232</v>
      </c>
      <c r="AY142" s="354">
        <f>CHOOSE(Table1[[#This Row],[Mode Digit]], Rdson3*Table1[[#This Row],[Irms Lf]]^2, Rdson1*Table1[[#This Row],[Irms Lf]]^2, 0)</f>
        <v>0.61652164974567303</v>
      </c>
      <c r="AZ142" s="354">
        <f>CHOOSE(Table1[[#This Row],[Mode Digit]], 2*Deadtime*Fsw*IF(VfdSky_Q2&gt;0,VfdSky_Q2,0)*Table1[[#This Row],[Iout]], 2*Deadtime*Fsw*IF(VfdSky_Q3&gt;0,VfdSky_Q3,0)*Table1[[#This Row],[Iin]], 2*Deadtime*Fsw*IF(VfdSky_Q2&gt;0,VfdSky_Q2,0)*Table1[[#This Row],[Iout]]+2*Deadtime*Fsw*IF(VfdSky_Q3&gt;0,VfdSky_Q3,0)*Table1[[#This Row],[Iin]])</f>
        <v>0</v>
      </c>
      <c r="BA142" s="354">
        <f>CHOOSE(Table1[[#This Row],[Mode Digit]], IF(QrrSky_Q2&gt;0,QrrSky_Q2,Qrr_Q2)*Fsw*(Table1[[#This Row],[Vin]]-Table1[[#This Row],[Iout]]*Rdson1),0,  IF(QrrSky_Q2&gt;0,QrrSky_Q2,Qrr_Q2)*Fsw*(Table1[[#This Row],[Vin]]-Table1[[#This Row],[Iout]]*Rdson1)+IF(QrrSky_Q3&gt;0,QrrSky_Q3,Qrr_Q3)*Fsw*Vout)</f>
        <v>0.4628352</v>
      </c>
      <c r="BB142" s="354">
        <f>CHOOSE(Table1[[#This Row],[Mode Digit]],0, IF(QrrSky_Q3&gt;0,QrrSky_Q3,Qrr_Q3)*Fsw*Vout,  IF(QrrSky_Q2&gt;0,QrrSky_Q2,Qrr_Q2)*Fsw*(Table1[[#This Row],[Vin]]-Table1[[#This Row],[Iout]]*Rdson1)+IF(QrrSky_Q3&gt;0,QrrSky_Q3,Qrr_Q3)*Fsw*Vout)</f>
        <v>0</v>
      </c>
      <c r="BC142" s="354">
        <f>CHOOSE(Table1[[#This Row],[Mode Digit]], Rs*Table1[[#This Row],[Irms BuSync]]^2, Rs*Table1[[#This Row],[Irms BoCtlr]]^2, Rs*(Table1[[#This Row],[Irms BuSync]]^2+Table1[[#This Row],[Irms BoCtlr]]^2))</f>
        <v>0.22692766939138773</v>
      </c>
      <c r="BD142" s="354">
        <f t="shared" si="8"/>
        <v>1.44</v>
      </c>
      <c r="BE142" s="354">
        <f>IF(Vout&gt;8, Iq*Vout, Iq*Table1[[#This Row],[Vin]])</f>
        <v>4.3799999999999999E-2</v>
      </c>
      <c r="BF142" s="354">
        <f>CHOOSE(Table1[[#This Row],[Mode Digit]], (Qg_Q1+Qg_Q2)*Fsw, (Qg_Q3+Qg_Q4)*Fsw, (Qg_Q1+Qg_Q2+Qg_Q3+Qg_Q4)*Fsw)*IF(Vout&gt;8, Vout, Table1[[#This Row],[Vin]])</f>
        <v>0.47303999999999996</v>
      </c>
      <c r="BG142" s="354">
        <f t="shared" si="9"/>
        <v>0.45605042016806729</v>
      </c>
      <c r="BH142" s="354">
        <f>Table1[[#This Row],[IQ Loss]]+Table1[[#This Row],[Switching Current Loss]]</f>
        <v>0.51683999999999997</v>
      </c>
      <c r="BI14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12.377995737826872</v>
      </c>
      <c r="BJ142">
        <f>Vout*Table1[[#This Row],[Iout]]</f>
        <v>175.2</v>
      </c>
      <c r="BK142" s="550">
        <f>Table1[[#This Row],[Pout]]/(Table1[[#This Row],[Pout]]+Table1[[#This Row],[Total Loss]])</f>
        <v>0.93401147245902294</v>
      </c>
      <c r="BL14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307.20255727441275</v>
      </c>
      <c r="BM142" s="559">
        <f>IF(Table1[[#This Row],[Vin]]&gt;Vout, Table1[[#This Row],[Total Sync Bu MOSFET Loss]]*ThetaJA_Q2, ThetaJA_Q3*Table1[[#This Row],[Total Sync Bo MOSFET Loss]])</f>
        <v>63.309212791610399</v>
      </c>
      <c r="BN142" s="9"/>
      <c r="BO142" s="4">
        <f>Table1[[#This Row],[EFF, h]]*100</f>
        <v>93.401147245902294</v>
      </c>
      <c r="BP142" s="354">
        <f>Table1[[#This Row],[Total Inductor Loss]]</f>
        <v>2.7493730268406344</v>
      </c>
      <c r="BQ142" s="354">
        <f>Table1[[#This Row],[Total Control Bu MOSFET Loss]]+Table1[[#This Row],[Total Sync Bu MOSFET Loss]]+Table1[[#This Row],[Total Control Bo MOSFET Loss]]+Table1[[#This Row],[Total Sync Bo MOSFET Loss]]+Table1[[#This Row],[Reverse Recovery Loss MOSFET D BUCK]]+Table1[[#This Row],[Reverse Recovery Loss MOSFET D BOOST]]</f>
        <v>7.3616187691351156</v>
      </c>
      <c r="BR142" s="354">
        <f>Table1[[#This Row],[Total Control Bu MOSFET Loss]]+Table1[[#This Row],[Reverse Recovery Loss MOSFET D BUCK]]*0.66</f>
        <v>5.4255138532402132</v>
      </c>
      <c r="BS142" s="354">
        <f>Table1[[#This Row],[Total Sync Bu MOSFET Loss]]+Table1[[#This Row],[Reverse Recovery Loss MOSFET D BUCK]]*0.33</f>
        <v>1.20788916252684</v>
      </c>
      <c r="BT142" s="354">
        <f xml:space="preserve"> Table1[[#This Row],[Total Control Bo MOSFET Loss]]+Table1[[#This Row],[Reverse Recovery Loss MOSFET D BOOST]]*0.66</f>
        <v>0</v>
      </c>
      <c r="BU142" s="354">
        <f xml:space="preserve"> Table1[[#This Row],[Total Sync Bo MOSFET Loss]]+Table1[[#This Row],[Reverse Recovery Loss MOSFET D BOOST]]*0.33</f>
        <v>0.72358740136806232</v>
      </c>
      <c r="BV142" s="354">
        <f>Table1[[#This Row],[Isense Shunt Loss]]</f>
        <v>0.22692766939138773</v>
      </c>
    </row>
    <row r="143" spans="7:74" x14ac:dyDescent="0.2">
      <c r="G143">
        <v>134</v>
      </c>
      <c r="H143" s="555">
        <f>VIN_min+(VIN_max-VIN_min)*(Table1[[#This Row],[Step]]/200)</f>
        <v>38.760000000000005</v>
      </c>
      <c r="I143" s="4" t="str">
        <f>IF(Mode = 2,IF(Table1[[#This Row],[Vin]]&gt;Vout, "BUCK","BOOST"),IF(Table1[[#This Row],[Vin]]&gt;VIN_BB_to_buck, "BUCK", IF(Table1[[#This Row],[Vin]]&lt;=VIN_boost_to_BB,"BOOST","BUCK-BST")))</f>
        <v>BUCK</v>
      </c>
      <c r="J143">
        <f>IF(Table1[[#This Row],[Mode]]="BOOST",2, IF(Table1[[#This Row],[Mode]]="BUCK", 1,3))</f>
        <v>1</v>
      </c>
      <c r="K143">
        <f t="shared" si="7"/>
        <v>12</v>
      </c>
      <c r="L143" s="4">
        <f>Vout*Table1[[#This Row],[Iout]]/(Table1[[#This Row],[Vin]]*Efficiency)</f>
        <v>4.7580250936939867</v>
      </c>
      <c r="M143" s="711">
        <f>MIN(1/Fsw,CHOOSE(Table1[[#This Row],[Mode Digit]],(Vout+(Rdson2+Rs+Rdcr)*Table1[[#This Row],[Iout]])/(Table1[[#This Row],[Vin]]+(Rs+Rdson2-Rdson1)*Table1[[#This Row],[Iout]])/Fsw,(Vout+(Rdson3+Rdcr)*Table1[[#This Row],[Iin]]-Table1[[#This Row],[Vin]])/(Vout+(Rdson3-Rdson4-Rs)*Table1[[#This Row],[Iin]])/Fsw,t1_Ph_II))</f>
        <v>6.3375440405602811E-7</v>
      </c>
      <c r="N143" s="602">
        <f>CHOOSE(Table1[[#This Row],[Mode Digit]],1/Fsw-Table1[[#This Row],[t1_Ph_II]],1/Fsw-Table1[[#This Row],[t1_Ph_II]],(Vout/Fsw-Table1[[#This Row],[Vin]]*t1_Ph_II)/(Table1[[#This Row],[Vin]]+Vout))</f>
        <v>1.0329122626106384E-6</v>
      </c>
      <c r="O143" s="602">
        <f>1/Fsw-(Table1[[#This Row],[t1_Ph_II]]+Table1[[#This Row],[t2_Ph_I]])</f>
        <v>0</v>
      </c>
      <c r="P14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9.1000934844709018</v>
      </c>
      <c r="Q143" s="4">
        <f>CHOOSE(Table1[[#This Row],[Mode Digit]],Table1[[#This Row],[I_0]]+1/Lf*(Table1[[#This Row],[Vin]]-Vout)*Table1[[#This Row],[t1_Ph_II]],Table1[[#This Row],[I_0]]+1/Lf*Table1[[#This Row],[Vin]]*Table1[[#This Row],[t1_Ph_II]],Table1[[#This Row],[I_0]]+(Table1[[#This Row],[Vin]]-Vout)/L*Table1[[#This Row],[t1_Ph_II]])</f>
        <v>14.8999065155291</v>
      </c>
      <c r="R143" s="4">
        <f>CHOOSE(Table1[[#This Row],[Mode Digit]],0,0,Table1[[#This Row],[I_1]]+Table1[[#This Row],[Vin]]/L*Table1[[#This Row],[t2_Ph_I]])</f>
        <v>0</v>
      </c>
      <c r="S143" s="4">
        <f>Fsw*(Table1[[#This Row],[I_0]]*Table1[[#This Row],[t1_Ph_II]]+Table1[[#This Row],[I_1]]*Table1[[#This Row],[t2_Ph_I]]+Table1[[#This Row],[I_2]]*Table1[[#This Row],[t3_Ph_III]])</f>
        <v>12.694512284848294</v>
      </c>
      <c r="T143" s="354">
        <f>MIN(1,CHOOSE(Table1[[#This Row],[Mode Digit]],(Vout+(Rdson2+Rs+Rdcr)*Table1[[#This Row],[Iout]])/(Table1[[#This Row],[Vin]]+(Rs+Rdson2-Rdson1)*Table1[[#This Row],[Iout]]),1,Fsw*Table1[[#This Row],[t2_Ph_I]]+Table1[[#This Row],[t1_Ph_II]]))</f>
        <v>0.38025264243361684</v>
      </c>
      <c r="U143" s="354">
        <f>MIN(1,CHOOSE(Table1[[#This Row],[Mode Digit]],0,(Vout+(Rdson3+Rdcr)*Table1[[#This Row],[Iin]]-Table1[[#This Row],[Vin]])/(Vout+(Rdson3-Rdson4-Rs)*Table1[[#This Row],[Iin]]),Fsw*Table1[[#This Row],[t1_Ph_II]]+Table1[[#This Row],[t3_Ph_III]]))</f>
        <v>0</v>
      </c>
      <c r="V143" s="4">
        <f>MAX(Table1[[#This Row],[I_0]:[I_2]])-MIN(Table1[[#This Row],[I_0]:[I_1]])</f>
        <v>5.7998130310581981</v>
      </c>
      <c r="W14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12.116235083539884</v>
      </c>
      <c r="X143" s="354">
        <f>(Table1[[#This Row],[Irms Lf]]^2*Rdcr*(1+Ltc*Ta-Ltc*25))/(1-Table1[[#This Row],[Irms Lf]]^2*Rdcr*Ltc*ThetaCa)</f>
        <v>0.91369622257838023</v>
      </c>
      <c r="Y143" s="354">
        <f>ABS(7.759*10^-3*Fsw^0.9458*(0.00787*Table1[[#This Row],[Ripple Current pk-pk]])^2.304)</f>
        <v>1.8450699200120226</v>
      </c>
      <c r="Z143" s="354">
        <f>Table1[[#This Row],[DCR    Loss]]+Table1[[#This Row],[Core Loss]]</f>
        <v>2.7587661425904031</v>
      </c>
      <c r="AA143" s="4">
        <f>IF(Table1[[#This Row],[Vin]]&gt;Vout, Table1[[#This Row],[Ripple Current pk-pk]]/SQRT(12), SQRT(Table1[[#This Row],[Duty Cycle BOOST Leg]]/(1-Table1[[#This Row],[Duty Cycle BOOST Leg]]))*SQRT(Table1[[#This Row],[Iout]]^2+(Table1[[#This Row],[Ripple Current pk-pk]]^2)/12))</f>
        <v>1.6742618073654751</v>
      </c>
      <c r="AB143" s="354">
        <f>RCoutEsr*Table1[[#This Row],[Irms Cout]]^2</f>
        <v>1.4015762998013537E-2</v>
      </c>
      <c r="AC143" s="354">
        <f>Table1[[#This Row],[Cout ESR Loss]]</f>
        <v>1.4015762998013537E-2</v>
      </c>
      <c r="AD143" s="354">
        <f>IF(Table1[[#This Row],[Vin]]&gt;Vout, SQRT(Table1[[#This Row],[Duty Cycle BUCK Leg]]*(1-Table1[[#This Row],[Duty Cycle BUCK Leg]]))*SQRT(Table1[[#This Row],[Iout]]^2+(Table1[[#This Row],[Ripple Current pk-pk]]^2)/12), Table1[[#This Row],[Ripple Current pk-pk]]/SQRT(12))</f>
        <v>5.8818121928247606</v>
      </c>
      <c r="AE143" s="354">
        <f>RCinEsr*Table1[[#This Row],[Irms Cin]]^2</f>
        <v>6.9191429343324035E-2</v>
      </c>
      <c r="AF143" s="549">
        <f>Table1[[#This Row],[Cin ESR Loss]]</f>
        <v>6.9191429343324035E-2</v>
      </c>
      <c r="AG14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7.4714313684584184</v>
      </c>
      <c r="AH143" s="354">
        <f>Rdson1*Table1[[#This Row],[Irms BuCtrl]]^2</f>
        <v>0.23445360411305463</v>
      </c>
      <c r="AI143" s="354">
        <f>CHOOSE(Table1[[#This Row],[Mode Digit]], (Table1[[#This Row],[Vin]]*Table1[[#This Row],[Iout]]/2)*(Fsw)*(Tr_buck+Tf_buck), 0, (Table1[[#This Row],[Vin]]*Table1[[#This Row],[Avg IL]]/2)*(Fsw/1)*(Tr_buck+Tf_buck))</f>
        <v>4.6123005924429199</v>
      </c>
      <c r="AJ143">
        <f>IF(Table1[[#This Row],[Vin]]&gt;Vout, IF(Table1[[#This Row],[Iout]]&gt;Table1[[#This Row],[Ripple Current pk-pk]]/2,0,ABS(Table1[[#This Row],[Iout]]-Table1[[#This Row],[Ripple Current pk-pk]]/2)*Vsd_Q1*Deadtime*Fsw),0)</f>
        <v>0</v>
      </c>
      <c r="AK143" s="354">
        <f>(Table1[[#This Row],[Dead Time Loss BuCtrl]]+Table1[[#This Row],[Transition Loss BuCtrl]]+Table1[[#This Row],[RDS(on) Loss BuCtrl]]*(1+RdsonTopTc*Ta-RdsonTopTc*25))/(1-Table1[[#This Row],[RDS(on) Loss BuCtrl]]*RdsonTopTc*ThetaJA_Q1)</f>
        <v>5.1357362459911782</v>
      </c>
      <c r="AL143" s="354">
        <f>CHOOSE(Table1[[#This Row],[Mode Digit]],SQRT((Fsw*(Table1[[#This Row],[t2_Ph_I]]+0))*((Table1[[#This Row],[I_0]]*Table1[[#This Row],[I_1]]+((Table1[[#This Row],[I_0]]-Table1[[#This Row],[I_1]])^2)/3))),0,SQRT((Fsw*(Table1[[#This Row],[t3_Ph_III]]+0))*((Table1[[#This Row],[I_0]]*Table1[[#This Row],[I_2]]+((Table1[[#This Row],[I_0]]-Table1[[#This Row],[I_2]])^2)/3))))</f>
        <v>9.5383890624160586</v>
      </c>
      <c r="AM143" s="354">
        <f>Rdson2*Table1[[#This Row],[Irms BuSync]]^2</f>
        <v>0.38211963680527689</v>
      </c>
      <c r="AN14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43" s="354">
        <f>(Table1[[#This Row],[Deadtime Loss BuSync]]+Table1[[#This Row],[RDS(on) Loss BuSync]]*(1+RdsonBotTc*Ta-RdsonBotTc*25))/(1-Table1[[#This Row],[RDS(on) Loss BuSync]]*RdsonBotTc*ThetaJA_Q2)</f>
        <v>1.0563693376049894</v>
      </c>
      <c r="AP143" s="354">
        <f>CHOOSE(Table1[[#This Row],[Mode Digit]],0,SQRT((Fsw*(Table1[[#This Row],[t1_Ph_II]]+0))*((Table1[[#This Row],[I_0]]*Table1[[#This Row],[I_1]]+((Table1[[#This Row],[I_0]]-Table1[[#This Row],[I_1]])^2)/3))),SQRT((Fsw*(Table1[[#This Row],[t2_Ph_I]]+0))*((Table1[[#This Row],[I_1]]*Table1[[#This Row],[I_2]]+((Table1[[#This Row],[I_1]]-Table1[[#This Row],[I_2]])^2)/3))))</f>
        <v>0</v>
      </c>
      <c r="AQ143" s="354">
        <f>Rdson4*Table1[[#This Row],[Irms BoCtlr]]^2</f>
        <v>0</v>
      </c>
      <c r="AR143" s="354">
        <f>CHOOSE(Table1[[#This Row],[Mode Digit]], 0, (Vout*Table1[[#This Row],[Iin]]/2)*(Fsw)*(Tr_boost+Tf_boost), (Vout*Iout/2)*(Fsw/1)*(Tr_boost+Tf_boost))</f>
        <v>0</v>
      </c>
      <c r="AS143">
        <f>IF(Table1[[#This Row],[Vin]]&gt;Vout, 0, IF(Table1[[#This Row],[Iin]]&gt;Table1[[#This Row],[Ripple Current pk-pk]]/2,0,ABS(Table1[[#This Row],[Iin]]-Table1[[#This Row],[Ripple Current pk-pk]]/2)*Vsd_Q4*Deadtime*Fsw))</f>
        <v>0</v>
      </c>
      <c r="AT143" s="354">
        <f>(Table1[[#This Row],[Dead Time Loss BoCtlr]]+Table1[[#This Row],[Transition Loss BoCtlr]]+Table1[[#This Row],[RDS(on) Loss BoCtlr]]*(1+RdsonTopTc*Ta-RdsonTopTc*25))/(1-Table1[[#This Row],[RDS(on) Loss BoCtlr]]*RdsonTopTc*ThetaJA_Q4)</f>
        <v>0</v>
      </c>
      <c r="AU14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12.116235083539884</v>
      </c>
      <c r="AV143" s="354">
        <f>Rdson3*Table1[[#This Row],[Irms BoSync]]^2</f>
        <v>0.61657324091833154</v>
      </c>
      <c r="AW14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43" s="354">
        <f>(Table1[[#This Row],[Deadtime Loss BoSync]]+Table1[[#This Row],[RDS(on) Loss BoSync]]*(1+RdsonBotTc*Ta-RdsonBotTc*25))/(1-Table1[[#This Row],[RDS(on) Loss BoSync]]*RdsonBotTc*ThetaJA_Q3)</f>
        <v>0.7236584682138355</v>
      </c>
      <c r="AY143" s="354">
        <f>CHOOSE(Table1[[#This Row],[Mode Digit]], Rdson3*Table1[[#This Row],[Irms Lf]]^2, Rdson1*Table1[[#This Row],[Irms Lf]]^2, 0)</f>
        <v>0.61657324091833154</v>
      </c>
      <c r="AZ143" s="354">
        <f>CHOOSE(Table1[[#This Row],[Mode Digit]], 2*Deadtime*Fsw*IF(VfdSky_Q2&gt;0,VfdSky_Q2,0)*Table1[[#This Row],[Iout]], 2*Deadtime*Fsw*IF(VfdSky_Q3&gt;0,VfdSky_Q3,0)*Table1[[#This Row],[Iin]], 2*Deadtime*Fsw*IF(VfdSky_Q2&gt;0,VfdSky_Q2,0)*Table1[[#This Row],[Iout]]+2*Deadtime*Fsw*IF(VfdSky_Q3&gt;0,VfdSky_Q3,0)*Table1[[#This Row],[Iin]])</f>
        <v>0</v>
      </c>
      <c r="BA143" s="354">
        <f>CHOOSE(Table1[[#This Row],[Mode Digit]], IF(QrrSky_Q2&gt;0,QrrSky_Q2,Qrr_Q2)*Fsw*(Table1[[#This Row],[Vin]]-Table1[[#This Row],[Iout]]*Rdson1),0,  IF(QrrSky_Q2&gt;0,QrrSky_Q2,Qrr_Q2)*Fsw*(Table1[[#This Row],[Vin]]-Table1[[#This Row],[Iout]]*Rdson1)+IF(QrrSky_Q3&gt;0,QrrSky_Q3,Qrr_Q3)*Fsw*Vout)</f>
        <v>0.46451520000000002</v>
      </c>
      <c r="BB143" s="354">
        <f>CHOOSE(Table1[[#This Row],[Mode Digit]],0, IF(QrrSky_Q3&gt;0,QrrSky_Q3,Qrr_Q3)*Fsw*Vout,  IF(QrrSky_Q2&gt;0,QrrSky_Q2,Qrr_Q2)*Fsw*(Table1[[#This Row],[Vin]]-Table1[[#This Row],[Iout]]*Rdson1)+IF(QrrSky_Q3&gt;0,QrrSky_Q3,Qrr_Q3)*Fsw*Vout)</f>
        <v>0</v>
      </c>
      <c r="BC143" s="354">
        <f>CHOOSE(Table1[[#This Row],[Mode Digit]], Rs*Table1[[#This Row],[Irms BuSync]]^2, Rs*Table1[[#This Row],[Irms BoCtlr]]^2, Rs*(Table1[[#This Row],[Irms BuSync]]^2+Table1[[#This Row],[Irms BoCtlr]]^2))</f>
        <v>0.22745216476504573</v>
      </c>
      <c r="BD143" s="354">
        <f t="shared" si="8"/>
        <v>1.44</v>
      </c>
      <c r="BE143" s="354">
        <f>IF(Vout&gt;8, Iq*Vout, Iq*Table1[[#This Row],[Vin]])</f>
        <v>4.3799999999999999E-2</v>
      </c>
      <c r="BF143" s="354">
        <f>CHOOSE(Table1[[#This Row],[Mode Digit]], (Qg_Q1+Qg_Q2)*Fsw, (Qg_Q3+Qg_Q4)*Fsw, (Qg_Q1+Qg_Q2+Qg_Q3+Qg_Q4)*Fsw)*IF(Vout&gt;8, Vout, Table1[[#This Row],[Vin]])</f>
        <v>0.47303999999999996</v>
      </c>
      <c r="BG143" s="354">
        <f t="shared" si="9"/>
        <v>0.45605042016806729</v>
      </c>
      <c r="BH143" s="354">
        <f>Table1[[#This Row],[IQ Loss]]+Table1[[#This Row],[Switching Current Loss]]</f>
        <v>0.51683999999999997</v>
      </c>
      <c r="BI14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12.406544751506788</v>
      </c>
      <c r="BJ143">
        <f>Vout*Table1[[#This Row],[Iout]]</f>
        <v>175.2</v>
      </c>
      <c r="BK143" s="550">
        <f>Table1[[#This Row],[Pout]]/(Table1[[#This Row],[Pout]]+Table1[[#This Row],[Total Loss]])</f>
        <v>0.93386933932427663</v>
      </c>
      <c r="BL14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308.14417475947067</v>
      </c>
      <c r="BM143" s="559">
        <f>IF(Table1[[#This Row],[Vin]]&gt;Vout, Table1[[#This Row],[Total Sync Bu MOSFET Loss]]*ThetaJA_Q2, ThetaJA_Q3*Table1[[#This Row],[Total Sync Bo MOSFET Loss]])</f>
        <v>63.382160256299365</v>
      </c>
      <c r="BN143" s="9"/>
      <c r="BO143" s="4">
        <f>Table1[[#This Row],[EFF, h]]*100</f>
        <v>93.386933932427667</v>
      </c>
      <c r="BP143" s="354">
        <f>Table1[[#This Row],[Total Inductor Loss]]</f>
        <v>2.7587661425904031</v>
      </c>
      <c r="BQ143" s="354">
        <f>Table1[[#This Row],[Total Control Bu MOSFET Loss]]+Table1[[#This Row],[Total Sync Bu MOSFET Loss]]+Table1[[#This Row],[Total Control Bo MOSFET Loss]]+Table1[[#This Row],[Total Sync Bo MOSFET Loss]]+Table1[[#This Row],[Reverse Recovery Loss MOSFET D BUCK]]+Table1[[#This Row],[Reverse Recovery Loss MOSFET D BOOST]]</f>
        <v>7.3802792518100029</v>
      </c>
      <c r="BR143" s="354">
        <f>Table1[[#This Row],[Total Control Bu MOSFET Loss]]+Table1[[#This Row],[Reverse Recovery Loss MOSFET D BUCK]]*0.66</f>
        <v>5.4423162779911785</v>
      </c>
      <c r="BS143" s="354">
        <f>Table1[[#This Row],[Total Sync Bu MOSFET Loss]]+Table1[[#This Row],[Reverse Recovery Loss MOSFET D BUCK]]*0.33</f>
        <v>1.2096593536049893</v>
      </c>
      <c r="BT143" s="354">
        <f xml:space="preserve"> Table1[[#This Row],[Total Control Bo MOSFET Loss]]+Table1[[#This Row],[Reverse Recovery Loss MOSFET D BOOST]]*0.66</f>
        <v>0</v>
      </c>
      <c r="BU143" s="354">
        <f xml:space="preserve"> Table1[[#This Row],[Total Sync Bo MOSFET Loss]]+Table1[[#This Row],[Reverse Recovery Loss MOSFET D BOOST]]*0.33</f>
        <v>0.7236584682138355</v>
      </c>
      <c r="BV143" s="354">
        <f>Table1[[#This Row],[Isense Shunt Loss]]</f>
        <v>0.22745216476504573</v>
      </c>
    </row>
    <row r="144" spans="7:74" x14ac:dyDescent="0.2">
      <c r="G144">
        <v>135</v>
      </c>
      <c r="H144" s="555">
        <f>VIN_min+(VIN_max-VIN_min)*(Table1[[#This Row],[Step]]/200)</f>
        <v>38.900000000000006</v>
      </c>
      <c r="I144" s="4" t="str">
        <f>IF(Mode = 2,IF(Table1[[#This Row],[Vin]]&gt;Vout, "BUCK","BOOST"),IF(Table1[[#This Row],[Vin]]&gt;VIN_BB_to_buck, "BUCK", IF(Table1[[#This Row],[Vin]]&lt;=VIN_boost_to_BB,"BOOST","BUCK-BST")))</f>
        <v>BUCK</v>
      </c>
      <c r="J144">
        <f>IF(Table1[[#This Row],[Mode]]="BOOST",2, IF(Table1[[#This Row],[Mode]]="BUCK", 1,3))</f>
        <v>1</v>
      </c>
      <c r="K144">
        <f t="shared" si="7"/>
        <v>12</v>
      </c>
      <c r="L144" s="4">
        <f>Vout*Table1[[#This Row],[Iout]]/(Table1[[#This Row],[Vin]]*Efficiency)</f>
        <v>4.7409010959274784</v>
      </c>
      <c r="M144" s="711">
        <f>MIN(1/Fsw,CHOOSE(Table1[[#This Row],[Mode Digit]],(Vout+(Rdson2+Rs+Rdcr)*Table1[[#This Row],[Iout]])/(Table1[[#This Row],[Vin]]+(Rs+Rdson2-Rdson1)*Table1[[#This Row],[Iout]])/Fsw,(Vout+(Rdson3+Rdcr)*Table1[[#This Row],[Iin]]-Table1[[#This Row],[Vin]])/(Vout+(Rdson3-Rdson4-Rs)*Table1[[#This Row],[Iin]])/Fsw,t1_Ph_II))</f>
        <v>6.3147529754259774E-7</v>
      </c>
      <c r="N144" s="602">
        <f>CHOOSE(Table1[[#This Row],[Mode Digit]],1/Fsw-Table1[[#This Row],[t1_Ph_II]],1/Fsw-Table1[[#This Row],[t1_Ph_II]],(Vout/Fsw-Table1[[#This Row],[Vin]]*t1_Ph_II)/(Table1[[#This Row],[Vin]]+Vout))</f>
        <v>1.0351913691240689E-6</v>
      </c>
      <c r="O144" s="602">
        <f>1/Fsw-(Table1[[#This Row],[t1_Ph_II]]+Table1[[#This Row],[t2_Ph_I]])</f>
        <v>0</v>
      </c>
      <c r="P14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9.0937784601732705</v>
      </c>
      <c r="Q144" s="4">
        <f>CHOOSE(Table1[[#This Row],[Mode Digit]],Table1[[#This Row],[I_0]]+1/Lf*(Table1[[#This Row],[Vin]]-Vout)*Table1[[#This Row],[t1_Ph_II]],Table1[[#This Row],[I_0]]+1/Lf*Table1[[#This Row],[Vin]]*Table1[[#This Row],[t1_Ph_II]],Table1[[#This Row],[I_0]]+(Table1[[#This Row],[Vin]]-Vout)/L*Table1[[#This Row],[t1_Ph_II]])</f>
        <v>14.906221539826728</v>
      </c>
      <c r="R144" s="4">
        <f>CHOOSE(Table1[[#This Row],[Mode Digit]],0,0,Table1[[#This Row],[I_1]]+Table1[[#This Row],[Vin]]/L*Table1[[#This Row],[t2_Ph_I]])</f>
        <v>0</v>
      </c>
      <c r="S144" s="4">
        <f>Fsw*(Table1[[#This Row],[I_0]]*Table1[[#This Row],[t1_Ph_II]]+Table1[[#This Row],[I_1]]*Table1[[#This Row],[t2_Ph_I]]+Table1[[#This Row],[I_2]]*Table1[[#This Row],[t3_Ph_III]])</f>
        <v>12.703973005922579</v>
      </c>
      <c r="T144" s="354">
        <f>MIN(1,CHOOSE(Table1[[#This Row],[Mode Digit]],(Vout+(Rdson2+Rs+Rdcr)*Table1[[#This Row],[Iout]])/(Table1[[#This Row],[Vin]]+(Rs+Rdson2-Rdson1)*Table1[[#This Row],[Iout]]),1,Fsw*Table1[[#This Row],[t2_Ph_I]]+Table1[[#This Row],[t1_Ph_II]]))</f>
        <v>0.37888517852555864</v>
      </c>
      <c r="U144" s="354">
        <f>MIN(1,CHOOSE(Table1[[#This Row],[Mode Digit]],0,(Vout+(Rdson3+Rdcr)*Table1[[#This Row],[Iin]]-Table1[[#This Row],[Vin]])/(Vout+(Rdson3-Rdson4-Rs)*Table1[[#This Row],[Iin]]),Fsw*Table1[[#This Row],[t1_Ph_II]]+Table1[[#This Row],[t3_Ph_III]]))</f>
        <v>0</v>
      </c>
      <c r="V144" s="4">
        <f>MAX(Table1[[#This Row],[I_0]:[I_2]])-MIN(Table1[[#This Row],[I_0]:[I_1]])</f>
        <v>5.8124430796534572</v>
      </c>
      <c r="W14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12.11673943543329</v>
      </c>
      <c r="X144" s="354">
        <f>(Table1[[#This Row],[Irms Lf]]^2*Rdcr*(1+Ltc*Ta-Ltc*25))/(1-Table1[[#This Row],[Irms Lf]]^2*Rdcr*Ltc*ThetaCa)</f>
        <v>0.91377785222663954</v>
      </c>
      <c r="Y144" s="354">
        <f>ABS(7.759*10^-3*Fsw^0.9458*(0.00787*Table1[[#This Row],[Ripple Current pk-pk]])^2.304)</f>
        <v>1.8543404093250533</v>
      </c>
      <c r="Z144" s="354">
        <f>Table1[[#This Row],[DCR    Loss]]+Table1[[#This Row],[Core Loss]]</f>
        <v>2.7681182615516926</v>
      </c>
      <c r="AA144" s="4">
        <f>IF(Table1[[#This Row],[Vin]]&gt;Vout, Table1[[#This Row],[Ripple Current pk-pk]]/SQRT(12), SQRT(Table1[[#This Row],[Duty Cycle BOOST Leg]]/(1-Table1[[#This Row],[Duty Cycle BOOST Leg]]))*SQRT(Table1[[#This Row],[Iout]]^2+(Table1[[#This Row],[Ripple Current pk-pk]]^2)/12))</f>
        <v>1.6779077883436506</v>
      </c>
      <c r="AB144" s="354">
        <f>RCoutEsr*Table1[[#This Row],[Irms Cout]]^2</f>
        <v>1.4076872730921406E-2</v>
      </c>
      <c r="AC144" s="354">
        <f>Table1[[#This Row],[Cout ESR Loss]]</f>
        <v>1.4076872730921406E-2</v>
      </c>
      <c r="AD144" s="354">
        <f>IF(Table1[[#This Row],[Vin]]&gt;Vout, SQRT(Table1[[#This Row],[Duty Cycle BUCK Leg]]*(1-Table1[[#This Row],[Duty Cycle BUCK Leg]]))*SQRT(Table1[[#This Row],[Iout]]^2+(Table1[[#This Row],[Ripple Current pk-pk]]^2)/12), Table1[[#This Row],[Ripple Current pk-pk]]/SQRT(12))</f>
        <v>5.8779450723211033</v>
      </c>
      <c r="AE144" s="354">
        <f>RCinEsr*Table1[[#This Row],[Irms Cin]]^2</f>
        <v>6.9100476546447881E-2</v>
      </c>
      <c r="AF144" s="549">
        <f>Table1[[#This Row],[Cin ESR Loss]]</f>
        <v>6.9100476546447881E-2</v>
      </c>
      <c r="AG14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7.4582953411103112</v>
      </c>
      <c r="AH144" s="354">
        <f>Rdson1*Table1[[#This Row],[Irms BuCtrl]]^2</f>
        <v>0.23362991145995671</v>
      </c>
      <c r="AI144" s="354">
        <f>CHOOSE(Table1[[#This Row],[Mode Digit]], (Table1[[#This Row],[Vin]]*Table1[[#This Row],[Iout]]/2)*(Fsw)*(Tr_buck+Tf_buck), 0, (Table1[[#This Row],[Vin]]*Table1[[#This Row],[Avg IL]]/2)*(Fsw/1)*(Tr_buck+Tf_buck))</f>
        <v>4.6289600889068518</v>
      </c>
      <c r="AJ144">
        <f>IF(Table1[[#This Row],[Vin]]&gt;Vout, IF(Table1[[#This Row],[Iout]]&gt;Table1[[#This Row],[Ripple Current pk-pk]]/2,0,ABS(Table1[[#This Row],[Iout]]-Table1[[#This Row],[Ripple Current pk-pk]]/2)*Vsd_Q1*Deadtime*Fsw),0)</f>
        <v>0</v>
      </c>
      <c r="AK144" s="354">
        <f>(Table1[[#This Row],[Dead Time Loss BuCtrl]]+Table1[[#This Row],[Transition Loss BuCtrl]]+Table1[[#This Row],[RDS(on) Loss BuCtrl]]*(1+RdsonTopTc*Ta-RdsonTopTc*25))/(1-Table1[[#This Row],[RDS(on) Loss BuCtrl]]*RdsonTopTc*ThetaJA_Q1)</f>
        <v>5.1514371538412389</v>
      </c>
      <c r="AL144" s="354">
        <f>CHOOSE(Table1[[#This Row],[Mode Digit]],SQRT((Fsw*(Table1[[#This Row],[t2_Ph_I]]+0))*((Table1[[#This Row],[I_0]]*Table1[[#This Row],[I_1]]+((Table1[[#This Row],[I_0]]-Table1[[#This Row],[I_1]])^2)/3))),0,SQRT((Fsw*(Table1[[#This Row],[t3_Ph_III]]+0))*((Table1[[#This Row],[I_0]]*Table1[[#This Row],[I_2]]+((Table1[[#This Row],[I_0]]-Table1[[#This Row],[I_2]])^2)/3))))</f>
        <v>9.5493039092363414</v>
      </c>
      <c r="AM144" s="354">
        <f>Rdson2*Table1[[#This Row],[Irms BuSync]]^2</f>
        <v>0.38299466163401724</v>
      </c>
      <c r="AN14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44" s="354">
        <f>(Table1[[#This Row],[Deadtime Loss BuSync]]+Table1[[#This Row],[RDS(on) Loss BuSync]]*(1+RdsonBotTc*Ta-RdsonBotTc*25))/(1-Table1[[#This Row],[RDS(on) Loss BuSync]]*RdsonBotTc*ThetaJA_Q2)</f>
        <v>1.0575772346370429</v>
      </c>
      <c r="AP144" s="354">
        <f>CHOOSE(Table1[[#This Row],[Mode Digit]],0,SQRT((Fsw*(Table1[[#This Row],[t1_Ph_II]]+0))*((Table1[[#This Row],[I_0]]*Table1[[#This Row],[I_1]]+((Table1[[#This Row],[I_0]]-Table1[[#This Row],[I_1]])^2)/3))),SQRT((Fsw*(Table1[[#This Row],[t2_Ph_I]]+0))*((Table1[[#This Row],[I_1]]*Table1[[#This Row],[I_2]]+((Table1[[#This Row],[I_1]]-Table1[[#This Row],[I_2]])^2)/3))))</f>
        <v>0</v>
      </c>
      <c r="AQ144" s="354">
        <f>Rdson4*Table1[[#This Row],[Irms BoCtlr]]^2</f>
        <v>0</v>
      </c>
      <c r="AR144" s="354">
        <f>CHOOSE(Table1[[#This Row],[Mode Digit]], 0, (Vout*Table1[[#This Row],[Iin]]/2)*(Fsw)*(Tr_boost+Tf_boost), (Vout*Iout/2)*(Fsw/1)*(Tr_boost+Tf_boost))</f>
        <v>0</v>
      </c>
      <c r="AS144">
        <f>IF(Table1[[#This Row],[Vin]]&gt;Vout, 0, IF(Table1[[#This Row],[Iin]]&gt;Table1[[#This Row],[Ripple Current pk-pk]]/2,0,ABS(Table1[[#This Row],[Iin]]-Table1[[#This Row],[Ripple Current pk-pk]]/2)*Vsd_Q4*Deadtime*Fsw))</f>
        <v>0</v>
      </c>
      <c r="AT144" s="354">
        <f>(Table1[[#This Row],[Dead Time Loss BoCtlr]]+Table1[[#This Row],[Transition Loss BoCtlr]]+Table1[[#This Row],[RDS(on) Loss BoCtlr]]*(1+RdsonTopTc*Ta-RdsonTopTc*25))/(1-Table1[[#This Row],[RDS(on) Loss BoCtlr]]*RdsonTopTc*ThetaJA_Q4)</f>
        <v>0</v>
      </c>
      <c r="AU14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12.11673943543329</v>
      </c>
      <c r="AV144" s="354">
        <f>Rdson3*Table1[[#This Row],[Irms BoSync]]^2</f>
        <v>0.61662457309397389</v>
      </c>
      <c r="AW14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44" s="354">
        <f>(Table1[[#This Row],[Deadtime Loss BoSync]]+Table1[[#This Row],[RDS(on) Loss BoSync]]*(1+RdsonBotTc*Ta-RdsonBotTc*25))/(1-Table1[[#This Row],[RDS(on) Loss BoSync]]*RdsonBotTc*ThetaJA_Q3)</f>
        <v>0.72372918034122879</v>
      </c>
      <c r="AY144" s="354">
        <f>CHOOSE(Table1[[#This Row],[Mode Digit]], Rdson3*Table1[[#This Row],[Irms Lf]]^2, Rdson1*Table1[[#This Row],[Irms Lf]]^2, 0)</f>
        <v>0.61662457309397389</v>
      </c>
      <c r="AZ144" s="354">
        <f>CHOOSE(Table1[[#This Row],[Mode Digit]], 2*Deadtime*Fsw*IF(VfdSky_Q2&gt;0,VfdSky_Q2,0)*Table1[[#This Row],[Iout]], 2*Deadtime*Fsw*IF(VfdSky_Q3&gt;0,VfdSky_Q3,0)*Table1[[#This Row],[Iin]], 2*Deadtime*Fsw*IF(VfdSky_Q2&gt;0,VfdSky_Q2,0)*Table1[[#This Row],[Iout]]+2*Deadtime*Fsw*IF(VfdSky_Q3&gt;0,VfdSky_Q3,0)*Table1[[#This Row],[Iin]])</f>
        <v>0</v>
      </c>
      <c r="BA144" s="354">
        <f>CHOOSE(Table1[[#This Row],[Mode Digit]], IF(QrrSky_Q2&gt;0,QrrSky_Q2,Qrr_Q2)*Fsw*(Table1[[#This Row],[Vin]]-Table1[[#This Row],[Iout]]*Rdson1),0,  IF(QrrSky_Q2&gt;0,QrrSky_Q2,Qrr_Q2)*Fsw*(Table1[[#This Row],[Vin]]-Table1[[#This Row],[Iout]]*Rdson1)+IF(QrrSky_Q3&gt;0,QrrSky_Q3,Qrr_Q3)*Fsw*Vout)</f>
        <v>0.46619520000000003</v>
      </c>
      <c r="BB144" s="354">
        <f>CHOOSE(Table1[[#This Row],[Mode Digit]],0, IF(QrrSky_Q3&gt;0,QrrSky_Q3,Qrr_Q3)*Fsw*Vout,  IF(QrrSky_Q2&gt;0,QrrSky_Q2,Qrr_Q2)*Fsw*(Table1[[#This Row],[Vin]]-Table1[[#This Row],[Iout]]*Rdson1)+IF(QrrSky_Q3&gt;0,QrrSky_Q3,Qrr_Q3)*Fsw*Vout)</f>
        <v>0</v>
      </c>
      <c r="BC144" s="354">
        <f>CHOOSE(Table1[[#This Row],[Mode Digit]], Rs*Table1[[#This Row],[Irms BuSync]]^2, Rs*Table1[[#This Row],[Irms BoCtlr]]^2, Rs*(Table1[[#This Row],[Irms BuSync]]^2+Table1[[#This Row],[Irms BoCtlr]]^2))</f>
        <v>0.22797301287739116</v>
      </c>
      <c r="BD144" s="354">
        <f t="shared" si="8"/>
        <v>1.44</v>
      </c>
      <c r="BE144" s="354">
        <f>IF(Vout&gt;8, Iq*Vout, Iq*Table1[[#This Row],[Vin]])</f>
        <v>4.3799999999999999E-2</v>
      </c>
      <c r="BF144" s="354">
        <f>CHOOSE(Table1[[#This Row],[Mode Digit]], (Qg_Q1+Qg_Q2)*Fsw, (Qg_Q3+Qg_Q4)*Fsw, (Qg_Q1+Qg_Q2+Qg_Q3+Qg_Q4)*Fsw)*IF(Vout&gt;8, Vout, Table1[[#This Row],[Vin]])</f>
        <v>0.47303999999999996</v>
      </c>
      <c r="BG144" s="354">
        <f t="shared" si="9"/>
        <v>0.45605042016806729</v>
      </c>
      <c r="BH144" s="354">
        <f>Table1[[#This Row],[IQ Loss]]+Table1[[#This Row],[Switching Current Loss]]</f>
        <v>0.51683999999999997</v>
      </c>
      <c r="BI14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12.435047392525963</v>
      </c>
      <c r="BJ144">
        <f>Vout*Table1[[#This Row],[Iout]]</f>
        <v>175.2</v>
      </c>
      <c r="BK144" s="550">
        <f>Table1[[#This Row],[Pout]]/(Table1[[#This Row],[Pout]]+Table1[[#This Row],[Total Loss]])</f>
        <v>0.93372748020516505</v>
      </c>
      <c r="BL14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309.08622923047432</v>
      </c>
      <c r="BM144" s="559">
        <f>IF(Table1[[#This Row],[Vin]]&gt;Vout, Table1[[#This Row],[Total Sync Bu MOSFET Loss]]*ThetaJA_Q2, ThetaJA_Q3*Table1[[#This Row],[Total Sync Bo MOSFET Loss]])</f>
        <v>63.454634078222576</v>
      </c>
      <c r="BN144" s="9"/>
      <c r="BO144" s="4">
        <f>Table1[[#This Row],[EFF, h]]*100</f>
        <v>93.372748020516511</v>
      </c>
      <c r="BP144" s="354">
        <f>Table1[[#This Row],[Total Inductor Loss]]</f>
        <v>2.7681182615516926</v>
      </c>
      <c r="BQ144" s="354">
        <f>Table1[[#This Row],[Total Control Bu MOSFET Loss]]+Table1[[#This Row],[Total Sync Bu MOSFET Loss]]+Table1[[#This Row],[Total Control Bo MOSFET Loss]]+Table1[[#This Row],[Total Sync Bo MOSFET Loss]]+Table1[[#This Row],[Reverse Recovery Loss MOSFET D BUCK]]+Table1[[#This Row],[Reverse Recovery Loss MOSFET D BOOST]]</f>
        <v>7.3989387688195105</v>
      </c>
      <c r="BR144" s="354">
        <f>Table1[[#This Row],[Total Control Bu MOSFET Loss]]+Table1[[#This Row],[Reverse Recovery Loss MOSFET D BUCK]]*0.66</f>
        <v>5.4591259858412391</v>
      </c>
      <c r="BS144" s="354">
        <f>Table1[[#This Row],[Total Sync Bu MOSFET Loss]]+Table1[[#This Row],[Reverse Recovery Loss MOSFET D BUCK]]*0.33</f>
        <v>1.211421650637043</v>
      </c>
      <c r="BT144" s="354">
        <f xml:space="preserve"> Table1[[#This Row],[Total Control Bo MOSFET Loss]]+Table1[[#This Row],[Reverse Recovery Loss MOSFET D BOOST]]*0.66</f>
        <v>0</v>
      </c>
      <c r="BU144" s="354">
        <f xml:space="preserve"> Table1[[#This Row],[Total Sync Bo MOSFET Loss]]+Table1[[#This Row],[Reverse Recovery Loss MOSFET D BOOST]]*0.33</f>
        <v>0.72372918034122879</v>
      </c>
      <c r="BV144" s="354">
        <f>Table1[[#This Row],[Isense Shunt Loss]]</f>
        <v>0.22797301287739116</v>
      </c>
    </row>
    <row r="145" spans="7:74" x14ac:dyDescent="0.2">
      <c r="G145">
        <v>136</v>
      </c>
      <c r="H145" s="555">
        <f>VIN_min+(VIN_max-VIN_min)*(Table1[[#This Row],[Step]]/200)</f>
        <v>39.040000000000006</v>
      </c>
      <c r="I145" s="4" t="str">
        <f>IF(Mode = 2,IF(Table1[[#This Row],[Vin]]&gt;Vout, "BUCK","BOOST"),IF(Table1[[#This Row],[Vin]]&gt;VIN_BB_to_buck, "BUCK", IF(Table1[[#This Row],[Vin]]&lt;=VIN_boost_to_BB,"BOOST","BUCK-BST")))</f>
        <v>BUCK</v>
      </c>
      <c r="J145">
        <f>IF(Table1[[#This Row],[Mode]]="BOOST",2, IF(Table1[[#This Row],[Mode]]="BUCK", 1,3))</f>
        <v>1</v>
      </c>
      <c r="K145">
        <f t="shared" si="7"/>
        <v>12</v>
      </c>
      <c r="L145" s="4">
        <f>Vout*Table1[[#This Row],[Iout]]/(Table1[[#This Row],[Vin]]*Efficiency)</f>
        <v>4.7238999137187223</v>
      </c>
      <c r="M145" s="711">
        <f>MIN(1/Fsw,CHOOSE(Table1[[#This Row],[Mode Digit]],(Vout+(Rdson2+Rs+Rdcr)*Table1[[#This Row],[Iout]])/(Table1[[#This Row],[Vin]]+(Rs+Rdson2-Rdson1)*Table1[[#This Row],[Iout]])/Fsw,(Vout+(Rdson3+Rdcr)*Table1[[#This Row],[Iin]]-Table1[[#This Row],[Vin]])/(Vout+(Rdson3-Rdson4-Rs)*Table1[[#This Row],[Iin]])/Fsw,t1_Ph_II))</f>
        <v>6.2921252452862369E-7</v>
      </c>
      <c r="N145" s="602">
        <f>CHOOSE(Table1[[#This Row],[Mode Digit]],1/Fsw-Table1[[#This Row],[t1_Ph_II]],1/Fsw-Table1[[#This Row],[t1_Ph_II]],(Vout/Fsw-Table1[[#This Row],[Vin]]*t1_Ph_II)/(Table1[[#This Row],[Vin]]+Vout))</f>
        <v>1.037454142138043E-6</v>
      </c>
      <c r="O145" s="602">
        <f>1/Fsw-(Table1[[#This Row],[t1_Ph_II]]+Table1[[#This Row],[t2_Ph_I]])</f>
        <v>0</v>
      </c>
      <c r="P14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9.0875086932803857</v>
      </c>
      <c r="Q145" s="4">
        <f>CHOOSE(Table1[[#This Row],[Mode Digit]],Table1[[#This Row],[I_0]]+1/Lf*(Table1[[#This Row],[Vin]]-Vout)*Table1[[#This Row],[t1_Ph_II]],Table1[[#This Row],[I_0]]+1/Lf*Table1[[#This Row],[Vin]]*Table1[[#This Row],[t1_Ph_II]],Table1[[#This Row],[I_0]]+(Table1[[#This Row],[Vin]]-Vout)/L*Table1[[#This Row],[t1_Ph_II]])</f>
        <v>14.912491306719616</v>
      </c>
      <c r="R145" s="4">
        <f>CHOOSE(Table1[[#This Row],[Mode Digit]],0,0,Table1[[#This Row],[I_1]]+Table1[[#This Row],[Vin]]/L*Table1[[#This Row],[t2_Ph_I]])</f>
        <v>0</v>
      </c>
      <c r="S145" s="4">
        <f>Fsw*(Table1[[#This Row],[I_0]]*Table1[[#This Row],[t1_Ph_II]]+Table1[[#This Row],[I_1]]*Table1[[#This Row],[t2_Ph_I]]+Table1[[#This Row],[I_2]]*Table1[[#This Row],[t3_Ph_III]])</f>
        <v>12.713400097397153</v>
      </c>
      <c r="T145" s="354">
        <f>MIN(1,CHOOSE(Table1[[#This Row],[Mode Digit]],(Vout+(Rdson2+Rs+Rdcr)*Table1[[#This Row],[Iout]])/(Table1[[#This Row],[Vin]]+(Rs+Rdson2-Rdson1)*Table1[[#This Row],[Iout]]),1,Fsw*Table1[[#This Row],[t2_Ph_I]]+Table1[[#This Row],[t1_Ph_II]]))</f>
        <v>0.37752751471717422</v>
      </c>
      <c r="U145" s="354">
        <f>MIN(1,CHOOSE(Table1[[#This Row],[Mode Digit]],0,(Vout+(Rdson3+Rdcr)*Table1[[#This Row],[Iin]]-Table1[[#This Row],[Vin]])/(Vout+(Rdson3-Rdson4-Rs)*Table1[[#This Row],[Iin]]),Fsw*Table1[[#This Row],[t1_Ph_II]]+Table1[[#This Row],[t3_Ph_III]]))</f>
        <v>0</v>
      </c>
      <c r="V145" s="4">
        <f>MAX(Table1[[#This Row],[I_0]:[I_2]])-MIN(Table1[[#This Row],[I_0]:[I_1]])</f>
        <v>5.8249826134392304</v>
      </c>
      <c r="W14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12.117241237340528</v>
      </c>
      <c r="X145" s="354">
        <f>(Table1[[#This Row],[Irms Lf]]^2*Rdcr*(1+Ltc*Ta-Ltc*25))/(1-Table1[[#This Row],[Irms Lf]]^2*Rdcr*Ltc*ThetaCa)</f>
        <v>0.91385907351634588</v>
      </c>
      <c r="Y145" s="354">
        <f>ABS(7.759*10^-3*Fsw^0.9458*(0.00787*Table1[[#This Row],[Ripple Current pk-pk]])^2.304)</f>
        <v>1.8635704836121214</v>
      </c>
      <c r="Z145" s="354">
        <f>Table1[[#This Row],[DCR    Loss]]+Table1[[#This Row],[Core Loss]]</f>
        <v>2.7774295571284675</v>
      </c>
      <c r="AA145" s="4">
        <f>IF(Table1[[#This Row],[Vin]]&gt;Vout, Table1[[#This Row],[Ripple Current pk-pk]]/SQRT(12), SQRT(Table1[[#This Row],[Duty Cycle BOOST Leg]]/(1-Table1[[#This Row],[Duty Cycle BOOST Leg]]))*SQRT(Table1[[#This Row],[Iout]]^2+(Table1[[#This Row],[Ripple Current pk-pk]]^2)/12))</f>
        <v>1.6815276399470149</v>
      </c>
      <c r="AB145" s="354">
        <f>RCoutEsr*Table1[[#This Row],[Irms Cout]]^2</f>
        <v>1.4137676019528889E-2</v>
      </c>
      <c r="AC145" s="354">
        <f>Table1[[#This Row],[Cout ESR Loss]]</f>
        <v>1.4137676019528889E-2</v>
      </c>
      <c r="AD145" s="354">
        <f>IF(Table1[[#This Row],[Vin]]&gt;Vout, SQRT(Table1[[#This Row],[Duty Cycle BUCK Leg]]*(1-Table1[[#This Row],[Duty Cycle BUCK Leg]]))*SQRT(Table1[[#This Row],[Iout]]^2+(Table1[[#This Row],[Ripple Current pk-pk]]^2)/12), Table1[[#This Row],[Ripple Current pk-pk]]/SQRT(12))</f>
        <v>5.8740567557354462</v>
      </c>
      <c r="AE145" s="354">
        <f>RCinEsr*Table1[[#This Row],[Irms Cin]]^2</f>
        <v>6.9009085539202472E-2</v>
      </c>
      <c r="AF145" s="549">
        <f>Table1[[#This Row],[Cin ESR Loss]]</f>
        <v>6.9009085539202472E-2</v>
      </c>
      <c r="AG14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7.4452289728106384</v>
      </c>
      <c r="AH145" s="354">
        <f>Rdson1*Table1[[#This Row],[Irms BuCtrl]]^2</f>
        <v>0.23281202472183163</v>
      </c>
      <c r="AI145" s="354">
        <f>CHOOSE(Table1[[#This Row],[Mode Digit]], (Table1[[#This Row],[Vin]]*Table1[[#This Row],[Iout]]/2)*(Fsw)*(Tr_buck+Tf_buck), 0, (Table1[[#This Row],[Vin]]*Table1[[#This Row],[Avg IL]]/2)*(Fsw/1)*(Tr_buck+Tf_buck))</f>
        <v>4.6456195853707838</v>
      </c>
      <c r="AJ145">
        <f>IF(Table1[[#This Row],[Vin]]&gt;Vout, IF(Table1[[#This Row],[Iout]]&gt;Table1[[#This Row],[Ripple Current pk-pk]]/2,0,ABS(Table1[[#This Row],[Iout]]-Table1[[#This Row],[Ripple Current pk-pk]]/2)*Vsd_Q1*Deadtime*Fsw),0)</f>
        <v>0</v>
      </c>
      <c r="AK145" s="354">
        <f>(Table1[[#This Row],[Dead Time Loss BuCtrl]]+Table1[[#This Row],[Transition Loss BuCtrl]]+Table1[[#This Row],[RDS(on) Loss BuCtrl]]*(1+RdsonTopTc*Ta-RdsonTopTc*25))/(1-Table1[[#This Row],[RDS(on) Loss BuCtrl]]*RdsonTopTc*ThetaJA_Q1)</f>
        <v>5.1671452622196163</v>
      </c>
      <c r="AL145" s="354">
        <f>CHOOSE(Table1[[#This Row],[Mode Digit]],SQRT((Fsw*(Table1[[#This Row],[t2_Ph_I]]+0))*((Table1[[#This Row],[I_0]]*Table1[[#This Row],[I_1]]+((Table1[[#This Row],[I_0]]-Table1[[#This Row],[I_1]])^2)/3))),0,SQRT((Fsw*(Table1[[#This Row],[t3_Ph_III]]+0))*((Table1[[#This Row],[I_0]]*Table1[[#This Row],[I_2]]+((Table1[[#This Row],[I_0]]-Table1[[#This Row],[I_2]])^2)/3))))</f>
        <v>9.5601307912772224</v>
      </c>
      <c r="AM145" s="354">
        <f>Rdson2*Table1[[#This Row],[Irms BuSync]]^2</f>
        <v>0.38386362313457284</v>
      </c>
      <c r="AN14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45" s="354">
        <f>(Table1[[#This Row],[Deadtime Loss BuSync]]+Table1[[#This Row],[RDS(on) Loss BuSync]]*(1+RdsonBotTc*Ta-RdsonBotTc*25))/(1-Table1[[#This Row],[RDS(on) Loss BuSync]]*RdsonBotTc*ThetaJA_Q2)</f>
        <v>1.0587773147806565</v>
      </c>
      <c r="AP145" s="354">
        <f>CHOOSE(Table1[[#This Row],[Mode Digit]],0,SQRT((Fsw*(Table1[[#This Row],[t1_Ph_II]]+0))*((Table1[[#This Row],[I_0]]*Table1[[#This Row],[I_1]]+((Table1[[#This Row],[I_0]]-Table1[[#This Row],[I_1]])^2)/3))),SQRT((Fsw*(Table1[[#This Row],[t2_Ph_I]]+0))*((Table1[[#This Row],[I_1]]*Table1[[#This Row],[I_2]]+((Table1[[#This Row],[I_1]]-Table1[[#This Row],[I_2]])^2)/3))))</f>
        <v>0</v>
      </c>
      <c r="AQ145" s="354">
        <f>Rdson4*Table1[[#This Row],[Irms BoCtlr]]^2</f>
        <v>0</v>
      </c>
      <c r="AR145" s="354">
        <f>CHOOSE(Table1[[#This Row],[Mode Digit]], 0, (Vout*Table1[[#This Row],[Iin]]/2)*(Fsw)*(Tr_boost+Tf_boost), (Vout*Iout/2)*(Fsw/1)*(Tr_boost+Tf_boost))</f>
        <v>0</v>
      </c>
      <c r="AS145">
        <f>IF(Table1[[#This Row],[Vin]]&gt;Vout, 0, IF(Table1[[#This Row],[Iin]]&gt;Table1[[#This Row],[Ripple Current pk-pk]]/2,0,ABS(Table1[[#This Row],[Iin]]-Table1[[#This Row],[Ripple Current pk-pk]]/2)*Vsd_Q4*Deadtime*Fsw))</f>
        <v>0</v>
      </c>
      <c r="AT145" s="354">
        <f>(Table1[[#This Row],[Dead Time Loss BoCtlr]]+Table1[[#This Row],[Transition Loss BoCtlr]]+Table1[[#This Row],[RDS(on) Loss BoCtlr]]*(1+RdsonTopTc*Ta-RdsonTopTc*25))/(1-Table1[[#This Row],[RDS(on) Loss BoCtlr]]*RdsonTopTc*ThetaJA_Q4)</f>
        <v>0</v>
      </c>
      <c r="AU14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12.117241237340528</v>
      </c>
      <c r="AV145" s="354">
        <f>Rdson3*Table1[[#This Row],[Irms BoSync]]^2</f>
        <v>0.61667564785640439</v>
      </c>
      <c r="AW14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45" s="354">
        <f>(Table1[[#This Row],[Deadtime Loss BoSync]]+Table1[[#This Row],[RDS(on) Loss BoSync]]*(1+RdsonBotTc*Ta-RdsonBotTc*25))/(1-Table1[[#This Row],[RDS(on) Loss BoSync]]*RdsonBotTc*ThetaJA_Q3)</f>
        <v>0.72379953990122581</v>
      </c>
      <c r="AY145" s="354">
        <f>CHOOSE(Table1[[#This Row],[Mode Digit]], Rdson3*Table1[[#This Row],[Irms Lf]]^2, Rdson1*Table1[[#This Row],[Irms Lf]]^2, 0)</f>
        <v>0.61667564785640439</v>
      </c>
      <c r="AZ145" s="354">
        <f>CHOOSE(Table1[[#This Row],[Mode Digit]], 2*Deadtime*Fsw*IF(VfdSky_Q2&gt;0,VfdSky_Q2,0)*Table1[[#This Row],[Iout]], 2*Deadtime*Fsw*IF(VfdSky_Q3&gt;0,VfdSky_Q3,0)*Table1[[#This Row],[Iin]], 2*Deadtime*Fsw*IF(VfdSky_Q2&gt;0,VfdSky_Q2,0)*Table1[[#This Row],[Iout]]+2*Deadtime*Fsw*IF(VfdSky_Q3&gt;0,VfdSky_Q3,0)*Table1[[#This Row],[Iin]])</f>
        <v>0</v>
      </c>
      <c r="BA145" s="354">
        <f>CHOOSE(Table1[[#This Row],[Mode Digit]], IF(QrrSky_Q2&gt;0,QrrSky_Q2,Qrr_Q2)*Fsw*(Table1[[#This Row],[Vin]]-Table1[[#This Row],[Iout]]*Rdson1),0,  IF(QrrSky_Q2&gt;0,QrrSky_Q2,Qrr_Q2)*Fsw*(Table1[[#This Row],[Vin]]-Table1[[#This Row],[Iout]]*Rdson1)+IF(QrrSky_Q3&gt;0,QrrSky_Q3,Qrr_Q3)*Fsw*Vout)</f>
        <v>0.46787520000000005</v>
      </c>
      <c r="BB145" s="354">
        <f>CHOOSE(Table1[[#This Row],[Mode Digit]],0, IF(QrrSky_Q3&gt;0,QrrSky_Q3,Qrr_Q3)*Fsw*Vout,  IF(QrrSky_Q2&gt;0,QrrSky_Q2,Qrr_Q2)*Fsw*(Table1[[#This Row],[Vin]]-Table1[[#This Row],[Iout]]*Rdson1)+IF(QrrSky_Q3&gt;0,QrrSky_Q3,Qrr_Q3)*Fsw*Vout)</f>
        <v>0</v>
      </c>
      <c r="BC145" s="354">
        <f>CHOOSE(Table1[[#This Row],[Mode Digit]], Rs*Table1[[#This Row],[Irms BuSync]]^2, Rs*Table1[[#This Row],[Irms BoCtlr]]^2, Rs*(Table1[[#This Row],[Irms BuSync]]^2+Table1[[#This Row],[Irms BoCtlr]]^2))</f>
        <v>0.22849025186581715</v>
      </c>
      <c r="BD145" s="354">
        <f t="shared" si="8"/>
        <v>1.44</v>
      </c>
      <c r="BE145" s="354">
        <f>IF(Vout&gt;8, Iq*Vout, Iq*Table1[[#This Row],[Vin]])</f>
        <v>4.3799999999999999E-2</v>
      </c>
      <c r="BF145" s="354">
        <f>CHOOSE(Table1[[#This Row],[Mode Digit]], (Qg_Q1+Qg_Q2)*Fsw, (Qg_Q3+Qg_Q4)*Fsw, (Qg_Q1+Qg_Q2+Qg_Q3+Qg_Q4)*Fsw)*IF(Vout&gt;8, Vout, Table1[[#This Row],[Vin]])</f>
        <v>0.47303999999999996</v>
      </c>
      <c r="BG145" s="354">
        <f t="shared" si="9"/>
        <v>0.45605042016806729</v>
      </c>
      <c r="BH145" s="354">
        <f>Table1[[#This Row],[IQ Loss]]+Table1[[#This Row],[Switching Current Loss]]</f>
        <v>0.51683999999999997</v>
      </c>
      <c r="BI14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12.463503887454515</v>
      </c>
      <c r="BJ145">
        <f>Vout*Table1[[#This Row],[Iout]]</f>
        <v>175.2</v>
      </c>
      <c r="BK145" s="550">
        <f>Table1[[#This Row],[Pout]]/(Table1[[#This Row],[Pout]]+Table1[[#This Row],[Total Loss]])</f>
        <v>0.93358589374453371</v>
      </c>
      <c r="BL14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310.02871573317697</v>
      </c>
      <c r="BM145" s="559">
        <f>IF(Table1[[#This Row],[Vin]]&gt;Vout, Table1[[#This Row],[Total Sync Bu MOSFET Loss]]*ThetaJA_Q2, ThetaJA_Q3*Table1[[#This Row],[Total Sync Bo MOSFET Loss]])</f>
        <v>63.526638886839393</v>
      </c>
      <c r="BN145" s="9"/>
      <c r="BO145" s="4">
        <f>Table1[[#This Row],[EFF, h]]*100</f>
        <v>93.358589374453373</v>
      </c>
      <c r="BP145" s="354">
        <f>Table1[[#This Row],[Total Inductor Loss]]</f>
        <v>2.7774295571284675</v>
      </c>
      <c r="BQ145" s="354">
        <f>Table1[[#This Row],[Total Control Bu MOSFET Loss]]+Table1[[#This Row],[Total Sync Bu MOSFET Loss]]+Table1[[#This Row],[Total Control Bo MOSFET Loss]]+Table1[[#This Row],[Total Sync Bo MOSFET Loss]]+Table1[[#This Row],[Reverse Recovery Loss MOSFET D BUCK]]+Table1[[#This Row],[Reverse Recovery Loss MOSFET D BOOST]]</f>
        <v>7.4175973169014986</v>
      </c>
      <c r="BR145" s="354">
        <f>Table1[[#This Row],[Total Control Bu MOSFET Loss]]+Table1[[#This Row],[Reverse Recovery Loss MOSFET D BUCK]]*0.66</f>
        <v>5.4759428942196164</v>
      </c>
      <c r="BS145" s="354">
        <f>Table1[[#This Row],[Total Sync Bu MOSFET Loss]]+Table1[[#This Row],[Reverse Recovery Loss MOSFET D BUCK]]*0.33</f>
        <v>1.2131761307806566</v>
      </c>
      <c r="BT145" s="354">
        <f xml:space="preserve"> Table1[[#This Row],[Total Control Bo MOSFET Loss]]+Table1[[#This Row],[Reverse Recovery Loss MOSFET D BOOST]]*0.66</f>
        <v>0</v>
      </c>
      <c r="BU145" s="354">
        <f xml:space="preserve"> Table1[[#This Row],[Total Sync Bo MOSFET Loss]]+Table1[[#This Row],[Reverse Recovery Loss MOSFET D BOOST]]*0.33</f>
        <v>0.72379953990122581</v>
      </c>
      <c r="BV145" s="354">
        <f>Table1[[#This Row],[Isense Shunt Loss]]</f>
        <v>0.22849025186581715</v>
      </c>
    </row>
    <row r="146" spans="7:74" x14ac:dyDescent="0.2">
      <c r="G146">
        <v>137</v>
      </c>
      <c r="H146" s="555">
        <f>VIN_min+(VIN_max-VIN_min)*(Table1[[#This Row],[Step]]/200)</f>
        <v>39.18</v>
      </c>
      <c r="I146" s="4" t="str">
        <f>IF(Mode = 2,IF(Table1[[#This Row],[Vin]]&gt;Vout, "BUCK","BOOST"),IF(Table1[[#This Row],[Vin]]&gt;VIN_BB_to_buck, "BUCK", IF(Table1[[#This Row],[Vin]]&lt;=VIN_boost_to_BB,"BOOST","BUCK-BST")))</f>
        <v>BUCK</v>
      </c>
      <c r="J146">
        <f>IF(Table1[[#This Row],[Mode]]="BOOST",2, IF(Table1[[#This Row],[Mode]]="BUCK", 1,3))</f>
        <v>1</v>
      </c>
      <c r="K146">
        <f t="shared" si="7"/>
        <v>12</v>
      </c>
      <c r="L146" s="4">
        <f>Vout*Table1[[#This Row],[Iout]]/(Table1[[#This Row],[Vin]]*Efficiency)</f>
        <v>4.7070202305150319</v>
      </c>
      <c r="M146" s="711">
        <f>MIN(1/Fsw,CHOOSE(Table1[[#This Row],[Mode Digit]],(Vout+(Rdson2+Rs+Rdcr)*Table1[[#This Row],[Iout]])/(Table1[[#This Row],[Vin]]+(Rs+Rdson2-Rdson1)*Table1[[#This Row],[Iout]])/Fsw,(Vout+(Rdson3+Rdcr)*Table1[[#This Row],[Iin]]-Table1[[#This Row],[Vin]])/(Vout+(Rdson3-Rdson4-Rs)*Table1[[#This Row],[Iin]])/Fsw,t1_Ph_II))</f>
        <v>6.269659100569583E-7</v>
      </c>
      <c r="N146" s="602">
        <f>CHOOSE(Table1[[#This Row],[Mode Digit]],1/Fsw-Table1[[#This Row],[t1_Ph_II]],1/Fsw-Table1[[#This Row],[t1_Ph_II]],(Vout/Fsw-Table1[[#This Row],[Vin]]*t1_Ph_II)/(Table1[[#This Row],[Vin]]+Vout))</f>
        <v>1.0397007566097085E-6</v>
      </c>
      <c r="O146" s="602">
        <f>1/Fsw-(Table1[[#This Row],[t1_Ph_II]]+Table1[[#This Row],[t2_Ph_I]])</f>
        <v>0</v>
      </c>
      <c r="P14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9.0812836990151453</v>
      </c>
      <c r="Q146" s="4">
        <f>CHOOSE(Table1[[#This Row],[Mode Digit]],Table1[[#This Row],[I_0]]+1/Lf*(Table1[[#This Row],[Vin]]-Vout)*Table1[[#This Row],[t1_Ph_II]],Table1[[#This Row],[I_0]]+1/Lf*Table1[[#This Row],[Vin]]*Table1[[#This Row],[t1_Ph_II]],Table1[[#This Row],[I_0]]+(Table1[[#This Row],[Vin]]-Vout)/L*Table1[[#This Row],[t1_Ph_II]])</f>
        <v>14.918716300984855</v>
      </c>
      <c r="R146" s="4">
        <f>CHOOSE(Table1[[#This Row],[Mode Digit]],0,0,Table1[[#This Row],[I_1]]+Table1[[#This Row],[Vin]]/L*Table1[[#This Row],[t2_Ph_I]])</f>
        <v>0</v>
      </c>
      <c r="S146" s="4">
        <f>Fsw*(Table1[[#This Row],[I_0]]*Table1[[#This Row],[t1_Ph_II]]+Table1[[#This Row],[I_1]]*Table1[[#This Row],[t2_Ph_I]]+Table1[[#This Row],[I_2]]*Table1[[#This Row],[t3_Ph_III]])</f>
        <v>12.722793554770798</v>
      </c>
      <c r="T146" s="354">
        <f>MIN(1,CHOOSE(Table1[[#This Row],[Mode Digit]],(Vout+(Rdson2+Rs+Rdcr)*Table1[[#This Row],[Iout]])/(Table1[[#This Row],[Vin]]+(Rs+Rdson2-Rdson1)*Table1[[#This Row],[Iout]]),1,Fsw*Table1[[#This Row],[t2_Ph_I]]+Table1[[#This Row],[t1_Ph_II]]))</f>
        <v>0.37617954603417497</v>
      </c>
      <c r="U146" s="354">
        <f>MIN(1,CHOOSE(Table1[[#This Row],[Mode Digit]],0,(Vout+(Rdson3+Rdcr)*Table1[[#This Row],[Iin]]-Table1[[#This Row],[Vin]])/(Vout+(Rdson3-Rdson4-Rs)*Table1[[#This Row],[Iin]]),Fsw*Table1[[#This Row],[t1_Ph_II]]+Table1[[#This Row],[t3_Ph_III]]))</f>
        <v>0</v>
      </c>
      <c r="V146" s="4">
        <f>MAX(Table1[[#This Row],[I_0]:[I_2]])-MIN(Table1[[#This Row],[I_0]:[I_1]])</f>
        <v>5.8374326019697094</v>
      </c>
      <c r="W14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12.117740505083647</v>
      </c>
      <c r="X146" s="354">
        <f>(Table1[[#This Row],[Irms Lf]]^2*Rdcr*(1+Ltc*Ta-Ltc*25))/(1-Table1[[#This Row],[Irms Lf]]^2*Rdcr*Ltc*ThetaCa)</f>
        <v>0.91393988894251621</v>
      </c>
      <c r="Y146" s="354">
        <f>ABS(7.759*10^-3*Fsw^0.9458*(0.00787*Table1[[#This Row],[Ripple Current pk-pk]])^2.304)</f>
        <v>1.8727603148402887</v>
      </c>
      <c r="Z146" s="354">
        <f>Table1[[#This Row],[DCR    Loss]]+Table1[[#This Row],[Core Loss]]</f>
        <v>2.786700203782805</v>
      </c>
      <c r="AA146" s="4">
        <f>IF(Table1[[#This Row],[Vin]]&gt;Vout, Table1[[#This Row],[Ripple Current pk-pk]]/SQRT(12), SQRT(Table1[[#This Row],[Duty Cycle BOOST Leg]]/(1-Table1[[#This Row],[Duty Cycle BOOST Leg]]))*SQRT(Table1[[#This Row],[Iout]]^2+(Table1[[#This Row],[Ripple Current pk-pk]]^2)/12))</f>
        <v>1.6851216420617547</v>
      </c>
      <c r="AB146" s="354">
        <f>RCoutEsr*Table1[[#This Row],[Irms Cout]]^2</f>
        <v>1.4198174742724523E-2</v>
      </c>
      <c r="AC146" s="354">
        <f>Table1[[#This Row],[Cout ESR Loss]]</f>
        <v>1.4198174742724523E-2</v>
      </c>
      <c r="AD146" s="354">
        <f>IF(Table1[[#This Row],[Vin]]&gt;Vout, SQRT(Table1[[#This Row],[Duty Cycle BUCK Leg]]*(1-Table1[[#This Row],[Duty Cycle BUCK Leg]]))*SQRT(Table1[[#This Row],[Iout]]^2+(Table1[[#This Row],[Ripple Current pk-pk]]^2)/12), Table1[[#This Row],[Ripple Current pk-pk]]/SQRT(12))</f>
        <v>5.8701478828144591</v>
      </c>
      <c r="AE146" s="354">
        <f>RCinEsr*Table1[[#This Row],[Irms Cin]]^2</f>
        <v>6.8917272332222154E-2</v>
      </c>
      <c r="AF146" s="549">
        <f>Table1[[#This Row],[Cin ESR Loss]]</f>
        <v>6.8917272332222154E-2</v>
      </c>
      <c r="AG14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7.4322316443156957</v>
      </c>
      <c r="AH146" s="354">
        <f>Rdson1*Table1[[#This Row],[Irms BuCtrl]]^2</f>
        <v>0.2319998823020239</v>
      </c>
      <c r="AI146" s="354">
        <f>CHOOSE(Table1[[#This Row],[Mode Digit]], (Table1[[#This Row],[Vin]]*Table1[[#This Row],[Iout]]/2)*(Fsw)*(Tr_buck+Tf_buck), 0, (Table1[[#This Row],[Vin]]*Table1[[#This Row],[Avg IL]]/2)*(Fsw/1)*(Tr_buck+Tf_buck))</f>
        <v>4.6622790818347148</v>
      </c>
      <c r="AJ146">
        <f>IF(Table1[[#This Row],[Vin]]&gt;Vout, IF(Table1[[#This Row],[Iout]]&gt;Table1[[#This Row],[Ripple Current pk-pk]]/2,0,ABS(Table1[[#This Row],[Iout]]-Table1[[#This Row],[Ripple Current pk-pk]]/2)*Vsd_Q1*Deadtime*Fsw),0)</f>
        <v>0</v>
      </c>
      <c r="AK146" s="354">
        <f>(Table1[[#This Row],[Dead Time Loss BuCtrl]]+Table1[[#This Row],[Transition Loss BuCtrl]]+Table1[[#This Row],[RDS(on) Loss BuCtrl]]*(1+RdsonTopTc*Ta-RdsonTopTc*25))/(1-Table1[[#This Row],[RDS(on) Loss BuCtrl]]*RdsonTopTc*ThetaJA_Q1)</f>
        <v>5.1828604898062229</v>
      </c>
      <c r="AL146" s="354">
        <f>CHOOSE(Table1[[#This Row],[Mode Digit]],SQRT((Fsw*(Table1[[#This Row],[t2_Ph_I]]+0))*((Table1[[#This Row],[I_0]]*Table1[[#This Row],[I_1]]+((Table1[[#This Row],[I_0]]-Table1[[#This Row],[I_1]])^2)/3))),0,SQRT((Fsw*(Table1[[#This Row],[t3_Ph_III]]+0))*((Table1[[#This Row],[I_0]]*Table1[[#This Row],[I_2]]+((Table1[[#This Row],[I_0]]-Table1[[#This Row],[I_2]])^2)/3))))</f>
        <v>9.5708707928681864</v>
      </c>
      <c r="AM146" s="354">
        <f>Rdson2*Table1[[#This Row],[Irms BuSync]]^2</f>
        <v>0.3847265844818647</v>
      </c>
      <c r="AN14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46" s="354">
        <f>(Table1[[#This Row],[Deadtime Loss BuSync]]+Table1[[#This Row],[RDS(on) Loss BuSync]]*(1+RdsonBotTc*Ta-RdsonBotTc*25))/(1-Table1[[#This Row],[RDS(on) Loss BuSync]]*RdsonBotTc*ThetaJA_Q2)</f>
        <v>1.0599696541833008</v>
      </c>
      <c r="AP146" s="354">
        <f>CHOOSE(Table1[[#This Row],[Mode Digit]],0,SQRT((Fsw*(Table1[[#This Row],[t1_Ph_II]]+0))*((Table1[[#This Row],[I_0]]*Table1[[#This Row],[I_1]]+((Table1[[#This Row],[I_0]]-Table1[[#This Row],[I_1]])^2)/3))),SQRT((Fsw*(Table1[[#This Row],[t2_Ph_I]]+0))*((Table1[[#This Row],[I_1]]*Table1[[#This Row],[I_2]]+((Table1[[#This Row],[I_1]]-Table1[[#This Row],[I_2]])^2)/3))))</f>
        <v>0</v>
      </c>
      <c r="AQ146" s="354">
        <f>Rdson4*Table1[[#This Row],[Irms BoCtlr]]^2</f>
        <v>0</v>
      </c>
      <c r="AR146" s="354">
        <f>CHOOSE(Table1[[#This Row],[Mode Digit]], 0, (Vout*Table1[[#This Row],[Iin]]/2)*(Fsw)*(Tr_boost+Tf_boost), (Vout*Iout/2)*(Fsw/1)*(Tr_boost+Tf_boost))</f>
        <v>0</v>
      </c>
      <c r="AS146">
        <f>IF(Table1[[#This Row],[Vin]]&gt;Vout, 0, IF(Table1[[#This Row],[Iin]]&gt;Table1[[#This Row],[Ripple Current pk-pk]]/2,0,ABS(Table1[[#This Row],[Iin]]-Table1[[#This Row],[Ripple Current pk-pk]]/2)*Vsd_Q4*Deadtime*Fsw))</f>
        <v>0</v>
      </c>
      <c r="AT146" s="354">
        <f>(Table1[[#This Row],[Dead Time Loss BoCtlr]]+Table1[[#This Row],[Transition Loss BoCtlr]]+Table1[[#This Row],[RDS(on) Loss BoCtlr]]*(1+RdsonTopTc*Ta-RdsonTopTc*25))/(1-Table1[[#This Row],[RDS(on) Loss BoCtlr]]*RdsonTopTc*ThetaJA_Q4)</f>
        <v>0</v>
      </c>
      <c r="AU14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12.117740505083647</v>
      </c>
      <c r="AV146" s="354">
        <f>Rdson3*Table1[[#This Row],[Irms BoSync]]^2</f>
        <v>0.61672646678388865</v>
      </c>
      <c r="AW14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46" s="354">
        <f>(Table1[[#This Row],[Deadtime Loss BoSync]]+Table1[[#This Row],[RDS(on) Loss BoSync]]*(1+RdsonBotTc*Ta-RdsonBotTc*25))/(1-Table1[[#This Row],[RDS(on) Loss BoSync]]*RdsonBotTc*ThetaJA_Q3)</f>
        <v>0.7238695490375836</v>
      </c>
      <c r="AY146" s="354">
        <f>CHOOSE(Table1[[#This Row],[Mode Digit]], Rdson3*Table1[[#This Row],[Irms Lf]]^2, Rdson1*Table1[[#This Row],[Irms Lf]]^2, 0)</f>
        <v>0.61672646678388865</v>
      </c>
      <c r="AZ146" s="354">
        <f>CHOOSE(Table1[[#This Row],[Mode Digit]], 2*Deadtime*Fsw*IF(VfdSky_Q2&gt;0,VfdSky_Q2,0)*Table1[[#This Row],[Iout]], 2*Deadtime*Fsw*IF(VfdSky_Q3&gt;0,VfdSky_Q3,0)*Table1[[#This Row],[Iin]], 2*Deadtime*Fsw*IF(VfdSky_Q2&gt;0,VfdSky_Q2,0)*Table1[[#This Row],[Iout]]+2*Deadtime*Fsw*IF(VfdSky_Q3&gt;0,VfdSky_Q3,0)*Table1[[#This Row],[Iin]])</f>
        <v>0</v>
      </c>
      <c r="BA146" s="354">
        <f>CHOOSE(Table1[[#This Row],[Mode Digit]], IF(QrrSky_Q2&gt;0,QrrSky_Q2,Qrr_Q2)*Fsw*(Table1[[#This Row],[Vin]]-Table1[[#This Row],[Iout]]*Rdson1),0,  IF(QrrSky_Q2&gt;0,QrrSky_Q2,Qrr_Q2)*Fsw*(Table1[[#This Row],[Vin]]-Table1[[#This Row],[Iout]]*Rdson1)+IF(QrrSky_Q3&gt;0,QrrSky_Q3,Qrr_Q3)*Fsw*Vout)</f>
        <v>0.46955519999999995</v>
      </c>
      <c r="BB146" s="354">
        <f>CHOOSE(Table1[[#This Row],[Mode Digit]],0, IF(QrrSky_Q3&gt;0,QrrSky_Q3,Qrr_Q3)*Fsw*Vout,  IF(QrrSky_Q2&gt;0,QrrSky_Q2,Qrr_Q2)*Fsw*(Table1[[#This Row],[Vin]]-Table1[[#This Row],[Iout]]*Rdson1)+IF(QrrSky_Q3&gt;0,QrrSky_Q3,Qrr_Q3)*Fsw*Vout)</f>
        <v>0</v>
      </c>
      <c r="BC146" s="354">
        <f>CHOOSE(Table1[[#This Row],[Mode Digit]], Rs*Table1[[#This Row],[Irms BuSync]]^2, Rs*Table1[[#This Row],[Irms BoCtlr]]^2, Rs*(Table1[[#This Row],[Irms BuSync]]^2+Table1[[#This Row],[Irms BoCtlr]]^2))</f>
        <v>0.22900391933444325</v>
      </c>
      <c r="BD146" s="354">
        <f t="shared" si="8"/>
        <v>1.44</v>
      </c>
      <c r="BE146" s="354">
        <f>IF(Vout&gt;8, Iq*Vout, Iq*Table1[[#This Row],[Vin]])</f>
        <v>4.3799999999999999E-2</v>
      </c>
      <c r="BF146" s="354">
        <f>CHOOSE(Table1[[#This Row],[Mode Digit]], (Qg_Q1+Qg_Q2)*Fsw, (Qg_Q3+Qg_Q4)*Fsw, (Qg_Q1+Qg_Q2+Qg_Q3+Qg_Q4)*Fsw)*IF(Vout&gt;8, Vout, Table1[[#This Row],[Vin]])</f>
        <v>0.47303999999999996</v>
      </c>
      <c r="BG146" s="354">
        <f t="shared" si="9"/>
        <v>0.45605042016806729</v>
      </c>
      <c r="BH146" s="354">
        <f>Table1[[#This Row],[IQ Loss]]+Table1[[#This Row],[Switching Current Loss]]</f>
        <v>0.51683999999999997</v>
      </c>
      <c r="BI14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12.491914463219302</v>
      </c>
      <c r="BJ146">
        <f>Vout*Table1[[#This Row],[Iout]]</f>
        <v>175.2</v>
      </c>
      <c r="BK146" s="550">
        <f>Table1[[#This Row],[Pout]]/(Table1[[#This Row],[Pout]]+Table1[[#This Row],[Total Loss]])</f>
        <v>0.93344457858536434</v>
      </c>
      <c r="BL14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310.9716293883734</v>
      </c>
      <c r="BM146" s="559">
        <f>IF(Table1[[#This Row],[Vin]]&gt;Vout, Table1[[#This Row],[Total Sync Bu MOSFET Loss]]*ThetaJA_Q2, ThetaJA_Q3*Table1[[#This Row],[Total Sync Bo MOSFET Loss]])</f>
        <v>63.598179250998051</v>
      </c>
      <c r="BN146" s="9"/>
      <c r="BO146" s="4">
        <f>Table1[[#This Row],[EFF, h]]*100</f>
        <v>93.34445785853643</v>
      </c>
      <c r="BP146" s="354">
        <f>Table1[[#This Row],[Total Inductor Loss]]</f>
        <v>2.786700203782805</v>
      </c>
      <c r="BQ146" s="354">
        <f>Table1[[#This Row],[Total Control Bu MOSFET Loss]]+Table1[[#This Row],[Total Sync Bu MOSFET Loss]]+Table1[[#This Row],[Total Control Bo MOSFET Loss]]+Table1[[#This Row],[Total Sync Bo MOSFET Loss]]+Table1[[#This Row],[Reverse Recovery Loss MOSFET D BUCK]]+Table1[[#This Row],[Reverse Recovery Loss MOSFET D BOOST]]</f>
        <v>7.4362548930271082</v>
      </c>
      <c r="BR146" s="354">
        <f>Table1[[#This Row],[Total Control Bu MOSFET Loss]]+Table1[[#This Row],[Reverse Recovery Loss MOSFET D BUCK]]*0.66</f>
        <v>5.4927669218062229</v>
      </c>
      <c r="BS146" s="354">
        <f>Table1[[#This Row],[Total Sync Bu MOSFET Loss]]+Table1[[#This Row],[Reverse Recovery Loss MOSFET D BUCK]]*0.33</f>
        <v>1.2149228701833008</v>
      </c>
      <c r="BT146" s="354">
        <f xml:space="preserve"> Table1[[#This Row],[Total Control Bo MOSFET Loss]]+Table1[[#This Row],[Reverse Recovery Loss MOSFET D BOOST]]*0.66</f>
        <v>0</v>
      </c>
      <c r="BU146" s="354">
        <f xml:space="preserve"> Table1[[#This Row],[Total Sync Bo MOSFET Loss]]+Table1[[#This Row],[Reverse Recovery Loss MOSFET D BOOST]]*0.33</f>
        <v>0.7238695490375836</v>
      </c>
      <c r="BV146" s="354">
        <f>Table1[[#This Row],[Isense Shunt Loss]]</f>
        <v>0.22900391933444325</v>
      </c>
    </row>
    <row r="147" spans="7:74" x14ac:dyDescent="0.2">
      <c r="G147">
        <v>138</v>
      </c>
      <c r="H147" s="555">
        <f>VIN_min+(VIN_max-VIN_min)*(Table1[[#This Row],[Step]]/200)</f>
        <v>39.32</v>
      </c>
      <c r="I147" s="4" t="str">
        <f>IF(Mode = 2,IF(Table1[[#This Row],[Vin]]&gt;Vout, "BUCK","BOOST"),IF(Table1[[#This Row],[Vin]]&gt;VIN_BB_to_buck, "BUCK", IF(Table1[[#This Row],[Vin]]&lt;=VIN_boost_to_BB,"BOOST","BUCK-BST")))</f>
        <v>BUCK</v>
      </c>
      <c r="J147">
        <f>IF(Table1[[#This Row],[Mode]]="BOOST",2, IF(Table1[[#This Row],[Mode]]="BUCK", 1,3))</f>
        <v>1</v>
      </c>
      <c r="K147">
        <f t="shared" si="7"/>
        <v>12</v>
      </c>
      <c r="L147" s="4">
        <f>Vout*Table1[[#This Row],[Iout]]/(Table1[[#This Row],[Vin]]*Efficiency)</f>
        <v>4.6902607485142154</v>
      </c>
      <c r="M147" s="711">
        <f>MIN(1/Fsw,CHOOSE(Table1[[#This Row],[Mode Digit]],(Vout+(Rdson2+Rs+Rdcr)*Table1[[#This Row],[Iout]])/(Table1[[#This Row],[Vin]]+(Rs+Rdson2-Rdson1)*Table1[[#This Row],[Iout]])/Fsw,(Vout+(Rdson3+Rdcr)*Table1[[#This Row],[Iin]]-Table1[[#This Row],[Vin]])/(Vout+(Rdson3-Rdson4-Rs)*Table1[[#This Row],[Iin]])/Fsw,t1_Ph_II))</f>
        <v>6.2473528166031332E-7</v>
      </c>
      <c r="N147" s="602">
        <f>CHOOSE(Table1[[#This Row],[Mode Digit]],1/Fsw-Table1[[#This Row],[t1_Ph_II]],1/Fsw-Table1[[#This Row],[t1_Ph_II]],(Vout/Fsw-Table1[[#This Row],[Vin]]*t1_Ph_II)/(Table1[[#This Row],[Vin]]+Vout))</f>
        <v>1.0419313850063533E-6</v>
      </c>
      <c r="O147" s="602">
        <f>1/Fsw-(Table1[[#This Row],[t1_Ph_II]]+Table1[[#This Row],[t2_Ph_I]])</f>
        <v>0</v>
      </c>
      <c r="P14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9.0751029994994425</v>
      </c>
      <c r="Q147" s="4">
        <f>CHOOSE(Table1[[#This Row],[Mode Digit]],Table1[[#This Row],[I_0]]+1/Lf*(Table1[[#This Row],[Vin]]-Vout)*Table1[[#This Row],[t1_Ph_II]],Table1[[#This Row],[I_0]]+1/Lf*Table1[[#This Row],[Vin]]*Table1[[#This Row],[t1_Ph_II]],Table1[[#This Row],[I_0]]+(Table1[[#This Row],[Vin]]-Vout)/L*Table1[[#This Row],[t1_Ph_II]])</f>
        <v>14.924897000500557</v>
      </c>
      <c r="R147" s="4">
        <f>CHOOSE(Table1[[#This Row],[Mode Digit]],0,0,Table1[[#This Row],[I_1]]+Table1[[#This Row],[Vin]]/L*Table1[[#This Row],[t2_Ph_I]])</f>
        <v>0</v>
      </c>
      <c r="S147" s="4">
        <f>Fsw*(Table1[[#This Row],[I_0]]*Table1[[#This Row],[t1_Ph_II]]+Table1[[#This Row],[I_1]]*Table1[[#This Row],[t2_Ph_I]]+Table1[[#This Row],[I_2]]*Table1[[#This Row],[t3_Ph_III]])</f>
        <v>12.732153378778413</v>
      </c>
      <c r="T147" s="354">
        <f>MIN(1,CHOOSE(Table1[[#This Row],[Mode Digit]],(Vout+(Rdson2+Rs+Rdcr)*Table1[[#This Row],[Iout]])/(Table1[[#This Row],[Vin]]+(Rs+Rdson2-Rdson1)*Table1[[#This Row],[Iout]]),1,Fsw*Table1[[#This Row],[t2_Ph_I]]+Table1[[#This Row],[t1_Ph_II]]))</f>
        <v>0.37484116899618802</v>
      </c>
      <c r="U147" s="354">
        <f>MIN(1,CHOOSE(Table1[[#This Row],[Mode Digit]],0,(Vout+(Rdson3+Rdcr)*Table1[[#This Row],[Iin]]-Table1[[#This Row],[Vin]])/(Vout+(Rdson3-Rdson4-Rs)*Table1[[#This Row],[Iin]]),Fsw*Table1[[#This Row],[t1_Ph_II]]+Table1[[#This Row],[t3_Ph_III]]))</f>
        <v>0</v>
      </c>
      <c r="V147" s="4">
        <f>MAX(Table1[[#This Row],[I_0]:[I_2]])-MIN(Table1[[#This Row],[I_0]:[I_1]])</f>
        <v>5.8497940010011149</v>
      </c>
      <c r="W14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12.118237254424109</v>
      </c>
      <c r="X147" s="354">
        <f>(Table1[[#This Row],[Irms Lf]]^2*Rdcr*(1+Ltc*Ta-Ltc*25))/(1-Table1[[#This Row],[Irms Lf]]^2*Rdcr*Ltc*ThetaCa)</f>
        <v>0.91402030099123499</v>
      </c>
      <c r="Y147" s="354">
        <f>ABS(7.759*10^-3*Fsw^0.9458*(0.00787*Table1[[#This Row],[Ripple Current pk-pk]])^2.304)</f>
        <v>1.8819100759675256</v>
      </c>
      <c r="Z147" s="354">
        <f>Table1[[#This Row],[DCR    Loss]]+Table1[[#This Row],[Core Loss]]</f>
        <v>2.7959303769587605</v>
      </c>
      <c r="AA147" s="4">
        <f>IF(Table1[[#This Row],[Vin]]&gt;Vout, Table1[[#This Row],[Ripple Current pk-pk]]/SQRT(12), SQRT(Table1[[#This Row],[Duty Cycle BOOST Leg]]/(1-Table1[[#This Row],[Duty Cycle BOOST Leg]]))*SQRT(Table1[[#This Row],[Iout]]^2+(Table1[[#This Row],[Ripple Current pk-pk]]^2)/12))</f>
        <v>1.688690070590926</v>
      </c>
      <c r="AB147" s="354">
        <f>RCoutEsr*Table1[[#This Row],[Irms Cout]]^2</f>
        <v>1.4258370772561932E-2</v>
      </c>
      <c r="AC147" s="354">
        <f>Table1[[#This Row],[Cout ESR Loss]]</f>
        <v>1.4258370772561932E-2</v>
      </c>
      <c r="AD147" s="354">
        <f>IF(Table1[[#This Row],[Vin]]&gt;Vout, SQRT(Table1[[#This Row],[Duty Cycle BUCK Leg]]*(1-Table1[[#This Row],[Duty Cycle BUCK Leg]]))*SQRT(Table1[[#This Row],[Iout]]^2+(Table1[[#This Row],[Ripple Current pk-pk]]^2)/12), Table1[[#This Row],[Ripple Current pk-pk]]/SQRT(12))</f>
        <v>5.8662190783834554</v>
      </c>
      <c r="AE147" s="354">
        <f>RCinEsr*Table1[[#This Row],[Irms Cin]]^2</f>
        <v>6.8825052551180085E-2</v>
      </c>
      <c r="AF147" s="549">
        <f>Table1[[#This Row],[Cin ESR Loss]]</f>
        <v>6.8825052551180085E-2</v>
      </c>
      <c r="AG14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7.4193027441347015</v>
      </c>
      <c r="AH147" s="354">
        <f>Rdson1*Table1[[#This Row],[Irms BuCtrl]]^2</f>
        <v>0.23119342347832383</v>
      </c>
      <c r="AI147" s="354">
        <f>CHOOSE(Table1[[#This Row],[Mode Digit]], (Table1[[#This Row],[Vin]]*Table1[[#This Row],[Iout]]/2)*(Fsw)*(Tr_buck+Tf_buck), 0, (Table1[[#This Row],[Vin]]*Table1[[#This Row],[Avg IL]]/2)*(Fsw/1)*(Tr_buck+Tf_buck))</f>
        <v>4.6789385782986468</v>
      </c>
      <c r="AJ147">
        <f>IF(Table1[[#This Row],[Vin]]&gt;Vout, IF(Table1[[#This Row],[Iout]]&gt;Table1[[#This Row],[Ripple Current pk-pk]]/2,0,ABS(Table1[[#This Row],[Iout]]-Table1[[#This Row],[Ripple Current pk-pk]]/2)*Vsd_Q1*Deadtime*Fsw),0)</f>
        <v>0</v>
      </c>
      <c r="AK147" s="354">
        <f>(Table1[[#This Row],[Dead Time Loss BuCtrl]]+Table1[[#This Row],[Transition Loss BuCtrl]]+Table1[[#This Row],[RDS(on) Loss BuCtrl]]*(1+RdsonTopTc*Ta-RdsonTopTc*25))/(1-Table1[[#This Row],[RDS(on) Loss BuCtrl]]*RdsonTopTc*ThetaJA_Q1)</f>
        <v>5.1985827565079603</v>
      </c>
      <c r="AL147" s="354">
        <f>CHOOSE(Table1[[#This Row],[Mode Digit]],SQRT((Fsw*(Table1[[#This Row],[t2_Ph_I]]+0))*((Table1[[#This Row],[I_0]]*Table1[[#This Row],[I_1]]+((Table1[[#This Row],[I_0]]-Table1[[#This Row],[I_1]])^2)/3))),0,SQRT((Fsw*(Table1[[#This Row],[t3_Ph_III]]+0))*((Table1[[#This Row],[I_0]]*Table1[[#This Row],[I_2]]+((Table1[[#This Row],[I_0]]-Table1[[#This Row],[I_2]])^2)/3))))</f>
        <v>9.581524980157786</v>
      </c>
      <c r="AM147" s="354">
        <f>Rdson2*Table1[[#This Row],[Irms BuSync]]^2</f>
        <v>0.38558360797062824</v>
      </c>
      <c r="AN14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47" s="354">
        <f>(Table1[[#This Row],[Deadtime Loss BuSync]]+Table1[[#This Row],[RDS(on) Loss BuSync]]*(1+RdsonBotTc*Ta-RdsonBotTc*25))/(1-Table1[[#This Row],[RDS(on) Loss BuSync]]*RdsonBotTc*ThetaJA_Q2)</f>
        <v>1.0611543279988866</v>
      </c>
      <c r="AP147" s="354">
        <f>CHOOSE(Table1[[#This Row],[Mode Digit]],0,SQRT((Fsw*(Table1[[#This Row],[t1_Ph_II]]+0))*((Table1[[#This Row],[I_0]]*Table1[[#This Row],[I_1]]+((Table1[[#This Row],[I_0]]-Table1[[#This Row],[I_1]])^2)/3))),SQRT((Fsw*(Table1[[#This Row],[t2_Ph_I]]+0))*((Table1[[#This Row],[I_1]]*Table1[[#This Row],[I_2]]+((Table1[[#This Row],[I_1]]-Table1[[#This Row],[I_2]])^2)/3))))</f>
        <v>0</v>
      </c>
      <c r="AQ147" s="354">
        <f>Rdson4*Table1[[#This Row],[Irms BoCtlr]]^2</f>
        <v>0</v>
      </c>
      <c r="AR147" s="354">
        <f>CHOOSE(Table1[[#This Row],[Mode Digit]], 0, (Vout*Table1[[#This Row],[Iin]]/2)*(Fsw)*(Tr_boost+Tf_boost), (Vout*Iout/2)*(Fsw/1)*(Tr_boost+Tf_boost))</f>
        <v>0</v>
      </c>
      <c r="AS147">
        <f>IF(Table1[[#This Row],[Vin]]&gt;Vout, 0, IF(Table1[[#This Row],[Iin]]&gt;Table1[[#This Row],[Ripple Current pk-pk]]/2,0,ABS(Table1[[#This Row],[Iin]]-Table1[[#This Row],[Ripple Current pk-pk]]/2)*Vsd_Q4*Deadtime*Fsw))</f>
        <v>0</v>
      </c>
      <c r="AT147" s="354">
        <f>(Table1[[#This Row],[Dead Time Loss BoCtlr]]+Table1[[#This Row],[Transition Loss BoCtlr]]+Table1[[#This Row],[RDS(on) Loss BoCtlr]]*(1+RdsonTopTc*Ta-RdsonTopTc*25))/(1-Table1[[#This Row],[RDS(on) Loss BoCtlr]]*RdsonTopTc*ThetaJA_Q4)</f>
        <v>0</v>
      </c>
      <c r="AU14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12.118237254424109</v>
      </c>
      <c r="AV147" s="354">
        <f>Rdson3*Table1[[#This Row],[Irms BoSync]]^2</f>
        <v>0.61677703144895213</v>
      </c>
      <c r="AW14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47" s="354">
        <f>(Table1[[#This Row],[Deadtime Loss BoSync]]+Table1[[#This Row],[RDS(on) Loss BoSync]]*(1+RdsonBotTc*Ta-RdsonBotTc*25))/(1-Table1[[#This Row],[RDS(on) Loss BoSync]]*RdsonBotTc*ThetaJA_Q3)</f>
        <v>0.72393920988655047</v>
      </c>
      <c r="AY147" s="354">
        <f>CHOOSE(Table1[[#This Row],[Mode Digit]], Rdson3*Table1[[#This Row],[Irms Lf]]^2, Rdson1*Table1[[#This Row],[Irms Lf]]^2, 0)</f>
        <v>0.61677703144895213</v>
      </c>
      <c r="AZ147" s="354">
        <f>CHOOSE(Table1[[#This Row],[Mode Digit]], 2*Deadtime*Fsw*IF(VfdSky_Q2&gt;0,VfdSky_Q2,0)*Table1[[#This Row],[Iout]], 2*Deadtime*Fsw*IF(VfdSky_Q3&gt;0,VfdSky_Q3,0)*Table1[[#This Row],[Iin]], 2*Deadtime*Fsw*IF(VfdSky_Q2&gt;0,VfdSky_Q2,0)*Table1[[#This Row],[Iout]]+2*Deadtime*Fsw*IF(VfdSky_Q3&gt;0,VfdSky_Q3,0)*Table1[[#This Row],[Iin]])</f>
        <v>0</v>
      </c>
      <c r="BA147" s="354">
        <f>CHOOSE(Table1[[#This Row],[Mode Digit]], IF(QrrSky_Q2&gt;0,QrrSky_Q2,Qrr_Q2)*Fsw*(Table1[[#This Row],[Vin]]-Table1[[#This Row],[Iout]]*Rdson1),0,  IF(QrrSky_Q2&gt;0,QrrSky_Q2,Qrr_Q2)*Fsw*(Table1[[#This Row],[Vin]]-Table1[[#This Row],[Iout]]*Rdson1)+IF(QrrSky_Q3&gt;0,QrrSky_Q3,Qrr_Q3)*Fsw*Vout)</f>
        <v>0.47123519999999997</v>
      </c>
      <c r="BB147" s="354">
        <f>CHOOSE(Table1[[#This Row],[Mode Digit]],0, IF(QrrSky_Q3&gt;0,QrrSky_Q3,Qrr_Q3)*Fsw*Vout,  IF(QrrSky_Q2&gt;0,QrrSky_Q2,Qrr_Q2)*Fsw*(Table1[[#This Row],[Vin]]-Table1[[#This Row],[Iout]]*Rdson1)+IF(QrrSky_Q3&gt;0,QrrSky_Q3,Qrr_Q3)*Fsw*Vout)</f>
        <v>0</v>
      </c>
      <c r="BC147" s="354">
        <f>CHOOSE(Table1[[#This Row],[Mode Digit]], Rs*Table1[[#This Row],[Irms BuSync]]^2, Rs*Table1[[#This Row],[Irms BoCtlr]]^2, Rs*(Table1[[#This Row],[Irms BuSync]]^2+Table1[[#This Row],[Irms BoCtlr]]^2))</f>
        <v>0.22951405236346914</v>
      </c>
      <c r="BD147" s="354">
        <f t="shared" si="8"/>
        <v>1.44</v>
      </c>
      <c r="BE147" s="354">
        <f>IF(Vout&gt;8, Iq*Vout, Iq*Table1[[#This Row],[Vin]])</f>
        <v>4.3799999999999999E-2</v>
      </c>
      <c r="BF147" s="354">
        <f>CHOOSE(Table1[[#This Row],[Mode Digit]], (Qg_Q1+Qg_Q2)*Fsw, (Qg_Q3+Qg_Q4)*Fsw, (Qg_Q1+Qg_Q2+Qg_Q3+Qg_Q4)*Fsw)*IF(Vout&gt;8, Vout, Table1[[#This Row],[Vin]])</f>
        <v>0.47303999999999996</v>
      </c>
      <c r="BG147" s="354">
        <f t="shared" si="9"/>
        <v>0.45605042016806729</v>
      </c>
      <c r="BH147" s="354">
        <f>Table1[[#This Row],[IQ Loss]]+Table1[[#This Row],[Switching Current Loss]]</f>
        <v>0.51683999999999997</v>
      </c>
      <c r="BI14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12.52027934703937</v>
      </c>
      <c r="BJ147">
        <f>Vout*Table1[[#This Row],[Iout]]</f>
        <v>175.2</v>
      </c>
      <c r="BK147" s="550">
        <f>Table1[[#This Row],[Pout]]/(Table1[[#This Row],[Pout]]+Table1[[#This Row],[Total Loss]])</f>
        <v>0.93330353337109051</v>
      </c>
      <c r="BL14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311.91496539047762</v>
      </c>
      <c r="BM147" s="559">
        <f>IF(Table1[[#This Row],[Vin]]&gt;Vout, Table1[[#This Row],[Total Sync Bu MOSFET Loss]]*ThetaJA_Q2, ThetaJA_Q3*Table1[[#This Row],[Total Sync Bo MOSFET Loss]])</f>
        <v>63.669259679933198</v>
      </c>
      <c r="BN147" s="9"/>
      <c r="BO147" s="4">
        <f>Table1[[#This Row],[EFF, h]]*100</f>
        <v>93.330353337109045</v>
      </c>
      <c r="BP147" s="354">
        <f>Table1[[#This Row],[Total Inductor Loss]]</f>
        <v>2.7959303769587605</v>
      </c>
      <c r="BQ147" s="354">
        <f>Table1[[#This Row],[Total Control Bu MOSFET Loss]]+Table1[[#This Row],[Total Sync Bu MOSFET Loss]]+Table1[[#This Row],[Total Control Bo MOSFET Loss]]+Table1[[#This Row],[Total Sync Bo MOSFET Loss]]+Table1[[#This Row],[Reverse Recovery Loss MOSFET D BUCK]]+Table1[[#This Row],[Reverse Recovery Loss MOSFET D BOOST]]</f>
        <v>7.4549114943933974</v>
      </c>
      <c r="BR147" s="354">
        <f>Table1[[#This Row],[Total Control Bu MOSFET Loss]]+Table1[[#This Row],[Reverse Recovery Loss MOSFET D BUCK]]*0.66</f>
        <v>5.5095979885079602</v>
      </c>
      <c r="BS147" s="354">
        <f>Table1[[#This Row],[Total Sync Bu MOSFET Loss]]+Table1[[#This Row],[Reverse Recovery Loss MOSFET D BUCK]]*0.33</f>
        <v>1.2166619439988866</v>
      </c>
      <c r="BT147" s="354">
        <f xml:space="preserve"> Table1[[#This Row],[Total Control Bo MOSFET Loss]]+Table1[[#This Row],[Reverse Recovery Loss MOSFET D BOOST]]*0.66</f>
        <v>0</v>
      </c>
      <c r="BU147" s="354">
        <f xml:space="preserve"> Table1[[#This Row],[Total Sync Bo MOSFET Loss]]+Table1[[#This Row],[Reverse Recovery Loss MOSFET D BOOST]]*0.33</f>
        <v>0.72393920988655047</v>
      </c>
      <c r="BV147" s="354">
        <f>Table1[[#This Row],[Isense Shunt Loss]]</f>
        <v>0.22951405236346914</v>
      </c>
    </row>
    <row r="148" spans="7:74" x14ac:dyDescent="0.2">
      <c r="G148">
        <v>139</v>
      </c>
      <c r="H148" s="555">
        <f>VIN_min+(VIN_max-VIN_min)*(Table1[[#This Row],[Step]]/200)</f>
        <v>39.459999999999994</v>
      </c>
      <c r="I148" s="4" t="str">
        <f>IF(Mode = 2,IF(Table1[[#This Row],[Vin]]&gt;Vout, "BUCK","BOOST"),IF(Table1[[#This Row],[Vin]]&gt;VIN_BB_to_buck, "BUCK", IF(Table1[[#This Row],[Vin]]&lt;=VIN_boost_to_BB,"BOOST","BUCK-BST")))</f>
        <v>BUCK</v>
      </c>
      <c r="J148">
        <f>IF(Table1[[#This Row],[Mode]]="BOOST",2, IF(Table1[[#This Row],[Mode]]="BUCK", 1,3))</f>
        <v>1</v>
      </c>
      <c r="K148">
        <f t="shared" si="7"/>
        <v>12</v>
      </c>
      <c r="L148" s="4">
        <f>Vout*Table1[[#This Row],[Iout]]/(Table1[[#This Row],[Vin]]*Efficiency)</f>
        <v>4.673620188331955</v>
      </c>
      <c r="M148" s="711">
        <f>MIN(1/Fsw,CHOOSE(Table1[[#This Row],[Mode Digit]],(Vout+(Rdson2+Rs+Rdcr)*Table1[[#This Row],[Iout]])/(Table1[[#This Row],[Vin]]+(Rs+Rdson2-Rdson1)*Table1[[#This Row],[Iout]])/Fsw,(Vout+(Rdson3+Rdcr)*Table1[[#This Row],[Iin]]-Table1[[#This Row],[Vin]])/(Vout+(Rdson3-Rdson4-Rs)*Table1[[#This Row],[Iin]])/Fsw,t1_Ph_II))</f>
        <v>6.2252046931712681E-7</v>
      </c>
      <c r="N148" s="602">
        <f>CHOOSE(Table1[[#This Row],[Mode Digit]],1/Fsw-Table1[[#This Row],[t1_Ph_II]],1/Fsw-Table1[[#This Row],[t1_Ph_II]],(Vout/Fsw-Table1[[#This Row],[Vin]]*t1_Ph_II)/(Table1[[#This Row],[Vin]]+Vout))</f>
        <v>1.0441461973495399E-6</v>
      </c>
      <c r="O148" s="602">
        <f>1/Fsw-(Table1[[#This Row],[t1_Ph_II]]+Table1[[#This Row],[t2_Ph_I]])</f>
        <v>0</v>
      </c>
      <c r="P14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9.0689661236318617</v>
      </c>
      <c r="Q148" s="4">
        <f>CHOOSE(Table1[[#This Row],[Mode Digit]],Table1[[#This Row],[I_0]]+1/Lf*(Table1[[#This Row],[Vin]]-Vout)*Table1[[#This Row],[t1_Ph_II]],Table1[[#This Row],[I_0]]+1/Lf*Table1[[#This Row],[Vin]]*Table1[[#This Row],[t1_Ph_II]],Table1[[#This Row],[I_0]]+(Table1[[#This Row],[Vin]]-Vout)/L*Table1[[#This Row],[t1_Ph_II]])</f>
        <v>14.931033876368137</v>
      </c>
      <c r="R148" s="4">
        <f>CHOOSE(Table1[[#This Row],[Mode Digit]],0,0,Table1[[#This Row],[I_1]]+Table1[[#This Row],[Vin]]/L*Table1[[#This Row],[t2_Ph_I]])</f>
        <v>0</v>
      </c>
      <c r="S148" s="4">
        <f>Fsw*(Table1[[#This Row],[I_0]]*Table1[[#This Row],[t1_Ph_II]]+Table1[[#This Row],[I_1]]*Table1[[#This Row],[t2_Ph_I]]+Table1[[#This Row],[I_2]]*Table1[[#This Row],[t3_Ph_III]])</f>
        <v>12.741479575206826</v>
      </c>
      <c r="T148" s="354">
        <f>MIN(1,CHOOSE(Table1[[#This Row],[Mode Digit]],(Vout+(Rdson2+Rs+Rdcr)*Table1[[#This Row],[Iout]])/(Table1[[#This Row],[Vin]]+(Rs+Rdson2-Rdson1)*Table1[[#This Row],[Iout]]),1,Fsw*Table1[[#This Row],[t2_Ph_I]]+Table1[[#This Row],[t1_Ph_II]]))</f>
        <v>0.37351228159027605</v>
      </c>
      <c r="U148" s="354">
        <f>MIN(1,CHOOSE(Table1[[#This Row],[Mode Digit]],0,(Vout+(Rdson3+Rdcr)*Table1[[#This Row],[Iin]]-Table1[[#This Row],[Vin]])/(Vout+(Rdson3-Rdson4-Rs)*Table1[[#This Row],[Iin]]),Fsw*Table1[[#This Row],[t1_Ph_II]]+Table1[[#This Row],[t3_Ph_III]]))</f>
        <v>0</v>
      </c>
      <c r="V148" s="4">
        <f>MAX(Table1[[#This Row],[I_0]:[I_2]])-MIN(Table1[[#This Row],[I_0]:[I_1]])</f>
        <v>5.8620677527362748</v>
      </c>
      <c r="W14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12.118731501060903</v>
      </c>
      <c r="X148" s="354">
        <f>(Table1[[#This Row],[Irms Lf]]^2*Rdcr*(1+Ltc*Ta-Ltc*25))/(1-Table1[[#This Row],[Irms Lf]]^2*Rdcr*Ltc*ThetaCa)</f>
        <v>0.91410031213933918</v>
      </c>
      <c r="Y148" s="354">
        <f>ABS(7.759*10^-3*Fsw^0.9458*(0.00787*Table1[[#This Row],[Ripple Current pk-pk]])^2.304)</f>
        <v>1.8910199408695274</v>
      </c>
      <c r="Z148" s="354">
        <f>Table1[[#This Row],[DCR    Loss]]+Table1[[#This Row],[Core Loss]]</f>
        <v>2.8051202530088668</v>
      </c>
      <c r="AA148" s="4">
        <f>IF(Table1[[#This Row],[Vin]]&gt;Vout, Table1[[#This Row],[Ripple Current pk-pk]]/SQRT(12), SQRT(Table1[[#This Row],[Duty Cycle BOOST Leg]]/(1-Table1[[#This Row],[Duty Cycle BOOST Leg]]))*SQRT(Table1[[#This Row],[Iout]]^2+(Table1[[#This Row],[Ripple Current pk-pk]]^2)/12))</f>
        <v>1.6922331975250564</v>
      </c>
      <c r="AB148" s="354">
        <f>RCoutEsr*Table1[[#This Row],[Irms Cout]]^2</f>
        <v>1.4318265974029383E-2</v>
      </c>
      <c r="AC148" s="354">
        <f>Table1[[#This Row],[Cout ESR Loss]]</f>
        <v>1.4318265974029383E-2</v>
      </c>
      <c r="AD148" s="354">
        <f>IF(Table1[[#This Row],[Vin]]&gt;Vout, SQRT(Table1[[#This Row],[Duty Cycle BUCK Leg]]*(1-Table1[[#This Row],[Duty Cycle BUCK Leg]]))*SQRT(Table1[[#This Row],[Iout]]^2+(Table1[[#This Row],[Ripple Current pk-pk]]^2)/12), Table1[[#This Row],[Ripple Current pk-pk]]/SQRT(12))</f>
        <v>5.8622709527258916</v>
      </c>
      <c r="AE148" s="354">
        <f>RCinEsr*Table1[[#This Row],[Irms Cin]]^2</f>
        <v>6.8732441446347464E-2</v>
      </c>
      <c r="AF148" s="549">
        <f>Table1[[#This Row],[Cin ESR Loss]]</f>
        <v>6.8732441446347464E-2</v>
      </c>
      <c r="AG14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7.4064416684042671</v>
      </c>
      <c r="AH148" s="354">
        <f>Rdson1*Table1[[#This Row],[Irms BuCtrl]]^2</f>
        <v>0.23039258838739496</v>
      </c>
      <c r="AI148" s="354">
        <f>CHOOSE(Table1[[#This Row],[Mode Digit]], (Table1[[#This Row],[Vin]]*Table1[[#This Row],[Iout]]/2)*(Fsw)*(Tr_buck+Tf_buck), 0, (Table1[[#This Row],[Vin]]*Table1[[#This Row],[Avg IL]]/2)*(Fsw/1)*(Tr_buck+Tf_buck))</f>
        <v>4.6955980747625778</v>
      </c>
      <c r="AJ148">
        <f>IF(Table1[[#This Row],[Vin]]&gt;Vout, IF(Table1[[#This Row],[Iout]]&gt;Table1[[#This Row],[Ripple Current pk-pk]]/2,0,ABS(Table1[[#This Row],[Iout]]-Table1[[#This Row],[Ripple Current pk-pk]]/2)*Vsd_Q1*Deadtime*Fsw),0)</f>
        <v>0</v>
      </c>
      <c r="AK148" s="354">
        <f>(Table1[[#This Row],[Dead Time Loss BuCtrl]]+Table1[[#This Row],[Transition Loss BuCtrl]]+Table1[[#This Row],[RDS(on) Loss BuCtrl]]*(1+RdsonTopTc*Ta-RdsonTopTc*25))/(1-Table1[[#This Row],[RDS(on) Loss BuCtrl]]*RdsonTopTc*ThetaJA_Q1)</f>
        <v>5.2143119834355218</v>
      </c>
      <c r="AL148" s="354">
        <f>CHOOSE(Table1[[#This Row],[Mode Digit]],SQRT((Fsw*(Table1[[#This Row],[t2_Ph_I]]+0))*((Table1[[#This Row],[I_0]]*Table1[[#This Row],[I_1]]+((Table1[[#This Row],[I_0]]-Table1[[#This Row],[I_1]])^2)/3))),0,SQRT((Fsw*(Table1[[#This Row],[t3_Ph_III]]+0))*((Table1[[#This Row],[I_0]]*Table1[[#This Row],[I_2]]+((Table1[[#This Row],[I_0]]-Table1[[#This Row],[I_2]])^2)/3))))</f>
        <v>9.5920944015022549</v>
      </c>
      <c r="AM148" s="354">
        <f>Rdson2*Table1[[#This Row],[Irms BuSync]]^2</f>
        <v>0.38643475503078989</v>
      </c>
      <c r="AN14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48" s="354">
        <f>(Table1[[#This Row],[Deadtime Loss BuSync]]+Table1[[#This Row],[RDS(on) Loss BuSync]]*(1+RdsonBotTc*Ta-RdsonBotTc*25))/(1-Table1[[#This Row],[RDS(on) Loss BuSync]]*RdsonBotTc*ThetaJA_Q2)</f>
        <v>1.06233141040406</v>
      </c>
      <c r="AP148" s="354">
        <f>CHOOSE(Table1[[#This Row],[Mode Digit]],0,SQRT((Fsw*(Table1[[#This Row],[t1_Ph_II]]+0))*((Table1[[#This Row],[I_0]]*Table1[[#This Row],[I_1]]+((Table1[[#This Row],[I_0]]-Table1[[#This Row],[I_1]])^2)/3))),SQRT((Fsw*(Table1[[#This Row],[t2_Ph_I]]+0))*((Table1[[#This Row],[I_1]]*Table1[[#This Row],[I_2]]+((Table1[[#This Row],[I_1]]-Table1[[#This Row],[I_2]])^2)/3))))</f>
        <v>0</v>
      </c>
      <c r="AQ148" s="354">
        <f>Rdson4*Table1[[#This Row],[Irms BoCtlr]]^2</f>
        <v>0</v>
      </c>
      <c r="AR148" s="354">
        <f>CHOOSE(Table1[[#This Row],[Mode Digit]], 0, (Vout*Table1[[#This Row],[Iin]]/2)*(Fsw)*(Tr_boost+Tf_boost), (Vout*Iout/2)*(Fsw/1)*(Tr_boost+Tf_boost))</f>
        <v>0</v>
      </c>
      <c r="AS148">
        <f>IF(Table1[[#This Row],[Vin]]&gt;Vout, 0, IF(Table1[[#This Row],[Iin]]&gt;Table1[[#This Row],[Ripple Current pk-pk]]/2,0,ABS(Table1[[#This Row],[Iin]]-Table1[[#This Row],[Ripple Current pk-pk]]/2)*Vsd_Q4*Deadtime*Fsw))</f>
        <v>0</v>
      </c>
      <c r="AT148" s="354">
        <f>(Table1[[#This Row],[Dead Time Loss BoCtlr]]+Table1[[#This Row],[Transition Loss BoCtlr]]+Table1[[#This Row],[RDS(on) Loss BoCtlr]]*(1+RdsonTopTc*Ta-RdsonTopTc*25))/(1-Table1[[#This Row],[RDS(on) Loss BoCtlr]]*RdsonTopTc*ThetaJA_Q4)</f>
        <v>0</v>
      </c>
      <c r="AU14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12.118731501060903</v>
      </c>
      <c r="AV148" s="354">
        <f>Rdson3*Table1[[#This Row],[Irms BoSync]]^2</f>
        <v>0.61682734341818468</v>
      </c>
      <c r="AW14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48" s="354">
        <f>(Table1[[#This Row],[Deadtime Loss BoSync]]+Table1[[#This Row],[RDS(on) Loss BoSync]]*(1+RdsonBotTc*Ta-RdsonBotTc*25))/(1-Table1[[#This Row],[RDS(on) Loss BoSync]]*RdsonBotTc*ThetaJA_Q3)</f>
        <v>0.72400852457659237</v>
      </c>
      <c r="AY148" s="354">
        <f>CHOOSE(Table1[[#This Row],[Mode Digit]], Rdson3*Table1[[#This Row],[Irms Lf]]^2, Rdson1*Table1[[#This Row],[Irms Lf]]^2, 0)</f>
        <v>0.61682734341818468</v>
      </c>
      <c r="AZ148" s="354">
        <f>CHOOSE(Table1[[#This Row],[Mode Digit]], 2*Deadtime*Fsw*IF(VfdSky_Q2&gt;0,VfdSky_Q2,0)*Table1[[#This Row],[Iout]], 2*Deadtime*Fsw*IF(VfdSky_Q3&gt;0,VfdSky_Q3,0)*Table1[[#This Row],[Iin]], 2*Deadtime*Fsw*IF(VfdSky_Q2&gt;0,VfdSky_Q2,0)*Table1[[#This Row],[Iout]]+2*Deadtime*Fsw*IF(VfdSky_Q3&gt;0,VfdSky_Q3,0)*Table1[[#This Row],[Iin]])</f>
        <v>0</v>
      </c>
      <c r="BA148" s="354">
        <f>CHOOSE(Table1[[#This Row],[Mode Digit]], IF(QrrSky_Q2&gt;0,QrrSky_Q2,Qrr_Q2)*Fsw*(Table1[[#This Row],[Vin]]-Table1[[#This Row],[Iout]]*Rdson1),0,  IF(QrrSky_Q2&gt;0,QrrSky_Q2,Qrr_Q2)*Fsw*(Table1[[#This Row],[Vin]]-Table1[[#This Row],[Iout]]*Rdson1)+IF(QrrSky_Q3&gt;0,QrrSky_Q3,Qrr_Q3)*Fsw*Vout)</f>
        <v>0.47291519999999987</v>
      </c>
      <c r="BB148" s="354">
        <f>CHOOSE(Table1[[#This Row],[Mode Digit]],0, IF(QrrSky_Q3&gt;0,QrrSky_Q3,Qrr_Q3)*Fsw*Vout,  IF(QrrSky_Q2&gt;0,QrrSky_Q2,Qrr_Q2)*Fsw*(Table1[[#This Row],[Vin]]-Table1[[#This Row],[Iout]]*Rdson1)+IF(QrrSky_Q3&gt;0,QrrSky_Q3,Qrr_Q3)*Fsw*Vout)</f>
        <v>0</v>
      </c>
      <c r="BC148" s="354">
        <f>CHOOSE(Table1[[#This Row],[Mode Digit]], Rs*Table1[[#This Row],[Irms BuSync]]^2, Rs*Table1[[#This Row],[Irms BoCtlr]]^2, Rs*(Table1[[#This Row],[Irms BuSync]]^2+Table1[[#This Row],[Irms BoCtlr]]^2))</f>
        <v>0.23002068751832727</v>
      </c>
      <c r="BD148" s="354">
        <f t="shared" si="8"/>
        <v>1.44</v>
      </c>
      <c r="BE148" s="354">
        <f>IF(Vout&gt;8, Iq*Vout, Iq*Table1[[#This Row],[Vin]])</f>
        <v>4.3799999999999999E-2</v>
      </c>
      <c r="BF148" s="354">
        <f>CHOOSE(Table1[[#This Row],[Mode Digit]], (Qg_Q1+Qg_Q2)*Fsw, (Qg_Q3+Qg_Q4)*Fsw, (Qg_Q1+Qg_Q2+Qg_Q3+Qg_Q4)*Fsw)*IF(Vout&gt;8, Vout, Table1[[#This Row],[Vin]])</f>
        <v>0.47303999999999996</v>
      </c>
      <c r="BG148" s="354">
        <f t="shared" si="9"/>
        <v>0.45605042016806729</v>
      </c>
      <c r="BH148" s="354">
        <f>Table1[[#This Row],[IQ Loss]]+Table1[[#This Row],[Switching Current Loss]]</f>
        <v>0.51683999999999997</v>
      </c>
      <c r="BI14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12.548598766363744</v>
      </c>
      <c r="BJ148">
        <f>Vout*Table1[[#This Row],[Iout]]</f>
        <v>175.2</v>
      </c>
      <c r="BK148" s="550">
        <f>Table1[[#This Row],[Pout]]/(Table1[[#This Row],[Pout]]+Table1[[#This Row],[Total Loss]])</f>
        <v>0.93316275674590066</v>
      </c>
      <c r="BL14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312.85871900613131</v>
      </c>
      <c r="BM148" s="559">
        <f>IF(Table1[[#This Row],[Vin]]&gt;Vout, Table1[[#This Row],[Total Sync Bu MOSFET Loss]]*ThetaJA_Q2, ThetaJA_Q3*Table1[[#This Row],[Total Sync Bo MOSFET Loss]])</f>
        <v>63.739884624243601</v>
      </c>
      <c r="BN148" s="9"/>
      <c r="BO148" s="4">
        <f>Table1[[#This Row],[EFF, h]]*100</f>
        <v>93.316275674590059</v>
      </c>
      <c r="BP148" s="354">
        <f>Table1[[#This Row],[Total Inductor Loss]]</f>
        <v>2.8051202530088668</v>
      </c>
      <c r="BQ148" s="354">
        <f>Table1[[#This Row],[Total Control Bu MOSFET Loss]]+Table1[[#This Row],[Total Sync Bu MOSFET Loss]]+Table1[[#This Row],[Total Control Bo MOSFET Loss]]+Table1[[#This Row],[Total Sync Bo MOSFET Loss]]+Table1[[#This Row],[Reverse Recovery Loss MOSFET D BUCK]]+Table1[[#This Row],[Reverse Recovery Loss MOSFET D BOOST]]</f>
        <v>7.4735671184161738</v>
      </c>
      <c r="BR148" s="354">
        <f>Table1[[#This Row],[Total Control Bu MOSFET Loss]]+Table1[[#This Row],[Reverse Recovery Loss MOSFET D BUCK]]*0.66</f>
        <v>5.5264360154355217</v>
      </c>
      <c r="BS148" s="354">
        <f>Table1[[#This Row],[Total Sync Bu MOSFET Loss]]+Table1[[#This Row],[Reverse Recovery Loss MOSFET D BUCK]]*0.33</f>
        <v>1.2183934264040599</v>
      </c>
      <c r="BT148" s="354">
        <f xml:space="preserve"> Table1[[#This Row],[Total Control Bo MOSFET Loss]]+Table1[[#This Row],[Reverse Recovery Loss MOSFET D BOOST]]*0.66</f>
        <v>0</v>
      </c>
      <c r="BU148" s="354">
        <f xml:space="preserve"> Table1[[#This Row],[Total Sync Bo MOSFET Loss]]+Table1[[#This Row],[Reverse Recovery Loss MOSFET D BOOST]]*0.33</f>
        <v>0.72400852457659237</v>
      </c>
      <c r="BV148" s="354">
        <f>Table1[[#This Row],[Isense Shunt Loss]]</f>
        <v>0.23002068751832727</v>
      </c>
    </row>
    <row r="149" spans="7:74" x14ac:dyDescent="0.2">
      <c r="G149">
        <v>140</v>
      </c>
      <c r="H149" s="555">
        <f>VIN_min+(VIN_max-VIN_min)*(Table1[[#This Row],[Step]]/200)</f>
        <v>39.599999999999994</v>
      </c>
      <c r="I149" s="4" t="str">
        <f>IF(Mode = 2,IF(Table1[[#This Row],[Vin]]&gt;Vout, "BUCK","BOOST"),IF(Table1[[#This Row],[Vin]]&gt;VIN_BB_to_buck, "BUCK", IF(Table1[[#This Row],[Vin]]&lt;=VIN_boost_to_BB,"BOOST","BUCK-BST")))</f>
        <v>BUCK</v>
      </c>
      <c r="J149">
        <f>IF(Table1[[#This Row],[Mode]]="BOOST",2, IF(Table1[[#This Row],[Mode]]="BUCK", 1,3))</f>
        <v>1</v>
      </c>
      <c r="K149">
        <f t="shared" si="7"/>
        <v>12</v>
      </c>
      <c r="L149" s="4">
        <f>Vout*Table1[[#This Row],[Iout]]/(Table1[[#This Row],[Vin]]*Efficiency)</f>
        <v>4.657097288676237</v>
      </c>
      <c r="M149" s="711">
        <f>MIN(1/Fsw,CHOOSE(Table1[[#This Row],[Mode Digit]],(Vout+(Rdson2+Rs+Rdcr)*Table1[[#This Row],[Iout]])/(Table1[[#This Row],[Vin]]+(Rs+Rdson2-Rdson1)*Table1[[#This Row],[Iout]])/Fsw,(Vout+(Rdson3+Rdcr)*Table1[[#This Row],[Iin]]-Table1[[#This Row],[Vin]])/(Vout+(Rdson3-Rdson4-Rs)*Table1[[#This Row],[Iin]])/Fsw,t1_Ph_II))</f>
        <v>6.2032130540836073E-7</v>
      </c>
      <c r="N149" s="602">
        <f>CHOOSE(Table1[[#This Row],[Mode Digit]],1/Fsw-Table1[[#This Row],[t1_Ph_II]],1/Fsw-Table1[[#This Row],[t1_Ph_II]],(Vout/Fsw-Table1[[#This Row],[Vin]]*t1_Ph_II)/(Table1[[#This Row],[Vin]]+Vout))</f>
        <v>1.0463453612583058E-6</v>
      </c>
      <c r="O149" s="602">
        <f>1/Fsw-(Table1[[#This Row],[t1_Ph_II]]+Table1[[#This Row],[t2_Ph_I]])</f>
        <v>0</v>
      </c>
      <c r="P14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9.0628726069679892</v>
      </c>
      <c r="Q149" s="4">
        <f>CHOOSE(Table1[[#This Row],[Mode Digit]],Table1[[#This Row],[I_0]]+1/Lf*(Table1[[#This Row],[Vin]]-Vout)*Table1[[#This Row],[t1_Ph_II]],Table1[[#This Row],[I_0]]+1/Lf*Table1[[#This Row],[Vin]]*Table1[[#This Row],[t1_Ph_II]],Table1[[#This Row],[I_0]]+(Table1[[#This Row],[Vin]]-Vout)/L*Table1[[#This Row],[t1_Ph_II]])</f>
        <v>14.937127393032011</v>
      </c>
      <c r="R149" s="4">
        <f>CHOOSE(Table1[[#This Row],[Mode Digit]],0,0,Table1[[#This Row],[I_1]]+Table1[[#This Row],[Vin]]/L*Table1[[#This Row],[t2_Ph_I]])</f>
        <v>0</v>
      </c>
      <c r="S149" s="4">
        <f>Fsw*(Table1[[#This Row],[I_0]]*Table1[[#This Row],[t1_Ph_II]]+Table1[[#This Row],[I_1]]*Table1[[#This Row],[t2_Ph_I]]+Table1[[#This Row],[I_2]]*Table1[[#This Row],[t3_Ph_III]])</f>
        <v>12.750772154716481</v>
      </c>
      <c r="T149" s="354">
        <f>MIN(1,CHOOSE(Table1[[#This Row],[Mode Digit]],(Vout+(Rdson2+Rs+Rdcr)*Table1[[#This Row],[Iout]])/(Table1[[#This Row],[Vin]]+(Rs+Rdson2-Rdson1)*Table1[[#This Row],[Iout]]),1,Fsw*Table1[[#This Row],[t2_Ph_I]]+Table1[[#This Row],[t1_Ph_II]]))</f>
        <v>0.37219278324501642</v>
      </c>
      <c r="U149" s="354">
        <f>MIN(1,CHOOSE(Table1[[#This Row],[Mode Digit]],0,(Vout+(Rdson3+Rdcr)*Table1[[#This Row],[Iin]]-Table1[[#This Row],[Vin]])/(Vout+(Rdson3-Rdson4-Rs)*Table1[[#This Row],[Iin]]),Fsw*Table1[[#This Row],[t1_Ph_II]]+Table1[[#This Row],[t3_Ph_III]]))</f>
        <v>0</v>
      </c>
      <c r="V149" s="4">
        <f>MAX(Table1[[#This Row],[I_0]:[I_2]])-MIN(Table1[[#This Row],[I_0]:[I_1]])</f>
        <v>5.8742547860640215</v>
      </c>
      <c r="W14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12.119223260628807</v>
      </c>
      <c r="X149" s="354">
        <f>(Table1[[#This Row],[Irms Lf]]^2*Rdcr*(1+Ltc*Ta-Ltc*25))/(1-Table1[[#This Row],[Irms Lf]]^2*Rdcr*Ltc*ThetaCa)</f>
        <v>0.91417992485412802</v>
      </c>
      <c r="Y149" s="354">
        <f>ABS(7.759*10^-3*Fsw^0.9458*(0.00787*Table1[[#This Row],[Ripple Current pk-pk]])^2.304)</f>
        <v>1.9000900842691455</v>
      </c>
      <c r="Z149" s="354">
        <f>Table1[[#This Row],[DCR    Loss]]+Table1[[#This Row],[Core Loss]]</f>
        <v>2.8142700091232733</v>
      </c>
      <c r="AA149" s="4">
        <f>IF(Table1[[#This Row],[Vin]]&gt;Vout, Table1[[#This Row],[Ripple Current pk-pk]]/SQRT(12), SQRT(Table1[[#This Row],[Duty Cycle BOOST Leg]]/(1-Table1[[#This Row],[Duty Cycle BOOST Leg]]))*SQRT(Table1[[#This Row],[Iout]]^2+(Table1[[#This Row],[Ripple Current pk-pk]]^2)/12))</f>
        <v>1.6957512910112553</v>
      </c>
      <c r="AB149" s="354">
        <f>RCoutEsr*Table1[[#This Row],[Irms Cout]]^2</f>
        <v>1.4377862204831695E-2</v>
      </c>
      <c r="AC149" s="354">
        <f>Table1[[#This Row],[Cout ESR Loss]]</f>
        <v>1.4377862204831695E-2</v>
      </c>
      <c r="AD149" s="354">
        <f>IF(Table1[[#This Row],[Vin]]&gt;Vout, SQRT(Table1[[#This Row],[Duty Cycle BUCK Leg]]*(1-Table1[[#This Row],[Duty Cycle BUCK Leg]]))*SQRT(Table1[[#This Row],[Iout]]^2+(Table1[[#This Row],[Ripple Current pk-pk]]^2)/12), Table1[[#This Row],[Ripple Current pk-pk]]/SQRT(12))</f>
        <v>5.8583041019518962</v>
      </c>
      <c r="AE149" s="354">
        <f>RCinEsr*Table1[[#This Row],[Irms Cin]]^2</f>
        <v>6.8639453901892827E-2</v>
      </c>
      <c r="AF149" s="549">
        <f>Table1[[#This Row],[Cin ESR Loss]]</f>
        <v>6.8639453901892827E-2</v>
      </c>
      <c r="AG14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7.3936478207653558</v>
      </c>
      <c r="AH149" s="354">
        <f>Rdson1*Table1[[#This Row],[Irms BuCtrl]]^2</f>
        <v>0.22959731800953487</v>
      </c>
      <c r="AI149" s="354">
        <f>CHOOSE(Table1[[#This Row],[Mode Digit]], (Table1[[#This Row],[Vin]]*Table1[[#This Row],[Iout]]/2)*(Fsw)*(Tr_buck+Tf_buck), 0, (Table1[[#This Row],[Vin]]*Table1[[#This Row],[Avg IL]]/2)*(Fsw/1)*(Tr_buck+Tf_buck))</f>
        <v>4.7122575712265107</v>
      </c>
      <c r="AJ149">
        <f>IF(Table1[[#This Row],[Vin]]&gt;Vout, IF(Table1[[#This Row],[Iout]]&gt;Table1[[#This Row],[Ripple Current pk-pk]]/2,0,ABS(Table1[[#This Row],[Iout]]-Table1[[#This Row],[Ripple Current pk-pk]]/2)*Vsd_Q1*Deadtime*Fsw),0)</f>
        <v>0</v>
      </c>
      <c r="AK149" s="354">
        <f>(Table1[[#This Row],[Dead Time Loss BuCtrl]]+Table1[[#This Row],[Transition Loss BuCtrl]]+Table1[[#This Row],[RDS(on) Loss BuCtrl]]*(1+RdsonTopTc*Ta-RdsonTopTc*25))/(1-Table1[[#This Row],[RDS(on) Loss BuCtrl]]*RdsonTopTc*ThetaJA_Q1)</f>
        <v>5.2300480928807591</v>
      </c>
      <c r="AL149" s="354">
        <f>CHOOSE(Table1[[#This Row],[Mode Digit]],SQRT((Fsw*(Table1[[#This Row],[t2_Ph_I]]+0))*((Table1[[#This Row],[I_0]]*Table1[[#This Row],[I_1]]+((Table1[[#This Row],[I_0]]-Table1[[#This Row],[I_1]])^2)/3))),0,SQRT((Fsw*(Table1[[#This Row],[t3_Ph_III]]+0))*((Table1[[#This Row],[I_0]]*Table1[[#This Row],[I_2]]+((Table1[[#This Row],[I_0]]-Table1[[#This Row],[I_2]])^2)/3))))</f>
        <v>9.6025800878439966</v>
      </c>
      <c r="AM149" s="354">
        <f>Rdson2*Table1[[#This Row],[Irms BuSync]]^2</f>
        <v>0.38728008624252375</v>
      </c>
      <c r="AN14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49" s="354">
        <f>(Table1[[#This Row],[Deadtime Loss BuSync]]+Table1[[#This Row],[RDS(on) Loss BuSync]]*(1+RdsonBotTc*Ta-RdsonBotTc*25))/(1-Table1[[#This Row],[RDS(on) Loss BuSync]]*RdsonBotTc*ThetaJA_Q2)</f>
        <v>1.0635009746141726</v>
      </c>
      <c r="AP149" s="354">
        <f>CHOOSE(Table1[[#This Row],[Mode Digit]],0,SQRT((Fsw*(Table1[[#This Row],[t1_Ph_II]]+0))*((Table1[[#This Row],[I_0]]*Table1[[#This Row],[I_1]]+((Table1[[#This Row],[I_0]]-Table1[[#This Row],[I_1]])^2)/3))),SQRT((Fsw*(Table1[[#This Row],[t2_Ph_I]]+0))*((Table1[[#This Row],[I_1]]*Table1[[#This Row],[I_2]]+((Table1[[#This Row],[I_1]]-Table1[[#This Row],[I_2]])^2)/3))))</f>
        <v>0</v>
      </c>
      <c r="AQ149" s="354">
        <f>Rdson4*Table1[[#This Row],[Irms BoCtlr]]^2</f>
        <v>0</v>
      </c>
      <c r="AR149" s="354">
        <f>CHOOSE(Table1[[#This Row],[Mode Digit]], 0, (Vout*Table1[[#This Row],[Iin]]/2)*(Fsw)*(Tr_boost+Tf_boost), (Vout*Iout/2)*(Fsw/1)*(Tr_boost+Tf_boost))</f>
        <v>0</v>
      </c>
      <c r="AS149">
        <f>IF(Table1[[#This Row],[Vin]]&gt;Vout, 0, IF(Table1[[#This Row],[Iin]]&gt;Table1[[#This Row],[Ripple Current pk-pk]]/2,0,ABS(Table1[[#This Row],[Iin]]-Table1[[#This Row],[Ripple Current pk-pk]]/2)*Vsd_Q4*Deadtime*Fsw))</f>
        <v>0</v>
      </c>
      <c r="AT149" s="354">
        <f>(Table1[[#This Row],[Dead Time Loss BoCtlr]]+Table1[[#This Row],[Transition Loss BoCtlr]]+Table1[[#This Row],[RDS(on) Loss BoCtlr]]*(1+RdsonTopTc*Ta-RdsonTopTc*25))/(1-Table1[[#This Row],[RDS(on) Loss BoCtlr]]*RdsonTopTc*ThetaJA_Q4)</f>
        <v>0</v>
      </c>
      <c r="AU14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12.119223260628807</v>
      </c>
      <c r="AV149" s="354">
        <f>Rdson3*Table1[[#This Row],[Irms BoSync]]^2</f>
        <v>0.61687740425205873</v>
      </c>
      <c r="AW14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49" s="354">
        <f>(Table1[[#This Row],[Deadtime Loss BoSync]]+Table1[[#This Row],[RDS(on) Loss BoSync]]*(1+RdsonBotTc*Ta-RdsonBotTc*25))/(1-Table1[[#This Row],[RDS(on) Loss BoSync]]*RdsonBotTc*ThetaJA_Q3)</f>
        <v>0.72407749522813869</v>
      </c>
      <c r="AY149" s="354">
        <f>CHOOSE(Table1[[#This Row],[Mode Digit]], Rdson3*Table1[[#This Row],[Irms Lf]]^2, Rdson1*Table1[[#This Row],[Irms Lf]]^2, 0)</f>
        <v>0.61687740425205873</v>
      </c>
      <c r="AZ149" s="354">
        <f>CHOOSE(Table1[[#This Row],[Mode Digit]], 2*Deadtime*Fsw*IF(VfdSky_Q2&gt;0,VfdSky_Q2,0)*Table1[[#This Row],[Iout]], 2*Deadtime*Fsw*IF(VfdSky_Q3&gt;0,VfdSky_Q3,0)*Table1[[#This Row],[Iin]], 2*Deadtime*Fsw*IF(VfdSky_Q2&gt;0,VfdSky_Q2,0)*Table1[[#This Row],[Iout]]+2*Deadtime*Fsw*IF(VfdSky_Q3&gt;0,VfdSky_Q3,0)*Table1[[#This Row],[Iin]])</f>
        <v>0</v>
      </c>
      <c r="BA149" s="354">
        <f>CHOOSE(Table1[[#This Row],[Mode Digit]], IF(QrrSky_Q2&gt;0,QrrSky_Q2,Qrr_Q2)*Fsw*(Table1[[#This Row],[Vin]]-Table1[[#This Row],[Iout]]*Rdson1),0,  IF(QrrSky_Q2&gt;0,QrrSky_Q2,Qrr_Q2)*Fsw*(Table1[[#This Row],[Vin]]-Table1[[#This Row],[Iout]]*Rdson1)+IF(QrrSky_Q3&gt;0,QrrSky_Q3,Qrr_Q3)*Fsw*Vout)</f>
        <v>0.47459519999999988</v>
      </c>
      <c r="BB149" s="354">
        <f>CHOOSE(Table1[[#This Row],[Mode Digit]],0, IF(QrrSky_Q3&gt;0,QrrSky_Q3,Qrr_Q3)*Fsw*Vout,  IF(QrrSky_Q2&gt;0,QrrSky_Q2,Qrr_Q2)*Fsw*(Table1[[#This Row],[Vin]]-Table1[[#This Row],[Iout]]*Rdson1)+IF(QrrSky_Q3&gt;0,QrrSky_Q3,Qrr_Q3)*Fsw*Vout)</f>
        <v>0</v>
      </c>
      <c r="BC149" s="354">
        <f>CHOOSE(Table1[[#This Row],[Mode Digit]], Rs*Table1[[#This Row],[Irms BuSync]]^2, Rs*Table1[[#This Row],[Irms BoCtlr]]^2, Rs*(Table1[[#This Row],[Irms BuSync]]^2+Table1[[#This Row],[Irms BoCtlr]]^2))</f>
        <v>0.23052386085864507</v>
      </c>
      <c r="BD149" s="354">
        <f t="shared" si="8"/>
        <v>1.44</v>
      </c>
      <c r="BE149" s="354">
        <f>IF(Vout&gt;8, Iq*Vout, Iq*Table1[[#This Row],[Vin]])</f>
        <v>4.3799999999999999E-2</v>
      </c>
      <c r="BF149" s="354">
        <f>CHOOSE(Table1[[#This Row],[Mode Digit]], (Qg_Q1+Qg_Q2)*Fsw, (Qg_Q3+Qg_Q4)*Fsw, (Qg_Q1+Qg_Q2+Qg_Q3+Qg_Q4)*Fsw)*IF(Vout&gt;8, Vout, Table1[[#This Row],[Vin]])</f>
        <v>0.47303999999999996</v>
      </c>
      <c r="BG149" s="354">
        <f t="shared" si="9"/>
        <v>0.45605042016806729</v>
      </c>
      <c r="BH149" s="354">
        <f>Table1[[#This Row],[IQ Loss]]+Table1[[#This Row],[Switching Current Loss]]</f>
        <v>0.51683999999999997</v>
      </c>
      <c r="BI14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12.576872948811712</v>
      </c>
      <c r="BJ149">
        <f>Vout*Table1[[#This Row],[Iout]]</f>
        <v>175.2</v>
      </c>
      <c r="BK149" s="550">
        <f>Table1[[#This Row],[Pout]]/(Table1[[#This Row],[Pout]]+Table1[[#This Row],[Total Loss]])</f>
        <v>0.9330222473550287</v>
      </c>
      <c r="BL14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313.80288557284553</v>
      </c>
      <c r="BM149" s="559">
        <f>IF(Table1[[#This Row],[Vin]]&gt;Vout, Table1[[#This Row],[Total Sync Bu MOSFET Loss]]*ThetaJA_Q2, ThetaJA_Q3*Table1[[#This Row],[Total Sync Bo MOSFET Loss]])</f>
        <v>63.810058476850358</v>
      </c>
      <c r="BN149" s="9"/>
      <c r="BO149" s="4">
        <f>Table1[[#This Row],[EFF, h]]*100</f>
        <v>93.302224735502875</v>
      </c>
      <c r="BP149" s="354">
        <f>Table1[[#This Row],[Total Inductor Loss]]</f>
        <v>2.8142700091232733</v>
      </c>
      <c r="BQ149" s="354">
        <f>Table1[[#This Row],[Total Control Bu MOSFET Loss]]+Table1[[#This Row],[Total Sync Bu MOSFET Loss]]+Table1[[#This Row],[Total Control Bo MOSFET Loss]]+Table1[[#This Row],[Total Sync Bo MOSFET Loss]]+Table1[[#This Row],[Reverse Recovery Loss MOSFET D BUCK]]+Table1[[#This Row],[Reverse Recovery Loss MOSFET D BOOST]]</f>
        <v>7.4922217627230703</v>
      </c>
      <c r="BR149" s="354">
        <f>Table1[[#This Row],[Total Control Bu MOSFET Loss]]+Table1[[#This Row],[Reverse Recovery Loss MOSFET D BUCK]]*0.66</f>
        <v>5.5432809248807589</v>
      </c>
      <c r="BS149" s="354">
        <f>Table1[[#This Row],[Total Sync Bu MOSFET Loss]]+Table1[[#This Row],[Reverse Recovery Loss MOSFET D BUCK]]*0.33</f>
        <v>1.2201173906141727</v>
      </c>
      <c r="BT149" s="354">
        <f xml:space="preserve"> Table1[[#This Row],[Total Control Bo MOSFET Loss]]+Table1[[#This Row],[Reverse Recovery Loss MOSFET D BOOST]]*0.66</f>
        <v>0</v>
      </c>
      <c r="BU149" s="354">
        <f xml:space="preserve"> Table1[[#This Row],[Total Sync Bo MOSFET Loss]]+Table1[[#This Row],[Reverse Recovery Loss MOSFET D BOOST]]*0.33</f>
        <v>0.72407749522813869</v>
      </c>
      <c r="BV149" s="354">
        <f>Table1[[#This Row],[Isense Shunt Loss]]</f>
        <v>0.23052386085864507</v>
      </c>
    </row>
    <row r="150" spans="7:74" x14ac:dyDescent="0.2">
      <c r="G150">
        <v>141</v>
      </c>
      <c r="H150" s="555">
        <f>VIN_min+(VIN_max-VIN_min)*(Table1[[#This Row],[Step]]/200)</f>
        <v>39.739999999999995</v>
      </c>
      <c r="I150" s="4" t="str">
        <f>IF(Mode = 2,IF(Table1[[#This Row],[Vin]]&gt;Vout, "BUCK","BOOST"),IF(Table1[[#This Row],[Vin]]&gt;VIN_BB_to_buck, "BUCK", IF(Table1[[#This Row],[Vin]]&lt;=VIN_boost_to_BB,"BOOST","BUCK-BST")))</f>
        <v>BUCK</v>
      </c>
      <c r="J150">
        <f>IF(Table1[[#This Row],[Mode]]="BOOST",2, IF(Table1[[#This Row],[Mode]]="BUCK", 1,3))</f>
        <v>1</v>
      </c>
      <c r="K150">
        <f t="shared" si="7"/>
        <v>12</v>
      </c>
      <c r="L150" s="4">
        <f>Vout*Table1[[#This Row],[Iout]]/(Table1[[#This Row],[Vin]]*Efficiency)</f>
        <v>4.6406908060286609</v>
      </c>
      <c r="M150" s="711">
        <f>MIN(1/Fsw,CHOOSE(Table1[[#This Row],[Mode Digit]],(Vout+(Rdson2+Rs+Rdcr)*Table1[[#This Row],[Iout]])/(Table1[[#This Row],[Vin]]+(Rs+Rdson2-Rdson1)*Table1[[#This Row],[Iout]])/Fsw,(Vout+(Rdson3+Rdcr)*Table1[[#This Row],[Iin]]-Table1[[#This Row],[Vin]])/(Vout+(Rdson3-Rdson4-Rs)*Table1[[#This Row],[Iin]])/Fsw,t1_Ph_II))</f>
        <v>6.1813762467521587E-7</v>
      </c>
      <c r="N150" s="602">
        <f>CHOOSE(Table1[[#This Row],[Mode Digit]],1/Fsw-Table1[[#This Row],[t1_Ph_II]],1/Fsw-Table1[[#This Row],[t1_Ph_II]],(Vout/Fsw-Table1[[#This Row],[Vin]]*t1_Ph_II)/(Table1[[#This Row],[Vin]]+Vout))</f>
        <v>1.0485290419914508E-6</v>
      </c>
      <c r="O150" s="602">
        <f>1/Fsw-(Table1[[#This Row],[t1_Ph_II]]+Table1[[#This Row],[t2_Ph_I]])</f>
        <v>0</v>
      </c>
      <c r="P15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9.0568219916032344</v>
      </c>
      <c r="Q150" s="4">
        <f>CHOOSE(Table1[[#This Row],[Mode Digit]],Table1[[#This Row],[I_0]]+1/Lf*(Table1[[#This Row],[Vin]]-Vout)*Table1[[#This Row],[t1_Ph_II]],Table1[[#This Row],[I_0]]+1/Lf*Table1[[#This Row],[Vin]]*Table1[[#This Row],[t1_Ph_II]],Table1[[#This Row],[I_0]]+(Table1[[#This Row],[Vin]]-Vout)/L*Table1[[#This Row],[t1_Ph_II]])</f>
        <v>14.943178008396766</v>
      </c>
      <c r="R150" s="4">
        <f>CHOOSE(Table1[[#This Row],[Mode Digit]],0,0,Table1[[#This Row],[I_1]]+Table1[[#This Row],[Vin]]/L*Table1[[#This Row],[t2_Ph_I]])</f>
        <v>0</v>
      </c>
      <c r="S150" s="4">
        <f>Fsw*(Table1[[#This Row],[I_0]]*Table1[[#This Row],[t1_Ph_II]]+Table1[[#This Row],[I_1]]*Table1[[#This Row],[t2_Ph_I]]+Table1[[#This Row],[I_2]]*Table1[[#This Row],[t3_Ph_III]])</f>
        <v>12.760031132668713</v>
      </c>
      <c r="T150" s="354">
        <f>MIN(1,CHOOSE(Table1[[#This Row],[Mode Digit]],(Vout+(Rdson2+Rs+Rdcr)*Table1[[#This Row],[Iout]])/(Table1[[#This Row],[Vin]]+(Rs+Rdson2-Rdson1)*Table1[[#This Row],[Iout]]),1,Fsw*Table1[[#This Row],[t2_Ph_I]]+Table1[[#This Row],[t1_Ph_II]]))</f>
        <v>0.37088257480512954</v>
      </c>
      <c r="U150" s="354">
        <f>MIN(1,CHOOSE(Table1[[#This Row],[Mode Digit]],0,(Vout+(Rdson3+Rdcr)*Table1[[#This Row],[Iin]]-Table1[[#This Row],[Vin]])/(Vout+(Rdson3-Rdson4-Rs)*Table1[[#This Row],[Iin]]),Fsw*Table1[[#This Row],[t1_Ph_II]]+Table1[[#This Row],[t3_Ph_III]]))</f>
        <v>0</v>
      </c>
      <c r="V150" s="4">
        <f>MAX(Table1[[#This Row],[I_0]:[I_2]])-MIN(Table1[[#This Row],[I_0]:[I_1]])</f>
        <v>5.8863560167935312</v>
      </c>
      <c r="W15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12.119712548696722</v>
      </c>
      <c r="X150" s="354">
        <f>(Table1[[#This Row],[Irms Lf]]^2*Rdcr*(1+Ltc*Ta-Ltc*25))/(1-Table1[[#This Row],[Irms Lf]]^2*Rdcr*Ltc*ThetaCa)</f>
        <v>0.91425914159308297</v>
      </c>
      <c r="Y150" s="354">
        <f>ABS(7.759*10^-3*Fsw^0.9458*(0.00787*Table1[[#This Row],[Ripple Current pk-pk]])^2.304)</f>
        <v>1.9091206816683641</v>
      </c>
      <c r="Z150" s="354">
        <f>Table1[[#This Row],[DCR    Loss]]+Table1[[#This Row],[Core Loss]]</f>
        <v>2.8233798232614471</v>
      </c>
      <c r="AA150" s="4">
        <f>IF(Table1[[#This Row],[Vin]]&gt;Vout, Table1[[#This Row],[Ripple Current pk-pk]]/SQRT(12), SQRT(Table1[[#This Row],[Duty Cycle BOOST Leg]]/(1-Table1[[#This Row],[Duty Cycle BOOST Leg]]))*SQRT(Table1[[#This Row],[Iout]]^2+(Table1[[#This Row],[Ripple Current pk-pk]]^2)/12))</f>
        <v>1.6992446154208594</v>
      </c>
      <c r="AB150" s="354">
        <f>RCoutEsr*Table1[[#This Row],[Irms Cout]]^2</f>
        <v>1.4437161315183923E-2</v>
      </c>
      <c r="AC150" s="354">
        <f>Table1[[#This Row],[Cout ESR Loss]]</f>
        <v>1.4437161315183923E-2</v>
      </c>
      <c r="AD150" s="354">
        <f>IF(Table1[[#This Row],[Vin]]&gt;Vout, SQRT(Table1[[#This Row],[Duty Cycle BUCK Leg]]*(1-Table1[[#This Row],[Duty Cycle BUCK Leg]]))*SQRT(Table1[[#This Row],[Iout]]^2+(Table1[[#This Row],[Ripple Current pk-pk]]^2)/12), Table1[[#This Row],[Ripple Current pk-pk]]/SQRT(12))</f>
        <v>5.8543191083561972</v>
      </c>
      <c r="AE150" s="354">
        <f>RCinEsr*Table1[[#This Row],[Irms Cin]]^2</f>
        <v>6.8546104444929007E-2</v>
      </c>
      <c r="AF150" s="549">
        <f>Table1[[#This Row],[Cin ESR Loss]]</f>
        <v>6.8546104444929007E-2</v>
      </c>
      <c r="AG15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7.3809206122426989</v>
      </c>
      <c r="AH150" s="354">
        <f>Rdson1*Table1[[#This Row],[Irms BuCtrl]]^2</f>
        <v>0.22880755415376242</v>
      </c>
      <c r="AI150" s="354">
        <f>CHOOSE(Table1[[#This Row],[Mode Digit]], (Table1[[#This Row],[Vin]]*Table1[[#This Row],[Iout]]/2)*(Fsw)*(Tr_buck+Tf_buck), 0, (Table1[[#This Row],[Vin]]*Table1[[#This Row],[Avg IL]]/2)*(Fsw/1)*(Tr_buck+Tf_buck))</f>
        <v>4.7289170676904426</v>
      </c>
      <c r="AJ150">
        <f>IF(Table1[[#This Row],[Vin]]&gt;Vout, IF(Table1[[#This Row],[Iout]]&gt;Table1[[#This Row],[Ripple Current pk-pk]]/2,0,ABS(Table1[[#This Row],[Iout]]-Table1[[#This Row],[Ripple Current pk-pk]]/2)*Vsd_Q1*Deadtime*Fsw),0)</f>
        <v>0</v>
      </c>
      <c r="AK150" s="354">
        <f>(Table1[[#This Row],[Dead Time Loss BuCtrl]]+Table1[[#This Row],[Transition Loss BuCtrl]]+Table1[[#This Row],[RDS(on) Loss BuCtrl]]*(1+RdsonTopTc*Ta-RdsonTopTc*25))/(1-Table1[[#This Row],[RDS(on) Loss BuCtrl]]*RdsonTopTc*ThetaJA_Q1)</f>
        <v>5.2457910082945265</v>
      </c>
      <c r="AL150" s="354">
        <f>CHOOSE(Table1[[#This Row],[Mode Digit]],SQRT((Fsw*(Table1[[#This Row],[t2_Ph_I]]+0))*((Table1[[#This Row],[I_0]]*Table1[[#This Row],[I_1]]+((Table1[[#This Row],[I_0]]-Table1[[#This Row],[I_1]])^2)/3))),0,SQRT((Fsw*(Table1[[#This Row],[t3_Ph_III]]+0))*((Table1[[#This Row],[I_0]]*Table1[[#This Row],[I_2]]+((Table1[[#This Row],[I_0]]-Table1[[#This Row],[I_2]])^2)/3))))</f>
        <v>9.612983053080228</v>
      </c>
      <c r="AM150" s="354">
        <f>Rdson2*Table1[[#This Row],[Irms BuSync]]^2</f>
        <v>0.38811966135099224</v>
      </c>
      <c r="AN15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50" s="354">
        <f>(Table1[[#This Row],[Deadtime Loss BuSync]]+Table1[[#This Row],[RDS(on) Loss BuSync]]*(1+RdsonBotTc*Ta-RdsonBotTc*25))/(1-Table1[[#This Row],[RDS(on) Loss BuSync]]*RdsonBotTc*ThetaJA_Q2)</f>
        <v>1.0646630928989416</v>
      </c>
      <c r="AP150" s="354">
        <f>CHOOSE(Table1[[#This Row],[Mode Digit]],0,SQRT((Fsw*(Table1[[#This Row],[t1_Ph_II]]+0))*((Table1[[#This Row],[I_0]]*Table1[[#This Row],[I_1]]+((Table1[[#This Row],[I_0]]-Table1[[#This Row],[I_1]])^2)/3))),SQRT((Fsw*(Table1[[#This Row],[t2_Ph_I]]+0))*((Table1[[#This Row],[I_1]]*Table1[[#This Row],[I_2]]+((Table1[[#This Row],[I_1]]-Table1[[#This Row],[I_2]])^2)/3))))</f>
        <v>0</v>
      </c>
      <c r="AQ150" s="354">
        <f>Rdson4*Table1[[#This Row],[Irms BoCtlr]]^2</f>
        <v>0</v>
      </c>
      <c r="AR150" s="354">
        <f>CHOOSE(Table1[[#This Row],[Mode Digit]], 0, (Vout*Table1[[#This Row],[Iin]]/2)*(Fsw)*(Tr_boost+Tf_boost), (Vout*Iout/2)*(Fsw/1)*(Tr_boost+Tf_boost))</f>
        <v>0</v>
      </c>
      <c r="AS150">
        <f>IF(Table1[[#This Row],[Vin]]&gt;Vout, 0, IF(Table1[[#This Row],[Iin]]&gt;Table1[[#This Row],[Ripple Current pk-pk]]/2,0,ABS(Table1[[#This Row],[Iin]]-Table1[[#This Row],[Ripple Current pk-pk]]/2)*Vsd_Q4*Deadtime*Fsw))</f>
        <v>0</v>
      </c>
      <c r="AT150" s="354">
        <f>(Table1[[#This Row],[Dead Time Loss BoCtlr]]+Table1[[#This Row],[Transition Loss BoCtlr]]+Table1[[#This Row],[RDS(on) Loss BoCtlr]]*(1+RdsonTopTc*Ta-RdsonTopTc*25))/(1-Table1[[#This Row],[RDS(on) Loss BoCtlr]]*RdsonTopTc*ThetaJA_Q4)</f>
        <v>0</v>
      </c>
      <c r="AU15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12.119712548696722</v>
      </c>
      <c r="AV150" s="354">
        <f>Rdson3*Table1[[#This Row],[Irms BoSync]]^2</f>
        <v>0.61692721550475449</v>
      </c>
      <c r="AW15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50" s="354">
        <f>(Table1[[#This Row],[Deadtime Loss BoSync]]+Table1[[#This Row],[RDS(on) Loss BoSync]]*(1+RdsonBotTc*Ta-RdsonBotTc*25))/(1-Table1[[#This Row],[RDS(on) Loss BoSync]]*RdsonBotTc*ThetaJA_Q3)</f>
        <v>0.72414612395333677</v>
      </c>
      <c r="AY150" s="354">
        <f>CHOOSE(Table1[[#This Row],[Mode Digit]], Rdson3*Table1[[#This Row],[Irms Lf]]^2, Rdson1*Table1[[#This Row],[Irms Lf]]^2, 0)</f>
        <v>0.61692721550475449</v>
      </c>
      <c r="AZ150" s="354">
        <f>CHOOSE(Table1[[#This Row],[Mode Digit]], 2*Deadtime*Fsw*IF(VfdSky_Q2&gt;0,VfdSky_Q2,0)*Table1[[#This Row],[Iout]], 2*Deadtime*Fsw*IF(VfdSky_Q3&gt;0,VfdSky_Q3,0)*Table1[[#This Row],[Iin]], 2*Deadtime*Fsw*IF(VfdSky_Q2&gt;0,VfdSky_Q2,0)*Table1[[#This Row],[Iout]]+2*Deadtime*Fsw*IF(VfdSky_Q3&gt;0,VfdSky_Q3,0)*Table1[[#This Row],[Iin]])</f>
        <v>0</v>
      </c>
      <c r="BA150" s="354">
        <f>CHOOSE(Table1[[#This Row],[Mode Digit]], IF(QrrSky_Q2&gt;0,QrrSky_Q2,Qrr_Q2)*Fsw*(Table1[[#This Row],[Vin]]-Table1[[#This Row],[Iout]]*Rdson1),0,  IF(QrrSky_Q2&gt;0,QrrSky_Q2,Qrr_Q2)*Fsw*(Table1[[#This Row],[Vin]]-Table1[[#This Row],[Iout]]*Rdson1)+IF(QrrSky_Q3&gt;0,QrrSky_Q3,Qrr_Q3)*Fsw*Vout)</f>
        <v>0.4762751999999999</v>
      </c>
      <c r="BB150" s="354">
        <f>CHOOSE(Table1[[#This Row],[Mode Digit]],0, IF(QrrSky_Q3&gt;0,QrrSky_Q3,Qrr_Q3)*Fsw*Vout,  IF(QrrSky_Q2&gt;0,QrrSky_Q2,Qrr_Q2)*Fsw*(Table1[[#This Row],[Vin]]-Table1[[#This Row],[Iout]]*Rdson1)+IF(QrrSky_Q3&gt;0,QrrSky_Q3,Qrr_Q3)*Fsw*Vout)</f>
        <v>0</v>
      </c>
      <c r="BC150" s="354">
        <f>CHOOSE(Table1[[#This Row],[Mode Digit]], Rs*Table1[[#This Row],[Irms BuSync]]^2, Rs*Table1[[#This Row],[Irms BoCtlr]]^2, Rs*(Table1[[#This Row],[Irms BuSync]]^2+Table1[[#This Row],[Irms BoCtlr]]^2))</f>
        <v>0.23102360794701915</v>
      </c>
      <c r="BD150" s="354">
        <f t="shared" si="8"/>
        <v>1.44</v>
      </c>
      <c r="BE150" s="354">
        <f>IF(Vout&gt;8, Iq*Vout, Iq*Table1[[#This Row],[Vin]])</f>
        <v>4.3799999999999999E-2</v>
      </c>
      <c r="BF150" s="354">
        <f>CHOOSE(Table1[[#This Row],[Mode Digit]], (Qg_Q1+Qg_Q2)*Fsw, (Qg_Q3+Qg_Q4)*Fsw, (Qg_Q1+Qg_Q2+Qg_Q3+Qg_Q4)*Fsw)*IF(Vout&gt;8, Vout, Table1[[#This Row],[Vin]])</f>
        <v>0.47303999999999996</v>
      </c>
      <c r="BG150" s="354">
        <f t="shared" si="9"/>
        <v>0.45605042016806729</v>
      </c>
      <c r="BH150" s="354">
        <f>Table1[[#This Row],[IQ Loss]]+Table1[[#This Row],[Switching Current Loss]]</f>
        <v>0.51683999999999997</v>
      </c>
      <c r="BI15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12.605102122115385</v>
      </c>
      <c r="BJ150">
        <f>Vout*Table1[[#This Row],[Iout]]</f>
        <v>175.2</v>
      </c>
      <c r="BK150" s="550">
        <f>Table1[[#This Row],[Pout]]/(Table1[[#This Row],[Pout]]+Table1[[#This Row],[Total Loss]])</f>
        <v>0.93288200384503261</v>
      </c>
      <c r="BL15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314.74746049767157</v>
      </c>
      <c r="BM150" s="559">
        <f>IF(Table1[[#This Row],[Vin]]&gt;Vout, Table1[[#This Row],[Total Sync Bu MOSFET Loss]]*ThetaJA_Q2, ThetaJA_Q3*Table1[[#This Row],[Total Sync Bo MOSFET Loss]])</f>
        <v>63.879785573936495</v>
      </c>
      <c r="BN150" s="9"/>
      <c r="BO150" s="4">
        <f>Table1[[#This Row],[EFF, h]]*100</f>
        <v>93.288200384503256</v>
      </c>
      <c r="BP150" s="354">
        <f>Table1[[#This Row],[Total Inductor Loss]]</f>
        <v>2.8233798232614471</v>
      </c>
      <c r="BQ150" s="354">
        <f>Table1[[#This Row],[Total Control Bu MOSFET Loss]]+Table1[[#This Row],[Total Sync Bu MOSFET Loss]]+Table1[[#This Row],[Total Control Bo MOSFET Loss]]+Table1[[#This Row],[Total Sync Bo MOSFET Loss]]+Table1[[#This Row],[Reverse Recovery Loss MOSFET D BUCK]]+Table1[[#This Row],[Reverse Recovery Loss MOSFET D BOOST]]</f>
        <v>7.5108754251468044</v>
      </c>
      <c r="BR150" s="354">
        <f>Table1[[#This Row],[Total Control Bu MOSFET Loss]]+Table1[[#This Row],[Reverse Recovery Loss MOSFET D BUCK]]*0.66</f>
        <v>5.5601326402945261</v>
      </c>
      <c r="BS150" s="354">
        <f>Table1[[#This Row],[Total Sync Bu MOSFET Loss]]+Table1[[#This Row],[Reverse Recovery Loss MOSFET D BUCK]]*0.33</f>
        <v>1.2218339088989416</v>
      </c>
      <c r="BT150" s="354">
        <f xml:space="preserve"> Table1[[#This Row],[Total Control Bo MOSFET Loss]]+Table1[[#This Row],[Reverse Recovery Loss MOSFET D BOOST]]*0.66</f>
        <v>0</v>
      </c>
      <c r="BU150" s="354">
        <f xml:space="preserve"> Table1[[#This Row],[Total Sync Bo MOSFET Loss]]+Table1[[#This Row],[Reverse Recovery Loss MOSFET D BOOST]]*0.33</f>
        <v>0.72414612395333677</v>
      </c>
      <c r="BV150" s="354">
        <f>Table1[[#This Row],[Isense Shunt Loss]]</f>
        <v>0.23102360794701915</v>
      </c>
    </row>
    <row r="151" spans="7:74" x14ac:dyDescent="0.2">
      <c r="G151">
        <v>142</v>
      </c>
      <c r="H151" s="555">
        <f>VIN_min+(VIN_max-VIN_min)*(Table1[[#This Row],[Step]]/200)</f>
        <v>39.879999999999995</v>
      </c>
      <c r="I151" s="4" t="str">
        <f>IF(Mode = 2,IF(Table1[[#This Row],[Vin]]&gt;Vout, "BUCK","BOOST"),IF(Table1[[#This Row],[Vin]]&gt;VIN_BB_to_buck, "BUCK", IF(Table1[[#This Row],[Vin]]&lt;=VIN_boost_to_BB,"BOOST","BUCK-BST")))</f>
        <v>BUCK</v>
      </c>
      <c r="J151">
        <f>IF(Table1[[#This Row],[Mode]]="BOOST",2, IF(Table1[[#This Row],[Mode]]="BUCK", 1,3))</f>
        <v>1</v>
      </c>
      <c r="K151">
        <f t="shared" si="7"/>
        <v>12</v>
      </c>
      <c r="L151" s="4">
        <f>Vout*Table1[[#This Row],[Iout]]/(Table1[[#This Row],[Vin]]*Efficiency)</f>
        <v>4.6243995143324712</v>
      </c>
      <c r="M151" s="711">
        <f>MIN(1/Fsw,CHOOSE(Table1[[#This Row],[Mode Digit]],(Vout+(Rdson2+Rs+Rdcr)*Table1[[#This Row],[Iout]])/(Table1[[#This Row],[Vin]]+(Rs+Rdson2-Rdson1)*Table1[[#This Row],[Iout]])/Fsw,(Vout+(Rdson3+Rdcr)*Table1[[#This Row],[Iin]]-Table1[[#This Row],[Vin]])/(Vout+(Rdson3-Rdson4-Rs)*Table1[[#This Row],[Iin]])/Fsw,t1_Ph_II))</f>
        <v>6.1596926417773335E-7</v>
      </c>
      <c r="N151" s="602">
        <f>CHOOSE(Table1[[#This Row],[Mode Digit]],1/Fsw-Table1[[#This Row],[t1_Ph_II]],1/Fsw-Table1[[#This Row],[t1_Ph_II]],(Vout/Fsw-Table1[[#This Row],[Vin]]*t1_Ph_II)/(Table1[[#This Row],[Vin]]+Vout))</f>
        <v>1.0506974024889333E-6</v>
      </c>
      <c r="O151" s="602">
        <f>1/Fsw-(Table1[[#This Row],[t1_Ph_II]]+Table1[[#This Row],[t2_Ph_I]])</f>
        <v>0</v>
      </c>
      <c r="P15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9.0508138260581248</v>
      </c>
      <c r="Q151" s="4">
        <f>CHOOSE(Table1[[#This Row],[Mode Digit]],Table1[[#This Row],[I_0]]+1/Lf*(Table1[[#This Row],[Vin]]-Vout)*Table1[[#This Row],[t1_Ph_II]],Table1[[#This Row],[I_0]]+1/Lf*Table1[[#This Row],[Vin]]*Table1[[#This Row],[t1_Ph_II]],Table1[[#This Row],[I_0]]+(Table1[[#This Row],[Vin]]-Vout)/L*Table1[[#This Row],[t1_Ph_II]])</f>
        <v>14.949186173941873</v>
      </c>
      <c r="R151" s="4">
        <f>CHOOSE(Table1[[#This Row],[Mode Digit]],0,0,Table1[[#This Row],[I_1]]+Table1[[#This Row],[Vin]]/L*Table1[[#This Row],[t2_Ph_I]])</f>
        <v>0</v>
      </c>
      <c r="S151" s="4">
        <f>Fsw*(Table1[[#This Row],[I_0]]*Table1[[#This Row],[t1_Ph_II]]+Table1[[#This Row],[I_1]]*Table1[[#This Row],[t2_Ph_I]]+Table1[[#This Row],[I_2]]*Table1[[#This Row],[t3_Ph_III]])</f>
        <v>12.769256528958527</v>
      </c>
      <c r="T151" s="354">
        <f>MIN(1,CHOOSE(Table1[[#This Row],[Mode Digit]],(Vout+(Rdson2+Rs+Rdcr)*Table1[[#This Row],[Iout]])/(Table1[[#This Row],[Vin]]+(Rs+Rdson2-Rdson1)*Table1[[#This Row],[Iout]]),1,Fsw*Table1[[#This Row],[t2_Ph_I]]+Table1[[#This Row],[t1_Ph_II]]))</f>
        <v>0.36958155850663998</v>
      </c>
      <c r="U151" s="354">
        <f>MIN(1,CHOOSE(Table1[[#This Row],[Mode Digit]],0,(Vout+(Rdson3+Rdcr)*Table1[[#This Row],[Iin]]-Table1[[#This Row],[Vin]])/(Vout+(Rdson3-Rdson4-Rs)*Table1[[#This Row],[Iin]]),Fsw*Table1[[#This Row],[t1_Ph_II]]+Table1[[#This Row],[t3_Ph_III]]))</f>
        <v>0</v>
      </c>
      <c r="V151" s="4">
        <f>MAX(Table1[[#This Row],[I_0]:[I_2]])-MIN(Table1[[#This Row],[I_0]:[I_1]])</f>
        <v>5.8983723478837486</v>
      </c>
      <c r="W15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12.120199380766113</v>
      </c>
      <c r="X151" s="354">
        <f>(Table1[[#This Row],[Irms Lf]]^2*Rdcr*(1+Ltc*Ta-Ltc*25))/(1-Table1[[#This Row],[Irms Lf]]^2*Rdcr*Ltc*ThetaCa)</f>
        <v>0.91433796480360829</v>
      </c>
      <c r="Y151" s="354">
        <f>ABS(7.759*10^-3*Fsw^0.9458*(0.00787*Table1[[#This Row],[Ripple Current pk-pk]])^2.304)</f>
        <v>1.9181119092826875</v>
      </c>
      <c r="Z151" s="354">
        <f>Table1[[#This Row],[DCR    Loss]]+Table1[[#This Row],[Core Loss]]</f>
        <v>2.8324498740862958</v>
      </c>
      <c r="AA151" s="4">
        <f>IF(Table1[[#This Row],[Vin]]&gt;Vout, Table1[[#This Row],[Ripple Current pk-pk]]/SQRT(12), SQRT(Table1[[#This Row],[Duty Cycle BOOST Leg]]/(1-Table1[[#This Row],[Duty Cycle BOOST Leg]]))*SQRT(Table1[[#This Row],[Iout]]^2+(Table1[[#This Row],[Ripple Current pk-pk]]^2)/12))</f>
        <v>1.7027134314156638</v>
      </c>
      <c r="AB151" s="354">
        <f>RCoutEsr*Table1[[#This Row],[Irms Cout]]^2</f>
        <v>1.4496165147616522E-2</v>
      </c>
      <c r="AC151" s="354">
        <f>Table1[[#This Row],[Cout ESR Loss]]</f>
        <v>1.4496165147616522E-2</v>
      </c>
      <c r="AD151" s="354">
        <f>IF(Table1[[#This Row],[Vin]]&gt;Vout, SQRT(Table1[[#This Row],[Duty Cycle BUCK Leg]]*(1-Table1[[#This Row],[Duty Cycle BUCK Leg]]))*SQRT(Table1[[#This Row],[Iout]]^2+(Table1[[#This Row],[Ripple Current pk-pk]]^2)/12), Table1[[#This Row],[Ripple Current pk-pk]]/SQRT(12))</f>
        <v>5.8503165407657942</v>
      </c>
      <c r="AE151" s="354">
        <f>RCinEsr*Table1[[#This Row],[Irms Cin]]^2</f>
        <v>6.84524072543157E-2</v>
      </c>
      <c r="AF151" s="549">
        <f>Table1[[#This Row],[Cin ESR Loss]]</f>
        <v>6.84524072543157E-2</v>
      </c>
      <c r="AG15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7.3682594611265761</v>
      </c>
      <c r="AH151" s="354">
        <f>Rdson1*Table1[[#This Row],[Irms BuCtrl]]^2</f>
        <v>0.2280232394432215</v>
      </c>
      <c r="AI151" s="354">
        <f>CHOOSE(Table1[[#This Row],[Mode Digit]], (Table1[[#This Row],[Vin]]*Table1[[#This Row],[Iout]]/2)*(Fsw)*(Tr_buck+Tf_buck), 0, (Table1[[#This Row],[Vin]]*Table1[[#This Row],[Avg IL]]/2)*(Fsw/1)*(Tr_buck+Tf_buck))</f>
        <v>4.7455765641543746</v>
      </c>
      <c r="AJ151">
        <f>IF(Table1[[#This Row],[Vin]]&gt;Vout, IF(Table1[[#This Row],[Iout]]&gt;Table1[[#This Row],[Ripple Current pk-pk]]/2,0,ABS(Table1[[#This Row],[Iout]]-Table1[[#This Row],[Ripple Current pk-pk]]/2)*Vsd_Q1*Deadtime*Fsw),0)</f>
        <v>0</v>
      </c>
      <c r="AK151" s="354">
        <f>(Table1[[#This Row],[Dead Time Loss BuCtrl]]+Table1[[#This Row],[Transition Loss BuCtrl]]+Table1[[#This Row],[RDS(on) Loss BuCtrl]]*(1+RdsonTopTc*Ta-RdsonTopTc*25))/(1-Table1[[#This Row],[RDS(on) Loss BuCtrl]]*RdsonTopTc*ThetaJA_Q1)</f>
        <v>5.2615406542650494</v>
      </c>
      <c r="AL151" s="354">
        <f>CHOOSE(Table1[[#This Row],[Mode Digit]],SQRT((Fsw*(Table1[[#This Row],[t2_Ph_I]]+0))*((Table1[[#This Row],[I_0]]*Table1[[#This Row],[I_1]]+((Table1[[#This Row],[I_0]]-Table1[[#This Row],[I_1]])^2)/3))),0,SQRT((Fsw*(Table1[[#This Row],[t3_Ph_III]]+0))*((Table1[[#This Row],[I_0]]*Table1[[#This Row],[I_2]]+((Table1[[#This Row],[I_0]]-Table1[[#This Row],[I_2]])^2)/3))))</f>
        <v>9.6233042944220557</v>
      </c>
      <c r="AM151" s="354">
        <f>Rdson2*Table1[[#This Row],[Irms BuSync]]^2</f>
        <v>0.38895353928077636</v>
      </c>
      <c r="AN15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51" s="354">
        <f>(Table1[[#This Row],[Deadtime Loss BuSync]]+Table1[[#This Row],[RDS(on) Loss BuSync]]*(1+RdsonBotTc*Ta-RdsonBotTc*25))/(1-Table1[[#This Row],[RDS(on) Loss BuSync]]*RdsonBotTc*ThetaJA_Q2)</f>
        <v>1.0658178365977951</v>
      </c>
      <c r="AP151" s="354">
        <f>CHOOSE(Table1[[#This Row],[Mode Digit]],0,SQRT((Fsw*(Table1[[#This Row],[t1_Ph_II]]+0))*((Table1[[#This Row],[I_0]]*Table1[[#This Row],[I_1]]+((Table1[[#This Row],[I_0]]-Table1[[#This Row],[I_1]])^2)/3))),SQRT((Fsw*(Table1[[#This Row],[t2_Ph_I]]+0))*((Table1[[#This Row],[I_1]]*Table1[[#This Row],[I_2]]+((Table1[[#This Row],[I_1]]-Table1[[#This Row],[I_2]])^2)/3))))</f>
        <v>0</v>
      </c>
      <c r="AQ151" s="354">
        <f>Rdson4*Table1[[#This Row],[Irms BoCtlr]]^2</f>
        <v>0</v>
      </c>
      <c r="AR151" s="354">
        <f>CHOOSE(Table1[[#This Row],[Mode Digit]], 0, (Vout*Table1[[#This Row],[Iin]]/2)*(Fsw)*(Tr_boost+Tf_boost), (Vout*Iout/2)*(Fsw/1)*(Tr_boost+Tf_boost))</f>
        <v>0</v>
      </c>
      <c r="AS151">
        <f>IF(Table1[[#This Row],[Vin]]&gt;Vout, 0, IF(Table1[[#This Row],[Iin]]&gt;Table1[[#This Row],[Ripple Current pk-pk]]/2,0,ABS(Table1[[#This Row],[Iin]]-Table1[[#This Row],[Ripple Current pk-pk]]/2)*Vsd_Q4*Deadtime*Fsw))</f>
        <v>0</v>
      </c>
      <c r="AT151" s="354">
        <f>(Table1[[#This Row],[Dead Time Loss BoCtlr]]+Table1[[#This Row],[Transition Loss BoCtlr]]+Table1[[#This Row],[RDS(on) Loss BoCtlr]]*(1+RdsonTopTc*Ta-RdsonTopTc*25))/(1-Table1[[#This Row],[RDS(on) Loss BoCtlr]]*RdsonTopTc*ThetaJA_Q4)</f>
        <v>0</v>
      </c>
      <c r="AU15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12.120199380766113</v>
      </c>
      <c r="AV151" s="354">
        <f>Rdson3*Table1[[#This Row],[Irms BoSync]]^2</f>
        <v>0.61697677872399792</v>
      </c>
      <c r="AW15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51" s="354">
        <f>(Table1[[#This Row],[Deadtime Loss BoSync]]+Table1[[#This Row],[RDS(on) Loss BoSync]]*(1+RdsonBotTc*Ta-RdsonBotTc*25))/(1-Table1[[#This Row],[RDS(on) Loss BoSync]]*RdsonBotTc*ThetaJA_Q3)</f>
        <v>0.72421441285582466</v>
      </c>
      <c r="AY151" s="354">
        <f>CHOOSE(Table1[[#This Row],[Mode Digit]], Rdson3*Table1[[#This Row],[Irms Lf]]^2, Rdson1*Table1[[#This Row],[Irms Lf]]^2, 0)</f>
        <v>0.61697677872399792</v>
      </c>
      <c r="AZ151" s="354">
        <f>CHOOSE(Table1[[#This Row],[Mode Digit]], 2*Deadtime*Fsw*IF(VfdSky_Q2&gt;0,VfdSky_Q2,0)*Table1[[#This Row],[Iout]], 2*Deadtime*Fsw*IF(VfdSky_Q3&gt;0,VfdSky_Q3,0)*Table1[[#This Row],[Iin]], 2*Deadtime*Fsw*IF(VfdSky_Q2&gt;0,VfdSky_Q2,0)*Table1[[#This Row],[Iout]]+2*Deadtime*Fsw*IF(VfdSky_Q3&gt;0,VfdSky_Q3,0)*Table1[[#This Row],[Iin]])</f>
        <v>0</v>
      </c>
      <c r="BA151" s="354">
        <f>CHOOSE(Table1[[#This Row],[Mode Digit]], IF(QrrSky_Q2&gt;0,QrrSky_Q2,Qrr_Q2)*Fsw*(Table1[[#This Row],[Vin]]-Table1[[#This Row],[Iout]]*Rdson1),0,  IF(QrrSky_Q2&gt;0,QrrSky_Q2,Qrr_Q2)*Fsw*(Table1[[#This Row],[Vin]]-Table1[[#This Row],[Iout]]*Rdson1)+IF(QrrSky_Q3&gt;0,QrrSky_Q3,Qrr_Q3)*Fsw*Vout)</f>
        <v>0.47795519999999991</v>
      </c>
      <c r="BB151" s="354">
        <f>CHOOSE(Table1[[#This Row],[Mode Digit]],0, IF(QrrSky_Q3&gt;0,QrrSky_Q3,Qrr_Q3)*Fsw*Vout,  IF(QrrSky_Q2&gt;0,QrrSky_Q2,Qrr_Q2)*Fsw*(Table1[[#This Row],[Vin]]-Table1[[#This Row],[Iout]]*Rdson1)+IF(QrrSky_Q3&gt;0,QrrSky_Q3,Qrr_Q3)*Fsw*Vout)</f>
        <v>0</v>
      </c>
      <c r="BC151" s="354">
        <f>CHOOSE(Table1[[#This Row],[Mode Digit]], Rs*Table1[[#This Row],[Irms BuSync]]^2, Rs*Table1[[#This Row],[Irms BoCtlr]]^2, Rs*(Table1[[#This Row],[Irms BuSync]]^2+Table1[[#This Row],[Irms BoCtlr]]^2))</f>
        <v>0.23151996385760495</v>
      </c>
      <c r="BD151" s="354">
        <f t="shared" si="8"/>
        <v>1.44</v>
      </c>
      <c r="BE151" s="354">
        <f>IF(Vout&gt;8, Iq*Vout, Iq*Table1[[#This Row],[Vin]])</f>
        <v>4.3799999999999999E-2</v>
      </c>
      <c r="BF151" s="354">
        <f>CHOOSE(Table1[[#This Row],[Mode Digit]], (Qg_Q1+Qg_Q2)*Fsw, (Qg_Q3+Qg_Q4)*Fsw, (Qg_Q1+Qg_Q2+Qg_Q3+Qg_Q4)*Fsw)*IF(Vout&gt;8, Vout, Table1[[#This Row],[Vin]])</f>
        <v>0.47303999999999996</v>
      </c>
      <c r="BG151" s="354">
        <f t="shared" si="9"/>
        <v>0.45605042016806729</v>
      </c>
      <c r="BH151" s="354">
        <f>Table1[[#This Row],[IQ Loss]]+Table1[[#This Row],[Switching Current Loss]]</f>
        <v>0.51683999999999997</v>
      </c>
      <c r="BI15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12.633286514064501</v>
      </c>
      <c r="BJ151">
        <f>Vout*Table1[[#This Row],[Iout]]</f>
        <v>175.2</v>
      </c>
      <c r="BK151" s="550">
        <f>Table1[[#This Row],[Pout]]/(Table1[[#This Row],[Pout]]+Table1[[#This Row],[Total Loss]])</f>
        <v>0.93274202486406177</v>
      </c>
      <c r="BL15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315.69243925590297</v>
      </c>
      <c r="BM151" s="559">
        <f>IF(Table1[[#This Row],[Vin]]&gt;Vout, Table1[[#This Row],[Total Sync Bu MOSFET Loss]]*ThetaJA_Q2, ThetaJA_Q3*Table1[[#This Row],[Total Sync Bo MOSFET Loss]])</f>
        <v>63.949070195867705</v>
      </c>
      <c r="BN151" s="9"/>
      <c r="BO151" s="4">
        <f>Table1[[#This Row],[EFF, h]]*100</f>
        <v>93.274202486406182</v>
      </c>
      <c r="BP151" s="354">
        <f>Table1[[#This Row],[Total Inductor Loss]]</f>
        <v>2.8324498740862958</v>
      </c>
      <c r="BQ151" s="354">
        <f>Table1[[#This Row],[Total Control Bu MOSFET Loss]]+Table1[[#This Row],[Total Sync Bu MOSFET Loss]]+Table1[[#This Row],[Total Control Bo MOSFET Loss]]+Table1[[#This Row],[Total Sync Bo MOSFET Loss]]+Table1[[#This Row],[Reverse Recovery Loss MOSFET D BUCK]]+Table1[[#This Row],[Reverse Recovery Loss MOSFET D BOOST]]</f>
        <v>7.5295281037186692</v>
      </c>
      <c r="BR151" s="354">
        <f>Table1[[#This Row],[Total Control Bu MOSFET Loss]]+Table1[[#This Row],[Reverse Recovery Loss MOSFET D BUCK]]*0.66</f>
        <v>5.5769910862650489</v>
      </c>
      <c r="BS151" s="354">
        <f>Table1[[#This Row],[Total Sync Bu MOSFET Loss]]+Table1[[#This Row],[Reverse Recovery Loss MOSFET D BUCK]]*0.33</f>
        <v>1.2235430525977951</v>
      </c>
      <c r="BT151" s="354">
        <f xml:space="preserve"> Table1[[#This Row],[Total Control Bo MOSFET Loss]]+Table1[[#This Row],[Reverse Recovery Loss MOSFET D BOOST]]*0.66</f>
        <v>0</v>
      </c>
      <c r="BU151" s="354">
        <f xml:space="preserve"> Table1[[#This Row],[Total Sync Bo MOSFET Loss]]+Table1[[#This Row],[Reverse Recovery Loss MOSFET D BOOST]]*0.33</f>
        <v>0.72421441285582466</v>
      </c>
      <c r="BV151" s="354">
        <f>Table1[[#This Row],[Isense Shunt Loss]]</f>
        <v>0.23151996385760495</v>
      </c>
    </row>
    <row r="152" spans="7:74" x14ac:dyDescent="0.2">
      <c r="G152">
        <v>143</v>
      </c>
      <c r="H152" s="555">
        <f>VIN_min+(VIN_max-VIN_min)*(Table1[[#This Row],[Step]]/200)</f>
        <v>40.019999999999996</v>
      </c>
      <c r="I152" s="4" t="str">
        <f>IF(Mode = 2,IF(Table1[[#This Row],[Vin]]&gt;Vout, "BUCK","BOOST"),IF(Table1[[#This Row],[Vin]]&gt;VIN_BB_to_buck, "BUCK", IF(Table1[[#This Row],[Vin]]&lt;=VIN_boost_to_BB,"BOOST","BUCK-BST")))</f>
        <v>BUCK</v>
      </c>
      <c r="J152">
        <f>IF(Table1[[#This Row],[Mode]]="BOOST",2, IF(Table1[[#This Row],[Mode]]="BUCK", 1,3))</f>
        <v>1</v>
      </c>
      <c r="K152">
        <f t="shared" si="7"/>
        <v>12</v>
      </c>
      <c r="L152" s="4">
        <f>Vout*Table1[[#This Row],[Iout]]/(Table1[[#This Row],[Vin]]*Efficiency)</f>
        <v>4.6082222046871308</v>
      </c>
      <c r="M152" s="711">
        <f>MIN(1/Fsw,CHOOSE(Table1[[#This Row],[Mode Digit]],(Vout+(Rdson2+Rs+Rdcr)*Table1[[#This Row],[Iout]])/(Table1[[#This Row],[Vin]]+(Rs+Rdson2-Rdson1)*Table1[[#This Row],[Iout]])/Fsw,(Vout+(Rdson3+Rdcr)*Table1[[#This Row],[Iin]]-Table1[[#This Row],[Vin]])/(Vout+(Rdson3-Rdson4-Rs)*Table1[[#This Row],[Iin]])/Fsw,t1_Ph_II))</f>
        <v>6.1381606325426551E-7</v>
      </c>
      <c r="N152" s="602">
        <f>CHOOSE(Table1[[#This Row],[Mode Digit]],1/Fsw-Table1[[#This Row],[t1_Ph_II]],1/Fsw-Table1[[#This Row],[t1_Ph_II]],(Vout/Fsw-Table1[[#This Row],[Vin]]*t1_Ph_II)/(Table1[[#This Row],[Vin]]+Vout))</f>
        <v>1.052850603412401E-6</v>
      </c>
      <c r="O152" s="602">
        <f>1/Fsw-(Table1[[#This Row],[t1_Ph_II]]+Table1[[#This Row],[t2_Ph_I]])</f>
        <v>0</v>
      </c>
      <c r="P15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9.0448476651660172</v>
      </c>
      <c r="Q152" s="4">
        <f>CHOOSE(Table1[[#This Row],[Mode Digit]],Table1[[#This Row],[I_0]]+1/Lf*(Table1[[#This Row],[Vin]]-Vout)*Table1[[#This Row],[t1_Ph_II]],Table1[[#This Row],[I_0]]+1/Lf*Table1[[#This Row],[Vin]]*Table1[[#This Row],[t1_Ph_II]],Table1[[#This Row],[I_0]]+(Table1[[#This Row],[Vin]]-Vout)/L*Table1[[#This Row],[t1_Ph_II]])</f>
        <v>14.955152334833983</v>
      </c>
      <c r="R152" s="4">
        <f>CHOOSE(Table1[[#This Row],[Mode Digit]],0,0,Table1[[#This Row],[I_1]]+Table1[[#This Row],[Vin]]/L*Table1[[#This Row],[t2_Ph_I]])</f>
        <v>0</v>
      </c>
      <c r="S152" s="4">
        <f>Fsw*(Table1[[#This Row],[I_0]]*Table1[[#This Row],[t1_Ph_II]]+Table1[[#This Row],[I_1]]*Table1[[#This Row],[t2_Ph_I]]+Table1[[#This Row],[I_2]]*Table1[[#This Row],[t3_Ph_III]])</f>
        <v>12.778448367852645</v>
      </c>
      <c r="T152" s="354">
        <f>MIN(1,CHOOSE(Table1[[#This Row],[Mode Digit]],(Vout+(Rdson2+Rs+Rdcr)*Table1[[#This Row],[Iout]])/(Table1[[#This Row],[Vin]]+(Rs+Rdson2-Rdson1)*Table1[[#This Row],[Iout]]),1,Fsw*Table1[[#This Row],[t2_Ph_I]]+Table1[[#This Row],[t1_Ph_II]]))</f>
        <v>0.36828963795255931</v>
      </c>
      <c r="U152" s="354">
        <f>MIN(1,CHOOSE(Table1[[#This Row],[Mode Digit]],0,(Vout+(Rdson3+Rdcr)*Table1[[#This Row],[Iin]]-Table1[[#This Row],[Vin]])/(Vout+(Rdson3-Rdson4-Rs)*Table1[[#This Row],[Iin]]),Fsw*Table1[[#This Row],[t1_Ph_II]]+Table1[[#This Row],[t3_Ph_III]]))</f>
        <v>0</v>
      </c>
      <c r="V152" s="4">
        <f>MAX(Table1[[#This Row],[I_0]:[I_2]])-MIN(Table1[[#This Row],[I_0]:[I_1]])</f>
        <v>5.9103046696679655</v>
      </c>
      <c r="W15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12.120683772269542</v>
      </c>
      <c r="X152" s="354">
        <f>(Table1[[#This Row],[Irms Lf]]^2*Rdcr*(1+Ltc*Ta-Ltc*25))/(1-Table1[[#This Row],[Irms Lf]]^2*Rdcr*Ltc*ThetaCa)</f>
        <v>0.91441639692277987</v>
      </c>
      <c r="Y152" s="354">
        <f>ABS(7.759*10^-3*Fsw^0.9458*(0.00787*Table1[[#This Row],[Ripple Current pk-pk]])^2.304)</f>
        <v>1.9270639439778665</v>
      </c>
      <c r="Z152" s="354">
        <f>Table1[[#This Row],[DCR    Loss]]+Table1[[#This Row],[Core Loss]]</f>
        <v>2.8414803409006462</v>
      </c>
      <c r="AA152" s="4">
        <f>IF(Table1[[#This Row],[Vin]]&gt;Vout, Table1[[#This Row],[Ripple Current pk-pk]]/SQRT(12), SQRT(Table1[[#This Row],[Duty Cycle BOOST Leg]]/(1-Table1[[#This Row],[Duty Cycle BOOST Leg]]))*SQRT(Table1[[#This Row],[Iout]]^2+(Table1[[#This Row],[Ripple Current pk-pk]]^2)/12))</f>
        <v>1.7061579960127511</v>
      </c>
      <c r="AB152" s="354">
        <f>RCoutEsr*Table1[[#This Row],[Irms Cout]]^2</f>
        <v>1.4554875536791235E-2</v>
      </c>
      <c r="AC152" s="354">
        <f>Table1[[#This Row],[Cout ESR Loss]]</f>
        <v>1.4554875536791235E-2</v>
      </c>
      <c r="AD152" s="354">
        <f>IF(Table1[[#This Row],[Vin]]&gt;Vout, SQRT(Table1[[#This Row],[Duty Cycle BUCK Leg]]*(1-Table1[[#This Row],[Duty Cycle BUCK Leg]]))*SQRT(Table1[[#This Row],[Iout]]^2+(Table1[[#This Row],[Ripple Current pk-pk]]^2)/12), Table1[[#This Row],[Ripple Current pk-pk]]/SQRT(12))</f>
        <v>5.8462969548777064</v>
      </c>
      <c r="AE152" s="354">
        <f>RCinEsr*Table1[[#This Row],[Irms Cin]]^2</f>
        <v>6.8358376169224688E-2</v>
      </c>
      <c r="AF152" s="549">
        <f>Table1[[#This Row],[Cin ESR Loss]]</f>
        <v>6.8358376169224688E-2</v>
      </c>
      <c r="AG15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7.3556637928569311</v>
      </c>
      <c r="AH152" s="354">
        <f>Rdson1*Table1[[#This Row],[Irms BuCtrl]]^2</f>
        <v>0.22724431730089495</v>
      </c>
      <c r="AI152" s="354">
        <f>CHOOSE(Table1[[#This Row],[Mode Digit]], (Table1[[#This Row],[Vin]]*Table1[[#This Row],[Iout]]/2)*(Fsw)*(Tr_buck+Tf_buck), 0, (Table1[[#This Row],[Vin]]*Table1[[#This Row],[Avg IL]]/2)*(Fsw/1)*(Tr_buck+Tf_buck))</f>
        <v>4.7622360606183074</v>
      </c>
      <c r="AJ152">
        <f>IF(Table1[[#This Row],[Vin]]&gt;Vout, IF(Table1[[#This Row],[Iout]]&gt;Table1[[#This Row],[Ripple Current pk-pk]]/2,0,ABS(Table1[[#This Row],[Iout]]-Table1[[#This Row],[Ripple Current pk-pk]]/2)*Vsd_Q1*Deadtime*Fsw),0)</f>
        <v>0</v>
      </c>
      <c r="AK152" s="354">
        <f>(Table1[[#This Row],[Dead Time Loss BuCtrl]]+Table1[[#This Row],[Transition Loss BuCtrl]]+Table1[[#This Row],[RDS(on) Loss BuCtrl]]*(1+RdsonTopTc*Ta-RdsonTopTc*25))/(1-Table1[[#This Row],[RDS(on) Loss BuCtrl]]*RdsonTopTc*ThetaJA_Q1)</f>
        <v>5.2772969564967696</v>
      </c>
      <c r="AL152" s="354">
        <f>CHOOSE(Table1[[#This Row],[Mode Digit]],SQRT((Fsw*(Table1[[#This Row],[t2_Ph_I]]+0))*((Table1[[#This Row],[I_0]]*Table1[[#This Row],[I_1]]+((Table1[[#This Row],[I_0]]-Table1[[#This Row],[I_1]])^2)/3))),0,SQRT((Fsw*(Table1[[#This Row],[t3_Ph_III]]+0))*((Table1[[#This Row],[I_0]]*Table1[[#This Row],[I_2]]+((Table1[[#This Row],[I_0]]-Table1[[#This Row],[I_2]])^2)/3))))</f>
        <v>9.6335447927443507</v>
      </c>
      <c r="AM152" s="354">
        <f>Rdson2*Table1[[#This Row],[Irms BuSync]]^2</f>
        <v>0.38978177815000964</v>
      </c>
      <c r="AN15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52" s="354">
        <f>(Table1[[#This Row],[Deadtime Loss BuSync]]+Table1[[#This Row],[RDS(on) Loss BuSync]]*(1+RdsonBotTc*Ta-RdsonBotTc*25))/(1-Table1[[#This Row],[RDS(on) Loss BuSync]]*RdsonBotTc*ThetaJA_Q2)</f>
        <v>1.0669652761349229</v>
      </c>
      <c r="AP152" s="354">
        <f>CHOOSE(Table1[[#This Row],[Mode Digit]],0,SQRT((Fsw*(Table1[[#This Row],[t1_Ph_II]]+0))*((Table1[[#This Row],[I_0]]*Table1[[#This Row],[I_1]]+((Table1[[#This Row],[I_0]]-Table1[[#This Row],[I_1]])^2)/3))),SQRT((Fsw*(Table1[[#This Row],[t2_Ph_I]]+0))*((Table1[[#This Row],[I_1]]*Table1[[#This Row],[I_2]]+((Table1[[#This Row],[I_1]]-Table1[[#This Row],[I_2]])^2)/3))))</f>
        <v>0</v>
      </c>
      <c r="AQ152" s="354">
        <f>Rdson4*Table1[[#This Row],[Irms BoCtlr]]^2</f>
        <v>0</v>
      </c>
      <c r="AR152" s="354">
        <f>CHOOSE(Table1[[#This Row],[Mode Digit]], 0, (Vout*Table1[[#This Row],[Iin]]/2)*(Fsw)*(Tr_boost+Tf_boost), (Vout*Iout/2)*(Fsw/1)*(Tr_boost+Tf_boost))</f>
        <v>0</v>
      </c>
      <c r="AS152">
        <f>IF(Table1[[#This Row],[Vin]]&gt;Vout, 0, IF(Table1[[#This Row],[Iin]]&gt;Table1[[#This Row],[Ripple Current pk-pk]]/2,0,ABS(Table1[[#This Row],[Iin]]-Table1[[#This Row],[Ripple Current pk-pk]]/2)*Vsd_Q4*Deadtime*Fsw))</f>
        <v>0</v>
      </c>
      <c r="AT152" s="354">
        <f>(Table1[[#This Row],[Dead Time Loss BoCtlr]]+Table1[[#This Row],[Transition Loss BoCtlr]]+Table1[[#This Row],[RDS(on) Loss BoCtlr]]*(1+RdsonTopTc*Ta-RdsonTopTc*25))/(1-Table1[[#This Row],[RDS(on) Loss BoCtlr]]*RdsonTopTc*ThetaJA_Q4)</f>
        <v>0</v>
      </c>
      <c r="AU15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12.120683772269542</v>
      </c>
      <c r="AV152" s="354">
        <f>Rdson3*Table1[[#This Row],[Irms BoSync]]^2</f>
        <v>0.61702609545090459</v>
      </c>
      <c r="AW15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52" s="354">
        <f>(Table1[[#This Row],[Deadtime Loss BoSync]]+Table1[[#This Row],[RDS(on) Loss BoSync]]*(1+RdsonBotTc*Ta-RdsonBotTc*25))/(1-Table1[[#This Row],[RDS(on) Loss BoSync]]*RdsonBotTc*ThetaJA_Q3)</f>
        <v>0.72428236403051205</v>
      </c>
      <c r="AY152" s="354">
        <f>CHOOSE(Table1[[#This Row],[Mode Digit]], Rdson3*Table1[[#This Row],[Irms Lf]]^2, Rdson1*Table1[[#This Row],[Irms Lf]]^2, 0)</f>
        <v>0.61702609545090459</v>
      </c>
      <c r="AZ152" s="354">
        <f>CHOOSE(Table1[[#This Row],[Mode Digit]], 2*Deadtime*Fsw*IF(VfdSky_Q2&gt;0,VfdSky_Q2,0)*Table1[[#This Row],[Iout]], 2*Deadtime*Fsw*IF(VfdSky_Q3&gt;0,VfdSky_Q3,0)*Table1[[#This Row],[Iin]], 2*Deadtime*Fsw*IF(VfdSky_Q2&gt;0,VfdSky_Q2,0)*Table1[[#This Row],[Iout]]+2*Deadtime*Fsw*IF(VfdSky_Q3&gt;0,VfdSky_Q3,0)*Table1[[#This Row],[Iin]])</f>
        <v>0</v>
      </c>
      <c r="BA152" s="354">
        <f>CHOOSE(Table1[[#This Row],[Mode Digit]], IF(QrrSky_Q2&gt;0,QrrSky_Q2,Qrr_Q2)*Fsw*(Table1[[#This Row],[Vin]]-Table1[[#This Row],[Iout]]*Rdson1),0,  IF(QrrSky_Q2&gt;0,QrrSky_Q2,Qrr_Q2)*Fsw*(Table1[[#This Row],[Vin]]-Table1[[#This Row],[Iout]]*Rdson1)+IF(QrrSky_Q3&gt;0,QrrSky_Q3,Qrr_Q3)*Fsw*Vout)</f>
        <v>0.47963519999999993</v>
      </c>
      <c r="BB152" s="354">
        <f>CHOOSE(Table1[[#This Row],[Mode Digit]],0, IF(QrrSky_Q3&gt;0,QrrSky_Q3,Qrr_Q3)*Fsw*Vout,  IF(QrrSky_Q2&gt;0,QrrSky_Q2,Qrr_Q2)*Fsw*(Table1[[#This Row],[Vin]]-Table1[[#This Row],[Iout]]*Rdson1)+IF(QrrSky_Q3&gt;0,QrrSky_Q3,Qrr_Q3)*Fsw*Vout)</f>
        <v>0</v>
      </c>
      <c r="BC152" s="354">
        <f>CHOOSE(Table1[[#This Row],[Mode Digit]], Rs*Table1[[#This Row],[Irms BuSync]]^2, Rs*Table1[[#This Row],[Irms BoCtlr]]^2, Rs*(Table1[[#This Row],[Irms BuSync]]^2+Table1[[#This Row],[Irms BoCtlr]]^2))</f>
        <v>0.23201296318452952</v>
      </c>
      <c r="BD152" s="354">
        <f t="shared" si="8"/>
        <v>1.44</v>
      </c>
      <c r="BE152" s="354">
        <f>IF(Vout&gt;8, Iq*Vout, Iq*Table1[[#This Row],[Vin]])</f>
        <v>4.3799999999999999E-2</v>
      </c>
      <c r="BF152" s="354">
        <f>CHOOSE(Table1[[#This Row],[Mode Digit]], (Qg_Q1+Qg_Q2)*Fsw, (Qg_Q3+Qg_Q4)*Fsw, (Qg_Q1+Qg_Q2+Qg_Q3+Qg_Q4)*Fsw)*IF(Vout&gt;8, Vout, Table1[[#This Row],[Vin]])</f>
        <v>0.47303999999999996</v>
      </c>
      <c r="BG152" s="354">
        <f t="shared" si="9"/>
        <v>0.45605042016806729</v>
      </c>
      <c r="BH152" s="354">
        <f>Table1[[#This Row],[IQ Loss]]+Table1[[#This Row],[Switching Current Loss]]</f>
        <v>0.51683999999999997</v>
      </c>
      <c r="BI15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12.661426352453395</v>
      </c>
      <c r="BJ152">
        <f>Vout*Table1[[#This Row],[Iout]]</f>
        <v>175.2</v>
      </c>
      <c r="BK152" s="550">
        <f>Table1[[#This Row],[Pout]]/(Table1[[#This Row],[Pout]]+Table1[[#This Row],[Total Loss]])</f>
        <v>0.93260230906211239</v>
      </c>
      <c r="BL15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316.63781738980617</v>
      </c>
      <c r="BM152" s="559">
        <f>IF(Table1[[#This Row],[Vin]]&gt;Vout, Table1[[#This Row],[Total Sync Bu MOSFET Loss]]*ThetaJA_Q2, ThetaJA_Q3*Table1[[#This Row],[Total Sync Bo MOSFET Loss]])</f>
        <v>64.017916568095373</v>
      </c>
      <c r="BN152" s="9"/>
      <c r="BO152" s="4">
        <f>Table1[[#This Row],[EFF, h]]*100</f>
        <v>93.260230906211234</v>
      </c>
      <c r="BP152" s="354">
        <f>Table1[[#This Row],[Total Inductor Loss]]</f>
        <v>2.8414803409006462</v>
      </c>
      <c r="BQ152" s="354">
        <f>Table1[[#This Row],[Total Control Bu MOSFET Loss]]+Table1[[#This Row],[Total Sync Bu MOSFET Loss]]+Table1[[#This Row],[Total Control Bo MOSFET Loss]]+Table1[[#This Row],[Total Sync Bo MOSFET Loss]]+Table1[[#This Row],[Reverse Recovery Loss MOSFET D BUCK]]+Table1[[#This Row],[Reverse Recovery Loss MOSFET D BOOST]]</f>
        <v>7.548179796662204</v>
      </c>
      <c r="BR152" s="354">
        <f>Table1[[#This Row],[Total Control Bu MOSFET Loss]]+Table1[[#This Row],[Reverse Recovery Loss MOSFET D BUCK]]*0.66</f>
        <v>5.5938561884967699</v>
      </c>
      <c r="BS152" s="354">
        <f>Table1[[#This Row],[Total Sync Bu MOSFET Loss]]+Table1[[#This Row],[Reverse Recovery Loss MOSFET D BUCK]]*0.33</f>
        <v>1.2252448921349228</v>
      </c>
      <c r="BT152" s="354">
        <f xml:space="preserve"> Table1[[#This Row],[Total Control Bo MOSFET Loss]]+Table1[[#This Row],[Reverse Recovery Loss MOSFET D BOOST]]*0.66</f>
        <v>0</v>
      </c>
      <c r="BU152" s="354">
        <f xml:space="preserve"> Table1[[#This Row],[Total Sync Bo MOSFET Loss]]+Table1[[#This Row],[Reverse Recovery Loss MOSFET D BOOST]]*0.33</f>
        <v>0.72428236403051205</v>
      </c>
      <c r="BV152" s="354">
        <f>Table1[[#This Row],[Isense Shunt Loss]]</f>
        <v>0.23201296318452952</v>
      </c>
    </row>
    <row r="153" spans="7:74" x14ac:dyDescent="0.2">
      <c r="G153">
        <v>144</v>
      </c>
      <c r="H153" s="555">
        <f>VIN_min+(VIN_max-VIN_min)*(Table1[[#This Row],[Step]]/200)</f>
        <v>40.159999999999997</v>
      </c>
      <c r="I153" s="4" t="str">
        <f>IF(Mode = 2,IF(Table1[[#This Row],[Vin]]&gt;Vout, "BUCK","BOOST"),IF(Table1[[#This Row],[Vin]]&gt;VIN_BB_to_buck, "BUCK", IF(Table1[[#This Row],[Vin]]&lt;=VIN_boost_to_BB,"BOOST","BUCK-BST")))</f>
        <v>BUCK</v>
      </c>
      <c r="J153">
        <f>IF(Table1[[#This Row],[Mode]]="BOOST",2, IF(Table1[[#This Row],[Mode]]="BUCK", 1,3))</f>
        <v>1</v>
      </c>
      <c r="K153">
        <f t="shared" si="7"/>
        <v>12</v>
      </c>
      <c r="L153" s="4">
        <f>Vout*Table1[[#This Row],[Iout]]/(Table1[[#This Row],[Vin]]*Efficiency)</f>
        <v>4.5921576850492771</v>
      </c>
      <c r="M153" s="711">
        <f>MIN(1/Fsw,CHOOSE(Table1[[#This Row],[Mode Digit]],(Vout+(Rdson2+Rs+Rdcr)*Table1[[#This Row],[Iout]])/(Table1[[#This Row],[Vin]]+(Rs+Rdson2-Rdson1)*Table1[[#This Row],[Iout]])/Fsw,(Vout+(Rdson3+Rdcr)*Table1[[#This Row],[Iin]]-Table1[[#This Row],[Vin]])/(Vout+(Rdson3-Rdson4-Rs)*Table1[[#This Row],[Iin]])/Fsw,t1_Ph_II))</f>
        <v>6.1167786348179484E-7</v>
      </c>
      <c r="N153" s="602">
        <f>CHOOSE(Table1[[#This Row],[Mode Digit]],1/Fsw-Table1[[#This Row],[t1_Ph_II]],1/Fsw-Table1[[#This Row],[t1_Ph_II]],(Vout/Fsw-Table1[[#This Row],[Vin]]*t1_Ph_II)/(Table1[[#This Row],[Vin]]+Vout))</f>
        <v>1.0549888031848719E-6</v>
      </c>
      <c r="O153" s="602">
        <f>1/Fsw-(Table1[[#This Row],[t1_Ph_II]]+Table1[[#This Row],[t2_Ph_I]])</f>
        <v>0</v>
      </c>
      <c r="P15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9.0389230699631291</v>
      </c>
      <c r="Q153" s="4">
        <f>CHOOSE(Table1[[#This Row],[Mode Digit]],Table1[[#This Row],[I_0]]+1/Lf*(Table1[[#This Row],[Vin]]-Vout)*Table1[[#This Row],[t1_Ph_II]],Table1[[#This Row],[I_0]]+1/Lf*Table1[[#This Row],[Vin]]*Table1[[#This Row],[t1_Ph_II]],Table1[[#This Row],[I_0]]+(Table1[[#This Row],[Vin]]-Vout)/L*Table1[[#This Row],[t1_Ph_II]])</f>
        <v>14.961076930036869</v>
      </c>
      <c r="R153" s="4">
        <f>CHOOSE(Table1[[#This Row],[Mode Digit]],0,0,Table1[[#This Row],[I_1]]+Table1[[#This Row],[Vin]]/L*Table1[[#This Row],[t2_Ph_I]])</f>
        <v>0</v>
      </c>
      <c r="S153" s="4">
        <f>Fsw*(Table1[[#This Row],[I_0]]*Table1[[#This Row],[t1_Ph_II]]+Table1[[#This Row],[I_1]]*Table1[[#This Row],[t2_Ph_I]]+Table1[[#This Row],[I_2]]*Table1[[#This Row],[t3_Ph_III]])</f>
        <v>12.787606677832651</v>
      </c>
      <c r="T153" s="354">
        <f>MIN(1,CHOOSE(Table1[[#This Row],[Mode Digit]],(Vout+(Rdson2+Rs+Rdcr)*Table1[[#This Row],[Iout]])/(Table1[[#This Row],[Vin]]+(Rs+Rdson2-Rdson1)*Table1[[#This Row],[Iout]]),1,Fsw*Table1[[#This Row],[t2_Ph_I]]+Table1[[#This Row],[t1_Ph_II]]))</f>
        <v>0.36700671808907692</v>
      </c>
      <c r="U153" s="354">
        <f>MIN(1,CHOOSE(Table1[[#This Row],[Mode Digit]],0,(Vout+(Rdson3+Rdcr)*Table1[[#This Row],[Iin]]-Table1[[#This Row],[Vin]])/(Vout+(Rdson3-Rdson4-Rs)*Table1[[#This Row],[Iin]]),Fsw*Table1[[#This Row],[t1_Ph_II]]+Table1[[#This Row],[t3_Ph_III]]))</f>
        <v>0</v>
      </c>
      <c r="V153" s="4">
        <f>MAX(Table1[[#This Row],[I_0]:[I_2]])-MIN(Table1[[#This Row],[I_0]:[I_1]])</f>
        <v>5.92215386007374</v>
      </c>
      <c r="W15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12.121165738569269</v>
      </c>
      <c r="X153" s="354">
        <f>(Table1[[#This Row],[Irms Lf]]^2*Rdcr*(1+Ltc*Ta-Ltc*25))/(1-Table1[[#This Row],[Irms Lf]]^2*Rdcr*Ltc*ThetaCa)</f>
        <v>0.91449444037711392</v>
      </c>
      <c r="Y153" s="354">
        <f>ABS(7.759*10^-3*Fsw^0.9458*(0.00787*Table1[[#This Row],[Ripple Current pk-pk]])^2.304)</f>
        <v>1.935976963208939</v>
      </c>
      <c r="Z153" s="354">
        <f>Table1[[#This Row],[DCR    Loss]]+Table1[[#This Row],[Core Loss]]</f>
        <v>2.8504714035860528</v>
      </c>
      <c r="AA153" s="4">
        <f>IF(Table1[[#This Row],[Vin]]&gt;Vout, Table1[[#This Row],[Ripple Current pk-pk]]/SQRT(12), SQRT(Table1[[#This Row],[Duty Cycle BOOST Leg]]/(1-Table1[[#This Row],[Duty Cycle BOOST Leg]]))*SQRT(Table1[[#This Row],[Iout]]^2+(Table1[[#This Row],[Ripple Current pk-pk]]^2)/12))</f>
        <v>1.7095785626479776</v>
      </c>
      <c r="AB153" s="354">
        <f>RCoutEsr*Table1[[#This Row],[Irms Cout]]^2</f>
        <v>1.4613294309327625E-2</v>
      </c>
      <c r="AC153" s="354">
        <f>Table1[[#This Row],[Cout ESR Loss]]</f>
        <v>1.4613294309327625E-2</v>
      </c>
      <c r="AD153" s="354">
        <f>IF(Table1[[#This Row],[Vin]]&gt;Vout, SQRT(Table1[[#This Row],[Duty Cycle BUCK Leg]]*(1-Table1[[#This Row],[Duty Cycle BUCK Leg]]))*SQRT(Table1[[#This Row],[Iout]]^2+(Table1[[#This Row],[Ripple Current pk-pk]]^2)/12), Table1[[#This Row],[Ripple Current pk-pk]]/SQRT(12))</f>
        <v>5.8422608935871221</v>
      </c>
      <c r="AE153" s="354">
        <f>RCinEsr*Table1[[#This Row],[Irms Cin]]^2</f>
        <v>6.8264024697474793E-2</v>
      </c>
      <c r="AF153" s="549">
        <f>Table1[[#This Row],[Cin ESR Loss]]</f>
        <v>6.8264024697474793E-2</v>
      </c>
      <c r="AG15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7.3431330399097554</v>
      </c>
      <c r="AH153" s="354">
        <f>Rdson1*Table1[[#This Row],[Irms BuCtrl]]^2</f>
        <v>0.22647073193562003</v>
      </c>
      <c r="AI153" s="354">
        <f>CHOOSE(Table1[[#This Row],[Mode Digit]], (Table1[[#This Row],[Vin]]*Table1[[#This Row],[Iout]]/2)*(Fsw)*(Tr_buck+Tf_buck), 0, (Table1[[#This Row],[Vin]]*Table1[[#This Row],[Avg IL]]/2)*(Fsw/1)*(Tr_buck+Tf_buck))</f>
        <v>4.7788955570822393</v>
      </c>
      <c r="AJ153">
        <f>IF(Table1[[#This Row],[Vin]]&gt;Vout, IF(Table1[[#This Row],[Iout]]&gt;Table1[[#This Row],[Ripple Current pk-pk]]/2,0,ABS(Table1[[#This Row],[Iout]]-Table1[[#This Row],[Ripple Current pk-pk]]/2)*Vsd_Q1*Deadtime*Fsw),0)</f>
        <v>0</v>
      </c>
      <c r="AK153" s="354">
        <f>(Table1[[#This Row],[Dead Time Loss BuCtrl]]+Table1[[#This Row],[Transition Loss BuCtrl]]+Table1[[#This Row],[RDS(on) Loss BuCtrl]]*(1+RdsonTopTc*Ta-RdsonTopTc*25))/(1-Table1[[#This Row],[RDS(on) Loss BuCtrl]]*RdsonTopTc*ThetaJA_Q1)</f>
        <v>5.2930598417896526</v>
      </c>
      <c r="AL153" s="354">
        <f>CHOOSE(Table1[[#This Row],[Mode Digit]],SQRT((Fsw*(Table1[[#This Row],[t2_Ph_I]]+0))*((Table1[[#This Row],[I_0]]*Table1[[#This Row],[I_1]]+((Table1[[#This Row],[I_0]]-Table1[[#This Row],[I_1]])^2)/3))),0,SQRT((Fsw*(Table1[[#This Row],[t3_Ph_III]]+0))*((Table1[[#This Row],[I_0]]*Table1[[#This Row],[I_2]]+((Table1[[#This Row],[I_0]]-Table1[[#This Row],[I_2]])^2)/3))))</f>
        <v>9.6437055129266174</v>
      </c>
      <c r="AM153" s="354">
        <f>Rdson2*Table1[[#This Row],[Irms BuSync]]^2</f>
        <v>0.39060443528421523</v>
      </c>
      <c r="AN15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53" s="354">
        <f>(Table1[[#This Row],[Deadtime Loss BuSync]]+Table1[[#This Row],[RDS(on) Loss BuSync]]*(1+RdsonBotTc*Ta-RdsonBotTc*25))/(1-Table1[[#This Row],[RDS(on) Loss BuSync]]*RdsonBotTc*ThetaJA_Q2)</f>
        <v>1.0681054810340289</v>
      </c>
      <c r="AP153" s="354">
        <f>CHOOSE(Table1[[#This Row],[Mode Digit]],0,SQRT((Fsw*(Table1[[#This Row],[t1_Ph_II]]+0))*((Table1[[#This Row],[I_0]]*Table1[[#This Row],[I_1]]+((Table1[[#This Row],[I_0]]-Table1[[#This Row],[I_1]])^2)/3))),SQRT((Fsw*(Table1[[#This Row],[t2_Ph_I]]+0))*((Table1[[#This Row],[I_1]]*Table1[[#This Row],[I_2]]+((Table1[[#This Row],[I_1]]-Table1[[#This Row],[I_2]])^2)/3))))</f>
        <v>0</v>
      </c>
      <c r="AQ153" s="354">
        <f>Rdson4*Table1[[#This Row],[Irms BoCtlr]]^2</f>
        <v>0</v>
      </c>
      <c r="AR153" s="354">
        <f>CHOOSE(Table1[[#This Row],[Mode Digit]], 0, (Vout*Table1[[#This Row],[Iin]]/2)*(Fsw)*(Tr_boost+Tf_boost), (Vout*Iout/2)*(Fsw/1)*(Tr_boost+Tf_boost))</f>
        <v>0</v>
      </c>
      <c r="AS153">
        <f>IF(Table1[[#This Row],[Vin]]&gt;Vout, 0, IF(Table1[[#This Row],[Iin]]&gt;Table1[[#This Row],[Ripple Current pk-pk]]/2,0,ABS(Table1[[#This Row],[Iin]]-Table1[[#This Row],[Ripple Current pk-pk]]/2)*Vsd_Q4*Deadtime*Fsw))</f>
        <v>0</v>
      </c>
      <c r="AT153" s="354">
        <f>(Table1[[#This Row],[Dead Time Loss BoCtlr]]+Table1[[#This Row],[Transition Loss BoCtlr]]+Table1[[#This Row],[RDS(on) Loss BoCtlr]]*(1+RdsonTopTc*Ta-RdsonTopTc*25))/(1-Table1[[#This Row],[RDS(on) Loss BoCtlr]]*RdsonTopTc*ThetaJA_Q4)</f>
        <v>0</v>
      </c>
      <c r="AU15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12.121165738569269</v>
      </c>
      <c r="AV153" s="354">
        <f>Rdson3*Table1[[#This Row],[Irms BoSync]]^2</f>
        <v>0.61707516721983524</v>
      </c>
      <c r="AW15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53" s="354">
        <f>(Table1[[#This Row],[Deadtime Loss BoSync]]+Table1[[#This Row],[RDS(on) Loss BoSync]]*(1+RdsonBotTc*Ta-RdsonBotTc*25))/(1-Table1[[#This Row],[RDS(on) Loss BoSync]]*RdsonBotTc*ThetaJA_Q3)</f>
        <v>0.72434997956337643</v>
      </c>
      <c r="AY153" s="354">
        <f>CHOOSE(Table1[[#This Row],[Mode Digit]], Rdson3*Table1[[#This Row],[Irms Lf]]^2, Rdson1*Table1[[#This Row],[Irms Lf]]^2, 0)</f>
        <v>0.61707516721983524</v>
      </c>
      <c r="AZ153" s="354">
        <f>CHOOSE(Table1[[#This Row],[Mode Digit]], 2*Deadtime*Fsw*IF(VfdSky_Q2&gt;0,VfdSky_Q2,0)*Table1[[#This Row],[Iout]], 2*Deadtime*Fsw*IF(VfdSky_Q3&gt;0,VfdSky_Q3,0)*Table1[[#This Row],[Iin]], 2*Deadtime*Fsw*IF(VfdSky_Q2&gt;0,VfdSky_Q2,0)*Table1[[#This Row],[Iout]]+2*Deadtime*Fsw*IF(VfdSky_Q3&gt;0,VfdSky_Q3,0)*Table1[[#This Row],[Iin]])</f>
        <v>0</v>
      </c>
      <c r="BA153" s="354">
        <f>CHOOSE(Table1[[#This Row],[Mode Digit]], IF(QrrSky_Q2&gt;0,QrrSky_Q2,Qrr_Q2)*Fsw*(Table1[[#This Row],[Vin]]-Table1[[#This Row],[Iout]]*Rdson1),0,  IF(QrrSky_Q2&gt;0,QrrSky_Q2,Qrr_Q2)*Fsw*(Table1[[#This Row],[Vin]]-Table1[[#This Row],[Iout]]*Rdson1)+IF(QrrSky_Q3&gt;0,QrrSky_Q3,Qrr_Q3)*Fsw*Vout)</f>
        <v>0.48131519999999994</v>
      </c>
      <c r="BB153" s="354">
        <f>CHOOSE(Table1[[#This Row],[Mode Digit]],0, IF(QrrSky_Q3&gt;0,QrrSky_Q3,Qrr_Q3)*Fsw*Vout,  IF(QrrSky_Q2&gt;0,QrrSky_Q2,Qrr_Q2)*Fsw*(Table1[[#This Row],[Vin]]-Table1[[#This Row],[Iout]]*Rdson1)+IF(QrrSky_Q3&gt;0,QrrSky_Q3,Qrr_Q3)*Fsw*Vout)</f>
        <v>0</v>
      </c>
      <c r="BC153" s="354">
        <f>CHOOSE(Table1[[#This Row],[Mode Digit]], Rs*Table1[[#This Row],[Irms BuSync]]^2, Rs*Table1[[#This Row],[Irms BoCtlr]]^2, Rs*(Table1[[#This Row],[Irms BuSync]]^2+Table1[[#This Row],[Irms BoCtlr]]^2))</f>
        <v>0.23250264005012811</v>
      </c>
      <c r="BD153" s="354">
        <f t="shared" si="8"/>
        <v>1.44</v>
      </c>
      <c r="BE153" s="354">
        <f>IF(Vout&gt;8, Iq*Vout, Iq*Table1[[#This Row],[Vin]])</f>
        <v>4.3799999999999999E-2</v>
      </c>
      <c r="BF153" s="354">
        <f>CHOOSE(Table1[[#This Row],[Mode Digit]], (Qg_Q1+Qg_Q2)*Fsw, (Qg_Q3+Qg_Q4)*Fsw, (Qg_Q1+Qg_Q2+Qg_Q3+Qg_Q4)*Fsw)*IF(Vout&gt;8, Vout, Table1[[#This Row],[Vin]])</f>
        <v>0.47303999999999996</v>
      </c>
      <c r="BG153" s="354">
        <f t="shared" si="9"/>
        <v>0.45605042016806729</v>
      </c>
      <c r="BH153" s="354">
        <f>Table1[[#This Row],[IQ Loss]]+Table1[[#This Row],[Switching Current Loss]]</f>
        <v>0.51683999999999997</v>
      </c>
      <c r="BI15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12.689521865030041</v>
      </c>
      <c r="BJ153">
        <f>Vout*Table1[[#This Row],[Iout]]</f>
        <v>175.2</v>
      </c>
      <c r="BK153" s="550">
        <f>Table1[[#This Row],[Pout]]/(Table1[[#This Row],[Pout]]+Table1[[#This Row],[Total Loss]])</f>
        <v>0.93246285509127269</v>
      </c>
      <c r="BL15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317.58359050737914</v>
      </c>
      <c r="BM153" s="559">
        <f>IF(Table1[[#This Row],[Vin]]&gt;Vout, Table1[[#This Row],[Total Sync Bu MOSFET Loss]]*ThetaJA_Q2, ThetaJA_Q3*Table1[[#This Row],[Total Sync Bo MOSFET Loss]])</f>
        <v>64.086328862041739</v>
      </c>
      <c r="BN153" s="9"/>
      <c r="BO153" s="4">
        <f>Table1[[#This Row],[EFF, h]]*100</f>
        <v>93.246285509127276</v>
      </c>
      <c r="BP153" s="354">
        <f>Table1[[#This Row],[Total Inductor Loss]]</f>
        <v>2.8504714035860528</v>
      </c>
      <c r="BQ153" s="354">
        <f>Table1[[#This Row],[Total Control Bu MOSFET Loss]]+Table1[[#This Row],[Total Sync Bu MOSFET Loss]]+Table1[[#This Row],[Total Control Bo MOSFET Loss]]+Table1[[#This Row],[Total Sync Bo MOSFET Loss]]+Table1[[#This Row],[Reverse Recovery Loss MOSFET D BUCK]]+Table1[[#This Row],[Reverse Recovery Loss MOSFET D BOOST]]</f>
        <v>7.5668305023870577</v>
      </c>
      <c r="BR153" s="354">
        <f>Table1[[#This Row],[Total Control Bu MOSFET Loss]]+Table1[[#This Row],[Reverse Recovery Loss MOSFET D BUCK]]*0.66</f>
        <v>5.6107278737896529</v>
      </c>
      <c r="BS153" s="354">
        <f>Table1[[#This Row],[Total Sync Bu MOSFET Loss]]+Table1[[#This Row],[Reverse Recovery Loss MOSFET D BUCK]]*0.33</f>
        <v>1.2269394970340288</v>
      </c>
      <c r="BT153" s="354">
        <f xml:space="preserve"> Table1[[#This Row],[Total Control Bo MOSFET Loss]]+Table1[[#This Row],[Reverse Recovery Loss MOSFET D BOOST]]*0.66</f>
        <v>0</v>
      </c>
      <c r="BU153" s="354">
        <f xml:space="preserve"> Table1[[#This Row],[Total Sync Bo MOSFET Loss]]+Table1[[#This Row],[Reverse Recovery Loss MOSFET D BOOST]]*0.33</f>
        <v>0.72434997956337643</v>
      </c>
      <c r="BV153" s="354">
        <f>Table1[[#This Row],[Isense Shunt Loss]]</f>
        <v>0.23250264005012811</v>
      </c>
    </row>
    <row r="154" spans="7:74" x14ac:dyDescent="0.2">
      <c r="G154">
        <v>145</v>
      </c>
      <c r="H154" s="555">
        <f>VIN_min+(VIN_max-VIN_min)*(Table1[[#This Row],[Step]]/200)</f>
        <v>40.299999999999997</v>
      </c>
      <c r="I154" s="4" t="str">
        <f>IF(Mode = 2,IF(Table1[[#This Row],[Vin]]&gt;Vout, "BUCK","BOOST"),IF(Table1[[#This Row],[Vin]]&gt;VIN_BB_to_buck, "BUCK", IF(Table1[[#This Row],[Vin]]&lt;=VIN_boost_to_BB,"BOOST","BUCK-BST")))</f>
        <v>BUCK</v>
      </c>
      <c r="J154">
        <f>IF(Table1[[#This Row],[Mode]]="BOOST",2, IF(Table1[[#This Row],[Mode]]="BUCK", 1,3))</f>
        <v>1</v>
      </c>
      <c r="K154">
        <f t="shared" si="7"/>
        <v>12</v>
      </c>
      <c r="L154" s="4">
        <f>Vout*Table1[[#This Row],[Iout]]/(Table1[[#This Row],[Vin]]*Efficiency)</f>
        <v>4.5762047799399248</v>
      </c>
      <c r="M154" s="711">
        <f>MIN(1/Fsw,CHOOSE(Table1[[#This Row],[Mode Digit]],(Vout+(Rdson2+Rs+Rdcr)*Table1[[#This Row],[Iout]])/(Table1[[#This Row],[Vin]]+(Rs+Rdson2-Rdson1)*Table1[[#This Row],[Iout]])/Fsw,(Vout+(Rdson3+Rdcr)*Table1[[#This Row],[Iin]]-Table1[[#This Row],[Vin]])/(Vout+(Rdson3-Rdson4-Rs)*Table1[[#This Row],[Iin]])/Fsw,t1_Ph_II))</f>
        <v>6.0955450863707751E-7</v>
      </c>
      <c r="N154" s="602">
        <f>CHOOSE(Table1[[#This Row],[Mode Digit]],1/Fsw-Table1[[#This Row],[t1_Ph_II]],1/Fsw-Table1[[#This Row],[t1_Ph_II]],(Vout/Fsw-Table1[[#This Row],[Vin]]*t1_Ph_II)/(Table1[[#This Row],[Vin]]+Vout))</f>
        <v>1.0571121580295893E-6</v>
      </c>
      <c r="O154" s="602">
        <f>1/Fsw-(Table1[[#This Row],[t1_Ph_II]]+Table1[[#This Row],[t2_Ph_I]])</f>
        <v>0</v>
      </c>
      <c r="P15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9.0330396075808927</v>
      </c>
      <c r="Q154" s="4">
        <f>CHOOSE(Table1[[#This Row],[Mode Digit]],Table1[[#This Row],[I_0]]+1/Lf*(Table1[[#This Row],[Vin]]-Vout)*Table1[[#This Row],[t1_Ph_II]],Table1[[#This Row],[I_0]]+1/Lf*Table1[[#This Row],[Vin]]*Table1[[#This Row],[t1_Ph_II]],Table1[[#This Row],[I_0]]+(Table1[[#This Row],[Vin]]-Vout)/L*Table1[[#This Row],[t1_Ph_II]])</f>
        <v>14.966960392419107</v>
      </c>
      <c r="R154" s="4">
        <f>CHOOSE(Table1[[#This Row],[Mode Digit]],0,0,Table1[[#This Row],[I_1]]+Table1[[#This Row],[Vin]]/L*Table1[[#This Row],[t2_Ph_I]])</f>
        <v>0</v>
      </c>
      <c r="S154" s="4">
        <f>Fsw*(Table1[[#This Row],[I_0]]*Table1[[#This Row],[t1_Ph_II]]+Table1[[#This Row],[I_1]]*Table1[[#This Row],[t2_Ph_I]]+Table1[[#This Row],[I_2]]*Table1[[#This Row],[t3_Ph_III]])</f>
        <v>12.796731491443069</v>
      </c>
      <c r="T154" s="354">
        <f>MIN(1,CHOOSE(Table1[[#This Row],[Mode Digit]],(Vout+(Rdson2+Rs+Rdcr)*Table1[[#This Row],[Iout]])/(Table1[[#This Row],[Vin]]+(Rs+Rdson2-Rdson1)*Table1[[#This Row],[Iout]]),1,Fsw*Table1[[#This Row],[t2_Ph_I]]+Table1[[#This Row],[t1_Ph_II]]))</f>
        <v>0.36573270518224649</v>
      </c>
      <c r="U154" s="354">
        <f>MIN(1,CHOOSE(Table1[[#This Row],[Mode Digit]],0,(Vout+(Rdson3+Rdcr)*Table1[[#This Row],[Iin]]-Table1[[#This Row],[Vin]])/(Vout+(Rdson3-Rdson4-Rs)*Table1[[#This Row],[Iin]]),Fsw*Table1[[#This Row],[t1_Ph_II]]+Table1[[#This Row],[t3_Ph_III]]))</f>
        <v>0</v>
      </c>
      <c r="V154" s="4">
        <f>MAX(Table1[[#This Row],[I_0]:[I_2]])-MIN(Table1[[#This Row],[I_0]:[I_1]])</f>
        <v>5.9339207848382145</v>
      </c>
      <c r="W15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12.121645294955957</v>
      </c>
      <c r="X154" s="354">
        <f>(Table1[[#This Row],[Irms Lf]]^2*Rdcr*(1+Ltc*Ta-Ltc*25))/(1-Table1[[#This Row],[Irms Lf]]^2*Rdcr*Ltc*ThetaCa)</f>
        <v>0.9145720975823447</v>
      </c>
      <c r="Y154" s="354">
        <f>ABS(7.759*10^-3*Fsw^0.9458*(0.00787*Table1[[#This Row],[Ripple Current pk-pk]])^2.304)</f>
        <v>1.9448511449614361</v>
      </c>
      <c r="Z154" s="354">
        <f>Table1[[#This Row],[DCR    Loss]]+Table1[[#This Row],[Core Loss]]</f>
        <v>2.8594232425437807</v>
      </c>
      <c r="AA154" s="4">
        <f>IF(Table1[[#This Row],[Vin]]&gt;Vout, Table1[[#This Row],[Ripple Current pk-pk]]/SQRT(12), SQRT(Table1[[#This Row],[Duty Cycle BOOST Leg]]/(1-Table1[[#This Row],[Duty Cycle BOOST Leg]]))*SQRT(Table1[[#This Row],[Iout]]^2+(Table1[[#This Row],[Ripple Current pk-pk]]^2)/12))</f>
        <v>1.7129753812381294</v>
      </c>
      <c r="AB154" s="354">
        <f>RCoutEsr*Table1[[#This Row],[Irms Cout]]^2</f>
        <v>1.4671423283639575E-2</v>
      </c>
      <c r="AC154" s="354">
        <f>Table1[[#This Row],[Cout ESR Loss]]</f>
        <v>1.4671423283639575E-2</v>
      </c>
      <c r="AD154" s="354">
        <f>IF(Table1[[#This Row],[Vin]]&gt;Vout, SQRT(Table1[[#This Row],[Duty Cycle BUCK Leg]]*(1-Table1[[#This Row],[Duty Cycle BUCK Leg]]))*SQRT(Table1[[#This Row],[Iout]]^2+(Table1[[#This Row],[Ripple Current pk-pk]]^2)/12), Table1[[#This Row],[Ripple Current pk-pk]]/SQRT(12))</f>
        <v>5.8382088873062479</v>
      </c>
      <c r="AE154" s="354">
        <f>RCinEsr*Table1[[#This Row],[Irms Cin]]^2</f>
        <v>6.8169366023643319E-2</v>
      </c>
      <c r="AF154" s="549">
        <f>Table1[[#This Row],[Cin ESR Loss]]</f>
        <v>6.8169366023643319E-2</v>
      </c>
      <c r="AG15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7.3306666416856903</v>
      </c>
      <c r="AH154" s="354">
        <f>Rdson1*Table1[[#This Row],[Irms BuCtrl]]^2</f>
        <v>0.22570242832839812</v>
      </c>
      <c r="AI154" s="354">
        <f>CHOOSE(Table1[[#This Row],[Mode Digit]], (Table1[[#This Row],[Vin]]*Table1[[#This Row],[Iout]]/2)*(Fsw)*(Tr_buck+Tf_buck), 0, (Table1[[#This Row],[Vin]]*Table1[[#This Row],[Avg IL]]/2)*(Fsw/1)*(Tr_buck+Tf_buck))</f>
        <v>4.7955550535461722</v>
      </c>
      <c r="AJ154">
        <f>IF(Table1[[#This Row],[Vin]]&gt;Vout, IF(Table1[[#This Row],[Iout]]&gt;Table1[[#This Row],[Ripple Current pk-pk]]/2,0,ABS(Table1[[#This Row],[Iout]]-Table1[[#This Row],[Ripple Current pk-pk]]/2)*Vsd_Q1*Deadtime*Fsw),0)</f>
        <v>0</v>
      </c>
      <c r="AK154" s="354">
        <f>(Table1[[#This Row],[Dead Time Loss BuCtrl]]+Table1[[#This Row],[Transition Loss BuCtrl]]+Table1[[#This Row],[RDS(on) Loss BuCtrl]]*(1+RdsonTopTc*Ta-RdsonTopTc*25))/(1-Table1[[#This Row],[RDS(on) Loss BuCtrl]]*RdsonTopTc*ThetaJA_Q1)</f>
        <v>5.3088292380189737</v>
      </c>
      <c r="AL154" s="354">
        <f>CHOOSE(Table1[[#This Row],[Mode Digit]],SQRT((Fsw*(Table1[[#This Row],[t2_Ph_I]]+0))*((Table1[[#This Row],[I_0]]*Table1[[#This Row],[I_1]]+((Table1[[#This Row],[I_0]]-Table1[[#This Row],[I_1]])^2)/3))),0,SQRT((Fsw*(Table1[[#This Row],[t3_Ph_III]]+0))*((Table1[[#This Row],[I_0]]*Table1[[#This Row],[I_2]]+((Table1[[#This Row],[I_0]]-Table1[[#This Row],[I_2]])^2)/3))))</f>
        <v>9.6537874041851861</v>
      </c>
      <c r="AM154" s="354">
        <f>Rdson2*Table1[[#This Row],[Irms BuSync]]^2</f>
        <v>0.39142156722985921</v>
      </c>
      <c r="AN15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54" s="354">
        <f>(Table1[[#This Row],[Deadtime Loss BuSync]]+Table1[[#This Row],[RDS(on) Loss BuSync]]*(1+RdsonBotTc*Ta-RdsonBotTc*25))/(1-Table1[[#This Row],[RDS(on) Loss BuSync]]*RdsonBotTc*ThetaJA_Q2)</f>
        <v>1.0692385199327992</v>
      </c>
      <c r="AP154" s="354">
        <f>CHOOSE(Table1[[#This Row],[Mode Digit]],0,SQRT((Fsw*(Table1[[#This Row],[t1_Ph_II]]+0))*((Table1[[#This Row],[I_0]]*Table1[[#This Row],[I_1]]+((Table1[[#This Row],[I_0]]-Table1[[#This Row],[I_1]])^2)/3))),SQRT((Fsw*(Table1[[#This Row],[t2_Ph_I]]+0))*((Table1[[#This Row],[I_1]]*Table1[[#This Row],[I_2]]+((Table1[[#This Row],[I_1]]-Table1[[#This Row],[I_2]])^2)/3))))</f>
        <v>0</v>
      </c>
      <c r="AQ154" s="354">
        <f>Rdson4*Table1[[#This Row],[Irms BoCtlr]]^2</f>
        <v>0</v>
      </c>
      <c r="AR154" s="354">
        <f>CHOOSE(Table1[[#This Row],[Mode Digit]], 0, (Vout*Table1[[#This Row],[Iin]]/2)*(Fsw)*(Tr_boost+Tf_boost), (Vout*Iout/2)*(Fsw/1)*(Tr_boost+Tf_boost))</f>
        <v>0</v>
      </c>
      <c r="AS154">
        <f>IF(Table1[[#This Row],[Vin]]&gt;Vout, 0, IF(Table1[[#This Row],[Iin]]&gt;Table1[[#This Row],[Ripple Current pk-pk]]/2,0,ABS(Table1[[#This Row],[Iin]]-Table1[[#This Row],[Ripple Current pk-pk]]/2)*Vsd_Q4*Deadtime*Fsw))</f>
        <v>0</v>
      </c>
      <c r="AT154" s="354">
        <f>(Table1[[#This Row],[Dead Time Loss BoCtlr]]+Table1[[#This Row],[Transition Loss BoCtlr]]+Table1[[#This Row],[RDS(on) Loss BoCtlr]]*(1+RdsonTopTc*Ta-RdsonTopTc*25))/(1-Table1[[#This Row],[RDS(on) Loss BoCtlr]]*RdsonTopTc*ThetaJA_Q4)</f>
        <v>0</v>
      </c>
      <c r="AU15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12.121645294955957</v>
      </c>
      <c r="AV154" s="354">
        <f>Rdson3*Table1[[#This Row],[Irms BoSync]]^2</f>
        <v>0.61712399555825725</v>
      </c>
      <c r="AW15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54" s="354">
        <f>(Table1[[#This Row],[Deadtime Loss BoSync]]+Table1[[#This Row],[RDS(on) Loss BoSync]]*(1+RdsonBotTc*Ta-RdsonBotTc*25))/(1-Table1[[#This Row],[RDS(on) Loss BoSync]]*RdsonBotTc*ThetaJA_Q3)</f>
        <v>0.72441726153126862</v>
      </c>
      <c r="AY154" s="354">
        <f>CHOOSE(Table1[[#This Row],[Mode Digit]], Rdson3*Table1[[#This Row],[Irms Lf]]^2, Rdson1*Table1[[#This Row],[Irms Lf]]^2, 0)</f>
        <v>0.61712399555825725</v>
      </c>
      <c r="AZ154" s="354">
        <f>CHOOSE(Table1[[#This Row],[Mode Digit]], 2*Deadtime*Fsw*IF(VfdSky_Q2&gt;0,VfdSky_Q2,0)*Table1[[#This Row],[Iout]], 2*Deadtime*Fsw*IF(VfdSky_Q3&gt;0,VfdSky_Q3,0)*Table1[[#This Row],[Iin]], 2*Deadtime*Fsw*IF(VfdSky_Q2&gt;0,VfdSky_Q2,0)*Table1[[#This Row],[Iout]]+2*Deadtime*Fsw*IF(VfdSky_Q3&gt;0,VfdSky_Q3,0)*Table1[[#This Row],[Iin]])</f>
        <v>0</v>
      </c>
      <c r="BA154" s="354">
        <f>CHOOSE(Table1[[#This Row],[Mode Digit]], IF(QrrSky_Q2&gt;0,QrrSky_Q2,Qrr_Q2)*Fsw*(Table1[[#This Row],[Vin]]-Table1[[#This Row],[Iout]]*Rdson1),0,  IF(QrrSky_Q2&gt;0,QrrSky_Q2,Qrr_Q2)*Fsw*(Table1[[#This Row],[Vin]]-Table1[[#This Row],[Iout]]*Rdson1)+IF(QrrSky_Q3&gt;0,QrrSky_Q3,Qrr_Q3)*Fsw*Vout)</f>
        <v>0.48299519999999996</v>
      </c>
      <c r="BB154" s="354">
        <f>CHOOSE(Table1[[#This Row],[Mode Digit]],0, IF(QrrSky_Q3&gt;0,QrrSky_Q3,Qrr_Q3)*Fsw*Vout,  IF(QrrSky_Q2&gt;0,QrrSky_Q2,Qrr_Q2)*Fsw*(Table1[[#This Row],[Vin]]-Table1[[#This Row],[Iout]]*Rdson1)+IF(QrrSky_Q3&gt;0,QrrSky_Q3,Qrr_Q3)*Fsw*Vout)</f>
        <v>0</v>
      </c>
      <c r="BC154" s="354">
        <f>CHOOSE(Table1[[#This Row],[Mode Digit]], Rs*Table1[[#This Row],[Irms BuSync]]^2, Rs*Table1[[#This Row],[Irms BoCtlr]]^2, Rs*(Table1[[#This Row],[Irms BuSync]]^2+Table1[[#This Row],[Irms BoCtlr]]^2))</f>
        <v>0.23298902811301139</v>
      </c>
      <c r="BD154" s="354">
        <f t="shared" si="8"/>
        <v>1.44</v>
      </c>
      <c r="BE154" s="354">
        <f>IF(Vout&gt;8, Iq*Vout, Iq*Table1[[#This Row],[Vin]])</f>
        <v>4.3799999999999999E-2</v>
      </c>
      <c r="BF154" s="354">
        <f>CHOOSE(Table1[[#This Row],[Mode Digit]], (Qg_Q1+Qg_Q2)*Fsw, (Qg_Q3+Qg_Q4)*Fsw, (Qg_Q1+Qg_Q2+Qg_Q3+Qg_Q4)*Fsw)*IF(Vout&gt;8, Vout, Table1[[#This Row],[Vin]])</f>
        <v>0.47303999999999996</v>
      </c>
      <c r="BG154" s="354">
        <f t="shared" si="9"/>
        <v>0.45605042016806729</v>
      </c>
      <c r="BH154" s="354">
        <f>Table1[[#This Row],[IQ Loss]]+Table1[[#This Row],[Switching Current Loss]]</f>
        <v>0.51683999999999997</v>
      </c>
      <c r="BI15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12.717573279447116</v>
      </c>
      <c r="BJ154">
        <f>Vout*Table1[[#This Row],[Iout]]</f>
        <v>175.2</v>
      </c>
      <c r="BK154" s="550">
        <f>Table1[[#This Row],[Pout]]/(Table1[[#This Row],[Pout]]+Table1[[#This Row],[Total Loss]])</f>
        <v>0.93232366160595759</v>
      </c>
      <c r="BL15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318.52975428113842</v>
      </c>
      <c r="BM154" s="559">
        <f>IF(Table1[[#This Row],[Vin]]&gt;Vout, Table1[[#This Row],[Total Sync Bu MOSFET Loss]]*ThetaJA_Q2, ThetaJA_Q3*Table1[[#This Row],[Total Sync Bo MOSFET Loss]])</f>
        <v>64.154311195967949</v>
      </c>
      <c r="BN154" s="9"/>
      <c r="BO154" s="4">
        <f>Table1[[#This Row],[EFF, h]]*100</f>
        <v>93.23236616059576</v>
      </c>
      <c r="BP154" s="354">
        <f>Table1[[#This Row],[Total Inductor Loss]]</f>
        <v>2.8594232425437807</v>
      </c>
      <c r="BQ154" s="354">
        <f>Table1[[#This Row],[Total Control Bu MOSFET Loss]]+Table1[[#This Row],[Total Sync Bu MOSFET Loss]]+Table1[[#This Row],[Total Control Bo MOSFET Loss]]+Table1[[#This Row],[Total Sync Bo MOSFET Loss]]+Table1[[#This Row],[Reverse Recovery Loss MOSFET D BUCK]]+Table1[[#This Row],[Reverse Recovery Loss MOSFET D BOOST]]</f>
        <v>7.585480219483042</v>
      </c>
      <c r="BR154" s="354">
        <f>Table1[[#This Row],[Total Control Bu MOSFET Loss]]+Table1[[#This Row],[Reverse Recovery Loss MOSFET D BUCK]]*0.66</f>
        <v>5.6276060700189738</v>
      </c>
      <c r="BS154" s="354">
        <f>Table1[[#This Row],[Total Sync Bu MOSFET Loss]]+Table1[[#This Row],[Reverse Recovery Loss MOSFET D BUCK]]*0.33</f>
        <v>1.2286269359327993</v>
      </c>
      <c r="BT154" s="354">
        <f xml:space="preserve"> Table1[[#This Row],[Total Control Bo MOSFET Loss]]+Table1[[#This Row],[Reverse Recovery Loss MOSFET D BOOST]]*0.66</f>
        <v>0</v>
      </c>
      <c r="BU154" s="354">
        <f xml:space="preserve"> Table1[[#This Row],[Total Sync Bo MOSFET Loss]]+Table1[[#This Row],[Reverse Recovery Loss MOSFET D BOOST]]*0.33</f>
        <v>0.72441726153126862</v>
      </c>
      <c r="BV154" s="354">
        <f>Table1[[#This Row],[Isense Shunt Loss]]</f>
        <v>0.23298902811301139</v>
      </c>
    </row>
    <row r="155" spans="7:74" x14ac:dyDescent="0.2">
      <c r="G155">
        <v>146</v>
      </c>
      <c r="H155" s="555">
        <f>VIN_min+(VIN_max-VIN_min)*(Table1[[#This Row],[Step]]/200)</f>
        <v>40.44</v>
      </c>
      <c r="I155" s="4" t="str">
        <f>IF(Mode = 2,IF(Table1[[#This Row],[Vin]]&gt;Vout, "BUCK","BOOST"),IF(Table1[[#This Row],[Vin]]&gt;VIN_BB_to_buck, "BUCK", IF(Table1[[#This Row],[Vin]]&lt;=VIN_boost_to_BB,"BOOST","BUCK-BST")))</f>
        <v>BUCK</v>
      </c>
      <c r="J155">
        <f>IF(Table1[[#This Row],[Mode]]="BOOST",2, IF(Table1[[#This Row],[Mode]]="BUCK", 1,3))</f>
        <v>1</v>
      </c>
      <c r="K155">
        <f t="shared" si="7"/>
        <v>12</v>
      </c>
      <c r="L155" s="4">
        <f>Vout*Table1[[#This Row],[Iout]]/(Table1[[#This Row],[Vin]]*Efficiency)</f>
        <v>4.5603623301577381</v>
      </c>
      <c r="M155" s="711">
        <f>MIN(1/Fsw,CHOOSE(Table1[[#This Row],[Mode Digit]],(Vout+(Rdson2+Rs+Rdcr)*Table1[[#This Row],[Iout]])/(Table1[[#This Row],[Vin]]+(Rs+Rdson2-Rdson1)*Table1[[#This Row],[Iout]])/Fsw,(Vout+(Rdson3+Rdcr)*Table1[[#This Row],[Iin]]-Table1[[#This Row],[Vin]])/(Vout+(Rdson3-Rdson4-Rs)*Table1[[#This Row],[Iin]])/Fsw,t1_Ph_II))</f>
        <v>6.0744584465859487E-7</v>
      </c>
      <c r="N155" s="602">
        <f>CHOOSE(Table1[[#This Row],[Mode Digit]],1/Fsw-Table1[[#This Row],[t1_Ph_II]],1/Fsw-Table1[[#This Row],[t1_Ph_II]],(Vout/Fsw-Table1[[#This Row],[Vin]]*t1_Ph_II)/(Table1[[#This Row],[Vin]]+Vout))</f>
        <v>1.0592208220080717E-6</v>
      </c>
      <c r="O155" s="602">
        <f>1/Fsw-(Table1[[#This Row],[t1_Ph_II]]+Table1[[#This Row],[t2_Ph_I]])</f>
        <v>0</v>
      </c>
      <c r="P15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9.0271968511405127</v>
      </c>
      <c r="Q155" s="4">
        <f>CHOOSE(Table1[[#This Row],[Mode Digit]],Table1[[#This Row],[I_0]]+1/Lf*(Table1[[#This Row],[Vin]]-Vout)*Table1[[#This Row],[t1_Ph_II]],Table1[[#This Row],[I_0]]+1/Lf*Table1[[#This Row],[Vin]]*Table1[[#This Row],[t1_Ph_II]],Table1[[#This Row],[I_0]]+(Table1[[#This Row],[Vin]]-Vout)/L*Table1[[#This Row],[t1_Ph_II]])</f>
        <v>14.972803148859487</v>
      </c>
      <c r="R155" s="4">
        <f>CHOOSE(Table1[[#This Row],[Mode Digit]],0,0,Table1[[#This Row],[I_1]]+Table1[[#This Row],[Vin]]/L*Table1[[#This Row],[t2_Ph_I]])</f>
        <v>0</v>
      </c>
      <c r="S155" s="4">
        <f>Fsw*(Table1[[#This Row],[I_0]]*Table1[[#This Row],[t1_Ph_II]]+Table1[[#This Row],[I_1]]*Table1[[#This Row],[t2_Ph_I]]+Table1[[#This Row],[I_2]]*Table1[[#This Row],[t3_Ph_III]])</f>
        <v>12.805822845144267</v>
      </c>
      <c r="T155" s="354">
        <f>MIN(1,CHOOSE(Table1[[#This Row],[Mode Digit]],(Vout+(Rdson2+Rs+Rdcr)*Table1[[#This Row],[Iout]])/(Table1[[#This Row],[Vin]]+(Rs+Rdson2-Rdson1)*Table1[[#This Row],[Iout]]),1,Fsw*Table1[[#This Row],[t2_Ph_I]]+Table1[[#This Row],[t1_Ph_II]]))</f>
        <v>0.36446750679515694</v>
      </c>
      <c r="U155" s="354">
        <f>MIN(1,CHOOSE(Table1[[#This Row],[Mode Digit]],0,(Vout+(Rdson3+Rdcr)*Table1[[#This Row],[Iin]]-Table1[[#This Row],[Vin]])/(Vout+(Rdson3-Rdson4-Rs)*Table1[[#This Row],[Iin]]),Fsw*Table1[[#This Row],[t1_Ph_II]]+Table1[[#This Row],[t3_Ph_III]]))</f>
        <v>0</v>
      </c>
      <c r="V155" s="4">
        <f>MAX(Table1[[#This Row],[I_0]:[I_2]])-MIN(Table1[[#This Row],[I_0]:[I_1]])</f>
        <v>5.9456062977189745</v>
      </c>
      <c r="W15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12.122122456647446</v>
      </c>
      <c r="X155" s="354">
        <f>(Table1[[#This Row],[Irms Lf]]^2*Rdcr*(1+Ltc*Ta-Ltc*25))/(1-Table1[[#This Row],[Irms Lf]]^2*Rdcr*Ltc*ThetaCa)</f>
        <v>0.91464937094321852</v>
      </c>
      <c r="Y155" s="354">
        <f>ABS(7.759*10^-3*Fsw^0.9458*(0.00787*Table1[[#This Row],[Ripple Current pk-pk]])^2.304)</f>
        <v>1.9536866676947284</v>
      </c>
      <c r="Z155" s="354">
        <f>Table1[[#This Row],[DCR    Loss]]+Table1[[#This Row],[Core Loss]]</f>
        <v>2.8683360386379468</v>
      </c>
      <c r="AA155" s="4">
        <f>IF(Table1[[#This Row],[Vin]]&gt;Vout, Table1[[#This Row],[Ripple Current pk-pk]]/SQRT(12), SQRT(Table1[[#This Row],[Duty Cycle BOOST Leg]]/(1-Table1[[#This Row],[Duty Cycle BOOST Leg]]))*SQRT(Table1[[#This Row],[Iout]]^2+(Table1[[#This Row],[Ripple Current pk-pk]]^2)/12))</f>
        <v>1.7163486982417921</v>
      </c>
      <c r="AB155" s="354">
        <f>RCoutEsr*Table1[[#This Row],[Irms Cout]]^2</f>
        <v>1.4729264269781472E-2</v>
      </c>
      <c r="AC155" s="354">
        <f>Table1[[#This Row],[Cout ESR Loss]]</f>
        <v>1.4729264269781472E-2</v>
      </c>
      <c r="AD155" s="354">
        <f>IF(Table1[[#This Row],[Vin]]&gt;Vout, SQRT(Table1[[#This Row],[Duty Cycle BUCK Leg]]*(1-Table1[[#This Row],[Duty Cycle BUCK Leg]]))*SQRT(Table1[[#This Row],[Iout]]^2+(Table1[[#This Row],[Ripple Current pk-pk]]^2)/12), Table1[[#This Row],[Ripple Current pk-pk]]/SQRT(12))</f>
        <v>5.8341414542741861</v>
      </c>
      <c r="AE155" s="354">
        <f>RCinEsr*Table1[[#This Row],[Irms Cin]]^2</f>
        <v>6.807441301696103E-2</v>
      </c>
      <c r="AF155" s="549">
        <f>Table1[[#This Row],[Cin ESR Loss]]</f>
        <v>6.807441301696103E-2</v>
      </c>
      <c r="AG15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7.3182640444007925</v>
      </c>
      <c r="AH155" s="354">
        <f>Rdson1*Table1[[#This Row],[Irms BuCtrl]]^2</f>
        <v>0.22493935221899169</v>
      </c>
      <c r="AI155" s="354">
        <f>CHOOSE(Table1[[#This Row],[Mode Digit]], (Table1[[#This Row],[Vin]]*Table1[[#This Row],[Iout]]/2)*(Fsw)*(Tr_buck+Tf_buck), 0, (Table1[[#This Row],[Vin]]*Table1[[#This Row],[Avg IL]]/2)*(Fsw/1)*(Tr_buck+Tf_buck))</f>
        <v>4.8122145500101041</v>
      </c>
      <c r="AJ155">
        <f>IF(Table1[[#This Row],[Vin]]&gt;Vout, IF(Table1[[#This Row],[Iout]]&gt;Table1[[#This Row],[Ripple Current pk-pk]]/2,0,ABS(Table1[[#This Row],[Iout]]-Table1[[#This Row],[Ripple Current pk-pk]]/2)*Vsd_Q1*Deadtime*Fsw),0)</f>
        <v>0</v>
      </c>
      <c r="AK155" s="354">
        <f>(Table1[[#This Row],[Dead Time Loss BuCtrl]]+Table1[[#This Row],[Transition Loss BuCtrl]]+Table1[[#This Row],[RDS(on) Loss BuCtrl]]*(1+RdsonTopTc*Ta-RdsonTopTc*25))/(1-Table1[[#This Row],[RDS(on) Loss BuCtrl]]*RdsonTopTc*ThetaJA_Q1)</f>
        <v>5.3246050741155377</v>
      </c>
      <c r="AL155" s="354">
        <f>CHOOSE(Table1[[#This Row],[Mode Digit]],SQRT((Fsw*(Table1[[#This Row],[t2_Ph_I]]+0))*((Table1[[#This Row],[I_0]]*Table1[[#This Row],[I_1]]+((Table1[[#This Row],[I_0]]-Table1[[#This Row],[I_1]])^2)/3))),0,SQRT((Fsw*(Table1[[#This Row],[t3_Ph_III]]+0))*((Table1[[#This Row],[I_0]]*Table1[[#This Row],[I_2]]+((Table1[[#This Row],[I_0]]-Table1[[#This Row],[I_2]])^2)/3))))</f>
        <v>9.6637914003969918</v>
      </c>
      <c r="AM155" s="354">
        <f>Rdson2*Table1[[#This Row],[Irms BuSync]]^2</f>
        <v>0.39223322976762487</v>
      </c>
      <c r="AN15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55" s="354">
        <f>(Table1[[#This Row],[Deadtime Loss BuSync]]+Table1[[#This Row],[RDS(on) Loss BuSync]]*(1+RdsonBotTc*Ta-RdsonBotTc*25))/(1-Table1[[#This Row],[RDS(on) Loss BuSync]]*RdsonBotTc*ThetaJA_Q2)</f>
        <v>1.0703644605970881</v>
      </c>
      <c r="AP155" s="354">
        <f>CHOOSE(Table1[[#This Row],[Mode Digit]],0,SQRT((Fsw*(Table1[[#This Row],[t1_Ph_II]]+0))*((Table1[[#This Row],[I_0]]*Table1[[#This Row],[I_1]]+((Table1[[#This Row],[I_0]]-Table1[[#This Row],[I_1]])^2)/3))),SQRT((Fsw*(Table1[[#This Row],[t2_Ph_I]]+0))*((Table1[[#This Row],[I_1]]*Table1[[#This Row],[I_2]]+((Table1[[#This Row],[I_1]]-Table1[[#This Row],[I_2]])^2)/3))))</f>
        <v>0</v>
      </c>
      <c r="AQ155" s="354">
        <f>Rdson4*Table1[[#This Row],[Irms BoCtlr]]^2</f>
        <v>0</v>
      </c>
      <c r="AR155" s="354">
        <f>CHOOSE(Table1[[#This Row],[Mode Digit]], 0, (Vout*Table1[[#This Row],[Iin]]/2)*(Fsw)*(Tr_boost+Tf_boost), (Vout*Iout/2)*(Fsw/1)*(Tr_boost+Tf_boost))</f>
        <v>0</v>
      </c>
      <c r="AS155">
        <f>IF(Table1[[#This Row],[Vin]]&gt;Vout, 0, IF(Table1[[#This Row],[Iin]]&gt;Table1[[#This Row],[Ripple Current pk-pk]]/2,0,ABS(Table1[[#This Row],[Iin]]-Table1[[#This Row],[Ripple Current pk-pk]]/2)*Vsd_Q4*Deadtime*Fsw))</f>
        <v>0</v>
      </c>
      <c r="AT155" s="354">
        <f>(Table1[[#This Row],[Dead Time Loss BoCtlr]]+Table1[[#This Row],[Transition Loss BoCtlr]]+Table1[[#This Row],[RDS(on) Loss BoCtlr]]*(1+RdsonTopTc*Ta-RdsonTopTc*25))/(1-Table1[[#This Row],[RDS(on) Loss BoCtlr]]*RdsonTopTc*ThetaJA_Q4)</f>
        <v>0</v>
      </c>
      <c r="AU15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12.122122456647446</v>
      </c>
      <c r="AV155" s="354">
        <f>Rdson3*Table1[[#This Row],[Irms BoSync]]^2</f>
        <v>0.61717258198661662</v>
      </c>
      <c r="AW15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55" s="354">
        <f>(Table1[[#This Row],[Deadtime Loss BoSync]]+Table1[[#This Row],[RDS(on) Loss BoSync]]*(1+RdsonBotTc*Ta-RdsonBotTc*25))/(1-Table1[[#This Row],[RDS(on) Loss BoSync]]*RdsonBotTc*ThetaJA_Q3)</f>
        <v>0.72448421200173219</v>
      </c>
      <c r="AY155" s="354">
        <f>CHOOSE(Table1[[#This Row],[Mode Digit]], Rdson3*Table1[[#This Row],[Irms Lf]]^2, Rdson1*Table1[[#This Row],[Irms Lf]]^2, 0)</f>
        <v>0.61717258198661662</v>
      </c>
      <c r="AZ155" s="354">
        <f>CHOOSE(Table1[[#This Row],[Mode Digit]], 2*Deadtime*Fsw*IF(VfdSky_Q2&gt;0,VfdSky_Q2,0)*Table1[[#This Row],[Iout]], 2*Deadtime*Fsw*IF(VfdSky_Q3&gt;0,VfdSky_Q3,0)*Table1[[#This Row],[Iin]], 2*Deadtime*Fsw*IF(VfdSky_Q2&gt;0,VfdSky_Q2,0)*Table1[[#This Row],[Iout]]+2*Deadtime*Fsw*IF(VfdSky_Q3&gt;0,VfdSky_Q3,0)*Table1[[#This Row],[Iin]])</f>
        <v>0</v>
      </c>
      <c r="BA155" s="354">
        <f>CHOOSE(Table1[[#This Row],[Mode Digit]], IF(QrrSky_Q2&gt;0,QrrSky_Q2,Qrr_Q2)*Fsw*(Table1[[#This Row],[Vin]]-Table1[[#This Row],[Iout]]*Rdson1),0,  IF(QrrSky_Q2&gt;0,QrrSky_Q2,Qrr_Q2)*Fsw*(Table1[[#This Row],[Vin]]-Table1[[#This Row],[Iout]]*Rdson1)+IF(QrrSky_Q3&gt;0,QrrSky_Q3,Qrr_Q3)*Fsw*Vout)</f>
        <v>0.48467519999999992</v>
      </c>
      <c r="BB155" s="354">
        <f>CHOOSE(Table1[[#This Row],[Mode Digit]],0, IF(QrrSky_Q3&gt;0,QrrSky_Q3,Qrr_Q3)*Fsw*Vout,  IF(QrrSky_Q2&gt;0,QrrSky_Q2,Qrr_Q2)*Fsw*(Table1[[#This Row],[Vin]]-Table1[[#This Row],[Iout]]*Rdson1)+IF(QrrSky_Q3&gt;0,QrrSky_Q3,Qrr_Q3)*Fsw*Vout)</f>
        <v>0</v>
      </c>
      <c r="BC155" s="354">
        <f>CHOOSE(Table1[[#This Row],[Mode Digit]], Rs*Table1[[#This Row],[Irms BuSync]]^2, Rs*Table1[[#This Row],[Irms BoCtlr]]^2, Rs*(Table1[[#This Row],[Irms BuSync]]^2+Table1[[#This Row],[Irms BoCtlr]]^2))</f>
        <v>0.23347216057596715</v>
      </c>
      <c r="BD155" s="354">
        <f t="shared" si="8"/>
        <v>1.44</v>
      </c>
      <c r="BE155" s="354">
        <f>IF(Vout&gt;8, Iq*Vout, Iq*Table1[[#This Row],[Vin]])</f>
        <v>4.3799999999999999E-2</v>
      </c>
      <c r="BF155" s="354">
        <f>CHOOSE(Table1[[#This Row],[Mode Digit]], (Qg_Q1+Qg_Q2)*Fsw, (Qg_Q3+Qg_Q4)*Fsw, (Qg_Q1+Qg_Q2+Qg_Q3+Qg_Q4)*Fsw)*IF(Vout&gt;8, Vout, Table1[[#This Row],[Vin]])</f>
        <v>0.47303999999999996</v>
      </c>
      <c r="BG155" s="354">
        <f t="shared" si="9"/>
        <v>0.45605042016806729</v>
      </c>
      <c r="BH155" s="354">
        <f>Table1[[#This Row],[IQ Loss]]+Table1[[#This Row],[Switching Current Loss]]</f>
        <v>0.51683999999999997</v>
      </c>
      <c r="BI15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12.745580823215015</v>
      </c>
      <c r="BJ155">
        <f>Vout*Table1[[#This Row],[Iout]]</f>
        <v>175.2</v>
      </c>
      <c r="BK155" s="550">
        <f>Table1[[#This Row],[Pout]]/(Table1[[#This Row],[Pout]]+Table1[[#This Row],[Total Loss]])</f>
        <v>0.93218472726313395</v>
      </c>
      <c r="BL15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319.47630444693226</v>
      </c>
      <c r="BM155" s="559">
        <f>IF(Table1[[#This Row],[Vin]]&gt;Vout, Table1[[#This Row],[Total Sync Bu MOSFET Loss]]*ThetaJA_Q2, ThetaJA_Q3*Table1[[#This Row],[Total Sync Bo MOSFET Loss]])</f>
        <v>64.221867635825291</v>
      </c>
      <c r="BN155" s="9"/>
      <c r="BO155" s="4">
        <f>Table1[[#This Row],[EFF, h]]*100</f>
        <v>93.218472726313394</v>
      </c>
      <c r="BP155" s="354">
        <f>Table1[[#This Row],[Total Inductor Loss]]</f>
        <v>2.8683360386379468</v>
      </c>
      <c r="BQ155" s="354">
        <f>Table1[[#This Row],[Total Control Bu MOSFET Loss]]+Table1[[#This Row],[Total Sync Bu MOSFET Loss]]+Table1[[#This Row],[Total Control Bo MOSFET Loss]]+Table1[[#This Row],[Total Sync Bo MOSFET Loss]]+Table1[[#This Row],[Reverse Recovery Loss MOSFET D BUCK]]+Table1[[#This Row],[Reverse Recovery Loss MOSFET D BOOST]]</f>
        <v>7.6041289467143578</v>
      </c>
      <c r="BR155" s="354">
        <f>Table1[[#This Row],[Total Control Bu MOSFET Loss]]+Table1[[#This Row],[Reverse Recovery Loss MOSFET D BUCK]]*0.66</f>
        <v>5.6444907061155378</v>
      </c>
      <c r="BS155" s="354">
        <f>Table1[[#This Row],[Total Sync Bu MOSFET Loss]]+Table1[[#This Row],[Reverse Recovery Loss MOSFET D BUCK]]*0.33</f>
        <v>1.2303072765970882</v>
      </c>
      <c r="BT155" s="354">
        <f xml:space="preserve"> Table1[[#This Row],[Total Control Bo MOSFET Loss]]+Table1[[#This Row],[Reverse Recovery Loss MOSFET D BOOST]]*0.66</f>
        <v>0</v>
      </c>
      <c r="BU155" s="354">
        <f xml:space="preserve"> Table1[[#This Row],[Total Sync Bo MOSFET Loss]]+Table1[[#This Row],[Reverse Recovery Loss MOSFET D BOOST]]*0.33</f>
        <v>0.72448421200173219</v>
      </c>
      <c r="BV155" s="354">
        <f>Table1[[#This Row],[Isense Shunt Loss]]</f>
        <v>0.23347216057596715</v>
      </c>
    </row>
    <row r="156" spans="7:74" x14ac:dyDescent="0.2">
      <c r="G156">
        <v>147</v>
      </c>
      <c r="H156" s="555">
        <f>VIN_min+(VIN_max-VIN_min)*(Table1[[#This Row],[Step]]/200)</f>
        <v>40.58</v>
      </c>
      <c r="I156" s="4" t="str">
        <f>IF(Mode = 2,IF(Table1[[#This Row],[Vin]]&gt;Vout, "BUCK","BOOST"),IF(Table1[[#This Row],[Vin]]&gt;VIN_BB_to_buck, "BUCK", IF(Table1[[#This Row],[Vin]]&lt;=VIN_boost_to_BB,"BOOST","BUCK-BST")))</f>
        <v>BUCK</v>
      </c>
      <c r="J156">
        <f>IF(Table1[[#This Row],[Mode]]="BOOST",2, IF(Table1[[#This Row],[Mode]]="BUCK", 1,3))</f>
        <v>1</v>
      </c>
      <c r="K156">
        <f t="shared" si="7"/>
        <v>12</v>
      </c>
      <c r="L156" s="4">
        <f>Vout*Table1[[#This Row],[Iout]]/(Table1[[#This Row],[Vin]]*Efficiency)</f>
        <v>4.5446291924982498</v>
      </c>
      <c r="M156" s="711">
        <f>MIN(1/Fsw,CHOOSE(Table1[[#This Row],[Mode Digit]],(Vout+(Rdson2+Rs+Rdcr)*Table1[[#This Row],[Iout]])/(Table1[[#This Row],[Vin]]+(Rs+Rdson2-Rdson1)*Table1[[#This Row],[Iout]])/Fsw,(Vout+(Rdson3+Rdcr)*Table1[[#This Row],[Iin]]-Table1[[#This Row],[Vin]])/(Vout+(Rdson3-Rdson4-Rs)*Table1[[#This Row],[Iin]])/Fsw,t1_Ph_II))</f>
        <v>6.053517196092917E-7</v>
      </c>
      <c r="N156" s="602">
        <f>CHOOSE(Table1[[#This Row],[Mode Digit]],1/Fsw-Table1[[#This Row],[t1_Ph_II]],1/Fsw-Table1[[#This Row],[t1_Ph_II]],(Vout/Fsw-Table1[[#This Row],[Vin]]*t1_Ph_II)/(Table1[[#This Row],[Vin]]+Vout))</f>
        <v>1.0613149470573751E-6</v>
      </c>
      <c r="O156" s="602">
        <f>1/Fsw-(Table1[[#This Row],[t1_Ph_II]]+Table1[[#This Row],[t2_Ph_I]])</f>
        <v>0</v>
      </c>
      <c r="P15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9.0213943796497347</v>
      </c>
      <c r="Q156" s="4">
        <f>CHOOSE(Table1[[#This Row],[Mode Digit]],Table1[[#This Row],[I_0]]+1/Lf*(Table1[[#This Row],[Vin]]-Vout)*Table1[[#This Row],[t1_Ph_II]],Table1[[#This Row],[I_0]]+1/Lf*Table1[[#This Row],[Vin]]*Table1[[#This Row],[t1_Ph_II]],Table1[[#This Row],[I_0]]+(Table1[[#This Row],[Vin]]-Vout)/L*Table1[[#This Row],[t1_Ph_II]])</f>
        <v>14.978605620350264</v>
      </c>
      <c r="R156" s="4">
        <f>CHOOSE(Table1[[#This Row],[Mode Digit]],0,0,Table1[[#This Row],[I_1]]+Table1[[#This Row],[Vin]]/L*Table1[[#This Row],[t2_Ph_I]])</f>
        <v>0</v>
      </c>
      <c r="S156" s="4">
        <f>Fsw*(Table1[[#This Row],[I_0]]*Table1[[#This Row],[t1_Ph_II]]+Table1[[#This Row],[I_1]]*Table1[[#This Row],[t2_Ph_I]]+Table1[[#This Row],[I_2]]*Table1[[#This Row],[t3_Ph_III]])</f>
        <v>12.814880779169945</v>
      </c>
      <c r="T156" s="354">
        <f>MIN(1,CHOOSE(Table1[[#This Row],[Mode Digit]],(Vout+(Rdson2+Rs+Rdcr)*Table1[[#This Row],[Iout]])/(Table1[[#This Row],[Vin]]+(Rs+Rdson2-Rdson1)*Table1[[#This Row],[Iout]]),1,Fsw*Table1[[#This Row],[t2_Ph_I]]+Table1[[#This Row],[t1_Ph_II]]))</f>
        <v>0.36321103176557501</v>
      </c>
      <c r="U156" s="354">
        <f>MIN(1,CHOOSE(Table1[[#This Row],[Mode Digit]],0,(Vout+(Rdson3+Rdcr)*Table1[[#This Row],[Iin]]-Table1[[#This Row],[Vin]])/(Vout+(Rdson3-Rdson4-Rs)*Table1[[#This Row],[Iin]]),Fsw*Table1[[#This Row],[t1_Ph_II]]+Table1[[#This Row],[t3_Ph_III]]))</f>
        <v>0</v>
      </c>
      <c r="V156" s="4">
        <f>MAX(Table1[[#This Row],[I_0]:[I_2]])-MIN(Table1[[#This Row],[I_0]:[I_1]])</f>
        <v>5.9572112407005289</v>
      </c>
      <c r="W15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12.122597238787598</v>
      </c>
      <c r="X156" s="354">
        <f>(Table1[[#This Row],[Irms Lf]]^2*Rdcr*(1+Ltc*Ta-Ltc*25))/(1-Table1[[#This Row],[Irms Lf]]^2*Rdcr*Ltc*ThetaCa)</f>
        <v>0.91472626285329639</v>
      </c>
      <c r="Y156" s="354">
        <f>ABS(7.759*10^-3*Fsw^0.9458*(0.00787*Table1[[#This Row],[Ripple Current pk-pk]])^2.304)</f>
        <v>1.9624837102874186</v>
      </c>
      <c r="Z156" s="354">
        <f>Table1[[#This Row],[DCR    Loss]]+Table1[[#This Row],[Core Loss]]</f>
        <v>2.8772099731407152</v>
      </c>
      <c r="AA156" s="4">
        <f>IF(Table1[[#This Row],[Vin]]&gt;Vout, Table1[[#This Row],[Ripple Current pk-pk]]/SQRT(12), SQRT(Table1[[#This Row],[Duty Cycle BOOST Leg]]/(1-Table1[[#This Row],[Duty Cycle BOOST Leg]]))*SQRT(Table1[[#This Row],[Iout]]^2+(Table1[[#This Row],[Ripple Current pk-pk]]^2)/12))</f>
        <v>1.7196987567189574</v>
      </c>
      <c r="AB156" s="354">
        <f>RCoutEsr*Table1[[#This Row],[Irms Cout]]^2</f>
        <v>1.4786819069303641E-2</v>
      </c>
      <c r="AC156" s="354">
        <f>Table1[[#This Row],[Cout ESR Loss]]</f>
        <v>1.4786819069303641E-2</v>
      </c>
      <c r="AD156" s="354">
        <f>IF(Table1[[#This Row],[Vin]]&gt;Vout, SQRT(Table1[[#This Row],[Duty Cycle BUCK Leg]]*(1-Table1[[#This Row],[Duty Cycle BUCK Leg]]))*SQRT(Table1[[#This Row],[Iout]]^2+(Table1[[#This Row],[Ripple Current pk-pk]]^2)/12), Table1[[#This Row],[Ripple Current pk-pk]]/SQRT(12))</f>
        <v>5.830059100858084</v>
      </c>
      <c r="AE156" s="354">
        <f>RCinEsr*Table1[[#This Row],[Irms Cin]]^2</f>
        <v>6.7979178238996338E-2</v>
      </c>
      <c r="AF156" s="549">
        <f>Table1[[#This Row],[Cin ESR Loss]]</f>
        <v>6.7979178238996338E-2</v>
      </c>
      <c r="AG15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7.3059247009794266</v>
      </c>
      <c r="AH156" s="354">
        <f>Rdson1*Table1[[#This Row],[Irms BuCtrl]]^2</f>
        <v>0.22418145009280158</v>
      </c>
      <c r="AI156" s="354">
        <f>CHOOSE(Table1[[#This Row],[Mode Digit]], (Table1[[#This Row],[Vin]]*Table1[[#This Row],[Iout]]/2)*(Fsw)*(Tr_buck+Tf_buck), 0, (Table1[[#This Row],[Vin]]*Table1[[#This Row],[Avg IL]]/2)*(Fsw/1)*(Tr_buck+Tf_buck))</f>
        <v>4.8288740464740361</v>
      </c>
      <c r="AJ156">
        <f>IF(Table1[[#This Row],[Vin]]&gt;Vout, IF(Table1[[#This Row],[Iout]]&gt;Table1[[#This Row],[Ripple Current pk-pk]]/2,0,ABS(Table1[[#This Row],[Iout]]-Table1[[#This Row],[Ripple Current pk-pk]]/2)*Vsd_Q1*Deadtime*Fsw),0)</f>
        <v>0</v>
      </c>
      <c r="AK156" s="354">
        <f>(Table1[[#This Row],[Dead Time Loss BuCtrl]]+Table1[[#This Row],[Transition Loss BuCtrl]]+Table1[[#This Row],[RDS(on) Loss BuCtrl]]*(1+RdsonTopTc*Ta-RdsonTopTc*25))/(1-Table1[[#This Row],[RDS(on) Loss BuCtrl]]*RdsonTopTc*ThetaJA_Q1)</f>
        <v>5.3403872800463441</v>
      </c>
      <c r="AL156" s="354">
        <f>CHOOSE(Table1[[#This Row],[Mode Digit]],SQRT((Fsw*(Table1[[#This Row],[t2_Ph_I]]+0))*((Table1[[#This Row],[I_0]]*Table1[[#This Row],[I_1]]+((Table1[[#This Row],[I_0]]-Table1[[#This Row],[I_1]])^2)/3))),0,SQRT((Fsw*(Table1[[#This Row],[t3_Ph_III]]+0))*((Table1[[#This Row],[I_0]]*Table1[[#This Row],[I_2]]+((Table1[[#This Row],[I_0]]-Table1[[#This Row],[I_2]])^2)/3))))</f>
        <v>9.6737184204151507</v>
      </c>
      <c r="AM156" s="354">
        <f>Rdson2*Table1[[#This Row],[Irms BuSync]]^2</f>
        <v>0.39303947792541349</v>
      </c>
      <c r="AN15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56" s="354">
        <f>(Table1[[#This Row],[Deadtime Loss BuSync]]+Table1[[#This Row],[RDS(on) Loss BuSync]]*(1+RdsonBotTc*Ta-RdsonBotTc*25))/(1-Table1[[#This Row],[RDS(on) Loss BuSync]]*RdsonBotTc*ThetaJA_Q2)</f>
        <v>1.0714833699348296</v>
      </c>
      <c r="AP156" s="354">
        <f>CHOOSE(Table1[[#This Row],[Mode Digit]],0,SQRT((Fsw*(Table1[[#This Row],[t1_Ph_II]]+0))*((Table1[[#This Row],[I_0]]*Table1[[#This Row],[I_1]]+((Table1[[#This Row],[I_0]]-Table1[[#This Row],[I_1]])^2)/3))),SQRT((Fsw*(Table1[[#This Row],[t2_Ph_I]]+0))*((Table1[[#This Row],[I_1]]*Table1[[#This Row],[I_2]]+((Table1[[#This Row],[I_1]]-Table1[[#This Row],[I_2]])^2)/3))))</f>
        <v>0</v>
      </c>
      <c r="AQ156" s="354">
        <f>Rdson4*Table1[[#This Row],[Irms BoCtlr]]^2</f>
        <v>0</v>
      </c>
      <c r="AR156" s="354">
        <f>CHOOSE(Table1[[#This Row],[Mode Digit]], 0, (Vout*Table1[[#This Row],[Iin]]/2)*(Fsw)*(Tr_boost+Tf_boost), (Vout*Iout/2)*(Fsw/1)*(Tr_boost+Tf_boost))</f>
        <v>0</v>
      </c>
      <c r="AS156">
        <f>IF(Table1[[#This Row],[Vin]]&gt;Vout, 0, IF(Table1[[#This Row],[Iin]]&gt;Table1[[#This Row],[Ripple Current pk-pk]]/2,0,ABS(Table1[[#This Row],[Iin]]-Table1[[#This Row],[Ripple Current pk-pk]]/2)*Vsd_Q4*Deadtime*Fsw))</f>
        <v>0</v>
      </c>
      <c r="AT156" s="354">
        <f>(Table1[[#This Row],[Dead Time Loss BoCtlr]]+Table1[[#This Row],[Transition Loss BoCtlr]]+Table1[[#This Row],[RDS(on) Loss BoCtlr]]*(1+RdsonTopTc*Ta-RdsonTopTc*25))/(1-Table1[[#This Row],[RDS(on) Loss BoCtlr]]*RdsonTopTc*ThetaJA_Q4)</f>
        <v>0</v>
      </c>
      <c r="AU15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12.122597238787598</v>
      </c>
      <c r="AV156" s="354">
        <f>Rdson3*Table1[[#This Row],[Irms BoSync]]^2</f>
        <v>0.61722092801821504</v>
      </c>
      <c r="AW15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56" s="354">
        <f>(Table1[[#This Row],[Deadtime Loss BoSync]]+Table1[[#This Row],[RDS(on) Loss BoSync]]*(1+RdsonBotTc*Ta-RdsonBotTc*25))/(1-Table1[[#This Row],[RDS(on) Loss BoSync]]*RdsonBotTc*ThetaJA_Q3)</f>
        <v>0.72455083303282952</v>
      </c>
      <c r="AY156" s="354">
        <f>CHOOSE(Table1[[#This Row],[Mode Digit]], Rdson3*Table1[[#This Row],[Irms Lf]]^2, Rdson1*Table1[[#This Row],[Irms Lf]]^2, 0)</f>
        <v>0.61722092801821504</v>
      </c>
      <c r="AZ156" s="354">
        <f>CHOOSE(Table1[[#This Row],[Mode Digit]], 2*Deadtime*Fsw*IF(VfdSky_Q2&gt;0,VfdSky_Q2,0)*Table1[[#This Row],[Iout]], 2*Deadtime*Fsw*IF(VfdSky_Q3&gt;0,VfdSky_Q3,0)*Table1[[#This Row],[Iin]], 2*Deadtime*Fsw*IF(VfdSky_Q2&gt;0,VfdSky_Q2,0)*Table1[[#This Row],[Iout]]+2*Deadtime*Fsw*IF(VfdSky_Q3&gt;0,VfdSky_Q3,0)*Table1[[#This Row],[Iin]])</f>
        <v>0</v>
      </c>
      <c r="BA156" s="354">
        <f>CHOOSE(Table1[[#This Row],[Mode Digit]], IF(QrrSky_Q2&gt;0,QrrSky_Q2,Qrr_Q2)*Fsw*(Table1[[#This Row],[Vin]]-Table1[[#This Row],[Iout]]*Rdson1),0,  IF(QrrSky_Q2&gt;0,QrrSky_Q2,Qrr_Q2)*Fsw*(Table1[[#This Row],[Vin]]-Table1[[#This Row],[Iout]]*Rdson1)+IF(QrrSky_Q3&gt;0,QrrSky_Q3,Qrr_Q3)*Fsw*Vout)</f>
        <v>0.48635519999999993</v>
      </c>
      <c r="BB156" s="354">
        <f>CHOOSE(Table1[[#This Row],[Mode Digit]],0, IF(QrrSky_Q3&gt;0,QrrSky_Q3,Qrr_Q3)*Fsw*Vout,  IF(QrrSky_Q2&gt;0,QrrSky_Q2,Qrr_Q2)*Fsw*(Table1[[#This Row],[Vin]]-Table1[[#This Row],[Iout]]*Rdson1)+IF(QrrSky_Q3&gt;0,QrrSky_Q3,Qrr_Q3)*Fsw*Vout)</f>
        <v>0</v>
      </c>
      <c r="BC156" s="354">
        <f>CHOOSE(Table1[[#This Row],[Mode Digit]], Rs*Table1[[#This Row],[Irms BuSync]]^2, Rs*Table1[[#This Row],[Irms BoCtlr]]^2, Rs*(Table1[[#This Row],[Irms BuSync]]^2+Table1[[#This Row],[Irms BoCtlr]]^2))</f>
        <v>0.23395207019369849</v>
      </c>
      <c r="BD156" s="354">
        <f t="shared" si="8"/>
        <v>1.44</v>
      </c>
      <c r="BE156" s="354">
        <f>IF(Vout&gt;8, Iq*Vout, Iq*Table1[[#This Row],[Vin]])</f>
        <v>4.3799999999999999E-2</v>
      </c>
      <c r="BF156" s="354">
        <f>CHOOSE(Table1[[#This Row],[Mode Digit]], (Qg_Q1+Qg_Q2)*Fsw, (Qg_Q3+Qg_Q4)*Fsw, (Qg_Q1+Qg_Q2+Qg_Q3+Qg_Q4)*Fsw)*IF(Vout&gt;8, Vout, Table1[[#This Row],[Vin]])</f>
        <v>0.47303999999999996</v>
      </c>
      <c r="BG156" s="354">
        <f t="shared" si="9"/>
        <v>0.45605042016806729</v>
      </c>
      <c r="BH156" s="354">
        <f>Table1[[#This Row],[IQ Loss]]+Table1[[#This Row],[Switching Current Loss]]</f>
        <v>0.51683999999999997</v>
      </c>
      <c r="BI15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12.773544723656716</v>
      </c>
      <c r="BJ156">
        <f>Vout*Table1[[#This Row],[Iout]]</f>
        <v>175.2</v>
      </c>
      <c r="BK156" s="550">
        <f>Table1[[#This Row],[Pout]]/(Table1[[#This Row],[Pout]]+Table1[[#This Row],[Total Loss]])</f>
        <v>0.93204605072253466</v>
      </c>
      <c r="BL15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320.42323680278065</v>
      </c>
      <c r="BM156" s="559">
        <f>IF(Table1[[#This Row],[Vin]]&gt;Vout, Table1[[#This Row],[Total Sync Bu MOSFET Loss]]*ThetaJA_Q2, ThetaJA_Q3*Table1[[#This Row],[Total Sync Bo MOSFET Loss]])</f>
        <v>64.289002196089783</v>
      </c>
      <c r="BN156" s="9"/>
      <c r="BO156" s="4">
        <f>Table1[[#This Row],[EFF, h]]*100</f>
        <v>93.204605072253472</v>
      </c>
      <c r="BP156" s="354">
        <f>Table1[[#This Row],[Total Inductor Loss]]</f>
        <v>2.8772099731407152</v>
      </c>
      <c r="BQ156" s="354">
        <f>Table1[[#This Row],[Total Control Bu MOSFET Loss]]+Table1[[#This Row],[Total Sync Bu MOSFET Loss]]+Table1[[#This Row],[Total Control Bo MOSFET Loss]]+Table1[[#This Row],[Total Sync Bo MOSFET Loss]]+Table1[[#This Row],[Reverse Recovery Loss MOSFET D BUCK]]+Table1[[#This Row],[Reverse Recovery Loss MOSFET D BOOST]]</f>
        <v>7.6227766830140027</v>
      </c>
      <c r="BR156" s="354">
        <f>Table1[[#This Row],[Total Control Bu MOSFET Loss]]+Table1[[#This Row],[Reverse Recovery Loss MOSFET D BUCK]]*0.66</f>
        <v>5.6613817120463441</v>
      </c>
      <c r="BS156" s="354">
        <f>Table1[[#This Row],[Total Sync Bu MOSFET Loss]]+Table1[[#This Row],[Reverse Recovery Loss MOSFET D BUCK]]*0.33</f>
        <v>1.2319805859348296</v>
      </c>
      <c r="BT156" s="354">
        <f xml:space="preserve"> Table1[[#This Row],[Total Control Bo MOSFET Loss]]+Table1[[#This Row],[Reverse Recovery Loss MOSFET D BOOST]]*0.66</f>
        <v>0</v>
      </c>
      <c r="BU156" s="354">
        <f xml:space="preserve"> Table1[[#This Row],[Total Sync Bo MOSFET Loss]]+Table1[[#This Row],[Reverse Recovery Loss MOSFET D BOOST]]*0.33</f>
        <v>0.72455083303282952</v>
      </c>
      <c r="BV156" s="354">
        <f>Table1[[#This Row],[Isense Shunt Loss]]</f>
        <v>0.23395207019369849</v>
      </c>
    </row>
    <row r="157" spans="7:74" x14ac:dyDescent="0.2">
      <c r="G157">
        <v>148</v>
      </c>
      <c r="H157" s="555">
        <f>VIN_min+(VIN_max-VIN_min)*(Table1[[#This Row],[Step]]/200)</f>
        <v>40.72</v>
      </c>
      <c r="I157" s="4" t="str">
        <f>IF(Mode = 2,IF(Table1[[#This Row],[Vin]]&gt;Vout, "BUCK","BOOST"),IF(Table1[[#This Row],[Vin]]&gt;VIN_BB_to_buck, "BUCK", IF(Table1[[#This Row],[Vin]]&lt;=VIN_boost_to_BB,"BOOST","BUCK-BST")))</f>
        <v>BUCK</v>
      </c>
      <c r="J157">
        <f>IF(Table1[[#This Row],[Mode]]="BOOST",2, IF(Table1[[#This Row],[Mode]]="BUCK", 1,3))</f>
        <v>1</v>
      </c>
      <c r="K157">
        <f t="shared" si="7"/>
        <v>12</v>
      </c>
      <c r="L157" s="4">
        <f>Vout*Table1[[#This Row],[Iout]]/(Table1[[#This Row],[Vin]]*Efficiency)</f>
        <v>4.5290042394788541</v>
      </c>
      <c r="M157" s="711">
        <f>MIN(1/Fsw,CHOOSE(Table1[[#This Row],[Mode Digit]],(Vout+(Rdson2+Rs+Rdcr)*Table1[[#This Row],[Iout]])/(Table1[[#This Row],[Vin]]+(Rs+Rdson2-Rdson1)*Table1[[#This Row],[Iout]])/Fsw,(Vout+(Rdson3+Rdcr)*Table1[[#This Row],[Iin]]-Table1[[#This Row],[Vin]])/(Vout+(Rdson3-Rdson4-Rs)*Table1[[#This Row],[Iin]])/Fsw,t1_Ph_II))</f>
        <v>6.0327198364008186E-7</v>
      </c>
      <c r="N157" s="602">
        <f>CHOOSE(Table1[[#This Row],[Mode Digit]],1/Fsw-Table1[[#This Row],[t1_Ph_II]],1/Fsw-Table1[[#This Row],[t1_Ph_II]],(Vout/Fsw-Table1[[#This Row],[Vin]]*t1_Ph_II)/(Table1[[#This Row],[Vin]]+Vout))</f>
        <v>1.0633946830265847E-6</v>
      </c>
      <c r="O157" s="602">
        <f>1/Fsw-(Table1[[#This Row],[t1_Ph_II]]+Table1[[#This Row],[t2_Ph_I]])</f>
        <v>0</v>
      </c>
      <c r="P15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9.0156317779017172</v>
      </c>
      <c r="Q157" s="4">
        <f>CHOOSE(Table1[[#This Row],[Mode Digit]],Table1[[#This Row],[I_0]]+1/Lf*(Table1[[#This Row],[Vin]]-Vout)*Table1[[#This Row],[t1_Ph_II]],Table1[[#This Row],[I_0]]+1/Lf*Table1[[#This Row],[Vin]]*Table1[[#This Row],[t1_Ph_II]],Table1[[#This Row],[I_0]]+(Table1[[#This Row],[Vin]]-Vout)/L*Table1[[#This Row],[t1_Ph_II]])</f>
        <v>14.984368222098283</v>
      </c>
      <c r="R157" s="4">
        <f>CHOOSE(Table1[[#This Row],[Mode Digit]],0,0,Table1[[#This Row],[I_1]]+Table1[[#This Row],[Vin]]/L*Table1[[#This Row],[t2_Ph_I]])</f>
        <v>0</v>
      </c>
      <c r="S157" s="4">
        <f>Fsw*(Table1[[#This Row],[I_0]]*Table1[[#This Row],[t1_Ph_II]]+Table1[[#This Row],[I_1]]*Table1[[#This Row],[t2_Ph_I]]+Table1[[#This Row],[I_2]]*Table1[[#This Row],[t3_Ph_III]])</f>
        <v>12.823905337389096</v>
      </c>
      <c r="T157" s="354">
        <f>MIN(1,CHOOSE(Table1[[#This Row],[Mode Digit]],(Vout+(Rdson2+Rs+Rdcr)*Table1[[#This Row],[Iout]])/(Table1[[#This Row],[Vin]]+(Rs+Rdson2-Rdson1)*Table1[[#This Row],[Iout]]),1,Fsw*Table1[[#This Row],[t2_Ph_I]]+Table1[[#This Row],[t1_Ph_II]]))</f>
        <v>0.3619631901840491</v>
      </c>
      <c r="U157" s="354">
        <f>MIN(1,CHOOSE(Table1[[#This Row],[Mode Digit]],0,(Vout+(Rdson3+Rdcr)*Table1[[#This Row],[Iin]]-Table1[[#This Row],[Vin]])/(Vout+(Rdson3-Rdson4-Rs)*Table1[[#This Row],[Iin]]),Fsw*Table1[[#This Row],[t1_Ph_II]]+Table1[[#This Row],[t3_Ph_III]]))</f>
        <v>0</v>
      </c>
      <c r="V157" s="4">
        <f>MAX(Table1[[#This Row],[I_0]:[I_2]])-MIN(Table1[[#This Row],[I_0]:[I_1]])</f>
        <v>5.9687364441965656</v>
      </c>
      <c r="W15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12.123069656445242</v>
      </c>
      <c r="X157" s="354">
        <f>(Table1[[#This Row],[Irms Lf]]^2*Rdcr*(1+Ltc*Ta-Ltc*25))/(1-Table1[[#This Row],[Irms Lf]]^2*Rdcr*Ltc*ThetaCa)</f>
        <v>0.91480277569477508</v>
      </c>
      <c r="Y157" s="354">
        <f>ABS(7.759*10^-3*Fsw^0.9458*(0.00787*Table1[[#This Row],[Ripple Current pk-pk]])^2.304)</f>
        <v>1.9712424519847418</v>
      </c>
      <c r="Z157" s="354">
        <f>Table1[[#This Row],[DCR    Loss]]+Table1[[#This Row],[Core Loss]]</f>
        <v>2.8860452276795168</v>
      </c>
      <c r="AA157" s="4">
        <f>IF(Table1[[#This Row],[Vin]]&gt;Vout, Table1[[#This Row],[Ripple Current pk-pk]]/SQRT(12), SQRT(Table1[[#This Row],[Duty Cycle BOOST Leg]]/(1-Table1[[#This Row],[Duty Cycle BOOST Leg]]))*SQRT(Table1[[#This Row],[Iout]]^2+(Table1[[#This Row],[Ripple Current pk-pk]]^2)/12))</f>
        <v>1.7230257963894084</v>
      </c>
      <c r="AB157" s="354">
        <f>RCoutEsr*Table1[[#This Row],[Irms Cout]]^2</f>
        <v>1.4844089475116775E-2</v>
      </c>
      <c r="AC157" s="354">
        <f>Table1[[#This Row],[Cout ESR Loss]]</f>
        <v>1.4844089475116775E-2</v>
      </c>
      <c r="AD157" s="354">
        <f>IF(Table1[[#This Row],[Vin]]&gt;Vout, SQRT(Table1[[#This Row],[Duty Cycle BUCK Leg]]*(1-Table1[[#This Row],[Duty Cycle BUCK Leg]]))*SQRT(Table1[[#This Row],[Iout]]^2+(Table1[[#This Row],[Ripple Current pk-pk]]^2)/12), Table1[[#This Row],[Ripple Current pk-pk]]/SQRT(12))</f>
        <v>5.8259623218458847</v>
      </c>
      <c r="AE157" s="354">
        <f>RCinEsr*Table1[[#This Row],[Irms Cin]]^2</f>
        <v>6.7883673951135787E-2</v>
      </c>
      <c r="AF157" s="549">
        <f>Table1[[#This Row],[Cin ESR Loss]]</f>
        <v>6.7883673951135787E-2</v>
      </c>
      <c r="AG15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7.2936480709492164</v>
      </c>
      <c r="AH157" s="354">
        <f>Rdson1*Table1[[#This Row],[Irms BuCtrl]]^2</f>
        <v>0.22342866916801718</v>
      </c>
      <c r="AI157" s="354">
        <f>CHOOSE(Table1[[#This Row],[Mode Digit]], (Table1[[#This Row],[Vin]]*Table1[[#This Row],[Iout]]/2)*(Fsw)*(Tr_buck+Tf_buck), 0, (Table1[[#This Row],[Vin]]*Table1[[#This Row],[Avg IL]]/2)*(Fsw/1)*(Tr_buck+Tf_buck))</f>
        <v>4.845533542937968</v>
      </c>
      <c r="AJ157">
        <f>IF(Table1[[#This Row],[Vin]]&gt;Vout, IF(Table1[[#This Row],[Iout]]&gt;Table1[[#This Row],[Ripple Current pk-pk]]/2,0,ABS(Table1[[#This Row],[Iout]]-Table1[[#This Row],[Ripple Current pk-pk]]/2)*Vsd_Q1*Deadtime*Fsw),0)</f>
        <v>0</v>
      </c>
      <c r="AK157" s="354">
        <f>(Table1[[#This Row],[Dead Time Loss BuCtrl]]+Table1[[#This Row],[Transition Loss BuCtrl]]+Table1[[#This Row],[RDS(on) Loss BuCtrl]]*(1+RdsonTopTc*Ta-RdsonTopTc*25))/(1-Table1[[#This Row],[RDS(on) Loss BuCtrl]]*RdsonTopTc*ThetaJA_Q1)</f>
        <v>5.356175786795677</v>
      </c>
      <c r="AL157" s="354">
        <f>CHOOSE(Table1[[#This Row],[Mode Digit]],SQRT((Fsw*(Table1[[#This Row],[t2_Ph_I]]+0))*((Table1[[#This Row],[I_0]]*Table1[[#This Row],[I_1]]+((Table1[[#This Row],[I_0]]-Table1[[#This Row],[I_1]])^2)/3))),0,SQRT((Fsw*(Table1[[#This Row],[t3_Ph_III]]+0))*((Table1[[#This Row],[I_0]]*Table1[[#This Row],[I_2]]+((Table1[[#This Row],[I_0]]-Table1[[#This Row],[I_2]])^2)/3))))</f>
        <v>9.6835693683766273</v>
      </c>
      <c r="AM157" s="354">
        <f>Rdson2*Table1[[#This Row],[Irms BuSync]]^2</f>
        <v>0.39384036599108091</v>
      </c>
      <c r="AN15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57" s="354">
        <f>(Table1[[#This Row],[Deadtime Loss BuSync]]+Table1[[#This Row],[RDS(on) Loss BuSync]]*(1+RdsonBotTc*Ta-RdsonBotTc*25))/(1-Table1[[#This Row],[RDS(on) Loss BuSync]]*RdsonBotTc*ThetaJA_Q2)</f>
        <v>1.0725953140096836</v>
      </c>
      <c r="AP157" s="354">
        <f>CHOOSE(Table1[[#This Row],[Mode Digit]],0,SQRT((Fsw*(Table1[[#This Row],[t1_Ph_II]]+0))*((Table1[[#This Row],[I_0]]*Table1[[#This Row],[I_1]]+((Table1[[#This Row],[I_0]]-Table1[[#This Row],[I_1]])^2)/3))),SQRT((Fsw*(Table1[[#This Row],[t2_Ph_I]]+0))*((Table1[[#This Row],[I_1]]*Table1[[#This Row],[I_2]]+((Table1[[#This Row],[I_1]]-Table1[[#This Row],[I_2]])^2)/3))))</f>
        <v>0</v>
      </c>
      <c r="AQ157" s="354">
        <f>Rdson4*Table1[[#This Row],[Irms BoCtlr]]^2</f>
        <v>0</v>
      </c>
      <c r="AR157" s="354">
        <f>CHOOSE(Table1[[#This Row],[Mode Digit]], 0, (Vout*Table1[[#This Row],[Iin]]/2)*(Fsw)*(Tr_boost+Tf_boost), (Vout*Iout/2)*(Fsw/1)*(Tr_boost+Tf_boost))</f>
        <v>0</v>
      </c>
      <c r="AS157">
        <f>IF(Table1[[#This Row],[Vin]]&gt;Vout, 0, IF(Table1[[#This Row],[Iin]]&gt;Table1[[#This Row],[Ripple Current pk-pk]]/2,0,ABS(Table1[[#This Row],[Iin]]-Table1[[#This Row],[Ripple Current pk-pk]]/2)*Vsd_Q4*Deadtime*Fsw))</f>
        <v>0</v>
      </c>
      <c r="AT157" s="354">
        <f>(Table1[[#This Row],[Dead Time Loss BoCtlr]]+Table1[[#This Row],[Transition Loss BoCtlr]]+Table1[[#This Row],[RDS(on) Loss BoCtlr]]*(1+RdsonTopTc*Ta-RdsonTopTc*25))/(1-Table1[[#This Row],[RDS(on) Loss BoCtlr]]*RdsonTopTc*ThetaJA_Q4)</f>
        <v>0</v>
      </c>
      <c r="AU15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12.123069656445242</v>
      </c>
      <c r="AV157" s="354">
        <f>Rdson3*Table1[[#This Row],[Irms BoSync]]^2</f>
        <v>0.61726903515909826</v>
      </c>
      <c r="AW15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57" s="354">
        <f>(Table1[[#This Row],[Deadtime Loss BoSync]]+Table1[[#This Row],[RDS(on) Loss BoSync]]*(1+RdsonBotTc*Ta-RdsonBotTc*25))/(1-Table1[[#This Row],[RDS(on) Loss BoSync]]*RdsonBotTc*ThetaJA_Q3)</f>
        <v>0.72461712667298406</v>
      </c>
      <c r="AY157" s="354">
        <f>CHOOSE(Table1[[#This Row],[Mode Digit]], Rdson3*Table1[[#This Row],[Irms Lf]]^2, Rdson1*Table1[[#This Row],[Irms Lf]]^2, 0)</f>
        <v>0.61726903515909826</v>
      </c>
      <c r="AZ157" s="354">
        <f>CHOOSE(Table1[[#This Row],[Mode Digit]], 2*Deadtime*Fsw*IF(VfdSky_Q2&gt;0,VfdSky_Q2,0)*Table1[[#This Row],[Iout]], 2*Deadtime*Fsw*IF(VfdSky_Q3&gt;0,VfdSky_Q3,0)*Table1[[#This Row],[Iin]], 2*Deadtime*Fsw*IF(VfdSky_Q2&gt;0,VfdSky_Q2,0)*Table1[[#This Row],[Iout]]+2*Deadtime*Fsw*IF(VfdSky_Q3&gt;0,VfdSky_Q3,0)*Table1[[#This Row],[Iin]])</f>
        <v>0</v>
      </c>
      <c r="BA157" s="354">
        <f>CHOOSE(Table1[[#This Row],[Mode Digit]], IF(QrrSky_Q2&gt;0,QrrSky_Q2,Qrr_Q2)*Fsw*(Table1[[#This Row],[Vin]]-Table1[[#This Row],[Iout]]*Rdson1),0,  IF(QrrSky_Q2&gt;0,QrrSky_Q2,Qrr_Q2)*Fsw*(Table1[[#This Row],[Vin]]-Table1[[#This Row],[Iout]]*Rdson1)+IF(QrrSky_Q3&gt;0,QrrSky_Q3,Qrr_Q3)*Fsw*Vout)</f>
        <v>0.48803519999999995</v>
      </c>
      <c r="BB157" s="354">
        <f>CHOOSE(Table1[[#This Row],[Mode Digit]],0, IF(QrrSky_Q3&gt;0,QrrSky_Q3,Qrr_Q3)*Fsw*Vout,  IF(QrrSky_Q2&gt;0,QrrSky_Q2,Qrr_Q2)*Fsw*(Table1[[#This Row],[Vin]]-Table1[[#This Row],[Iout]]*Rdson1)+IF(QrrSky_Q3&gt;0,QrrSky_Q3,Qrr_Q3)*Fsw*Vout)</f>
        <v>0</v>
      </c>
      <c r="BC157" s="354">
        <f>CHOOSE(Table1[[#This Row],[Mode Digit]], Rs*Table1[[#This Row],[Irms BuSync]]^2, Rs*Table1[[#This Row],[Irms BoCtlr]]^2, Rs*(Table1[[#This Row],[Irms BuSync]]^2+Table1[[#This Row],[Irms BoCtlr]]^2))</f>
        <v>0.23442878928040528</v>
      </c>
      <c r="BD157" s="354">
        <f t="shared" si="8"/>
        <v>1.44</v>
      </c>
      <c r="BE157" s="354">
        <f>IF(Vout&gt;8, Iq*Vout, Iq*Table1[[#This Row],[Vin]])</f>
        <v>4.3799999999999999E-2</v>
      </c>
      <c r="BF157" s="354">
        <f>CHOOSE(Table1[[#This Row],[Mode Digit]], (Qg_Q1+Qg_Q2)*Fsw, (Qg_Q3+Qg_Q4)*Fsw, (Qg_Q1+Qg_Q2+Qg_Q3+Qg_Q4)*Fsw)*IF(Vout&gt;8, Vout, Table1[[#This Row],[Vin]])</f>
        <v>0.47303999999999996</v>
      </c>
      <c r="BG157" s="354">
        <f t="shared" si="9"/>
        <v>0.45605042016806729</v>
      </c>
      <c r="BH157" s="354">
        <f>Table1[[#This Row],[IQ Loss]]+Table1[[#This Row],[Switching Current Loss]]</f>
        <v>0.51683999999999997</v>
      </c>
      <c r="BI15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12.801465207864521</v>
      </c>
      <c r="BJ157">
        <f>Vout*Table1[[#This Row],[Iout]]</f>
        <v>175.2</v>
      </c>
      <c r="BK157" s="550">
        <f>Table1[[#This Row],[Pout]]/(Table1[[#This Row],[Pout]]+Table1[[#This Row],[Total Loss]])</f>
        <v>0.93190763064686477</v>
      </c>
      <c r="BL15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321.37054720774063</v>
      </c>
      <c r="BM157" s="559">
        <f>IF(Table1[[#This Row],[Vin]]&gt;Vout, Table1[[#This Row],[Total Sync Bu MOSFET Loss]]*ThetaJA_Q2, ThetaJA_Q3*Table1[[#This Row],[Total Sync Bo MOSFET Loss]])</f>
        <v>64.355718840581019</v>
      </c>
      <c r="BN157" s="9"/>
      <c r="BO157" s="4">
        <f>Table1[[#This Row],[EFF, h]]*100</f>
        <v>93.190763064686479</v>
      </c>
      <c r="BP157" s="354">
        <f>Table1[[#This Row],[Total Inductor Loss]]</f>
        <v>2.8860452276795168</v>
      </c>
      <c r="BQ157" s="354">
        <f>Table1[[#This Row],[Total Control Bu MOSFET Loss]]+Table1[[#This Row],[Total Sync Bu MOSFET Loss]]+Table1[[#This Row],[Total Control Bo MOSFET Loss]]+Table1[[#This Row],[Total Sync Bo MOSFET Loss]]+Table1[[#This Row],[Reverse Recovery Loss MOSFET D BUCK]]+Table1[[#This Row],[Reverse Recovery Loss MOSFET D BOOST]]</f>
        <v>7.6414234274783448</v>
      </c>
      <c r="BR157" s="354">
        <f>Table1[[#This Row],[Total Control Bu MOSFET Loss]]+Table1[[#This Row],[Reverse Recovery Loss MOSFET D BUCK]]*0.66</f>
        <v>5.6782790187956769</v>
      </c>
      <c r="BS157" s="354">
        <f>Table1[[#This Row],[Total Sync Bu MOSFET Loss]]+Table1[[#This Row],[Reverse Recovery Loss MOSFET D BUCK]]*0.33</f>
        <v>1.2336469300096835</v>
      </c>
      <c r="BT157" s="354">
        <f xml:space="preserve"> Table1[[#This Row],[Total Control Bo MOSFET Loss]]+Table1[[#This Row],[Reverse Recovery Loss MOSFET D BOOST]]*0.66</f>
        <v>0</v>
      </c>
      <c r="BU157" s="354">
        <f xml:space="preserve"> Table1[[#This Row],[Total Sync Bo MOSFET Loss]]+Table1[[#This Row],[Reverse Recovery Loss MOSFET D BOOST]]*0.33</f>
        <v>0.72461712667298406</v>
      </c>
      <c r="BV157" s="354">
        <f>Table1[[#This Row],[Isense Shunt Loss]]</f>
        <v>0.23442878928040528</v>
      </c>
    </row>
    <row r="158" spans="7:74" x14ac:dyDescent="0.2">
      <c r="G158">
        <v>149</v>
      </c>
      <c r="H158" s="555">
        <f>VIN_min+(VIN_max-VIN_min)*(Table1[[#This Row],[Step]]/200)</f>
        <v>40.86</v>
      </c>
      <c r="I158" s="4" t="str">
        <f>IF(Mode = 2,IF(Table1[[#This Row],[Vin]]&gt;Vout, "BUCK","BOOST"),IF(Table1[[#This Row],[Vin]]&gt;VIN_BB_to_buck, "BUCK", IF(Table1[[#This Row],[Vin]]&lt;=VIN_boost_to_BB,"BOOST","BUCK-BST")))</f>
        <v>BUCK</v>
      </c>
      <c r="J158">
        <f>IF(Table1[[#This Row],[Mode]]="BOOST",2, IF(Table1[[#This Row],[Mode]]="BUCK", 1,3))</f>
        <v>1</v>
      </c>
      <c r="K158">
        <f t="shared" si="7"/>
        <v>12</v>
      </c>
      <c r="L158" s="4">
        <f>Vout*Table1[[#This Row],[Iout]]/(Table1[[#This Row],[Vin]]*Efficiency)</f>
        <v>4.5134863590694794</v>
      </c>
      <c r="M158" s="711">
        <f>MIN(1/Fsw,CHOOSE(Table1[[#This Row],[Mode Digit]],(Vout+(Rdson2+Rs+Rdcr)*Table1[[#This Row],[Iout]])/(Table1[[#This Row],[Vin]]+(Rs+Rdson2-Rdson1)*Table1[[#This Row],[Iout]])/Fsw,(Vout+(Rdson3+Rdcr)*Table1[[#This Row],[Iin]]-Table1[[#This Row],[Vin]])/(Vout+(Rdson3-Rdson4-Rs)*Table1[[#This Row],[Iin]])/Fsw,t1_Ph_II))</f>
        <v>6.0120648895410446E-7</v>
      </c>
      <c r="N158" s="602">
        <f>CHOOSE(Table1[[#This Row],[Mode Digit]],1/Fsw-Table1[[#This Row],[t1_Ph_II]],1/Fsw-Table1[[#This Row],[t1_Ph_II]],(Vout/Fsw-Table1[[#This Row],[Vin]]*t1_Ph_II)/(Table1[[#This Row],[Vin]]+Vout))</f>
        <v>1.0654601777125623E-6</v>
      </c>
      <c r="O158" s="602">
        <f>1/Fsw-(Table1[[#This Row],[t1_Ph_II]]+Table1[[#This Row],[t2_Ph_I]])</f>
        <v>0</v>
      </c>
      <c r="P15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9.0099086363759895</v>
      </c>
      <c r="Q158" s="4">
        <f>CHOOSE(Table1[[#This Row],[Mode Digit]],Table1[[#This Row],[I_0]]+1/Lf*(Table1[[#This Row],[Vin]]-Vout)*Table1[[#This Row],[t1_Ph_II]],Table1[[#This Row],[I_0]]+1/Lf*Table1[[#This Row],[Vin]]*Table1[[#This Row],[t1_Ph_II]],Table1[[#This Row],[I_0]]+(Table1[[#This Row],[Vin]]-Vout)/L*Table1[[#This Row],[t1_Ph_II]])</f>
        <v>14.990091363624012</v>
      </c>
      <c r="R158" s="4">
        <f>CHOOSE(Table1[[#This Row],[Mode Digit]],0,0,Table1[[#This Row],[I_1]]+Table1[[#This Row],[Vin]]/L*Table1[[#This Row],[t2_Ph_I]])</f>
        <v>0</v>
      </c>
      <c r="S158" s="4">
        <f>Fsw*(Table1[[#This Row],[I_0]]*Table1[[#This Row],[t1_Ph_II]]+Table1[[#This Row],[I_1]]*Table1[[#This Row],[t2_Ph_I]]+Table1[[#This Row],[I_2]]*Table1[[#This Row],[t3_Ph_III]])</f>
        <v>12.832896567172355</v>
      </c>
      <c r="T158" s="354">
        <f>MIN(1,CHOOSE(Table1[[#This Row],[Mode Digit]],(Vout+(Rdson2+Rs+Rdcr)*Table1[[#This Row],[Iout]])/(Table1[[#This Row],[Vin]]+(Rs+Rdson2-Rdson1)*Table1[[#This Row],[Iout]]),1,Fsw*Table1[[#This Row],[t2_Ph_I]]+Table1[[#This Row],[t1_Ph_II]]))</f>
        <v>0.36072389337246269</v>
      </c>
      <c r="U158" s="354">
        <f>MIN(1,CHOOSE(Table1[[#This Row],[Mode Digit]],0,(Vout+(Rdson3+Rdcr)*Table1[[#This Row],[Iin]]-Table1[[#This Row],[Vin]])/(Vout+(Rdson3-Rdson4-Rs)*Table1[[#This Row],[Iin]]),Fsw*Table1[[#This Row],[t1_Ph_II]]+Table1[[#This Row],[t3_Ph_III]]))</f>
        <v>0</v>
      </c>
      <c r="V158" s="4">
        <f>MAX(Table1[[#This Row],[I_0]:[I_2]])-MIN(Table1[[#This Row],[I_0]:[I_1]])</f>
        <v>5.9801827272480228</v>
      </c>
      <c r="W15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12.123539724613146</v>
      </c>
      <c r="X158" s="354">
        <f>(Table1[[#This Row],[Irms Lf]]^2*Rdcr*(1+Ltc*Ta-Ltc*25))/(1-Table1[[#This Row],[Irms Lf]]^2*Rdcr*Ltc*ThetaCa)</f>
        <v>0.91487891183830972</v>
      </c>
      <c r="Y158" s="354">
        <f>ABS(7.759*10^-3*Fsw^0.9458*(0.00787*Table1[[#This Row],[Ripple Current pk-pk]])^2.304)</f>
        <v>1.9799630723478683</v>
      </c>
      <c r="Z158" s="354">
        <f>Table1[[#This Row],[DCR    Loss]]+Table1[[#This Row],[Core Loss]]</f>
        <v>2.8948419841861779</v>
      </c>
      <c r="AA158" s="4">
        <f>IF(Table1[[#This Row],[Vin]]&gt;Vout, Table1[[#This Row],[Ripple Current pk-pk]]/SQRT(12), SQRT(Table1[[#This Row],[Duty Cycle BOOST Leg]]/(1-Table1[[#This Row],[Duty Cycle BOOST Leg]]))*SQRT(Table1[[#This Row],[Iout]]^2+(Table1[[#This Row],[Ripple Current pk-pk]]^2)/12))</f>
        <v>1.7263300536898982</v>
      </c>
      <c r="AB158" s="354">
        <f>RCoutEsr*Table1[[#This Row],[Irms Cout]]^2</f>
        <v>1.4901077271364836E-2</v>
      </c>
      <c r="AC158" s="354">
        <f>Table1[[#This Row],[Cout ESR Loss]]</f>
        <v>1.4901077271364836E-2</v>
      </c>
      <c r="AD158" s="354">
        <f>IF(Table1[[#This Row],[Vin]]&gt;Vout, SQRT(Table1[[#This Row],[Duty Cycle BUCK Leg]]*(1-Table1[[#This Row],[Duty Cycle BUCK Leg]]))*SQRT(Table1[[#This Row],[Iout]]^2+(Table1[[#This Row],[Ripple Current pk-pk]]^2)/12), Table1[[#This Row],[Ripple Current pk-pk]]/SQRT(12))</f>
        <v>5.8218516007308878</v>
      </c>
      <c r="AE158" s="354">
        <f>RCinEsr*Table1[[#This Row],[Irms Cin]]^2</f>
        <v>6.7787912121865607E-2</v>
      </c>
      <c r="AF158" s="549">
        <f>Table1[[#This Row],[Cin ESR Loss]]</f>
        <v>6.7787912121865607E-2</v>
      </c>
      <c r="AG15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7.2814336203380146</v>
      </c>
      <c r="AH158" s="354">
        <f>Rdson1*Table1[[#This Row],[Irms BuCtrl]]^2</f>
        <v>0.22268095738303287</v>
      </c>
      <c r="AI158" s="354">
        <f>CHOOSE(Table1[[#This Row],[Mode Digit]], (Table1[[#This Row],[Vin]]*Table1[[#This Row],[Iout]]/2)*(Fsw)*(Tr_buck+Tf_buck), 0, (Table1[[#This Row],[Vin]]*Table1[[#This Row],[Avg IL]]/2)*(Fsw/1)*(Tr_buck+Tf_buck))</f>
        <v>4.8621930394019</v>
      </c>
      <c r="AJ158">
        <f>IF(Table1[[#This Row],[Vin]]&gt;Vout, IF(Table1[[#This Row],[Iout]]&gt;Table1[[#This Row],[Ripple Current pk-pk]]/2,0,ABS(Table1[[#This Row],[Iout]]-Table1[[#This Row],[Ripple Current pk-pk]]/2)*Vsd_Q1*Deadtime*Fsw),0)</f>
        <v>0</v>
      </c>
      <c r="AK158" s="354">
        <f>(Table1[[#This Row],[Dead Time Loss BuCtrl]]+Table1[[#This Row],[Transition Loss BuCtrl]]+Table1[[#This Row],[RDS(on) Loss BuCtrl]]*(1+RdsonTopTc*Ta-RdsonTopTc*25))/(1-Table1[[#This Row],[RDS(on) Loss BuCtrl]]*RdsonTopTc*ThetaJA_Q1)</f>
        <v>5.3719705263466038</v>
      </c>
      <c r="AL158" s="354">
        <f>CHOOSE(Table1[[#This Row],[Mode Digit]],SQRT((Fsw*(Table1[[#This Row],[t2_Ph_I]]+0))*((Table1[[#This Row],[I_0]]*Table1[[#This Row],[I_1]]+((Table1[[#This Row],[I_0]]-Table1[[#This Row],[I_1]])^2)/3))),0,SQRT((Fsw*(Table1[[#This Row],[t3_Ph_III]]+0))*((Table1[[#This Row],[I_0]]*Table1[[#This Row],[I_2]]+((Table1[[#This Row],[I_0]]-Table1[[#This Row],[I_2]])^2)/3))))</f>
        <v>9.6933451340022057</v>
      </c>
      <c r="AM158" s="354">
        <f>Rdson2*Table1[[#This Row],[Irms BuSync]]^2</f>
        <v>0.39463594752491382</v>
      </c>
      <c r="AN15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58" s="354">
        <f>(Table1[[#This Row],[Deadtime Loss BuSync]]+Table1[[#This Row],[RDS(on) Loss BuSync]]*(1+RdsonBotTc*Ta-RdsonBotTc*25))/(1-Table1[[#This Row],[RDS(on) Loss BuSync]]*RdsonBotTc*ThetaJA_Q2)</f>
        <v>1.0737003580544169</v>
      </c>
      <c r="AP158" s="354">
        <f>CHOOSE(Table1[[#This Row],[Mode Digit]],0,SQRT((Fsw*(Table1[[#This Row],[t1_Ph_II]]+0))*((Table1[[#This Row],[I_0]]*Table1[[#This Row],[I_1]]+((Table1[[#This Row],[I_0]]-Table1[[#This Row],[I_1]])^2)/3))),SQRT((Fsw*(Table1[[#This Row],[t2_Ph_I]]+0))*((Table1[[#This Row],[I_1]]*Table1[[#This Row],[I_2]]+((Table1[[#This Row],[I_1]]-Table1[[#This Row],[I_2]])^2)/3))))</f>
        <v>0</v>
      </c>
      <c r="AQ158" s="354">
        <f>Rdson4*Table1[[#This Row],[Irms BoCtlr]]^2</f>
        <v>0</v>
      </c>
      <c r="AR158" s="354">
        <f>CHOOSE(Table1[[#This Row],[Mode Digit]], 0, (Vout*Table1[[#This Row],[Iin]]/2)*(Fsw)*(Tr_boost+Tf_boost), (Vout*Iout/2)*(Fsw/1)*(Tr_boost+Tf_boost))</f>
        <v>0</v>
      </c>
      <c r="AS158">
        <f>IF(Table1[[#This Row],[Vin]]&gt;Vout, 0, IF(Table1[[#This Row],[Iin]]&gt;Table1[[#This Row],[Ripple Current pk-pk]]/2,0,ABS(Table1[[#This Row],[Iin]]-Table1[[#This Row],[Ripple Current pk-pk]]/2)*Vsd_Q4*Deadtime*Fsw))</f>
        <v>0</v>
      </c>
      <c r="AT158" s="354">
        <f>(Table1[[#This Row],[Dead Time Loss BoCtlr]]+Table1[[#This Row],[Transition Loss BoCtlr]]+Table1[[#This Row],[RDS(on) Loss BoCtlr]]*(1+RdsonTopTc*Ta-RdsonTopTc*25))/(1-Table1[[#This Row],[RDS(on) Loss BoCtlr]]*RdsonTopTc*ThetaJA_Q4)</f>
        <v>0</v>
      </c>
      <c r="AU15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12.123539724613146</v>
      </c>
      <c r="AV158" s="354">
        <f>Rdson3*Table1[[#This Row],[Irms BoSync]]^2</f>
        <v>0.61731690490794655</v>
      </c>
      <c r="AW15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58" s="354">
        <f>(Table1[[#This Row],[Deadtime Loss BoSync]]+Table1[[#This Row],[RDS(on) Loss BoSync]]*(1+RdsonBotTc*Ta-RdsonBotTc*25))/(1-Table1[[#This Row],[RDS(on) Loss BoSync]]*RdsonBotTc*ThetaJA_Q3)</f>
        <v>0.72468309496082528</v>
      </c>
      <c r="AY158" s="354">
        <f>CHOOSE(Table1[[#This Row],[Mode Digit]], Rdson3*Table1[[#This Row],[Irms Lf]]^2, Rdson1*Table1[[#This Row],[Irms Lf]]^2, 0)</f>
        <v>0.61731690490794655</v>
      </c>
      <c r="AZ158" s="354">
        <f>CHOOSE(Table1[[#This Row],[Mode Digit]], 2*Deadtime*Fsw*IF(VfdSky_Q2&gt;0,VfdSky_Q2,0)*Table1[[#This Row],[Iout]], 2*Deadtime*Fsw*IF(VfdSky_Q3&gt;0,VfdSky_Q3,0)*Table1[[#This Row],[Iin]], 2*Deadtime*Fsw*IF(VfdSky_Q2&gt;0,VfdSky_Q2,0)*Table1[[#This Row],[Iout]]+2*Deadtime*Fsw*IF(VfdSky_Q3&gt;0,VfdSky_Q3,0)*Table1[[#This Row],[Iin]])</f>
        <v>0</v>
      </c>
      <c r="BA158" s="354">
        <f>CHOOSE(Table1[[#This Row],[Mode Digit]], IF(QrrSky_Q2&gt;0,QrrSky_Q2,Qrr_Q2)*Fsw*(Table1[[#This Row],[Vin]]-Table1[[#This Row],[Iout]]*Rdson1),0,  IF(QrrSky_Q2&gt;0,QrrSky_Q2,Qrr_Q2)*Fsw*(Table1[[#This Row],[Vin]]-Table1[[#This Row],[Iout]]*Rdson1)+IF(QrrSky_Q3&gt;0,QrrSky_Q3,Qrr_Q3)*Fsw*Vout)</f>
        <v>0.48971519999999996</v>
      </c>
      <c r="BB158" s="354">
        <f>CHOOSE(Table1[[#This Row],[Mode Digit]],0, IF(QrrSky_Q3&gt;0,QrrSky_Q3,Qrr_Q3)*Fsw*Vout,  IF(QrrSky_Q2&gt;0,QrrSky_Q2,Qrr_Q2)*Fsw*(Table1[[#This Row],[Vin]]-Table1[[#This Row],[Iout]]*Rdson1)+IF(QrrSky_Q3&gt;0,QrrSky_Q3,Qrr_Q3)*Fsw*Vout)</f>
        <v>0</v>
      </c>
      <c r="BC158" s="354">
        <f>CHOOSE(Table1[[#This Row],[Mode Digit]], Rs*Table1[[#This Row],[Irms BuSync]]^2, Rs*Table1[[#This Row],[Irms BoCtlr]]^2, Rs*(Table1[[#This Row],[Irms BuSync]]^2+Table1[[#This Row],[Irms BoCtlr]]^2))</f>
        <v>0.23490234971721058</v>
      </c>
      <c r="BD158" s="354">
        <f t="shared" si="8"/>
        <v>1.44</v>
      </c>
      <c r="BE158" s="354">
        <f>IF(Vout&gt;8, Iq*Vout, Iq*Table1[[#This Row],[Vin]])</f>
        <v>4.3799999999999999E-2</v>
      </c>
      <c r="BF158" s="354">
        <f>CHOOSE(Table1[[#This Row],[Mode Digit]], (Qg_Q1+Qg_Q2)*Fsw, (Qg_Q3+Qg_Q4)*Fsw, (Qg_Q1+Qg_Q2+Qg_Q3+Qg_Q4)*Fsw)*IF(Vout&gt;8, Vout, Table1[[#This Row],[Vin]])</f>
        <v>0.47303999999999996</v>
      </c>
      <c r="BG158" s="354">
        <f t="shared" si="9"/>
        <v>0.45605042016806729</v>
      </c>
      <c r="BH158" s="354">
        <f>Table1[[#This Row],[IQ Loss]]+Table1[[#This Row],[Switching Current Loss]]</f>
        <v>0.51683999999999997</v>
      </c>
      <c r="BI15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12.829342502658463</v>
      </c>
      <c r="BJ158">
        <f>Vout*Table1[[#This Row],[Iout]]</f>
        <v>175.2</v>
      </c>
      <c r="BK158" s="550">
        <f>Table1[[#This Row],[Pout]]/(Table1[[#This Row],[Pout]]+Table1[[#This Row],[Total Loss]])</f>
        <v>0.9317694657019977</v>
      </c>
      <c r="BL15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322.31823158079624</v>
      </c>
      <c r="BM158" s="559">
        <f>IF(Table1[[#This Row],[Vin]]&gt;Vout, Table1[[#This Row],[Total Sync Bu MOSFET Loss]]*ThetaJA_Q2, ThetaJA_Q3*Table1[[#This Row],[Total Sync Bo MOSFET Loss]])</f>
        <v>64.422021483265013</v>
      </c>
      <c r="BN158" s="9"/>
      <c r="BO158" s="4">
        <f>Table1[[#This Row],[EFF, h]]*100</f>
        <v>93.176946570199775</v>
      </c>
      <c r="BP158" s="354">
        <f>Table1[[#This Row],[Total Inductor Loss]]</f>
        <v>2.8948419841861779</v>
      </c>
      <c r="BQ158" s="354">
        <f>Table1[[#This Row],[Total Control Bu MOSFET Loss]]+Table1[[#This Row],[Total Sync Bu MOSFET Loss]]+Table1[[#This Row],[Total Control Bo MOSFET Loss]]+Table1[[#This Row],[Total Sync Bo MOSFET Loss]]+Table1[[#This Row],[Reverse Recovery Loss MOSFET D BUCK]]+Table1[[#This Row],[Reverse Recovery Loss MOSFET D BOOST]]</f>
        <v>7.6600691793618463</v>
      </c>
      <c r="BR158" s="354">
        <f>Table1[[#This Row],[Total Control Bu MOSFET Loss]]+Table1[[#This Row],[Reverse Recovery Loss MOSFET D BUCK]]*0.66</f>
        <v>5.6951825583466036</v>
      </c>
      <c r="BS158" s="354">
        <f>Table1[[#This Row],[Total Sync Bu MOSFET Loss]]+Table1[[#This Row],[Reverse Recovery Loss MOSFET D BUCK]]*0.33</f>
        <v>1.2353063740544168</v>
      </c>
      <c r="BT158" s="354">
        <f xml:space="preserve"> Table1[[#This Row],[Total Control Bo MOSFET Loss]]+Table1[[#This Row],[Reverse Recovery Loss MOSFET D BOOST]]*0.66</f>
        <v>0</v>
      </c>
      <c r="BU158" s="354">
        <f xml:space="preserve"> Table1[[#This Row],[Total Sync Bo MOSFET Loss]]+Table1[[#This Row],[Reverse Recovery Loss MOSFET D BOOST]]*0.33</f>
        <v>0.72468309496082528</v>
      </c>
      <c r="BV158" s="354">
        <f>Table1[[#This Row],[Isense Shunt Loss]]</f>
        <v>0.23490234971721058</v>
      </c>
    </row>
    <row r="159" spans="7:74" x14ac:dyDescent="0.2">
      <c r="G159">
        <v>150</v>
      </c>
      <c r="H159" s="555">
        <f>VIN_min+(VIN_max-VIN_min)*(Table1[[#This Row],[Step]]/200)</f>
        <v>41</v>
      </c>
      <c r="I159" s="4" t="str">
        <f>IF(Mode = 2,IF(Table1[[#This Row],[Vin]]&gt;Vout, "BUCK","BOOST"),IF(Table1[[#This Row],[Vin]]&gt;VIN_BB_to_buck, "BUCK", IF(Table1[[#This Row],[Vin]]&lt;=VIN_boost_to_BB,"BOOST","BUCK-BST")))</f>
        <v>BUCK</v>
      </c>
      <c r="J159">
        <f>IF(Table1[[#This Row],[Mode]]="BOOST",2, IF(Table1[[#This Row],[Mode]]="BUCK", 1,3))</f>
        <v>1</v>
      </c>
      <c r="K159">
        <f t="shared" si="7"/>
        <v>12</v>
      </c>
      <c r="L159" s="4">
        <f>Vout*Table1[[#This Row],[Iout]]/(Table1[[#This Row],[Vin]]*Efficiency)</f>
        <v>4.498074454428755</v>
      </c>
      <c r="M159" s="711">
        <f>MIN(1/Fsw,CHOOSE(Table1[[#This Row],[Mode Digit]],(Vout+(Rdson2+Rs+Rdcr)*Table1[[#This Row],[Iout]])/(Table1[[#This Row],[Vin]]+(Rs+Rdson2-Rdson1)*Table1[[#This Row],[Iout]])/Fsw,(Vout+(Rdson3+Rdcr)*Table1[[#This Row],[Iin]]-Table1[[#This Row],[Vin]])/(Vout+(Rdson3-Rdson4-Rs)*Table1[[#This Row],[Iin]])/Fsw,t1_Ph_II))</f>
        <v>5.9915508977171176E-7</v>
      </c>
      <c r="N159" s="602">
        <f>CHOOSE(Table1[[#This Row],[Mode Digit]],1/Fsw-Table1[[#This Row],[t1_Ph_II]],1/Fsw-Table1[[#This Row],[t1_Ph_II]],(Vout/Fsw-Table1[[#This Row],[Vin]]*t1_Ph_II)/(Table1[[#This Row],[Vin]]+Vout))</f>
        <v>1.0675115768949549E-6</v>
      </c>
      <c r="O159" s="602">
        <f>1/Fsw-(Table1[[#This Row],[t1_Ph_II]]+Table1[[#This Row],[t2_Ph_I]])</f>
        <v>0</v>
      </c>
      <c r="P15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9.0042245511414407</v>
      </c>
      <c r="Q159" s="4">
        <f>CHOOSE(Table1[[#This Row],[Mode Digit]],Table1[[#This Row],[I_0]]+1/Lf*(Table1[[#This Row],[Vin]]-Vout)*Table1[[#This Row],[t1_Ph_II]],Table1[[#This Row],[I_0]]+1/Lf*Table1[[#This Row],[Vin]]*Table1[[#This Row],[t1_Ph_II]],Table1[[#This Row],[I_0]]+(Table1[[#This Row],[Vin]]-Vout)/L*Table1[[#This Row],[t1_Ph_II]])</f>
        <v>14.995775448858559</v>
      </c>
      <c r="R159" s="4">
        <f>CHOOSE(Table1[[#This Row],[Mode Digit]],0,0,Table1[[#This Row],[I_1]]+Table1[[#This Row],[Vin]]/L*Table1[[#This Row],[t2_Ph_I]])</f>
        <v>0</v>
      </c>
      <c r="S159" s="4">
        <f>Fsw*(Table1[[#This Row],[I_0]]*Table1[[#This Row],[t1_Ph_II]]+Table1[[#This Row],[I_1]]*Table1[[#This Row],[t2_Ph_I]]+Table1[[#This Row],[I_2]]*Table1[[#This Row],[t3_Ph_III]])</f>
        <v>12.841854519262473</v>
      </c>
      <c r="T159" s="354">
        <f>MIN(1,CHOOSE(Table1[[#This Row],[Mode Digit]],(Vout+(Rdson2+Rs+Rdcr)*Table1[[#This Row],[Iout]])/(Table1[[#This Row],[Vin]]+(Rs+Rdson2-Rdson1)*Table1[[#This Row],[Iout]]),1,Fsw*Table1[[#This Row],[t2_Ph_I]]+Table1[[#This Row],[t1_Ph_II]]))</f>
        <v>0.35949305386302705</v>
      </c>
      <c r="U159" s="354">
        <f>MIN(1,CHOOSE(Table1[[#This Row],[Mode Digit]],0,(Vout+(Rdson3+Rdcr)*Table1[[#This Row],[Iin]]-Table1[[#This Row],[Vin]])/(Vout+(Rdson3-Rdson4-Rs)*Table1[[#This Row],[Iin]]),Fsw*Table1[[#This Row],[t1_Ph_II]]+Table1[[#This Row],[t3_Ph_III]]))</f>
        <v>0</v>
      </c>
      <c r="V159" s="4">
        <f>MAX(Table1[[#This Row],[I_0]:[I_2]])-MIN(Table1[[#This Row],[I_0]:[I_1]])</f>
        <v>5.9915508977171186</v>
      </c>
      <c r="W15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12.124007458207094</v>
      </c>
      <c r="X159" s="354">
        <f>(Table1[[#This Row],[Irms Lf]]^2*Rdcr*(1+Ltc*Ta-Ltc*25))/(1-Table1[[#This Row],[Irms Lf]]^2*Rdcr*Ltc*ThetaCa)</f>
        <v>0.91495467364285721</v>
      </c>
      <c r="Y159" s="354">
        <f>ABS(7.759*10^-3*Fsw^0.9458*(0.00787*Table1[[#This Row],[Ripple Current pk-pk]])^2.304)</f>
        <v>1.9886457512050664</v>
      </c>
      <c r="Z159" s="354">
        <f>Table1[[#This Row],[DCR    Loss]]+Table1[[#This Row],[Core Loss]]</f>
        <v>2.9036004248479235</v>
      </c>
      <c r="AA159" s="4">
        <f>IF(Table1[[#This Row],[Vin]]&gt;Vout, Table1[[#This Row],[Ripple Current pk-pk]]/SQRT(12), SQRT(Table1[[#This Row],[Duty Cycle BOOST Leg]]/(1-Table1[[#This Row],[Duty Cycle BOOST Leg]]))*SQRT(Table1[[#This Row],[Iout]]^2+(Table1[[#This Row],[Ripple Current pk-pk]]^2)/12))</f>
        <v>1.7296117618301612</v>
      </c>
      <c r="AB159" s="354">
        <f>RCoutEsr*Table1[[#This Row],[Irms Cout]]^2</f>
        <v>1.4957784233306171E-2</v>
      </c>
      <c r="AC159" s="354">
        <f>Table1[[#This Row],[Cout ESR Loss]]</f>
        <v>1.4957784233306171E-2</v>
      </c>
      <c r="AD159" s="354">
        <f>IF(Table1[[#This Row],[Vin]]&gt;Vout, SQRT(Table1[[#This Row],[Duty Cycle BUCK Leg]]*(1-Table1[[#This Row],[Duty Cycle BUCK Leg]]))*SQRT(Table1[[#This Row],[Iout]]^2+(Table1[[#This Row],[Ripple Current pk-pk]]^2)/12), Table1[[#This Row],[Ripple Current pk-pk]]/SQRT(12))</f>
        <v>5.8177274099884384</v>
      </c>
      <c r="AE159" s="354">
        <f>RCinEsr*Table1[[#This Row],[Irms Cin]]^2</f>
        <v>6.7691904433861569E-2</v>
      </c>
      <c r="AF159" s="549">
        <f>Table1[[#This Row],[Cin ESR Loss]]</f>
        <v>6.7691904433861569E-2</v>
      </c>
      <c r="AG15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7.2692808215728597</v>
      </c>
      <c r="AH159" s="354">
        <f>Rdson1*Table1[[#This Row],[Irms BuCtrl]]^2</f>
        <v>0.22193826338412539</v>
      </c>
      <c r="AI159" s="354">
        <f>CHOOSE(Table1[[#This Row],[Mode Digit]], (Table1[[#This Row],[Vin]]*Table1[[#This Row],[Iout]]/2)*(Fsw)*(Tr_buck+Tf_buck), 0, (Table1[[#This Row],[Vin]]*Table1[[#This Row],[Avg IL]]/2)*(Fsw/1)*(Tr_buck+Tf_buck))</f>
        <v>4.8788525358658319</v>
      </c>
      <c r="AJ159">
        <f>IF(Table1[[#This Row],[Vin]]&gt;Vout, IF(Table1[[#This Row],[Iout]]&gt;Table1[[#This Row],[Ripple Current pk-pk]]/2,0,ABS(Table1[[#This Row],[Iout]]-Table1[[#This Row],[Ripple Current pk-pk]]/2)*Vsd_Q1*Deadtime*Fsw),0)</f>
        <v>0</v>
      </c>
      <c r="AK159" s="354">
        <f>(Table1[[#This Row],[Dead Time Loss BuCtrl]]+Table1[[#This Row],[Transition Loss BuCtrl]]+Table1[[#This Row],[RDS(on) Loss BuCtrl]]*(1+RdsonTopTc*Ta-RdsonTopTc*25))/(1-Table1[[#This Row],[RDS(on) Loss BuCtrl]]*RdsonTopTc*ThetaJA_Q1)</f>
        <v>5.3877714316628849</v>
      </c>
      <c r="AL159" s="354">
        <f>CHOOSE(Table1[[#This Row],[Mode Digit]],SQRT((Fsw*(Table1[[#This Row],[t2_Ph_I]]+0))*((Table1[[#This Row],[I_0]]*Table1[[#This Row],[I_1]]+((Table1[[#This Row],[I_0]]-Table1[[#This Row],[I_1]])^2)/3))),0,SQRT((Fsw*(Table1[[#This Row],[t3_Ph_III]]+0))*((Table1[[#This Row],[I_0]]*Table1[[#This Row],[I_2]]+((Table1[[#This Row],[I_0]]-Table1[[#This Row],[I_2]])^2)/3))))</f>
        <v>9.7030465928889704</v>
      </c>
      <c r="AM159" s="354">
        <f>Rdson2*Table1[[#This Row],[Irms BuSync]]^2</f>
        <v>0.39542627537185193</v>
      </c>
      <c r="AN15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59" s="354">
        <f>(Table1[[#This Row],[Deadtime Loss BuSync]]+Table1[[#This Row],[RDS(on) Loss BuSync]]*(1+RdsonBotTc*Ta-RdsonBotTc*25))/(1-Table1[[#This Row],[RDS(on) Loss BuSync]]*RdsonBotTc*ThetaJA_Q2)</f>
        <v>1.0747985664840289</v>
      </c>
      <c r="AP159" s="354">
        <f>CHOOSE(Table1[[#This Row],[Mode Digit]],0,SQRT((Fsw*(Table1[[#This Row],[t1_Ph_II]]+0))*((Table1[[#This Row],[I_0]]*Table1[[#This Row],[I_1]]+((Table1[[#This Row],[I_0]]-Table1[[#This Row],[I_1]])^2)/3))),SQRT((Fsw*(Table1[[#This Row],[t2_Ph_I]]+0))*((Table1[[#This Row],[I_1]]*Table1[[#This Row],[I_2]]+((Table1[[#This Row],[I_1]]-Table1[[#This Row],[I_2]])^2)/3))))</f>
        <v>0</v>
      </c>
      <c r="AQ159" s="354">
        <f>Rdson4*Table1[[#This Row],[Irms BoCtlr]]^2</f>
        <v>0</v>
      </c>
      <c r="AR159" s="354">
        <f>CHOOSE(Table1[[#This Row],[Mode Digit]], 0, (Vout*Table1[[#This Row],[Iin]]/2)*(Fsw)*(Tr_boost+Tf_boost), (Vout*Iout/2)*(Fsw/1)*(Tr_boost+Tf_boost))</f>
        <v>0</v>
      </c>
      <c r="AS159">
        <f>IF(Table1[[#This Row],[Vin]]&gt;Vout, 0, IF(Table1[[#This Row],[Iin]]&gt;Table1[[#This Row],[Ripple Current pk-pk]]/2,0,ABS(Table1[[#This Row],[Iin]]-Table1[[#This Row],[Ripple Current pk-pk]]/2)*Vsd_Q4*Deadtime*Fsw))</f>
        <v>0</v>
      </c>
      <c r="AT159" s="354">
        <f>(Table1[[#This Row],[Dead Time Loss BoCtlr]]+Table1[[#This Row],[Transition Loss BoCtlr]]+Table1[[#This Row],[RDS(on) Loss BoCtlr]]*(1+RdsonTopTc*Ta-RdsonTopTc*25))/(1-Table1[[#This Row],[RDS(on) Loss BoCtlr]]*RdsonTopTc*ThetaJA_Q4)</f>
        <v>0</v>
      </c>
      <c r="AU15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12.124007458207094</v>
      </c>
      <c r="AV159" s="354">
        <f>Rdson3*Table1[[#This Row],[Irms BoSync]]^2</f>
        <v>0.6173645387559773</v>
      </c>
      <c r="AW15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59" s="354">
        <f>(Table1[[#This Row],[Deadtime Loss BoSync]]+Table1[[#This Row],[RDS(on) Loss BoSync]]*(1+RdsonBotTc*Ta-RdsonBotTc*25))/(1-Table1[[#This Row],[RDS(on) Loss BoSync]]*RdsonBotTc*ThetaJA_Q3)</f>
        <v>0.7247487399250504</v>
      </c>
      <c r="AY159" s="354">
        <f>CHOOSE(Table1[[#This Row],[Mode Digit]], Rdson3*Table1[[#This Row],[Irms Lf]]^2, Rdson1*Table1[[#This Row],[Irms Lf]]^2, 0)</f>
        <v>0.6173645387559773</v>
      </c>
      <c r="AZ159" s="354">
        <f>CHOOSE(Table1[[#This Row],[Mode Digit]], 2*Deadtime*Fsw*IF(VfdSky_Q2&gt;0,VfdSky_Q2,0)*Table1[[#This Row],[Iout]], 2*Deadtime*Fsw*IF(VfdSky_Q3&gt;0,VfdSky_Q3,0)*Table1[[#This Row],[Iin]], 2*Deadtime*Fsw*IF(VfdSky_Q2&gt;0,VfdSky_Q2,0)*Table1[[#This Row],[Iout]]+2*Deadtime*Fsw*IF(VfdSky_Q3&gt;0,VfdSky_Q3,0)*Table1[[#This Row],[Iin]])</f>
        <v>0</v>
      </c>
      <c r="BA159" s="354">
        <f>CHOOSE(Table1[[#This Row],[Mode Digit]], IF(QrrSky_Q2&gt;0,QrrSky_Q2,Qrr_Q2)*Fsw*(Table1[[#This Row],[Vin]]-Table1[[#This Row],[Iout]]*Rdson1),0,  IF(QrrSky_Q2&gt;0,QrrSky_Q2,Qrr_Q2)*Fsw*(Table1[[#This Row],[Vin]]-Table1[[#This Row],[Iout]]*Rdson1)+IF(QrrSky_Q3&gt;0,QrrSky_Q3,Qrr_Q3)*Fsw*Vout)</f>
        <v>0.49139519999999998</v>
      </c>
      <c r="BB159" s="354">
        <f>CHOOSE(Table1[[#This Row],[Mode Digit]],0, IF(QrrSky_Q3&gt;0,QrrSky_Q3,Qrr_Q3)*Fsw*Vout,  IF(QrrSky_Q2&gt;0,QrrSky_Q2,Qrr_Q2)*Fsw*(Table1[[#This Row],[Vin]]-Table1[[#This Row],[Iout]]*Rdson1)+IF(QrrSky_Q3&gt;0,QrrSky_Q3,Qrr_Q3)*Fsw*Vout)</f>
        <v>0</v>
      </c>
      <c r="BC159" s="354">
        <f>CHOOSE(Table1[[#This Row],[Mode Digit]], Rs*Table1[[#This Row],[Irms BuSync]]^2, Rs*Table1[[#This Row],[Irms BoCtlr]]^2, Rs*(Table1[[#This Row],[Irms BuSync]]^2+Table1[[#This Row],[Irms BoCtlr]]^2))</f>
        <v>0.23537278295943564</v>
      </c>
      <c r="BD159" s="354">
        <f t="shared" si="8"/>
        <v>1.44</v>
      </c>
      <c r="BE159" s="354">
        <f>IF(Vout&gt;8, Iq*Vout, Iq*Table1[[#This Row],[Vin]])</f>
        <v>4.3799999999999999E-2</v>
      </c>
      <c r="BF159" s="354">
        <f>CHOOSE(Table1[[#This Row],[Mode Digit]], (Qg_Q1+Qg_Q2)*Fsw, (Qg_Q3+Qg_Q4)*Fsw, (Qg_Q1+Qg_Q2+Qg_Q3+Qg_Q4)*Fsw)*IF(Vout&gt;8, Vout, Table1[[#This Row],[Vin]])</f>
        <v>0.47303999999999996</v>
      </c>
      <c r="BG159" s="354">
        <f t="shared" si="9"/>
        <v>0.45605042016806729</v>
      </c>
      <c r="BH159" s="354">
        <f>Table1[[#This Row],[IQ Loss]]+Table1[[#This Row],[Switching Current Loss]]</f>
        <v>0.51683999999999997</v>
      </c>
      <c r="BI15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12.857176834546491</v>
      </c>
      <c r="BJ159">
        <f>Vout*Table1[[#This Row],[Iout]]</f>
        <v>175.2</v>
      </c>
      <c r="BK159" s="550">
        <f>Table1[[#This Row],[Pout]]/(Table1[[#This Row],[Pout]]+Table1[[#This Row],[Total Loss]])</f>
        <v>0.93163155455716373</v>
      </c>
      <c r="BL15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323.2662858997731</v>
      </c>
      <c r="BM159" s="559">
        <f>IF(Table1[[#This Row],[Vin]]&gt;Vout, Table1[[#This Row],[Total Sync Bu MOSFET Loss]]*ThetaJA_Q2, ThetaJA_Q3*Table1[[#This Row],[Total Sync Bo MOSFET Loss]])</f>
        <v>64.487913989041743</v>
      </c>
      <c r="BN159" s="9"/>
      <c r="BO159" s="4">
        <f>Table1[[#This Row],[EFF, h]]*100</f>
        <v>93.163155455716378</v>
      </c>
      <c r="BP159" s="354">
        <f>Table1[[#This Row],[Total Inductor Loss]]</f>
        <v>2.9036004248479235</v>
      </c>
      <c r="BQ159" s="354">
        <f>Table1[[#This Row],[Total Control Bu MOSFET Loss]]+Table1[[#This Row],[Total Sync Bu MOSFET Loss]]+Table1[[#This Row],[Total Control Bo MOSFET Loss]]+Table1[[#This Row],[Total Sync Bo MOSFET Loss]]+Table1[[#This Row],[Reverse Recovery Loss MOSFET D BUCK]]+Table1[[#This Row],[Reverse Recovery Loss MOSFET D BOOST]]</f>
        <v>7.6787139380719642</v>
      </c>
      <c r="BR159" s="354">
        <f>Table1[[#This Row],[Total Control Bu MOSFET Loss]]+Table1[[#This Row],[Reverse Recovery Loss MOSFET D BUCK]]*0.66</f>
        <v>5.7120922636628846</v>
      </c>
      <c r="BS159" s="354">
        <f>Table1[[#This Row],[Total Sync Bu MOSFET Loss]]+Table1[[#This Row],[Reverse Recovery Loss MOSFET D BUCK]]*0.33</f>
        <v>1.236958982484029</v>
      </c>
      <c r="BT159" s="354">
        <f xml:space="preserve"> Table1[[#This Row],[Total Control Bo MOSFET Loss]]+Table1[[#This Row],[Reverse Recovery Loss MOSFET D BOOST]]*0.66</f>
        <v>0</v>
      </c>
      <c r="BU159" s="354">
        <f xml:space="preserve"> Table1[[#This Row],[Total Sync Bo MOSFET Loss]]+Table1[[#This Row],[Reverse Recovery Loss MOSFET D BOOST]]*0.33</f>
        <v>0.7247487399250504</v>
      </c>
      <c r="BV159" s="354">
        <f>Table1[[#This Row],[Isense Shunt Loss]]</f>
        <v>0.23537278295943564</v>
      </c>
    </row>
    <row r="160" spans="7:74" x14ac:dyDescent="0.2">
      <c r="G160">
        <v>151</v>
      </c>
      <c r="H160" s="555">
        <f>VIN_min+(VIN_max-VIN_min)*(Table1[[#This Row],[Step]]/200)</f>
        <v>41.14</v>
      </c>
      <c r="I160" s="4" t="str">
        <f>IF(Mode = 2,IF(Table1[[#This Row],[Vin]]&gt;Vout, "BUCK","BOOST"),IF(Table1[[#This Row],[Vin]]&gt;VIN_BB_to_buck, "BUCK", IF(Table1[[#This Row],[Vin]]&lt;=VIN_boost_to_BB,"BOOST","BUCK-BST")))</f>
        <v>BUCK</v>
      </c>
      <c r="J160">
        <f>IF(Table1[[#This Row],[Mode]]="BOOST",2, IF(Table1[[#This Row],[Mode]]="BUCK", 1,3))</f>
        <v>1</v>
      </c>
      <c r="K160">
        <f t="shared" si="7"/>
        <v>12</v>
      </c>
      <c r="L160" s="4">
        <f>Vout*Table1[[#This Row],[Iout]]/(Table1[[#This Row],[Vin]]*Efficiency)</f>
        <v>4.4827674436455744</v>
      </c>
      <c r="M160" s="711">
        <f>MIN(1/Fsw,CHOOSE(Table1[[#This Row],[Mode Digit]],(Vout+(Rdson2+Rs+Rdcr)*Table1[[#This Row],[Iout]])/(Table1[[#This Row],[Vin]]+(Rs+Rdson2-Rdson1)*Table1[[#This Row],[Iout]])/Fsw,(Vout+(Rdson3+Rdcr)*Table1[[#This Row],[Iin]]-Table1[[#This Row],[Vin]])/(Vout+(Rdson3-Rdson4-Rs)*Table1[[#This Row],[Iin]])/Fsw,t1_Ph_II))</f>
        <v>5.9711764229617027E-7</v>
      </c>
      <c r="N160" s="602">
        <f>CHOOSE(Table1[[#This Row],[Mode Digit]],1/Fsw-Table1[[#This Row],[t1_Ph_II]],1/Fsw-Table1[[#This Row],[t1_Ph_II]],(Vout/Fsw-Table1[[#This Row],[Vin]]*t1_Ph_II)/(Table1[[#This Row],[Vin]]+Vout))</f>
        <v>1.0695490243704965E-6</v>
      </c>
      <c r="O160" s="602">
        <f>1/Fsw-(Table1[[#This Row],[t1_Ph_II]]+Table1[[#This Row],[t2_Ph_I]])</f>
        <v>0</v>
      </c>
      <c r="P16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8.9985791237612958</v>
      </c>
      <c r="Q160" s="4">
        <f>CHOOSE(Table1[[#This Row],[Mode Digit]],Table1[[#This Row],[I_0]]+1/Lf*(Table1[[#This Row],[Vin]]-Vout)*Table1[[#This Row],[t1_Ph_II]],Table1[[#This Row],[I_0]]+1/Lf*Table1[[#This Row],[Vin]]*Table1[[#This Row],[t1_Ph_II]],Table1[[#This Row],[I_0]]+(Table1[[#This Row],[Vin]]-Vout)/L*Table1[[#This Row],[t1_Ph_II]])</f>
        <v>15.001420876238704</v>
      </c>
      <c r="R160" s="4">
        <f>CHOOSE(Table1[[#This Row],[Mode Digit]],0,0,Table1[[#This Row],[I_1]]+Table1[[#This Row],[Vin]]/L*Table1[[#This Row],[t2_Ph_I]])</f>
        <v>0</v>
      </c>
      <c r="S160" s="4">
        <f>Fsw*(Table1[[#This Row],[I_0]]*Table1[[#This Row],[t1_Ph_II]]+Table1[[#This Row],[I_1]]*Table1[[#This Row],[t2_Ph_I]]+Table1[[#This Row],[I_2]]*Table1[[#This Row],[t3_Ph_III]])</f>
        <v>12.850779247648912</v>
      </c>
      <c r="T160" s="354">
        <f>MIN(1,CHOOSE(Table1[[#This Row],[Mode Digit]],(Vout+(Rdson2+Rs+Rdcr)*Table1[[#This Row],[Iout]])/(Table1[[#This Row],[Vin]]+(Rs+Rdson2-Rdson1)*Table1[[#This Row],[Iout]]),1,Fsw*Table1[[#This Row],[t2_Ph_I]]+Table1[[#This Row],[t1_Ph_II]]))</f>
        <v>0.35827058537770218</v>
      </c>
      <c r="U160" s="354">
        <f>MIN(1,CHOOSE(Table1[[#This Row],[Mode Digit]],0,(Vout+(Rdson3+Rdcr)*Table1[[#This Row],[Iin]]-Table1[[#This Row],[Vin]])/(Vout+(Rdson3-Rdson4-Rs)*Table1[[#This Row],[Iin]]),Fsw*Table1[[#This Row],[t1_Ph_II]]+Table1[[#This Row],[t3_Ph_III]]))</f>
        <v>0</v>
      </c>
      <c r="V160" s="4">
        <f>MAX(Table1[[#This Row],[I_0]:[I_2]])-MIN(Table1[[#This Row],[I_0]:[I_1]])</f>
        <v>6.0028417524774085</v>
      </c>
      <c r="W16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12.124472872065017</v>
      </c>
      <c r="X160" s="354">
        <f>(Table1[[#This Row],[Irms Lf]]^2*Rdcr*(1+Ltc*Ta-Ltc*25))/(1-Table1[[#This Row],[Irms Lf]]^2*Rdcr*Ltc*ThetaCa)</f>
        <v>0.91503006345552462</v>
      </c>
      <c r="Y160" s="354">
        <f>ABS(7.759*10^-3*Fsw^0.9458*(0.00787*Table1[[#This Row],[Ripple Current pk-pk]])^2.304)</f>
        <v>1.9972906686046701</v>
      </c>
      <c r="Z160" s="354">
        <f>Table1[[#This Row],[DCR    Loss]]+Table1[[#This Row],[Core Loss]]</f>
        <v>2.9123207320601949</v>
      </c>
      <c r="AA160" s="4">
        <f>IF(Table1[[#This Row],[Vin]]&gt;Vout, Table1[[#This Row],[Ripple Current pk-pk]]/SQRT(12), SQRT(Table1[[#This Row],[Duty Cycle BOOST Leg]]/(1-Table1[[#This Row],[Duty Cycle BOOST Leg]]))*SQRT(Table1[[#This Row],[Iout]]^2+(Table1[[#This Row],[Ripple Current pk-pk]]^2)/12))</f>
        <v>1.7328711508477783</v>
      </c>
      <c r="AB160" s="354">
        <f>RCoutEsr*Table1[[#This Row],[Irms Cout]]^2</f>
        <v>1.5014212127202518E-2</v>
      </c>
      <c r="AC160" s="354">
        <f>Table1[[#This Row],[Cout ESR Loss]]</f>
        <v>1.5014212127202518E-2</v>
      </c>
      <c r="AD160" s="354">
        <f>IF(Table1[[#This Row],[Vin]]&gt;Vout, SQRT(Table1[[#This Row],[Duty Cycle BUCK Leg]]*(1-Table1[[#This Row],[Duty Cycle BUCK Leg]]))*SQRT(Table1[[#This Row],[Iout]]^2+(Table1[[#This Row],[Ripple Current pk-pk]]^2)/12), Table1[[#This Row],[Ripple Current pk-pk]]/SQRT(12))</f>
        <v>5.81359021134495</v>
      </c>
      <c r="AE160" s="354">
        <f>RCinEsr*Table1[[#This Row],[Irms Cin]]^2</f>
        <v>6.7595662290891645E-2</v>
      </c>
      <c r="AF160" s="549">
        <f>Table1[[#This Row],[Cin ESR Loss]]</f>
        <v>6.7595662290891645E-2</v>
      </c>
      <c r="AG16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7.2571891533808515</v>
      </c>
      <c r="AH160" s="354">
        <f>Rdson1*Table1[[#This Row],[Irms BuCtrl]]^2</f>
        <v>0.22120053651338448</v>
      </c>
      <c r="AI160" s="354">
        <f>CHOOSE(Table1[[#This Row],[Mode Digit]], (Table1[[#This Row],[Vin]]*Table1[[#This Row],[Iout]]/2)*(Fsw)*(Tr_buck+Tf_buck), 0, (Table1[[#This Row],[Vin]]*Table1[[#This Row],[Avg IL]]/2)*(Fsw/1)*(Tr_buck+Tf_buck))</f>
        <v>4.8955120323297647</v>
      </c>
      <c r="AJ160">
        <f>IF(Table1[[#This Row],[Vin]]&gt;Vout, IF(Table1[[#This Row],[Iout]]&gt;Table1[[#This Row],[Ripple Current pk-pk]]/2,0,ABS(Table1[[#This Row],[Iout]]-Table1[[#This Row],[Ripple Current pk-pk]]/2)*Vsd_Q1*Deadtime*Fsw),0)</f>
        <v>0</v>
      </c>
      <c r="AK160" s="354">
        <f>(Table1[[#This Row],[Dead Time Loss BuCtrl]]+Table1[[#This Row],[Transition Loss BuCtrl]]+Table1[[#This Row],[RDS(on) Loss BuCtrl]]*(1+RdsonTopTc*Ta-RdsonTopTc*25))/(1-Table1[[#This Row],[RDS(on) Loss BuCtrl]]*RdsonTopTc*ThetaJA_Q1)</f>
        <v>5.4035784366712702</v>
      </c>
      <c r="AL160" s="354">
        <f>CHOOSE(Table1[[#This Row],[Mode Digit]],SQRT((Fsw*(Table1[[#This Row],[t2_Ph_I]]+0))*((Table1[[#This Row],[I_0]]*Table1[[#This Row],[I_1]]+((Table1[[#This Row],[I_0]]-Table1[[#This Row],[I_1]])^2)/3))),0,SQRT((Fsw*(Table1[[#This Row],[t3_Ph_III]]+0))*((Table1[[#This Row],[I_0]]*Table1[[#This Row],[I_2]]+((Table1[[#This Row],[I_0]]-Table1[[#This Row],[I_2]])^2)/3))))</f>
        <v>9.7126746067955896</v>
      </c>
      <c r="AM160" s="354">
        <f>Rdson2*Table1[[#This Row],[Irms BuSync]]^2</f>
        <v>0.39621140167346586</v>
      </c>
      <c r="AN16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60" s="354">
        <f>(Table1[[#This Row],[Deadtime Loss BuSync]]+Table1[[#This Row],[RDS(on) Loss BuSync]]*(1+RdsonBotTc*Ta-RdsonBotTc*25))/(1-Table1[[#This Row],[RDS(on) Loss BuSync]]*RdsonBotTc*ThetaJA_Q2)</f>
        <v>1.0758900029086298</v>
      </c>
      <c r="AP160" s="354">
        <f>CHOOSE(Table1[[#This Row],[Mode Digit]],0,SQRT((Fsw*(Table1[[#This Row],[t1_Ph_II]]+0))*((Table1[[#This Row],[I_0]]*Table1[[#This Row],[I_1]]+((Table1[[#This Row],[I_0]]-Table1[[#This Row],[I_1]])^2)/3))),SQRT((Fsw*(Table1[[#This Row],[t2_Ph_I]]+0))*((Table1[[#This Row],[I_1]]*Table1[[#This Row],[I_2]]+((Table1[[#This Row],[I_1]]-Table1[[#This Row],[I_2]])^2)/3))))</f>
        <v>0</v>
      </c>
      <c r="AQ160" s="354">
        <f>Rdson4*Table1[[#This Row],[Irms BoCtlr]]^2</f>
        <v>0</v>
      </c>
      <c r="AR160" s="354">
        <f>CHOOSE(Table1[[#This Row],[Mode Digit]], 0, (Vout*Table1[[#This Row],[Iin]]/2)*(Fsw)*(Tr_boost+Tf_boost), (Vout*Iout/2)*(Fsw/1)*(Tr_boost+Tf_boost))</f>
        <v>0</v>
      </c>
      <c r="AS160">
        <f>IF(Table1[[#This Row],[Vin]]&gt;Vout, 0, IF(Table1[[#This Row],[Iin]]&gt;Table1[[#This Row],[Ripple Current pk-pk]]/2,0,ABS(Table1[[#This Row],[Iin]]-Table1[[#This Row],[Ripple Current pk-pk]]/2)*Vsd_Q4*Deadtime*Fsw))</f>
        <v>0</v>
      </c>
      <c r="AT160" s="354">
        <f>(Table1[[#This Row],[Dead Time Loss BoCtlr]]+Table1[[#This Row],[Transition Loss BoCtlr]]+Table1[[#This Row],[RDS(on) Loss BoCtlr]]*(1+RdsonTopTc*Ta-RdsonTopTc*25))/(1-Table1[[#This Row],[RDS(on) Loss BoCtlr]]*RdsonTopTc*ThetaJA_Q4)</f>
        <v>0</v>
      </c>
      <c r="AU16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12.124472872065017</v>
      </c>
      <c r="AV160" s="354">
        <f>Rdson3*Table1[[#This Row],[Irms BoSync]]^2</f>
        <v>0.61741193818685025</v>
      </c>
      <c r="AW16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60" s="354">
        <f>(Table1[[#This Row],[Deadtime Loss BoSync]]+Table1[[#This Row],[RDS(on) Loss BoSync]]*(1+RdsonBotTc*Ta-RdsonBotTc*25))/(1-Table1[[#This Row],[RDS(on) Loss BoSync]]*RdsonBotTc*ThetaJA_Q3)</f>
        <v>0.72481406358428946</v>
      </c>
      <c r="AY160" s="354">
        <f>CHOOSE(Table1[[#This Row],[Mode Digit]], Rdson3*Table1[[#This Row],[Irms Lf]]^2, Rdson1*Table1[[#This Row],[Irms Lf]]^2, 0)</f>
        <v>0.61741193818685025</v>
      </c>
      <c r="AZ160" s="354">
        <f>CHOOSE(Table1[[#This Row],[Mode Digit]], 2*Deadtime*Fsw*IF(VfdSky_Q2&gt;0,VfdSky_Q2,0)*Table1[[#This Row],[Iout]], 2*Deadtime*Fsw*IF(VfdSky_Q3&gt;0,VfdSky_Q3,0)*Table1[[#This Row],[Iin]], 2*Deadtime*Fsw*IF(VfdSky_Q2&gt;0,VfdSky_Q2,0)*Table1[[#This Row],[Iout]]+2*Deadtime*Fsw*IF(VfdSky_Q3&gt;0,VfdSky_Q3,0)*Table1[[#This Row],[Iin]])</f>
        <v>0</v>
      </c>
      <c r="BA160" s="354">
        <f>CHOOSE(Table1[[#This Row],[Mode Digit]], IF(QrrSky_Q2&gt;0,QrrSky_Q2,Qrr_Q2)*Fsw*(Table1[[#This Row],[Vin]]-Table1[[#This Row],[Iout]]*Rdson1),0,  IF(QrrSky_Q2&gt;0,QrrSky_Q2,Qrr_Q2)*Fsw*(Table1[[#This Row],[Vin]]-Table1[[#This Row],[Iout]]*Rdson1)+IF(QrrSky_Q3&gt;0,QrrSky_Q3,Qrr_Q3)*Fsw*Vout)</f>
        <v>0.49307519999999999</v>
      </c>
      <c r="BB160" s="354">
        <f>CHOOSE(Table1[[#This Row],[Mode Digit]],0, IF(QrrSky_Q3&gt;0,QrrSky_Q3,Qrr_Q3)*Fsw*Vout,  IF(QrrSky_Q2&gt;0,QrrSky_Q2,Qrr_Q2)*Fsw*(Table1[[#This Row],[Vin]]-Table1[[#This Row],[Iout]]*Rdson1)+IF(QrrSky_Q3&gt;0,QrrSky_Q3,Qrr_Q3)*Fsw*Vout)</f>
        <v>0</v>
      </c>
      <c r="BC160" s="354">
        <f>CHOOSE(Table1[[#This Row],[Mode Digit]], Rs*Table1[[#This Row],[Irms BuSync]]^2, Rs*Table1[[#This Row],[Irms BoCtlr]]^2, Rs*(Table1[[#This Row],[Irms BuSync]]^2+Table1[[#This Row],[Irms BoCtlr]]^2))</f>
        <v>0.23584012004372967</v>
      </c>
      <c r="BD160" s="354">
        <f t="shared" si="8"/>
        <v>1.44</v>
      </c>
      <c r="BE160" s="354">
        <f>IF(Vout&gt;8, Iq*Vout, Iq*Table1[[#This Row],[Vin]])</f>
        <v>4.3799999999999999E-2</v>
      </c>
      <c r="BF160" s="354">
        <f>CHOOSE(Table1[[#This Row],[Mode Digit]], (Qg_Q1+Qg_Q2)*Fsw, (Qg_Q3+Qg_Q4)*Fsw, (Qg_Q1+Qg_Q2+Qg_Q3+Qg_Q4)*Fsw)*IF(Vout&gt;8, Vout, Table1[[#This Row],[Vin]])</f>
        <v>0.47303999999999996</v>
      </c>
      <c r="BG160" s="354">
        <f t="shared" si="9"/>
        <v>0.45605042016806729</v>
      </c>
      <c r="BH160" s="354">
        <f>Table1[[#This Row],[IQ Loss]]+Table1[[#This Row],[Switching Current Loss]]</f>
        <v>0.51683999999999997</v>
      </c>
      <c r="BI16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12.884968429686207</v>
      </c>
      <c r="BJ160">
        <f>Vout*Table1[[#This Row],[Iout]]</f>
        <v>175.2</v>
      </c>
      <c r="BK160" s="550">
        <f>Table1[[#This Row],[Pout]]/(Table1[[#This Row],[Pout]]+Table1[[#This Row],[Total Loss]])</f>
        <v>0.93149389588512954</v>
      </c>
      <c r="BL16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324.21470620027623</v>
      </c>
      <c r="BM160" s="559">
        <f>IF(Table1[[#This Row],[Vin]]&gt;Vout, Table1[[#This Row],[Total Sync Bu MOSFET Loss]]*ThetaJA_Q2, ThetaJA_Q3*Table1[[#This Row],[Total Sync Bo MOSFET Loss]])</f>
        <v>64.55340017451779</v>
      </c>
      <c r="BN160" s="9"/>
      <c r="BO160" s="4">
        <f>Table1[[#This Row],[EFF, h]]*100</f>
        <v>93.14938958851296</v>
      </c>
      <c r="BP160" s="354">
        <f>Table1[[#This Row],[Total Inductor Loss]]</f>
        <v>2.9123207320601949</v>
      </c>
      <c r="BQ160" s="354">
        <f>Table1[[#This Row],[Total Control Bu MOSFET Loss]]+Table1[[#This Row],[Total Sync Bu MOSFET Loss]]+Table1[[#This Row],[Total Control Bo MOSFET Loss]]+Table1[[#This Row],[Total Sync Bo MOSFET Loss]]+Table1[[#This Row],[Reverse Recovery Loss MOSFET D BUCK]]+Table1[[#This Row],[Reverse Recovery Loss MOSFET D BOOST]]</f>
        <v>7.6973577031641893</v>
      </c>
      <c r="BR160" s="354">
        <f>Table1[[#This Row],[Total Control Bu MOSFET Loss]]+Table1[[#This Row],[Reverse Recovery Loss MOSFET D BUCK]]*0.66</f>
        <v>5.7290080686712699</v>
      </c>
      <c r="BS160" s="354">
        <f>Table1[[#This Row],[Total Sync Bu MOSFET Loss]]+Table1[[#This Row],[Reverse Recovery Loss MOSFET D BUCK]]*0.33</f>
        <v>1.2386048189086298</v>
      </c>
      <c r="BT160" s="354">
        <f xml:space="preserve"> Table1[[#This Row],[Total Control Bo MOSFET Loss]]+Table1[[#This Row],[Reverse Recovery Loss MOSFET D BOOST]]*0.66</f>
        <v>0</v>
      </c>
      <c r="BU160" s="354">
        <f xml:space="preserve"> Table1[[#This Row],[Total Sync Bo MOSFET Loss]]+Table1[[#This Row],[Reverse Recovery Loss MOSFET D BOOST]]*0.33</f>
        <v>0.72481406358428946</v>
      </c>
      <c r="BV160" s="354">
        <f>Table1[[#This Row],[Isense Shunt Loss]]</f>
        <v>0.23584012004372967</v>
      </c>
    </row>
    <row r="161" spans="7:74" x14ac:dyDescent="0.2">
      <c r="G161">
        <v>152</v>
      </c>
      <c r="H161" s="555">
        <f>VIN_min+(VIN_max-VIN_min)*(Table1[[#This Row],[Step]]/200)</f>
        <v>41.28</v>
      </c>
      <c r="I161" s="4" t="str">
        <f>IF(Mode = 2,IF(Table1[[#This Row],[Vin]]&gt;Vout, "BUCK","BOOST"),IF(Table1[[#This Row],[Vin]]&gt;VIN_BB_to_buck, "BUCK", IF(Table1[[#This Row],[Vin]]&lt;=VIN_boost_to_BB,"BOOST","BUCK-BST")))</f>
        <v>BUCK</v>
      </c>
      <c r="J161">
        <f>IF(Table1[[#This Row],[Mode]]="BOOST",2, IF(Table1[[#This Row],[Mode]]="BUCK", 1,3))</f>
        <v>1</v>
      </c>
      <c r="K161">
        <f t="shared" si="7"/>
        <v>12</v>
      </c>
      <c r="L161" s="4">
        <f>Vout*Table1[[#This Row],[Iout]]/(Table1[[#This Row],[Vin]]*Efficiency)</f>
        <v>4.4675642594859237</v>
      </c>
      <c r="M161" s="711">
        <f>MIN(1/Fsw,CHOOSE(Table1[[#This Row],[Mode Digit]],(Vout+(Rdson2+Rs+Rdcr)*Table1[[#This Row],[Iout]])/(Table1[[#This Row],[Vin]]+(Rs+Rdson2-Rdson1)*Table1[[#This Row],[Iout]])/Fsw,(Vout+(Rdson3+Rdcr)*Table1[[#This Row],[Iin]]-Table1[[#This Row],[Vin]])/(Vout+(Rdson3-Rdson4-Rs)*Table1[[#This Row],[Iin]])/Fsw,t1_Ph_II))</f>
        <v>5.9509400468006135E-7</v>
      </c>
      <c r="N161" s="602">
        <f>CHOOSE(Table1[[#This Row],[Mode Digit]],1/Fsw-Table1[[#This Row],[t1_Ph_II]],1/Fsw-Table1[[#This Row],[t1_Ph_II]],(Vout/Fsw-Table1[[#This Row],[Vin]]*t1_Ph_II)/(Table1[[#This Row],[Vin]]+Vout))</f>
        <v>1.0715726619866052E-6</v>
      </c>
      <c r="O161" s="602">
        <f>1/Fsw-(Table1[[#This Row],[t1_Ph_II]]+Table1[[#This Row],[t2_Ph_I]])</f>
        <v>0</v>
      </c>
      <c r="P16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8.9929719611999932</v>
      </c>
      <c r="Q161" s="4">
        <f>CHOOSE(Table1[[#This Row],[Mode Digit]],Table1[[#This Row],[I_0]]+1/Lf*(Table1[[#This Row],[Vin]]-Vout)*Table1[[#This Row],[t1_Ph_II]],Table1[[#This Row],[I_0]]+1/Lf*Table1[[#This Row],[Vin]]*Table1[[#This Row],[t1_Ph_II]],Table1[[#This Row],[I_0]]+(Table1[[#This Row],[Vin]]-Vout)/L*Table1[[#This Row],[t1_Ph_II]])</f>
        <v>15.007028038800007</v>
      </c>
      <c r="R161" s="4">
        <f>CHOOSE(Table1[[#This Row],[Mode Digit]],0,0,Table1[[#This Row],[I_1]]+Table1[[#This Row],[Vin]]/L*Table1[[#This Row],[t2_Ph_I]])</f>
        <v>0</v>
      </c>
      <c r="S161" s="4">
        <f>Fsw*(Table1[[#This Row],[I_0]]*Table1[[#This Row],[t1_Ph_II]]+Table1[[#This Row],[I_1]]*Table1[[#This Row],[t2_Ph_I]]+Table1[[#This Row],[I_2]]*Table1[[#This Row],[t3_Ph_III]])</f>
        <v>12.859670809446333</v>
      </c>
      <c r="T161" s="354">
        <f>MIN(1,CHOOSE(Table1[[#This Row],[Mode Digit]],(Vout+(Rdson2+Rs+Rdcr)*Table1[[#This Row],[Iout]])/(Table1[[#This Row],[Vin]]+(Rs+Rdson2-Rdson1)*Table1[[#This Row],[Iout]]),1,Fsw*Table1[[#This Row],[t2_Ph_I]]+Table1[[#This Row],[t1_Ph_II]]))</f>
        <v>0.3570564028080368</v>
      </c>
      <c r="U161" s="354">
        <f>MIN(1,CHOOSE(Table1[[#This Row],[Mode Digit]],0,(Vout+(Rdson3+Rdcr)*Table1[[#This Row],[Iin]]-Table1[[#This Row],[Vin]])/(Vout+(Rdson3-Rdson4-Rs)*Table1[[#This Row],[Iin]]),Fsw*Table1[[#This Row],[t1_Ph_II]]+Table1[[#This Row],[t3_Ph_III]]))</f>
        <v>0</v>
      </c>
      <c r="V161" s="4">
        <f>MAX(Table1[[#This Row],[I_0]:[I_2]])-MIN(Table1[[#This Row],[I_0]:[I_1]])</f>
        <v>6.0140560776000136</v>
      </c>
      <c r="W16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12.124935980946173</v>
      </c>
      <c r="X161" s="354">
        <f>(Table1[[#This Row],[Irms Lf]]^2*Rdcr*(1+Ltc*Ta-Ltc*25))/(1-Table1[[#This Row],[Irms Lf]]^2*Rdcr*Ltc*ThetaCa)</f>
        <v>0.91510508361142839</v>
      </c>
      <c r="Y161" s="354">
        <f>ABS(7.759*10^-3*Fsw^0.9458*(0.00787*Table1[[#This Row],[Ripple Current pk-pk]])^2.304)</f>
        <v>2.0058980047697932</v>
      </c>
      <c r="Z161" s="354">
        <f>Table1[[#This Row],[DCR    Loss]]+Table1[[#This Row],[Core Loss]]</f>
        <v>2.9210030883812217</v>
      </c>
      <c r="AA161" s="4">
        <f>IF(Table1[[#This Row],[Vin]]&gt;Vout, Table1[[#This Row],[Ripple Current pk-pk]]/SQRT(12), SQRT(Table1[[#This Row],[Duty Cycle BOOST Leg]]/(1-Table1[[#This Row],[Duty Cycle BOOST Leg]]))*SQRT(Table1[[#This Row],[Iout]]^2+(Table1[[#This Row],[Ripple Current pk-pk]]^2)/12))</f>
        <v>1.7361084476619364</v>
      </c>
      <c r="AB161" s="354">
        <f>RCoutEsr*Table1[[#This Row],[Irms Cout]]^2</f>
        <v>1.5070362710215692E-2</v>
      </c>
      <c r="AC161" s="354">
        <f>Table1[[#This Row],[Cout ESR Loss]]</f>
        <v>1.5070362710215692E-2</v>
      </c>
      <c r="AD161" s="354">
        <f>IF(Table1[[#This Row],[Vin]]&gt;Vout, SQRT(Table1[[#This Row],[Duty Cycle BUCK Leg]]*(1-Table1[[#This Row],[Duty Cycle BUCK Leg]]))*SQRT(Table1[[#This Row],[Iout]]^2+(Table1[[#This Row],[Ripple Current pk-pk]]^2)/12), Table1[[#This Row],[Ripple Current pk-pk]]/SQRT(12))</f>
        <v>5.8094404560395159</v>
      </c>
      <c r="AE161" s="354">
        <f>RCinEsr*Table1[[#This Row],[Irms Cin]]^2</f>
        <v>6.7499196824537241E-2</v>
      </c>
      <c r="AF161" s="549">
        <f>Table1[[#This Row],[Cin ESR Loss]]</f>
        <v>6.7499196824537241E-2</v>
      </c>
      <c r="AG16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7.2451581006919161</v>
      </c>
      <c r="AH161" s="354">
        <f>Rdson1*Table1[[#This Row],[Irms BuCtrl]]^2</f>
        <v>0.22046772679689114</v>
      </c>
      <c r="AI161" s="354">
        <f>CHOOSE(Table1[[#This Row],[Mode Digit]], (Table1[[#This Row],[Vin]]*Table1[[#This Row],[Iout]]/2)*(Fsw)*(Tr_buck+Tf_buck), 0, (Table1[[#This Row],[Vin]]*Table1[[#This Row],[Avg IL]]/2)*(Fsw/1)*(Tr_buck+Tf_buck))</f>
        <v>4.9121715287936967</v>
      </c>
      <c r="AJ161">
        <f>IF(Table1[[#This Row],[Vin]]&gt;Vout, IF(Table1[[#This Row],[Iout]]&gt;Table1[[#This Row],[Ripple Current pk-pk]]/2,0,ABS(Table1[[#This Row],[Iout]]-Table1[[#This Row],[Ripple Current pk-pk]]/2)*Vsd_Q1*Deadtime*Fsw),0)</f>
        <v>0</v>
      </c>
      <c r="AK161" s="354">
        <f>(Table1[[#This Row],[Dead Time Loss BuCtrl]]+Table1[[#This Row],[Transition Loss BuCtrl]]+Table1[[#This Row],[RDS(on) Loss BuCtrl]]*(1+RdsonTopTc*Ta-RdsonTopTc*25))/(1-Table1[[#This Row],[RDS(on) Loss BuCtrl]]*RdsonTopTc*ThetaJA_Q1)</f>
        <v>5.419391476244189</v>
      </c>
      <c r="AL161" s="354">
        <f>CHOOSE(Table1[[#This Row],[Mode Digit]],SQRT((Fsw*(Table1[[#This Row],[t2_Ph_I]]+0))*((Table1[[#This Row],[I_0]]*Table1[[#This Row],[I_1]]+((Table1[[#This Row],[I_0]]-Table1[[#This Row],[I_1]])^2)/3))),0,SQRT((Fsw*(Table1[[#This Row],[t3_Ph_III]]+0))*((Table1[[#This Row],[I_0]]*Table1[[#This Row],[I_2]]+((Table1[[#This Row],[I_0]]-Table1[[#This Row],[I_2]])^2)/3))))</f>
        <v>9.7222300239205115</v>
      </c>
      <c r="AM161" s="354">
        <f>Rdson2*Table1[[#This Row],[Irms BuSync]]^2</f>
        <v>0.39699137787969008</v>
      </c>
      <c r="AN16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61" s="354">
        <f>(Table1[[#This Row],[Deadtime Loss BuSync]]+Table1[[#This Row],[RDS(on) Loss BuSync]]*(1+RdsonBotTc*Ta-RdsonBotTc*25))/(1-Table1[[#This Row],[RDS(on) Loss BuSync]]*RdsonBotTc*ThetaJA_Q2)</f>
        <v>1.0769747301460695</v>
      </c>
      <c r="AP161" s="354">
        <f>CHOOSE(Table1[[#This Row],[Mode Digit]],0,SQRT((Fsw*(Table1[[#This Row],[t1_Ph_II]]+0))*((Table1[[#This Row],[I_0]]*Table1[[#This Row],[I_1]]+((Table1[[#This Row],[I_0]]-Table1[[#This Row],[I_1]])^2)/3))),SQRT((Fsw*(Table1[[#This Row],[t2_Ph_I]]+0))*((Table1[[#This Row],[I_1]]*Table1[[#This Row],[I_2]]+((Table1[[#This Row],[I_1]]-Table1[[#This Row],[I_2]])^2)/3))))</f>
        <v>0</v>
      </c>
      <c r="AQ161" s="354">
        <f>Rdson4*Table1[[#This Row],[Irms BoCtlr]]^2</f>
        <v>0</v>
      </c>
      <c r="AR161" s="354">
        <f>CHOOSE(Table1[[#This Row],[Mode Digit]], 0, (Vout*Table1[[#This Row],[Iin]]/2)*(Fsw)*(Tr_boost+Tf_boost), (Vout*Iout/2)*(Fsw/1)*(Tr_boost+Tf_boost))</f>
        <v>0</v>
      </c>
      <c r="AS161">
        <f>IF(Table1[[#This Row],[Vin]]&gt;Vout, 0, IF(Table1[[#This Row],[Iin]]&gt;Table1[[#This Row],[Ripple Current pk-pk]]/2,0,ABS(Table1[[#This Row],[Iin]]-Table1[[#This Row],[Ripple Current pk-pk]]/2)*Vsd_Q4*Deadtime*Fsw))</f>
        <v>0</v>
      </c>
      <c r="AT161" s="354">
        <f>(Table1[[#This Row],[Dead Time Loss BoCtlr]]+Table1[[#This Row],[Transition Loss BoCtlr]]+Table1[[#This Row],[RDS(on) Loss BoCtlr]]*(1+RdsonTopTc*Ta-RdsonTopTc*25))/(1-Table1[[#This Row],[RDS(on) Loss BoCtlr]]*RdsonTopTc*ThetaJA_Q4)</f>
        <v>0</v>
      </c>
      <c r="AU16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12.124935980946173</v>
      </c>
      <c r="AV161" s="354">
        <f>Rdson3*Table1[[#This Row],[Irms BoSync]]^2</f>
        <v>0.61745910467658116</v>
      </c>
      <c r="AW16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61" s="354">
        <f>(Table1[[#This Row],[Deadtime Loss BoSync]]+Table1[[#This Row],[RDS(on) Loss BoSync]]*(1+RdsonBotTc*Ta-RdsonBotTc*25))/(1-Table1[[#This Row],[RDS(on) Loss BoSync]]*RdsonBotTc*ThetaJA_Q3)</f>
        <v>0.72487906794698231</v>
      </c>
      <c r="AY161" s="354">
        <f>CHOOSE(Table1[[#This Row],[Mode Digit]], Rdson3*Table1[[#This Row],[Irms Lf]]^2, Rdson1*Table1[[#This Row],[Irms Lf]]^2, 0)</f>
        <v>0.61745910467658116</v>
      </c>
      <c r="AZ161" s="354">
        <f>CHOOSE(Table1[[#This Row],[Mode Digit]], 2*Deadtime*Fsw*IF(VfdSky_Q2&gt;0,VfdSky_Q2,0)*Table1[[#This Row],[Iout]], 2*Deadtime*Fsw*IF(VfdSky_Q3&gt;0,VfdSky_Q3,0)*Table1[[#This Row],[Iin]], 2*Deadtime*Fsw*IF(VfdSky_Q2&gt;0,VfdSky_Q2,0)*Table1[[#This Row],[Iout]]+2*Deadtime*Fsw*IF(VfdSky_Q3&gt;0,VfdSky_Q3,0)*Table1[[#This Row],[Iin]])</f>
        <v>0</v>
      </c>
      <c r="BA161" s="354">
        <f>CHOOSE(Table1[[#This Row],[Mode Digit]], IF(QrrSky_Q2&gt;0,QrrSky_Q2,Qrr_Q2)*Fsw*(Table1[[#This Row],[Vin]]-Table1[[#This Row],[Iout]]*Rdson1),0,  IF(QrrSky_Q2&gt;0,QrrSky_Q2,Qrr_Q2)*Fsw*(Table1[[#This Row],[Vin]]-Table1[[#This Row],[Iout]]*Rdson1)+IF(QrrSky_Q3&gt;0,QrrSky_Q3,Qrr_Q3)*Fsw*Vout)</f>
        <v>0.49475520000000001</v>
      </c>
      <c r="BB161" s="354">
        <f>CHOOSE(Table1[[#This Row],[Mode Digit]],0, IF(QrrSky_Q3&gt;0,QrrSky_Q3,Qrr_Q3)*Fsw*Vout,  IF(QrrSky_Q2&gt;0,QrrSky_Q2,Qrr_Q2)*Fsw*(Table1[[#This Row],[Vin]]-Table1[[#This Row],[Iout]]*Rdson1)+IF(QrrSky_Q3&gt;0,QrrSky_Q3,Qrr_Q3)*Fsw*Vout)</f>
        <v>0</v>
      </c>
      <c r="BC161" s="354">
        <f>CHOOSE(Table1[[#This Row],[Mode Digit]], Rs*Table1[[#This Row],[Irms BuSync]]^2, Rs*Table1[[#This Row],[Irms BoCtlr]]^2, Rs*(Table1[[#This Row],[Irms BuSync]]^2+Table1[[#This Row],[Irms BoCtlr]]^2))</f>
        <v>0.23630439159505356</v>
      </c>
      <c r="BD161" s="354">
        <f t="shared" si="8"/>
        <v>1.44</v>
      </c>
      <c r="BE161" s="354">
        <f>IF(Vout&gt;8, Iq*Vout, Iq*Table1[[#This Row],[Vin]])</f>
        <v>4.3799999999999999E-2</v>
      </c>
      <c r="BF161" s="354">
        <f>CHOOSE(Table1[[#This Row],[Mode Digit]], (Qg_Q1+Qg_Q2)*Fsw, (Qg_Q3+Qg_Q4)*Fsw, (Qg_Q1+Qg_Q2+Qg_Q3+Qg_Q4)*Fsw)*IF(Vout&gt;8, Vout, Table1[[#This Row],[Vin]])</f>
        <v>0.47303999999999996</v>
      </c>
      <c r="BG161" s="354">
        <f t="shared" si="9"/>
        <v>0.45605042016806729</v>
      </c>
      <c r="BH161" s="354">
        <f>Table1[[#This Row],[IQ Loss]]+Table1[[#This Row],[Switching Current Loss]]</f>
        <v>0.51683999999999997</v>
      </c>
      <c r="BI16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12.912717513848269</v>
      </c>
      <c r="BJ161">
        <f>Vout*Table1[[#This Row],[Iout]]</f>
        <v>175.2</v>
      </c>
      <c r="BK161" s="550">
        <f>Table1[[#This Row],[Pout]]/(Table1[[#This Row],[Pout]]+Table1[[#This Row],[Total Loss]])</f>
        <v>0.93135648836236884</v>
      </c>
      <c r="BL16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325.16348857465135</v>
      </c>
      <c r="BM161" s="559">
        <f>IF(Table1[[#This Row],[Vin]]&gt;Vout, Table1[[#This Row],[Total Sync Bu MOSFET Loss]]*ThetaJA_Q2, ThetaJA_Q3*Table1[[#This Row],[Total Sync Bo MOSFET Loss]])</f>
        <v>64.618483808764168</v>
      </c>
      <c r="BN161" s="9"/>
      <c r="BO161" s="4">
        <f>Table1[[#This Row],[EFF, h]]*100</f>
        <v>93.135648836236882</v>
      </c>
      <c r="BP161" s="354">
        <f>Table1[[#This Row],[Total Inductor Loss]]</f>
        <v>2.9210030883812217</v>
      </c>
      <c r="BQ161" s="354">
        <f>Table1[[#This Row],[Total Control Bu MOSFET Loss]]+Table1[[#This Row],[Total Sync Bu MOSFET Loss]]+Table1[[#This Row],[Total Control Bo MOSFET Loss]]+Table1[[#This Row],[Total Sync Bo MOSFET Loss]]+Table1[[#This Row],[Reverse Recovery Loss MOSFET D BUCK]]+Table1[[#This Row],[Reverse Recovery Loss MOSFET D BOOST]]</f>
        <v>7.7160004743372408</v>
      </c>
      <c r="BR161" s="354">
        <f>Table1[[#This Row],[Total Control Bu MOSFET Loss]]+Table1[[#This Row],[Reverse Recovery Loss MOSFET D BUCK]]*0.66</f>
        <v>5.7459299082441895</v>
      </c>
      <c r="BS161" s="354">
        <f>Table1[[#This Row],[Total Sync Bu MOSFET Loss]]+Table1[[#This Row],[Reverse Recovery Loss MOSFET D BUCK]]*0.33</f>
        <v>1.2402439461460695</v>
      </c>
      <c r="BT161" s="354">
        <f xml:space="preserve"> Table1[[#This Row],[Total Control Bo MOSFET Loss]]+Table1[[#This Row],[Reverse Recovery Loss MOSFET D BOOST]]*0.66</f>
        <v>0</v>
      </c>
      <c r="BU161" s="354">
        <f xml:space="preserve"> Table1[[#This Row],[Total Sync Bo MOSFET Loss]]+Table1[[#This Row],[Reverse Recovery Loss MOSFET D BOOST]]*0.33</f>
        <v>0.72487906794698231</v>
      </c>
      <c r="BV161" s="354">
        <f>Table1[[#This Row],[Isense Shunt Loss]]</f>
        <v>0.23630439159505356</v>
      </c>
    </row>
    <row r="162" spans="7:74" x14ac:dyDescent="0.2">
      <c r="G162">
        <v>153</v>
      </c>
      <c r="H162" s="555">
        <f>VIN_min+(VIN_max-VIN_min)*(Table1[[#This Row],[Step]]/200)</f>
        <v>41.42</v>
      </c>
      <c r="I162" s="4" t="str">
        <f>IF(Mode = 2,IF(Table1[[#This Row],[Vin]]&gt;Vout, "BUCK","BOOST"),IF(Table1[[#This Row],[Vin]]&gt;VIN_BB_to_buck, "BUCK", IF(Table1[[#This Row],[Vin]]&lt;=VIN_boost_to_BB,"BOOST","BUCK-BST")))</f>
        <v>BUCK</v>
      </c>
      <c r="J162">
        <f>IF(Table1[[#This Row],[Mode]]="BOOST",2, IF(Table1[[#This Row],[Mode]]="BUCK", 1,3))</f>
        <v>1</v>
      </c>
      <c r="K162">
        <f t="shared" si="7"/>
        <v>12</v>
      </c>
      <c r="L162" s="4">
        <f>Vout*Table1[[#This Row],[Iout]]/(Table1[[#This Row],[Vin]]*Efficiency)</f>
        <v>4.4524638491448325</v>
      </c>
      <c r="M162" s="711">
        <f>MIN(1/Fsw,CHOOSE(Table1[[#This Row],[Mode Digit]],(Vout+(Rdson2+Rs+Rdcr)*Table1[[#This Row],[Iout]])/(Table1[[#This Row],[Vin]]+(Rs+Rdson2-Rdson1)*Table1[[#This Row],[Iout]])/Fsw,(Vout+(Rdson3+Rdcr)*Table1[[#This Row],[Iin]]-Table1[[#This Row],[Vin]])/(Vout+(Rdson3-Rdson4-Rs)*Table1[[#This Row],[Iin]])/Fsw,t1_Ph_II))</f>
        <v>5.9308403699236018E-7</v>
      </c>
      <c r="N162" s="602">
        <f>CHOOSE(Table1[[#This Row],[Mode Digit]],1/Fsw-Table1[[#This Row],[t1_Ph_II]],1/Fsw-Table1[[#This Row],[t1_Ph_II]],(Vout/Fsw-Table1[[#This Row],[Vin]]*t1_Ph_II)/(Table1[[#This Row],[Vin]]+Vout))</f>
        <v>1.0735826296743066E-6</v>
      </c>
      <c r="O162" s="602">
        <f>1/Fsw-(Table1[[#This Row],[t1_Ph_II]]+Table1[[#This Row],[t2_Ph_I]])</f>
        <v>0</v>
      </c>
      <c r="P16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8.9874026757319889</v>
      </c>
      <c r="Q162" s="4">
        <f>CHOOSE(Table1[[#This Row],[Mode Digit]],Table1[[#This Row],[I_0]]+1/Lf*(Table1[[#This Row],[Vin]]-Vout)*Table1[[#This Row],[t1_Ph_II]],Table1[[#This Row],[I_0]]+1/Lf*Table1[[#This Row],[Vin]]*Table1[[#This Row],[t1_Ph_II]],Table1[[#This Row],[I_0]]+(Table1[[#This Row],[Vin]]-Vout)/L*Table1[[#This Row],[t1_Ph_II]])</f>
        <v>15.012597324268011</v>
      </c>
      <c r="R162" s="4">
        <f>CHOOSE(Table1[[#This Row],[Mode Digit]],0,0,Table1[[#This Row],[I_1]]+Table1[[#This Row],[Vin]]/L*Table1[[#This Row],[t2_Ph_I]])</f>
        <v>0</v>
      </c>
      <c r="S162" s="4">
        <f>Fsw*(Table1[[#This Row],[I_0]]*Table1[[#This Row],[t1_Ph_II]]+Table1[[#This Row],[I_1]]*Table1[[#This Row],[t2_Ph_I]]+Table1[[#This Row],[I_2]]*Table1[[#This Row],[t3_Ph_III]])</f>
        <v>12.868529264776909</v>
      </c>
      <c r="T162" s="354">
        <f>MIN(1,CHOOSE(Table1[[#This Row],[Mode Digit]],(Vout+(Rdson2+Rs+Rdcr)*Table1[[#This Row],[Iout]])/(Table1[[#This Row],[Vin]]+(Rs+Rdson2-Rdson1)*Table1[[#This Row],[Iout]]),1,Fsw*Table1[[#This Row],[t2_Ph_I]]+Table1[[#This Row],[t1_Ph_II]]))</f>
        <v>0.35585042219541613</v>
      </c>
      <c r="U162" s="354">
        <f>MIN(1,CHOOSE(Table1[[#This Row],[Mode Digit]],0,(Vout+(Rdson3+Rdcr)*Table1[[#This Row],[Iin]]-Table1[[#This Row],[Vin]])/(Vout+(Rdson3-Rdson4-Rs)*Table1[[#This Row],[Iin]]),Fsw*Table1[[#This Row],[t1_Ph_II]]+Table1[[#This Row],[t3_Ph_III]]))</f>
        <v>0</v>
      </c>
      <c r="V162" s="4">
        <f>MAX(Table1[[#This Row],[I_0]:[I_2]])-MIN(Table1[[#This Row],[I_0]:[I_1]])</f>
        <v>6.0251946485360222</v>
      </c>
      <c r="W16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12.125396799530408</v>
      </c>
      <c r="X162" s="354">
        <f>(Table1[[#This Row],[Irms Lf]]^2*Rdcr*(1+Ltc*Ta-Ltc*25))/(1-Table1[[#This Row],[Irms Lf]]^2*Rdcr*Ltc*ThetaCa)</f>
        <v>0.91517973643356543</v>
      </c>
      <c r="Y162" s="354">
        <f>ABS(7.759*10^-3*Fsw^0.9458*(0.00787*Table1[[#This Row],[Ripple Current pk-pk]])^2.304)</f>
        <v>2.0144679400546828</v>
      </c>
      <c r="Z162" s="354">
        <f>Table1[[#This Row],[DCR    Loss]]+Table1[[#This Row],[Core Loss]]</f>
        <v>2.9296476764882482</v>
      </c>
      <c r="AA162" s="4">
        <f>IF(Table1[[#This Row],[Vin]]&gt;Vout, Table1[[#This Row],[Ripple Current pk-pk]]/SQRT(12), SQRT(Table1[[#This Row],[Duty Cycle BOOST Leg]]/(1-Table1[[#This Row],[Duty Cycle BOOST Leg]]))*SQRT(Table1[[#This Row],[Iout]]^2+(Table1[[#This Row],[Ripple Current pk-pk]]^2)/12))</f>
        <v>1.7393238761260825</v>
      </c>
      <c r="AB162" s="354">
        <f>RCoutEsr*Table1[[#This Row],[Irms Cout]]^2</f>
        <v>1.51262377303113E-2</v>
      </c>
      <c r="AC162" s="354">
        <f>Table1[[#This Row],[Cout ESR Loss]]</f>
        <v>1.51262377303113E-2</v>
      </c>
      <c r="AD162" s="354">
        <f>IF(Table1[[#This Row],[Vin]]&gt;Vout, SQRT(Table1[[#This Row],[Duty Cycle BUCK Leg]]*(1-Table1[[#This Row],[Duty Cycle BUCK Leg]]))*SQRT(Table1[[#This Row],[Iout]]^2+(Table1[[#This Row],[Ripple Current pk-pk]]^2)/12), Table1[[#This Row],[Ripple Current pk-pk]]/SQRT(12))</f>
        <v>5.8052785850783426</v>
      </c>
      <c r="AE162" s="354">
        <f>RCinEsr*Table1[[#This Row],[Irms Cin]]^2</f>
        <v>6.7402518900738395E-2</v>
      </c>
      <c r="AF162" s="549">
        <f>Table1[[#This Row],[Cin ESR Loss]]</f>
        <v>6.7402518900738395E-2</v>
      </c>
      <c r="AG16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7.2331871545434128</v>
      </c>
      <c r="AH162" s="354">
        <f>Rdson1*Table1[[#This Row],[Irms BuCtrl]]^2</f>
        <v>0.21973978493313773</v>
      </c>
      <c r="AI162" s="354">
        <f>CHOOSE(Table1[[#This Row],[Mode Digit]], (Table1[[#This Row],[Vin]]*Table1[[#This Row],[Iout]]/2)*(Fsw)*(Tr_buck+Tf_buck), 0, (Table1[[#This Row],[Vin]]*Table1[[#This Row],[Avg IL]]/2)*(Fsw/1)*(Tr_buck+Tf_buck))</f>
        <v>4.9288310252576286</v>
      </c>
      <c r="AJ162">
        <f>IF(Table1[[#This Row],[Vin]]&gt;Vout, IF(Table1[[#This Row],[Iout]]&gt;Table1[[#This Row],[Ripple Current pk-pk]]/2,0,ABS(Table1[[#This Row],[Iout]]-Table1[[#This Row],[Ripple Current pk-pk]]/2)*Vsd_Q1*Deadtime*Fsw),0)</f>
        <v>0</v>
      </c>
      <c r="AK162" s="354">
        <f>(Table1[[#This Row],[Dead Time Loss BuCtrl]]+Table1[[#This Row],[Transition Loss BuCtrl]]+Table1[[#This Row],[RDS(on) Loss BuCtrl]]*(1+RdsonTopTc*Ta-RdsonTopTc*25))/(1-Table1[[#This Row],[RDS(on) Loss BuCtrl]]*RdsonTopTc*ThetaJA_Q1)</f>
        <v>5.4352104861828012</v>
      </c>
      <c r="AL162" s="354">
        <f>CHOOSE(Table1[[#This Row],[Mode Digit]],SQRT((Fsw*(Table1[[#This Row],[t2_Ph_I]]+0))*((Table1[[#This Row],[I_0]]*Table1[[#This Row],[I_1]]+((Table1[[#This Row],[I_0]]-Table1[[#This Row],[I_1]])^2)/3))),0,SQRT((Fsw*(Table1[[#This Row],[t3_Ph_III]]+0))*((Table1[[#This Row],[I_0]]*Table1[[#This Row],[I_2]]+((Table1[[#This Row],[I_0]]-Table1[[#This Row],[I_2]])^2)/3))))</f>
        <v>9.7317136791733887</v>
      </c>
      <c r="AM162" s="354">
        <f>Rdson2*Table1[[#This Row],[Irms BuSync]]^2</f>
        <v>0.39776625476032396</v>
      </c>
      <c r="AN16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62" s="354">
        <f>(Table1[[#This Row],[Deadtime Loss BuSync]]+Table1[[#This Row],[RDS(on) Loss BuSync]]*(1+RdsonBotTc*Ta-RdsonBotTc*25))/(1-Table1[[#This Row],[RDS(on) Loss BuSync]]*RdsonBotTc*ThetaJA_Q2)</f>
        <v>1.0780528102343332</v>
      </c>
      <c r="AP162" s="354">
        <f>CHOOSE(Table1[[#This Row],[Mode Digit]],0,SQRT((Fsw*(Table1[[#This Row],[t1_Ph_II]]+0))*((Table1[[#This Row],[I_0]]*Table1[[#This Row],[I_1]]+((Table1[[#This Row],[I_0]]-Table1[[#This Row],[I_1]])^2)/3))),SQRT((Fsw*(Table1[[#This Row],[t2_Ph_I]]+0))*((Table1[[#This Row],[I_1]]*Table1[[#This Row],[I_2]]+((Table1[[#This Row],[I_1]]-Table1[[#This Row],[I_2]])^2)/3))))</f>
        <v>0</v>
      </c>
      <c r="AQ162" s="354">
        <f>Rdson4*Table1[[#This Row],[Irms BoCtlr]]^2</f>
        <v>0</v>
      </c>
      <c r="AR162" s="354">
        <f>CHOOSE(Table1[[#This Row],[Mode Digit]], 0, (Vout*Table1[[#This Row],[Iin]]/2)*(Fsw)*(Tr_boost+Tf_boost), (Vout*Iout/2)*(Fsw/1)*(Tr_boost+Tf_boost))</f>
        <v>0</v>
      </c>
      <c r="AS162">
        <f>IF(Table1[[#This Row],[Vin]]&gt;Vout, 0, IF(Table1[[#This Row],[Iin]]&gt;Table1[[#This Row],[Ripple Current pk-pk]]/2,0,ABS(Table1[[#This Row],[Iin]]-Table1[[#This Row],[Ripple Current pk-pk]]/2)*Vsd_Q4*Deadtime*Fsw))</f>
        <v>0</v>
      </c>
      <c r="AT162" s="354">
        <f>(Table1[[#This Row],[Dead Time Loss BoCtlr]]+Table1[[#This Row],[Transition Loss BoCtlr]]+Table1[[#This Row],[RDS(on) Loss BoCtlr]]*(1+RdsonTopTc*Ta-RdsonTopTc*25))/(1-Table1[[#This Row],[RDS(on) Loss BoCtlr]]*RdsonTopTc*ThetaJA_Q4)</f>
        <v>0</v>
      </c>
      <c r="AU16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12.125396799530408</v>
      </c>
      <c r="AV162" s="354">
        <f>Rdson3*Table1[[#This Row],[Irms BoSync]]^2</f>
        <v>0.61750603969346163</v>
      </c>
      <c r="AW16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62" s="354">
        <f>(Table1[[#This Row],[Deadtime Loss BoSync]]+Table1[[#This Row],[RDS(on) Loss BoSync]]*(1+RdsonBotTc*Ta-RdsonBotTc*25))/(1-Table1[[#This Row],[RDS(on) Loss BoSync]]*RdsonBotTc*ThetaJA_Q3)</f>
        <v>0.72494375501126473</v>
      </c>
      <c r="AY162" s="354">
        <f>CHOOSE(Table1[[#This Row],[Mode Digit]], Rdson3*Table1[[#This Row],[Irms Lf]]^2, Rdson1*Table1[[#This Row],[Irms Lf]]^2, 0)</f>
        <v>0.61750603969346163</v>
      </c>
      <c r="AZ162" s="354">
        <f>CHOOSE(Table1[[#This Row],[Mode Digit]], 2*Deadtime*Fsw*IF(VfdSky_Q2&gt;0,VfdSky_Q2,0)*Table1[[#This Row],[Iout]], 2*Deadtime*Fsw*IF(VfdSky_Q3&gt;0,VfdSky_Q3,0)*Table1[[#This Row],[Iin]], 2*Deadtime*Fsw*IF(VfdSky_Q2&gt;0,VfdSky_Q2,0)*Table1[[#This Row],[Iout]]+2*Deadtime*Fsw*IF(VfdSky_Q3&gt;0,VfdSky_Q3,0)*Table1[[#This Row],[Iin]])</f>
        <v>0</v>
      </c>
      <c r="BA162" s="354">
        <f>CHOOSE(Table1[[#This Row],[Mode Digit]], IF(QrrSky_Q2&gt;0,QrrSky_Q2,Qrr_Q2)*Fsw*(Table1[[#This Row],[Vin]]-Table1[[#This Row],[Iout]]*Rdson1),0,  IF(QrrSky_Q2&gt;0,QrrSky_Q2,Qrr_Q2)*Fsw*(Table1[[#This Row],[Vin]]-Table1[[#This Row],[Iout]]*Rdson1)+IF(QrrSky_Q3&gt;0,QrrSky_Q3,Qrr_Q3)*Fsw*Vout)</f>
        <v>0.49643519999999997</v>
      </c>
      <c r="BB162" s="354">
        <f>CHOOSE(Table1[[#This Row],[Mode Digit]],0, IF(QrrSky_Q3&gt;0,QrrSky_Q3,Qrr_Q3)*Fsw*Vout,  IF(QrrSky_Q2&gt;0,QrrSky_Q2,Qrr_Q2)*Fsw*(Table1[[#This Row],[Vin]]-Table1[[#This Row],[Iout]]*Rdson1)+IF(QrrSky_Q3&gt;0,QrrSky_Q3,Qrr_Q3)*Fsw*Vout)</f>
        <v>0</v>
      </c>
      <c r="BC162" s="354">
        <f>CHOOSE(Table1[[#This Row],[Mode Digit]], Rs*Table1[[#This Row],[Irms BuSync]]^2, Rs*Table1[[#This Row],[Irms BoCtlr]]^2, Rs*(Table1[[#This Row],[Irms BuSync]]^2+Table1[[#This Row],[Irms BoCtlr]]^2))</f>
        <v>0.23676562783352612</v>
      </c>
      <c r="BD162" s="354">
        <f t="shared" si="8"/>
        <v>1.44</v>
      </c>
      <c r="BE162" s="354">
        <f>IF(Vout&gt;8, Iq*Vout, Iq*Table1[[#This Row],[Vin]])</f>
        <v>4.3799999999999999E-2</v>
      </c>
      <c r="BF162" s="354">
        <f>CHOOSE(Table1[[#This Row],[Mode Digit]], (Qg_Q1+Qg_Q2)*Fsw, (Qg_Q3+Qg_Q4)*Fsw, (Qg_Q1+Qg_Q2+Qg_Q3+Qg_Q4)*Fsw)*IF(Vout&gt;8, Vout, Table1[[#This Row],[Vin]])</f>
        <v>0.47303999999999996</v>
      </c>
      <c r="BG162" s="354">
        <f t="shared" si="9"/>
        <v>0.45605042016806729</v>
      </c>
      <c r="BH162" s="354">
        <f>Table1[[#This Row],[IQ Loss]]+Table1[[#This Row],[Switching Current Loss]]</f>
        <v>0.51683999999999997</v>
      </c>
      <c r="BI16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12.940424312381223</v>
      </c>
      <c r="BJ162">
        <f>Vout*Table1[[#This Row],[Iout]]</f>
        <v>175.2</v>
      </c>
      <c r="BK162" s="550">
        <f>Table1[[#This Row],[Pout]]/(Table1[[#This Row],[Pout]]+Table1[[#This Row],[Total Loss]])</f>
        <v>0.93121933066922691</v>
      </c>
      <c r="BL16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326.11262917096809</v>
      </c>
      <c r="BM162" s="559">
        <f>IF(Table1[[#This Row],[Vin]]&gt;Vout, Table1[[#This Row],[Total Sync Bu MOSFET Loss]]*ThetaJA_Q2, ThetaJA_Q3*Table1[[#This Row],[Total Sync Bo MOSFET Loss]])</f>
        <v>64.683168614059994</v>
      </c>
      <c r="BN162" s="9"/>
      <c r="BO162" s="4">
        <f>Table1[[#This Row],[EFF, h]]*100</f>
        <v>93.121933066922693</v>
      </c>
      <c r="BP162" s="354">
        <f>Table1[[#This Row],[Total Inductor Loss]]</f>
        <v>2.9296476764882482</v>
      </c>
      <c r="BQ162" s="354">
        <f>Table1[[#This Row],[Total Control Bu MOSFET Loss]]+Table1[[#This Row],[Total Sync Bu MOSFET Loss]]+Table1[[#This Row],[Total Control Bo MOSFET Loss]]+Table1[[#This Row],[Total Sync Bo MOSFET Loss]]+Table1[[#This Row],[Reverse Recovery Loss MOSFET D BUCK]]+Table1[[#This Row],[Reverse Recovery Loss MOSFET D BOOST]]</f>
        <v>7.734642251428399</v>
      </c>
      <c r="BR162" s="354">
        <f>Table1[[#This Row],[Total Control Bu MOSFET Loss]]+Table1[[#This Row],[Reverse Recovery Loss MOSFET D BUCK]]*0.66</f>
        <v>5.7628577181828016</v>
      </c>
      <c r="BS162" s="354">
        <f>Table1[[#This Row],[Total Sync Bu MOSFET Loss]]+Table1[[#This Row],[Reverse Recovery Loss MOSFET D BUCK]]*0.33</f>
        <v>1.2418764262343331</v>
      </c>
      <c r="BT162" s="354">
        <f xml:space="preserve"> Table1[[#This Row],[Total Control Bo MOSFET Loss]]+Table1[[#This Row],[Reverse Recovery Loss MOSFET D BOOST]]*0.66</f>
        <v>0</v>
      </c>
      <c r="BU162" s="354">
        <f xml:space="preserve"> Table1[[#This Row],[Total Sync Bo MOSFET Loss]]+Table1[[#This Row],[Reverse Recovery Loss MOSFET D BOOST]]*0.33</f>
        <v>0.72494375501126473</v>
      </c>
      <c r="BV162" s="354">
        <f>Table1[[#This Row],[Isense Shunt Loss]]</f>
        <v>0.23676562783352612</v>
      </c>
    </row>
    <row r="163" spans="7:74" x14ac:dyDescent="0.2">
      <c r="G163">
        <v>154</v>
      </c>
      <c r="H163" s="555">
        <f>VIN_min+(VIN_max-VIN_min)*(Table1[[#This Row],[Step]]/200)</f>
        <v>41.56</v>
      </c>
      <c r="I163" s="4" t="str">
        <f>IF(Mode = 2,IF(Table1[[#This Row],[Vin]]&gt;Vout, "BUCK","BOOST"),IF(Table1[[#This Row],[Vin]]&gt;VIN_BB_to_buck, "BUCK", IF(Table1[[#This Row],[Vin]]&lt;=VIN_boost_to_BB,"BOOST","BUCK-BST")))</f>
        <v>BUCK</v>
      </c>
      <c r="J163">
        <f>IF(Table1[[#This Row],[Mode]]="BOOST",2, IF(Table1[[#This Row],[Mode]]="BUCK", 1,3))</f>
        <v>1</v>
      </c>
      <c r="K163">
        <f t="shared" si="7"/>
        <v>12</v>
      </c>
      <c r="L163" s="4">
        <f>Vout*Table1[[#This Row],[Iout]]/(Table1[[#This Row],[Vin]]*Efficiency)</f>
        <v>4.4374651740033428</v>
      </c>
      <c r="M163" s="711">
        <f>MIN(1/Fsw,CHOOSE(Table1[[#This Row],[Mode Digit]],(Vout+(Rdson2+Rs+Rdcr)*Table1[[#This Row],[Iout]])/(Table1[[#This Row],[Vin]]+(Rs+Rdson2-Rdson1)*Table1[[#This Row],[Iout]])/Fsw,(Vout+(Rdson3+Rdcr)*Table1[[#This Row],[Iin]]-Table1[[#This Row],[Vin]])/(Vout+(Rdson3-Rdson4-Rs)*Table1[[#This Row],[Iin]])/Fsw,t1_Ph_II))</f>
        <v>5.9108760118618257E-7</v>
      </c>
      <c r="N163" s="602">
        <f>CHOOSE(Table1[[#This Row],[Mode Digit]],1/Fsw-Table1[[#This Row],[t1_Ph_II]],1/Fsw-Table1[[#This Row],[t1_Ph_II]],(Vout/Fsw-Table1[[#This Row],[Vin]]*t1_Ph_II)/(Table1[[#This Row],[Vin]]+Vout))</f>
        <v>1.0755790654804842E-6</v>
      </c>
      <c r="O163" s="602">
        <f>1/Fsw-(Table1[[#This Row],[t1_Ph_II]]+Table1[[#This Row],[t2_Ph_I]])</f>
        <v>0</v>
      </c>
      <c r="P16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8.9818708848523698</v>
      </c>
      <c r="Q163" s="4">
        <f>CHOOSE(Table1[[#This Row],[Mode Digit]],Table1[[#This Row],[I_0]]+1/Lf*(Table1[[#This Row],[Vin]]-Vout)*Table1[[#This Row],[t1_Ph_II]],Table1[[#This Row],[I_0]]+1/Lf*Table1[[#This Row],[Vin]]*Table1[[#This Row],[t1_Ph_II]],Table1[[#This Row],[I_0]]+(Table1[[#This Row],[Vin]]-Vout)/L*Table1[[#This Row],[t1_Ph_II]])</f>
        <v>15.018129115147628</v>
      </c>
      <c r="R163" s="4">
        <f>CHOOSE(Table1[[#This Row],[Mode Digit]],0,0,Table1[[#This Row],[I_1]]+Table1[[#This Row],[Vin]]/L*Table1[[#This Row],[t2_Ph_I]])</f>
        <v>0</v>
      </c>
      <c r="S163" s="4">
        <f>Fsw*(Table1[[#This Row],[I_0]]*Table1[[#This Row],[t1_Ph_II]]+Table1[[#This Row],[I_1]]*Table1[[#This Row],[t2_Ph_I]]+Table1[[#This Row],[I_2]]*Table1[[#This Row],[t3_Ph_III]])</f>
        <v>12.877354676656285</v>
      </c>
      <c r="T163" s="354">
        <f>MIN(1,CHOOSE(Table1[[#This Row],[Mode Digit]],(Vout+(Rdson2+Rs+Rdcr)*Table1[[#This Row],[Iout]])/(Table1[[#This Row],[Vin]]+(Rs+Rdson2-Rdson1)*Table1[[#This Row],[Iout]]),1,Fsw*Table1[[#This Row],[t2_Ph_I]]+Table1[[#This Row],[t1_Ph_II]]))</f>
        <v>0.35465256071170953</v>
      </c>
      <c r="U163" s="354">
        <f>MIN(1,CHOOSE(Table1[[#This Row],[Mode Digit]],0,(Vout+(Rdson3+Rdcr)*Table1[[#This Row],[Iin]]-Table1[[#This Row],[Vin]])/(Vout+(Rdson3-Rdson4-Rs)*Table1[[#This Row],[Iin]]),Fsw*Table1[[#This Row],[t1_Ph_II]]+Table1[[#This Row],[t3_Ph_III]]))</f>
        <v>0</v>
      </c>
      <c r="V163" s="4">
        <f>MAX(Table1[[#This Row],[I_0]:[I_2]])-MIN(Table1[[#This Row],[I_0]:[I_1]])</f>
        <v>6.0362582302952585</v>
      </c>
      <c r="W16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12.125855342417454</v>
      </c>
      <c r="X163" s="354">
        <f>(Table1[[#This Row],[Irms Lf]]^2*Rdcr*(1+Ltc*Ta-Ltc*25))/(1-Table1[[#This Row],[Irms Lf]]^2*Rdcr*Ltc*ThetaCa)</f>
        <v>0.91525402423268942</v>
      </c>
      <c r="Y163" s="354">
        <f>ABS(7.759*10^-3*Fsw^0.9458*(0.00787*Table1[[#This Row],[Ripple Current pk-pk]])^2.304)</f>
        <v>2.0230006549027637</v>
      </c>
      <c r="Z163" s="354">
        <f>Table1[[#This Row],[DCR    Loss]]+Table1[[#This Row],[Core Loss]]</f>
        <v>2.9382546791354534</v>
      </c>
      <c r="AA163" s="4">
        <f>IF(Table1[[#This Row],[Vin]]&gt;Vout, Table1[[#This Row],[Ripple Current pk-pk]]/SQRT(12), SQRT(Table1[[#This Row],[Duty Cycle BOOST Leg]]/(1-Table1[[#This Row],[Duty Cycle BOOST Leg]]))*SQRT(Table1[[#This Row],[Iout]]^2+(Table1[[#This Row],[Ripple Current pk-pk]]^2)/12))</f>
        <v>1.7425176570795309</v>
      </c>
      <c r="AB163" s="354">
        <f>RCoutEsr*Table1[[#This Row],[Irms Cout]]^2</f>
        <v>1.5181838926169689E-2</v>
      </c>
      <c r="AC163" s="354">
        <f>Table1[[#This Row],[Cout ESR Loss]]</f>
        <v>1.5181838926169689E-2</v>
      </c>
      <c r="AD163" s="354">
        <f>IF(Table1[[#This Row],[Vin]]&gt;Vout, SQRT(Table1[[#This Row],[Duty Cycle BUCK Leg]]*(1-Table1[[#This Row],[Duty Cycle BUCK Leg]]))*SQRT(Table1[[#This Row],[Iout]]^2+(Table1[[#This Row],[Ripple Current pk-pk]]^2)/12), Table1[[#This Row],[Ripple Current pk-pk]]/SQRT(12))</f>
        <v>5.8011050294822359</v>
      </c>
      <c r="AE163" s="354">
        <f>RCinEsr*Table1[[#This Row],[Irms Cin]]^2</f>
        <v>6.7305639126168187E-2</v>
      </c>
      <c r="AF163" s="549">
        <f>Table1[[#This Row],[Cin ESR Loss]]</f>
        <v>6.7305639126168187E-2</v>
      </c>
      <c r="AG16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7.2212758119865441</v>
      </c>
      <c r="AH163" s="354">
        <f>Rdson1*Table1[[#This Row],[Irms BuCtrl]]^2</f>
        <v>0.21901666228168409</v>
      </c>
      <c r="AI163" s="354">
        <f>CHOOSE(Table1[[#This Row],[Mode Digit]], (Table1[[#This Row],[Vin]]*Table1[[#This Row],[Iout]]/2)*(Fsw)*(Tr_buck+Tf_buck), 0, (Table1[[#This Row],[Vin]]*Table1[[#This Row],[Avg IL]]/2)*(Fsw/1)*(Tr_buck+Tf_buck))</f>
        <v>4.9454905217215606</v>
      </c>
      <c r="AJ163">
        <f>IF(Table1[[#This Row],[Vin]]&gt;Vout, IF(Table1[[#This Row],[Iout]]&gt;Table1[[#This Row],[Ripple Current pk-pk]]/2,0,ABS(Table1[[#This Row],[Iout]]-Table1[[#This Row],[Ripple Current pk-pk]]/2)*Vsd_Q1*Deadtime*Fsw),0)</f>
        <v>0</v>
      </c>
      <c r="AK163" s="354">
        <f>(Table1[[#This Row],[Dead Time Loss BuCtrl]]+Table1[[#This Row],[Transition Loss BuCtrl]]+Table1[[#This Row],[RDS(on) Loss BuCtrl]]*(1+RdsonTopTc*Ta-RdsonTopTc*25))/(1-Table1[[#This Row],[RDS(on) Loss BuCtrl]]*RdsonTopTc*ThetaJA_Q1)</f>
        <v>5.4510354032004251</v>
      </c>
      <c r="AL163" s="354">
        <f>CHOOSE(Table1[[#This Row],[Mode Digit]],SQRT((Fsw*(Table1[[#This Row],[t2_Ph_I]]+0))*((Table1[[#This Row],[I_0]]*Table1[[#This Row],[I_1]]+((Table1[[#This Row],[I_0]]-Table1[[#This Row],[I_1]])^2)/3))),0,SQRT((Fsw*(Table1[[#This Row],[t3_Ph_III]]+0))*((Table1[[#This Row],[I_0]]*Table1[[#This Row],[I_2]]+((Table1[[#This Row],[I_0]]-Table1[[#This Row],[I_2]])^2)/3))))</f>
        <v>9.7411263944398137</v>
      </c>
      <c r="AM163" s="354">
        <f>Rdson2*Table1[[#This Row],[Irms BuSync]]^2</f>
        <v>0.39853608241629845</v>
      </c>
      <c r="AN16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63" s="354">
        <f>(Table1[[#This Row],[Deadtime Loss BuSync]]+Table1[[#This Row],[RDS(on) Loss BuSync]]*(1+RdsonBotTc*Ta-RdsonBotTc*25))/(1-Table1[[#This Row],[RDS(on) Loss BuSync]]*RdsonBotTc*ThetaJA_Q2)</f>
        <v>1.0791243044436958</v>
      </c>
      <c r="AP163" s="354">
        <f>CHOOSE(Table1[[#This Row],[Mode Digit]],0,SQRT((Fsw*(Table1[[#This Row],[t1_Ph_II]]+0))*((Table1[[#This Row],[I_0]]*Table1[[#This Row],[I_1]]+((Table1[[#This Row],[I_0]]-Table1[[#This Row],[I_1]])^2)/3))),SQRT((Fsw*(Table1[[#This Row],[t2_Ph_I]]+0))*((Table1[[#This Row],[I_1]]*Table1[[#This Row],[I_2]]+((Table1[[#This Row],[I_1]]-Table1[[#This Row],[I_2]])^2)/3))))</f>
        <v>0</v>
      </c>
      <c r="AQ163" s="354">
        <f>Rdson4*Table1[[#This Row],[Irms BoCtlr]]^2</f>
        <v>0</v>
      </c>
      <c r="AR163" s="354">
        <f>CHOOSE(Table1[[#This Row],[Mode Digit]], 0, (Vout*Table1[[#This Row],[Iin]]/2)*(Fsw)*(Tr_boost+Tf_boost), (Vout*Iout/2)*(Fsw/1)*(Tr_boost+Tf_boost))</f>
        <v>0</v>
      </c>
      <c r="AS163">
        <f>IF(Table1[[#This Row],[Vin]]&gt;Vout, 0, IF(Table1[[#This Row],[Iin]]&gt;Table1[[#This Row],[Ripple Current pk-pk]]/2,0,ABS(Table1[[#This Row],[Iin]]-Table1[[#This Row],[Ripple Current pk-pk]]/2)*Vsd_Q4*Deadtime*Fsw))</f>
        <v>0</v>
      </c>
      <c r="AT163" s="354">
        <f>(Table1[[#This Row],[Dead Time Loss BoCtlr]]+Table1[[#This Row],[Transition Loss BoCtlr]]+Table1[[#This Row],[RDS(on) Loss BoCtlr]]*(1+RdsonTopTc*Ta-RdsonTopTc*25))/(1-Table1[[#This Row],[RDS(on) Loss BoCtlr]]*RdsonTopTc*ThetaJA_Q4)</f>
        <v>0</v>
      </c>
      <c r="AU16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12.125855342417454</v>
      </c>
      <c r="AV163" s="354">
        <f>Rdson3*Table1[[#This Row],[Irms BoSync]]^2</f>
        <v>0.6175527446979826</v>
      </c>
      <c r="AW16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63" s="354">
        <f>(Table1[[#This Row],[Deadtime Loss BoSync]]+Table1[[#This Row],[RDS(on) Loss BoSync]]*(1+RdsonBotTc*Ta-RdsonBotTc*25))/(1-Table1[[#This Row],[RDS(on) Loss BoSync]]*RdsonBotTc*ThetaJA_Q3)</f>
        <v>0.72500812676485804</v>
      </c>
      <c r="AY163" s="354">
        <f>CHOOSE(Table1[[#This Row],[Mode Digit]], Rdson3*Table1[[#This Row],[Irms Lf]]^2, Rdson1*Table1[[#This Row],[Irms Lf]]^2, 0)</f>
        <v>0.6175527446979826</v>
      </c>
      <c r="AZ163" s="354">
        <f>CHOOSE(Table1[[#This Row],[Mode Digit]], 2*Deadtime*Fsw*IF(VfdSky_Q2&gt;0,VfdSky_Q2,0)*Table1[[#This Row],[Iout]], 2*Deadtime*Fsw*IF(VfdSky_Q3&gt;0,VfdSky_Q3,0)*Table1[[#This Row],[Iin]], 2*Deadtime*Fsw*IF(VfdSky_Q2&gt;0,VfdSky_Q2,0)*Table1[[#This Row],[Iout]]+2*Deadtime*Fsw*IF(VfdSky_Q3&gt;0,VfdSky_Q3,0)*Table1[[#This Row],[Iin]])</f>
        <v>0</v>
      </c>
      <c r="BA163" s="354">
        <f>CHOOSE(Table1[[#This Row],[Mode Digit]], IF(QrrSky_Q2&gt;0,QrrSky_Q2,Qrr_Q2)*Fsw*(Table1[[#This Row],[Vin]]-Table1[[#This Row],[Iout]]*Rdson1),0,  IF(QrrSky_Q2&gt;0,QrrSky_Q2,Qrr_Q2)*Fsw*(Table1[[#This Row],[Vin]]-Table1[[#This Row],[Iout]]*Rdson1)+IF(QrrSky_Q3&gt;0,QrrSky_Q3,Qrr_Q3)*Fsw*Vout)</f>
        <v>0.49811519999999998</v>
      </c>
      <c r="BB163" s="354">
        <f>CHOOSE(Table1[[#This Row],[Mode Digit]],0, IF(QrrSky_Q3&gt;0,QrrSky_Q3,Qrr_Q3)*Fsw*Vout,  IF(QrrSky_Q2&gt;0,QrrSky_Q2,Qrr_Q2)*Fsw*(Table1[[#This Row],[Vin]]-Table1[[#This Row],[Iout]]*Rdson1)+IF(QrrSky_Q3&gt;0,QrrSky_Q3,Qrr_Q3)*Fsw*Vout)</f>
        <v>0</v>
      </c>
      <c r="BC163" s="354">
        <f>CHOOSE(Table1[[#This Row],[Mode Digit]], Rs*Table1[[#This Row],[Irms BuSync]]^2, Rs*Table1[[#This Row],[Irms BoCtlr]]^2, Rs*(Table1[[#This Row],[Irms BuSync]]^2+Table1[[#This Row],[Irms BoCtlr]]^2))</f>
        <v>0.23722385858113001</v>
      </c>
      <c r="BD163" s="354">
        <f t="shared" si="8"/>
        <v>1.44</v>
      </c>
      <c r="BE163" s="354">
        <f>IF(Vout&gt;8, Iq*Vout, Iq*Table1[[#This Row],[Vin]])</f>
        <v>4.3799999999999999E-2</v>
      </c>
      <c r="BF163" s="354">
        <f>CHOOSE(Table1[[#This Row],[Mode Digit]], (Qg_Q1+Qg_Q2)*Fsw, (Qg_Q3+Qg_Q4)*Fsw, (Qg_Q1+Qg_Q2+Qg_Q3+Qg_Q4)*Fsw)*IF(Vout&gt;8, Vout, Table1[[#This Row],[Vin]])</f>
        <v>0.47303999999999996</v>
      </c>
      <c r="BG163" s="354">
        <f t="shared" si="9"/>
        <v>0.45605042016806729</v>
      </c>
      <c r="BH163" s="354">
        <f>Table1[[#This Row],[IQ Loss]]+Table1[[#This Row],[Switching Current Loss]]</f>
        <v>0.51683999999999997</v>
      </c>
      <c r="BI16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12.9680890501779</v>
      </c>
      <c r="BJ163">
        <f>Vout*Table1[[#This Row],[Iout]]</f>
        <v>175.2</v>
      </c>
      <c r="BK163" s="550">
        <f>Table1[[#This Row],[Pout]]/(Table1[[#This Row],[Pout]]+Table1[[#This Row],[Total Loss]])</f>
        <v>0.93108242149007658</v>
      </c>
      <c r="BL16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327.06212419202552</v>
      </c>
      <c r="BM163" s="559">
        <f>IF(Table1[[#This Row],[Vin]]&gt;Vout, Table1[[#This Row],[Total Sync Bu MOSFET Loss]]*ThetaJA_Q2, ThetaJA_Q3*Table1[[#This Row],[Total Sync Bo MOSFET Loss]])</f>
        <v>64.747458266621749</v>
      </c>
      <c r="BN163" s="9"/>
      <c r="BO163" s="4">
        <f>Table1[[#This Row],[EFF, h]]*100</f>
        <v>93.108242149007651</v>
      </c>
      <c r="BP163" s="354">
        <f>Table1[[#This Row],[Total Inductor Loss]]</f>
        <v>2.9382546791354534</v>
      </c>
      <c r="BQ163" s="354">
        <f>Table1[[#This Row],[Total Control Bu MOSFET Loss]]+Table1[[#This Row],[Total Sync Bu MOSFET Loss]]+Table1[[#This Row],[Total Control Bo MOSFET Loss]]+Table1[[#This Row],[Total Sync Bo MOSFET Loss]]+Table1[[#This Row],[Reverse Recovery Loss MOSFET D BUCK]]+Table1[[#This Row],[Reverse Recovery Loss MOSFET D BOOST]]</f>
        <v>7.7532830344089785</v>
      </c>
      <c r="BR163" s="354">
        <f>Table1[[#This Row],[Total Control Bu MOSFET Loss]]+Table1[[#This Row],[Reverse Recovery Loss MOSFET D BUCK]]*0.66</f>
        <v>5.7797914352004254</v>
      </c>
      <c r="BS163" s="354">
        <f>Table1[[#This Row],[Total Sync Bu MOSFET Loss]]+Table1[[#This Row],[Reverse Recovery Loss MOSFET D BUCK]]*0.33</f>
        <v>1.2435023204436957</v>
      </c>
      <c r="BT163" s="354">
        <f xml:space="preserve"> Table1[[#This Row],[Total Control Bo MOSFET Loss]]+Table1[[#This Row],[Reverse Recovery Loss MOSFET D BOOST]]*0.66</f>
        <v>0</v>
      </c>
      <c r="BU163" s="354">
        <f xml:space="preserve"> Table1[[#This Row],[Total Sync Bo MOSFET Loss]]+Table1[[#This Row],[Reverse Recovery Loss MOSFET D BOOST]]*0.33</f>
        <v>0.72500812676485804</v>
      </c>
      <c r="BV163" s="354">
        <f>Table1[[#This Row],[Isense Shunt Loss]]</f>
        <v>0.23722385858113001</v>
      </c>
    </row>
    <row r="164" spans="7:74" x14ac:dyDescent="0.2">
      <c r="G164">
        <v>155</v>
      </c>
      <c r="H164" s="555">
        <f>VIN_min+(VIN_max-VIN_min)*(Table1[[#This Row],[Step]]/200)</f>
        <v>41.7</v>
      </c>
      <c r="I164" s="4" t="str">
        <f>IF(Mode = 2,IF(Table1[[#This Row],[Vin]]&gt;Vout, "BUCK","BOOST"),IF(Table1[[#This Row],[Vin]]&gt;VIN_BB_to_buck, "BUCK", IF(Table1[[#This Row],[Vin]]&lt;=VIN_boost_to_BB,"BOOST","BUCK-BST")))</f>
        <v>BUCK</v>
      </c>
      <c r="J164">
        <f>IF(Table1[[#This Row],[Mode]]="BOOST",2, IF(Table1[[#This Row],[Mode]]="BUCK", 1,3))</f>
        <v>1</v>
      </c>
      <c r="K164">
        <f t="shared" si="7"/>
        <v>12</v>
      </c>
      <c r="L164" s="4">
        <f>Vout*Table1[[#This Row],[Iout]]/(Table1[[#This Row],[Vin]]*Efficiency)</f>
        <v>4.4225672093903823</v>
      </c>
      <c r="M164" s="711">
        <f>MIN(1/Fsw,CHOOSE(Table1[[#This Row],[Mode Digit]],(Vout+(Rdson2+Rs+Rdcr)*Table1[[#This Row],[Iout]])/(Table1[[#This Row],[Vin]]+(Rs+Rdson2-Rdson1)*Table1[[#This Row],[Iout]])/Fsw,(Vout+(Rdson3+Rdcr)*Table1[[#This Row],[Iin]]-Table1[[#This Row],[Vin]])/(Vout+(Rdson3-Rdson4-Rs)*Table1[[#This Row],[Iin]])/Fsw,t1_Ph_II))</f>
        <v>5.8910456106717779E-7</v>
      </c>
      <c r="N164" s="602">
        <f>CHOOSE(Table1[[#This Row],[Mode Digit]],1/Fsw-Table1[[#This Row],[t1_Ph_II]],1/Fsw-Table1[[#This Row],[t1_Ph_II]],(Vout/Fsw-Table1[[#This Row],[Vin]]*t1_Ph_II)/(Table1[[#This Row],[Vin]]+Vout))</f>
        <v>1.077562105599489E-6</v>
      </c>
      <c r="O164" s="602">
        <f>1/Fsw-(Table1[[#This Row],[t1_Ph_II]]+Table1[[#This Row],[t2_Ph_I]])</f>
        <v>0</v>
      </c>
      <c r="P16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8.9763762111892955</v>
      </c>
      <c r="Q164" s="4">
        <f>CHOOSE(Table1[[#This Row],[Mode Digit]],Table1[[#This Row],[I_0]]+1/Lf*(Table1[[#This Row],[Vin]]-Vout)*Table1[[#This Row],[t1_Ph_II]],Table1[[#This Row],[I_0]]+1/Lf*Table1[[#This Row],[Vin]]*Table1[[#This Row],[t1_Ph_II]],Table1[[#This Row],[I_0]]+(Table1[[#This Row],[Vin]]-Vout)/L*Table1[[#This Row],[t1_Ph_II]])</f>
        <v>15.023623788810704</v>
      </c>
      <c r="R164" s="4">
        <f>CHOOSE(Table1[[#This Row],[Mode Digit]],0,0,Table1[[#This Row],[I_1]]+Table1[[#This Row],[Vin]]/L*Table1[[#This Row],[t2_Ph_I]])</f>
        <v>0</v>
      </c>
      <c r="S164" s="4">
        <f>Fsw*(Table1[[#This Row],[I_0]]*Table1[[#This Row],[t1_Ph_II]]+Table1[[#This Row],[I_1]]*Table1[[#This Row],[t2_Ph_I]]+Table1[[#This Row],[I_2]]*Table1[[#This Row],[t3_Ph_III]])</f>
        <v>12.886147110883178</v>
      </c>
      <c r="T164" s="354">
        <f>MIN(1,CHOOSE(Table1[[#This Row],[Mode Digit]],(Vout+(Rdson2+Rs+Rdcr)*Table1[[#This Row],[Iout]])/(Table1[[#This Row],[Vin]]+(Rs+Rdson2-Rdson1)*Table1[[#This Row],[Iout]]),1,Fsw*Table1[[#This Row],[t2_Ph_I]]+Table1[[#This Row],[t1_Ph_II]]))</f>
        <v>0.3534627366403067</v>
      </c>
      <c r="U164" s="354">
        <f>MIN(1,CHOOSE(Table1[[#This Row],[Mode Digit]],0,(Vout+(Rdson3+Rdcr)*Table1[[#This Row],[Iin]]-Table1[[#This Row],[Vin]])/(Vout+(Rdson3-Rdson4-Rs)*Table1[[#This Row],[Iin]]),Fsw*Table1[[#This Row],[t1_Ph_II]]+Table1[[#This Row],[t3_Ph_III]]))</f>
        <v>0</v>
      </c>
      <c r="V164" s="4">
        <f>MAX(Table1[[#This Row],[I_0]:[I_2]])-MIN(Table1[[#This Row],[I_0]:[I_1]])</f>
        <v>6.047247577621409</v>
      </c>
      <c r="W16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12.1263116241263</v>
      </c>
      <c r="X164" s="354">
        <f>(Table1[[#This Row],[Irms Lf]]^2*Rdcr*(1+Ltc*Ta-Ltc*25))/(1-Table1[[#This Row],[Irms Lf]]^2*Rdcr*Ltc*ThetaCa)</f>
        <v>0.91532794930720207</v>
      </c>
      <c r="Y164" s="354">
        <f>ABS(7.759*10^-3*Fsw^0.9458*(0.00787*Table1[[#This Row],[Ripple Current pk-pk]])^2.304)</f>
        <v>2.0314963298061808</v>
      </c>
      <c r="Z164" s="354">
        <f>Table1[[#This Row],[DCR    Loss]]+Table1[[#This Row],[Core Loss]]</f>
        <v>2.946824279113383</v>
      </c>
      <c r="AA164" s="4">
        <f>IF(Table1[[#This Row],[Vin]]&gt;Vout, Table1[[#This Row],[Ripple Current pk-pk]]/SQRT(12), SQRT(Table1[[#This Row],[Duty Cycle BOOST Leg]]/(1-Table1[[#This Row],[Duty Cycle BOOST Leg]]))*SQRT(Table1[[#This Row],[Iout]]^2+(Table1[[#This Row],[Ripple Current pk-pk]]^2)/12))</f>
        <v>1.7456900083980165</v>
      </c>
      <c r="AB164" s="354">
        <f>RCoutEsr*Table1[[#This Row],[Irms Cout]]^2</f>
        <v>1.5237168027103334E-2</v>
      </c>
      <c r="AC164" s="354">
        <f>Table1[[#This Row],[Cout ESR Loss]]</f>
        <v>1.5237168027103334E-2</v>
      </c>
      <c r="AD164" s="354">
        <f>IF(Table1[[#This Row],[Vin]]&gt;Vout, SQRT(Table1[[#This Row],[Duty Cycle BUCK Leg]]*(1-Table1[[#This Row],[Duty Cycle BUCK Leg]]))*SQRT(Table1[[#This Row],[Iout]]^2+(Table1[[#This Row],[Ripple Current pk-pk]]^2)/12), Table1[[#This Row],[Ripple Current pk-pk]]/SQRT(12))</f>
        <v>5.7969202105273183</v>
      </c>
      <c r="AE164" s="354">
        <f>RCinEsr*Table1[[#This Row],[Irms Cin]]^2</f>
        <v>6.7208567854440182E-2</v>
      </c>
      <c r="AF164" s="549">
        <f>Table1[[#This Row],[Cin ESR Loss]]</f>
        <v>6.7208567854440182E-2</v>
      </c>
      <c r="AG16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7.2094235759945322</v>
      </c>
      <c r="AH164" s="354">
        <f>Rdson1*Table1[[#This Row],[Irms BuCtrl]]^2</f>
        <v>0.21829831085204435</v>
      </c>
      <c r="AI164" s="354">
        <f>CHOOSE(Table1[[#This Row],[Mode Digit]], (Table1[[#This Row],[Vin]]*Table1[[#This Row],[Iout]]/2)*(Fsw)*(Tr_buck+Tf_buck), 0, (Table1[[#This Row],[Vin]]*Table1[[#This Row],[Avg IL]]/2)*(Fsw/1)*(Tr_buck+Tf_buck))</f>
        <v>4.9621500181854925</v>
      </c>
      <c r="AJ164">
        <f>IF(Table1[[#This Row],[Vin]]&gt;Vout, IF(Table1[[#This Row],[Iout]]&gt;Table1[[#This Row],[Ripple Current pk-pk]]/2,0,ABS(Table1[[#This Row],[Iout]]-Table1[[#This Row],[Ripple Current pk-pk]]/2)*Vsd_Q1*Deadtime*Fsw),0)</f>
        <v>0</v>
      </c>
      <c r="AK164" s="354">
        <f>(Table1[[#This Row],[Dead Time Loss BuCtrl]]+Table1[[#This Row],[Transition Loss BuCtrl]]+Table1[[#This Row],[RDS(on) Loss BuCtrl]]*(1+RdsonTopTc*Ta-RdsonTopTc*25))/(1-Table1[[#This Row],[RDS(on) Loss BuCtrl]]*RdsonTopTc*ThetaJA_Q1)</f>
        <v>5.4668661649063148</v>
      </c>
      <c r="AL164" s="354">
        <f>CHOOSE(Table1[[#This Row],[Mode Digit]],SQRT((Fsw*(Table1[[#This Row],[t2_Ph_I]]+0))*((Table1[[#This Row],[I_0]]*Table1[[#This Row],[I_1]]+((Table1[[#This Row],[I_0]]-Table1[[#This Row],[I_1]])^2)/3))),0,SQRT((Fsw*(Table1[[#This Row],[t3_Ph_III]]+0))*((Table1[[#This Row],[I_0]]*Table1[[#This Row],[I_2]]+((Table1[[#This Row],[I_0]]-Table1[[#This Row],[I_2]])^2)/3))))</f>
        <v>9.7504689788396792</v>
      </c>
      <c r="AM164" s="354">
        <f>Rdson2*Table1[[#This Row],[Irms BuSync]]^2</f>
        <v>0.39930091029072262</v>
      </c>
      <c r="AN16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64" s="354">
        <f>(Table1[[#This Row],[Deadtime Loss BuSync]]+Table1[[#This Row],[RDS(on) Loss BuSync]]*(1+RdsonBotTc*Ta-RdsonBotTc*25))/(1-Table1[[#This Row],[RDS(on) Loss BuSync]]*RdsonBotTc*ThetaJA_Q2)</f>
        <v>1.0801892732886553</v>
      </c>
      <c r="AP164" s="354">
        <f>CHOOSE(Table1[[#This Row],[Mode Digit]],0,SQRT((Fsw*(Table1[[#This Row],[t1_Ph_II]]+0))*((Table1[[#This Row],[I_0]]*Table1[[#This Row],[I_1]]+((Table1[[#This Row],[I_0]]-Table1[[#This Row],[I_1]])^2)/3))),SQRT((Fsw*(Table1[[#This Row],[t2_Ph_I]]+0))*((Table1[[#This Row],[I_1]]*Table1[[#This Row],[I_2]]+((Table1[[#This Row],[I_1]]-Table1[[#This Row],[I_2]])^2)/3))))</f>
        <v>0</v>
      </c>
      <c r="AQ164" s="354">
        <f>Rdson4*Table1[[#This Row],[Irms BoCtlr]]^2</f>
        <v>0</v>
      </c>
      <c r="AR164" s="354">
        <f>CHOOSE(Table1[[#This Row],[Mode Digit]], 0, (Vout*Table1[[#This Row],[Iin]]/2)*(Fsw)*(Tr_boost+Tf_boost), (Vout*Iout/2)*(Fsw/1)*(Tr_boost+Tf_boost))</f>
        <v>0</v>
      </c>
      <c r="AS164">
        <f>IF(Table1[[#This Row],[Vin]]&gt;Vout, 0, IF(Table1[[#This Row],[Iin]]&gt;Table1[[#This Row],[Ripple Current pk-pk]]/2,0,ABS(Table1[[#This Row],[Iin]]-Table1[[#This Row],[Ripple Current pk-pk]]/2)*Vsd_Q4*Deadtime*Fsw))</f>
        <v>0</v>
      </c>
      <c r="AT164" s="354">
        <f>(Table1[[#This Row],[Dead Time Loss BoCtlr]]+Table1[[#This Row],[Transition Loss BoCtlr]]+Table1[[#This Row],[RDS(on) Loss BoCtlr]]*(1+RdsonTopTc*Ta-RdsonTopTc*25))/(1-Table1[[#This Row],[RDS(on) Loss BoCtlr]]*RdsonTopTc*ThetaJA_Q4)</f>
        <v>0</v>
      </c>
      <c r="AU16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12.1263116241263</v>
      </c>
      <c r="AV164" s="354">
        <f>Rdson3*Table1[[#This Row],[Irms BoSync]]^2</f>
        <v>0.61759922114276666</v>
      </c>
      <c r="AW16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64" s="354">
        <f>(Table1[[#This Row],[Deadtime Loss BoSync]]+Table1[[#This Row],[RDS(on) Loss BoSync]]*(1+RdsonBotTc*Ta-RdsonBotTc*25))/(1-Table1[[#This Row],[RDS(on) Loss BoSync]]*RdsonBotTc*ThetaJA_Q3)</f>
        <v>0.72507218518497207</v>
      </c>
      <c r="AY164" s="354">
        <f>CHOOSE(Table1[[#This Row],[Mode Digit]], Rdson3*Table1[[#This Row],[Irms Lf]]^2, Rdson1*Table1[[#This Row],[Irms Lf]]^2, 0)</f>
        <v>0.61759922114276666</v>
      </c>
      <c r="AZ164" s="354">
        <f>CHOOSE(Table1[[#This Row],[Mode Digit]], 2*Deadtime*Fsw*IF(VfdSky_Q2&gt;0,VfdSky_Q2,0)*Table1[[#This Row],[Iout]], 2*Deadtime*Fsw*IF(VfdSky_Q3&gt;0,VfdSky_Q3,0)*Table1[[#This Row],[Iin]], 2*Deadtime*Fsw*IF(VfdSky_Q2&gt;0,VfdSky_Q2,0)*Table1[[#This Row],[Iout]]+2*Deadtime*Fsw*IF(VfdSky_Q3&gt;0,VfdSky_Q3,0)*Table1[[#This Row],[Iin]])</f>
        <v>0</v>
      </c>
      <c r="BA164" s="354">
        <f>CHOOSE(Table1[[#This Row],[Mode Digit]], IF(QrrSky_Q2&gt;0,QrrSky_Q2,Qrr_Q2)*Fsw*(Table1[[#This Row],[Vin]]-Table1[[#This Row],[Iout]]*Rdson1),0,  IF(QrrSky_Q2&gt;0,QrrSky_Q2,Qrr_Q2)*Fsw*(Table1[[#This Row],[Vin]]-Table1[[#This Row],[Iout]]*Rdson1)+IF(QrrSky_Q3&gt;0,QrrSky_Q3,Qrr_Q3)*Fsw*Vout)</f>
        <v>0.4997952</v>
      </c>
      <c r="BB164" s="354">
        <f>CHOOSE(Table1[[#This Row],[Mode Digit]],0, IF(QrrSky_Q3&gt;0,QrrSky_Q3,Qrr_Q3)*Fsw*Vout,  IF(QrrSky_Q2&gt;0,QrrSky_Q2,Qrr_Q2)*Fsw*(Table1[[#This Row],[Vin]]-Table1[[#This Row],[Iout]]*Rdson1)+IF(QrrSky_Q3&gt;0,QrrSky_Q3,Qrr_Q3)*Fsw*Vout)</f>
        <v>0</v>
      </c>
      <c r="BC164" s="354">
        <f>CHOOSE(Table1[[#This Row],[Mode Digit]], Rs*Table1[[#This Row],[Irms BuSync]]^2, Rs*Table1[[#This Row],[Irms BoCtlr]]^2, Rs*(Table1[[#This Row],[Irms BuSync]]^2+Table1[[#This Row],[Irms BoCtlr]]^2))</f>
        <v>0.23767911326828725</v>
      </c>
      <c r="BD164" s="354">
        <f t="shared" si="8"/>
        <v>1.44</v>
      </c>
      <c r="BE164" s="354">
        <f>IF(Vout&gt;8, Iq*Vout, Iq*Table1[[#This Row],[Vin]])</f>
        <v>4.3799999999999999E-2</v>
      </c>
      <c r="BF164" s="354">
        <f>CHOOSE(Table1[[#This Row],[Mode Digit]], (Qg_Q1+Qg_Q2)*Fsw, (Qg_Q3+Qg_Q4)*Fsw, (Qg_Q1+Qg_Q2+Qg_Q3+Qg_Q4)*Fsw)*IF(Vout&gt;8, Vout, Table1[[#This Row],[Vin]])</f>
        <v>0.47303999999999996</v>
      </c>
      <c r="BG164" s="354">
        <f t="shared" si="9"/>
        <v>0.45605042016806729</v>
      </c>
      <c r="BH164" s="354">
        <f>Table1[[#This Row],[IQ Loss]]+Table1[[#This Row],[Switching Current Loss]]</f>
        <v>0.51683999999999997</v>
      </c>
      <c r="BI16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12.995711951643155</v>
      </c>
      <c r="BJ164">
        <f>Vout*Table1[[#This Row],[Iout]]</f>
        <v>175.2</v>
      </c>
      <c r="BK164" s="550">
        <f>Table1[[#This Row],[Pout]]/(Table1[[#This Row],[Pout]]+Table1[[#This Row],[Total Loss]])</f>
        <v>0.93094575951346648</v>
      </c>
      <c r="BL16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328.01196989437886</v>
      </c>
      <c r="BM164" s="559">
        <f>IF(Table1[[#This Row],[Vin]]&gt;Vout, Table1[[#This Row],[Total Sync Bu MOSFET Loss]]*ThetaJA_Q2, ThetaJA_Q3*Table1[[#This Row],[Total Sync Bo MOSFET Loss]])</f>
        <v>64.811356397319315</v>
      </c>
      <c r="BN164" s="9"/>
      <c r="BO164" s="4">
        <f>Table1[[#This Row],[EFF, h]]*100</f>
        <v>93.094575951346641</v>
      </c>
      <c r="BP164" s="354">
        <f>Table1[[#This Row],[Total Inductor Loss]]</f>
        <v>2.946824279113383</v>
      </c>
      <c r="BQ164" s="354">
        <f>Table1[[#This Row],[Total Control Bu MOSFET Loss]]+Table1[[#This Row],[Total Sync Bu MOSFET Loss]]+Table1[[#This Row],[Total Control Bo MOSFET Loss]]+Table1[[#This Row],[Total Sync Bo MOSFET Loss]]+Table1[[#This Row],[Reverse Recovery Loss MOSFET D BUCK]]+Table1[[#This Row],[Reverse Recovery Loss MOSFET D BOOST]]</f>
        <v>7.7719228233799429</v>
      </c>
      <c r="BR164" s="354">
        <f>Table1[[#This Row],[Total Control Bu MOSFET Loss]]+Table1[[#This Row],[Reverse Recovery Loss MOSFET D BUCK]]*0.66</f>
        <v>5.796730996906315</v>
      </c>
      <c r="BS164" s="354">
        <f>Table1[[#This Row],[Total Sync Bu MOSFET Loss]]+Table1[[#This Row],[Reverse Recovery Loss MOSFET D BUCK]]*0.33</f>
        <v>1.2451216892886554</v>
      </c>
      <c r="BT164" s="354">
        <f xml:space="preserve"> Table1[[#This Row],[Total Control Bo MOSFET Loss]]+Table1[[#This Row],[Reverse Recovery Loss MOSFET D BOOST]]*0.66</f>
        <v>0</v>
      </c>
      <c r="BU164" s="354">
        <f xml:space="preserve"> Table1[[#This Row],[Total Sync Bo MOSFET Loss]]+Table1[[#This Row],[Reverse Recovery Loss MOSFET D BOOST]]*0.33</f>
        <v>0.72507218518497207</v>
      </c>
      <c r="BV164" s="354">
        <f>Table1[[#This Row],[Isense Shunt Loss]]</f>
        <v>0.23767911326828725</v>
      </c>
    </row>
    <row r="165" spans="7:74" x14ac:dyDescent="0.2">
      <c r="G165">
        <v>156</v>
      </c>
      <c r="H165" s="555">
        <f>VIN_min+(VIN_max-VIN_min)*(Table1[[#This Row],[Step]]/200)</f>
        <v>41.84</v>
      </c>
      <c r="I165" s="4" t="str">
        <f>IF(Mode = 2,IF(Table1[[#This Row],[Vin]]&gt;Vout, "BUCK","BOOST"),IF(Table1[[#This Row],[Vin]]&gt;VIN_BB_to_buck, "BUCK", IF(Table1[[#This Row],[Vin]]&lt;=VIN_boost_to_BB,"BOOST","BUCK-BST")))</f>
        <v>BUCK</v>
      </c>
      <c r="J165">
        <f>IF(Table1[[#This Row],[Mode]]="BOOST",2, IF(Table1[[#This Row],[Mode]]="BUCK", 1,3))</f>
        <v>1</v>
      </c>
      <c r="K165">
        <f t="shared" si="7"/>
        <v>12</v>
      </c>
      <c r="L165" s="4">
        <f>Vout*Table1[[#This Row],[Iout]]/(Table1[[#This Row],[Vin]]*Efficiency)</f>
        <v>4.4077689443494004</v>
      </c>
      <c r="M165" s="711">
        <f>MIN(1/Fsw,CHOOSE(Table1[[#This Row],[Mode Digit]],(Vout+(Rdson2+Rs+Rdcr)*Table1[[#This Row],[Iout]])/(Table1[[#This Row],[Vin]]+(Rs+Rdson2-Rdson1)*Table1[[#This Row],[Iout]])/Fsw,(Vout+(Rdson3+Rdcr)*Table1[[#This Row],[Iin]]-Table1[[#This Row],[Vin]])/(Vout+(Rdson3-Rdson4-Rs)*Table1[[#This Row],[Iin]])/Fsw,t1_Ph_II))</f>
        <v>5.8713478226255864E-7</v>
      </c>
      <c r="N165" s="602">
        <f>CHOOSE(Table1[[#This Row],[Mode Digit]],1/Fsw-Table1[[#This Row],[t1_Ph_II]],1/Fsw-Table1[[#This Row],[t1_Ph_II]],(Vout/Fsw-Table1[[#This Row],[Vin]]*t1_Ph_II)/(Table1[[#This Row],[Vin]]+Vout))</f>
        <v>1.079531884404108E-6</v>
      </c>
      <c r="O165" s="602">
        <f>1/Fsw-(Table1[[#This Row],[t1_Ph_II]]+Table1[[#This Row],[t2_Ph_I]])</f>
        <v>0</v>
      </c>
      <c r="P16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8.9709182824181628</v>
      </c>
      <c r="Q165" s="4">
        <f>CHOOSE(Table1[[#This Row],[Mode Digit]],Table1[[#This Row],[I_0]]+1/Lf*(Table1[[#This Row],[Vin]]-Vout)*Table1[[#This Row],[t1_Ph_II]],Table1[[#This Row],[I_0]]+1/Lf*Table1[[#This Row],[Vin]]*Table1[[#This Row],[t1_Ph_II]],Table1[[#This Row],[I_0]]+(Table1[[#This Row],[Vin]]-Vout)/L*Table1[[#This Row],[t1_Ph_II]])</f>
        <v>15.029081717581835</v>
      </c>
      <c r="R165" s="4">
        <f>CHOOSE(Table1[[#This Row],[Mode Digit]],0,0,Table1[[#This Row],[I_1]]+Table1[[#This Row],[Vin]]/L*Table1[[#This Row],[t2_Ph_I]])</f>
        <v>0</v>
      </c>
      <c r="S165" s="4">
        <f>Fsw*(Table1[[#This Row],[I_0]]*Table1[[#This Row],[t1_Ph_II]]+Table1[[#This Row],[I_1]]*Table1[[#This Row],[t2_Ph_I]]+Table1[[#This Row],[I_2]]*Table1[[#This Row],[t3_Ph_III]])</f>
        <v>12.894906635932344</v>
      </c>
      <c r="T165" s="354">
        <f>MIN(1,CHOOSE(Table1[[#This Row],[Mode Digit]],(Vout+(Rdson2+Rs+Rdcr)*Table1[[#This Row],[Iout]])/(Table1[[#This Row],[Vin]]+(Rs+Rdson2-Rdson1)*Table1[[#This Row],[Iout]]),1,Fsw*Table1[[#This Row],[t2_Ph_I]]+Table1[[#This Row],[t1_Ph_II]]))</f>
        <v>0.35228086935753516</v>
      </c>
      <c r="U165" s="354">
        <f>MIN(1,CHOOSE(Table1[[#This Row],[Mode Digit]],0,(Vout+(Rdson3+Rdcr)*Table1[[#This Row],[Iin]]-Table1[[#This Row],[Vin]])/(Vout+(Rdson3-Rdson4-Rs)*Table1[[#This Row],[Iin]]),Fsw*Table1[[#This Row],[t1_Ph_II]]+Table1[[#This Row],[t3_Ph_III]]))</f>
        <v>0</v>
      </c>
      <c r="V165" s="4">
        <f>MAX(Table1[[#This Row],[I_0]:[I_2]])-MIN(Table1[[#This Row],[I_0]:[I_1]])</f>
        <v>6.0581634351636726</v>
      </c>
      <c r="W16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12.126765659094602</v>
      </c>
      <c r="X165" s="354">
        <f>(Table1[[#This Row],[Irms Lf]]^2*Rdcr*(1+Ltc*Ta-Ltc*25))/(1-Table1[[#This Row],[Irms Lf]]^2*Rdcr*Ltc*ThetaCa)</f>
        <v>0.91540151394304725</v>
      </c>
      <c r="Y165" s="354">
        <f>ABS(7.759*10^-3*Fsw^0.9458*(0.00787*Table1[[#This Row],[Ripple Current pk-pk]])^2.304)</f>
        <v>2.0399551452669282</v>
      </c>
      <c r="Z165" s="354">
        <f>Table1[[#This Row],[DCR    Loss]]+Table1[[#This Row],[Core Loss]]</f>
        <v>2.9553566592099756</v>
      </c>
      <c r="AA165" s="4">
        <f>IF(Table1[[#This Row],[Vin]]&gt;Vout, Table1[[#This Row],[Ripple Current pk-pk]]/SQRT(12), SQRT(Table1[[#This Row],[Duty Cycle BOOST Leg]]/(1-Table1[[#This Row],[Duty Cycle BOOST Leg]]))*SQRT(Table1[[#This Row],[Iout]]^2+(Table1[[#This Row],[Ripple Current pk-pk]]^2)/12))</f>
        <v>1.7488411450432473</v>
      </c>
      <c r="AB165" s="354">
        <f>RCoutEsr*Table1[[#This Row],[Irms Cout]]^2</f>
        <v>1.5292226752980882E-2</v>
      </c>
      <c r="AC165" s="354">
        <f>Table1[[#This Row],[Cout ESR Loss]]</f>
        <v>1.5292226752980882E-2</v>
      </c>
      <c r="AD165" s="354">
        <f>IF(Table1[[#This Row],[Vin]]&gt;Vout, SQRT(Table1[[#This Row],[Duty Cycle BUCK Leg]]*(1-Table1[[#This Row],[Duty Cycle BUCK Leg]]))*SQRT(Table1[[#This Row],[Iout]]^2+(Table1[[#This Row],[Ripple Current pk-pk]]^2)/12), Table1[[#This Row],[Ripple Current pk-pk]]/SQRT(12))</f>
        <v>5.7927245399792504</v>
      </c>
      <c r="AE165" s="354">
        <f>RCinEsr*Table1[[#This Row],[Irms Cin]]^2</f>
        <v>6.7111315192155629E-2</v>
      </c>
      <c r="AF165" s="549">
        <f>Table1[[#This Row],[Cin ESR Loss]]</f>
        <v>6.7111315192155629E-2</v>
      </c>
      <c r="AG16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7.1976299553725038</v>
      </c>
      <c r="AH165" s="354">
        <f>Rdson1*Table1[[#This Row],[Irms BuCtrl]]^2</f>
        <v>0.21758468329279754</v>
      </c>
      <c r="AI165" s="354">
        <f>CHOOSE(Table1[[#This Row],[Mode Digit]], (Table1[[#This Row],[Vin]]*Table1[[#This Row],[Iout]]/2)*(Fsw)*(Tr_buck+Tf_buck), 0, (Table1[[#This Row],[Vin]]*Table1[[#This Row],[Avg IL]]/2)*(Fsw/1)*(Tr_buck+Tf_buck))</f>
        <v>4.9788095146494253</v>
      </c>
      <c r="AJ165">
        <f>IF(Table1[[#This Row],[Vin]]&gt;Vout, IF(Table1[[#This Row],[Iout]]&gt;Table1[[#This Row],[Ripple Current pk-pk]]/2,0,ABS(Table1[[#This Row],[Iout]]-Table1[[#This Row],[Ripple Current pk-pk]]/2)*Vsd_Q1*Deadtime*Fsw),0)</f>
        <v>0</v>
      </c>
      <c r="AK165" s="354">
        <f>(Table1[[#This Row],[Dead Time Loss BuCtrl]]+Table1[[#This Row],[Transition Loss BuCtrl]]+Table1[[#This Row],[RDS(on) Loss BuCtrl]]*(1+RdsonTopTc*Ta-RdsonTopTc*25))/(1-Table1[[#This Row],[RDS(on) Loss BuCtrl]]*RdsonTopTc*ThetaJA_Q1)</f>
        <v>5.4827027097897849</v>
      </c>
      <c r="AL165" s="354">
        <f>CHOOSE(Table1[[#This Row],[Mode Digit]],SQRT((Fsw*(Table1[[#This Row],[t2_Ph_I]]+0))*((Table1[[#This Row],[I_0]]*Table1[[#This Row],[I_1]]+((Table1[[#This Row],[I_0]]-Table1[[#This Row],[I_1]])^2)/3))),0,SQRT((Fsw*(Table1[[#This Row],[t3_Ph_III]]+0))*((Table1[[#This Row],[I_0]]*Table1[[#This Row],[I_2]]+((Table1[[#This Row],[I_0]]-Table1[[#This Row],[I_2]])^2)/3))))</f>
        <v>9.7597422289792348</v>
      </c>
      <c r="AM165" s="354">
        <f>Rdson2*Table1[[#This Row],[Irms BuSync]]^2</f>
        <v>0.40006078717970645</v>
      </c>
      <c r="AN16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65" s="354">
        <f>(Table1[[#This Row],[Deadtime Loss BuSync]]+Table1[[#This Row],[RDS(on) Loss BuSync]]*(1+RdsonBotTc*Ta-RdsonBotTc*25))/(1-Table1[[#This Row],[RDS(on) Loss BuSync]]*RdsonBotTc*ThetaJA_Q2)</f>
        <v>1.081247776539636</v>
      </c>
      <c r="AP165" s="354">
        <f>CHOOSE(Table1[[#This Row],[Mode Digit]],0,SQRT((Fsw*(Table1[[#This Row],[t1_Ph_II]]+0))*((Table1[[#This Row],[I_0]]*Table1[[#This Row],[I_1]]+((Table1[[#This Row],[I_0]]-Table1[[#This Row],[I_1]])^2)/3))),SQRT((Fsw*(Table1[[#This Row],[t2_Ph_I]]+0))*((Table1[[#This Row],[I_1]]*Table1[[#This Row],[I_2]]+((Table1[[#This Row],[I_1]]-Table1[[#This Row],[I_2]])^2)/3))))</f>
        <v>0</v>
      </c>
      <c r="AQ165" s="354">
        <f>Rdson4*Table1[[#This Row],[Irms BoCtlr]]^2</f>
        <v>0</v>
      </c>
      <c r="AR165" s="354">
        <f>CHOOSE(Table1[[#This Row],[Mode Digit]], 0, (Vout*Table1[[#This Row],[Iin]]/2)*(Fsw)*(Tr_boost+Tf_boost), (Vout*Iout/2)*(Fsw/1)*(Tr_boost+Tf_boost))</f>
        <v>0</v>
      </c>
      <c r="AS165">
        <f>IF(Table1[[#This Row],[Vin]]&gt;Vout, 0, IF(Table1[[#This Row],[Iin]]&gt;Table1[[#This Row],[Ripple Current pk-pk]]/2,0,ABS(Table1[[#This Row],[Iin]]-Table1[[#This Row],[Ripple Current pk-pk]]/2)*Vsd_Q4*Deadtime*Fsw))</f>
        <v>0</v>
      </c>
      <c r="AT165" s="354">
        <f>(Table1[[#This Row],[Dead Time Loss BoCtlr]]+Table1[[#This Row],[Transition Loss BoCtlr]]+Table1[[#This Row],[RDS(on) Loss BoCtlr]]*(1+RdsonTopTc*Ta-RdsonTopTc*25))/(1-Table1[[#This Row],[RDS(on) Loss BoCtlr]]*RdsonTopTc*ThetaJA_Q4)</f>
        <v>0</v>
      </c>
      <c r="AU16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12.126765659094602</v>
      </c>
      <c r="AV165" s="354">
        <f>Rdson3*Table1[[#This Row],[Irms BoSync]]^2</f>
        <v>0.61764547047250384</v>
      </c>
      <c r="AW16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65" s="354">
        <f>(Table1[[#This Row],[Deadtime Loss BoSync]]+Table1[[#This Row],[RDS(on) Loss BoSync]]*(1+RdsonBotTc*Ta-RdsonBotTc*25))/(1-Table1[[#This Row],[RDS(on) Loss BoSync]]*RdsonBotTc*ThetaJA_Q3)</f>
        <v>0.72513593223821315</v>
      </c>
      <c r="AY165" s="354">
        <f>CHOOSE(Table1[[#This Row],[Mode Digit]], Rdson3*Table1[[#This Row],[Irms Lf]]^2, Rdson1*Table1[[#This Row],[Irms Lf]]^2, 0)</f>
        <v>0.61764547047250384</v>
      </c>
      <c r="AZ165" s="354">
        <f>CHOOSE(Table1[[#This Row],[Mode Digit]], 2*Deadtime*Fsw*IF(VfdSky_Q2&gt;0,VfdSky_Q2,0)*Table1[[#This Row],[Iout]], 2*Deadtime*Fsw*IF(VfdSky_Q3&gt;0,VfdSky_Q3,0)*Table1[[#This Row],[Iin]], 2*Deadtime*Fsw*IF(VfdSky_Q2&gt;0,VfdSky_Q2,0)*Table1[[#This Row],[Iout]]+2*Deadtime*Fsw*IF(VfdSky_Q3&gt;0,VfdSky_Q3,0)*Table1[[#This Row],[Iin]])</f>
        <v>0</v>
      </c>
      <c r="BA165" s="354">
        <f>CHOOSE(Table1[[#This Row],[Mode Digit]], IF(QrrSky_Q2&gt;0,QrrSky_Q2,Qrr_Q2)*Fsw*(Table1[[#This Row],[Vin]]-Table1[[#This Row],[Iout]]*Rdson1),0,  IF(QrrSky_Q2&gt;0,QrrSky_Q2,Qrr_Q2)*Fsw*(Table1[[#This Row],[Vin]]-Table1[[#This Row],[Iout]]*Rdson1)+IF(QrrSky_Q3&gt;0,QrrSky_Q3,Qrr_Q3)*Fsw*Vout)</f>
        <v>0.50147520000000001</v>
      </c>
      <c r="BB165" s="354">
        <f>CHOOSE(Table1[[#This Row],[Mode Digit]],0, IF(QrrSky_Q3&gt;0,QrrSky_Q3,Qrr_Q3)*Fsw*Vout,  IF(QrrSky_Q2&gt;0,QrrSky_Q2,Qrr_Q2)*Fsw*(Table1[[#This Row],[Vin]]-Table1[[#This Row],[Iout]]*Rdson1)+IF(QrrSky_Q3&gt;0,QrrSky_Q3,Qrr_Q3)*Fsw*Vout)</f>
        <v>0</v>
      </c>
      <c r="BC165" s="354">
        <f>CHOOSE(Table1[[#This Row],[Mode Digit]], Rs*Table1[[#This Row],[Irms BuSync]]^2, Rs*Table1[[#This Row],[Irms BoCtlr]]^2, Rs*(Table1[[#This Row],[Irms BuSync]]^2+Table1[[#This Row],[Irms BoCtlr]]^2))</f>
        <v>0.2381314209403014</v>
      </c>
      <c r="BD165" s="354">
        <f t="shared" si="8"/>
        <v>1.44</v>
      </c>
      <c r="BE165" s="354">
        <f>IF(Vout&gt;8, Iq*Vout, Iq*Table1[[#This Row],[Vin]])</f>
        <v>4.3799999999999999E-2</v>
      </c>
      <c r="BF165" s="354">
        <f>CHOOSE(Table1[[#This Row],[Mode Digit]], (Qg_Q1+Qg_Q2)*Fsw, (Qg_Q3+Qg_Q4)*Fsw, (Qg_Q1+Qg_Q2+Qg_Q3+Qg_Q4)*Fsw)*IF(Vout&gt;8, Vout, Table1[[#This Row],[Vin]])</f>
        <v>0.47303999999999996</v>
      </c>
      <c r="BG165" s="354">
        <f t="shared" si="9"/>
        <v>0.45605042016806729</v>
      </c>
      <c r="BH165" s="354">
        <f>Table1[[#This Row],[IQ Loss]]+Table1[[#This Row],[Switching Current Loss]]</f>
        <v>0.51683999999999997</v>
      </c>
      <c r="BI16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13.023293240663047</v>
      </c>
      <c r="BJ165">
        <f>Vout*Table1[[#This Row],[Iout]]</f>
        <v>175.2</v>
      </c>
      <c r="BK165" s="550">
        <f>Table1[[#This Row],[Pout]]/(Table1[[#This Row],[Pout]]+Table1[[#This Row],[Total Loss]])</f>
        <v>0.93080934343226374</v>
      </c>
      <c r="BL16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328.96216258738707</v>
      </c>
      <c r="BM165" s="559">
        <f>IF(Table1[[#This Row],[Vin]]&gt;Vout, Table1[[#This Row],[Total Sync Bu MOSFET Loss]]*ThetaJA_Q2, ThetaJA_Q3*Table1[[#This Row],[Total Sync Bo MOSFET Loss]])</f>
        <v>64.874866592378154</v>
      </c>
      <c r="BN165" s="9"/>
      <c r="BO165" s="4">
        <f>Table1[[#This Row],[EFF, h]]*100</f>
        <v>93.080934343226374</v>
      </c>
      <c r="BP165" s="354">
        <f>Table1[[#This Row],[Total Inductor Loss]]</f>
        <v>2.9553566592099756</v>
      </c>
      <c r="BQ165" s="354">
        <f>Table1[[#This Row],[Total Control Bu MOSFET Loss]]+Table1[[#This Row],[Total Sync Bu MOSFET Loss]]+Table1[[#This Row],[Total Control Bo MOSFET Loss]]+Table1[[#This Row],[Total Sync Bo MOSFET Loss]]+Table1[[#This Row],[Reverse Recovery Loss MOSFET D BUCK]]+Table1[[#This Row],[Reverse Recovery Loss MOSFET D BOOST]]</f>
        <v>7.7905616185676347</v>
      </c>
      <c r="BR165" s="354">
        <f>Table1[[#This Row],[Total Control Bu MOSFET Loss]]+Table1[[#This Row],[Reverse Recovery Loss MOSFET D BUCK]]*0.66</f>
        <v>5.813676341789785</v>
      </c>
      <c r="BS165" s="354">
        <f>Table1[[#This Row],[Total Sync Bu MOSFET Loss]]+Table1[[#This Row],[Reverse Recovery Loss MOSFET D BUCK]]*0.33</f>
        <v>1.246734592539636</v>
      </c>
      <c r="BT165" s="354">
        <f xml:space="preserve"> Table1[[#This Row],[Total Control Bo MOSFET Loss]]+Table1[[#This Row],[Reverse Recovery Loss MOSFET D BOOST]]*0.66</f>
        <v>0</v>
      </c>
      <c r="BU165" s="354">
        <f xml:space="preserve"> Table1[[#This Row],[Total Sync Bo MOSFET Loss]]+Table1[[#This Row],[Reverse Recovery Loss MOSFET D BOOST]]*0.33</f>
        <v>0.72513593223821315</v>
      </c>
      <c r="BV165" s="354">
        <f>Table1[[#This Row],[Isense Shunt Loss]]</f>
        <v>0.2381314209403014</v>
      </c>
    </row>
    <row r="166" spans="7:74" x14ac:dyDescent="0.2">
      <c r="G166">
        <v>157</v>
      </c>
      <c r="H166" s="555">
        <f>VIN_min+(VIN_max-VIN_min)*(Table1[[#This Row],[Step]]/200)</f>
        <v>41.980000000000004</v>
      </c>
      <c r="I166" s="4" t="str">
        <f>IF(Mode = 2,IF(Table1[[#This Row],[Vin]]&gt;Vout, "BUCK","BOOST"),IF(Table1[[#This Row],[Vin]]&gt;VIN_BB_to_buck, "BUCK", IF(Table1[[#This Row],[Vin]]&lt;=VIN_boost_to_BB,"BOOST","BUCK-BST")))</f>
        <v>BUCK</v>
      </c>
      <c r="J166">
        <f>IF(Table1[[#This Row],[Mode]]="BOOST",2, IF(Table1[[#This Row],[Mode]]="BUCK", 1,3))</f>
        <v>1</v>
      </c>
      <c r="K166">
        <f t="shared" si="7"/>
        <v>12</v>
      </c>
      <c r="L166" s="4">
        <f>Vout*Table1[[#This Row],[Iout]]/(Table1[[#This Row],[Vin]]*Efficiency)</f>
        <v>4.3930693814096937</v>
      </c>
      <c r="M166" s="711">
        <f>MIN(1/Fsw,CHOOSE(Table1[[#This Row],[Mode Digit]],(Vout+(Rdson2+Rs+Rdcr)*Table1[[#This Row],[Iout]])/(Table1[[#This Row],[Vin]]+(Rs+Rdson2-Rdson1)*Table1[[#This Row],[Iout]])/Fsw,(Vout+(Rdson3+Rdcr)*Table1[[#This Row],[Iin]]-Table1[[#This Row],[Vin]])/(Vout+(Rdson3-Rdson4-Rs)*Table1[[#This Row],[Iin]])/Fsw,t1_Ph_II))</f>
        <v>5.8517813219074812E-7</v>
      </c>
      <c r="N166" s="602">
        <f>CHOOSE(Table1[[#This Row],[Mode Digit]],1/Fsw-Table1[[#This Row],[t1_Ph_II]],1/Fsw-Table1[[#This Row],[t1_Ph_II]],(Vout/Fsw-Table1[[#This Row],[Vin]]*t1_Ph_II)/(Table1[[#This Row],[Vin]]+Vout))</f>
        <v>1.0814885344759184E-6</v>
      </c>
      <c r="O166" s="602">
        <f>1/Fsw-(Table1[[#This Row],[t1_Ph_II]]+Table1[[#This Row],[t2_Ph_I]])</f>
        <v>0</v>
      </c>
      <c r="P16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8.965496731177522</v>
      </c>
      <c r="Q166" s="4">
        <f>CHOOSE(Table1[[#This Row],[Mode Digit]],Table1[[#This Row],[I_0]]+1/Lf*(Table1[[#This Row],[Vin]]-Vout)*Table1[[#This Row],[t1_Ph_II]],Table1[[#This Row],[I_0]]+1/Lf*Table1[[#This Row],[Vin]]*Table1[[#This Row],[t1_Ph_II]],Table1[[#This Row],[I_0]]+(Table1[[#This Row],[Vin]]-Vout)/L*Table1[[#This Row],[t1_Ph_II]])</f>
        <v>15.03450326882248</v>
      </c>
      <c r="R166" s="4">
        <f>CHOOSE(Table1[[#This Row],[Mode Digit]],0,0,Table1[[#This Row],[I_1]]+Table1[[#This Row],[Vin]]/L*Table1[[#This Row],[t2_Ph_I]])</f>
        <v>0</v>
      </c>
      <c r="S166" s="4">
        <f>Fsw*(Table1[[#This Row],[I_0]]*Table1[[#This Row],[t1_Ph_II]]+Table1[[#This Row],[I_1]]*Table1[[#This Row],[t2_Ph_I]]+Table1[[#This Row],[I_2]]*Table1[[#This Row],[t3_Ph_III]])</f>
        <v>12.90363332285097</v>
      </c>
      <c r="T166" s="354">
        <f>MIN(1,CHOOSE(Table1[[#This Row],[Mode Digit]],(Vout+(Rdson2+Rs+Rdcr)*Table1[[#This Row],[Iout]])/(Table1[[#This Row],[Vin]]+(Rs+Rdson2-Rdson1)*Table1[[#This Row],[Iout]]),1,Fsw*Table1[[#This Row],[t2_Ph_I]]+Table1[[#This Row],[t1_Ph_II]]))</f>
        <v>0.35110687931444889</v>
      </c>
      <c r="U166" s="354">
        <f>MIN(1,CHOOSE(Table1[[#This Row],[Mode Digit]],0,(Vout+(Rdson3+Rdcr)*Table1[[#This Row],[Iin]]-Table1[[#This Row],[Vin]])/(Vout+(Rdson3-Rdson4-Rs)*Table1[[#This Row],[Iin]]),Fsw*Table1[[#This Row],[t1_Ph_II]]+Table1[[#This Row],[t3_Ph_III]]))</f>
        <v>0</v>
      </c>
      <c r="V166" s="4">
        <f>MAX(Table1[[#This Row],[I_0]:[I_2]])-MIN(Table1[[#This Row],[I_0]:[I_1]])</f>
        <v>6.0690065376449578</v>
      </c>
      <c r="W16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12.127217461678152</v>
      </c>
      <c r="X166" s="354">
        <f>(Table1[[#This Row],[Irms Lf]]^2*Rdcr*(1+Ltc*Ta-Ltc*25))/(1-Table1[[#This Row],[Irms Lf]]^2*Rdcr*Ltc*ThetaCa)</f>
        <v>0.91547472041361577</v>
      </c>
      <c r="Y166" s="354">
        <f>ABS(7.759*10^-3*Fsw^0.9458*(0.00787*Table1[[#This Row],[Ripple Current pk-pk]])^2.304)</f>
        <v>2.0483772817593882</v>
      </c>
      <c r="Z166" s="354">
        <f>Table1[[#This Row],[DCR    Loss]]+Table1[[#This Row],[Core Loss]]</f>
        <v>2.9638520021730042</v>
      </c>
      <c r="AA166" s="4">
        <f>IF(Table1[[#This Row],[Vin]]&gt;Vout, Table1[[#This Row],[Ripple Current pk-pk]]/SQRT(12), SQRT(Table1[[#This Row],[Duty Cycle BOOST Leg]]/(1-Table1[[#This Row],[Duty Cycle BOOST Leg]]))*SQRT(Table1[[#This Row],[Iout]]^2+(Table1[[#This Row],[Ripple Current pk-pk]]^2)/12))</f>
        <v>1.7519712791114577</v>
      </c>
      <c r="AB166" s="354">
        <f>RCoutEsr*Table1[[#This Row],[Irms Cout]]^2</f>
        <v>1.5347016814157186E-2</v>
      </c>
      <c r="AC166" s="354">
        <f>Table1[[#This Row],[Cout ESR Loss]]</f>
        <v>1.5347016814157186E-2</v>
      </c>
      <c r="AD166" s="354">
        <f>IF(Table1[[#This Row],[Vin]]&gt;Vout, SQRT(Table1[[#This Row],[Duty Cycle BUCK Leg]]*(1-Table1[[#This Row],[Duty Cycle BUCK Leg]]))*SQRT(Table1[[#This Row],[Iout]]^2+(Table1[[#This Row],[Ripple Current pk-pk]]^2)/12), Table1[[#This Row],[Ripple Current pk-pk]]/SQRT(12))</f>
        <v>5.788518420321088</v>
      </c>
      <c r="AE166" s="354">
        <f>RCinEsr*Table1[[#This Row],[Irms Cin]]^2</f>
        <v>6.7013891004793089E-2</v>
      </c>
      <c r="AF166" s="549">
        <f>Table1[[#This Row],[Cin ESR Loss]]</f>
        <v>6.7013891004793089E-2</v>
      </c>
      <c r="AG16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7.1858944646690759</v>
      </c>
      <c r="AH166" s="354">
        <f>Rdson1*Table1[[#This Row],[Irms BuCtrl]]^2</f>
        <v>0.21687573288091902</v>
      </c>
      <c r="AI166" s="354">
        <f>CHOOSE(Table1[[#This Row],[Mode Digit]], (Table1[[#This Row],[Vin]]*Table1[[#This Row],[Iout]]/2)*(Fsw)*(Tr_buck+Tf_buck), 0, (Table1[[#This Row],[Vin]]*Table1[[#This Row],[Avg IL]]/2)*(Fsw/1)*(Tr_buck+Tf_buck))</f>
        <v>4.9954690111133573</v>
      </c>
      <c r="AJ166">
        <f>IF(Table1[[#This Row],[Vin]]&gt;Vout, IF(Table1[[#This Row],[Iout]]&gt;Table1[[#This Row],[Ripple Current pk-pk]]/2,0,ABS(Table1[[#This Row],[Iout]]-Table1[[#This Row],[Ripple Current pk-pk]]/2)*Vsd_Q1*Deadtime*Fsw),0)</f>
        <v>0</v>
      </c>
      <c r="AK166" s="354">
        <f>(Table1[[#This Row],[Dead Time Loss BuCtrl]]+Table1[[#This Row],[Transition Loss BuCtrl]]+Table1[[#This Row],[RDS(on) Loss BuCtrl]]*(1+RdsonTopTc*Ta-RdsonTopTc*25))/(1-Table1[[#This Row],[RDS(on) Loss BuCtrl]]*RdsonTopTc*ThetaJA_Q1)</f>
        <v>5.4985449772046664</v>
      </c>
      <c r="AL166" s="354">
        <f>CHOOSE(Table1[[#This Row],[Mode Digit]],SQRT((Fsw*(Table1[[#This Row],[t2_Ph_I]]+0))*((Table1[[#This Row],[I_0]]*Table1[[#This Row],[I_1]]+((Table1[[#This Row],[I_0]]-Table1[[#This Row],[I_1]])^2)/3))),0,SQRT((Fsw*(Table1[[#This Row],[t3_Ph_III]]+0))*((Table1[[#This Row],[I_0]]*Table1[[#This Row],[I_2]]+((Table1[[#This Row],[I_0]]-Table1[[#This Row],[I_2]])^2)/3))))</f>
        <v>9.7689469291971172</v>
      </c>
      <c r="AM166" s="354">
        <f>Rdson2*Table1[[#This Row],[Irms BuSync]]^2</f>
        <v>0.40081576124297319</v>
      </c>
      <c r="AN16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66" s="354">
        <f>(Table1[[#This Row],[Deadtime Loss BuSync]]+Table1[[#This Row],[RDS(on) Loss BuSync]]*(1+RdsonBotTc*Ta-RdsonBotTc*25))/(1-Table1[[#This Row],[RDS(on) Loss BuSync]]*RdsonBotTc*ThetaJA_Q2)</f>
        <v>1.0822998732344777</v>
      </c>
      <c r="AP166" s="354">
        <f>CHOOSE(Table1[[#This Row],[Mode Digit]],0,SQRT((Fsw*(Table1[[#This Row],[t1_Ph_II]]+0))*((Table1[[#This Row],[I_0]]*Table1[[#This Row],[I_1]]+((Table1[[#This Row],[I_0]]-Table1[[#This Row],[I_1]])^2)/3))),SQRT((Fsw*(Table1[[#This Row],[t2_Ph_I]]+0))*((Table1[[#This Row],[I_1]]*Table1[[#This Row],[I_2]]+((Table1[[#This Row],[I_1]]-Table1[[#This Row],[I_2]])^2)/3))))</f>
        <v>0</v>
      </c>
      <c r="AQ166" s="354">
        <f>Rdson4*Table1[[#This Row],[Irms BoCtlr]]^2</f>
        <v>0</v>
      </c>
      <c r="AR166" s="354">
        <f>CHOOSE(Table1[[#This Row],[Mode Digit]], 0, (Vout*Table1[[#This Row],[Iin]]/2)*(Fsw)*(Tr_boost+Tf_boost), (Vout*Iout/2)*(Fsw/1)*(Tr_boost+Tf_boost))</f>
        <v>0</v>
      </c>
      <c r="AS166">
        <f>IF(Table1[[#This Row],[Vin]]&gt;Vout, 0, IF(Table1[[#This Row],[Iin]]&gt;Table1[[#This Row],[Ripple Current pk-pk]]/2,0,ABS(Table1[[#This Row],[Iin]]-Table1[[#This Row],[Ripple Current pk-pk]]/2)*Vsd_Q4*Deadtime*Fsw))</f>
        <v>0</v>
      </c>
      <c r="AT166" s="354">
        <f>(Table1[[#This Row],[Dead Time Loss BoCtlr]]+Table1[[#This Row],[Transition Loss BoCtlr]]+Table1[[#This Row],[RDS(on) Loss BoCtlr]]*(1+RdsonTopTc*Ta-RdsonTopTc*25))/(1-Table1[[#This Row],[RDS(on) Loss BoCtlr]]*RdsonTopTc*ThetaJA_Q4)</f>
        <v>0</v>
      </c>
      <c r="AU16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12.127217461678152</v>
      </c>
      <c r="AV166" s="354">
        <f>Rdson3*Table1[[#This Row],[Irms BoSync]]^2</f>
        <v>0.61769149412389235</v>
      </c>
      <c r="AW16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66" s="354">
        <f>(Table1[[#This Row],[Deadtime Loss BoSync]]+Table1[[#This Row],[RDS(on) Loss BoSync]]*(1+RdsonBotTc*Ta-RdsonBotTc*25))/(1-Table1[[#This Row],[RDS(on) Loss BoSync]]*RdsonBotTc*ThetaJA_Q3)</f>
        <v>0.72519936988049805</v>
      </c>
      <c r="AY166" s="354">
        <f>CHOOSE(Table1[[#This Row],[Mode Digit]], Rdson3*Table1[[#This Row],[Irms Lf]]^2, Rdson1*Table1[[#This Row],[Irms Lf]]^2, 0)</f>
        <v>0.61769149412389235</v>
      </c>
      <c r="AZ166" s="354">
        <f>CHOOSE(Table1[[#This Row],[Mode Digit]], 2*Deadtime*Fsw*IF(VfdSky_Q2&gt;0,VfdSky_Q2,0)*Table1[[#This Row],[Iout]], 2*Deadtime*Fsw*IF(VfdSky_Q3&gt;0,VfdSky_Q3,0)*Table1[[#This Row],[Iin]], 2*Deadtime*Fsw*IF(VfdSky_Q2&gt;0,VfdSky_Q2,0)*Table1[[#This Row],[Iout]]+2*Deadtime*Fsw*IF(VfdSky_Q3&gt;0,VfdSky_Q3,0)*Table1[[#This Row],[Iin]])</f>
        <v>0</v>
      </c>
      <c r="BA166" s="354">
        <f>CHOOSE(Table1[[#This Row],[Mode Digit]], IF(QrrSky_Q2&gt;0,QrrSky_Q2,Qrr_Q2)*Fsw*(Table1[[#This Row],[Vin]]-Table1[[#This Row],[Iout]]*Rdson1),0,  IF(QrrSky_Q2&gt;0,QrrSky_Q2,Qrr_Q2)*Fsw*(Table1[[#This Row],[Vin]]-Table1[[#This Row],[Iout]]*Rdson1)+IF(QrrSky_Q3&gt;0,QrrSky_Q3,Qrr_Q3)*Fsw*Vout)</f>
        <v>0.50315520000000002</v>
      </c>
      <c r="BB166" s="354">
        <f>CHOOSE(Table1[[#This Row],[Mode Digit]],0, IF(QrrSky_Q3&gt;0,QrrSky_Q3,Qrr_Q3)*Fsw*Vout,  IF(QrrSky_Q2&gt;0,QrrSky_Q2,Qrr_Q2)*Fsw*(Table1[[#This Row],[Vin]]-Table1[[#This Row],[Iout]]*Rdson1)+IF(QrrSky_Q3&gt;0,QrrSky_Q3,Qrr_Q3)*Fsw*Vout)</f>
        <v>0</v>
      </c>
      <c r="BC166" s="354">
        <f>CHOOSE(Table1[[#This Row],[Mode Digit]], Rs*Table1[[#This Row],[Irms BuSync]]^2, Rs*Table1[[#This Row],[Irms BoCtlr]]^2, Rs*(Table1[[#This Row],[Irms BuSync]]^2+Table1[[#This Row],[Irms BoCtlr]]^2))</f>
        <v>0.23858081026367448</v>
      </c>
      <c r="BD166" s="354">
        <f t="shared" si="8"/>
        <v>1.44</v>
      </c>
      <c r="BE166" s="354">
        <f>IF(Vout&gt;8, Iq*Vout, Iq*Table1[[#This Row],[Vin]])</f>
        <v>4.3799999999999999E-2</v>
      </c>
      <c r="BF166" s="354">
        <f>CHOOSE(Table1[[#This Row],[Mode Digit]], (Qg_Q1+Qg_Q2)*Fsw, (Qg_Q3+Qg_Q4)*Fsw, (Qg_Q1+Qg_Q2+Qg_Q3+Qg_Q4)*Fsw)*IF(Vout&gt;8, Vout, Table1[[#This Row],[Vin]])</f>
        <v>0.47303999999999996</v>
      </c>
      <c r="BG166" s="354">
        <f t="shared" si="9"/>
        <v>0.45605042016806729</v>
      </c>
      <c r="BH166" s="354">
        <f>Table1[[#This Row],[IQ Loss]]+Table1[[#This Row],[Switching Current Loss]]</f>
        <v>0.51683999999999997</v>
      </c>
      <c r="BI16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13.05083314057527</v>
      </c>
      <c r="BJ166">
        <f>Vout*Table1[[#This Row],[Iout]]</f>
        <v>175.2</v>
      </c>
      <c r="BK166" s="550">
        <f>Table1[[#This Row],[Pout]]/(Table1[[#This Row],[Pout]]+Table1[[#This Row],[Total Loss]])</f>
        <v>0.93067317194378829</v>
      </c>
      <c r="BL16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329.91269863228001</v>
      </c>
      <c r="BM166" s="559">
        <f>IF(Table1[[#This Row],[Vin]]&gt;Vout, Table1[[#This Row],[Total Sync Bu MOSFET Loss]]*ThetaJA_Q2, ThetaJA_Q3*Table1[[#This Row],[Total Sync Bo MOSFET Loss]])</f>
        <v>64.937992394068658</v>
      </c>
      <c r="BN166" s="9"/>
      <c r="BO166" s="4">
        <f>Table1[[#This Row],[EFF, h]]*100</f>
        <v>93.06731719437883</v>
      </c>
      <c r="BP166" s="354">
        <f>Table1[[#This Row],[Total Inductor Loss]]</f>
        <v>2.9638520021730042</v>
      </c>
      <c r="BQ166" s="354">
        <f>Table1[[#This Row],[Total Control Bu MOSFET Loss]]+Table1[[#This Row],[Total Sync Bu MOSFET Loss]]+Table1[[#This Row],[Total Control Bo MOSFET Loss]]+Table1[[#This Row],[Total Sync Bo MOSFET Loss]]+Table1[[#This Row],[Reverse Recovery Loss MOSFET D BUCK]]+Table1[[#This Row],[Reverse Recovery Loss MOSFET D BOOST]]</f>
        <v>7.8091994203196418</v>
      </c>
      <c r="BR166" s="354">
        <f>Table1[[#This Row],[Total Control Bu MOSFET Loss]]+Table1[[#This Row],[Reverse Recovery Loss MOSFET D BUCK]]*0.66</f>
        <v>5.8306274092046664</v>
      </c>
      <c r="BS166" s="354">
        <f>Table1[[#This Row],[Total Sync Bu MOSFET Loss]]+Table1[[#This Row],[Reverse Recovery Loss MOSFET D BUCK]]*0.33</f>
        <v>1.2483410892344777</v>
      </c>
      <c r="BT166" s="354">
        <f xml:space="preserve"> Table1[[#This Row],[Total Control Bo MOSFET Loss]]+Table1[[#This Row],[Reverse Recovery Loss MOSFET D BOOST]]*0.66</f>
        <v>0</v>
      </c>
      <c r="BU166" s="354">
        <f xml:space="preserve"> Table1[[#This Row],[Total Sync Bo MOSFET Loss]]+Table1[[#This Row],[Reverse Recovery Loss MOSFET D BOOST]]*0.33</f>
        <v>0.72519936988049805</v>
      </c>
      <c r="BV166" s="354">
        <f>Table1[[#This Row],[Isense Shunt Loss]]</f>
        <v>0.23858081026367448</v>
      </c>
    </row>
    <row r="167" spans="7:74" x14ac:dyDescent="0.2">
      <c r="G167">
        <v>158</v>
      </c>
      <c r="H167" s="555">
        <f>VIN_min+(VIN_max-VIN_min)*(Table1[[#This Row],[Step]]/200)</f>
        <v>42.120000000000005</v>
      </c>
      <c r="I167" s="4" t="str">
        <f>IF(Mode = 2,IF(Table1[[#This Row],[Vin]]&gt;Vout, "BUCK","BOOST"),IF(Table1[[#This Row],[Vin]]&gt;VIN_BB_to_buck, "BUCK", IF(Table1[[#This Row],[Vin]]&lt;=VIN_boost_to_BB,"BOOST","BUCK-BST")))</f>
        <v>BUCK</v>
      </c>
      <c r="J167">
        <f>IF(Table1[[#This Row],[Mode]]="BOOST",2, IF(Table1[[#This Row],[Mode]]="BUCK", 1,3))</f>
        <v>1</v>
      </c>
      <c r="K167">
        <f t="shared" si="7"/>
        <v>12</v>
      </c>
      <c r="L167" s="4">
        <f>Vout*Table1[[#This Row],[Iout]]/(Table1[[#This Row],[Vin]]*Efficiency)</f>
        <v>4.3784675363622725</v>
      </c>
      <c r="M167" s="711">
        <f>MIN(1/Fsw,CHOOSE(Table1[[#This Row],[Mode Digit]],(Vout+(Rdson2+Rs+Rdcr)*Table1[[#This Row],[Iout]])/(Table1[[#This Row],[Vin]]+(Rs+Rdson2-Rdson1)*Table1[[#This Row],[Iout]])/Fsw,(Vout+(Rdson3+Rdcr)*Table1[[#This Row],[Iin]]-Table1[[#This Row],[Vin]])/(Vout+(Rdson3-Rdson4-Rs)*Table1[[#This Row],[Iin]])/Fsw,t1_Ph_II))</f>
        <v>5.8323448003163299E-7</v>
      </c>
      <c r="N167" s="602">
        <f>CHOOSE(Table1[[#This Row],[Mode Digit]],1/Fsw-Table1[[#This Row],[t1_Ph_II]],1/Fsw-Table1[[#This Row],[t1_Ph_II]],(Vout/Fsw-Table1[[#This Row],[Vin]]*t1_Ph_II)/(Table1[[#This Row],[Vin]]+Vout))</f>
        <v>1.0834321866350337E-6</v>
      </c>
      <c r="O167" s="602">
        <f>1/Fsw-(Table1[[#This Row],[t1_Ph_II]]+Table1[[#This Row],[t2_Ph_I]])</f>
        <v>0</v>
      </c>
      <c r="P16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8.9601111949866397</v>
      </c>
      <c r="Q167" s="4">
        <f>CHOOSE(Table1[[#This Row],[Mode Digit]],Table1[[#This Row],[I_0]]+1/Lf*(Table1[[#This Row],[Vin]]-Vout)*Table1[[#This Row],[t1_Ph_II]],Table1[[#This Row],[I_0]]+1/Lf*Table1[[#This Row],[Vin]]*Table1[[#This Row],[t1_Ph_II]],Table1[[#This Row],[I_0]]+(Table1[[#This Row],[Vin]]-Vout)/L*Table1[[#This Row],[t1_Ph_II]])</f>
        <v>15.03988880501336</v>
      </c>
      <c r="R167" s="4">
        <f>CHOOSE(Table1[[#This Row],[Mode Digit]],0,0,Table1[[#This Row],[I_1]]+Table1[[#This Row],[Vin]]/L*Table1[[#This Row],[t2_Ph_I]])</f>
        <v>0</v>
      </c>
      <c r="S167" s="4">
        <f>Fsw*(Table1[[#This Row],[I_0]]*Table1[[#This Row],[t1_Ph_II]]+Table1[[#This Row],[I_1]]*Table1[[#This Row],[t2_Ph_I]]+Table1[[#This Row],[I_2]]*Table1[[#This Row],[t3_Ph_III]])</f>
        <v>12.912327245158222</v>
      </c>
      <c r="T167" s="354">
        <f>MIN(1,CHOOSE(Table1[[#This Row],[Mode Digit]],(Vout+(Rdson2+Rs+Rdcr)*Table1[[#This Row],[Iout]])/(Table1[[#This Row],[Vin]]+(Rs+Rdson2-Rdson1)*Table1[[#This Row],[Iout]]),1,Fsw*Table1[[#This Row],[t2_Ph_I]]+Table1[[#This Row],[t1_Ph_II]]))</f>
        <v>0.34994068801897976</v>
      </c>
      <c r="U167" s="354">
        <f>MIN(1,CHOOSE(Table1[[#This Row],[Mode Digit]],0,(Vout+(Rdson3+Rdcr)*Table1[[#This Row],[Iin]]-Table1[[#This Row],[Vin]])/(Vout+(Rdson3-Rdson4-Rs)*Table1[[#This Row],[Iin]]),Fsw*Table1[[#This Row],[t1_Ph_II]]+Table1[[#This Row],[t3_Ph_III]]))</f>
        <v>0</v>
      </c>
      <c r="V167" s="4">
        <f>MAX(Table1[[#This Row],[I_0]:[I_2]])-MIN(Table1[[#This Row],[I_0]:[I_1]])</f>
        <v>6.0797776100267207</v>
      </c>
      <c r="W16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12.127667046150378</v>
      </c>
      <c r="X167" s="354">
        <f>(Table1[[#This Row],[Irms Lf]]^2*Rdcr*(1+Ltc*Ta-Ltc*25))/(1-Table1[[#This Row],[Irms Lf]]^2*Rdcr*Ltc*ThetaCa)</f>
        <v>0.91554757097965744</v>
      </c>
      <c r="Y167" s="354">
        <f>ABS(7.759*10^-3*Fsw^0.9458*(0.00787*Table1[[#This Row],[Ripple Current pk-pk]])^2.304)</f>
        <v>2.0567629196943362</v>
      </c>
      <c r="Z167" s="354">
        <f>Table1[[#This Row],[DCR    Loss]]+Table1[[#This Row],[Core Loss]]</f>
        <v>2.9723104906739937</v>
      </c>
      <c r="AA167" s="4">
        <f>IF(Table1[[#This Row],[Vin]]&gt;Vout, Table1[[#This Row],[Ripple Current pk-pk]]/SQRT(12), SQRT(Table1[[#This Row],[Duty Cycle BOOST Leg]]/(1-Table1[[#This Row],[Duty Cycle BOOST Leg]]))*SQRT(Table1[[#This Row],[Iout]]^2+(Table1[[#This Row],[Ripple Current pk-pk]]^2)/12))</f>
        <v>1.7550806198809934</v>
      </c>
      <c r="AB167" s="354">
        <f>RCoutEsr*Table1[[#This Row],[Irms Cout]]^2</f>
        <v>1.5401539911409261E-2</v>
      </c>
      <c r="AC167" s="354">
        <f>Table1[[#This Row],[Cout ESR Loss]]</f>
        <v>1.5401539911409261E-2</v>
      </c>
      <c r="AD167" s="354">
        <f>IF(Table1[[#This Row],[Vin]]&gt;Vout, SQRT(Table1[[#This Row],[Duty Cycle BUCK Leg]]*(1-Table1[[#This Row],[Duty Cycle BUCK Leg]]))*SQRT(Table1[[#This Row],[Iout]]^2+(Table1[[#This Row],[Ripple Current pk-pk]]^2)/12), Table1[[#This Row],[Ripple Current pk-pk]]/SQRT(12))</f>
        <v>5.7843022449750174</v>
      </c>
      <c r="AE167" s="354">
        <f>RCinEsr*Table1[[#This Row],[Irms Cin]]^2</f>
        <v>6.691630492244606E-2</v>
      </c>
      <c r="AF167" s="549">
        <f>Table1[[#This Row],[Cin ESR Loss]]</f>
        <v>6.691630492244606E-2</v>
      </c>
      <c r="AG16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7.1742166240895706</v>
      </c>
      <c r="AH167" s="354">
        <f>Rdson1*Table1[[#This Row],[Irms BuCtrl]]^2</f>
        <v>0.21617141351132527</v>
      </c>
      <c r="AI167" s="354">
        <f>CHOOSE(Table1[[#This Row],[Mode Digit]], (Table1[[#This Row],[Vin]]*Table1[[#This Row],[Iout]]/2)*(Fsw)*(Tr_buck+Tf_buck), 0, (Table1[[#This Row],[Vin]]*Table1[[#This Row],[Avg IL]]/2)*(Fsw/1)*(Tr_buck+Tf_buck))</f>
        <v>5.0121285075772901</v>
      </c>
      <c r="AJ167">
        <f>IF(Table1[[#This Row],[Vin]]&gt;Vout, IF(Table1[[#This Row],[Iout]]&gt;Table1[[#This Row],[Ripple Current pk-pk]]/2,0,ABS(Table1[[#This Row],[Iout]]-Table1[[#This Row],[Ripple Current pk-pk]]/2)*Vsd_Q1*Deadtime*Fsw),0)</f>
        <v>0</v>
      </c>
      <c r="AK167" s="354">
        <f>(Table1[[#This Row],[Dead Time Loss BuCtrl]]+Table1[[#This Row],[Transition Loss BuCtrl]]+Table1[[#This Row],[RDS(on) Loss BuCtrl]]*(1+RdsonTopTc*Ta-RdsonTopTc*25))/(1-Table1[[#This Row],[RDS(on) Loss BuCtrl]]*RdsonTopTc*ThetaJA_Q1)</f>
        <v>5.5143929073541109</v>
      </c>
      <c r="AL167" s="354">
        <f>CHOOSE(Table1[[#This Row],[Mode Digit]],SQRT((Fsw*(Table1[[#This Row],[t2_Ph_I]]+0))*((Table1[[#This Row],[I_0]]*Table1[[#This Row],[I_1]]+((Table1[[#This Row],[I_0]]-Table1[[#This Row],[I_1]])^2)/3))),0,SQRT((Fsw*(Table1[[#This Row],[t3_Ph_III]]+0))*((Table1[[#This Row],[I_0]]*Table1[[#This Row],[I_2]]+((Table1[[#This Row],[I_0]]-Table1[[#This Row],[I_2]])^2)/3))))</f>
        <v>9.7780838518044373</v>
      </c>
      <c r="AM167" s="354">
        <f>Rdson2*Table1[[#This Row],[Irms BuSync]]^2</f>
        <v>0.40156588001425858</v>
      </c>
      <c r="AN16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67" s="354">
        <f>(Table1[[#This Row],[Deadtime Loss BuSync]]+Table1[[#This Row],[RDS(on) Loss BuSync]]*(1+RdsonBotTc*Ta-RdsonBotTc*25))/(1-Table1[[#This Row],[RDS(on) Loss BuSync]]*RdsonBotTc*ThetaJA_Q2)</f>
        <v>1.0833456216897084</v>
      </c>
      <c r="AP167" s="354">
        <f>CHOOSE(Table1[[#This Row],[Mode Digit]],0,SQRT((Fsw*(Table1[[#This Row],[t1_Ph_II]]+0))*((Table1[[#This Row],[I_0]]*Table1[[#This Row],[I_1]]+((Table1[[#This Row],[I_0]]-Table1[[#This Row],[I_1]])^2)/3))),SQRT((Fsw*(Table1[[#This Row],[t2_Ph_I]]+0))*((Table1[[#This Row],[I_1]]*Table1[[#This Row],[I_2]]+((Table1[[#This Row],[I_1]]-Table1[[#This Row],[I_2]])^2)/3))))</f>
        <v>0</v>
      </c>
      <c r="AQ167" s="354">
        <f>Rdson4*Table1[[#This Row],[Irms BoCtlr]]^2</f>
        <v>0</v>
      </c>
      <c r="AR167" s="354">
        <f>CHOOSE(Table1[[#This Row],[Mode Digit]], 0, (Vout*Table1[[#This Row],[Iin]]/2)*(Fsw)*(Tr_boost+Tf_boost), (Vout*Iout/2)*(Fsw/1)*(Tr_boost+Tf_boost))</f>
        <v>0</v>
      </c>
      <c r="AS167">
        <f>IF(Table1[[#This Row],[Vin]]&gt;Vout, 0, IF(Table1[[#This Row],[Iin]]&gt;Table1[[#This Row],[Ripple Current pk-pk]]/2,0,ABS(Table1[[#This Row],[Iin]]-Table1[[#This Row],[Ripple Current pk-pk]]/2)*Vsd_Q4*Deadtime*Fsw))</f>
        <v>0</v>
      </c>
      <c r="AT167" s="354">
        <f>(Table1[[#This Row],[Dead Time Loss BoCtlr]]+Table1[[#This Row],[Transition Loss BoCtlr]]+Table1[[#This Row],[RDS(on) Loss BoCtlr]]*(1+RdsonTopTc*Ta-RdsonTopTc*25))/(1-Table1[[#This Row],[RDS(on) Loss BoCtlr]]*RdsonTopTc*ThetaJA_Q4)</f>
        <v>0</v>
      </c>
      <c r="AU16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12.127667046150378</v>
      </c>
      <c r="AV167" s="354">
        <f>Rdson3*Table1[[#This Row],[Irms BoSync]]^2</f>
        <v>0.61773729352558382</v>
      </c>
      <c r="AW16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67" s="354">
        <f>(Table1[[#This Row],[Deadtime Loss BoSync]]+Table1[[#This Row],[RDS(on) Loss BoSync]]*(1+RdsonBotTc*Ta-RdsonBotTc*25))/(1-Table1[[#This Row],[RDS(on) Loss BoSync]]*RdsonBotTc*ThetaJA_Q3)</f>
        <v>0.72526250005697446</v>
      </c>
      <c r="AY167" s="354">
        <f>CHOOSE(Table1[[#This Row],[Mode Digit]], Rdson3*Table1[[#This Row],[Irms Lf]]^2, Rdson1*Table1[[#This Row],[Irms Lf]]^2, 0)</f>
        <v>0.61773729352558382</v>
      </c>
      <c r="AZ167" s="354">
        <f>CHOOSE(Table1[[#This Row],[Mode Digit]], 2*Deadtime*Fsw*IF(VfdSky_Q2&gt;0,VfdSky_Q2,0)*Table1[[#This Row],[Iout]], 2*Deadtime*Fsw*IF(VfdSky_Q3&gt;0,VfdSky_Q3,0)*Table1[[#This Row],[Iin]], 2*Deadtime*Fsw*IF(VfdSky_Q2&gt;0,VfdSky_Q2,0)*Table1[[#This Row],[Iout]]+2*Deadtime*Fsw*IF(VfdSky_Q3&gt;0,VfdSky_Q3,0)*Table1[[#This Row],[Iin]])</f>
        <v>0</v>
      </c>
      <c r="BA167" s="354">
        <f>CHOOSE(Table1[[#This Row],[Mode Digit]], IF(QrrSky_Q2&gt;0,QrrSky_Q2,Qrr_Q2)*Fsw*(Table1[[#This Row],[Vin]]-Table1[[#This Row],[Iout]]*Rdson1),0,  IF(QrrSky_Q2&gt;0,QrrSky_Q2,Qrr_Q2)*Fsw*(Table1[[#This Row],[Vin]]-Table1[[#This Row],[Iout]]*Rdson1)+IF(QrrSky_Q3&gt;0,QrrSky_Q3,Qrr_Q3)*Fsw*Vout)</f>
        <v>0.50483520000000004</v>
      </c>
      <c r="BB167" s="354">
        <f>CHOOSE(Table1[[#This Row],[Mode Digit]],0, IF(QrrSky_Q3&gt;0,QrrSky_Q3,Qrr_Q3)*Fsw*Vout,  IF(QrrSky_Q2&gt;0,QrrSky_Q2,Qrr_Q2)*Fsw*(Table1[[#This Row],[Vin]]-Table1[[#This Row],[Iout]]*Rdson1)+IF(QrrSky_Q3&gt;0,QrrSky_Q3,Qrr_Q3)*Fsw*Vout)</f>
        <v>0</v>
      </c>
      <c r="BC167" s="354">
        <f>CHOOSE(Table1[[#This Row],[Mode Digit]], Rs*Table1[[#This Row],[Irms BuSync]]^2, Rs*Table1[[#This Row],[Irms BoCtlr]]^2, Rs*(Table1[[#This Row],[Irms BuSync]]^2+Table1[[#This Row],[Irms BoCtlr]]^2))</f>
        <v>0.23902730953229676</v>
      </c>
      <c r="BD167" s="354">
        <f t="shared" si="8"/>
        <v>1.44</v>
      </c>
      <c r="BE167" s="354">
        <f>IF(Vout&gt;8, Iq*Vout, Iq*Table1[[#This Row],[Vin]])</f>
        <v>4.3799999999999999E-2</v>
      </c>
      <c r="BF167" s="354">
        <f>CHOOSE(Table1[[#This Row],[Mode Digit]], (Qg_Q1+Qg_Q2)*Fsw, (Qg_Q3+Qg_Q4)*Fsw, (Qg_Q1+Qg_Q2+Qg_Q3+Qg_Q4)*Fsw)*IF(Vout&gt;8, Vout, Table1[[#This Row],[Vin]])</f>
        <v>0.47303999999999996</v>
      </c>
      <c r="BG167" s="354">
        <f t="shared" si="9"/>
        <v>0.45605042016806729</v>
      </c>
      <c r="BH167" s="354">
        <f>Table1[[#This Row],[IQ Loss]]+Table1[[#This Row],[Switching Current Loss]]</f>
        <v>0.51683999999999997</v>
      </c>
      <c r="BI16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13.07833187414094</v>
      </c>
      <c r="BJ167">
        <f>Vout*Table1[[#This Row],[Iout]]</f>
        <v>175.2</v>
      </c>
      <c r="BK167" s="550">
        <f>Table1[[#This Row],[Pout]]/(Table1[[#This Row],[Pout]]+Table1[[#This Row],[Total Loss]])</f>
        <v>0.93053724374994229</v>
      </c>
      <c r="BL16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330.86357444124667</v>
      </c>
      <c r="BM167" s="559">
        <f>IF(Table1[[#This Row],[Vin]]&gt;Vout, Table1[[#This Row],[Total Sync Bu MOSFET Loss]]*ThetaJA_Q2, ThetaJA_Q3*Table1[[#This Row],[Total Sync Bo MOSFET Loss]])</f>
        <v>65.0007373013825</v>
      </c>
      <c r="BN167" s="9"/>
      <c r="BO167" s="4">
        <f>Table1[[#This Row],[EFF, h]]*100</f>
        <v>93.053724374994232</v>
      </c>
      <c r="BP167" s="354">
        <f>Table1[[#This Row],[Total Inductor Loss]]</f>
        <v>2.9723104906739937</v>
      </c>
      <c r="BQ167" s="354">
        <f>Table1[[#This Row],[Total Control Bu MOSFET Loss]]+Table1[[#This Row],[Total Sync Bu MOSFET Loss]]+Table1[[#This Row],[Total Control Bo MOSFET Loss]]+Table1[[#This Row],[Total Sync Bo MOSFET Loss]]+Table1[[#This Row],[Reverse Recovery Loss MOSFET D BUCK]]+Table1[[#This Row],[Reverse Recovery Loss MOSFET D BOOST]]</f>
        <v>7.827836229100793</v>
      </c>
      <c r="BR167" s="354">
        <f>Table1[[#This Row],[Total Control Bu MOSFET Loss]]+Table1[[#This Row],[Reverse Recovery Loss MOSFET D BUCK]]*0.66</f>
        <v>5.8475841393541108</v>
      </c>
      <c r="BS167" s="354">
        <f>Table1[[#This Row],[Total Sync Bu MOSFET Loss]]+Table1[[#This Row],[Reverse Recovery Loss MOSFET D BUCK]]*0.33</f>
        <v>1.2499412376897083</v>
      </c>
      <c r="BT167" s="354">
        <f xml:space="preserve"> Table1[[#This Row],[Total Control Bo MOSFET Loss]]+Table1[[#This Row],[Reverse Recovery Loss MOSFET D BOOST]]*0.66</f>
        <v>0</v>
      </c>
      <c r="BU167" s="354">
        <f xml:space="preserve"> Table1[[#This Row],[Total Sync Bo MOSFET Loss]]+Table1[[#This Row],[Reverse Recovery Loss MOSFET D BOOST]]*0.33</f>
        <v>0.72526250005697446</v>
      </c>
      <c r="BV167" s="354">
        <f>Table1[[#This Row],[Isense Shunt Loss]]</f>
        <v>0.23902730953229676</v>
      </c>
    </row>
    <row r="168" spans="7:74" x14ac:dyDescent="0.2">
      <c r="G168">
        <v>159</v>
      </c>
      <c r="H168" s="555">
        <f>VIN_min+(VIN_max-VIN_min)*(Table1[[#This Row],[Step]]/200)</f>
        <v>42.260000000000005</v>
      </c>
      <c r="I168" s="4" t="str">
        <f>IF(Mode = 2,IF(Table1[[#This Row],[Vin]]&gt;Vout, "BUCK","BOOST"),IF(Table1[[#This Row],[Vin]]&gt;VIN_BB_to_buck, "BUCK", IF(Table1[[#This Row],[Vin]]&lt;=VIN_boost_to_BB,"BOOST","BUCK-BST")))</f>
        <v>BUCK</v>
      </c>
      <c r="J168">
        <f>IF(Table1[[#This Row],[Mode]]="BOOST",2, IF(Table1[[#This Row],[Mode]]="BUCK", 1,3))</f>
        <v>1</v>
      </c>
      <c r="K168">
        <f t="shared" si="7"/>
        <v>12</v>
      </c>
      <c r="L168" s="4">
        <f>Vout*Table1[[#This Row],[Iout]]/(Table1[[#This Row],[Vin]]*Efficiency)</f>
        <v>4.3639624380402013</v>
      </c>
      <c r="M168" s="711">
        <f>MIN(1/Fsw,CHOOSE(Table1[[#This Row],[Mode Digit]],(Vout+(Rdson2+Rs+Rdcr)*Table1[[#This Row],[Iout]])/(Table1[[#This Row],[Vin]]+(Rs+Rdson2-Rdson1)*Table1[[#This Row],[Iout]])/Fsw,(Vout+(Rdson3+Rdcr)*Table1[[#This Row],[Iin]]-Table1[[#This Row],[Vin]])/(Vout+(Rdson3-Rdson4-Rs)*Table1[[#This Row],[Iin]])/Fsw,t1_Ph_II))</f>
        <v>5.8130369669740671E-7</v>
      </c>
      <c r="N168" s="602">
        <f>CHOOSE(Table1[[#This Row],[Mode Digit]],1/Fsw-Table1[[#This Row],[t1_Ph_II]],1/Fsw-Table1[[#This Row],[t1_Ph_II]],(Vout/Fsw-Table1[[#This Row],[Vin]]*t1_Ph_II)/(Table1[[#This Row],[Vin]]+Vout))</f>
        <v>1.0853629699692599E-6</v>
      </c>
      <c r="O168" s="602">
        <f>1/Fsw-(Table1[[#This Row],[t1_Ph_II]]+Table1[[#This Row],[t2_Ph_I]])</f>
        <v>0</v>
      </c>
      <c r="P16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8.9547613161647206</v>
      </c>
      <c r="Q168" s="4">
        <f>CHOOSE(Table1[[#This Row],[Mode Digit]],Table1[[#This Row],[I_0]]+1/Lf*(Table1[[#This Row],[Vin]]-Vout)*Table1[[#This Row],[t1_Ph_II]],Table1[[#This Row],[I_0]]+1/Lf*Table1[[#This Row],[Vin]]*Table1[[#This Row],[t1_Ph_II]],Table1[[#This Row],[I_0]]+(Table1[[#This Row],[Vin]]-Vout)/L*Table1[[#This Row],[t1_Ph_II]])</f>
        <v>15.045238683835278</v>
      </c>
      <c r="R168" s="4">
        <f>CHOOSE(Table1[[#This Row],[Mode Digit]],0,0,Table1[[#This Row],[I_1]]+Table1[[#This Row],[Vin]]/L*Table1[[#This Row],[t2_Ph_I]])</f>
        <v>0</v>
      </c>
      <c r="S168" s="4">
        <f>Fsw*(Table1[[#This Row],[I_0]]*Table1[[#This Row],[t1_Ph_II]]+Table1[[#This Row],[I_1]]*Table1[[#This Row],[t2_Ph_I]]+Table1[[#This Row],[I_2]]*Table1[[#This Row],[t3_Ph_III]])</f>
        <v>12.920988478748006</v>
      </c>
      <c r="T168" s="354">
        <f>MIN(1,CHOOSE(Table1[[#This Row],[Mode Digit]],(Vout+(Rdson2+Rs+Rdcr)*Table1[[#This Row],[Iout]])/(Table1[[#This Row],[Vin]]+(Rs+Rdson2-Rdson1)*Table1[[#This Row],[Iout]]),1,Fsw*Table1[[#This Row],[t2_Ph_I]]+Table1[[#This Row],[t1_Ph_II]]))</f>
        <v>0.348782218018444</v>
      </c>
      <c r="U168" s="354">
        <f>MIN(1,CHOOSE(Table1[[#This Row],[Mode Digit]],0,(Vout+(Rdson3+Rdcr)*Table1[[#This Row],[Iin]]-Table1[[#This Row],[Vin]])/(Vout+(Rdson3-Rdson4-Rs)*Table1[[#This Row],[Iin]]),Fsw*Table1[[#This Row],[t1_Ph_II]]+Table1[[#This Row],[t3_Ph_III]]))</f>
        <v>0</v>
      </c>
      <c r="V168" s="4">
        <f>MAX(Table1[[#This Row],[I_0]:[I_2]])-MIN(Table1[[#This Row],[I_0]:[I_1]])</f>
        <v>6.090477367670557</v>
      </c>
      <c r="W16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12.128114426701934</v>
      </c>
      <c r="X168" s="354">
        <f>(Table1[[#This Row],[Irms Lf]]^2*Rdcr*(1+Ltc*Ta-Ltc*25))/(1-Table1[[#This Row],[Irms Lf]]^2*Rdcr*Ltc*ThetaCa)</f>
        <v>0.91562006788920414</v>
      </c>
      <c r="Y168" s="354">
        <f>ABS(7.759*10^-3*Fsw^0.9458*(0.00787*Table1[[#This Row],[Ripple Current pk-pk]])^2.304)</f>
        <v>2.0651122393842938</v>
      </c>
      <c r="Z168" s="354">
        <f>Table1[[#This Row],[DCR    Loss]]+Table1[[#This Row],[Core Loss]]</f>
        <v>2.9807323072734979</v>
      </c>
      <c r="AA168" s="4">
        <f>IF(Table1[[#This Row],[Vin]]&gt;Vout, Table1[[#This Row],[Ripple Current pk-pk]]/SQRT(12), SQRT(Table1[[#This Row],[Duty Cycle BOOST Leg]]/(1-Table1[[#This Row],[Duty Cycle BOOST Leg]]))*SQRT(Table1[[#This Row],[Iout]]^2+(Table1[[#This Row],[Ripple Current pk-pk]]^2)/12))</f>
        <v>1.7581693738589599</v>
      </c>
      <c r="AB168" s="354">
        <f>RCoutEsr*Table1[[#This Row],[Irms Cout]]^2</f>
        <v>1.5455797735878036E-2</v>
      </c>
      <c r="AC168" s="354">
        <f>Table1[[#This Row],[Cout ESR Loss]]</f>
        <v>1.5455797735878036E-2</v>
      </c>
      <c r="AD168" s="354">
        <f>IF(Table1[[#This Row],[Vin]]&gt;Vout, SQRT(Table1[[#This Row],[Duty Cycle BUCK Leg]]*(1-Table1[[#This Row],[Duty Cycle BUCK Leg]]))*SQRT(Table1[[#This Row],[Iout]]^2+(Table1[[#This Row],[Ripple Current pk-pk]]^2)/12), Table1[[#This Row],[Ripple Current pk-pk]]/SQRT(12))</f>
        <v>5.7800763985181316</v>
      </c>
      <c r="AE168" s="354">
        <f>RCinEsr*Table1[[#This Row],[Irms Cin]]^2</f>
        <v>6.6818566345412667E-2</v>
      </c>
      <c r="AF168" s="549">
        <f>Table1[[#This Row],[Cin ESR Loss]]</f>
        <v>6.6818566345412667E-2</v>
      </c>
      <c r="AG16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7.1625959594108561</v>
      </c>
      <c r="AH168" s="354">
        <f>Rdson1*Table1[[#This Row],[Irms BuCtrl]]^2</f>
        <v>0.21547167968662867</v>
      </c>
      <c r="AI168" s="354">
        <f>CHOOSE(Table1[[#This Row],[Mode Digit]], (Table1[[#This Row],[Vin]]*Table1[[#This Row],[Iout]]/2)*(Fsw)*(Tr_buck+Tf_buck), 0, (Table1[[#This Row],[Vin]]*Table1[[#This Row],[Avg IL]]/2)*(Fsw/1)*(Tr_buck+Tf_buck))</f>
        <v>5.0287880040412221</v>
      </c>
      <c r="AJ168">
        <f>IF(Table1[[#This Row],[Vin]]&gt;Vout, IF(Table1[[#This Row],[Iout]]&gt;Table1[[#This Row],[Ripple Current pk-pk]]/2,0,ABS(Table1[[#This Row],[Iout]]-Table1[[#This Row],[Ripple Current pk-pk]]/2)*Vsd_Q1*Deadtime*Fsw),0)</f>
        <v>0</v>
      </c>
      <c r="AK168" s="354">
        <f>(Table1[[#This Row],[Dead Time Loss BuCtrl]]+Table1[[#This Row],[Transition Loss BuCtrl]]+Table1[[#This Row],[RDS(on) Loss BuCtrl]]*(1+RdsonTopTc*Ta-RdsonTopTc*25))/(1-Table1[[#This Row],[RDS(on) Loss BuCtrl]]*RdsonTopTc*ThetaJA_Q1)</f>
        <v>5.5302464412756924</v>
      </c>
      <c r="AL168" s="354">
        <f>CHOOSE(Table1[[#This Row],[Mode Digit]],SQRT((Fsw*(Table1[[#This Row],[t2_Ph_I]]+0))*((Table1[[#This Row],[I_0]]*Table1[[#This Row],[I_1]]+((Table1[[#This Row],[I_0]]-Table1[[#This Row],[I_1]])^2)/3))),0,SQRT((Fsw*(Table1[[#This Row],[t3_Ph_III]]+0))*((Table1[[#This Row],[I_0]]*Table1[[#This Row],[I_2]]+((Table1[[#This Row],[I_0]]-Table1[[#This Row],[I_2]])^2)/3))))</f>
        <v>9.7871537573191745</v>
      </c>
      <c r="AM168" s="354">
        <f>Rdson2*Table1[[#This Row],[Irms BuSync]]^2</f>
        <v>0.40231119041150876</v>
      </c>
      <c r="AN16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68" s="354">
        <f>(Table1[[#This Row],[Deadtime Loss BuSync]]+Table1[[#This Row],[RDS(on) Loss BuSync]]*(1+RdsonBotTc*Ta-RdsonBotTc*25))/(1-Table1[[#This Row],[RDS(on) Loss BuSync]]*RdsonBotTc*ThetaJA_Q2)</f>
        <v>1.0843850795116077</v>
      </c>
      <c r="AP168" s="354">
        <f>CHOOSE(Table1[[#This Row],[Mode Digit]],0,SQRT((Fsw*(Table1[[#This Row],[t1_Ph_II]]+0))*((Table1[[#This Row],[I_0]]*Table1[[#This Row],[I_1]]+((Table1[[#This Row],[I_0]]-Table1[[#This Row],[I_1]])^2)/3))),SQRT((Fsw*(Table1[[#This Row],[t2_Ph_I]]+0))*((Table1[[#This Row],[I_1]]*Table1[[#This Row],[I_2]]+((Table1[[#This Row],[I_1]]-Table1[[#This Row],[I_2]])^2)/3))))</f>
        <v>0</v>
      </c>
      <c r="AQ168" s="354">
        <f>Rdson4*Table1[[#This Row],[Irms BoCtlr]]^2</f>
        <v>0</v>
      </c>
      <c r="AR168" s="354">
        <f>CHOOSE(Table1[[#This Row],[Mode Digit]], 0, (Vout*Table1[[#This Row],[Iin]]/2)*(Fsw)*(Tr_boost+Tf_boost), (Vout*Iout/2)*(Fsw/1)*(Tr_boost+Tf_boost))</f>
        <v>0</v>
      </c>
      <c r="AS168">
        <f>IF(Table1[[#This Row],[Vin]]&gt;Vout, 0, IF(Table1[[#This Row],[Iin]]&gt;Table1[[#This Row],[Ripple Current pk-pk]]/2,0,ABS(Table1[[#This Row],[Iin]]-Table1[[#This Row],[Ripple Current pk-pk]]/2)*Vsd_Q4*Deadtime*Fsw))</f>
        <v>0</v>
      </c>
      <c r="AT168" s="354">
        <f>(Table1[[#This Row],[Dead Time Loss BoCtlr]]+Table1[[#This Row],[Transition Loss BoCtlr]]+Table1[[#This Row],[RDS(on) Loss BoCtlr]]*(1+RdsonTopTc*Ta-RdsonTopTc*25))/(1-Table1[[#This Row],[RDS(on) Loss BoCtlr]]*RdsonTopTc*ThetaJA_Q4)</f>
        <v>0</v>
      </c>
      <c r="AU16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12.128114426701934</v>
      </c>
      <c r="AV168" s="354">
        <f>Rdson3*Table1[[#This Row],[Irms BoSync]]^2</f>
        <v>0.61778287009813748</v>
      </c>
      <c r="AW16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68" s="354">
        <f>(Table1[[#This Row],[Deadtime Loss BoSync]]+Table1[[#This Row],[RDS(on) Loss BoSync]]*(1+RdsonBotTc*Ta-RdsonBotTc*25))/(1-Table1[[#This Row],[RDS(on) Loss BoSync]]*RdsonBotTc*ThetaJA_Q3)</f>
        <v>0.72532532470195432</v>
      </c>
      <c r="AY168" s="354">
        <f>CHOOSE(Table1[[#This Row],[Mode Digit]], Rdson3*Table1[[#This Row],[Irms Lf]]^2, Rdson1*Table1[[#This Row],[Irms Lf]]^2, 0)</f>
        <v>0.61778287009813748</v>
      </c>
      <c r="AZ168" s="354">
        <f>CHOOSE(Table1[[#This Row],[Mode Digit]], 2*Deadtime*Fsw*IF(VfdSky_Q2&gt;0,VfdSky_Q2,0)*Table1[[#This Row],[Iout]], 2*Deadtime*Fsw*IF(VfdSky_Q3&gt;0,VfdSky_Q3,0)*Table1[[#This Row],[Iin]], 2*Deadtime*Fsw*IF(VfdSky_Q2&gt;0,VfdSky_Q2,0)*Table1[[#This Row],[Iout]]+2*Deadtime*Fsw*IF(VfdSky_Q3&gt;0,VfdSky_Q3,0)*Table1[[#This Row],[Iin]])</f>
        <v>0</v>
      </c>
      <c r="BA168" s="354">
        <f>CHOOSE(Table1[[#This Row],[Mode Digit]], IF(QrrSky_Q2&gt;0,QrrSky_Q2,Qrr_Q2)*Fsw*(Table1[[#This Row],[Vin]]-Table1[[#This Row],[Iout]]*Rdson1),0,  IF(QrrSky_Q2&gt;0,QrrSky_Q2,Qrr_Q2)*Fsw*(Table1[[#This Row],[Vin]]-Table1[[#This Row],[Iout]]*Rdson1)+IF(QrrSky_Q3&gt;0,QrrSky_Q3,Qrr_Q3)*Fsw*Vout)</f>
        <v>0.50651520000000005</v>
      </c>
      <c r="BB168" s="354">
        <f>CHOOSE(Table1[[#This Row],[Mode Digit]],0, IF(QrrSky_Q3&gt;0,QrrSky_Q3,Qrr_Q3)*Fsw*Vout,  IF(QrrSky_Q2&gt;0,QrrSky_Q2,Qrr_Q2)*Fsw*(Table1[[#This Row],[Vin]]-Table1[[#This Row],[Iout]]*Rdson1)+IF(QrrSky_Q3&gt;0,QrrSky_Q3,Qrr_Q3)*Fsw*Vout)</f>
        <v>0</v>
      </c>
      <c r="BC168" s="354">
        <f>CHOOSE(Table1[[#This Row],[Mode Digit]], Rs*Table1[[#This Row],[Irms BuSync]]^2, Rs*Table1[[#This Row],[Irms BoCtlr]]^2, Rs*(Table1[[#This Row],[Irms BuSync]]^2+Table1[[#This Row],[Irms BoCtlr]]^2))</f>
        <v>0.23947094667351709</v>
      </c>
      <c r="BD168" s="354">
        <f t="shared" si="8"/>
        <v>1.44</v>
      </c>
      <c r="BE168" s="354">
        <f>IF(Vout&gt;8, Iq*Vout, Iq*Table1[[#This Row],[Vin]])</f>
        <v>4.3799999999999999E-2</v>
      </c>
      <c r="BF168" s="354">
        <f>CHOOSE(Table1[[#This Row],[Mode Digit]], (Qg_Q1+Qg_Q2)*Fsw, (Qg_Q3+Qg_Q4)*Fsw, (Qg_Q1+Qg_Q2+Qg_Q3+Qg_Q4)*Fsw)*IF(Vout&gt;8, Vout, Table1[[#This Row],[Vin]])</f>
        <v>0.47303999999999996</v>
      </c>
      <c r="BG168" s="354">
        <f t="shared" si="9"/>
        <v>0.45605042016806729</v>
      </c>
      <c r="BH168" s="354">
        <f>Table1[[#This Row],[IQ Loss]]+Table1[[#This Row],[Switching Current Loss]]</f>
        <v>0.51683999999999997</v>
      </c>
      <c r="BI16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13.105789663517561</v>
      </c>
      <c r="BJ168">
        <f>Vout*Table1[[#This Row],[Iout]]</f>
        <v>175.2</v>
      </c>
      <c r="BK168" s="550">
        <f>Table1[[#This Row],[Pout]]/(Table1[[#This Row],[Pout]]+Table1[[#This Row],[Total Loss]])</f>
        <v>0.93040155755733156</v>
      </c>
      <c r="BL16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331.81478647654154</v>
      </c>
      <c r="BM168" s="559">
        <f>IF(Table1[[#This Row],[Vin]]&gt;Vout, Table1[[#This Row],[Total Sync Bu MOSFET Loss]]*ThetaJA_Q2, ThetaJA_Q3*Table1[[#This Row],[Total Sync Bo MOSFET Loss]])</f>
        <v>65.063104770696455</v>
      </c>
      <c r="BN168" s="9"/>
      <c r="BO168" s="4">
        <f>Table1[[#This Row],[EFF, h]]*100</f>
        <v>93.040155755733153</v>
      </c>
      <c r="BP168" s="354">
        <f>Table1[[#This Row],[Total Inductor Loss]]</f>
        <v>2.9807323072734979</v>
      </c>
      <c r="BQ168" s="354">
        <f>Table1[[#This Row],[Total Control Bu MOSFET Loss]]+Table1[[#This Row],[Total Sync Bu MOSFET Loss]]+Table1[[#This Row],[Total Control Bo MOSFET Loss]]+Table1[[#This Row],[Total Sync Bo MOSFET Loss]]+Table1[[#This Row],[Reverse Recovery Loss MOSFET D BUCK]]+Table1[[#This Row],[Reverse Recovery Loss MOSFET D BOOST]]</f>
        <v>7.8464720454892545</v>
      </c>
      <c r="BR168" s="354">
        <f>Table1[[#This Row],[Total Control Bu MOSFET Loss]]+Table1[[#This Row],[Reverse Recovery Loss MOSFET D BUCK]]*0.66</f>
        <v>5.8645464732756922</v>
      </c>
      <c r="BS168" s="354">
        <f>Table1[[#This Row],[Total Sync Bu MOSFET Loss]]+Table1[[#This Row],[Reverse Recovery Loss MOSFET D BUCK]]*0.33</f>
        <v>1.2515350955116076</v>
      </c>
      <c r="BT168" s="354">
        <f xml:space="preserve"> Table1[[#This Row],[Total Control Bo MOSFET Loss]]+Table1[[#This Row],[Reverse Recovery Loss MOSFET D BOOST]]*0.66</f>
        <v>0</v>
      </c>
      <c r="BU168" s="354">
        <f xml:space="preserve"> Table1[[#This Row],[Total Sync Bo MOSFET Loss]]+Table1[[#This Row],[Reverse Recovery Loss MOSFET D BOOST]]*0.33</f>
        <v>0.72532532470195432</v>
      </c>
      <c r="BV168" s="354">
        <f>Table1[[#This Row],[Isense Shunt Loss]]</f>
        <v>0.23947094667351709</v>
      </c>
    </row>
    <row r="169" spans="7:74" x14ac:dyDescent="0.2">
      <c r="G169">
        <v>160</v>
      </c>
      <c r="H169" s="555">
        <f>VIN_min+(VIN_max-VIN_min)*(Table1[[#This Row],[Step]]/200)</f>
        <v>42.400000000000006</v>
      </c>
      <c r="I169" s="4" t="str">
        <f>IF(Mode = 2,IF(Table1[[#This Row],[Vin]]&gt;Vout, "BUCK","BOOST"),IF(Table1[[#This Row],[Vin]]&gt;VIN_BB_to_buck, "BUCK", IF(Table1[[#This Row],[Vin]]&lt;=VIN_boost_to_BB,"BOOST","BUCK-BST")))</f>
        <v>BUCK</v>
      </c>
      <c r="J169">
        <f>IF(Table1[[#This Row],[Mode]]="BOOST",2, IF(Table1[[#This Row],[Mode]]="BUCK", 1,3))</f>
        <v>1</v>
      </c>
      <c r="K169">
        <f t="shared" si="7"/>
        <v>12</v>
      </c>
      <c r="L169" s="4">
        <f>Vout*Table1[[#This Row],[Iout]]/(Table1[[#This Row],[Vin]]*Efficiency)</f>
        <v>4.3495531281032767</v>
      </c>
      <c r="M169" s="711">
        <f>MIN(1/Fsw,CHOOSE(Table1[[#This Row],[Mode Digit]],(Vout+(Rdson2+Rs+Rdcr)*Table1[[#This Row],[Iout]])/(Table1[[#This Row],[Vin]]+(Rs+Rdson2-Rdson1)*Table1[[#This Row],[Iout]])/Fsw,(Vout+(Rdson3+Rdcr)*Table1[[#This Row],[Iin]]-Table1[[#This Row],[Vin]])/(Vout+(Rdson3-Rdson4-Rs)*Table1[[#This Row],[Iin]])/Fsw,t1_Ph_II))</f>
        <v>5.7938565480399082E-7</v>
      </c>
      <c r="N169" s="602">
        <f>CHOOSE(Table1[[#This Row],[Mode Digit]],1/Fsw-Table1[[#This Row],[t1_Ph_II]],1/Fsw-Table1[[#This Row],[t1_Ph_II]],(Vout/Fsw-Table1[[#This Row],[Vin]]*t1_Ph_II)/(Table1[[#This Row],[Vin]]+Vout))</f>
        <v>1.0872810118626759E-6</v>
      </c>
      <c r="O169" s="602">
        <f>1/Fsw-(Table1[[#This Row],[t1_Ph_II]]+Table1[[#This Row],[t2_Ph_I]])</f>
        <v>0</v>
      </c>
      <c r="P16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8.9494467417517143</v>
      </c>
      <c r="Q169" s="4">
        <f>CHOOSE(Table1[[#This Row],[Mode Digit]],Table1[[#This Row],[I_0]]+1/Lf*(Table1[[#This Row],[Vin]]-Vout)*Table1[[#This Row],[t1_Ph_II]],Table1[[#This Row],[I_0]]+1/Lf*Table1[[#This Row],[Vin]]*Table1[[#This Row],[t1_Ph_II]],Table1[[#This Row],[I_0]]+(Table1[[#This Row],[Vin]]-Vout)/L*Table1[[#This Row],[t1_Ph_II]])</f>
        <v>15.050553258248286</v>
      </c>
      <c r="R169" s="4">
        <f>CHOOSE(Table1[[#This Row],[Mode Digit]],0,0,Table1[[#This Row],[I_1]]+Table1[[#This Row],[Vin]]/L*Table1[[#This Row],[t2_Ph_I]])</f>
        <v>0</v>
      </c>
      <c r="S169" s="4">
        <f>Fsw*(Table1[[#This Row],[I_0]]*Table1[[#This Row],[t1_Ph_II]]+Table1[[#This Row],[I_1]]*Table1[[#This Row],[t2_Ph_I]]+Table1[[#This Row],[I_2]]*Table1[[#This Row],[t3_Ph_III]])</f>
        <v>12.929617101794731</v>
      </c>
      <c r="T169" s="354">
        <f>MIN(1,CHOOSE(Table1[[#This Row],[Mode Digit]],(Vout+(Rdson2+Rs+Rdcr)*Table1[[#This Row],[Iout]])/(Table1[[#This Row],[Vin]]+(Rs+Rdson2-Rdson1)*Table1[[#This Row],[Iout]]),1,Fsw*Table1[[#This Row],[t2_Ph_I]]+Table1[[#This Row],[t1_Ph_II]]))</f>
        <v>0.34763139288239447</v>
      </c>
      <c r="U169" s="354">
        <f>MIN(1,CHOOSE(Table1[[#This Row],[Mode Digit]],0,(Vout+(Rdson3+Rdcr)*Table1[[#This Row],[Iin]]-Table1[[#This Row],[Vin]])/(Vout+(Rdson3-Rdson4-Rs)*Table1[[#This Row],[Iin]]),Fsw*Table1[[#This Row],[t1_Ph_II]]+Table1[[#This Row],[t3_Ph_III]]))</f>
        <v>0</v>
      </c>
      <c r="V169" s="4">
        <f>MAX(Table1[[#This Row],[I_0]:[I_2]])-MIN(Table1[[#This Row],[I_0]:[I_1]])</f>
        <v>6.1011065164965714</v>
      </c>
      <c r="W16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12.128559617440279</v>
      </c>
      <c r="X169" s="354">
        <f>(Table1[[#This Row],[Irms Lf]]^2*Rdcr*(1+Ltc*Ta-Ltc*25))/(1-Table1[[#This Row],[Irms Lf]]^2*Rdcr*Ltc*ThetaCa)</f>
        <v>0.91569221337749451</v>
      </c>
      <c r="Y169" s="354">
        <f>ABS(7.759*10^-3*Fsw^0.9458*(0.00787*Table1[[#This Row],[Ripple Current pk-pk]])^2.304)</f>
        <v>2.0734254210102345</v>
      </c>
      <c r="Z169" s="354">
        <f>Table1[[#This Row],[DCR    Loss]]+Table1[[#This Row],[Core Loss]]</f>
        <v>2.9891176343877293</v>
      </c>
      <c r="AA169" s="4">
        <f>IF(Table1[[#This Row],[Vin]]&gt;Vout, Table1[[#This Row],[Ripple Current pk-pk]]/SQRT(12), SQRT(Table1[[#This Row],[Duty Cycle BOOST Leg]]/(1-Table1[[#This Row],[Duty Cycle BOOST Leg]]))*SQRT(Table1[[#This Row],[Iout]]^2+(Table1[[#This Row],[Ripple Current pk-pk]]^2)/12))</f>
        <v>1.7612377448269378</v>
      </c>
      <c r="AB169" s="354">
        <f>RCoutEsr*Table1[[#This Row],[Irms Cout]]^2</f>
        <v>1.5509791969015391E-2</v>
      </c>
      <c r="AC169" s="354">
        <f>Table1[[#This Row],[Cout ESR Loss]]</f>
        <v>1.5509791969015391E-2</v>
      </c>
      <c r="AD169" s="354">
        <f>IF(Table1[[#This Row],[Vin]]&gt;Vout, SQRT(Table1[[#This Row],[Duty Cycle BUCK Leg]]*(1-Table1[[#This Row],[Duty Cycle BUCK Leg]]))*SQRT(Table1[[#This Row],[Iout]]^2+(Table1[[#This Row],[Ripple Current pk-pk]]^2)/12), Table1[[#This Row],[Ripple Current pk-pk]]/SQRT(12))</f>
        <v>5.7758412568924422</v>
      </c>
      <c r="AE169" s="354">
        <f>RCinEsr*Table1[[#This Row],[Irms Cin]]^2</f>
        <v>6.6720684449641743E-2</v>
      </c>
      <c r="AF169" s="549">
        <f>Table1[[#This Row],[Cin ESR Loss]]</f>
        <v>6.6720684449641743E-2</v>
      </c>
      <c r="AG16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7.1510320018977547</v>
      </c>
      <c r="AH169" s="354">
        <f>Rdson1*Table1[[#This Row],[Irms BuCtrl]]^2</f>
        <v>0.21477648650709644</v>
      </c>
      <c r="AI169" s="354">
        <f>CHOOSE(Table1[[#This Row],[Mode Digit]], (Table1[[#This Row],[Vin]]*Table1[[#This Row],[Iout]]/2)*(Fsw)*(Tr_buck+Tf_buck), 0, (Table1[[#This Row],[Vin]]*Table1[[#This Row],[Avg IL]]/2)*(Fsw/1)*(Tr_buck+Tf_buck))</f>
        <v>5.045447500505154</v>
      </c>
      <c r="AJ169">
        <f>IF(Table1[[#This Row],[Vin]]&gt;Vout, IF(Table1[[#This Row],[Iout]]&gt;Table1[[#This Row],[Ripple Current pk-pk]]/2,0,ABS(Table1[[#This Row],[Iout]]-Table1[[#This Row],[Ripple Current pk-pk]]/2)*Vsd_Q1*Deadtime*Fsw),0)</f>
        <v>0</v>
      </c>
      <c r="AK169" s="354">
        <f>(Table1[[#This Row],[Dead Time Loss BuCtrl]]+Table1[[#This Row],[Transition Loss BuCtrl]]+Table1[[#This Row],[RDS(on) Loss BuCtrl]]*(1+RdsonTopTc*Ta-RdsonTopTc*25))/(1-Table1[[#This Row],[RDS(on) Loss BuCtrl]]*RdsonTopTc*ThetaJA_Q1)</f>
        <v>5.5461055208268428</v>
      </c>
      <c r="AL169" s="354">
        <f>CHOOSE(Table1[[#This Row],[Mode Digit]],SQRT((Fsw*(Table1[[#This Row],[t2_Ph_I]]+0))*((Table1[[#This Row],[I_0]]*Table1[[#This Row],[I_1]]+((Table1[[#This Row],[I_0]]-Table1[[#This Row],[I_1]])^2)/3))),0,SQRT((Fsw*(Table1[[#This Row],[t3_Ph_III]]+0))*((Table1[[#This Row],[I_0]]*Table1[[#This Row],[I_2]]+((Table1[[#This Row],[I_0]]-Table1[[#This Row],[I_2]])^2)/3))))</f>
        <v>9.7961573946949887</v>
      </c>
      <c r="AM169" s="354">
        <f>Rdson2*Table1[[#This Row],[Irms BuSync]]^2</f>
        <v>0.40305173874687678</v>
      </c>
      <c r="AN16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69" s="354">
        <f>(Table1[[#This Row],[Deadtime Loss BuSync]]+Table1[[#This Row],[RDS(on) Loss BuSync]]*(1+RdsonBotTc*Ta-RdsonBotTc*25))/(1-Table1[[#This Row],[RDS(on) Loss BuSync]]*RdsonBotTc*ThetaJA_Q2)</f>
        <v>1.0854183036070688</v>
      </c>
      <c r="AP169" s="354">
        <f>CHOOSE(Table1[[#This Row],[Mode Digit]],0,SQRT((Fsw*(Table1[[#This Row],[t1_Ph_II]]+0))*((Table1[[#This Row],[I_0]]*Table1[[#This Row],[I_1]]+((Table1[[#This Row],[I_0]]-Table1[[#This Row],[I_1]])^2)/3))),SQRT((Fsw*(Table1[[#This Row],[t2_Ph_I]]+0))*((Table1[[#This Row],[I_1]]*Table1[[#This Row],[I_2]]+((Table1[[#This Row],[I_1]]-Table1[[#This Row],[I_2]])^2)/3))))</f>
        <v>0</v>
      </c>
      <c r="AQ169" s="354">
        <f>Rdson4*Table1[[#This Row],[Irms BoCtlr]]^2</f>
        <v>0</v>
      </c>
      <c r="AR169" s="354">
        <f>CHOOSE(Table1[[#This Row],[Mode Digit]], 0, (Vout*Table1[[#This Row],[Iin]]/2)*(Fsw)*(Tr_boost+Tf_boost), (Vout*Iout/2)*(Fsw/1)*(Tr_boost+Tf_boost))</f>
        <v>0</v>
      </c>
      <c r="AS169">
        <f>IF(Table1[[#This Row],[Vin]]&gt;Vout, 0, IF(Table1[[#This Row],[Iin]]&gt;Table1[[#This Row],[Ripple Current pk-pk]]/2,0,ABS(Table1[[#This Row],[Iin]]-Table1[[#This Row],[Ripple Current pk-pk]]/2)*Vsd_Q4*Deadtime*Fsw))</f>
        <v>0</v>
      </c>
      <c r="AT169" s="354">
        <f>(Table1[[#This Row],[Dead Time Loss BoCtlr]]+Table1[[#This Row],[Transition Loss BoCtlr]]+Table1[[#This Row],[RDS(on) Loss BoCtlr]]*(1+RdsonTopTc*Ta-RdsonTopTc*25))/(1-Table1[[#This Row],[RDS(on) Loss BoCtlr]]*RdsonTopTc*ThetaJA_Q4)</f>
        <v>0</v>
      </c>
      <c r="AU16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12.128559617440279</v>
      </c>
      <c r="AV169" s="354">
        <f>Rdson3*Table1[[#This Row],[Irms BoSync]]^2</f>
        <v>0.61782822525397307</v>
      </c>
      <c r="AW16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69" s="354">
        <f>(Table1[[#This Row],[Deadtime Loss BoSync]]+Table1[[#This Row],[RDS(on) Loss BoSync]]*(1+RdsonBotTc*Ta-RdsonBotTc*25))/(1-Table1[[#This Row],[RDS(on) Loss BoSync]]*RdsonBotTc*ThetaJA_Q3)</f>
        <v>0.72538784573884518</v>
      </c>
      <c r="AY169" s="354">
        <f>CHOOSE(Table1[[#This Row],[Mode Digit]], Rdson3*Table1[[#This Row],[Irms Lf]]^2, Rdson1*Table1[[#This Row],[Irms Lf]]^2, 0)</f>
        <v>0.61782822525397307</v>
      </c>
      <c r="AZ169" s="354">
        <f>CHOOSE(Table1[[#This Row],[Mode Digit]], 2*Deadtime*Fsw*IF(VfdSky_Q2&gt;0,VfdSky_Q2,0)*Table1[[#This Row],[Iout]], 2*Deadtime*Fsw*IF(VfdSky_Q3&gt;0,VfdSky_Q3,0)*Table1[[#This Row],[Iin]], 2*Deadtime*Fsw*IF(VfdSky_Q2&gt;0,VfdSky_Q2,0)*Table1[[#This Row],[Iout]]+2*Deadtime*Fsw*IF(VfdSky_Q3&gt;0,VfdSky_Q3,0)*Table1[[#This Row],[Iin]])</f>
        <v>0</v>
      </c>
      <c r="BA169" s="354">
        <f>CHOOSE(Table1[[#This Row],[Mode Digit]], IF(QrrSky_Q2&gt;0,QrrSky_Q2,Qrr_Q2)*Fsw*(Table1[[#This Row],[Vin]]-Table1[[#This Row],[Iout]]*Rdson1),0,  IF(QrrSky_Q2&gt;0,QrrSky_Q2,Qrr_Q2)*Fsw*(Table1[[#This Row],[Vin]]-Table1[[#This Row],[Iout]]*Rdson1)+IF(QrrSky_Q3&gt;0,QrrSky_Q3,Qrr_Q3)*Fsw*Vout)</f>
        <v>0.50819520000000007</v>
      </c>
      <c r="BB169" s="354">
        <f>CHOOSE(Table1[[#This Row],[Mode Digit]],0, IF(QrrSky_Q3&gt;0,QrrSky_Q3,Qrr_Q3)*Fsw*Vout,  IF(QrrSky_Q2&gt;0,QrrSky_Q2,Qrr_Q2)*Fsw*(Table1[[#This Row],[Vin]]-Table1[[#This Row],[Iout]]*Rdson1)+IF(QrrSky_Q3&gt;0,QrrSky_Q3,Qrr_Q3)*Fsw*Vout)</f>
        <v>0</v>
      </c>
      <c r="BC169" s="354">
        <f>CHOOSE(Table1[[#This Row],[Mode Digit]], Rs*Table1[[#This Row],[Irms BuSync]]^2, Rs*Table1[[#This Row],[Irms BoCtlr]]^2, Rs*(Table1[[#This Row],[Irms BuSync]]^2+Table1[[#This Row],[Irms BoCtlr]]^2))</f>
        <v>0.23991174925409328</v>
      </c>
      <c r="BD169" s="354">
        <f t="shared" si="8"/>
        <v>1.44</v>
      </c>
      <c r="BE169" s="354">
        <f>IF(Vout&gt;8, Iq*Vout, Iq*Table1[[#This Row],[Vin]])</f>
        <v>4.3799999999999999E-2</v>
      </c>
      <c r="BF169" s="354">
        <f>CHOOSE(Table1[[#This Row],[Mode Digit]], (Qg_Q1+Qg_Q2)*Fsw, (Qg_Q3+Qg_Q4)*Fsw, (Qg_Q1+Qg_Q2+Qg_Q3+Qg_Q4)*Fsw)*IF(Vout&gt;8, Vout, Table1[[#This Row],[Vin]])</f>
        <v>0.47303999999999996</v>
      </c>
      <c r="BG169" s="354">
        <f t="shared" si="9"/>
        <v>0.45605042016806729</v>
      </c>
      <c r="BH169" s="354">
        <f>Table1[[#This Row],[IQ Loss]]+Table1[[#This Row],[Switching Current Loss]]</f>
        <v>0.51683999999999997</v>
      </c>
      <c r="BI16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13.133206730233235</v>
      </c>
      <c r="BJ169">
        <f>Vout*Table1[[#This Row],[Iout]]</f>
        <v>175.2</v>
      </c>
      <c r="BK169" s="550">
        <f>Table1[[#This Row],[Pout]]/(Table1[[#This Row],[Pout]]+Table1[[#This Row],[Total Loss]])</f>
        <v>0.93026611207738252</v>
      </c>
      <c r="BL16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332.76633124961057</v>
      </c>
      <c r="BM169" s="559">
        <f>IF(Table1[[#This Row],[Vin]]&gt;Vout, Table1[[#This Row],[Total Sync Bu MOSFET Loss]]*ThetaJA_Q2, ThetaJA_Q3*Table1[[#This Row],[Total Sync Bo MOSFET Loss]])</f>
        <v>65.125098216424135</v>
      </c>
      <c r="BN169" s="9"/>
      <c r="BO169" s="4">
        <f>Table1[[#This Row],[EFF, h]]*100</f>
        <v>93.026611207738256</v>
      </c>
      <c r="BP169" s="354">
        <f>Table1[[#This Row],[Total Inductor Loss]]</f>
        <v>2.9891176343877293</v>
      </c>
      <c r="BQ169" s="354">
        <f>Table1[[#This Row],[Total Control Bu MOSFET Loss]]+Table1[[#This Row],[Total Sync Bu MOSFET Loss]]+Table1[[#This Row],[Total Control Bo MOSFET Loss]]+Table1[[#This Row],[Total Sync Bo MOSFET Loss]]+Table1[[#This Row],[Reverse Recovery Loss MOSFET D BUCK]]+Table1[[#This Row],[Reverse Recovery Loss MOSFET D BOOST]]</f>
        <v>7.8651068701727569</v>
      </c>
      <c r="BR169" s="354">
        <f>Table1[[#This Row],[Total Control Bu MOSFET Loss]]+Table1[[#This Row],[Reverse Recovery Loss MOSFET D BUCK]]*0.66</f>
        <v>5.8815143528268425</v>
      </c>
      <c r="BS169" s="354">
        <f>Table1[[#This Row],[Total Sync Bu MOSFET Loss]]+Table1[[#This Row],[Reverse Recovery Loss MOSFET D BUCK]]*0.33</f>
        <v>1.2531227196070689</v>
      </c>
      <c r="BT169" s="354">
        <f xml:space="preserve"> Table1[[#This Row],[Total Control Bo MOSFET Loss]]+Table1[[#This Row],[Reverse Recovery Loss MOSFET D BOOST]]*0.66</f>
        <v>0</v>
      </c>
      <c r="BU169" s="354">
        <f xml:space="preserve"> Table1[[#This Row],[Total Sync Bo MOSFET Loss]]+Table1[[#This Row],[Reverse Recovery Loss MOSFET D BOOST]]*0.33</f>
        <v>0.72538784573884518</v>
      </c>
      <c r="BV169" s="354">
        <f>Table1[[#This Row],[Isense Shunt Loss]]</f>
        <v>0.23991174925409328</v>
      </c>
    </row>
    <row r="170" spans="7:74" x14ac:dyDescent="0.2">
      <c r="G170">
        <v>161</v>
      </c>
      <c r="H170" s="555">
        <f>VIN_min+(VIN_max-VIN_min)*(Table1[[#This Row],[Step]]/200)</f>
        <v>42.540000000000006</v>
      </c>
      <c r="I170" s="4" t="str">
        <f>IF(Mode = 2,IF(Table1[[#This Row],[Vin]]&gt;Vout, "BUCK","BOOST"),IF(Table1[[#This Row],[Vin]]&gt;VIN_BB_to_buck, "BUCK", IF(Table1[[#This Row],[Vin]]&lt;=VIN_boost_to_BB,"BOOST","BUCK-BST")))</f>
        <v>BUCK</v>
      </c>
      <c r="J170">
        <f>IF(Table1[[#This Row],[Mode]]="BOOST",2, IF(Table1[[#This Row],[Mode]]="BUCK", 1,3))</f>
        <v>1</v>
      </c>
      <c r="K170">
        <f t="shared" si="7"/>
        <v>12</v>
      </c>
      <c r="L170" s="4">
        <f>Vout*Table1[[#This Row],[Iout]]/(Table1[[#This Row],[Vin]]*Efficiency)</f>
        <v>4.3352386608269606</v>
      </c>
      <c r="M170" s="711">
        <f>MIN(1/Fsw,CHOOSE(Table1[[#This Row],[Mode Digit]],(Vout+(Rdson2+Rs+Rdcr)*Table1[[#This Row],[Iout]])/(Table1[[#This Row],[Vin]]+(Rs+Rdson2-Rdson1)*Table1[[#This Row],[Iout]])/Fsw,(Vout+(Rdson3+Rdcr)*Table1[[#This Row],[Iin]]-Table1[[#This Row],[Vin]])/(Vout+(Rdson3-Rdson4-Rs)*Table1[[#This Row],[Iin]])/Fsw,t1_Ph_II))</f>
        <v>5.7748022864301928E-7</v>
      </c>
      <c r="N170" s="602">
        <f>CHOOSE(Table1[[#This Row],[Mode Digit]],1/Fsw-Table1[[#This Row],[t1_Ph_II]],1/Fsw-Table1[[#This Row],[t1_Ph_II]],(Vout/Fsw-Table1[[#This Row],[Vin]]*t1_Ph_II)/(Table1[[#This Row],[Vin]]+Vout))</f>
        <v>1.0891864380236473E-6</v>
      </c>
      <c r="O170" s="602">
        <f>1/Fsw-(Table1[[#This Row],[t1_Ph_II]]+Table1[[#This Row],[t2_Ph_I]])</f>
        <v>0</v>
      </c>
      <c r="P17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8.9441671234306881</v>
      </c>
      <c r="Q170" s="4">
        <f>CHOOSE(Table1[[#This Row],[Mode Digit]],Table1[[#This Row],[I_0]]+1/Lf*(Table1[[#This Row],[Vin]]-Vout)*Table1[[#This Row],[t1_Ph_II]],Table1[[#This Row],[I_0]]+1/Lf*Table1[[#This Row],[Vin]]*Table1[[#This Row],[t1_Ph_II]],Table1[[#This Row],[I_0]]+(Table1[[#This Row],[Vin]]-Vout)/L*Table1[[#This Row],[t1_Ph_II]])</f>
        <v>15.05583287656931</v>
      </c>
      <c r="R170" s="4">
        <f>CHOOSE(Table1[[#This Row],[Mode Digit]],0,0,Table1[[#This Row],[I_1]]+Table1[[#This Row],[Vin]]/L*Table1[[#This Row],[t2_Ph_I]])</f>
        <v>0</v>
      </c>
      <c r="S170" s="4">
        <f>Fsw*(Table1[[#This Row],[I_0]]*Table1[[#This Row],[t1_Ph_II]]+Table1[[#This Row],[I_1]]*Table1[[#This Row],[t2_Ph_I]]+Table1[[#This Row],[I_2]]*Table1[[#This Row],[t3_Ph_III]])</f>
        <v>12.938213194661987</v>
      </c>
      <c r="T170" s="354">
        <f>MIN(1,CHOOSE(Table1[[#This Row],[Mode Digit]],(Vout+(Rdson2+Rs+Rdcr)*Table1[[#This Row],[Iout]])/(Table1[[#This Row],[Vin]]+(Rs+Rdson2-Rdson1)*Table1[[#This Row],[Iout]]),1,Fsw*Table1[[#This Row],[t2_Ph_I]]+Table1[[#This Row],[t1_Ph_II]]))</f>
        <v>0.34648813718581156</v>
      </c>
      <c r="U170" s="354">
        <f>MIN(1,CHOOSE(Table1[[#This Row],[Mode Digit]],0,(Vout+(Rdson3+Rdcr)*Table1[[#This Row],[Iin]]-Table1[[#This Row],[Vin]])/(Vout+(Rdson3-Rdson4-Rs)*Table1[[#This Row],[Iin]]),Fsw*Table1[[#This Row],[t1_Ph_II]]+Table1[[#This Row],[t3_Ph_III]]))</f>
        <v>0</v>
      </c>
      <c r="V170" s="4">
        <f>MAX(Table1[[#This Row],[I_0]:[I_2]])-MIN(Table1[[#This Row],[I_0]:[I_1]])</f>
        <v>6.111665753138622</v>
      </c>
      <c r="W17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12.12900263238933</v>
      </c>
      <c r="X170" s="354">
        <f>(Table1[[#This Row],[Irms Lf]]^2*Rdcr*(1+Ltc*Ta-Ltc*25))/(1-Table1[[#This Row],[Irms Lf]]^2*Rdcr*Ltc*ThetaCa)</f>
        <v>0.91576400966690774</v>
      </c>
      <c r="Y170" s="354">
        <f>ABS(7.759*10^-3*Fsw^0.9458*(0.00787*Table1[[#This Row],[Ripple Current pk-pk]])^2.304)</f>
        <v>2.0817026445895292</v>
      </c>
      <c r="Z170" s="354">
        <f>Table1[[#This Row],[DCR    Loss]]+Table1[[#This Row],[Core Loss]]</f>
        <v>2.9974666542564368</v>
      </c>
      <c r="AA170" s="4">
        <f>IF(Table1[[#This Row],[Vin]]&gt;Vout, Table1[[#This Row],[Ripple Current pk-pk]]/SQRT(12), SQRT(Table1[[#This Row],[Duty Cycle BOOST Leg]]/(1-Table1[[#This Row],[Duty Cycle BOOST Leg]]))*SQRT(Table1[[#This Row],[Iout]]^2+(Table1[[#This Row],[Ripple Current pk-pk]]^2)/12))</f>
        <v>1.7642859338858004</v>
      </c>
      <c r="AB170" s="354">
        <f>RCoutEsr*Table1[[#This Row],[Irms Cout]]^2</f>
        <v>1.5563524282536455E-2</v>
      </c>
      <c r="AC170" s="354">
        <f>Table1[[#This Row],[Cout ESR Loss]]</f>
        <v>1.5563524282536455E-2</v>
      </c>
      <c r="AD170" s="354">
        <f>IF(Table1[[#This Row],[Vin]]&gt;Vout, SQRT(Table1[[#This Row],[Duty Cycle BUCK Leg]]*(1-Table1[[#This Row],[Duty Cycle BUCK Leg]]))*SQRT(Table1[[#This Row],[Iout]]^2+(Table1[[#This Row],[Ripple Current pk-pk]]^2)/12), Table1[[#This Row],[Ripple Current pk-pk]]/SQRT(12))</f>
        <v>5.7715971876092871</v>
      </c>
      <c r="AE170" s="354">
        <f>RCinEsr*Table1[[#This Row],[Irms Cin]]^2</f>
        <v>6.6622668192038853E-2</v>
      </c>
      <c r="AF170" s="549">
        <f>Table1[[#This Row],[Cin ESR Loss]]</f>
        <v>6.6622668192038853E-2</v>
      </c>
      <c r="AG17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7.1395242882209811</v>
      </c>
      <c r="AH170" s="354">
        <f>Rdson1*Table1[[#This Row],[Irms BuCtrl]]^2</f>
        <v>0.21408578966080871</v>
      </c>
      <c r="AI170" s="354">
        <f>CHOOSE(Table1[[#This Row],[Mode Digit]], (Table1[[#This Row],[Vin]]*Table1[[#This Row],[Iout]]/2)*(Fsw)*(Tr_buck+Tf_buck), 0, (Table1[[#This Row],[Vin]]*Table1[[#This Row],[Avg IL]]/2)*(Fsw/1)*(Tr_buck+Tf_buck))</f>
        <v>5.0621069969690868</v>
      </c>
      <c r="AJ170">
        <f>IF(Table1[[#This Row],[Vin]]&gt;Vout, IF(Table1[[#This Row],[Iout]]&gt;Table1[[#This Row],[Ripple Current pk-pk]]/2,0,ABS(Table1[[#This Row],[Iout]]-Table1[[#This Row],[Ripple Current pk-pk]]/2)*Vsd_Q1*Deadtime*Fsw),0)</f>
        <v>0</v>
      </c>
      <c r="AK170" s="354">
        <f>(Table1[[#This Row],[Dead Time Loss BuCtrl]]+Table1[[#This Row],[Transition Loss BuCtrl]]+Table1[[#This Row],[RDS(on) Loss BuCtrl]]*(1+RdsonTopTc*Ta-RdsonTopTc*25))/(1-Table1[[#This Row],[RDS(on) Loss BuCtrl]]*RdsonTopTc*ThetaJA_Q1)</f>
        <v>5.5619700886705772</v>
      </c>
      <c r="AL170" s="354">
        <f>CHOOSE(Table1[[#This Row],[Mode Digit]],SQRT((Fsw*(Table1[[#This Row],[t2_Ph_I]]+0))*((Table1[[#This Row],[I_0]]*Table1[[#This Row],[I_1]]+((Table1[[#This Row],[I_0]]-Table1[[#This Row],[I_1]])^2)/3))),0,SQRT((Fsw*(Table1[[#This Row],[t3_Ph_III]]+0))*((Table1[[#This Row],[I_0]]*Table1[[#This Row],[I_2]]+((Table1[[#This Row],[I_0]]-Table1[[#This Row],[I_2]])^2)/3))))</f>
        <v>9.8050955015445904</v>
      </c>
      <c r="AM170" s="354">
        <f>Rdson2*Table1[[#This Row],[Irms BuSync]]^2</f>
        <v>0.40378757073652188</v>
      </c>
      <c r="AN17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70" s="354">
        <f>(Table1[[#This Row],[Deadtime Loss BuSync]]+Table1[[#This Row],[RDS(on) Loss BuSync]]*(1+RdsonBotTc*Ta-RdsonBotTc*25))/(1-Table1[[#This Row],[RDS(on) Loss BuSync]]*RdsonBotTc*ThetaJA_Q2)</f>
        <v>1.0864453501942528</v>
      </c>
      <c r="AP170" s="354">
        <f>CHOOSE(Table1[[#This Row],[Mode Digit]],0,SQRT((Fsw*(Table1[[#This Row],[t1_Ph_II]]+0))*((Table1[[#This Row],[I_0]]*Table1[[#This Row],[I_1]]+((Table1[[#This Row],[I_0]]-Table1[[#This Row],[I_1]])^2)/3))),SQRT((Fsw*(Table1[[#This Row],[t2_Ph_I]]+0))*((Table1[[#This Row],[I_1]]*Table1[[#This Row],[I_2]]+((Table1[[#This Row],[I_1]]-Table1[[#This Row],[I_2]])^2)/3))))</f>
        <v>0</v>
      </c>
      <c r="AQ170" s="354">
        <f>Rdson4*Table1[[#This Row],[Irms BoCtlr]]^2</f>
        <v>0</v>
      </c>
      <c r="AR170" s="354">
        <f>CHOOSE(Table1[[#This Row],[Mode Digit]], 0, (Vout*Table1[[#This Row],[Iin]]/2)*(Fsw)*(Tr_boost+Tf_boost), (Vout*Iout/2)*(Fsw/1)*(Tr_boost+Tf_boost))</f>
        <v>0</v>
      </c>
      <c r="AS170">
        <f>IF(Table1[[#This Row],[Vin]]&gt;Vout, 0, IF(Table1[[#This Row],[Iin]]&gt;Table1[[#This Row],[Ripple Current pk-pk]]/2,0,ABS(Table1[[#This Row],[Iin]]-Table1[[#This Row],[Ripple Current pk-pk]]/2)*Vsd_Q4*Deadtime*Fsw))</f>
        <v>0</v>
      </c>
      <c r="AT170" s="354">
        <f>(Table1[[#This Row],[Dead Time Loss BoCtlr]]+Table1[[#This Row],[Transition Loss BoCtlr]]+Table1[[#This Row],[RDS(on) Loss BoCtlr]]*(1+RdsonTopTc*Ta-RdsonTopTc*25))/(1-Table1[[#This Row],[RDS(on) Loss BoCtlr]]*RdsonTopTc*ThetaJA_Q4)</f>
        <v>0</v>
      </c>
      <c r="AU17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12.12900263238933</v>
      </c>
      <c r="AV170" s="354">
        <f>Rdson3*Table1[[#This Row],[Irms BoSync]]^2</f>
        <v>0.61787336039733076</v>
      </c>
      <c r="AW17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70" s="354">
        <f>(Table1[[#This Row],[Deadtime Loss BoSync]]+Table1[[#This Row],[RDS(on) Loss BoSync]]*(1+RdsonBotTc*Ta-RdsonBotTc*25))/(1-Table1[[#This Row],[RDS(on) Loss BoSync]]*RdsonBotTc*ThetaJA_Q3)</f>
        <v>0.72545006508009025</v>
      </c>
      <c r="AY170" s="354">
        <f>CHOOSE(Table1[[#This Row],[Mode Digit]], Rdson3*Table1[[#This Row],[Irms Lf]]^2, Rdson1*Table1[[#This Row],[Irms Lf]]^2, 0)</f>
        <v>0.61787336039733076</v>
      </c>
      <c r="AZ170" s="354">
        <f>CHOOSE(Table1[[#This Row],[Mode Digit]], 2*Deadtime*Fsw*IF(VfdSky_Q2&gt;0,VfdSky_Q2,0)*Table1[[#This Row],[Iout]], 2*Deadtime*Fsw*IF(VfdSky_Q3&gt;0,VfdSky_Q3,0)*Table1[[#This Row],[Iin]], 2*Deadtime*Fsw*IF(VfdSky_Q2&gt;0,VfdSky_Q2,0)*Table1[[#This Row],[Iout]]+2*Deadtime*Fsw*IF(VfdSky_Q3&gt;0,VfdSky_Q3,0)*Table1[[#This Row],[Iin]])</f>
        <v>0</v>
      </c>
      <c r="BA170" s="354">
        <f>CHOOSE(Table1[[#This Row],[Mode Digit]], IF(QrrSky_Q2&gt;0,QrrSky_Q2,Qrr_Q2)*Fsw*(Table1[[#This Row],[Vin]]-Table1[[#This Row],[Iout]]*Rdson1),0,  IF(QrrSky_Q2&gt;0,QrrSky_Q2,Qrr_Q2)*Fsw*(Table1[[#This Row],[Vin]]-Table1[[#This Row],[Iout]]*Rdson1)+IF(QrrSky_Q3&gt;0,QrrSky_Q3,Qrr_Q3)*Fsw*Vout)</f>
        <v>0.50987520000000008</v>
      </c>
      <c r="BB170" s="354">
        <f>CHOOSE(Table1[[#This Row],[Mode Digit]],0, IF(QrrSky_Q3&gt;0,QrrSky_Q3,Qrr_Q3)*Fsw*Vout,  IF(QrrSky_Q2&gt;0,QrrSky_Q2,Qrr_Q2)*Fsw*(Table1[[#This Row],[Vin]]-Table1[[#This Row],[Iout]]*Rdson1)+IF(QrrSky_Q3&gt;0,QrrSky_Q3,Qrr_Q3)*Fsw*Vout)</f>
        <v>0</v>
      </c>
      <c r="BC170" s="354">
        <f>CHOOSE(Table1[[#This Row],[Mode Digit]], Rs*Table1[[#This Row],[Irms BuSync]]^2, Rs*Table1[[#This Row],[Irms BoCtlr]]^2, Rs*(Table1[[#This Row],[Irms BuSync]]^2+Table1[[#This Row],[Irms BoCtlr]]^2))</f>
        <v>0.24034974448602492</v>
      </c>
      <c r="BD170" s="354">
        <f t="shared" si="8"/>
        <v>1.44</v>
      </c>
      <c r="BE170" s="354">
        <f>IF(Vout&gt;8, Iq*Vout, Iq*Table1[[#This Row],[Vin]])</f>
        <v>4.3799999999999999E-2</v>
      </c>
      <c r="BF170" s="354">
        <f>CHOOSE(Table1[[#This Row],[Mode Digit]], (Qg_Q1+Qg_Q2)*Fsw, (Qg_Q3+Qg_Q4)*Fsw, (Qg_Q1+Qg_Q2+Qg_Q3+Qg_Q4)*Fsw)*IF(Vout&gt;8, Vout, Table1[[#This Row],[Vin]])</f>
        <v>0.47303999999999996</v>
      </c>
      <c r="BG170" s="354">
        <f t="shared" si="9"/>
        <v>0.45605042016806729</v>
      </c>
      <c r="BH170" s="354">
        <f>Table1[[#This Row],[IQ Loss]]+Table1[[#This Row],[Switching Current Loss]]</f>
        <v>0.51683999999999997</v>
      </c>
      <c r="BI17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13.160583295161958</v>
      </c>
      <c r="BJ170">
        <f>Vout*Table1[[#This Row],[Iout]]</f>
        <v>175.2</v>
      </c>
      <c r="BK170" s="550">
        <f>Table1[[#This Row],[Pout]]/(Table1[[#This Row],[Pout]]+Table1[[#This Row],[Total Loss]])</f>
        <v>0.93013090602645221</v>
      </c>
      <c r="BL17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333.71820532023463</v>
      </c>
      <c r="BM170" s="559">
        <f>IF(Table1[[#This Row],[Vin]]&gt;Vout, Table1[[#This Row],[Total Sync Bu MOSFET Loss]]*ThetaJA_Q2, ThetaJA_Q3*Table1[[#This Row],[Total Sync Bo MOSFET Loss]])</f>
        <v>65.186721011655166</v>
      </c>
      <c r="BN170" s="9"/>
      <c r="BO170" s="4">
        <f>Table1[[#This Row],[EFF, h]]*100</f>
        <v>93.013090602645221</v>
      </c>
      <c r="BP170" s="354">
        <f>Table1[[#This Row],[Total Inductor Loss]]</f>
        <v>2.9974666542564368</v>
      </c>
      <c r="BQ170" s="354">
        <f>Table1[[#This Row],[Total Control Bu MOSFET Loss]]+Table1[[#This Row],[Total Sync Bu MOSFET Loss]]+Table1[[#This Row],[Total Control Bo MOSFET Loss]]+Table1[[#This Row],[Total Sync Bo MOSFET Loss]]+Table1[[#This Row],[Reverse Recovery Loss MOSFET D BUCK]]+Table1[[#This Row],[Reverse Recovery Loss MOSFET D BOOST]]</f>
        <v>7.8837407039449197</v>
      </c>
      <c r="BR170" s="354">
        <f>Table1[[#This Row],[Total Control Bu MOSFET Loss]]+Table1[[#This Row],[Reverse Recovery Loss MOSFET D BUCK]]*0.66</f>
        <v>5.8984877206705768</v>
      </c>
      <c r="BS170" s="354">
        <f>Table1[[#This Row],[Total Sync Bu MOSFET Loss]]+Table1[[#This Row],[Reverse Recovery Loss MOSFET D BUCK]]*0.33</f>
        <v>1.2547041661942528</v>
      </c>
      <c r="BT170" s="354">
        <f xml:space="preserve"> Table1[[#This Row],[Total Control Bo MOSFET Loss]]+Table1[[#This Row],[Reverse Recovery Loss MOSFET D BOOST]]*0.66</f>
        <v>0</v>
      </c>
      <c r="BU170" s="354">
        <f xml:space="preserve"> Table1[[#This Row],[Total Sync Bo MOSFET Loss]]+Table1[[#This Row],[Reverse Recovery Loss MOSFET D BOOST]]*0.33</f>
        <v>0.72545006508009025</v>
      </c>
      <c r="BV170" s="354">
        <f>Table1[[#This Row],[Isense Shunt Loss]]</f>
        <v>0.24034974448602492</v>
      </c>
    </row>
    <row r="171" spans="7:74" x14ac:dyDescent="0.2">
      <c r="G171">
        <v>162</v>
      </c>
      <c r="H171" s="555">
        <f>VIN_min+(VIN_max-VIN_min)*(Table1[[#This Row],[Step]]/200)</f>
        <v>42.68</v>
      </c>
      <c r="I171" s="4" t="str">
        <f>IF(Mode = 2,IF(Table1[[#This Row],[Vin]]&gt;Vout, "BUCK","BOOST"),IF(Table1[[#This Row],[Vin]]&gt;VIN_BB_to_buck, "BUCK", IF(Table1[[#This Row],[Vin]]&lt;=VIN_boost_to_BB,"BOOST","BUCK-BST")))</f>
        <v>BUCK</v>
      </c>
      <c r="J171">
        <f>IF(Table1[[#This Row],[Mode]]="BOOST",2, IF(Table1[[#This Row],[Mode]]="BUCK", 1,3))</f>
        <v>1</v>
      </c>
      <c r="K171">
        <f t="shared" si="7"/>
        <v>12</v>
      </c>
      <c r="L171" s="4">
        <f>Vout*Table1[[#This Row],[Iout]]/(Table1[[#This Row],[Vin]]*Efficiency)</f>
        <v>4.3210181028954766</v>
      </c>
      <c r="M171" s="711">
        <f>MIN(1/Fsw,CHOOSE(Table1[[#This Row],[Mode Digit]],(Vout+(Rdson2+Rs+Rdcr)*Table1[[#This Row],[Iout]])/(Table1[[#This Row],[Vin]]+(Rs+Rdson2-Rdson1)*Table1[[#This Row],[Iout]])/Fsw,(Vout+(Rdson3+Rdcr)*Table1[[#This Row],[Iin]]-Table1[[#This Row],[Vin]])/(Vout+(Rdson3-Rdson4-Rs)*Table1[[#This Row],[Iin]])/Fsw,t1_Ph_II))</f>
        <v>5.7558729415437441E-7</v>
      </c>
      <c r="N171" s="602">
        <f>CHOOSE(Table1[[#This Row],[Mode Digit]],1/Fsw-Table1[[#This Row],[t1_Ph_II]],1/Fsw-Table1[[#This Row],[t1_Ph_II]],(Vout/Fsw-Table1[[#This Row],[Vin]]*t1_Ph_II)/(Table1[[#This Row],[Vin]]+Vout))</f>
        <v>1.0910793725122922E-6</v>
      </c>
      <c r="O171" s="602">
        <f>1/Fsw-(Table1[[#This Row],[t1_Ph_II]]+Table1[[#This Row],[t2_Ph_I]])</f>
        <v>0</v>
      </c>
      <c r="P17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8.938922117451737</v>
      </c>
      <c r="Q171" s="4">
        <f>CHOOSE(Table1[[#This Row],[Mode Digit]],Table1[[#This Row],[I_0]]+1/Lf*(Table1[[#This Row],[Vin]]-Vout)*Table1[[#This Row],[t1_Ph_II]],Table1[[#This Row],[I_0]]+1/Lf*Table1[[#This Row],[Vin]]*Table1[[#This Row],[t1_Ph_II]],Table1[[#This Row],[I_0]]+(Table1[[#This Row],[Vin]]-Vout)/L*Table1[[#This Row],[t1_Ph_II]])</f>
        <v>15.061077882548265</v>
      </c>
      <c r="R171" s="4">
        <f>CHOOSE(Table1[[#This Row],[Mode Digit]],0,0,Table1[[#This Row],[I_1]]+Table1[[#This Row],[Vin]]/L*Table1[[#This Row],[t2_Ph_I]])</f>
        <v>0</v>
      </c>
      <c r="S171" s="4">
        <f>Fsw*(Table1[[#This Row],[I_0]]*Table1[[#This Row],[t1_Ph_II]]+Table1[[#This Row],[I_1]]*Table1[[#This Row],[t2_Ph_I]]+Table1[[#This Row],[I_2]]*Table1[[#This Row],[t3_Ph_III]])</f>
        <v>12.946776839814156</v>
      </c>
      <c r="T171" s="354">
        <f>MIN(1,CHOOSE(Table1[[#This Row],[Mode Digit]],(Vout+(Rdson2+Rs+Rdcr)*Table1[[#This Row],[Iout]])/(Table1[[#This Row],[Vin]]+(Rs+Rdson2-Rdson1)*Table1[[#This Row],[Iout]]),1,Fsw*Table1[[#This Row],[t2_Ph_I]]+Table1[[#This Row],[t1_Ph_II]]))</f>
        <v>0.34535237649262468</v>
      </c>
      <c r="U171" s="354">
        <f>MIN(1,CHOOSE(Table1[[#This Row],[Mode Digit]],0,(Vout+(Rdson3+Rdcr)*Table1[[#This Row],[Iin]]-Table1[[#This Row],[Vin]])/(Vout+(Rdson3-Rdson4-Rs)*Table1[[#This Row],[Iin]]),Fsw*Table1[[#This Row],[t1_Ph_II]]+Table1[[#This Row],[t3_Ph_III]]))</f>
        <v>0</v>
      </c>
      <c r="V171" s="4">
        <f>MAX(Table1[[#This Row],[I_0]:[I_2]])-MIN(Table1[[#This Row],[I_0]:[I_1]])</f>
        <v>6.1221557650965277</v>
      </c>
      <c r="W17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12.12944348548916</v>
      </c>
      <c r="X171" s="354">
        <f>(Table1[[#This Row],[Irms Lf]]^2*Rdcr*(1+Ltc*Ta-Ltc*25))/(1-Table1[[#This Row],[Irms Lf]]^2*Rdcr*Ltc*ThetaCa)</f>
        <v>0.9158354589669081</v>
      </c>
      <c r="Y171" s="354">
        <f>ABS(7.759*10^-3*Fsw^0.9458*(0.00787*Table1[[#This Row],[Ripple Current pk-pk]])^2.304)</f>
        <v>2.0899440899451922</v>
      </c>
      <c r="Z171" s="354">
        <f>Table1[[#This Row],[DCR    Loss]]+Table1[[#This Row],[Core Loss]]</f>
        <v>3.0057795489121002</v>
      </c>
      <c r="AA171" s="4">
        <f>IF(Table1[[#This Row],[Vin]]&gt;Vout, Table1[[#This Row],[Ripple Current pk-pk]]/SQRT(12), SQRT(Table1[[#This Row],[Duty Cycle BOOST Leg]]/(1-Table1[[#This Row],[Duty Cycle BOOST Leg]]))*SQRT(Table1[[#This Row],[Iout]]^2+(Table1[[#This Row],[Ripple Current pk-pk]]^2)/12))</f>
        <v>1.7673141394996499</v>
      </c>
      <c r="AB171" s="354">
        <f>RCoutEsr*Table1[[#This Row],[Irms Cout]]^2</f>
        <v>1.561699633837694E-2</v>
      </c>
      <c r="AC171" s="354">
        <f>Table1[[#This Row],[Cout ESR Loss]]</f>
        <v>1.561699633837694E-2</v>
      </c>
      <c r="AD171" s="354">
        <f>IF(Table1[[#This Row],[Vin]]&gt;Vout, SQRT(Table1[[#This Row],[Duty Cycle BUCK Leg]]*(1-Table1[[#This Row],[Duty Cycle BUCK Leg]]))*SQRT(Table1[[#This Row],[Iout]]^2+(Table1[[#This Row],[Ripple Current pk-pk]]^2)/12), Table1[[#This Row],[Ripple Current pk-pk]]/SQRT(12))</f>
        <v>5.7673445499483122</v>
      </c>
      <c r="AE171" s="354">
        <f>RCinEsr*Table1[[#This Row],[Irms Cin]]^2</f>
        <v>6.6524526315637003E-2</v>
      </c>
      <c r="AF171" s="549">
        <f>Table1[[#This Row],[Cin ESR Loss]]</f>
        <v>6.6524526315637003E-2</v>
      </c>
      <c r="AG17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7.1280723603766099</v>
      </c>
      <c r="AH171" s="354">
        <f>Rdson1*Table1[[#This Row],[Irms BuCtrl]]^2</f>
        <v>0.21339954541401293</v>
      </c>
      <c r="AI171" s="354">
        <f>CHOOSE(Table1[[#This Row],[Mode Digit]], (Table1[[#This Row],[Vin]]*Table1[[#This Row],[Iout]]/2)*(Fsw)*(Tr_buck+Tf_buck), 0, (Table1[[#This Row],[Vin]]*Table1[[#This Row],[Avg IL]]/2)*(Fsw/1)*(Tr_buck+Tf_buck))</f>
        <v>5.0787664934330179</v>
      </c>
      <c r="AJ171">
        <f>IF(Table1[[#This Row],[Vin]]&gt;Vout, IF(Table1[[#This Row],[Iout]]&gt;Table1[[#This Row],[Ripple Current pk-pk]]/2,0,ABS(Table1[[#This Row],[Iout]]-Table1[[#This Row],[Ripple Current pk-pk]]/2)*Vsd_Q1*Deadtime*Fsw),0)</f>
        <v>0</v>
      </c>
      <c r="AK171" s="354">
        <f>(Table1[[#This Row],[Dead Time Loss BuCtrl]]+Table1[[#This Row],[Transition Loss BuCtrl]]+Table1[[#This Row],[RDS(on) Loss BuCtrl]]*(1+RdsonTopTc*Ta-RdsonTopTc*25))/(1-Table1[[#This Row],[RDS(on) Loss BuCtrl]]*RdsonTopTc*ThetaJA_Q1)</f>
        <v>5.5778400882615262</v>
      </c>
      <c r="AL171" s="354">
        <f>CHOOSE(Table1[[#This Row],[Mode Digit]],SQRT((Fsw*(Table1[[#This Row],[t2_Ph_I]]+0))*((Table1[[#This Row],[I_0]]*Table1[[#This Row],[I_1]]+((Table1[[#This Row],[I_0]]-Table1[[#This Row],[I_1]])^2)/3))),0,SQRT((Fsw*(Table1[[#This Row],[t3_Ph_III]]+0))*((Table1[[#This Row],[I_0]]*Table1[[#This Row],[I_2]]+((Table1[[#This Row],[I_0]]-Table1[[#This Row],[I_2]])^2)/3))))</f>
        <v>9.8139688043579216</v>
      </c>
      <c r="AM171" s="354">
        <f>Rdson2*Table1[[#This Row],[Irms BuSync]]^2</f>
        <v>0.40451873151022399</v>
      </c>
      <c r="AN17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71" s="354">
        <f>(Table1[[#This Row],[Deadtime Loss BuSync]]+Table1[[#This Row],[RDS(on) Loss BuSync]]*(1+RdsonBotTc*Ta-RdsonBotTc*25))/(1-Table1[[#This Row],[RDS(on) Loss BuSync]]*RdsonBotTc*ThetaJA_Q2)</f>
        <v>1.0874662748130592</v>
      </c>
      <c r="AP171" s="354">
        <f>CHOOSE(Table1[[#This Row],[Mode Digit]],0,SQRT((Fsw*(Table1[[#This Row],[t1_Ph_II]]+0))*((Table1[[#This Row],[I_0]]*Table1[[#This Row],[I_1]]+((Table1[[#This Row],[I_0]]-Table1[[#This Row],[I_1]])^2)/3))),SQRT((Fsw*(Table1[[#This Row],[t2_Ph_I]]+0))*((Table1[[#This Row],[I_1]]*Table1[[#This Row],[I_2]]+((Table1[[#This Row],[I_1]]-Table1[[#This Row],[I_2]])^2)/3))))</f>
        <v>0</v>
      </c>
      <c r="AQ171" s="354">
        <f>Rdson4*Table1[[#This Row],[Irms BoCtlr]]^2</f>
        <v>0</v>
      </c>
      <c r="AR171" s="354">
        <f>CHOOSE(Table1[[#This Row],[Mode Digit]], 0, (Vout*Table1[[#This Row],[Iin]]/2)*(Fsw)*(Tr_boost+Tf_boost), (Vout*Iout/2)*(Fsw/1)*(Tr_boost+Tf_boost))</f>
        <v>0</v>
      </c>
      <c r="AS171">
        <f>IF(Table1[[#This Row],[Vin]]&gt;Vout, 0, IF(Table1[[#This Row],[Iin]]&gt;Table1[[#This Row],[Ripple Current pk-pk]]/2,0,ABS(Table1[[#This Row],[Iin]]-Table1[[#This Row],[Ripple Current pk-pk]]/2)*Vsd_Q4*Deadtime*Fsw))</f>
        <v>0</v>
      </c>
      <c r="AT171" s="354">
        <f>(Table1[[#This Row],[Dead Time Loss BoCtlr]]+Table1[[#This Row],[Transition Loss BoCtlr]]+Table1[[#This Row],[RDS(on) Loss BoCtlr]]*(1+RdsonTopTc*Ta-RdsonTopTc*25))/(1-Table1[[#This Row],[RDS(on) Loss BoCtlr]]*RdsonTopTc*ThetaJA_Q4)</f>
        <v>0</v>
      </c>
      <c r="AU17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12.12944348548916</v>
      </c>
      <c r="AV171" s="354">
        <f>Rdson3*Table1[[#This Row],[Irms BoSync]]^2</f>
        <v>0.61791827692423695</v>
      </c>
      <c r="AW17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71" s="354">
        <f>(Table1[[#This Row],[Deadtime Loss BoSync]]+Table1[[#This Row],[RDS(on) Loss BoSync]]*(1+RdsonBotTc*Ta-RdsonBotTc*25))/(1-Table1[[#This Row],[RDS(on) Loss BoSync]]*RdsonBotTc*ThetaJA_Q3)</f>
        <v>0.7255119846271183</v>
      </c>
      <c r="AY171" s="354">
        <f>CHOOSE(Table1[[#This Row],[Mode Digit]], Rdson3*Table1[[#This Row],[Irms Lf]]^2, Rdson1*Table1[[#This Row],[Irms Lf]]^2, 0)</f>
        <v>0.61791827692423695</v>
      </c>
      <c r="AZ171" s="354">
        <f>CHOOSE(Table1[[#This Row],[Mode Digit]], 2*Deadtime*Fsw*IF(VfdSky_Q2&gt;0,VfdSky_Q2,0)*Table1[[#This Row],[Iout]], 2*Deadtime*Fsw*IF(VfdSky_Q3&gt;0,VfdSky_Q3,0)*Table1[[#This Row],[Iin]], 2*Deadtime*Fsw*IF(VfdSky_Q2&gt;0,VfdSky_Q2,0)*Table1[[#This Row],[Iout]]+2*Deadtime*Fsw*IF(VfdSky_Q3&gt;0,VfdSky_Q3,0)*Table1[[#This Row],[Iin]])</f>
        <v>0</v>
      </c>
      <c r="BA171" s="354">
        <f>CHOOSE(Table1[[#This Row],[Mode Digit]], IF(QrrSky_Q2&gt;0,QrrSky_Q2,Qrr_Q2)*Fsw*(Table1[[#This Row],[Vin]]-Table1[[#This Row],[Iout]]*Rdson1),0,  IF(QrrSky_Q2&gt;0,QrrSky_Q2,Qrr_Q2)*Fsw*(Table1[[#This Row],[Vin]]-Table1[[#This Row],[Iout]]*Rdson1)+IF(QrrSky_Q3&gt;0,QrrSky_Q3,Qrr_Q3)*Fsw*Vout)</f>
        <v>0.51155519999999999</v>
      </c>
      <c r="BB171" s="354">
        <f>CHOOSE(Table1[[#This Row],[Mode Digit]],0, IF(QrrSky_Q3&gt;0,QrrSky_Q3,Qrr_Q3)*Fsw*Vout,  IF(QrrSky_Q2&gt;0,QrrSky_Q2,Qrr_Q2)*Fsw*(Table1[[#This Row],[Vin]]-Table1[[#This Row],[Iout]]*Rdson1)+IF(QrrSky_Q3&gt;0,QrrSky_Q3,Qrr_Q3)*Fsw*Vout)</f>
        <v>0</v>
      </c>
      <c r="BC171" s="354">
        <f>CHOOSE(Table1[[#This Row],[Mode Digit]], Rs*Table1[[#This Row],[Irms BuSync]]^2, Rs*Table1[[#This Row],[Irms BoCtlr]]^2, Rs*(Table1[[#This Row],[Irms BuSync]]^2+Table1[[#This Row],[Irms BoCtlr]]^2))</f>
        <v>0.24078495923227614</v>
      </c>
      <c r="BD171" s="354">
        <f t="shared" si="8"/>
        <v>1.44</v>
      </c>
      <c r="BE171" s="354">
        <f>IF(Vout&gt;8, Iq*Vout, Iq*Table1[[#This Row],[Vin]])</f>
        <v>4.3799999999999999E-2</v>
      </c>
      <c r="BF171" s="354">
        <f>CHOOSE(Table1[[#This Row],[Mode Digit]], (Qg_Q1+Qg_Q2)*Fsw, (Qg_Q3+Qg_Q4)*Fsw, (Qg_Q1+Qg_Q2+Qg_Q3+Qg_Q4)*Fsw)*IF(Vout&gt;8, Vout, Table1[[#This Row],[Vin]])</f>
        <v>0.47303999999999996</v>
      </c>
      <c r="BG171" s="354">
        <f t="shared" si="9"/>
        <v>0.45605042016806729</v>
      </c>
      <c r="BH171" s="354">
        <f>Table1[[#This Row],[IQ Loss]]+Table1[[#This Row],[Switching Current Loss]]</f>
        <v>0.51683999999999997</v>
      </c>
      <c r="BI17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13.187919578500093</v>
      </c>
      <c r="BJ171">
        <f>Vout*Table1[[#This Row],[Iout]]</f>
        <v>175.2</v>
      </c>
      <c r="BK171" s="550">
        <f>Table1[[#This Row],[Pout]]/(Table1[[#This Row],[Pout]]+Table1[[#This Row],[Total Loss]])</f>
        <v>0.92999593812593284</v>
      </c>
      <c r="BL17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334.67040529569158</v>
      </c>
      <c r="BM171" s="559">
        <f>IF(Table1[[#This Row],[Vin]]&gt;Vout, Table1[[#This Row],[Total Sync Bu MOSFET Loss]]*ThetaJA_Q2, ThetaJA_Q3*Table1[[#This Row],[Total Sync Bo MOSFET Loss]])</f>
        <v>65.24797648878355</v>
      </c>
      <c r="BN171" s="9"/>
      <c r="BO171" s="4">
        <f>Table1[[#This Row],[EFF, h]]*100</f>
        <v>92.999593812593289</v>
      </c>
      <c r="BP171" s="354">
        <f>Table1[[#This Row],[Total Inductor Loss]]</f>
        <v>3.0057795489121002</v>
      </c>
      <c r="BQ171" s="354">
        <f>Table1[[#This Row],[Total Control Bu MOSFET Loss]]+Table1[[#This Row],[Total Sync Bu MOSFET Loss]]+Table1[[#This Row],[Total Control Bo MOSFET Loss]]+Table1[[#This Row],[Total Sync Bo MOSFET Loss]]+Table1[[#This Row],[Reverse Recovery Loss MOSFET D BUCK]]+Table1[[#This Row],[Reverse Recovery Loss MOSFET D BOOST]]</f>
        <v>7.9023735477017043</v>
      </c>
      <c r="BR171" s="354">
        <f>Table1[[#This Row],[Total Control Bu MOSFET Loss]]+Table1[[#This Row],[Reverse Recovery Loss MOSFET D BUCK]]*0.66</f>
        <v>5.9154665202615266</v>
      </c>
      <c r="BS171" s="354">
        <f>Table1[[#This Row],[Total Sync Bu MOSFET Loss]]+Table1[[#This Row],[Reverse Recovery Loss MOSFET D BUCK]]*0.33</f>
        <v>1.2562794908130592</v>
      </c>
      <c r="BT171" s="354">
        <f xml:space="preserve"> Table1[[#This Row],[Total Control Bo MOSFET Loss]]+Table1[[#This Row],[Reverse Recovery Loss MOSFET D BOOST]]*0.66</f>
        <v>0</v>
      </c>
      <c r="BU171" s="354">
        <f xml:space="preserve"> Table1[[#This Row],[Total Sync Bo MOSFET Loss]]+Table1[[#This Row],[Reverse Recovery Loss MOSFET D BOOST]]*0.33</f>
        <v>0.7255119846271183</v>
      </c>
      <c r="BV171" s="354">
        <f>Table1[[#This Row],[Isense Shunt Loss]]</f>
        <v>0.24078495923227614</v>
      </c>
    </row>
    <row r="172" spans="7:74" x14ac:dyDescent="0.2">
      <c r="G172">
        <v>163</v>
      </c>
      <c r="H172" s="555">
        <f>VIN_min+(VIN_max-VIN_min)*(Table1[[#This Row],[Step]]/200)</f>
        <v>42.82</v>
      </c>
      <c r="I172" s="4" t="str">
        <f>IF(Mode = 2,IF(Table1[[#This Row],[Vin]]&gt;Vout, "BUCK","BOOST"),IF(Table1[[#This Row],[Vin]]&gt;VIN_BB_to_buck, "BUCK", IF(Table1[[#This Row],[Vin]]&lt;=VIN_boost_to_BB,"BOOST","BUCK-BST")))</f>
        <v>BUCK</v>
      </c>
      <c r="J172">
        <f>IF(Table1[[#This Row],[Mode]]="BOOST",2, IF(Table1[[#This Row],[Mode]]="BUCK", 1,3))</f>
        <v>1</v>
      </c>
      <c r="K172">
        <f t="shared" si="7"/>
        <v>12</v>
      </c>
      <c r="L172" s="4">
        <f>Vout*Table1[[#This Row],[Iout]]/(Table1[[#This Row],[Vin]]*Efficiency)</f>
        <v>4.3068905331989482</v>
      </c>
      <c r="M172" s="711">
        <f>MIN(1/Fsw,CHOOSE(Table1[[#This Row],[Mode Digit]],(Vout+(Rdson2+Rs+Rdcr)*Table1[[#This Row],[Iout]])/(Table1[[#This Row],[Vin]]+(Rs+Rdson2-Rdson1)*Table1[[#This Row],[Iout]])/Fsw,(Vout+(Rdson3+Rdcr)*Table1[[#This Row],[Iin]]-Table1[[#This Row],[Vin]])/(Vout+(Rdson3-Rdson4-Rs)*Table1[[#This Row],[Iin]])/Fsw,t1_Ph_II))</f>
        <v>5.7370672889926096E-7</v>
      </c>
      <c r="N172" s="602">
        <f>CHOOSE(Table1[[#This Row],[Mode Digit]],1/Fsw-Table1[[#This Row],[t1_Ph_II]],1/Fsw-Table1[[#This Row],[t1_Ph_II]],(Vout/Fsw-Table1[[#This Row],[Vin]]*t1_Ph_II)/(Table1[[#This Row],[Vin]]+Vout))</f>
        <v>1.0929599377674057E-6</v>
      </c>
      <c r="O172" s="602">
        <f>1/Fsw-(Table1[[#This Row],[t1_Ph_II]]+Table1[[#This Row],[t2_Ph_I]])</f>
        <v>0</v>
      </c>
      <c r="P17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8.933711384557359</v>
      </c>
      <c r="Q172" s="4">
        <f>CHOOSE(Table1[[#This Row],[Mode Digit]],Table1[[#This Row],[I_0]]+1/Lf*(Table1[[#This Row],[Vin]]-Vout)*Table1[[#This Row],[t1_Ph_II]],Table1[[#This Row],[I_0]]+1/Lf*Table1[[#This Row],[Vin]]*Table1[[#This Row],[t1_Ph_II]],Table1[[#This Row],[I_0]]+(Table1[[#This Row],[Vin]]-Vout)/L*Table1[[#This Row],[t1_Ph_II]])</f>
        <v>15.066288615442641</v>
      </c>
      <c r="R172" s="4">
        <f>CHOOSE(Table1[[#This Row],[Mode Digit]],0,0,Table1[[#This Row],[I_1]]+Table1[[#This Row],[Vin]]/L*Table1[[#This Row],[t2_Ph_I]])</f>
        <v>0</v>
      </c>
      <c r="S172" s="4">
        <f>Fsw*(Table1[[#This Row],[I_0]]*Table1[[#This Row],[t1_Ph_II]]+Table1[[#This Row],[I_1]]*Table1[[#This Row],[t2_Ph_I]]+Table1[[#This Row],[I_2]]*Table1[[#This Row],[t3_Ph_III]])</f>
        <v>12.95530812173067</v>
      </c>
      <c r="T172" s="354">
        <f>MIN(1,CHOOSE(Table1[[#This Row],[Mode Digit]],(Vout+(Rdson2+Rs+Rdcr)*Table1[[#This Row],[Iout]])/(Table1[[#This Row],[Vin]]+(Rs+Rdson2-Rdson1)*Table1[[#This Row],[Iout]]),1,Fsw*Table1[[#This Row],[t2_Ph_I]]+Table1[[#This Row],[t1_Ph_II]]))</f>
        <v>0.34422403733955659</v>
      </c>
      <c r="U172" s="354">
        <f>MIN(1,CHOOSE(Table1[[#This Row],[Mode Digit]],0,(Vout+(Rdson3+Rdcr)*Table1[[#This Row],[Iin]]-Table1[[#This Row],[Vin]])/(Vout+(Rdson3-Rdson4-Rs)*Table1[[#This Row],[Iin]]),Fsw*Table1[[#This Row],[t1_Ph_II]]+Table1[[#This Row],[t3_Ph_III]]))</f>
        <v>0</v>
      </c>
      <c r="V172" s="4">
        <f>MAX(Table1[[#This Row],[I_0]:[I_2]])-MIN(Table1[[#This Row],[I_0]:[I_1]])</f>
        <v>6.1325772308852819</v>
      </c>
      <c r="W17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12.129882190595714</v>
      </c>
      <c r="X172" s="354">
        <f>(Table1[[#This Row],[Irms Lf]]^2*Rdcr*(1+Ltc*Ta-Ltc*25))/(1-Table1[[#This Row],[Irms Lf]]^2*Rdcr*Ltc*ThetaCa)</f>
        <v>0.91590656347398802</v>
      </c>
      <c r="Y172" s="354">
        <f>ABS(7.759*10^-3*Fsw^0.9458*(0.00787*Table1[[#This Row],[Ripple Current pk-pk]])^2.304)</f>
        <v>2.0981499366762812</v>
      </c>
      <c r="Z172" s="354">
        <f>Table1[[#This Row],[DCR    Loss]]+Table1[[#This Row],[Core Loss]]</f>
        <v>3.0140565001502693</v>
      </c>
      <c r="AA172" s="4">
        <f>IF(Table1[[#This Row],[Vin]]&gt;Vout, Table1[[#This Row],[Ripple Current pk-pk]]/SQRT(12), SQRT(Table1[[#This Row],[Duty Cycle BOOST Leg]]/(1-Table1[[#This Row],[Duty Cycle BOOST Leg]]))*SQRT(Table1[[#This Row],[Iout]]^2+(Table1[[#This Row],[Ripple Current pk-pk]]^2)/12))</f>
        <v>1.7703225575388937</v>
      </c>
      <c r="AB172" s="354">
        <f>RCoutEsr*Table1[[#This Row],[Irms Cout]]^2</f>
        <v>1.5670209788655246E-2</v>
      </c>
      <c r="AC172" s="354">
        <f>Table1[[#This Row],[Cout ESR Loss]]</f>
        <v>1.5670209788655246E-2</v>
      </c>
      <c r="AD172" s="354">
        <f>IF(Table1[[#This Row],[Vin]]&gt;Vout, SQRT(Table1[[#This Row],[Duty Cycle BUCK Leg]]*(1-Table1[[#This Row],[Duty Cycle BUCK Leg]]))*SQRT(Table1[[#This Row],[Iout]]^2+(Table1[[#This Row],[Ripple Current pk-pk]]^2)/12), Table1[[#This Row],[Ripple Current pk-pk]]/SQRT(12))</f>
        <v>5.7630836951511988</v>
      </c>
      <c r="AE172" s="354">
        <f>RCinEsr*Table1[[#This Row],[Irms Cin]]^2</f>
        <v>6.6426267354635193E-2</v>
      </c>
      <c r="AF172" s="549">
        <f>Table1[[#This Row],[Cin ESR Loss]]</f>
        <v>6.6426267354635193E-2</v>
      </c>
      <c r="AG17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7.1166757656069946</v>
      </c>
      <c r="AH172" s="354">
        <f>Rdson1*Table1[[#This Row],[Irms BuCtrl]]^2</f>
        <v>0.21271771060166722</v>
      </c>
      <c r="AI172" s="354">
        <f>CHOOSE(Table1[[#This Row],[Mode Digit]], (Table1[[#This Row],[Vin]]*Table1[[#This Row],[Iout]]/2)*(Fsw)*(Tr_buck+Tf_buck), 0, (Table1[[#This Row],[Vin]]*Table1[[#This Row],[Avg IL]]/2)*(Fsw/1)*(Tr_buck+Tf_buck))</f>
        <v>5.0954259898969498</v>
      </c>
      <c r="AJ172">
        <f>IF(Table1[[#This Row],[Vin]]&gt;Vout, IF(Table1[[#This Row],[Iout]]&gt;Table1[[#This Row],[Ripple Current pk-pk]]/2,0,ABS(Table1[[#This Row],[Iout]]-Table1[[#This Row],[Ripple Current pk-pk]]/2)*Vsd_Q1*Deadtime*Fsw),0)</f>
        <v>0</v>
      </c>
      <c r="AK172" s="354">
        <f>(Table1[[#This Row],[Dead Time Loss BuCtrl]]+Table1[[#This Row],[Transition Loss BuCtrl]]+Table1[[#This Row],[RDS(on) Loss BuCtrl]]*(1+RdsonTopTc*Ta-RdsonTopTc*25))/(1-Table1[[#This Row],[RDS(on) Loss BuCtrl]]*RdsonTopTc*ThetaJA_Q1)</f>
        <v>5.5937154638322673</v>
      </c>
      <c r="AL172" s="354">
        <f>CHOOSE(Table1[[#This Row],[Mode Digit]],SQRT((Fsw*(Table1[[#This Row],[t2_Ph_I]]+0))*((Table1[[#This Row],[I_0]]*Table1[[#This Row],[I_1]]+((Table1[[#This Row],[I_0]]-Table1[[#This Row],[I_1]])^2)/3))),0,SQRT((Fsw*(Table1[[#This Row],[t3_Ph_III]]+0))*((Table1[[#This Row],[I_0]]*Table1[[#This Row],[I_2]]+((Table1[[#This Row],[I_0]]-Table1[[#This Row],[I_2]])^2)/3))))</f>
        <v>9.8227780187151321</v>
      </c>
      <c r="AM172" s="354">
        <f>Rdson2*Table1[[#This Row],[Irms BuSync]]^2</f>
        <v>0.40524526562080337</v>
      </c>
      <c r="AN17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72" s="354">
        <f>(Table1[[#This Row],[Deadtime Loss BuSync]]+Table1[[#This Row],[RDS(on) Loss BuSync]]*(1+RdsonBotTc*Ta-RdsonBotTc*25))/(1-Table1[[#This Row],[RDS(on) Loss BuSync]]*RdsonBotTc*ThetaJA_Q2)</f>
        <v>1.0884811323353889</v>
      </c>
      <c r="AP172" s="354">
        <f>CHOOSE(Table1[[#This Row],[Mode Digit]],0,SQRT((Fsw*(Table1[[#This Row],[t1_Ph_II]]+0))*((Table1[[#This Row],[I_0]]*Table1[[#This Row],[I_1]]+((Table1[[#This Row],[I_0]]-Table1[[#This Row],[I_1]])^2)/3))),SQRT((Fsw*(Table1[[#This Row],[t2_Ph_I]]+0))*((Table1[[#This Row],[I_1]]*Table1[[#This Row],[I_2]]+((Table1[[#This Row],[I_1]]-Table1[[#This Row],[I_2]])^2)/3))))</f>
        <v>0</v>
      </c>
      <c r="AQ172" s="354">
        <f>Rdson4*Table1[[#This Row],[Irms BoCtlr]]^2</f>
        <v>0</v>
      </c>
      <c r="AR172" s="354">
        <f>CHOOSE(Table1[[#This Row],[Mode Digit]], 0, (Vout*Table1[[#This Row],[Iin]]/2)*(Fsw)*(Tr_boost+Tf_boost), (Vout*Iout/2)*(Fsw/1)*(Tr_boost+Tf_boost))</f>
        <v>0</v>
      </c>
      <c r="AS172">
        <f>IF(Table1[[#This Row],[Vin]]&gt;Vout, 0, IF(Table1[[#This Row],[Iin]]&gt;Table1[[#This Row],[Ripple Current pk-pk]]/2,0,ABS(Table1[[#This Row],[Iin]]-Table1[[#This Row],[Ripple Current pk-pk]]/2)*Vsd_Q4*Deadtime*Fsw))</f>
        <v>0</v>
      </c>
      <c r="AT172" s="354">
        <f>(Table1[[#This Row],[Dead Time Loss BoCtlr]]+Table1[[#This Row],[Transition Loss BoCtlr]]+Table1[[#This Row],[RDS(on) Loss BoCtlr]]*(1+RdsonTopTc*Ta-RdsonTopTc*25))/(1-Table1[[#This Row],[RDS(on) Loss BoCtlr]]*RdsonTopTc*ThetaJA_Q4)</f>
        <v>0</v>
      </c>
      <c r="AU17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12.129882190595714</v>
      </c>
      <c r="AV172" s="354">
        <f>Rdson3*Table1[[#This Row],[Irms BoSync]]^2</f>
        <v>0.61796297622247054</v>
      </c>
      <c r="AW17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72" s="354">
        <f>(Table1[[#This Row],[Deadtime Loss BoSync]]+Table1[[#This Row],[RDS(on) Loss BoSync]]*(1+RdsonBotTc*Ta-RdsonBotTc*25))/(1-Table1[[#This Row],[RDS(on) Loss BoSync]]*RdsonBotTc*ThetaJA_Q3)</f>
        <v>0.72557360627029333</v>
      </c>
      <c r="AY172" s="354">
        <f>CHOOSE(Table1[[#This Row],[Mode Digit]], Rdson3*Table1[[#This Row],[Irms Lf]]^2, Rdson1*Table1[[#This Row],[Irms Lf]]^2, 0)</f>
        <v>0.61796297622247054</v>
      </c>
      <c r="AZ172" s="354">
        <f>CHOOSE(Table1[[#This Row],[Mode Digit]], 2*Deadtime*Fsw*IF(VfdSky_Q2&gt;0,VfdSky_Q2,0)*Table1[[#This Row],[Iout]], 2*Deadtime*Fsw*IF(VfdSky_Q3&gt;0,VfdSky_Q3,0)*Table1[[#This Row],[Iin]], 2*Deadtime*Fsw*IF(VfdSky_Q2&gt;0,VfdSky_Q2,0)*Table1[[#This Row],[Iout]]+2*Deadtime*Fsw*IF(VfdSky_Q3&gt;0,VfdSky_Q3,0)*Table1[[#This Row],[Iin]])</f>
        <v>0</v>
      </c>
      <c r="BA172" s="354">
        <f>CHOOSE(Table1[[#This Row],[Mode Digit]], IF(QrrSky_Q2&gt;0,QrrSky_Q2,Qrr_Q2)*Fsw*(Table1[[#This Row],[Vin]]-Table1[[#This Row],[Iout]]*Rdson1),0,  IF(QrrSky_Q2&gt;0,QrrSky_Q2,Qrr_Q2)*Fsw*(Table1[[#This Row],[Vin]]-Table1[[#This Row],[Iout]]*Rdson1)+IF(QrrSky_Q3&gt;0,QrrSky_Q3,Qrr_Q3)*Fsw*Vout)</f>
        <v>0.5132352</v>
      </c>
      <c r="BB172" s="354">
        <f>CHOOSE(Table1[[#This Row],[Mode Digit]],0, IF(QrrSky_Q3&gt;0,QrrSky_Q3,Qrr_Q3)*Fsw*Vout,  IF(QrrSky_Q2&gt;0,QrrSky_Q2,Qrr_Q2)*Fsw*(Table1[[#This Row],[Vin]]-Table1[[#This Row],[Iout]]*Rdson1)+IF(QrrSky_Q3&gt;0,QrrSky_Q3,Qrr_Q3)*Fsw*Vout)</f>
        <v>0</v>
      </c>
      <c r="BC172" s="354">
        <f>CHOOSE(Table1[[#This Row],[Mode Digit]], Rs*Table1[[#This Row],[Irms BuSync]]^2, Rs*Table1[[#This Row],[Irms BoCtlr]]^2, Rs*(Table1[[#This Row],[Irms BuSync]]^2+Table1[[#This Row],[Irms BoCtlr]]^2))</f>
        <v>0.24121742001238292</v>
      </c>
      <c r="BD172" s="354">
        <f t="shared" si="8"/>
        <v>1.44</v>
      </c>
      <c r="BE172" s="354">
        <f>IF(Vout&gt;8, Iq*Vout, Iq*Table1[[#This Row],[Vin]])</f>
        <v>4.3799999999999999E-2</v>
      </c>
      <c r="BF172" s="354">
        <f>CHOOSE(Table1[[#This Row],[Mode Digit]], (Qg_Q1+Qg_Q2)*Fsw, (Qg_Q3+Qg_Q4)*Fsw, (Qg_Q1+Qg_Q2+Qg_Q3+Qg_Q4)*Fsw)*IF(Vout&gt;8, Vout, Table1[[#This Row],[Vin]])</f>
        <v>0.47303999999999996</v>
      </c>
      <c r="BG172" s="354">
        <f t="shared" si="9"/>
        <v>0.45605042016806729</v>
      </c>
      <c r="BH172" s="354">
        <f>Table1[[#This Row],[IQ Loss]]+Table1[[#This Row],[Switching Current Loss]]</f>
        <v>0.51683999999999997</v>
      </c>
      <c r="BI17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13.215215799743893</v>
      </c>
      <c r="BJ172">
        <f>Vout*Table1[[#This Row],[Iout]]</f>
        <v>175.2</v>
      </c>
      <c r="BK172" s="550">
        <f>Table1[[#This Row],[Pout]]/(Table1[[#This Row],[Pout]]+Table1[[#This Row],[Total Loss]])</f>
        <v>0.92986120710235198</v>
      </c>
      <c r="BL17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335.62292782993603</v>
      </c>
      <c r="BM172" s="559">
        <f>IF(Table1[[#This Row],[Vin]]&gt;Vout, Table1[[#This Row],[Total Sync Bu MOSFET Loss]]*ThetaJA_Q2, ThetaJA_Q3*Table1[[#This Row],[Total Sync Bo MOSFET Loss]])</f>
        <v>65.308867940123335</v>
      </c>
      <c r="BN172" s="9"/>
      <c r="BO172" s="4">
        <f>Table1[[#This Row],[EFF, h]]*100</f>
        <v>92.986120710235198</v>
      </c>
      <c r="BP172" s="354">
        <f>Table1[[#This Row],[Total Inductor Loss]]</f>
        <v>3.0140565001502693</v>
      </c>
      <c r="BQ172" s="354">
        <f>Table1[[#This Row],[Total Control Bu MOSFET Loss]]+Table1[[#This Row],[Total Sync Bu MOSFET Loss]]+Table1[[#This Row],[Total Control Bo MOSFET Loss]]+Table1[[#This Row],[Total Sync Bo MOSFET Loss]]+Table1[[#This Row],[Reverse Recovery Loss MOSFET D BUCK]]+Table1[[#This Row],[Reverse Recovery Loss MOSFET D BOOST]]</f>
        <v>7.9210054024379488</v>
      </c>
      <c r="BR172" s="354">
        <f>Table1[[#This Row],[Total Control Bu MOSFET Loss]]+Table1[[#This Row],[Reverse Recovery Loss MOSFET D BUCK]]*0.66</f>
        <v>5.9324506958322676</v>
      </c>
      <c r="BS172" s="354">
        <f>Table1[[#This Row],[Total Sync Bu MOSFET Loss]]+Table1[[#This Row],[Reverse Recovery Loss MOSFET D BUCK]]*0.33</f>
        <v>1.2578487483353888</v>
      </c>
      <c r="BT172" s="354">
        <f xml:space="preserve"> Table1[[#This Row],[Total Control Bo MOSFET Loss]]+Table1[[#This Row],[Reverse Recovery Loss MOSFET D BOOST]]*0.66</f>
        <v>0</v>
      </c>
      <c r="BU172" s="354">
        <f xml:space="preserve"> Table1[[#This Row],[Total Sync Bo MOSFET Loss]]+Table1[[#This Row],[Reverse Recovery Loss MOSFET D BOOST]]*0.33</f>
        <v>0.72557360627029333</v>
      </c>
      <c r="BV172" s="354">
        <f>Table1[[#This Row],[Isense Shunt Loss]]</f>
        <v>0.24121742001238292</v>
      </c>
    </row>
    <row r="173" spans="7:74" x14ac:dyDescent="0.2">
      <c r="G173">
        <v>164</v>
      </c>
      <c r="H173" s="555">
        <f>VIN_min+(VIN_max-VIN_min)*(Table1[[#This Row],[Step]]/200)</f>
        <v>42.959999999999994</v>
      </c>
      <c r="I173" s="4" t="str">
        <f>IF(Mode = 2,IF(Table1[[#This Row],[Vin]]&gt;Vout, "BUCK","BOOST"),IF(Table1[[#This Row],[Vin]]&gt;VIN_BB_to_buck, "BUCK", IF(Table1[[#This Row],[Vin]]&lt;=VIN_boost_to_BB,"BOOST","BUCK-BST")))</f>
        <v>BUCK</v>
      </c>
      <c r="J173">
        <f>IF(Table1[[#This Row],[Mode]]="BOOST",2, IF(Table1[[#This Row],[Mode]]="BUCK", 1,3))</f>
        <v>1</v>
      </c>
      <c r="K173">
        <f t="shared" si="7"/>
        <v>12</v>
      </c>
      <c r="L173" s="4">
        <f>Vout*Table1[[#This Row],[Iout]]/(Table1[[#This Row],[Vin]]*Efficiency)</f>
        <v>4.2928550426345202</v>
      </c>
      <c r="M173" s="711">
        <f>MIN(1/Fsw,CHOOSE(Table1[[#This Row],[Mode Digit]],(Vout+(Rdson2+Rs+Rdcr)*Table1[[#This Row],[Iout]])/(Table1[[#This Row],[Vin]]+(Rs+Rdson2-Rdson1)*Table1[[#This Row],[Iout]])/Fsw,(Vout+(Rdson3+Rdcr)*Table1[[#This Row],[Iin]]-Table1[[#This Row],[Vin]])/(Vout+(Rdson3-Rdson4-Rs)*Table1[[#This Row],[Iin]])/Fsw,t1_Ph_II))</f>
        <v>5.7183841203380644E-7</v>
      </c>
      <c r="N173" s="602">
        <f>CHOOSE(Table1[[#This Row],[Mode Digit]],1/Fsw-Table1[[#This Row],[t1_Ph_II]],1/Fsw-Table1[[#This Row],[t1_Ph_II]],(Vout/Fsw-Table1[[#This Row],[Vin]]*t1_Ph_II)/(Table1[[#This Row],[Vin]]+Vout))</f>
        <v>1.0948282546328601E-6</v>
      </c>
      <c r="O173" s="602">
        <f>1/Fsw-(Table1[[#This Row],[t1_Ph_II]]+Table1[[#This Row],[t2_Ph_I]])</f>
        <v>0</v>
      </c>
      <c r="P17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8.9285345899093276</v>
      </c>
      <c r="Q173" s="4">
        <f>CHOOSE(Table1[[#This Row],[Mode Digit]],Table1[[#This Row],[I_0]]+1/Lf*(Table1[[#This Row],[Vin]]-Vout)*Table1[[#This Row],[t1_Ph_II]],Table1[[#This Row],[I_0]]+1/Lf*Table1[[#This Row],[Vin]]*Table1[[#This Row],[t1_Ph_II]],Table1[[#This Row],[I_0]]+(Table1[[#This Row],[Vin]]-Vout)/L*Table1[[#This Row],[t1_Ph_II]])</f>
        <v>15.071465410090671</v>
      </c>
      <c r="R173" s="4">
        <f>CHOOSE(Table1[[#This Row],[Mode Digit]],0,0,Table1[[#This Row],[I_1]]+Table1[[#This Row],[Vin]]/L*Table1[[#This Row],[t2_Ph_I]])</f>
        <v>0</v>
      </c>
      <c r="S173" s="4">
        <f>Fsw*(Table1[[#This Row],[I_0]]*Table1[[#This Row],[t1_Ph_II]]+Table1[[#This Row],[I_1]]*Table1[[#This Row],[t2_Ph_I]]+Table1[[#This Row],[I_2]]*Table1[[#This Row],[t3_Ph_III]])</f>
        <v>12.963807126823054</v>
      </c>
      <c r="T173" s="354">
        <f>MIN(1,CHOOSE(Table1[[#This Row],[Mode Digit]],(Vout+(Rdson2+Rs+Rdcr)*Table1[[#This Row],[Iout]])/(Table1[[#This Row],[Vin]]+(Rs+Rdson2-Rdson1)*Table1[[#This Row],[Iout]]),1,Fsw*Table1[[#This Row],[t2_Ph_I]]+Table1[[#This Row],[t1_Ph_II]]))</f>
        <v>0.34310304722028384</v>
      </c>
      <c r="U173" s="354">
        <f>MIN(1,CHOOSE(Table1[[#This Row],[Mode Digit]],0,(Vout+(Rdson3+Rdcr)*Table1[[#This Row],[Iin]]-Table1[[#This Row],[Vin]])/(Vout+(Rdson3-Rdson4-Rs)*Table1[[#This Row],[Iin]]),Fsw*Table1[[#This Row],[t1_Ph_II]]+Table1[[#This Row],[t3_Ph_III]]))</f>
        <v>0</v>
      </c>
      <c r="V173" s="4">
        <f>MAX(Table1[[#This Row],[I_0]:[I_2]])-MIN(Table1[[#This Row],[I_0]:[I_1]])</f>
        <v>6.1429308201813431</v>
      </c>
      <c r="W17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12.130318761480583</v>
      </c>
      <c r="X173" s="354">
        <f>(Table1[[#This Row],[Irms Lf]]^2*Rdcr*(1+Ltc*Ta-Ltc*25))/(1-Table1[[#This Row],[Irms Lf]]^2*Rdcr*Ltc*ThetaCa)</f>
        <v>0.91597732537162613</v>
      </c>
      <c r="Y173" s="354">
        <f>ABS(7.759*10^-3*Fsw^0.9458*(0.00787*Table1[[#This Row],[Ripple Current pk-pk]])^2.304)</f>
        <v>2.1063203641294961</v>
      </c>
      <c r="Z173" s="354">
        <f>Table1[[#This Row],[DCR    Loss]]+Table1[[#This Row],[Core Loss]]</f>
        <v>3.022297689501122</v>
      </c>
      <c r="AA173" s="4">
        <f>IF(Table1[[#This Row],[Vin]]&gt;Vout, Table1[[#This Row],[Ripple Current pk-pk]]/SQRT(12), SQRT(Table1[[#This Row],[Duty Cycle BOOST Leg]]/(1-Table1[[#This Row],[Duty Cycle BOOST Leg]]))*SQRT(Table1[[#This Row],[Iout]]^2+(Table1[[#This Row],[Ripple Current pk-pk]]^2)/12))</f>
        <v>1.7733113813224737</v>
      </c>
      <c r="AB173" s="354">
        <f>RCoutEsr*Table1[[#This Row],[Irms Cout]]^2</f>
        <v>1.5723166275639099E-2</v>
      </c>
      <c r="AC173" s="354">
        <f>Table1[[#This Row],[Cout ESR Loss]]</f>
        <v>1.5723166275639099E-2</v>
      </c>
      <c r="AD173" s="354">
        <f>IF(Table1[[#This Row],[Vin]]&gt;Vout, SQRT(Table1[[#This Row],[Duty Cycle BUCK Leg]]*(1-Table1[[#This Row],[Duty Cycle BUCK Leg]]))*SQRT(Table1[[#This Row],[Iout]]^2+(Table1[[#This Row],[Ripple Current pk-pk]]^2)/12), Table1[[#This Row],[Ripple Current pk-pk]]/SQRT(12))</f>
        <v>5.7588149666102604</v>
      </c>
      <c r="AE173" s="354">
        <f>RCinEsr*Table1[[#This Row],[Irms Cin]]^2</f>
        <v>6.6327899639308671E-2</v>
      </c>
      <c r="AF173" s="549">
        <f>Table1[[#This Row],[Cin ESR Loss]]</f>
        <v>6.6327899639308671E-2</v>
      </c>
      <c r="AG17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7.1053340563231417</v>
      </c>
      <c r="AH173" s="354">
        <f>Rdson1*Table1[[#This Row],[Irms BuCtrl]]^2</f>
        <v>0.21204024261817103</v>
      </c>
      <c r="AI173" s="354">
        <f>CHOOSE(Table1[[#This Row],[Mode Digit]], (Table1[[#This Row],[Vin]]*Table1[[#This Row],[Iout]]/2)*(Fsw)*(Tr_buck+Tf_buck), 0, (Table1[[#This Row],[Vin]]*Table1[[#This Row],[Avg IL]]/2)*(Fsw/1)*(Tr_buck+Tf_buck))</f>
        <v>5.1120854863608818</v>
      </c>
      <c r="AJ173">
        <f>IF(Table1[[#This Row],[Vin]]&gt;Vout, IF(Table1[[#This Row],[Iout]]&gt;Table1[[#This Row],[Ripple Current pk-pk]]/2,0,ABS(Table1[[#This Row],[Iout]]-Table1[[#This Row],[Ripple Current pk-pk]]/2)*Vsd_Q1*Deadtime*Fsw),0)</f>
        <v>0</v>
      </c>
      <c r="AK173" s="354">
        <f>(Table1[[#This Row],[Dead Time Loss BuCtrl]]+Table1[[#This Row],[Transition Loss BuCtrl]]+Table1[[#This Row],[RDS(on) Loss BuCtrl]]*(1+RdsonTopTc*Ta-RdsonTopTc*25))/(1-Table1[[#This Row],[RDS(on) Loss BuCtrl]]*RdsonTopTc*ThetaJA_Q1)</f>
        <v>5.6095961603799127</v>
      </c>
      <c r="AL173" s="354">
        <f>CHOOSE(Table1[[#This Row],[Mode Digit]],SQRT((Fsw*(Table1[[#This Row],[t2_Ph_I]]+0))*((Table1[[#This Row],[I_0]]*Table1[[#This Row],[I_1]]+((Table1[[#This Row],[I_0]]-Table1[[#This Row],[I_1]])^2)/3))),0,SQRT((Fsw*(Table1[[#This Row],[t3_Ph_III]]+0))*((Table1[[#This Row],[I_0]]*Table1[[#This Row],[I_2]]+((Table1[[#This Row],[I_0]]-Table1[[#This Row],[I_2]])^2)/3))))</f>
        <v>9.831523849494662</v>
      </c>
      <c r="AM173" s="354">
        <f>Rdson2*Table1[[#This Row],[Irms BuSync]]^2</f>
        <v>0.40596721705336591</v>
      </c>
      <c r="AN17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73" s="354">
        <f>(Table1[[#This Row],[Deadtime Loss BuSync]]+Table1[[#This Row],[RDS(on) Loss BuSync]]*(1+RdsonBotTc*Ta-RdsonBotTc*25))/(1-Table1[[#This Row],[RDS(on) Loss BuSync]]*RdsonBotTc*ThetaJA_Q2)</f>
        <v>1.0894899769752358</v>
      </c>
      <c r="AP173" s="354">
        <f>CHOOSE(Table1[[#This Row],[Mode Digit]],0,SQRT((Fsw*(Table1[[#This Row],[t1_Ph_II]]+0))*((Table1[[#This Row],[I_0]]*Table1[[#This Row],[I_1]]+((Table1[[#This Row],[I_0]]-Table1[[#This Row],[I_1]])^2)/3))),SQRT((Fsw*(Table1[[#This Row],[t2_Ph_I]]+0))*((Table1[[#This Row],[I_1]]*Table1[[#This Row],[I_2]]+((Table1[[#This Row],[I_1]]-Table1[[#This Row],[I_2]])^2)/3))))</f>
        <v>0</v>
      </c>
      <c r="AQ173" s="354">
        <f>Rdson4*Table1[[#This Row],[Irms BoCtlr]]^2</f>
        <v>0</v>
      </c>
      <c r="AR173" s="354">
        <f>CHOOSE(Table1[[#This Row],[Mode Digit]], 0, (Vout*Table1[[#This Row],[Iin]]/2)*(Fsw)*(Tr_boost+Tf_boost), (Vout*Iout/2)*(Fsw/1)*(Tr_boost+Tf_boost))</f>
        <v>0</v>
      </c>
      <c r="AS173">
        <f>IF(Table1[[#This Row],[Vin]]&gt;Vout, 0, IF(Table1[[#This Row],[Iin]]&gt;Table1[[#This Row],[Ripple Current pk-pk]]/2,0,ABS(Table1[[#This Row],[Iin]]-Table1[[#This Row],[Ripple Current pk-pk]]/2)*Vsd_Q4*Deadtime*Fsw))</f>
        <v>0</v>
      </c>
      <c r="AT173" s="354">
        <f>(Table1[[#This Row],[Dead Time Loss BoCtlr]]+Table1[[#This Row],[Transition Loss BoCtlr]]+Table1[[#This Row],[RDS(on) Loss BoCtlr]]*(1+RdsonTopTc*Ta-RdsonTopTc*25))/(1-Table1[[#This Row],[RDS(on) Loss BoCtlr]]*RdsonTopTc*ThetaJA_Q4)</f>
        <v>0</v>
      </c>
      <c r="AU17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12.130318761480583</v>
      </c>
      <c r="AV173" s="354">
        <f>Rdson3*Table1[[#This Row],[Irms BoSync]]^2</f>
        <v>0.61800745967153692</v>
      </c>
      <c r="AW17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73" s="354">
        <f>(Table1[[#This Row],[Deadtime Loss BoSync]]+Table1[[#This Row],[RDS(on) Loss BoSync]]*(1+RdsonBotTc*Ta-RdsonBotTc*25))/(1-Table1[[#This Row],[RDS(on) Loss BoSync]]*RdsonBotTc*ThetaJA_Q3)</f>
        <v>0.72563493188887418</v>
      </c>
      <c r="AY173" s="354">
        <f>CHOOSE(Table1[[#This Row],[Mode Digit]], Rdson3*Table1[[#This Row],[Irms Lf]]^2, Rdson1*Table1[[#This Row],[Irms Lf]]^2, 0)</f>
        <v>0.61800745967153692</v>
      </c>
      <c r="AZ173" s="354">
        <f>CHOOSE(Table1[[#This Row],[Mode Digit]], 2*Deadtime*Fsw*IF(VfdSky_Q2&gt;0,VfdSky_Q2,0)*Table1[[#This Row],[Iout]], 2*Deadtime*Fsw*IF(VfdSky_Q3&gt;0,VfdSky_Q3,0)*Table1[[#This Row],[Iin]], 2*Deadtime*Fsw*IF(VfdSky_Q2&gt;0,VfdSky_Q2,0)*Table1[[#This Row],[Iout]]+2*Deadtime*Fsw*IF(VfdSky_Q3&gt;0,VfdSky_Q3,0)*Table1[[#This Row],[Iin]])</f>
        <v>0</v>
      </c>
      <c r="BA173" s="354">
        <f>CHOOSE(Table1[[#This Row],[Mode Digit]], IF(QrrSky_Q2&gt;0,QrrSky_Q2,Qrr_Q2)*Fsw*(Table1[[#This Row],[Vin]]-Table1[[#This Row],[Iout]]*Rdson1),0,  IF(QrrSky_Q2&gt;0,QrrSky_Q2,Qrr_Q2)*Fsw*(Table1[[#This Row],[Vin]]-Table1[[#This Row],[Iout]]*Rdson1)+IF(QrrSky_Q3&gt;0,QrrSky_Q3,Qrr_Q3)*Fsw*Vout)</f>
        <v>0.51491519999999991</v>
      </c>
      <c r="BB173" s="354">
        <f>CHOOSE(Table1[[#This Row],[Mode Digit]],0, IF(QrrSky_Q3&gt;0,QrrSky_Q3,Qrr_Q3)*Fsw*Vout,  IF(QrrSky_Q2&gt;0,QrrSky_Q2,Qrr_Q2)*Fsw*(Table1[[#This Row],[Vin]]-Table1[[#This Row],[Iout]]*Rdson1)+IF(QrrSky_Q3&gt;0,QrrSky_Q3,Qrr_Q3)*Fsw*Vout)</f>
        <v>0</v>
      </c>
      <c r="BC173" s="354">
        <f>CHOOSE(Table1[[#This Row],[Mode Digit]], Rs*Table1[[#This Row],[Irms BuSync]]^2, Rs*Table1[[#This Row],[Irms BoCtlr]]^2, Rs*(Table1[[#This Row],[Irms BuSync]]^2+Table1[[#This Row],[Irms BoCtlr]]^2))</f>
        <v>0.24164715300795586</v>
      </c>
      <c r="BD173" s="354">
        <f t="shared" si="8"/>
        <v>1.44</v>
      </c>
      <c r="BE173" s="354">
        <f>IF(Vout&gt;8, Iq*Vout, Iq*Table1[[#This Row],[Vin]])</f>
        <v>4.3799999999999999E-2</v>
      </c>
      <c r="BF173" s="354">
        <f>CHOOSE(Table1[[#This Row],[Mode Digit]], (Qg_Q1+Qg_Q2)*Fsw, (Qg_Q3+Qg_Q4)*Fsw, (Qg_Q1+Qg_Q2+Qg_Q3+Qg_Q4)*Fsw)*IF(Vout&gt;8, Vout, Table1[[#This Row],[Vin]])</f>
        <v>0.47303999999999996</v>
      </c>
      <c r="BG173" s="354">
        <f t="shared" si="9"/>
        <v>0.45605042016806729</v>
      </c>
      <c r="BH173" s="354">
        <f>Table1[[#This Row],[IQ Loss]]+Table1[[#This Row],[Switching Current Loss]]</f>
        <v>0.51683999999999997</v>
      </c>
      <c r="BI17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13.242472177668047</v>
      </c>
      <c r="BJ173">
        <f>Vout*Table1[[#This Row],[Iout]]</f>
        <v>175.2</v>
      </c>
      <c r="BK173" s="550">
        <f>Table1[[#This Row],[Pout]]/(Table1[[#This Row],[Pout]]+Table1[[#This Row],[Total Loss]])</f>
        <v>0.92972671168746535</v>
      </c>
      <c r="BL17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336.57576962279478</v>
      </c>
      <c r="BM173" s="559">
        <f>IF(Table1[[#This Row],[Vin]]&gt;Vout, Table1[[#This Row],[Total Sync Bu MOSFET Loss]]*ThetaJA_Q2, ThetaJA_Q3*Table1[[#This Row],[Total Sync Bo MOSFET Loss]])</f>
        <v>65.36939861851414</v>
      </c>
      <c r="BN173" s="9"/>
      <c r="BO173" s="4">
        <f>Table1[[#This Row],[EFF, h]]*100</f>
        <v>92.97267116874653</v>
      </c>
      <c r="BP173" s="354">
        <f>Table1[[#This Row],[Total Inductor Loss]]</f>
        <v>3.022297689501122</v>
      </c>
      <c r="BQ173" s="354">
        <f>Table1[[#This Row],[Total Control Bu MOSFET Loss]]+Table1[[#This Row],[Total Sync Bu MOSFET Loss]]+Table1[[#This Row],[Total Control Bo MOSFET Loss]]+Table1[[#This Row],[Total Sync Bo MOSFET Loss]]+Table1[[#This Row],[Reverse Recovery Loss MOSFET D BUCK]]+Table1[[#This Row],[Reverse Recovery Loss MOSFET D BOOST]]</f>
        <v>7.9396362692440228</v>
      </c>
      <c r="BR173" s="354">
        <f>Table1[[#This Row],[Total Control Bu MOSFET Loss]]+Table1[[#This Row],[Reverse Recovery Loss MOSFET D BUCK]]*0.66</f>
        <v>5.949440192379913</v>
      </c>
      <c r="BS173" s="354">
        <f>Table1[[#This Row],[Total Sync Bu MOSFET Loss]]+Table1[[#This Row],[Reverse Recovery Loss MOSFET D BUCK]]*0.33</f>
        <v>1.2594119929752357</v>
      </c>
      <c r="BT173" s="354">
        <f xml:space="preserve"> Table1[[#This Row],[Total Control Bo MOSFET Loss]]+Table1[[#This Row],[Reverse Recovery Loss MOSFET D BOOST]]*0.66</f>
        <v>0</v>
      </c>
      <c r="BU173" s="354">
        <f xml:space="preserve"> Table1[[#This Row],[Total Sync Bo MOSFET Loss]]+Table1[[#This Row],[Reverse Recovery Loss MOSFET D BOOST]]*0.33</f>
        <v>0.72563493188887418</v>
      </c>
      <c r="BV173" s="354">
        <f>Table1[[#This Row],[Isense Shunt Loss]]</f>
        <v>0.24164715300795586</v>
      </c>
    </row>
    <row r="174" spans="7:74" x14ac:dyDescent="0.2">
      <c r="G174">
        <v>165</v>
      </c>
      <c r="H174" s="555">
        <f>VIN_min+(VIN_max-VIN_min)*(Table1[[#This Row],[Step]]/200)</f>
        <v>43.099999999999994</v>
      </c>
      <c r="I174" s="4" t="str">
        <f>IF(Mode = 2,IF(Table1[[#This Row],[Vin]]&gt;Vout, "BUCK","BOOST"),IF(Table1[[#This Row],[Vin]]&gt;VIN_BB_to_buck, "BUCK", IF(Table1[[#This Row],[Vin]]&lt;=VIN_boost_to_BB,"BOOST","BUCK-BST")))</f>
        <v>BUCK</v>
      </c>
      <c r="J174">
        <f>IF(Table1[[#This Row],[Mode]]="BOOST",2, IF(Table1[[#This Row],[Mode]]="BUCK", 1,3))</f>
        <v>1</v>
      </c>
      <c r="K174">
        <f t="shared" si="7"/>
        <v>12</v>
      </c>
      <c r="L174" s="4">
        <f>Vout*Table1[[#This Row],[Iout]]/(Table1[[#This Row],[Vin]]*Efficiency)</f>
        <v>4.2789107339113448</v>
      </c>
      <c r="M174" s="711">
        <f>MIN(1/Fsw,CHOOSE(Table1[[#This Row],[Mode Digit]],(Vout+(Rdson2+Rs+Rdcr)*Table1[[#This Row],[Iout]])/(Table1[[#This Row],[Vin]]+(Rs+Rdson2-Rdson1)*Table1[[#This Row],[Iout]])/Fsw,(Vout+(Rdson3+Rdcr)*Table1[[#This Row],[Iin]]-Table1[[#This Row],[Vin]])/(Vout+(Rdson3-Rdson4-Rs)*Table1[[#This Row],[Iin]])/Fsw,t1_Ph_II))</f>
        <v>5.6998222428317502E-7</v>
      </c>
      <c r="N174" s="602">
        <f>CHOOSE(Table1[[#This Row],[Mode Digit]],1/Fsw-Table1[[#This Row],[t1_Ph_II]],1/Fsw-Table1[[#This Row],[t1_Ph_II]],(Vout/Fsw-Table1[[#This Row],[Vin]]*t1_Ph_II)/(Table1[[#This Row],[Vin]]+Vout))</f>
        <v>1.0966844423834917E-6</v>
      </c>
      <c r="O174" s="602">
        <f>1/Fsw-(Table1[[#This Row],[t1_Ph_II]]+Table1[[#This Row],[t2_Ph_I]])</f>
        <v>0</v>
      </c>
      <c r="P17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8.9233914030169537</v>
      </c>
      <c r="Q174" s="4">
        <f>CHOOSE(Table1[[#This Row],[Mode Digit]],Table1[[#This Row],[I_0]]+1/Lf*(Table1[[#This Row],[Vin]]-Vout)*Table1[[#This Row],[t1_Ph_II]],Table1[[#This Row],[I_0]]+1/Lf*Table1[[#This Row],[Vin]]*Table1[[#This Row],[t1_Ph_II]],Table1[[#This Row],[I_0]]+(Table1[[#This Row],[Vin]]-Vout)/L*Table1[[#This Row],[t1_Ph_II]])</f>
        <v>15.076608596983046</v>
      </c>
      <c r="R174" s="4">
        <f>CHOOSE(Table1[[#This Row],[Mode Digit]],0,0,Table1[[#This Row],[I_1]]+Table1[[#This Row],[Vin]]/L*Table1[[#This Row],[t2_Ph_I]])</f>
        <v>0</v>
      </c>
      <c r="S174" s="4">
        <f>Fsw*(Table1[[#This Row],[I_0]]*Table1[[#This Row],[t1_Ph_II]]+Table1[[#This Row],[I_1]]*Table1[[#This Row],[t2_Ph_I]]+Table1[[#This Row],[I_2]]*Table1[[#This Row],[t3_Ph_III]])</f>
        <v>12.972273943354486</v>
      </c>
      <c r="T174" s="354">
        <f>MIN(1,CHOOSE(Table1[[#This Row],[Mode Digit]],(Vout+(Rdson2+Rs+Rdcr)*Table1[[#This Row],[Iout]])/(Table1[[#This Row],[Vin]]+(Rs+Rdson2-Rdson1)*Table1[[#This Row],[Iout]]),1,Fsw*Table1[[#This Row],[t2_Ph_I]]+Table1[[#This Row],[t1_Ph_II]]))</f>
        <v>0.34198933456990499</v>
      </c>
      <c r="U174" s="354">
        <f>MIN(1,CHOOSE(Table1[[#This Row],[Mode Digit]],0,(Vout+(Rdson3+Rdcr)*Table1[[#This Row],[Iin]]-Table1[[#This Row],[Vin]])/(Vout+(Rdson3-Rdson4-Rs)*Table1[[#This Row],[Iin]]),Fsw*Table1[[#This Row],[t1_Ph_II]]+Table1[[#This Row],[t3_Ph_III]]))</f>
        <v>0</v>
      </c>
      <c r="V174" s="4">
        <f>MAX(Table1[[#This Row],[I_0]:[I_2]])-MIN(Table1[[#This Row],[I_0]:[I_1]])</f>
        <v>6.1532171939660927</v>
      </c>
      <c r="W17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12.130753211830802</v>
      </c>
      <c r="X174" s="354">
        <f>(Table1[[#This Row],[Irms Lf]]^2*Rdcr*(1+Ltc*Ta-Ltc*25))/(1-Table1[[#This Row],[Irms Lf]]^2*Rdcr*Ltc*ThetaCa)</f>
        <v>0.91604774683024359</v>
      </c>
      <c r="Y174" s="354">
        <f>ABS(7.759*10^-3*Fsw^0.9458*(0.00787*Table1[[#This Row],[Ripple Current pk-pk]])^2.304)</f>
        <v>2.1144555513718681</v>
      </c>
      <c r="Z174" s="354">
        <f>Table1[[#This Row],[DCR    Loss]]+Table1[[#This Row],[Core Loss]]</f>
        <v>3.0305032982021118</v>
      </c>
      <c r="AA174" s="4">
        <f>IF(Table1[[#This Row],[Vin]]&gt;Vout, Table1[[#This Row],[Ripple Current pk-pk]]/SQRT(12), SQRT(Table1[[#This Row],[Duty Cycle BOOST Leg]]/(1-Table1[[#This Row],[Duty Cycle BOOST Leg]]))*SQRT(Table1[[#This Row],[Iout]]^2+(Table1[[#This Row],[Ripple Current pk-pk]]^2)/12))</f>
        <v>1.7762808016592788</v>
      </c>
      <c r="AB174" s="354">
        <f>RCoutEsr*Table1[[#This Row],[Irms Cout]]^2</f>
        <v>1.5775867431716651E-2</v>
      </c>
      <c r="AC174" s="354">
        <f>Table1[[#This Row],[Cout ESR Loss]]</f>
        <v>1.5775867431716651E-2</v>
      </c>
      <c r="AD174" s="354">
        <f>IF(Table1[[#This Row],[Vin]]&gt;Vout, SQRT(Table1[[#This Row],[Duty Cycle BUCK Leg]]*(1-Table1[[#This Row],[Duty Cycle BUCK Leg]]))*SQRT(Table1[[#This Row],[Iout]]^2+(Table1[[#This Row],[Ripple Current pk-pk]]^2)/12), Table1[[#This Row],[Ripple Current pk-pk]]/SQRT(12))</f>
        <v>5.7545387000521089</v>
      </c>
      <c r="AE174" s="354">
        <f>RCinEsr*Table1[[#This Row],[Irms Cin]]^2</f>
        <v>6.6229431300794825E-2</v>
      </c>
      <c r="AF174" s="549">
        <f>Table1[[#This Row],[Cin ESR Loss]]</f>
        <v>6.6229431300794825E-2</v>
      </c>
      <c r="AG17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7.0940467900284867</v>
      </c>
      <c r="AH174" s="354">
        <f>Rdson1*Table1[[#This Row],[Irms BuCtrl]]^2</f>
        <v>0.21136709940827664</v>
      </c>
      <c r="AI174" s="354">
        <f>CHOOSE(Table1[[#This Row],[Mode Digit]], (Table1[[#This Row],[Vin]]*Table1[[#This Row],[Iout]]/2)*(Fsw)*(Tr_buck+Tf_buck), 0, (Table1[[#This Row],[Vin]]*Table1[[#This Row],[Avg IL]]/2)*(Fsw/1)*(Tr_buck+Tf_buck))</f>
        <v>5.1287449828248128</v>
      </c>
      <c r="AJ174">
        <f>IF(Table1[[#This Row],[Vin]]&gt;Vout, IF(Table1[[#This Row],[Iout]]&gt;Table1[[#This Row],[Ripple Current pk-pk]]/2,0,ABS(Table1[[#This Row],[Iout]]-Table1[[#This Row],[Ripple Current pk-pk]]/2)*Vsd_Q1*Deadtime*Fsw),0)</f>
        <v>0</v>
      </c>
      <c r="AK174" s="354">
        <f>(Table1[[#This Row],[Dead Time Loss BuCtrl]]+Table1[[#This Row],[Transition Loss BuCtrl]]+Table1[[#This Row],[RDS(on) Loss BuCtrl]]*(1+RdsonTopTc*Ta-RdsonTopTc*25))/(1-Table1[[#This Row],[RDS(on) Loss BuCtrl]]*RdsonTopTc*ThetaJA_Q1)</f>
        <v>5.625482123653005</v>
      </c>
      <c r="AL174" s="354">
        <f>CHOOSE(Table1[[#This Row],[Mode Digit]],SQRT((Fsw*(Table1[[#This Row],[t2_Ph_I]]+0))*((Table1[[#This Row],[I_0]]*Table1[[#This Row],[I_1]]+((Table1[[#This Row],[I_0]]-Table1[[#This Row],[I_1]])^2)/3))),0,SQRT((Fsw*(Table1[[#This Row],[t3_Ph_III]]+0))*((Table1[[#This Row],[I_0]]*Table1[[#This Row],[I_2]]+((Table1[[#This Row],[I_0]]-Table1[[#This Row],[I_2]])^2)/3))))</f>
        <v>9.8402069910764514</v>
      </c>
      <c r="AM174" s="354">
        <f>Rdson2*Table1[[#This Row],[Irms BuSync]]^2</f>
        <v>0.40668462923436549</v>
      </c>
      <c r="AN17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74" s="354">
        <f>(Table1[[#This Row],[Deadtime Loss BuSync]]+Table1[[#This Row],[RDS(on) Loss BuSync]]*(1+RdsonBotTc*Ta-RdsonBotTc*25))/(1-Table1[[#This Row],[RDS(on) Loss BuSync]]*RdsonBotTc*ThetaJA_Q2)</f>
        <v>1.090492862298583</v>
      </c>
      <c r="AP174" s="354">
        <f>CHOOSE(Table1[[#This Row],[Mode Digit]],0,SQRT((Fsw*(Table1[[#This Row],[t1_Ph_II]]+0))*((Table1[[#This Row],[I_0]]*Table1[[#This Row],[I_1]]+((Table1[[#This Row],[I_0]]-Table1[[#This Row],[I_1]])^2)/3))),SQRT((Fsw*(Table1[[#This Row],[t2_Ph_I]]+0))*((Table1[[#This Row],[I_1]]*Table1[[#This Row],[I_2]]+((Table1[[#This Row],[I_1]]-Table1[[#This Row],[I_2]])^2)/3))))</f>
        <v>0</v>
      </c>
      <c r="AQ174" s="354">
        <f>Rdson4*Table1[[#This Row],[Irms BoCtlr]]^2</f>
        <v>0</v>
      </c>
      <c r="AR174" s="354">
        <f>CHOOSE(Table1[[#This Row],[Mode Digit]], 0, (Vout*Table1[[#This Row],[Iin]]/2)*(Fsw)*(Tr_boost+Tf_boost), (Vout*Iout/2)*(Fsw/1)*(Tr_boost+Tf_boost))</f>
        <v>0</v>
      </c>
      <c r="AS174">
        <f>IF(Table1[[#This Row],[Vin]]&gt;Vout, 0, IF(Table1[[#This Row],[Iin]]&gt;Table1[[#This Row],[Ripple Current pk-pk]]/2,0,ABS(Table1[[#This Row],[Iin]]-Table1[[#This Row],[Ripple Current pk-pk]]/2)*Vsd_Q4*Deadtime*Fsw))</f>
        <v>0</v>
      </c>
      <c r="AT174" s="354">
        <f>(Table1[[#This Row],[Dead Time Loss BoCtlr]]+Table1[[#This Row],[Transition Loss BoCtlr]]+Table1[[#This Row],[RDS(on) Loss BoCtlr]]*(1+RdsonTopTc*Ta-RdsonTopTc*25))/(1-Table1[[#This Row],[RDS(on) Loss BoCtlr]]*RdsonTopTc*ThetaJA_Q4)</f>
        <v>0</v>
      </c>
      <c r="AU17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12.130753211830802</v>
      </c>
      <c r="AV174" s="354">
        <f>Rdson3*Table1[[#This Row],[Irms BoSync]]^2</f>
        <v>0.61805172864264213</v>
      </c>
      <c r="AW17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74" s="354">
        <f>(Table1[[#This Row],[Deadtime Loss BoSync]]+Table1[[#This Row],[RDS(on) Loss BoSync]]*(1+RdsonBotTc*Ta-RdsonBotTc*25))/(1-Table1[[#This Row],[RDS(on) Loss BoSync]]*RdsonBotTc*ThetaJA_Q3)</f>
        <v>0.72569596335097608</v>
      </c>
      <c r="AY174" s="354">
        <f>CHOOSE(Table1[[#This Row],[Mode Digit]], Rdson3*Table1[[#This Row],[Irms Lf]]^2, Rdson1*Table1[[#This Row],[Irms Lf]]^2, 0)</f>
        <v>0.61805172864264213</v>
      </c>
      <c r="AZ174" s="354">
        <f>CHOOSE(Table1[[#This Row],[Mode Digit]], 2*Deadtime*Fsw*IF(VfdSky_Q2&gt;0,VfdSky_Q2,0)*Table1[[#This Row],[Iout]], 2*Deadtime*Fsw*IF(VfdSky_Q3&gt;0,VfdSky_Q3,0)*Table1[[#This Row],[Iin]], 2*Deadtime*Fsw*IF(VfdSky_Q2&gt;0,VfdSky_Q2,0)*Table1[[#This Row],[Iout]]+2*Deadtime*Fsw*IF(VfdSky_Q3&gt;0,VfdSky_Q3,0)*Table1[[#This Row],[Iin]])</f>
        <v>0</v>
      </c>
      <c r="BA174" s="354">
        <f>CHOOSE(Table1[[#This Row],[Mode Digit]], IF(QrrSky_Q2&gt;0,QrrSky_Q2,Qrr_Q2)*Fsw*(Table1[[#This Row],[Vin]]-Table1[[#This Row],[Iout]]*Rdson1),0,  IF(QrrSky_Q2&gt;0,QrrSky_Q2,Qrr_Q2)*Fsw*(Table1[[#This Row],[Vin]]-Table1[[#This Row],[Iout]]*Rdson1)+IF(QrrSky_Q3&gt;0,QrrSky_Q3,Qrr_Q3)*Fsw*Vout)</f>
        <v>0.51659519999999992</v>
      </c>
      <c r="BB174" s="354">
        <f>CHOOSE(Table1[[#This Row],[Mode Digit]],0, IF(QrrSky_Q3&gt;0,QrrSky_Q3,Qrr_Q3)*Fsw*Vout,  IF(QrrSky_Q2&gt;0,QrrSky_Q2,Qrr_Q2)*Fsw*(Table1[[#This Row],[Vin]]-Table1[[#This Row],[Iout]]*Rdson1)+IF(QrrSky_Q3&gt;0,QrrSky_Q3,Qrr_Q3)*Fsw*Vout)</f>
        <v>0</v>
      </c>
      <c r="BC174" s="354">
        <f>CHOOSE(Table1[[#This Row],[Mode Digit]], Rs*Table1[[#This Row],[Irms BuSync]]^2, Rs*Table1[[#This Row],[Irms BoCtlr]]^2, Rs*(Table1[[#This Row],[Irms BuSync]]^2+Table1[[#This Row],[Irms BoCtlr]]^2))</f>
        <v>0.24207418406807468</v>
      </c>
      <c r="BD174" s="354">
        <f t="shared" si="8"/>
        <v>1.44</v>
      </c>
      <c r="BE174" s="354">
        <f>IF(Vout&gt;8, Iq*Vout, Iq*Table1[[#This Row],[Vin]])</f>
        <v>4.3799999999999999E-2</v>
      </c>
      <c r="BF174" s="354">
        <f>CHOOSE(Table1[[#This Row],[Mode Digit]], (Qg_Q1+Qg_Q2)*Fsw, (Qg_Q3+Qg_Q4)*Fsw, (Qg_Q1+Qg_Q2+Qg_Q3+Qg_Q4)*Fsw)*IF(Vout&gt;8, Vout, Table1[[#This Row],[Vin]])</f>
        <v>0.47303999999999996</v>
      </c>
      <c r="BG174" s="354">
        <f t="shared" si="9"/>
        <v>0.45605042016806729</v>
      </c>
      <c r="BH174" s="354">
        <f>Table1[[#This Row],[IQ Loss]]+Table1[[#This Row],[Switching Current Loss]]</f>
        <v>0.51683999999999997</v>
      </c>
      <c r="BI17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13.269688930305261</v>
      </c>
      <c r="BJ174">
        <f>Vout*Table1[[#This Row],[Iout]]</f>
        <v>175.2</v>
      </c>
      <c r="BK174" s="550">
        <f>Table1[[#This Row],[Pout]]/(Table1[[#This Row],[Pout]]+Table1[[#This Row],[Total Loss]])</f>
        <v>0.92959245061834694</v>
      </c>
      <c r="BL17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337.52892741918032</v>
      </c>
      <c r="BM174" s="559">
        <f>IF(Table1[[#This Row],[Vin]]&gt;Vout, Table1[[#This Row],[Total Sync Bu MOSFET Loss]]*ThetaJA_Q2, ThetaJA_Q3*Table1[[#This Row],[Total Sync Bo MOSFET Loss]])</f>
        <v>65.429571737914983</v>
      </c>
      <c r="BN174" s="9"/>
      <c r="BO174" s="4">
        <f>Table1[[#This Row],[EFF, h]]*100</f>
        <v>92.959245061834693</v>
      </c>
      <c r="BP174" s="354">
        <f>Table1[[#This Row],[Total Inductor Loss]]</f>
        <v>3.0305032982021118</v>
      </c>
      <c r="BQ174" s="354">
        <f>Table1[[#This Row],[Total Control Bu MOSFET Loss]]+Table1[[#This Row],[Total Sync Bu MOSFET Loss]]+Table1[[#This Row],[Total Control Bo MOSFET Loss]]+Table1[[#This Row],[Total Sync Bo MOSFET Loss]]+Table1[[#This Row],[Reverse Recovery Loss MOSFET D BUCK]]+Table1[[#This Row],[Reverse Recovery Loss MOSFET D BOOST]]</f>
        <v>7.9582661493025642</v>
      </c>
      <c r="BR174" s="354">
        <f>Table1[[#This Row],[Total Control Bu MOSFET Loss]]+Table1[[#This Row],[Reverse Recovery Loss MOSFET D BUCK]]*0.66</f>
        <v>5.9664349556530052</v>
      </c>
      <c r="BS174" s="354">
        <f>Table1[[#This Row],[Total Sync Bu MOSFET Loss]]+Table1[[#This Row],[Reverse Recovery Loss MOSFET D BUCK]]*0.33</f>
        <v>1.2609692782985831</v>
      </c>
      <c r="BT174" s="354">
        <f xml:space="preserve"> Table1[[#This Row],[Total Control Bo MOSFET Loss]]+Table1[[#This Row],[Reverse Recovery Loss MOSFET D BOOST]]*0.66</f>
        <v>0</v>
      </c>
      <c r="BU174" s="354">
        <f xml:space="preserve"> Table1[[#This Row],[Total Sync Bo MOSFET Loss]]+Table1[[#This Row],[Reverse Recovery Loss MOSFET D BOOST]]*0.33</f>
        <v>0.72569596335097608</v>
      </c>
      <c r="BV174" s="354">
        <f>Table1[[#This Row],[Isense Shunt Loss]]</f>
        <v>0.24207418406807468</v>
      </c>
    </row>
    <row r="175" spans="7:74" x14ac:dyDescent="0.2">
      <c r="G175">
        <v>166</v>
      </c>
      <c r="H175" s="555">
        <f>VIN_min+(VIN_max-VIN_min)*(Table1[[#This Row],[Step]]/200)</f>
        <v>43.239999999999995</v>
      </c>
      <c r="I175" s="4" t="str">
        <f>IF(Mode = 2,IF(Table1[[#This Row],[Vin]]&gt;Vout, "BUCK","BOOST"),IF(Table1[[#This Row],[Vin]]&gt;VIN_BB_to_buck, "BUCK", IF(Table1[[#This Row],[Vin]]&lt;=VIN_boost_to_BB,"BOOST","BUCK-BST")))</f>
        <v>BUCK</v>
      </c>
      <c r="J175">
        <f>IF(Table1[[#This Row],[Mode]]="BOOST",2, IF(Table1[[#This Row],[Mode]]="BUCK", 1,3))</f>
        <v>1</v>
      </c>
      <c r="K175">
        <f t="shared" si="7"/>
        <v>12</v>
      </c>
      <c r="L175" s="4">
        <f>Vout*Table1[[#This Row],[Iout]]/(Table1[[#This Row],[Vin]]*Efficiency)</f>
        <v>4.2650567213593655</v>
      </c>
      <c r="M175" s="711">
        <f>MIN(1/Fsw,CHOOSE(Table1[[#This Row],[Mode Digit]],(Vout+(Rdson2+Rs+Rdcr)*Table1[[#This Row],[Iout]])/(Table1[[#This Row],[Vin]]+(Rs+Rdson2-Rdson1)*Table1[[#This Row],[Iout]])/Fsw,(Vout+(Rdson3+Rdcr)*Table1[[#This Row],[Iin]]-Table1[[#This Row],[Vin]])/(Vout+(Rdson3-Rdson4-Rs)*Table1[[#This Row],[Iin]])/Fsw,t1_Ph_II))</f>
        <v>5.6813804791618521E-7</v>
      </c>
      <c r="N175" s="602">
        <f>CHOOSE(Table1[[#This Row],[Mode Digit]],1/Fsw-Table1[[#This Row],[t1_Ph_II]],1/Fsw-Table1[[#This Row],[t1_Ph_II]],(Vout/Fsw-Table1[[#This Row],[Vin]]*t1_Ph_II)/(Table1[[#This Row],[Vin]]+Vout))</f>
        <v>1.0985286187504813E-6</v>
      </c>
      <c r="O175" s="602">
        <f>1/Fsw-(Table1[[#This Row],[t1_Ph_II]]+Table1[[#This Row],[t2_Ph_I]])</f>
        <v>0</v>
      </c>
      <c r="P17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8.9182814976667544</v>
      </c>
      <c r="Q175" s="4">
        <f>CHOOSE(Table1[[#This Row],[Mode Digit]],Table1[[#This Row],[I_0]]+1/Lf*(Table1[[#This Row],[Vin]]-Vout)*Table1[[#This Row],[t1_Ph_II]],Table1[[#This Row],[I_0]]+1/Lf*Table1[[#This Row],[Vin]]*Table1[[#This Row],[t1_Ph_II]],Table1[[#This Row],[I_0]]+(Table1[[#This Row],[Vin]]-Vout)/L*Table1[[#This Row],[t1_Ph_II]])</f>
        <v>15.081718502333246</v>
      </c>
      <c r="R175" s="4">
        <f>CHOOSE(Table1[[#This Row],[Mode Digit]],0,0,Table1[[#This Row],[I_1]]+Table1[[#This Row],[Vin]]/L*Table1[[#This Row],[t2_Ph_I]])</f>
        <v>0</v>
      </c>
      <c r="S175" s="4">
        <f>Fsw*(Table1[[#This Row],[I_0]]*Table1[[#This Row],[t1_Ph_II]]+Table1[[#This Row],[I_1]]*Table1[[#This Row],[t2_Ph_I]]+Table1[[#This Row],[I_2]]*Table1[[#This Row],[t3_Ph_III]])</f>
        <v>12.980708661361883</v>
      </c>
      <c r="T175" s="354">
        <f>MIN(1,CHOOSE(Table1[[#This Row],[Mode Digit]],(Vout+(Rdson2+Rs+Rdcr)*Table1[[#This Row],[Iout]])/(Table1[[#This Row],[Vin]]+(Rs+Rdson2-Rdson1)*Table1[[#This Row],[Iout]]),1,Fsw*Table1[[#This Row],[t2_Ph_I]]+Table1[[#This Row],[t1_Ph_II]]))</f>
        <v>0.34088282874971115</v>
      </c>
      <c r="U175" s="354">
        <f>MIN(1,CHOOSE(Table1[[#This Row],[Mode Digit]],0,(Vout+(Rdson3+Rdcr)*Table1[[#This Row],[Iin]]-Table1[[#This Row],[Vin]])/(Vout+(Rdson3-Rdson4-Rs)*Table1[[#This Row],[Iin]]),Fsw*Table1[[#This Row],[t1_Ph_II]]+Table1[[#This Row],[t3_Ph_III]]))</f>
        <v>0</v>
      </c>
      <c r="V175" s="4">
        <f>MAX(Table1[[#This Row],[I_0]:[I_2]])-MIN(Table1[[#This Row],[I_0]:[I_1]])</f>
        <v>6.1634370046664912</v>
      </c>
      <c r="W17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12.131185555248686</v>
      </c>
      <c r="X175" s="354">
        <f>(Table1[[#This Row],[Irms Lf]]^2*Rdcr*(1+Ltc*Ta-Ltc*25))/(1-Table1[[#This Row],[Irms Lf]]^2*Rdcr*Ltc*ThetaCa)</f>
        <v>0.91611783000717062</v>
      </c>
      <c r="Y175" s="354">
        <f>ABS(7.759*10^-3*Fsw^0.9458*(0.00787*Table1[[#This Row],[Ripple Current pk-pk]])^2.304)</f>
        <v>2.1225556771645553</v>
      </c>
      <c r="Z175" s="354">
        <f>Table1[[#This Row],[DCR    Loss]]+Table1[[#This Row],[Core Loss]]</f>
        <v>3.0386735071717261</v>
      </c>
      <c r="AA175" s="4">
        <f>IF(Table1[[#This Row],[Vin]]&gt;Vout, Table1[[#This Row],[Ripple Current pk-pk]]/SQRT(12), SQRT(Table1[[#This Row],[Duty Cycle BOOST Leg]]/(1-Table1[[#This Row],[Duty Cycle BOOST Leg]]))*SQRT(Table1[[#This Row],[Iout]]^2+(Table1[[#This Row],[Ripple Current pk-pk]]^2)/12))</f>
        <v>1.7792310068887498</v>
      </c>
      <c r="AB175" s="354">
        <f>RCoutEsr*Table1[[#This Row],[Irms Cout]]^2</f>
        <v>1.5828314879371773E-2</v>
      </c>
      <c r="AC175" s="354">
        <f>Table1[[#This Row],[Cout ESR Loss]]</f>
        <v>1.5828314879371773E-2</v>
      </c>
      <c r="AD175" s="354">
        <f>IF(Table1[[#This Row],[Vin]]&gt;Vout, SQRT(Table1[[#This Row],[Duty Cycle BUCK Leg]]*(1-Table1[[#This Row],[Duty Cycle BUCK Leg]]))*SQRT(Table1[[#This Row],[Iout]]^2+(Table1[[#This Row],[Ripple Current pk-pk]]^2)/12), Table1[[#This Row],[Ripple Current pk-pk]]/SQRT(12))</f>
        <v>5.7502552237164943</v>
      </c>
      <c r="AE175" s="354">
        <f>RCinEsr*Table1[[#This Row],[Irms Cin]]^2</f>
        <v>6.6130870275757661E-2</v>
      </c>
      <c r="AF175" s="549">
        <f>Table1[[#This Row],[Cin ESR Loss]]</f>
        <v>6.6130870275757661E-2</v>
      </c>
      <c r="AG17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7.082813529244059</v>
      </c>
      <c r="AH175" s="354">
        <f>Rdson1*Table1[[#This Row],[Irms BuCtrl]]^2</f>
        <v>0.21069823945817931</v>
      </c>
      <c r="AI175" s="354">
        <f>CHOOSE(Table1[[#This Row],[Mode Digit]], (Table1[[#This Row],[Vin]]*Table1[[#This Row],[Iout]]/2)*(Fsw)*(Tr_buck+Tf_buck), 0, (Table1[[#This Row],[Vin]]*Table1[[#This Row],[Avg IL]]/2)*(Fsw/1)*(Tr_buck+Tf_buck))</f>
        <v>5.1454044792887448</v>
      </c>
      <c r="AJ175">
        <f>IF(Table1[[#This Row],[Vin]]&gt;Vout, IF(Table1[[#This Row],[Iout]]&gt;Table1[[#This Row],[Ripple Current pk-pk]]/2,0,ABS(Table1[[#This Row],[Iout]]-Table1[[#This Row],[Ripple Current pk-pk]]/2)*Vsd_Q1*Deadtime*Fsw),0)</f>
        <v>0</v>
      </c>
      <c r="AK175" s="354">
        <f>(Table1[[#This Row],[Dead Time Loss BuCtrl]]+Table1[[#This Row],[Transition Loss BuCtrl]]+Table1[[#This Row],[RDS(on) Loss BuCtrl]]*(1+RdsonTopTc*Ta-RdsonTopTc*25))/(1-Table1[[#This Row],[RDS(on) Loss BuCtrl]]*RdsonTopTc*ThetaJA_Q1)</f>
        <v>5.6413733001386666</v>
      </c>
      <c r="AL175" s="354">
        <f>CHOOSE(Table1[[#This Row],[Mode Digit]],SQRT((Fsw*(Table1[[#This Row],[t2_Ph_I]]+0))*((Table1[[#This Row],[I_0]]*Table1[[#This Row],[I_1]]+((Table1[[#This Row],[I_0]]-Table1[[#This Row],[I_1]])^2)/3))),0,SQRT((Fsw*(Table1[[#This Row],[t3_Ph_III]]+0))*((Table1[[#This Row],[I_0]]*Table1[[#This Row],[I_2]]+((Table1[[#This Row],[I_0]]-Table1[[#This Row],[I_2]])^2)/3))))</f>
        <v>9.8488281275404379</v>
      </c>
      <c r="AM175" s="354">
        <f>Rdson2*Table1[[#This Row],[Irms BuSync]]^2</f>
        <v>0.40739754504049314</v>
      </c>
      <c r="AN17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75" s="354">
        <f>(Table1[[#This Row],[Deadtime Loss BuSync]]+Table1[[#This Row],[RDS(on) Loss BuSync]]*(1+RdsonBotTc*Ta-RdsonBotTc*25))/(1-Table1[[#This Row],[RDS(on) Loss BuSync]]*RdsonBotTc*ThetaJA_Q2)</f>
        <v>1.0914898412331246</v>
      </c>
      <c r="AP175" s="354">
        <f>CHOOSE(Table1[[#This Row],[Mode Digit]],0,SQRT((Fsw*(Table1[[#This Row],[t1_Ph_II]]+0))*((Table1[[#This Row],[I_0]]*Table1[[#This Row],[I_1]]+((Table1[[#This Row],[I_0]]-Table1[[#This Row],[I_1]])^2)/3))),SQRT((Fsw*(Table1[[#This Row],[t2_Ph_I]]+0))*((Table1[[#This Row],[I_1]]*Table1[[#This Row],[I_2]]+((Table1[[#This Row],[I_1]]-Table1[[#This Row],[I_2]])^2)/3))))</f>
        <v>0</v>
      </c>
      <c r="AQ175" s="354">
        <f>Rdson4*Table1[[#This Row],[Irms BoCtlr]]^2</f>
        <v>0</v>
      </c>
      <c r="AR175" s="354">
        <f>CHOOSE(Table1[[#This Row],[Mode Digit]], 0, (Vout*Table1[[#This Row],[Iin]]/2)*(Fsw)*(Tr_boost+Tf_boost), (Vout*Iout/2)*(Fsw/1)*(Tr_boost+Tf_boost))</f>
        <v>0</v>
      </c>
      <c r="AS175">
        <f>IF(Table1[[#This Row],[Vin]]&gt;Vout, 0, IF(Table1[[#This Row],[Iin]]&gt;Table1[[#This Row],[Ripple Current pk-pk]]/2,0,ABS(Table1[[#This Row],[Iin]]-Table1[[#This Row],[Ripple Current pk-pk]]/2)*Vsd_Q4*Deadtime*Fsw))</f>
        <v>0</v>
      </c>
      <c r="AT175" s="354">
        <f>(Table1[[#This Row],[Dead Time Loss BoCtlr]]+Table1[[#This Row],[Transition Loss BoCtlr]]+Table1[[#This Row],[RDS(on) Loss BoCtlr]]*(1+RdsonTopTc*Ta-RdsonTopTc*25))/(1-Table1[[#This Row],[RDS(on) Loss BoCtlr]]*RdsonTopTc*ThetaJA_Q4)</f>
        <v>0</v>
      </c>
      <c r="AU17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12.131185555248686</v>
      </c>
      <c r="AV175" s="354">
        <f>Rdson3*Table1[[#This Row],[Irms BoSync]]^2</f>
        <v>0.61809578449867242</v>
      </c>
      <c r="AW17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75" s="354">
        <f>(Table1[[#This Row],[Deadtime Loss BoSync]]+Table1[[#This Row],[RDS(on) Loss BoSync]]*(1+RdsonBotTc*Ta-RdsonBotTc*25))/(1-Table1[[#This Row],[RDS(on) Loss BoSync]]*RdsonBotTc*ThetaJA_Q3)</f>
        <v>0.72575670251353852</v>
      </c>
      <c r="AY175" s="354">
        <f>CHOOSE(Table1[[#This Row],[Mode Digit]], Rdson3*Table1[[#This Row],[Irms Lf]]^2, Rdson1*Table1[[#This Row],[Irms Lf]]^2, 0)</f>
        <v>0.61809578449867242</v>
      </c>
      <c r="AZ175" s="354">
        <f>CHOOSE(Table1[[#This Row],[Mode Digit]], 2*Deadtime*Fsw*IF(VfdSky_Q2&gt;0,VfdSky_Q2,0)*Table1[[#This Row],[Iout]], 2*Deadtime*Fsw*IF(VfdSky_Q3&gt;0,VfdSky_Q3,0)*Table1[[#This Row],[Iin]], 2*Deadtime*Fsw*IF(VfdSky_Q2&gt;0,VfdSky_Q2,0)*Table1[[#This Row],[Iout]]+2*Deadtime*Fsw*IF(VfdSky_Q3&gt;0,VfdSky_Q3,0)*Table1[[#This Row],[Iin]])</f>
        <v>0</v>
      </c>
      <c r="BA175" s="354">
        <f>CHOOSE(Table1[[#This Row],[Mode Digit]], IF(QrrSky_Q2&gt;0,QrrSky_Q2,Qrr_Q2)*Fsw*(Table1[[#This Row],[Vin]]-Table1[[#This Row],[Iout]]*Rdson1),0,  IF(QrrSky_Q2&gt;0,QrrSky_Q2,Qrr_Q2)*Fsw*(Table1[[#This Row],[Vin]]-Table1[[#This Row],[Iout]]*Rdson1)+IF(QrrSky_Q3&gt;0,QrrSky_Q3,Qrr_Q3)*Fsw*Vout)</f>
        <v>0.51827519999999994</v>
      </c>
      <c r="BB175" s="354">
        <f>CHOOSE(Table1[[#This Row],[Mode Digit]],0, IF(QrrSky_Q3&gt;0,QrrSky_Q3,Qrr_Q3)*Fsw*Vout,  IF(QrrSky_Q2&gt;0,QrrSky_Q2,Qrr_Q2)*Fsw*(Table1[[#This Row],[Vin]]-Table1[[#This Row],[Iout]]*Rdson1)+IF(QrrSky_Q3&gt;0,QrrSky_Q3,Qrr_Q3)*Fsw*Vout)</f>
        <v>0</v>
      </c>
      <c r="BC175" s="354">
        <f>CHOOSE(Table1[[#This Row],[Mode Digit]], Rs*Table1[[#This Row],[Irms BuSync]]^2, Rs*Table1[[#This Row],[Irms BoCtlr]]^2, Rs*(Table1[[#This Row],[Irms BuSync]]^2+Table1[[#This Row],[Irms BoCtlr]]^2))</f>
        <v>0.24249853871457924</v>
      </c>
      <c r="BD175" s="354">
        <f t="shared" si="8"/>
        <v>1.44</v>
      </c>
      <c r="BE175" s="354">
        <f>IF(Vout&gt;8, Iq*Vout, Iq*Table1[[#This Row],[Vin]])</f>
        <v>4.3799999999999999E-2</v>
      </c>
      <c r="BF175" s="354">
        <f>CHOOSE(Table1[[#This Row],[Mode Digit]], (Qg_Q1+Qg_Q2)*Fsw, (Qg_Q3+Qg_Q4)*Fsw, (Qg_Q1+Qg_Q2+Qg_Q3+Qg_Q4)*Fsw)*IF(Vout&gt;8, Vout, Table1[[#This Row],[Vin]])</f>
        <v>0.47303999999999996</v>
      </c>
      <c r="BG175" s="354">
        <f t="shared" si="9"/>
        <v>0.45605042016806729</v>
      </c>
      <c r="BH175" s="354">
        <f>Table1[[#This Row],[IQ Loss]]+Table1[[#This Row],[Switching Current Loss]]</f>
        <v>0.51683999999999997</v>
      </c>
      <c r="BI17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13.296866274926764</v>
      </c>
      <c r="BJ175">
        <f>Vout*Table1[[#This Row],[Iout]]</f>
        <v>175.2</v>
      </c>
      <c r="BK175" s="550">
        <f>Table1[[#This Row],[Pout]]/(Table1[[#This Row],[Pout]]+Table1[[#This Row],[Total Loss]])</f>
        <v>0.92945842263747236</v>
      </c>
      <c r="BL17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338.48239800831999</v>
      </c>
      <c r="BM175" s="559">
        <f>IF(Table1[[#This Row],[Vin]]&gt;Vout, Table1[[#This Row],[Total Sync Bu MOSFET Loss]]*ThetaJA_Q2, ThetaJA_Q3*Table1[[#This Row],[Total Sync Bo MOSFET Loss]])</f>
        <v>65.489390473987484</v>
      </c>
      <c r="BN175" s="9"/>
      <c r="BO175" s="4">
        <f>Table1[[#This Row],[EFF, h]]*100</f>
        <v>92.945842263747238</v>
      </c>
      <c r="BP175" s="354">
        <f>Table1[[#This Row],[Total Inductor Loss]]</f>
        <v>3.0386735071717261</v>
      </c>
      <c r="BQ175" s="354">
        <f>Table1[[#This Row],[Total Control Bu MOSFET Loss]]+Table1[[#This Row],[Total Sync Bu MOSFET Loss]]+Table1[[#This Row],[Total Control Bo MOSFET Loss]]+Table1[[#This Row],[Total Sync Bo MOSFET Loss]]+Table1[[#This Row],[Reverse Recovery Loss MOSFET D BUCK]]+Table1[[#This Row],[Reverse Recovery Loss MOSFET D BOOST]]</f>
        <v>7.976895043885329</v>
      </c>
      <c r="BR175" s="354">
        <f>Table1[[#This Row],[Total Control Bu MOSFET Loss]]+Table1[[#This Row],[Reverse Recovery Loss MOSFET D BUCK]]*0.66</f>
        <v>5.9834349321386666</v>
      </c>
      <c r="BS175" s="354">
        <f>Table1[[#This Row],[Total Sync Bu MOSFET Loss]]+Table1[[#This Row],[Reverse Recovery Loss MOSFET D BUCK]]*0.33</f>
        <v>1.2625206572331247</v>
      </c>
      <c r="BT175" s="354">
        <f xml:space="preserve"> Table1[[#This Row],[Total Control Bo MOSFET Loss]]+Table1[[#This Row],[Reverse Recovery Loss MOSFET D BOOST]]*0.66</f>
        <v>0</v>
      </c>
      <c r="BU175" s="354">
        <f xml:space="preserve"> Table1[[#This Row],[Total Sync Bo MOSFET Loss]]+Table1[[#This Row],[Reverse Recovery Loss MOSFET D BOOST]]*0.33</f>
        <v>0.72575670251353852</v>
      </c>
      <c r="BV175" s="354">
        <f>Table1[[#This Row],[Isense Shunt Loss]]</f>
        <v>0.24249853871457924</v>
      </c>
    </row>
    <row r="176" spans="7:74" x14ac:dyDescent="0.2">
      <c r="G176">
        <v>167</v>
      </c>
      <c r="H176" s="555">
        <f>VIN_min+(VIN_max-VIN_min)*(Table1[[#This Row],[Step]]/200)</f>
        <v>43.379999999999995</v>
      </c>
      <c r="I176" s="4" t="str">
        <f>IF(Mode = 2,IF(Table1[[#This Row],[Vin]]&gt;Vout, "BUCK","BOOST"),IF(Table1[[#This Row],[Vin]]&gt;VIN_BB_to_buck, "BUCK", IF(Table1[[#This Row],[Vin]]&lt;=VIN_boost_to_BB,"BOOST","BUCK-BST")))</f>
        <v>BUCK</v>
      </c>
      <c r="J176">
        <f>IF(Table1[[#This Row],[Mode]]="BOOST",2, IF(Table1[[#This Row],[Mode]]="BUCK", 1,3))</f>
        <v>1</v>
      </c>
      <c r="K176">
        <f t="shared" si="7"/>
        <v>12</v>
      </c>
      <c r="L176" s="4">
        <f>Vout*Table1[[#This Row],[Iout]]/(Table1[[#This Row],[Vin]]*Efficiency)</f>
        <v>4.2512921307417928</v>
      </c>
      <c r="M176" s="711">
        <f>MIN(1/Fsw,CHOOSE(Table1[[#This Row],[Mode Digit]],(Vout+(Rdson2+Rs+Rdcr)*Table1[[#This Row],[Iout]])/(Table1[[#This Row],[Vin]]+(Rs+Rdson2-Rdson1)*Table1[[#This Row],[Iout]])/Fsw,(Vout+(Rdson3+Rdcr)*Table1[[#This Row],[Iin]]-Table1[[#This Row],[Vin]])/(Vout+(Rdson3-Rdson4-Rs)*Table1[[#This Row],[Iin]])/Fsw,t1_Ph_II))</f>
        <v>5.6630576672041776E-7</v>
      </c>
      <c r="N176" s="602">
        <f>CHOOSE(Table1[[#This Row],[Mode Digit]],1/Fsw-Table1[[#This Row],[t1_Ph_II]],1/Fsw-Table1[[#This Row],[t1_Ph_II]],(Vout/Fsw-Table1[[#This Row],[Vin]]*t1_Ph_II)/(Table1[[#This Row],[Vin]]+Vout))</f>
        <v>1.1003608999462489E-6</v>
      </c>
      <c r="O176" s="602">
        <f>1/Fsw-(Table1[[#This Row],[t1_Ph_II]]+Table1[[#This Row],[t2_Ph_I]])</f>
        <v>0</v>
      </c>
      <c r="P17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8.9132045518534824</v>
      </c>
      <c r="Q176" s="4">
        <f>CHOOSE(Table1[[#This Row],[Mode Digit]],Table1[[#This Row],[I_0]]+1/Lf*(Table1[[#This Row],[Vin]]-Vout)*Table1[[#This Row],[t1_Ph_II]],Table1[[#This Row],[I_0]]+1/Lf*Table1[[#This Row],[Vin]]*Table1[[#This Row],[t1_Ph_II]],Table1[[#This Row],[I_0]]+(Table1[[#This Row],[Vin]]-Vout)/L*Table1[[#This Row],[t1_Ph_II]])</f>
        <v>15.086795448146519</v>
      </c>
      <c r="R176" s="4">
        <f>CHOOSE(Table1[[#This Row],[Mode Digit]],0,0,Table1[[#This Row],[I_1]]+Table1[[#This Row],[Vin]]/L*Table1[[#This Row],[t2_Ph_I]])</f>
        <v>0</v>
      </c>
      <c r="S176" s="4">
        <f>Fsw*(Table1[[#This Row],[I_0]]*Table1[[#This Row],[t1_Ph_II]]+Table1[[#This Row],[I_1]]*Table1[[#This Row],[t2_Ph_I]]+Table1[[#This Row],[I_2]]*Table1[[#This Row],[t3_Ph_III]])</f>
        <v>12.989111372580465</v>
      </c>
      <c r="T176" s="354">
        <f>MIN(1,CHOOSE(Table1[[#This Row],[Mode Digit]],(Vout+(Rdson2+Rs+Rdcr)*Table1[[#This Row],[Iout]])/(Table1[[#This Row],[Vin]]+(Rs+Rdson2-Rdson1)*Table1[[#This Row],[Iout]]),1,Fsw*Table1[[#This Row],[t2_Ph_I]]+Table1[[#This Row],[t1_Ph_II]]))</f>
        <v>0.33978346003225068</v>
      </c>
      <c r="U176" s="354">
        <f>MIN(1,CHOOSE(Table1[[#This Row],[Mode Digit]],0,(Vout+(Rdson3+Rdcr)*Table1[[#This Row],[Iin]]-Table1[[#This Row],[Vin]])/(Vout+(Rdson3-Rdson4-Rs)*Table1[[#This Row],[Iin]]),Fsw*Table1[[#This Row],[t1_Ph_II]]+Table1[[#This Row],[t3_Ph_III]]))</f>
        <v>0</v>
      </c>
      <c r="V176" s="4">
        <f>MAX(Table1[[#This Row],[I_0]:[I_2]])-MIN(Table1[[#This Row],[I_0]:[I_1]])</f>
        <v>6.173590896293037</v>
      </c>
      <c r="W17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12.131615805251693</v>
      </c>
      <c r="X176" s="354">
        <f>(Table1[[#This Row],[Irms Lf]]^2*Rdcr*(1+Ltc*Ta-Ltc*25))/(1-Table1[[#This Row],[Irms Lf]]^2*Rdcr*Ltc*ThetaCa)</f>
        <v>0.91618757704661669</v>
      </c>
      <c r="Y176" s="354">
        <f>ABS(7.759*10^-3*Fsw^0.9458*(0.00787*Table1[[#This Row],[Ripple Current pk-pk]])^2.304)</f>
        <v>2.1306209199376975</v>
      </c>
      <c r="Z176" s="354">
        <f>Table1[[#This Row],[DCR    Loss]]+Table1[[#This Row],[Core Loss]]</f>
        <v>3.0468084969843141</v>
      </c>
      <c r="AA176" s="4">
        <f>IF(Table1[[#This Row],[Vin]]&gt;Vout, Table1[[#This Row],[Ripple Current pk-pk]]/SQRT(12), SQRT(Table1[[#This Row],[Duty Cycle BOOST Leg]]/(1-Table1[[#This Row],[Duty Cycle BOOST Leg]]))*SQRT(Table1[[#This Row],[Iout]]^2+(Table1[[#This Row],[Ripple Current pk-pk]]^2)/12))</f>
        <v>1.7821621829207042</v>
      </c>
      <c r="AB176" s="354">
        <f>RCoutEsr*Table1[[#This Row],[Irms Cout]]^2</f>
        <v>1.5880510231163446E-2</v>
      </c>
      <c r="AC176" s="354">
        <f>Table1[[#This Row],[Cout ESR Loss]]</f>
        <v>1.5880510231163446E-2</v>
      </c>
      <c r="AD176" s="354">
        <f>IF(Table1[[#This Row],[Vin]]&gt;Vout, SQRT(Table1[[#This Row],[Duty Cycle BUCK Leg]]*(1-Table1[[#This Row],[Duty Cycle BUCK Leg]]))*SQRT(Table1[[#This Row],[Iout]]^2+(Table1[[#This Row],[Ripple Current pk-pk]]^2)/12), Table1[[#This Row],[Ripple Current pk-pk]]/SQRT(12))</f>
        <v>5.7459648585304901</v>
      </c>
      <c r="AE176" s="354">
        <f>RCinEsr*Table1[[#This Row],[Irms Cin]]^2</f>
        <v>6.603222431093464E-2</v>
      </c>
      <c r="AF176" s="549">
        <f>Table1[[#This Row],[Cin ESR Loss]]</f>
        <v>6.603222431093464E-2</v>
      </c>
      <c r="AG17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7.0716338414349877</v>
      </c>
      <c r="AH176" s="354">
        <f>Rdson1*Table1[[#This Row],[Irms BuCtrl]]^2</f>
        <v>0.21003362178678001</v>
      </c>
      <c r="AI176" s="354">
        <f>CHOOSE(Table1[[#This Row],[Mode Digit]], (Table1[[#This Row],[Vin]]*Table1[[#This Row],[Iout]]/2)*(Fsw)*(Tr_buck+Tf_buck), 0, (Table1[[#This Row],[Vin]]*Table1[[#This Row],[Avg IL]]/2)*(Fsw/1)*(Tr_buck+Tf_buck))</f>
        <v>5.1620639757526776</v>
      </c>
      <c r="AJ176">
        <f>IF(Table1[[#This Row],[Vin]]&gt;Vout, IF(Table1[[#This Row],[Iout]]&gt;Table1[[#This Row],[Ripple Current pk-pk]]/2,0,ABS(Table1[[#This Row],[Iout]]-Table1[[#This Row],[Ripple Current pk-pk]]/2)*Vsd_Q1*Deadtime*Fsw),0)</f>
        <v>0</v>
      </c>
      <c r="AK176" s="354">
        <f>(Table1[[#This Row],[Dead Time Loss BuCtrl]]+Table1[[#This Row],[Transition Loss BuCtrl]]+Table1[[#This Row],[RDS(on) Loss BuCtrl]]*(1+RdsonTopTc*Ta-RdsonTopTc*25))/(1-Table1[[#This Row],[RDS(on) Loss BuCtrl]]*RdsonTopTc*ThetaJA_Q1)</f>
        <v>5.6572696370500175</v>
      </c>
      <c r="AL176" s="354">
        <f>CHOOSE(Table1[[#This Row],[Mode Digit]],SQRT((Fsw*(Table1[[#This Row],[t2_Ph_I]]+0))*((Table1[[#This Row],[I_0]]*Table1[[#This Row],[I_1]]+((Table1[[#This Row],[I_0]]-Table1[[#This Row],[I_1]])^2)/3))),0,SQRT((Fsw*(Table1[[#This Row],[t3_Ph_III]]+0))*((Table1[[#This Row],[I_0]]*Table1[[#This Row],[I_2]]+((Table1[[#This Row],[I_0]]-Table1[[#This Row],[I_2]])^2)/3))))</f>
        <v>9.857387932860517</v>
      </c>
      <c r="AM176" s="354">
        <f>Rdson2*Table1[[#This Row],[Irms BuSync]]^2</f>
        <v>0.40810600680739745</v>
      </c>
      <c r="AN17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76" s="354">
        <f>(Table1[[#This Row],[Deadtime Loss BuSync]]+Table1[[#This Row],[RDS(on) Loss BuSync]]*(1+RdsonBotTc*Ta-RdsonBotTc*25))/(1-Table1[[#This Row],[RDS(on) Loss BuSync]]*RdsonBotTc*ThetaJA_Q2)</f>
        <v>1.0924809660778108</v>
      </c>
      <c r="AP176" s="354">
        <f>CHOOSE(Table1[[#This Row],[Mode Digit]],0,SQRT((Fsw*(Table1[[#This Row],[t1_Ph_II]]+0))*((Table1[[#This Row],[I_0]]*Table1[[#This Row],[I_1]]+((Table1[[#This Row],[I_0]]-Table1[[#This Row],[I_1]])^2)/3))),SQRT((Fsw*(Table1[[#This Row],[t2_Ph_I]]+0))*((Table1[[#This Row],[I_1]]*Table1[[#This Row],[I_2]]+((Table1[[#This Row],[I_1]]-Table1[[#This Row],[I_2]])^2)/3))))</f>
        <v>0</v>
      </c>
      <c r="AQ176" s="354">
        <f>Rdson4*Table1[[#This Row],[Irms BoCtlr]]^2</f>
        <v>0</v>
      </c>
      <c r="AR176" s="354">
        <f>CHOOSE(Table1[[#This Row],[Mode Digit]], 0, (Vout*Table1[[#This Row],[Iin]]/2)*(Fsw)*(Tr_boost+Tf_boost), (Vout*Iout/2)*(Fsw/1)*(Tr_boost+Tf_boost))</f>
        <v>0</v>
      </c>
      <c r="AS176">
        <f>IF(Table1[[#This Row],[Vin]]&gt;Vout, 0, IF(Table1[[#This Row],[Iin]]&gt;Table1[[#This Row],[Ripple Current pk-pk]]/2,0,ABS(Table1[[#This Row],[Iin]]-Table1[[#This Row],[Ripple Current pk-pk]]/2)*Vsd_Q4*Deadtime*Fsw))</f>
        <v>0</v>
      </c>
      <c r="AT176" s="354">
        <f>(Table1[[#This Row],[Dead Time Loss BoCtlr]]+Table1[[#This Row],[Transition Loss BoCtlr]]+Table1[[#This Row],[RDS(on) Loss BoCtlr]]*(1+RdsonTopTc*Ta-RdsonTopTc*25))/(1-Table1[[#This Row],[RDS(on) Loss BoCtlr]]*RdsonTopTc*ThetaJA_Q4)</f>
        <v>0</v>
      </c>
      <c r="AU17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12.131615805251693</v>
      </c>
      <c r="AV176" s="354">
        <f>Rdson3*Table1[[#This Row],[Irms BoSync]]^2</f>
        <v>0.61813962859417726</v>
      </c>
      <c r="AW17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76" s="354">
        <f>(Table1[[#This Row],[Deadtime Loss BoSync]]+Table1[[#This Row],[RDS(on) Loss BoSync]]*(1+RdsonBotTc*Ta-RdsonBotTc*25))/(1-Table1[[#This Row],[RDS(on) Loss BoSync]]*RdsonBotTc*ThetaJA_Q3)</f>
        <v>0.72581715122229762</v>
      </c>
      <c r="AY176" s="354">
        <f>CHOOSE(Table1[[#This Row],[Mode Digit]], Rdson3*Table1[[#This Row],[Irms Lf]]^2, Rdson1*Table1[[#This Row],[Irms Lf]]^2, 0)</f>
        <v>0.61813962859417726</v>
      </c>
      <c r="AZ176" s="354">
        <f>CHOOSE(Table1[[#This Row],[Mode Digit]], 2*Deadtime*Fsw*IF(VfdSky_Q2&gt;0,VfdSky_Q2,0)*Table1[[#This Row],[Iout]], 2*Deadtime*Fsw*IF(VfdSky_Q3&gt;0,VfdSky_Q3,0)*Table1[[#This Row],[Iin]], 2*Deadtime*Fsw*IF(VfdSky_Q2&gt;0,VfdSky_Q2,0)*Table1[[#This Row],[Iout]]+2*Deadtime*Fsw*IF(VfdSky_Q3&gt;0,VfdSky_Q3,0)*Table1[[#This Row],[Iin]])</f>
        <v>0</v>
      </c>
      <c r="BA176" s="354">
        <f>CHOOSE(Table1[[#This Row],[Mode Digit]], IF(QrrSky_Q2&gt;0,QrrSky_Q2,Qrr_Q2)*Fsw*(Table1[[#This Row],[Vin]]-Table1[[#This Row],[Iout]]*Rdson1),0,  IF(QrrSky_Q2&gt;0,QrrSky_Q2,Qrr_Q2)*Fsw*(Table1[[#This Row],[Vin]]-Table1[[#This Row],[Iout]]*Rdson1)+IF(QrrSky_Q3&gt;0,QrrSky_Q3,Qrr_Q3)*Fsw*Vout)</f>
        <v>0.51995519999999995</v>
      </c>
      <c r="BB176" s="354">
        <f>CHOOSE(Table1[[#This Row],[Mode Digit]],0, IF(QrrSky_Q3&gt;0,QrrSky_Q3,Qrr_Q3)*Fsw*Vout,  IF(QrrSky_Q2&gt;0,QrrSky_Q2,Qrr_Q2)*Fsw*(Table1[[#This Row],[Vin]]-Table1[[#This Row],[Iout]]*Rdson1)+IF(QrrSky_Q3&gt;0,QrrSky_Q3,Qrr_Q3)*Fsw*Vout)</f>
        <v>0</v>
      </c>
      <c r="BC176" s="354">
        <f>CHOOSE(Table1[[#This Row],[Mode Digit]], Rs*Table1[[#This Row],[Irms BuSync]]^2, Rs*Table1[[#This Row],[Irms BoCtlr]]^2, Rs*(Table1[[#This Row],[Irms BuSync]]^2+Table1[[#This Row],[Irms BoCtlr]]^2))</f>
        <v>0.24292024214726035</v>
      </c>
      <c r="BD176" s="354">
        <f t="shared" si="8"/>
        <v>1.44</v>
      </c>
      <c r="BE176" s="354">
        <f>IF(Vout&gt;8, Iq*Vout, Iq*Table1[[#This Row],[Vin]])</f>
        <v>4.3799999999999999E-2</v>
      </c>
      <c r="BF176" s="354">
        <f>CHOOSE(Table1[[#This Row],[Mode Digit]], (Qg_Q1+Qg_Q2)*Fsw, (Qg_Q3+Qg_Q4)*Fsw, (Qg_Q1+Qg_Q2+Qg_Q3+Qg_Q4)*Fsw)*IF(Vout&gt;8, Vout, Table1[[#This Row],[Vin]])</f>
        <v>0.47303999999999996</v>
      </c>
      <c r="BG176" s="354">
        <f t="shared" si="9"/>
        <v>0.45605042016806729</v>
      </c>
      <c r="BH176" s="354">
        <f>Table1[[#This Row],[IQ Loss]]+Table1[[#This Row],[Switching Current Loss]]</f>
        <v>0.51683999999999997</v>
      </c>
      <c r="BI17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13.3240044280238</v>
      </c>
      <c r="BJ176">
        <f>Vout*Table1[[#This Row],[Iout]]</f>
        <v>175.2</v>
      </c>
      <c r="BK176" s="550">
        <f>Table1[[#This Row],[Pout]]/(Table1[[#This Row],[Pout]]+Table1[[#This Row],[Total Loss]])</f>
        <v>0.9293246264927989</v>
      </c>
      <c r="BL17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339.43617822300104</v>
      </c>
      <c r="BM176" s="559">
        <f>IF(Table1[[#This Row],[Vin]]&gt;Vout, Table1[[#This Row],[Total Sync Bu MOSFET Loss]]*ThetaJA_Q2, ThetaJA_Q3*Table1[[#This Row],[Total Sync Bo MOSFET Loss]])</f>
        <v>65.548857964668642</v>
      </c>
      <c r="BN176" s="9"/>
      <c r="BO176" s="4">
        <f>Table1[[#This Row],[EFF, h]]*100</f>
        <v>92.932462649279884</v>
      </c>
      <c r="BP176" s="354">
        <f>Table1[[#This Row],[Total Inductor Loss]]</f>
        <v>3.0468084969843141</v>
      </c>
      <c r="BQ176" s="354">
        <f>Table1[[#This Row],[Total Control Bu MOSFET Loss]]+Table1[[#This Row],[Total Sync Bu MOSFET Loss]]+Table1[[#This Row],[Total Control Bo MOSFET Loss]]+Table1[[#This Row],[Total Sync Bo MOSFET Loss]]+Table1[[#This Row],[Reverse Recovery Loss MOSFET D BUCK]]+Table1[[#This Row],[Reverse Recovery Loss MOSFET D BOOST]]</f>
        <v>7.9955229543501263</v>
      </c>
      <c r="BR176" s="354">
        <f>Table1[[#This Row],[Total Control Bu MOSFET Loss]]+Table1[[#This Row],[Reverse Recovery Loss MOSFET D BUCK]]*0.66</f>
        <v>6.0004400690500175</v>
      </c>
      <c r="BS176" s="354">
        <f>Table1[[#This Row],[Total Sync Bu MOSFET Loss]]+Table1[[#This Row],[Reverse Recovery Loss MOSFET D BUCK]]*0.33</f>
        <v>1.2640661820778107</v>
      </c>
      <c r="BT176" s="354">
        <f xml:space="preserve"> Table1[[#This Row],[Total Control Bo MOSFET Loss]]+Table1[[#This Row],[Reverse Recovery Loss MOSFET D BOOST]]*0.66</f>
        <v>0</v>
      </c>
      <c r="BU176" s="354">
        <f xml:space="preserve"> Table1[[#This Row],[Total Sync Bo MOSFET Loss]]+Table1[[#This Row],[Reverse Recovery Loss MOSFET D BOOST]]*0.33</f>
        <v>0.72581715122229762</v>
      </c>
      <c r="BV176" s="354">
        <f>Table1[[#This Row],[Isense Shunt Loss]]</f>
        <v>0.24292024214726035</v>
      </c>
    </row>
    <row r="177" spans="7:74" x14ac:dyDescent="0.2">
      <c r="G177">
        <v>168</v>
      </c>
      <c r="H177" s="555">
        <f>VIN_min+(VIN_max-VIN_min)*(Table1[[#This Row],[Step]]/200)</f>
        <v>43.519999999999996</v>
      </c>
      <c r="I177" s="4" t="str">
        <f>IF(Mode = 2,IF(Table1[[#This Row],[Vin]]&gt;Vout, "BUCK","BOOST"),IF(Table1[[#This Row],[Vin]]&gt;VIN_BB_to_buck, "BUCK", IF(Table1[[#This Row],[Vin]]&lt;=VIN_boost_to_BB,"BOOST","BUCK-BST")))</f>
        <v>BUCK</v>
      </c>
      <c r="J177">
        <f>IF(Table1[[#This Row],[Mode]]="BOOST",2, IF(Table1[[#This Row],[Mode]]="BUCK", 1,3))</f>
        <v>1</v>
      </c>
      <c r="K177">
        <f t="shared" si="7"/>
        <v>12</v>
      </c>
      <c r="L177" s="4">
        <f>Vout*Table1[[#This Row],[Iout]]/(Table1[[#This Row],[Vin]]*Efficiency)</f>
        <v>4.2376160990712082</v>
      </c>
      <c r="M177" s="711">
        <f>MIN(1/Fsw,CHOOSE(Table1[[#This Row],[Mode Digit]],(Vout+(Rdson2+Rs+Rdcr)*Table1[[#This Row],[Iout]])/(Table1[[#This Row],[Vin]]+(Rs+Rdson2-Rdson1)*Table1[[#This Row],[Iout]])/Fsw,(Vout+(Rdson3+Rdcr)*Table1[[#This Row],[Iin]]-Table1[[#This Row],[Vin]])/(Vout+(Rdson3-Rdson4-Rs)*Table1[[#This Row],[Iin]])/Fsw,t1_Ph_II))</f>
        <v>5.6448526597780337E-7</v>
      </c>
      <c r="N177" s="602">
        <f>CHOOSE(Table1[[#This Row],[Mode Digit]],1/Fsw-Table1[[#This Row],[t1_Ph_II]],1/Fsw-Table1[[#This Row],[t1_Ph_II]],(Vout/Fsw-Table1[[#This Row],[Vin]]*t1_Ph_II)/(Table1[[#This Row],[Vin]]+Vout))</f>
        <v>1.1021814006888632E-6</v>
      </c>
      <c r="O177" s="602">
        <f>1/Fsw-(Table1[[#This Row],[t1_Ph_II]]+Table1[[#This Row],[t2_Ph_I]])</f>
        <v>0</v>
      </c>
      <c r="P17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8.9081602477124875</v>
      </c>
      <c r="Q177" s="4">
        <f>CHOOSE(Table1[[#This Row],[Mode Digit]],Table1[[#This Row],[I_0]]+1/Lf*(Table1[[#This Row],[Vin]]-Vout)*Table1[[#This Row],[t1_Ph_II]],Table1[[#This Row],[I_0]]+1/Lf*Table1[[#This Row],[Vin]]*Table1[[#This Row],[t1_Ph_II]],Table1[[#This Row],[I_0]]+(Table1[[#This Row],[Vin]]-Vout)/L*Table1[[#This Row],[t1_Ph_II]])</f>
        <v>15.091839752287514</v>
      </c>
      <c r="R177" s="4">
        <f>CHOOSE(Table1[[#This Row],[Mode Digit]],0,0,Table1[[#This Row],[I_1]]+Table1[[#This Row],[Vin]]/L*Table1[[#This Row],[t2_Ph_I]])</f>
        <v>0</v>
      </c>
      <c r="S177" s="4">
        <f>Fsw*(Table1[[#This Row],[I_0]]*Table1[[#This Row],[t1_Ph_II]]+Table1[[#This Row],[I_1]]*Table1[[#This Row],[t2_Ph_I]]+Table1[[#This Row],[I_2]]*Table1[[#This Row],[t3_Ph_III]])</f>
        <v>12.997482170370599</v>
      </c>
      <c r="T177" s="354">
        <f>MIN(1,CHOOSE(Table1[[#This Row],[Mode Digit]],(Vout+(Rdson2+Rs+Rdcr)*Table1[[#This Row],[Iout]])/(Table1[[#This Row],[Vin]]+(Rs+Rdson2-Rdson1)*Table1[[#This Row],[Iout]]),1,Fsw*Table1[[#This Row],[t2_Ph_I]]+Table1[[#This Row],[t1_Ph_II]]))</f>
        <v>0.338691159586682</v>
      </c>
      <c r="U177" s="354">
        <f>MIN(1,CHOOSE(Table1[[#This Row],[Mode Digit]],0,(Vout+(Rdson3+Rdcr)*Table1[[#This Row],[Iin]]-Table1[[#This Row],[Vin]])/(Vout+(Rdson3-Rdson4-Rs)*Table1[[#This Row],[Iin]]),Fsw*Table1[[#This Row],[t1_Ph_II]]+Table1[[#This Row],[t3_Ph_III]]))</f>
        <v>0</v>
      </c>
      <c r="V177" s="4">
        <f>MAX(Table1[[#This Row],[I_0]:[I_2]])-MIN(Table1[[#This Row],[I_0]:[I_1]])</f>
        <v>6.1836795045750268</v>
      </c>
      <c r="W17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12.132043975272337</v>
      </c>
      <c r="X177" s="354">
        <f>(Table1[[#This Row],[Irms Lf]]^2*Rdcr*(1+Ltc*Ta-Ltc*25))/(1-Table1[[#This Row],[Irms Lf]]^2*Rdcr*Ltc*ThetaCa)</f>
        <v>0.91625699007964734</v>
      </c>
      <c r="Y177" s="354">
        <f>ABS(7.759*10^-3*Fsw^0.9458*(0.00787*Table1[[#This Row],[Ripple Current pk-pk]])^2.304)</f>
        <v>2.1386514577662528</v>
      </c>
      <c r="Z177" s="354">
        <f>Table1[[#This Row],[DCR    Loss]]+Table1[[#This Row],[Core Loss]]</f>
        <v>3.0549084478459001</v>
      </c>
      <c r="AA177" s="4">
        <f>IF(Table1[[#This Row],[Vin]]&gt;Vout, Table1[[#This Row],[Ripple Current pk-pk]]/SQRT(12), SQRT(Table1[[#This Row],[Duty Cycle BOOST Leg]]/(1-Table1[[#This Row],[Duty Cycle BOOST Leg]]))*SQRT(Table1[[#This Row],[Iout]]^2+(Table1[[#This Row],[Ripple Current pk-pk]]^2)/12))</f>
        <v>1.7850745132743817</v>
      </c>
      <c r="AB177" s="354">
        <f>RCoutEsr*Table1[[#This Row],[Irms Cout]]^2</f>
        <v>1.5932455089708857E-2</v>
      </c>
      <c r="AC177" s="354">
        <f>Table1[[#This Row],[Cout ESR Loss]]</f>
        <v>1.5932455089708857E-2</v>
      </c>
      <c r="AD177" s="354">
        <f>IF(Table1[[#This Row],[Vin]]&gt;Vout, SQRT(Table1[[#This Row],[Duty Cycle BUCK Leg]]*(1-Table1[[#This Row],[Duty Cycle BUCK Leg]]))*SQRT(Table1[[#This Row],[Iout]]^2+(Table1[[#This Row],[Ripple Current pk-pk]]^2)/12), Table1[[#This Row],[Ripple Current pk-pk]]/SQRT(12))</f>
        <v>5.7416679182781358</v>
      </c>
      <c r="AE177" s="354">
        <f>RCinEsr*Table1[[#This Row],[Irms Cin]]^2</f>
        <v>6.5933500967568767E-2</v>
      </c>
      <c r="AF177" s="549">
        <f>Table1[[#This Row],[Cin ESR Loss]]</f>
        <v>6.5933500967568767E-2</v>
      </c>
      <c r="AG17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7.0605072989383322</v>
      </c>
      <c r="AH177" s="354">
        <f>Rdson1*Table1[[#This Row],[Irms BuCtrl]]^2</f>
        <v>0.2093732059371182</v>
      </c>
      <c r="AI177" s="354">
        <f>CHOOSE(Table1[[#This Row],[Mode Digit]], (Table1[[#This Row],[Vin]]*Table1[[#This Row],[Iout]]/2)*(Fsw)*(Tr_buck+Tf_buck), 0, (Table1[[#This Row],[Vin]]*Table1[[#This Row],[Avg IL]]/2)*(Fsw/1)*(Tr_buck+Tf_buck))</f>
        <v>5.1787234722166104</v>
      </c>
      <c r="AJ177">
        <f>IF(Table1[[#This Row],[Vin]]&gt;Vout, IF(Table1[[#This Row],[Iout]]&gt;Table1[[#This Row],[Ripple Current pk-pk]]/2,0,ABS(Table1[[#This Row],[Iout]]-Table1[[#This Row],[Ripple Current pk-pk]]/2)*Vsd_Q1*Deadtime*Fsw),0)</f>
        <v>0</v>
      </c>
      <c r="AK177" s="354">
        <f>(Table1[[#This Row],[Dead Time Loss BuCtrl]]+Table1[[#This Row],[Transition Loss BuCtrl]]+Table1[[#This Row],[RDS(on) Loss BuCtrl]]*(1+RdsonTopTc*Ta-RdsonTopTc*25))/(1-Table1[[#This Row],[RDS(on) Loss BuCtrl]]*RdsonTopTc*ThetaJA_Q1)</f>
        <v>5.6731710823138402</v>
      </c>
      <c r="AL177" s="354">
        <f>CHOOSE(Table1[[#This Row],[Mode Digit]],SQRT((Fsw*(Table1[[#This Row],[t2_Ph_I]]+0))*((Table1[[#This Row],[I_0]]*Table1[[#This Row],[I_1]]+((Table1[[#This Row],[I_0]]-Table1[[#This Row],[I_1]])^2)/3))),0,SQRT((Fsw*(Table1[[#This Row],[t3_Ph_III]]+0))*((Table1[[#This Row],[I_0]]*Table1[[#This Row],[I_2]]+((Table1[[#This Row],[I_0]]-Table1[[#This Row],[I_2]])^2)/3))))</f>
        <v>9.8658870710940292</v>
      </c>
      <c r="AM177" s="354">
        <f>Rdson2*Table1[[#This Row],[Irms BuSync]]^2</f>
        <v>0.40881005633823742</v>
      </c>
      <c r="AN17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77" s="354">
        <f>(Table1[[#This Row],[Deadtime Loss BuSync]]+Table1[[#This Row],[RDS(on) Loss BuSync]]*(1+RdsonBotTc*Ta-RdsonBotTc*25))/(1-Table1[[#This Row],[RDS(on) Loss BuSync]]*RdsonBotTc*ThetaJA_Q2)</f>
        <v>1.0934662885122206</v>
      </c>
      <c r="AP177" s="354">
        <f>CHOOSE(Table1[[#This Row],[Mode Digit]],0,SQRT((Fsw*(Table1[[#This Row],[t1_Ph_II]]+0))*((Table1[[#This Row],[I_0]]*Table1[[#This Row],[I_1]]+((Table1[[#This Row],[I_0]]-Table1[[#This Row],[I_1]])^2)/3))),SQRT((Fsw*(Table1[[#This Row],[t2_Ph_I]]+0))*((Table1[[#This Row],[I_1]]*Table1[[#This Row],[I_2]]+((Table1[[#This Row],[I_1]]-Table1[[#This Row],[I_2]])^2)/3))))</f>
        <v>0</v>
      </c>
      <c r="AQ177" s="354">
        <f>Rdson4*Table1[[#This Row],[Irms BoCtlr]]^2</f>
        <v>0</v>
      </c>
      <c r="AR177" s="354">
        <f>CHOOSE(Table1[[#This Row],[Mode Digit]], 0, (Vout*Table1[[#This Row],[Iin]]/2)*(Fsw)*(Tr_boost+Tf_boost), (Vout*Iout/2)*(Fsw/1)*(Tr_boost+Tf_boost))</f>
        <v>0</v>
      </c>
      <c r="AS177">
        <f>IF(Table1[[#This Row],[Vin]]&gt;Vout, 0, IF(Table1[[#This Row],[Iin]]&gt;Table1[[#This Row],[Ripple Current pk-pk]]/2,0,ABS(Table1[[#This Row],[Iin]]-Table1[[#This Row],[Ripple Current pk-pk]]/2)*Vsd_Q4*Deadtime*Fsw))</f>
        <v>0</v>
      </c>
      <c r="AT177" s="354">
        <f>(Table1[[#This Row],[Dead Time Loss BoCtlr]]+Table1[[#This Row],[Transition Loss BoCtlr]]+Table1[[#This Row],[RDS(on) Loss BoCtlr]]*(1+RdsonTopTc*Ta-RdsonTopTc*25))/(1-Table1[[#This Row],[RDS(on) Loss BoCtlr]]*RdsonTopTc*ThetaJA_Q4)</f>
        <v>0</v>
      </c>
      <c r="AU17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12.132043975272337</v>
      </c>
      <c r="AV177" s="354">
        <f>Rdson3*Table1[[#This Row],[Irms BoSync]]^2</f>
        <v>0.61818326227535569</v>
      </c>
      <c r="AW17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77" s="354">
        <f>(Table1[[#This Row],[Deadtime Loss BoSync]]+Table1[[#This Row],[RDS(on) Loss BoSync]]*(1+RdsonBotTc*Ta-RdsonBotTc*25))/(1-Table1[[#This Row],[RDS(on) Loss BoSync]]*RdsonBotTc*ThetaJA_Q3)</f>
        <v>0.72587731131176469</v>
      </c>
      <c r="AY177" s="354">
        <f>CHOOSE(Table1[[#This Row],[Mode Digit]], Rdson3*Table1[[#This Row],[Irms Lf]]^2, Rdson1*Table1[[#This Row],[Irms Lf]]^2, 0)</f>
        <v>0.61818326227535569</v>
      </c>
      <c r="AZ177" s="354">
        <f>CHOOSE(Table1[[#This Row],[Mode Digit]], 2*Deadtime*Fsw*IF(VfdSky_Q2&gt;0,VfdSky_Q2,0)*Table1[[#This Row],[Iout]], 2*Deadtime*Fsw*IF(VfdSky_Q3&gt;0,VfdSky_Q3,0)*Table1[[#This Row],[Iin]], 2*Deadtime*Fsw*IF(VfdSky_Q2&gt;0,VfdSky_Q2,0)*Table1[[#This Row],[Iout]]+2*Deadtime*Fsw*IF(VfdSky_Q3&gt;0,VfdSky_Q3,0)*Table1[[#This Row],[Iin]])</f>
        <v>0</v>
      </c>
      <c r="BA177" s="354">
        <f>CHOOSE(Table1[[#This Row],[Mode Digit]], IF(QrrSky_Q2&gt;0,QrrSky_Q2,Qrr_Q2)*Fsw*(Table1[[#This Row],[Vin]]-Table1[[#This Row],[Iout]]*Rdson1),0,  IF(QrrSky_Q2&gt;0,QrrSky_Q2,Qrr_Q2)*Fsw*(Table1[[#This Row],[Vin]]-Table1[[#This Row],[Iout]]*Rdson1)+IF(QrrSky_Q3&gt;0,QrrSky_Q3,Qrr_Q3)*Fsw*Vout)</f>
        <v>0.52163519999999997</v>
      </c>
      <c r="BB177" s="354">
        <f>CHOOSE(Table1[[#This Row],[Mode Digit]],0, IF(QrrSky_Q3&gt;0,QrrSky_Q3,Qrr_Q3)*Fsw*Vout,  IF(QrrSky_Q2&gt;0,QrrSky_Q2,Qrr_Q2)*Fsw*(Table1[[#This Row],[Vin]]-Table1[[#This Row],[Iout]]*Rdson1)+IF(QrrSky_Q3&gt;0,QrrSky_Q3,Qrr_Q3)*Fsw*Vout)</f>
        <v>0</v>
      </c>
      <c r="BC177" s="354">
        <f>CHOOSE(Table1[[#This Row],[Mode Digit]], Rs*Table1[[#This Row],[Irms BuSync]]^2, Rs*Table1[[#This Row],[Irms BoCtlr]]^2, Rs*(Table1[[#This Row],[Irms BuSync]]^2+Table1[[#This Row],[Irms BoCtlr]]^2))</f>
        <v>0.2433393192489508</v>
      </c>
      <c r="BD177" s="354">
        <f t="shared" si="8"/>
        <v>1.44</v>
      </c>
      <c r="BE177" s="354">
        <f>IF(Vout&gt;8, Iq*Vout, Iq*Table1[[#This Row],[Vin]])</f>
        <v>4.3799999999999999E-2</v>
      </c>
      <c r="BF177" s="354">
        <f>CHOOSE(Table1[[#This Row],[Mode Digit]], (Qg_Q1+Qg_Q2)*Fsw, (Qg_Q3+Qg_Q4)*Fsw, (Qg_Q1+Qg_Q2+Qg_Q3+Qg_Q4)*Fsw)*IF(Vout&gt;8, Vout, Table1[[#This Row],[Vin]])</f>
        <v>0.47303999999999996</v>
      </c>
      <c r="BG177" s="354">
        <f t="shared" si="9"/>
        <v>0.45605042016806729</v>
      </c>
      <c r="BH177" s="354">
        <f>Table1[[#This Row],[IQ Loss]]+Table1[[#This Row],[Switching Current Loss]]</f>
        <v>0.51683999999999997</v>
      </c>
      <c r="BI17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13.351103605289955</v>
      </c>
      <c r="BJ177">
        <f>Vout*Table1[[#This Row],[Iout]]</f>
        <v>175.2</v>
      </c>
      <c r="BK177" s="550">
        <f>Table1[[#This Row],[Pout]]/(Table1[[#This Row],[Pout]]+Table1[[#This Row],[Total Loss]])</f>
        <v>0.92919106093784021</v>
      </c>
      <c r="BL17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340.3902649388304</v>
      </c>
      <c r="BM177" s="559">
        <f>IF(Table1[[#This Row],[Vin]]&gt;Vout, Table1[[#This Row],[Total Sync Bu MOSFET Loss]]*ThetaJA_Q2, ThetaJA_Q3*Table1[[#This Row],[Total Sync Bo MOSFET Loss]])</f>
        <v>65.607977310733233</v>
      </c>
      <c r="BN177" s="9"/>
      <c r="BO177" s="4">
        <f>Table1[[#This Row],[EFF, h]]*100</f>
        <v>92.919106093784023</v>
      </c>
      <c r="BP177" s="354">
        <f>Table1[[#This Row],[Total Inductor Loss]]</f>
        <v>3.0549084478459001</v>
      </c>
      <c r="BQ177" s="354">
        <f>Table1[[#This Row],[Total Control Bu MOSFET Loss]]+Table1[[#This Row],[Total Sync Bu MOSFET Loss]]+Table1[[#This Row],[Total Control Bo MOSFET Loss]]+Table1[[#This Row],[Total Sync Bo MOSFET Loss]]+Table1[[#This Row],[Reverse Recovery Loss MOSFET D BUCK]]+Table1[[#This Row],[Reverse Recovery Loss MOSFET D BOOST]]</f>
        <v>8.0141498821378256</v>
      </c>
      <c r="BR177" s="354">
        <f>Table1[[#This Row],[Total Control Bu MOSFET Loss]]+Table1[[#This Row],[Reverse Recovery Loss MOSFET D BUCK]]*0.66</f>
        <v>6.01745031431384</v>
      </c>
      <c r="BS177" s="354">
        <f>Table1[[#This Row],[Total Sync Bu MOSFET Loss]]+Table1[[#This Row],[Reverse Recovery Loss MOSFET D BUCK]]*0.33</f>
        <v>1.2656059045122205</v>
      </c>
      <c r="BT177" s="354">
        <f xml:space="preserve"> Table1[[#This Row],[Total Control Bo MOSFET Loss]]+Table1[[#This Row],[Reverse Recovery Loss MOSFET D BOOST]]*0.66</f>
        <v>0</v>
      </c>
      <c r="BU177" s="354">
        <f xml:space="preserve"> Table1[[#This Row],[Total Sync Bo MOSFET Loss]]+Table1[[#This Row],[Reverse Recovery Loss MOSFET D BOOST]]*0.33</f>
        <v>0.72587731131176469</v>
      </c>
      <c r="BV177" s="354">
        <f>Table1[[#This Row],[Isense Shunt Loss]]</f>
        <v>0.2433393192489508</v>
      </c>
    </row>
    <row r="178" spans="7:74" x14ac:dyDescent="0.2">
      <c r="G178">
        <v>169</v>
      </c>
      <c r="H178" s="555">
        <f>VIN_min+(VIN_max-VIN_min)*(Table1[[#This Row],[Step]]/200)</f>
        <v>43.66</v>
      </c>
      <c r="I178" s="4" t="str">
        <f>IF(Mode = 2,IF(Table1[[#This Row],[Vin]]&gt;Vout, "BUCK","BOOST"),IF(Table1[[#This Row],[Vin]]&gt;VIN_BB_to_buck, "BUCK", IF(Table1[[#This Row],[Vin]]&lt;=VIN_boost_to_BB,"BOOST","BUCK-BST")))</f>
        <v>BUCK</v>
      </c>
      <c r="J178">
        <f>IF(Table1[[#This Row],[Mode]]="BOOST",2, IF(Table1[[#This Row],[Mode]]="BUCK", 1,3))</f>
        <v>1</v>
      </c>
      <c r="K178">
        <f t="shared" si="7"/>
        <v>12</v>
      </c>
      <c r="L178" s="4">
        <f>Vout*Table1[[#This Row],[Iout]]/(Table1[[#This Row],[Vin]]*Efficiency)</f>
        <v>4.2240277744292021</v>
      </c>
      <c r="M178" s="711">
        <f>MIN(1/Fsw,CHOOSE(Table1[[#This Row],[Mode Digit]],(Vout+(Rdson2+Rs+Rdcr)*Table1[[#This Row],[Iout]])/(Table1[[#This Row],[Vin]]+(Rs+Rdson2-Rdson1)*Table1[[#This Row],[Iout]])/Fsw,(Vout+(Rdson3+Rdcr)*Table1[[#This Row],[Iin]]-Table1[[#This Row],[Vin]])/(Vout+(Rdson3-Rdson4-Rs)*Table1[[#This Row],[Iin]])/Fsw,t1_Ph_II))</f>
        <v>5.6267643244068062E-7</v>
      </c>
      <c r="N178" s="602">
        <f>CHOOSE(Table1[[#This Row],[Mode Digit]],1/Fsw-Table1[[#This Row],[t1_Ph_II]],1/Fsw-Table1[[#This Row],[t1_Ph_II]],(Vout/Fsw-Table1[[#This Row],[Vin]]*t1_Ph_II)/(Table1[[#This Row],[Vin]]+Vout))</f>
        <v>1.1039902342259861E-6</v>
      </c>
      <c r="O178" s="602">
        <f>1/Fsw-(Table1[[#This Row],[t1_Ph_II]]+Table1[[#This Row],[t2_Ph_I]])</f>
        <v>0</v>
      </c>
      <c r="P17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8.9031482714533752</v>
      </c>
      <c r="Q178" s="4">
        <f>CHOOSE(Table1[[#This Row],[Mode Digit]],Table1[[#This Row],[I_0]]+1/Lf*(Table1[[#This Row],[Vin]]-Vout)*Table1[[#This Row],[t1_Ph_II]],Table1[[#This Row],[I_0]]+1/Lf*Table1[[#This Row],[Vin]]*Table1[[#This Row],[t1_Ph_II]],Table1[[#This Row],[I_0]]+(Table1[[#This Row],[Vin]]-Vout)/L*Table1[[#This Row],[t1_Ph_II]])</f>
        <v>15.096851728546625</v>
      </c>
      <c r="R178" s="4">
        <f>CHOOSE(Table1[[#This Row],[Mode Digit]],0,0,Table1[[#This Row],[I_1]]+Table1[[#This Row],[Vin]]/L*Table1[[#This Row],[t2_Ph_I]])</f>
        <v>0</v>
      </c>
      <c r="S178" s="4">
        <f>Fsw*(Table1[[#This Row],[I_0]]*Table1[[#This Row],[t1_Ph_II]]+Table1[[#This Row],[I_1]]*Table1[[#This Row],[t2_Ph_I]]+Table1[[#This Row],[I_2]]*Table1[[#This Row],[t3_Ph_III]])</f>
        <v>13.00582114964698</v>
      </c>
      <c r="T178" s="354">
        <f>MIN(1,CHOOSE(Table1[[#This Row],[Mode Digit]],(Vout+(Rdson2+Rs+Rdcr)*Table1[[#This Row],[Iout]])/(Table1[[#This Row],[Vin]]+(Rs+Rdson2-Rdson1)*Table1[[#This Row],[Iout]]),1,Fsw*Table1[[#This Row],[t2_Ph_I]]+Table1[[#This Row],[t1_Ph_II]]))</f>
        <v>0.33760585946440835</v>
      </c>
      <c r="U178" s="354">
        <f>MIN(1,CHOOSE(Table1[[#This Row],[Mode Digit]],0,(Vout+(Rdson3+Rdcr)*Table1[[#This Row],[Iin]]-Table1[[#This Row],[Vin]])/(Vout+(Rdson3-Rdson4-Rs)*Table1[[#This Row],[Iin]]),Fsw*Table1[[#This Row],[t1_Ph_II]]+Table1[[#This Row],[t3_Ph_III]]))</f>
        <v>0</v>
      </c>
      <c r="V178" s="4">
        <f>MAX(Table1[[#This Row],[I_0]:[I_2]])-MIN(Table1[[#This Row],[I_0]:[I_1]])</f>
        <v>6.1937034570932497</v>
      </c>
      <c r="W17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12.132470078658098</v>
      </c>
      <c r="X178" s="354">
        <f>(Table1[[#This Row],[Irms Lf]]^2*Rdcr*(1+Ltc*Ta-Ltc*25))/(1-Table1[[#This Row],[Irms Lf]]^2*Rdcr*Ltc*ThetaCa)</f>
        <v>0.91632607122416176</v>
      </c>
      <c r="Y178" s="354">
        <f>ABS(7.759*10^-3*Fsw^0.9458*(0.00787*Table1[[#This Row],[Ripple Current pk-pk]])^2.304)</f>
        <v>2.1466474683468624</v>
      </c>
      <c r="Z178" s="354">
        <f>Table1[[#This Row],[DCR    Loss]]+Table1[[#This Row],[Core Loss]]</f>
        <v>3.0629735395710243</v>
      </c>
      <c r="AA178" s="4">
        <f>IF(Table1[[#This Row],[Vin]]&gt;Vout, Table1[[#This Row],[Ripple Current pk-pk]]/SQRT(12), SQRT(Table1[[#This Row],[Duty Cycle BOOST Leg]]/(1-Table1[[#This Row],[Duty Cycle BOOST Leg]]))*SQRT(Table1[[#This Row],[Iout]]^2+(Table1[[#This Row],[Ripple Current pk-pk]]^2)/12))</f>
        <v>1.7879681791167519</v>
      </c>
      <c r="AB178" s="354">
        <f>RCoutEsr*Table1[[#This Row],[Irms Cout]]^2</f>
        <v>1.5984151047670366E-2</v>
      </c>
      <c r="AC178" s="354">
        <f>Table1[[#This Row],[Cout ESR Loss]]</f>
        <v>1.5984151047670366E-2</v>
      </c>
      <c r="AD178" s="354">
        <f>IF(Table1[[#This Row],[Vin]]&gt;Vout, SQRT(Table1[[#This Row],[Duty Cycle BUCK Leg]]*(1-Table1[[#This Row],[Duty Cycle BUCK Leg]]))*SQRT(Table1[[#This Row],[Iout]]^2+(Table1[[#This Row],[Ripple Current pk-pk]]^2)/12), Table1[[#This Row],[Ripple Current pk-pk]]/SQRT(12))</f>
        <v>5.7373647097656981</v>
      </c>
      <c r="AE178" s="354">
        <f>RCinEsr*Table1[[#This Row],[Irms Cin]]^2</f>
        <v>6.5834707625729669E-2</v>
      </c>
      <c r="AF178" s="549">
        <f>Table1[[#This Row],[Cin ESR Loss]]</f>
        <v>6.5834707625729669E-2</v>
      </c>
      <c r="AG17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7.0494334788922108</v>
      </c>
      <c r="AH178" s="354">
        <f>Rdson1*Table1[[#This Row],[Irms BuCtrl]]^2</f>
        <v>0.20871695196797066</v>
      </c>
      <c r="AI178" s="354">
        <f>CHOOSE(Table1[[#This Row],[Mode Digit]], (Table1[[#This Row],[Vin]]*Table1[[#This Row],[Iout]]/2)*(Fsw)*(Tr_buck+Tf_buck), 0, (Table1[[#This Row],[Vin]]*Table1[[#This Row],[Avg IL]]/2)*(Fsw/1)*(Tr_buck+Tf_buck))</f>
        <v>5.1953829686805424</v>
      </c>
      <c r="AJ178">
        <f>IF(Table1[[#This Row],[Vin]]&gt;Vout, IF(Table1[[#This Row],[Iout]]&gt;Table1[[#This Row],[Ripple Current pk-pk]]/2,0,ABS(Table1[[#This Row],[Iout]]-Table1[[#This Row],[Ripple Current pk-pk]]/2)*Vsd_Q1*Deadtime*Fsw),0)</f>
        <v>0</v>
      </c>
      <c r="AK178" s="354">
        <f>(Table1[[#This Row],[Dead Time Loss BuCtrl]]+Table1[[#This Row],[Transition Loss BuCtrl]]+Table1[[#This Row],[RDS(on) Loss BuCtrl]]*(1+RdsonTopTc*Ta-RdsonTopTc*25))/(1-Table1[[#This Row],[RDS(on) Loss BuCtrl]]*RdsonTopTc*ThetaJA_Q1)</f>
        <v>5.68907758455852</v>
      </c>
      <c r="AL178" s="354">
        <f>CHOOSE(Table1[[#This Row],[Mode Digit]],SQRT((Fsw*(Table1[[#This Row],[t2_Ph_I]]+0))*((Table1[[#This Row],[I_0]]*Table1[[#This Row],[I_1]]+((Table1[[#This Row],[I_0]]-Table1[[#This Row],[I_1]])^2)/3))),0,SQRT((Fsw*(Table1[[#This Row],[t3_Ph_III]]+0))*((Table1[[#This Row],[I_0]]*Table1[[#This Row],[I_2]]+((Table1[[#This Row],[I_0]]-Table1[[#This Row],[I_2]])^2)/3))))</f>
        <v>9.8743261965669191</v>
      </c>
      <c r="AM178" s="354">
        <f>Rdson2*Table1[[#This Row],[Irms BuSync]]^2</f>
        <v>0.40950973491207249</v>
      </c>
      <c r="AN17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78" s="354">
        <f>(Table1[[#This Row],[Deadtime Loss BuSync]]+Table1[[#This Row],[RDS(on) Loss BuSync]]*(1+RdsonBotTc*Ta-RdsonBotTc*25))/(1-Table1[[#This Row],[RDS(on) Loss BuSync]]*RdsonBotTc*ThetaJA_Q2)</f>
        <v>1.0944458596057665</v>
      </c>
      <c r="AP178" s="354">
        <f>CHOOSE(Table1[[#This Row],[Mode Digit]],0,SQRT((Fsw*(Table1[[#This Row],[t1_Ph_II]]+0))*((Table1[[#This Row],[I_0]]*Table1[[#This Row],[I_1]]+((Table1[[#This Row],[I_0]]-Table1[[#This Row],[I_1]])^2)/3))),SQRT((Fsw*(Table1[[#This Row],[t2_Ph_I]]+0))*((Table1[[#This Row],[I_1]]*Table1[[#This Row],[I_2]]+((Table1[[#This Row],[I_1]]-Table1[[#This Row],[I_2]])^2)/3))))</f>
        <v>0</v>
      </c>
      <c r="AQ178" s="354">
        <f>Rdson4*Table1[[#This Row],[Irms BoCtlr]]^2</f>
        <v>0</v>
      </c>
      <c r="AR178" s="354">
        <f>CHOOSE(Table1[[#This Row],[Mode Digit]], 0, (Vout*Table1[[#This Row],[Iin]]/2)*(Fsw)*(Tr_boost+Tf_boost), (Vout*Iout/2)*(Fsw/1)*(Tr_boost+Tf_boost))</f>
        <v>0</v>
      </c>
      <c r="AS178">
        <f>IF(Table1[[#This Row],[Vin]]&gt;Vout, 0, IF(Table1[[#This Row],[Iin]]&gt;Table1[[#This Row],[Ripple Current pk-pk]]/2,0,ABS(Table1[[#This Row],[Iin]]-Table1[[#This Row],[Ripple Current pk-pk]]/2)*Vsd_Q4*Deadtime*Fsw))</f>
        <v>0</v>
      </c>
      <c r="AT178" s="354">
        <f>(Table1[[#This Row],[Dead Time Loss BoCtlr]]+Table1[[#This Row],[Transition Loss BoCtlr]]+Table1[[#This Row],[RDS(on) Loss BoCtlr]]*(1+RdsonTopTc*Ta-RdsonTopTc*25))/(1-Table1[[#This Row],[RDS(on) Loss BoCtlr]]*RdsonTopTc*ThetaJA_Q4)</f>
        <v>0</v>
      </c>
      <c r="AU17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12.132470078658098</v>
      </c>
      <c r="AV178" s="354">
        <f>Rdson3*Table1[[#This Row],[Irms BoSync]]^2</f>
        <v>0.61822668688004312</v>
      </c>
      <c r="AW17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78" s="354">
        <f>(Table1[[#This Row],[Deadtime Loss BoSync]]+Table1[[#This Row],[RDS(on) Loss BoSync]]*(1+RdsonBotTc*Ta-RdsonBotTc*25))/(1-Table1[[#This Row],[RDS(on) Loss BoSync]]*RdsonBotTc*ThetaJA_Q3)</f>
        <v>0.7259371846052034</v>
      </c>
      <c r="AY178" s="354">
        <f>CHOOSE(Table1[[#This Row],[Mode Digit]], Rdson3*Table1[[#This Row],[Irms Lf]]^2, Rdson1*Table1[[#This Row],[Irms Lf]]^2, 0)</f>
        <v>0.61822668688004312</v>
      </c>
      <c r="AZ178" s="354">
        <f>CHOOSE(Table1[[#This Row],[Mode Digit]], 2*Deadtime*Fsw*IF(VfdSky_Q2&gt;0,VfdSky_Q2,0)*Table1[[#This Row],[Iout]], 2*Deadtime*Fsw*IF(VfdSky_Q3&gt;0,VfdSky_Q3,0)*Table1[[#This Row],[Iin]], 2*Deadtime*Fsw*IF(VfdSky_Q2&gt;0,VfdSky_Q2,0)*Table1[[#This Row],[Iout]]+2*Deadtime*Fsw*IF(VfdSky_Q3&gt;0,VfdSky_Q3,0)*Table1[[#This Row],[Iin]])</f>
        <v>0</v>
      </c>
      <c r="BA178" s="354">
        <f>CHOOSE(Table1[[#This Row],[Mode Digit]], IF(QrrSky_Q2&gt;0,QrrSky_Q2,Qrr_Q2)*Fsw*(Table1[[#This Row],[Vin]]-Table1[[#This Row],[Iout]]*Rdson1),0,  IF(QrrSky_Q2&gt;0,QrrSky_Q2,Qrr_Q2)*Fsw*(Table1[[#This Row],[Vin]]-Table1[[#This Row],[Iout]]*Rdson1)+IF(QrrSky_Q3&gt;0,QrrSky_Q3,Qrr_Q3)*Fsw*Vout)</f>
        <v>0.52331519999999998</v>
      </c>
      <c r="BB178" s="354">
        <f>CHOOSE(Table1[[#This Row],[Mode Digit]],0, IF(QrrSky_Q3&gt;0,QrrSky_Q3,Qrr_Q3)*Fsw*Vout,  IF(QrrSky_Q2&gt;0,QrrSky_Q2,Qrr_Q2)*Fsw*(Table1[[#This Row],[Vin]]-Table1[[#This Row],[Iout]]*Rdson1)+IF(QrrSky_Q3&gt;0,QrrSky_Q3,Qrr_Q3)*Fsw*Vout)</f>
        <v>0</v>
      </c>
      <c r="BC178" s="354">
        <f>CHOOSE(Table1[[#This Row],[Mode Digit]], Rs*Table1[[#This Row],[Irms BuSync]]^2, Rs*Table1[[#This Row],[Irms BoCtlr]]^2, Rs*(Table1[[#This Row],[Irms BuSync]]^2+Table1[[#This Row],[Irms BoCtlr]]^2))</f>
        <v>0.24375579459051933</v>
      </c>
      <c r="BD178" s="354">
        <f t="shared" si="8"/>
        <v>1.44</v>
      </c>
      <c r="BE178" s="354">
        <f>IF(Vout&gt;8, Iq*Vout, Iq*Table1[[#This Row],[Vin]])</f>
        <v>4.3799999999999999E-2</v>
      </c>
      <c r="BF178" s="354">
        <f>CHOOSE(Table1[[#This Row],[Mode Digit]], (Qg_Q1+Qg_Q2)*Fsw, (Qg_Q3+Qg_Q4)*Fsw, (Qg_Q1+Qg_Q2+Qg_Q3+Qg_Q4)*Fsw)*IF(Vout&gt;8, Vout, Table1[[#This Row],[Vin]])</f>
        <v>0.47303999999999996</v>
      </c>
      <c r="BG178" s="354">
        <f t="shared" si="9"/>
        <v>0.45605042016806729</v>
      </c>
      <c r="BH178" s="354">
        <f>Table1[[#This Row],[IQ Loss]]+Table1[[#This Row],[Switching Current Loss]]</f>
        <v>0.51683999999999997</v>
      </c>
      <c r="BI17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13.378164021604436</v>
      </c>
      <c r="BJ178">
        <f>Vout*Table1[[#This Row],[Iout]]</f>
        <v>175.2</v>
      </c>
      <c r="BK178" s="550">
        <f>Table1[[#This Row],[Pout]]/(Table1[[#This Row],[Pout]]+Table1[[#This Row],[Total Loss]])</f>
        <v>0.92905772473173631</v>
      </c>
      <c r="BL17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341.34465507351121</v>
      </c>
      <c r="BM178" s="559">
        <f>IF(Table1[[#This Row],[Vin]]&gt;Vout, Table1[[#This Row],[Total Sync Bu MOSFET Loss]]*ThetaJA_Q2, ThetaJA_Q3*Table1[[#This Row],[Total Sync Bo MOSFET Loss]])</f>
        <v>65.666751576345987</v>
      </c>
      <c r="BN178" s="9"/>
      <c r="BO178" s="4">
        <f>Table1[[#This Row],[EFF, h]]*100</f>
        <v>92.905772473173627</v>
      </c>
      <c r="BP178" s="354">
        <f>Table1[[#This Row],[Total Inductor Loss]]</f>
        <v>3.0629735395710243</v>
      </c>
      <c r="BQ178" s="354">
        <f>Table1[[#This Row],[Total Control Bu MOSFET Loss]]+Table1[[#This Row],[Total Sync Bu MOSFET Loss]]+Table1[[#This Row],[Total Control Bo MOSFET Loss]]+Table1[[#This Row],[Total Sync Bo MOSFET Loss]]+Table1[[#This Row],[Reverse Recovery Loss MOSFET D BUCK]]+Table1[[#This Row],[Reverse Recovery Loss MOSFET D BOOST]]</f>
        <v>8.0327758287694895</v>
      </c>
      <c r="BR178" s="354">
        <f>Table1[[#This Row],[Total Control Bu MOSFET Loss]]+Table1[[#This Row],[Reverse Recovery Loss MOSFET D BUCK]]*0.66</f>
        <v>6.0344656165585198</v>
      </c>
      <c r="BS178" s="354">
        <f>Table1[[#This Row],[Total Sync Bu MOSFET Loss]]+Table1[[#This Row],[Reverse Recovery Loss MOSFET D BUCK]]*0.33</f>
        <v>1.2671398756057664</v>
      </c>
      <c r="BT178" s="354">
        <f xml:space="preserve"> Table1[[#This Row],[Total Control Bo MOSFET Loss]]+Table1[[#This Row],[Reverse Recovery Loss MOSFET D BOOST]]*0.66</f>
        <v>0</v>
      </c>
      <c r="BU178" s="354">
        <f xml:space="preserve"> Table1[[#This Row],[Total Sync Bo MOSFET Loss]]+Table1[[#This Row],[Reverse Recovery Loss MOSFET D BOOST]]*0.33</f>
        <v>0.7259371846052034</v>
      </c>
      <c r="BV178" s="354">
        <f>Table1[[#This Row],[Isense Shunt Loss]]</f>
        <v>0.24375579459051933</v>
      </c>
    </row>
    <row r="179" spans="7:74" x14ac:dyDescent="0.2">
      <c r="G179">
        <v>170</v>
      </c>
      <c r="H179" s="555">
        <f>VIN_min+(VIN_max-VIN_min)*(Table1[[#This Row],[Step]]/200)</f>
        <v>43.8</v>
      </c>
      <c r="I179" s="4" t="str">
        <f>IF(Mode = 2,IF(Table1[[#This Row],[Vin]]&gt;Vout, "BUCK","BOOST"),IF(Table1[[#This Row],[Vin]]&gt;VIN_BB_to_buck, "BUCK", IF(Table1[[#This Row],[Vin]]&lt;=VIN_boost_to_BB,"BOOST","BUCK-BST")))</f>
        <v>BUCK</v>
      </c>
      <c r="J179">
        <f>IF(Table1[[#This Row],[Mode]]="BOOST",2, IF(Table1[[#This Row],[Mode]]="BUCK", 1,3))</f>
        <v>1</v>
      </c>
      <c r="K179">
        <f t="shared" si="7"/>
        <v>12</v>
      </c>
      <c r="L179" s="4">
        <f>Vout*Table1[[#This Row],[Iout]]/(Table1[[#This Row],[Vin]]*Efficiency)</f>
        <v>4.2105263157894743</v>
      </c>
      <c r="M179" s="711">
        <f>MIN(1/Fsw,CHOOSE(Table1[[#This Row],[Mode Digit]],(Vout+(Rdson2+Rs+Rdcr)*Table1[[#This Row],[Iout]])/(Table1[[#This Row],[Vin]]+(Rs+Rdson2-Rdson1)*Table1[[#This Row],[Iout]])/Fsw,(Vout+(Rdson3+Rdcr)*Table1[[#This Row],[Iin]]-Table1[[#This Row],[Vin]])/(Vout+(Rdson3-Rdson4-Rs)*Table1[[#This Row],[Iin]])/Fsw,t1_Ph_II))</f>
        <v>5.6087915430831245E-7</v>
      </c>
      <c r="N179" s="602">
        <f>CHOOSE(Table1[[#This Row],[Mode Digit]],1/Fsw-Table1[[#This Row],[t1_Ph_II]],1/Fsw-Table1[[#This Row],[t1_Ph_II]],(Vout/Fsw-Table1[[#This Row],[Vin]]*t1_Ph_II)/(Table1[[#This Row],[Vin]]+Vout))</f>
        <v>1.1057875123583543E-6</v>
      </c>
      <c r="O179" s="602">
        <f>1/Fsw-(Table1[[#This Row],[t1_Ph_II]]+Table1[[#This Row],[t2_Ph_I]])</f>
        <v>0</v>
      </c>
      <c r="P17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8.8981683132949385</v>
      </c>
      <c r="Q179" s="4">
        <f>CHOOSE(Table1[[#This Row],[Mode Digit]],Table1[[#This Row],[I_0]]+1/Lf*(Table1[[#This Row],[Vin]]-Vout)*Table1[[#This Row],[t1_Ph_II]],Table1[[#This Row],[I_0]]+1/Lf*Table1[[#This Row],[Vin]]*Table1[[#This Row],[t1_Ph_II]],Table1[[#This Row],[I_0]]+(Table1[[#This Row],[Vin]]-Vout)/L*Table1[[#This Row],[t1_Ph_II]])</f>
        <v>15.10183168670506</v>
      </c>
      <c r="R179" s="4">
        <f>CHOOSE(Table1[[#This Row],[Mode Digit]],0,0,Table1[[#This Row],[I_1]]+Table1[[#This Row],[Vin]]/L*Table1[[#This Row],[t2_Ph_I]])</f>
        <v>0</v>
      </c>
      <c r="S179" s="4">
        <f>Fsw*(Table1[[#This Row],[I_0]]*Table1[[#This Row],[t1_Ph_II]]+Table1[[#This Row],[I_1]]*Table1[[#This Row],[t2_Ph_I]]+Table1[[#This Row],[I_2]]*Table1[[#This Row],[t3_Ph_III]])</f>
        <v>13.014128406810029</v>
      </c>
      <c r="T179" s="354">
        <f>MIN(1,CHOOSE(Table1[[#This Row],[Mode Digit]],(Vout+(Rdson2+Rs+Rdcr)*Table1[[#This Row],[Iout]])/(Table1[[#This Row],[Vin]]+(Rs+Rdson2-Rdson1)*Table1[[#This Row],[Iout]]),1,Fsw*Table1[[#This Row],[t2_Ph_I]]+Table1[[#This Row],[t1_Ph_II]]))</f>
        <v>0.33652749258498749</v>
      </c>
      <c r="U179" s="354">
        <f>MIN(1,CHOOSE(Table1[[#This Row],[Mode Digit]],0,(Vout+(Rdson3+Rdcr)*Table1[[#This Row],[Iin]]-Table1[[#This Row],[Vin]])/(Vout+(Rdson3-Rdson4-Rs)*Table1[[#This Row],[Iin]]),Fsw*Table1[[#This Row],[t1_Ph_II]]+Table1[[#This Row],[t3_Ph_III]]))</f>
        <v>0</v>
      </c>
      <c r="V179" s="4">
        <f>MAX(Table1[[#This Row],[I_0]:[I_2]])-MIN(Table1[[#This Row],[I_0]:[I_1]])</f>
        <v>6.2036633734101212</v>
      </c>
      <c r="W17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12.13289412867141</v>
      </c>
      <c r="X179" s="354">
        <f>(Table1[[#This Row],[Irms Lf]]^2*Rdcr*(1+Ltc*Ta-Ltc*25))/(1-Table1[[#This Row],[Irms Lf]]^2*Rdcr*Ltc*ThetaCa)</f>
        <v>0.91639482258488369</v>
      </c>
      <c r="Y179" s="354">
        <f>ABS(7.759*10^-3*Fsw^0.9458*(0.00787*Table1[[#This Row],[Ripple Current pk-pk]])^2.304)</f>
        <v>2.1546091289756295</v>
      </c>
      <c r="Z179" s="354">
        <f>Table1[[#This Row],[DCR    Loss]]+Table1[[#This Row],[Core Loss]]</f>
        <v>3.0710039515605132</v>
      </c>
      <c r="AA179" s="4">
        <f>IF(Table1[[#This Row],[Vin]]&gt;Vout, Table1[[#This Row],[Ripple Current pk-pk]]/SQRT(12), SQRT(Table1[[#This Row],[Duty Cycle BOOST Leg]]/(1-Table1[[#This Row],[Duty Cycle BOOST Leg]]))*SQRT(Table1[[#This Row],[Iout]]^2+(Table1[[#This Row],[Ripple Current pk-pk]]^2)/12))</f>
        <v>1.7908433593000779</v>
      </c>
      <c r="AB179" s="354">
        <f>RCoutEsr*Table1[[#This Row],[Irms Cout]]^2</f>
        <v>1.6035599687745938E-2</v>
      </c>
      <c r="AC179" s="354">
        <f>Table1[[#This Row],[Cout ESR Loss]]</f>
        <v>1.6035599687745938E-2</v>
      </c>
      <c r="AD179" s="354">
        <f>IF(Table1[[#This Row],[Vin]]&gt;Vout, SQRT(Table1[[#This Row],[Duty Cycle BUCK Leg]]*(1-Table1[[#This Row],[Duty Cycle BUCK Leg]]))*SQRT(Table1[[#This Row],[Iout]]^2+(Table1[[#This Row],[Ripple Current pk-pk]]^2)/12), Table1[[#This Row],[Ripple Current pk-pk]]/SQRT(12))</f>
        <v>5.7330555329826502</v>
      </c>
      <c r="AE179" s="354">
        <f>RCinEsr*Table1[[#This Row],[Irms Cin]]^2</f>
        <v>6.5735851488525968E-2</v>
      </c>
      <c r="AF179" s="549">
        <f>Table1[[#This Row],[Cin ESR Loss]]</f>
        <v>6.5735851488525968E-2</v>
      </c>
      <c r="AG17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7.0384119631661903</v>
      </c>
      <c r="AH179" s="354">
        <f>Rdson1*Table1[[#This Row],[Irms BuCtrl]]^2</f>
        <v>0.208064820445612</v>
      </c>
      <c r="AI179" s="354">
        <f>CHOOSE(Table1[[#This Row],[Mode Digit]], (Table1[[#This Row],[Vin]]*Table1[[#This Row],[Iout]]/2)*(Fsw)*(Tr_buck+Tf_buck), 0, (Table1[[#This Row],[Vin]]*Table1[[#This Row],[Avg IL]]/2)*(Fsw/1)*(Tr_buck+Tf_buck))</f>
        <v>5.2120424651444734</v>
      </c>
      <c r="AJ179">
        <f>IF(Table1[[#This Row],[Vin]]&gt;Vout, IF(Table1[[#This Row],[Iout]]&gt;Table1[[#This Row],[Ripple Current pk-pk]]/2,0,ABS(Table1[[#This Row],[Iout]]-Table1[[#This Row],[Ripple Current pk-pk]]/2)*Vsd_Q1*Deadtime*Fsw),0)</f>
        <v>0</v>
      </c>
      <c r="AK179" s="354">
        <f>(Table1[[#This Row],[Dead Time Loss BuCtrl]]+Table1[[#This Row],[Transition Loss BuCtrl]]+Table1[[#This Row],[RDS(on) Loss BuCtrl]]*(1+RdsonTopTc*Ta-RdsonTopTc*25))/(1-Table1[[#This Row],[RDS(on) Loss BuCtrl]]*RdsonTopTc*ThetaJA_Q1)</f>
        <v>5.7049890931022018</v>
      </c>
      <c r="AL179" s="354">
        <f>CHOOSE(Table1[[#This Row],[Mode Digit]],SQRT((Fsw*(Table1[[#This Row],[t2_Ph_I]]+0))*((Table1[[#This Row],[I_0]]*Table1[[#This Row],[I_1]]+((Table1[[#This Row],[I_0]]-Table1[[#This Row],[I_1]])^2)/3))),0,SQRT((Fsw*(Table1[[#This Row],[t3_Ph_III]]+0))*((Table1[[#This Row],[I_0]]*Table1[[#This Row],[I_2]]+((Table1[[#This Row],[I_0]]-Table1[[#This Row],[I_2]])^2)/3))))</f>
        <v>9.8827059540547015</v>
      </c>
      <c r="AM179" s="354">
        <f>Rdson2*Table1[[#This Row],[Irms BuSync]]^2</f>
        <v>0.41020508329209465</v>
      </c>
      <c r="AN17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79" s="354">
        <f>(Table1[[#This Row],[Deadtime Loss BuSync]]+Table1[[#This Row],[RDS(on) Loss BuSync]]*(1+RdsonBotTc*Ta-RdsonBotTc*25))/(1-Table1[[#This Row],[RDS(on) Loss BuSync]]*RdsonBotTc*ThetaJA_Q2)</f>
        <v>1.0954197298267341</v>
      </c>
      <c r="AP179" s="354">
        <f>CHOOSE(Table1[[#This Row],[Mode Digit]],0,SQRT((Fsw*(Table1[[#This Row],[t1_Ph_II]]+0))*((Table1[[#This Row],[I_0]]*Table1[[#This Row],[I_1]]+((Table1[[#This Row],[I_0]]-Table1[[#This Row],[I_1]])^2)/3))),SQRT((Fsw*(Table1[[#This Row],[t2_Ph_I]]+0))*((Table1[[#This Row],[I_1]]*Table1[[#This Row],[I_2]]+((Table1[[#This Row],[I_1]]-Table1[[#This Row],[I_2]])^2)/3))))</f>
        <v>0</v>
      </c>
      <c r="AQ179" s="354">
        <f>Rdson4*Table1[[#This Row],[Irms BoCtlr]]^2</f>
        <v>0</v>
      </c>
      <c r="AR179" s="354">
        <f>CHOOSE(Table1[[#This Row],[Mode Digit]], 0, (Vout*Table1[[#This Row],[Iin]]/2)*(Fsw)*(Tr_boost+Tf_boost), (Vout*Iout/2)*(Fsw/1)*(Tr_boost+Tf_boost))</f>
        <v>0</v>
      </c>
      <c r="AS179">
        <f>IF(Table1[[#This Row],[Vin]]&gt;Vout, 0, IF(Table1[[#This Row],[Iin]]&gt;Table1[[#This Row],[Ripple Current pk-pk]]/2,0,ABS(Table1[[#This Row],[Iin]]-Table1[[#This Row],[Ripple Current pk-pk]]/2)*Vsd_Q4*Deadtime*Fsw))</f>
        <v>0</v>
      </c>
      <c r="AT179" s="354">
        <f>(Table1[[#This Row],[Dead Time Loss BoCtlr]]+Table1[[#This Row],[Transition Loss BoCtlr]]+Table1[[#This Row],[RDS(on) Loss BoCtlr]]*(1+RdsonTopTc*Ta-RdsonTopTc*25))/(1-Table1[[#This Row],[RDS(on) Loss BoCtlr]]*RdsonTopTc*ThetaJA_Q4)</f>
        <v>0</v>
      </c>
      <c r="AU17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12.13289412867141</v>
      </c>
      <c r="AV179" s="354">
        <f>Rdson3*Table1[[#This Row],[Irms BoSync]]^2</f>
        <v>0.61826990373770663</v>
      </c>
      <c r="AW17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79" s="354">
        <f>(Table1[[#This Row],[Deadtime Loss BoSync]]+Table1[[#This Row],[RDS(on) Loss BoSync]]*(1+RdsonBotTc*Ta-RdsonBotTc*25))/(1-Table1[[#This Row],[RDS(on) Loss BoSync]]*RdsonBotTc*ThetaJA_Q3)</f>
        <v>0.7259967729146205</v>
      </c>
      <c r="AY179" s="354">
        <f>CHOOSE(Table1[[#This Row],[Mode Digit]], Rdson3*Table1[[#This Row],[Irms Lf]]^2, Rdson1*Table1[[#This Row],[Irms Lf]]^2, 0)</f>
        <v>0.61826990373770663</v>
      </c>
      <c r="AZ179" s="354">
        <f>CHOOSE(Table1[[#This Row],[Mode Digit]], 2*Deadtime*Fsw*IF(VfdSky_Q2&gt;0,VfdSky_Q2,0)*Table1[[#This Row],[Iout]], 2*Deadtime*Fsw*IF(VfdSky_Q3&gt;0,VfdSky_Q3,0)*Table1[[#This Row],[Iin]], 2*Deadtime*Fsw*IF(VfdSky_Q2&gt;0,VfdSky_Q2,0)*Table1[[#This Row],[Iout]]+2*Deadtime*Fsw*IF(VfdSky_Q3&gt;0,VfdSky_Q3,0)*Table1[[#This Row],[Iin]])</f>
        <v>0</v>
      </c>
      <c r="BA179" s="354">
        <f>CHOOSE(Table1[[#This Row],[Mode Digit]], IF(QrrSky_Q2&gt;0,QrrSky_Q2,Qrr_Q2)*Fsw*(Table1[[#This Row],[Vin]]-Table1[[#This Row],[Iout]]*Rdson1),0,  IF(QrrSky_Q2&gt;0,QrrSky_Q2,Qrr_Q2)*Fsw*(Table1[[#This Row],[Vin]]-Table1[[#This Row],[Iout]]*Rdson1)+IF(QrrSky_Q3&gt;0,QrrSky_Q3,Qrr_Q3)*Fsw*Vout)</f>
        <v>0.52499519999999988</v>
      </c>
      <c r="BB179" s="354">
        <f>CHOOSE(Table1[[#This Row],[Mode Digit]],0, IF(QrrSky_Q3&gt;0,QrrSky_Q3,Qrr_Q3)*Fsw*Vout,  IF(QrrSky_Q2&gt;0,QrrSky_Q2,Qrr_Q2)*Fsw*(Table1[[#This Row],[Vin]]-Table1[[#This Row],[Iout]]*Rdson1)+IF(QrrSky_Q3&gt;0,QrrSky_Q3,Qrr_Q3)*Fsw*Vout)</f>
        <v>0</v>
      </c>
      <c r="BC179" s="354">
        <f>CHOOSE(Table1[[#This Row],[Mode Digit]], Rs*Table1[[#This Row],[Irms BuSync]]^2, Rs*Table1[[#This Row],[Irms BoCtlr]]^2, Rs*(Table1[[#This Row],[Irms BuSync]]^2+Table1[[#This Row],[Irms BoCtlr]]^2))</f>
        <v>0.24416969243577061</v>
      </c>
      <c r="BD179" s="354">
        <f t="shared" si="8"/>
        <v>1.44</v>
      </c>
      <c r="BE179" s="354">
        <f>IF(Vout&gt;8, Iq*Vout, Iq*Table1[[#This Row],[Vin]])</f>
        <v>4.3799999999999999E-2</v>
      </c>
      <c r="BF179" s="354">
        <f>CHOOSE(Table1[[#This Row],[Mode Digit]], (Qg_Q1+Qg_Q2)*Fsw, (Qg_Q3+Qg_Q4)*Fsw, (Qg_Q1+Qg_Q2+Qg_Q3+Qg_Q4)*Fsw)*IF(Vout&gt;8, Vout, Table1[[#This Row],[Vin]])</f>
        <v>0.47303999999999996</v>
      </c>
      <c r="BG179" s="354">
        <f t="shared" si="9"/>
        <v>0.45605042016806729</v>
      </c>
      <c r="BH179" s="354">
        <f>Table1[[#This Row],[IQ Loss]]+Table1[[#This Row],[Switching Current Loss]]</f>
        <v>0.51683999999999997</v>
      </c>
      <c r="BI17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13.40518589101611</v>
      </c>
      <c r="BJ179">
        <f>Vout*Table1[[#This Row],[Iout]]</f>
        <v>175.2</v>
      </c>
      <c r="BK179" s="550">
        <f>Table1[[#This Row],[Pout]]/(Table1[[#This Row],[Pout]]+Table1[[#This Row],[Total Loss]])</f>
        <v>0.92892461663932091</v>
      </c>
      <c r="BL17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342.29934558613212</v>
      </c>
      <c r="BM179" s="559">
        <f>IF(Table1[[#This Row],[Vin]]&gt;Vout, Table1[[#This Row],[Total Sync Bu MOSFET Loss]]*ThetaJA_Q2, ThetaJA_Q3*Table1[[#This Row],[Total Sync Bo MOSFET Loss]])</f>
        <v>65.725183789604046</v>
      </c>
      <c r="BN179" s="9"/>
      <c r="BO179" s="4">
        <f>Table1[[#This Row],[EFF, h]]*100</f>
        <v>92.892461663932096</v>
      </c>
      <c r="BP179" s="354">
        <f>Table1[[#This Row],[Total Inductor Loss]]</f>
        <v>3.0710039515605132</v>
      </c>
      <c r="BQ179" s="354">
        <f>Table1[[#This Row],[Total Control Bu MOSFET Loss]]+Table1[[#This Row],[Total Sync Bu MOSFET Loss]]+Table1[[#This Row],[Total Control Bo MOSFET Loss]]+Table1[[#This Row],[Total Sync Bo MOSFET Loss]]+Table1[[#This Row],[Reverse Recovery Loss MOSFET D BUCK]]+Table1[[#This Row],[Reverse Recovery Loss MOSFET D BOOST]]</f>
        <v>8.0514007958435556</v>
      </c>
      <c r="BR179" s="354">
        <f>Table1[[#This Row],[Total Control Bu MOSFET Loss]]+Table1[[#This Row],[Reverse Recovery Loss MOSFET D BUCK]]*0.66</f>
        <v>6.0514859251022015</v>
      </c>
      <c r="BS179" s="354">
        <f>Table1[[#This Row],[Total Sync Bu MOSFET Loss]]+Table1[[#This Row],[Reverse Recovery Loss MOSFET D BUCK]]*0.33</f>
        <v>1.2686681458267342</v>
      </c>
      <c r="BT179" s="354">
        <f xml:space="preserve"> Table1[[#This Row],[Total Control Bo MOSFET Loss]]+Table1[[#This Row],[Reverse Recovery Loss MOSFET D BOOST]]*0.66</f>
        <v>0</v>
      </c>
      <c r="BU179" s="354">
        <f xml:space="preserve"> Table1[[#This Row],[Total Sync Bo MOSFET Loss]]+Table1[[#This Row],[Reverse Recovery Loss MOSFET D BOOST]]*0.33</f>
        <v>0.7259967729146205</v>
      </c>
      <c r="BV179" s="354">
        <f>Table1[[#This Row],[Isense Shunt Loss]]</f>
        <v>0.24416969243577061</v>
      </c>
    </row>
    <row r="180" spans="7:74" x14ac:dyDescent="0.2">
      <c r="G180">
        <v>171</v>
      </c>
      <c r="H180" s="555">
        <f>VIN_min+(VIN_max-VIN_min)*(Table1[[#This Row],[Step]]/200)</f>
        <v>43.94</v>
      </c>
      <c r="I180" s="4" t="str">
        <f>IF(Mode = 2,IF(Table1[[#This Row],[Vin]]&gt;Vout, "BUCK","BOOST"),IF(Table1[[#This Row],[Vin]]&gt;VIN_BB_to_buck, "BUCK", IF(Table1[[#This Row],[Vin]]&lt;=VIN_boost_to_BB,"BOOST","BUCK-BST")))</f>
        <v>BUCK</v>
      </c>
      <c r="J180">
        <f>IF(Table1[[#This Row],[Mode]]="BOOST",2, IF(Table1[[#This Row],[Mode]]="BUCK", 1,3))</f>
        <v>1</v>
      </c>
      <c r="K180">
        <f t="shared" si="7"/>
        <v>12</v>
      </c>
      <c r="L180" s="4">
        <f>Vout*Table1[[#This Row],[Iout]]/(Table1[[#This Row],[Vin]]*Efficiency)</f>
        <v>4.197110892844309</v>
      </c>
      <c r="M180" s="711">
        <f>MIN(1/Fsw,CHOOSE(Table1[[#This Row],[Mode Digit]],(Vout+(Rdson2+Rs+Rdcr)*Table1[[#This Row],[Iout]])/(Table1[[#This Row],[Vin]]+(Rs+Rdson2-Rdson1)*Table1[[#This Row],[Iout]])/Fsw,(Vout+(Rdson3+Rdcr)*Table1[[#This Row],[Iin]]-Table1[[#This Row],[Vin]])/(Vout+(Rdson3-Rdson4-Rs)*Table1[[#This Row],[Iin]])/Fsw,t1_Ph_II))</f>
        <v>5.5909332120385117E-7</v>
      </c>
      <c r="N180" s="602">
        <f>CHOOSE(Table1[[#This Row],[Mode Digit]],1/Fsw-Table1[[#This Row],[t1_Ph_II]],1/Fsw-Table1[[#This Row],[t1_Ph_II]],(Vout/Fsw-Table1[[#This Row],[Vin]]*t1_Ph_II)/(Table1[[#This Row],[Vin]]+Vout))</f>
        <v>1.1075733454628154E-6</v>
      </c>
      <c r="O180" s="602">
        <f>1/Fsw-(Table1[[#This Row],[t1_Ph_II]]+Table1[[#This Row],[t2_Ph_I]])</f>
        <v>0</v>
      </c>
      <c r="P18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8.8932200674013266</v>
      </c>
      <c r="Q180" s="4">
        <f>CHOOSE(Table1[[#This Row],[Mode Digit]],Table1[[#This Row],[I_0]]+1/Lf*(Table1[[#This Row],[Vin]]-Vout)*Table1[[#This Row],[t1_Ph_II]],Table1[[#This Row],[I_0]]+1/Lf*Table1[[#This Row],[Vin]]*Table1[[#This Row],[t1_Ph_II]],Table1[[#This Row],[I_0]]+(Table1[[#This Row],[Vin]]-Vout)/L*Table1[[#This Row],[t1_Ph_II]])</f>
        <v>15.106779932598672</v>
      </c>
      <c r="R180" s="4">
        <f>CHOOSE(Table1[[#This Row],[Mode Digit]],0,0,Table1[[#This Row],[I_1]]+Table1[[#This Row],[Vin]]/L*Table1[[#This Row],[t2_Ph_I]])</f>
        <v>0</v>
      </c>
      <c r="S180" s="4">
        <f>Fsw*(Table1[[#This Row],[I_0]]*Table1[[#This Row],[t1_Ph_II]]+Table1[[#This Row],[I_1]]*Table1[[#This Row],[t2_Ph_I]]+Table1[[#This Row],[I_2]]*Table1[[#This Row],[t3_Ph_III]])</f>
        <v>13.022404039679389</v>
      </c>
      <c r="T180" s="354">
        <f>MIN(1,CHOOSE(Table1[[#This Row],[Mode Digit]],(Vout+(Rdson2+Rs+Rdcr)*Table1[[#This Row],[Iout]])/(Table1[[#This Row],[Vin]]+(Rs+Rdson2-Rdson1)*Table1[[#This Row],[Iout]]),1,Fsw*Table1[[#This Row],[t2_Ph_I]]+Table1[[#This Row],[t1_Ph_II]]))</f>
        <v>0.33545599272231069</v>
      </c>
      <c r="U180" s="354">
        <f>MIN(1,CHOOSE(Table1[[#This Row],[Mode Digit]],0,(Vout+(Rdson3+Rdcr)*Table1[[#This Row],[Iin]]-Table1[[#This Row],[Vin]])/(Vout+(Rdson3-Rdson4-Rs)*Table1[[#This Row],[Iin]]),Fsw*Table1[[#This Row],[t1_Ph_II]]+Table1[[#This Row],[t3_Ph_III]]))</f>
        <v>0</v>
      </c>
      <c r="V180" s="4">
        <f>MAX(Table1[[#This Row],[I_0]:[I_2]])-MIN(Table1[[#This Row],[I_0]:[I_1]])</f>
        <v>6.2135598651973449</v>
      </c>
      <c r="W18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12.133316138489617</v>
      </c>
      <c r="X180" s="354">
        <f>(Table1[[#This Row],[Irms Lf]]^2*Rdcr*(1+Ltc*Ta-Ltc*25))/(1-Table1[[#This Row],[Irms Lf]]^2*Rdcr*Ltc*ThetaCa)</f>
        <v>0.9164632462533463</v>
      </c>
      <c r="Y180" s="354">
        <f>ABS(7.759*10^-3*Fsw^0.9458*(0.00787*Table1[[#This Row],[Ripple Current pk-pk]])^2.304)</f>
        <v>2.1625366165268334</v>
      </c>
      <c r="Z180" s="354">
        <f>Table1[[#This Row],[DCR    Loss]]+Table1[[#This Row],[Core Loss]]</f>
        <v>3.0789998627801798</v>
      </c>
      <c r="AA180" s="4">
        <f>IF(Table1[[#This Row],[Vin]]&gt;Vout, Table1[[#This Row],[Ripple Current pk-pk]]/SQRT(12), SQRT(Table1[[#This Row],[Duty Cycle BOOST Leg]]/(1-Table1[[#This Row],[Duty Cycle BOOST Leg]]))*SQRT(Table1[[#This Row],[Iout]]^2+(Table1[[#This Row],[Ripple Current pk-pk]]^2)/12))</f>
        <v>1.793700230398771</v>
      </c>
      <c r="AB180" s="354">
        <f>RCoutEsr*Table1[[#This Row],[Irms Cout]]^2</f>
        <v>1.6086802582663023E-2</v>
      </c>
      <c r="AC180" s="354">
        <f>Table1[[#This Row],[Cout ESR Loss]]</f>
        <v>1.6086802582663023E-2</v>
      </c>
      <c r="AD180" s="354">
        <f>IF(Table1[[#This Row],[Vin]]&gt;Vout, SQRT(Table1[[#This Row],[Duty Cycle BUCK Leg]]*(1-Table1[[#This Row],[Duty Cycle BUCK Leg]]))*SQRT(Table1[[#This Row],[Iout]]^2+(Table1[[#This Row],[Ripple Current pk-pk]]^2)/12), Table1[[#This Row],[Ripple Current pk-pk]]/SQRT(12))</f>
        <v>5.7287406812585244</v>
      </c>
      <c r="AE180" s="354">
        <f>RCinEsr*Table1[[#This Row],[Irms Cin]]^2</f>
        <v>6.5636939586212764E-2</v>
      </c>
      <c r="AF180" s="549">
        <f>Table1[[#This Row],[Cin ESR Loss]]</f>
        <v>6.5636939586212764E-2</v>
      </c>
      <c r="AG18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7.0274423382929116</v>
      </c>
      <c r="AH180" s="354">
        <f>Rdson1*Table1[[#This Row],[Irms BuCtrl]]^2</f>
        <v>0.20741677243573337</v>
      </c>
      <c r="AI180" s="354">
        <f>CHOOSE(Table1[[#This Row],[Mode Digit]], (Table1[[#This Row],[Vin]]*Table1[[#This Row],[Iout]]/2)*(Fsw)*(Tr_buck+Tf_buck), 0, (Table1[[#This Row],[Vin]]*Table1[[#This Row],[Avg IL]]/2)*(Fsw/1)*(Tr_buck+Tf_buck))</f>
        <v>5.2287019616084063</v>
      </c>
      <c r="AJ180">
        <f>IF(Table1[[#This Row],[Vin]]&gt;Vout, IF(Table1[[#This Row],[Iout]]&gt;Table1[[#This Row],[Ripple Current pk-pk]]/2,0,ABS(Table1[[#This Row],[Iout]]-Table1[[#This Row],[Ripple Current pk-pk]]/2)*Vsd_Q1*Deadtime*Fsw),0)</f>
        <v>0</v>
      </c>
      <c r="AK180" s="354">
        <f>(Table1[[#This Row],[Dead Time Loss BuCtrl]]+Table1[[#This Row],[Transition Loss BuCtrl]]+Table1[[#This Row],[RDS(on) Loss BuCtrl]]*(1+RdsonTopTc*Ta-RdsonTopTc*25))/(1-Table1[[#This Row],[RDS(on) Loss BuCtrl]]*RdsonTopTc*ThetaJA_Q1)</f>
        <v>5.720905557941216</v>
      </c>
      <c r="AL180" s="354">
        <f>CHOOSE(Table1[[#This Row],[Mode Digit]],SQRT((Fsw*(Table1[[#This Row],[t2_Ph_I]]+0))*((Table1[[#This Row],[I_0]]*Table1[[#This Row],[I_1]]+((Table1[[#This Row],[I_0]]-Table1[[#This Row],[I_1]])^2)/3))),0,SQRT((Fsw*(Table1[[#This Row],[t3_Ph_III]]+0))*((Table1[[#This Row],[I_0]]*Table1[[#This Row],[I_2]]+((Table1[[#This Row],[I_0]]-Table1[[#This Row],[I_2]])^2)/3))))</f>
        <v>9.8910269789593048</v>
      </c>
      <c r="AM180" s="354">
        <f>Rdson2*Table1[[#This Row],[Irms BuSync]]^2</f>
        <v>0.41089614173370353</v>
      </c>
      <c r="AN18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80" s="354">
        <f>(Table1[[#This Row],[Deadtime Loss BuSync]]+Table1[[#This Row],[RDS(on) Loss BuSync]]*(1+RdsonBotTc*Ta-RdsonBotTc*25))/(1-Table1[[#This Row],[RDS(on) Loss BuSync]]*RdsonBotTc*ThetaJA_Q2)</f>
        <v>1.0963879490511599</v>
      </c>
      <c r="AP180" s="354">
        <f>CHOOSE(Table1[[#This Row],[Mode Digit]],0,SQRT((Fsw*(Table1[[#This Row],[t1_Ph_II]]+0))*((Table1[[#This Row],[I_0]]*Table1[[#This Row],[I_1]]+((Table1[[#This Row],[I_0]]-Table1[[#This Row],[I_1]])^2)/3))),SQRT((Fsw*(Table1[[#This Row],[t2_Ph_I]]+0))*((Table1[[#This Row],[I_1]]*Table1[[#This Row],[I_2]]+((Table1[[#This Row],[I_1]]-Table1[[#This Row],[I_2]])^2)/3))))</f>
        <v>0</v>
      </c>
      <c r="AQ180" s="354">
        <f>Rdson4*Table1[[#This Row],[Irms BoCtlr]]^2</f>
        <v>0</v>
      </c>
      <c r="AR180" s="354">
        <f>CHOOSE(Table1[[#This Row],[Mode Digit]], 0, (Vout*Table1[[#This Row],[Iin]]/2)*(Fsw)*(Tr_boost+Tf_boost), (Vout*Iout/2)*(Fsw/1)*(Tr_boost+Tf_boost))</f>
        <v>0</v>
      </c>
      <c r="AS180">
        <f>IF(Table1[[#This Row],[Vin]]&gt;Vout, 0, IF(Table1[[#This Row],[Iin]]&gt;Table1[[#This Row],[Ripple Current pk-pk]]/2,0,ABS(Table1[[#This Row],[Iin]]-Table1[[#This Row],[Ripple Current pk-pk]]/2)*Vsd_Q4*Deadtime*Fsw))</f>
        <v>0</v>
      </c>
      <c r="AT180" s="354">
        <f>(Table1[[#This Row],[Dead Time Loss BoCtlr]]+Table1[[#This Row],[Transition Loss BoCtlr]]+Table1[[#This Row],[RDS(on) Loss BoCtlr]]*(1+RdsonTopTc*Ta-RdsonTopTc*25))/(1-Table1[[#This Row],[RDS(on) Loss BoCtlr]]*RdsonTopTc*ThetaJA_Q4)</f>
        <v>0</v>
      </c>
      <c r="AU18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12.133316138489617</v>
      </c>
      <c r="AV180" s="354">
        <f>Rdson3*Table1[[#This Row],[Irms BoSync]]^2</f>
        <v>0.6183129141694369</v>
      </c>
      <c r="AW18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80" s="354">
        <f>(Table1[[#This Row],[Deadtime Loss BoSync]]+Table1[[#This Row],[RDS(on) Loss BoSync]]*(1+RdsonBotTc*Ta-RdsonBotTc*25))/(1-Table1[[#This Row],[RDS(on) Loss BoSync]]*RdsonBotTc*ThetaJA_Q3)</f>
        <v>0.72605607804075101</v>
      </c>
      <c r="AY180" s="354">
        <f>CHOOSE(Table1[[#This Row],[Mode Digit]], Rdson3*Table1[[#This Row],[Irms Lf]]^2, Rdson1*Table1[[#This Row],[Irms Lf]]^2, 0)</f>
        <v>0.6183129141694369</v>
      </c>
      <c r="AZ180" s="354">
        <f>CHOOSE(Table1[[#This Row],[Mode Digit]], 2*Deadtime*Fsw*IF(VfdSky_Q2&gt;0,VfdSky_Q2,0)*Table1[[#This Row],[Iout]], 2*Deadtime*Fsw*IF(VfdSky_Q3&gt;0,VfdSky_Q3,0)*Table1[[#This Row],[Iin]], 2*Deadtime*Fsw*IF(VfdSky_Q2&gt;0,VfdSky_Q2,0)*Table1[[#This Row],[Iout]]+2*Deadtime*Fsw*IF(VfdSky_Q3&gt;0,VfdSky_Q3,0)*Table1[[#This Row],[Iin]])</f>
        <v>0</v>
      </c>
      <c r="BA180" s="354">
        <f>CHOOSE(Table1[[#This Row],[Mode Digit]], IF(QrrSky_Q2&gt;0,QrrSky_Q2,Qrr_Q2)*Fsw*(Table1[[#This Row],[Vin]]-Table1[[#This Row],[Iout]]*Rdson1),0,  IF(QrrSky_Q2&gt;0,QrrSky_Q2,Qrr_Q2)*Fsw*(Table1[[#This Row],[Vin]]-Table1[[#This Row],[Iout]]*Rdson1)+IF(QrrSky_Q3&gt;0,QrrSky_Q3,Qrr_Q3)*Fsw*Vout)</f>
        <v>0.5266751999999999</v>
      </c>
      <c r="BB180" s="354">
        <f>CHOOSE(Table1[[#This Row],[Mode Digit]],0, IF(QrrSky_Q3&gt;0,QrrSky_Q3,Qrr_Q3)*Fsw*Vout,  IF(QrrSky_Q2&gt;0,QrrSky_Q2,Qrr_Q2)*Fsw*(Table1[[#This Row],[Vin]]-Table1[[#This Row],[Iout]]*Rdson1)+IF(QrrSky_Q3&gt;0,QrrSky_Q3,Qrr_Q3)*Fsw*Vout)</f>
        <v>0</v>
      </c>
      <c r="BC180" s="354">
        <f>CHOOSE(Table1[[#This Row],[Mode Digit]], Rs*Table1[[#This Row],[Irms BuSync]]^2, Rs*Table1[[#This Row],[Irms BoCtlr]]^2, Rs*(Table1[[#This Row],[Irms BuSync]]^2+Table1[[#This Row],[Irms BoCtlr]]^2))</f>
        <v>0.24458103674625206</v>
      </c>
      <c r="BD180" s="354">
        <f t="shared" si="8"/>
        <v>1.44</v>
      </c>
      <c r="BE180" s="354">
        <f>IF(Vout&gt;8, Iq*Vout, Iq*Table1[[#This Row],[Vin]])</f>
        <v>4.3799999999999999E-2</v>
      </c>
      <c r="BF180" s="354">
        <f>CHOOSE(Table1[[#This Row],[Mode Digit]], (Qg_Q1+Qg_Q2)*Fsw, (Qg_Q3+Qg_Q4)*Fsw, (Qg_Q1+Qg_Q2+Qg_Q3+Qg_Q4)*Fsw)*IF(Vout&gt;8, Vout, Table1[[#This Row],[Vin]])</f>
        <v>0.47303999999999996</v>
      </c>
      <c r="BG180" s="354">
        <f t="shared" si="9"/>
        <v>0.45605042016806729</v>
      </c>
      <c r="BH180" s="354">
        <f>Table1[[#This Row],[IQ Loss]]+Table1[[#This Row],[Switching Current Loss]]</f>
        <v>0.51683999999999997</v>
      </c>
      <c r="BI18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13.432169426728434</v>
      </c>
      <c r="BJ180">
        <f>Vout*Table1[[#This Row],[Iout]]</f>
        <v>175.2</v>
      </c>
      <c r="BK180" s="550">
        <f>Table1[[#This Row],[Pout]]/(Table1[[#This Row],[Pout]]+Table1[[#This Row],[Total Loss]])</f>
        <v>0.92879173543118287</v>
      </c>
      <c r="BL18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343.25433347647294</v>
      </c>
      <c r="BM180" s="559">
        <f>IF(Table1[[#This Row],[Vin]]&gt;Vout, Table1[[#This Row],[Total Sync Bu MOSFET Loss]]*ThetaJA_Q2, ThetaJA_Q3*Table1[[#This Row],[Total Sync Bo MOSFET Loss]])</f>
        <v>65.783276943069595</v>
      </c>
      <c r="BN180" s="9"/>
      <c r="BO180" s="4">
        <f>Table1[[#This Row],[EFF, h]]*100</f>
        <v>92.879173543118284</v>
      </c>
      <c r="BP180" s="354">
        <f>Table1[[#This Row],[Total Inductor Loss]]</f>
        <v>3.0789998627801798</v>
      </c>
      <c r="BQ180" s="354">
        <f>Table1[[#This Row],[Total Control Bu MOSFET Loss]]+Table1[[#This Row],[Total Sync Bu MOSFET Loss]]+Table1[[#This Row],[Total Control Bo MOSFET Loss]]+Table1[[#This Row],[Total Sync Bo MOSFET Loss]]+Table1[[#This Row],[Reverse Recovery Loss MOSFET D BUCK]]+Table1[[#This Row],[Reverse Recovery Loss MOSFET D BOOST]]</f>
        <v>8.0700247850331266</v>
      </c>
      <c r="BR180" s="354">
        <f>Table1[[#This Row],[Total Control Bu MOSFET Loss]]+Table1[[#This Row],[Reverse Recovery Loss MOSFET D BUCK]]*0.66</f>
        <v>6.0685111899412156</v>
      </c>
      <c r="BS180" s="354">
        <f>Table1[[#This Row],[Total Sync Bu MOSFET Loss]]+Table1[[#This Row],[Reverse Recovery Loss MOSFET D BUCK]]*0.33</f>
        <v>1.2701907650511599</v>
      </c>
      <c r="BT180" s="354">
        <f xml:space="preserve"> Table1[[#This Row],[Total Control Bo MOSFET Loss]]+Table1[[#This Row],[Reverse Recovery Loss MOSFET D BOOST]]*0.66</f>
        <v>0</v>
      </c>
      <c r="BU180" s="354">
        <f xml:space="preserve"> Table1[[#This Row],[Total Sync Bo MOSFET Loss]]+Table1[[#This Row],[Reverse Recovery Loss MOSFET D BOOST]]*0.33</f>
        <v>0.72605607804075101</v>
      </c>
      <c r="BV180" s="354">
        <f>Table1[[#This Row],[Isense Shunt Loss]]</f>
        <v>0.24458103674625206</v>
      </c>
    </row>
    <row r="181" spans="7:74" x14ac:dyDescent="0.2">
      <c r="G181">
        <v>172</v>
      </c>
      <c r="H181" s="555">
        <f>VIN_min+(VIN_max-VIN_min)*(Table1[[#This Row],[Step]]/200)</f>
        <v>44.08</v>
      </c>
      <c r="I181" s="4" t="str">
        <f>IF(Mode = 2,IF(Table1[[#This Row],[Vin]]&gt;Vout, "BUCK","BOOST"),IF(Table1[[#This Row],[Vin]]&gt;VIN_BB_to_buck, "BUCK", IF(Table1[[#This Row],[Vin]]&lt;=VIN_boost_to_BB,"BOOST","BUCK-BST")))</f>
        <v>BUCK</v>
      </c>
      <c r="J181">
        <f>IF(Table1[[#This Row],[Mode]]="BOOST",2, IF(Table1[[#This Row],[Mode]]="BUCK", 1,3))</f>
        <v>1</v>
      </c>
      <c r="K181">
        <f t="shared" si="7"/>
        <v>12</v>
      </c>
      <c r="L181" s="4">
        <f>Vout*Table1[[#This Row],[Iout]]/(Table1[[#This Row],[Vin]]*Efficiency)</f>
        <v>4.1837806858343685</v>
      </c>
      <c r="M181" s="711">
        <f>MIN(1/Fsw,CHOOSE(Table1[[#This Row],[Mode Digit]],(Vout+(Rdson2+Rs+Rdcr)*Table1[[#This Row],[Iout]])/(Table1[[#This Row],[Vin]]+(Rs+Rdson2-Rdson1)*Table1[[#This Row],[Iout]])/Fsw,(Vout+(Rdson3+Rdcr)*Table1[[#This Row],[Iin]]-Table1[[#This Row],[Vin]])/(Vout+(Rdson3-Rdson4-Rs)*Table1[[#This Row],[Iin]])/Fsw,t1_Ph_II))</f>
        <v>5.5731882415174186E-7</v>
      </c>
      <c r="N181" s="602">
        <f>CHOOSE(Table1[[#This Row],[Mode Digit]],1/Fsw-Table1[[#This Row],[t1_Ph_II]],1/Fsw-Table1[[#This Row],[t1_Ph_II]],(Vout/Fsw-Table1[[#This Row],[Vin]]*t1_Ph_II)/(Table1[[#This Row],[Vin]]+Vout))</f>
        <v>1.1093478425149247E-6</v>
      </c>
      <c r="O181" s="602">
        <f>1/Fsw-(Table1[[#This Row],[t1_Ph_II]]+Table1[[#This Row],[t2_Ph_I]])</f>
        <v>0</v>
      </c>
      <c r="P18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8.8883032318194424</v>
      </c>
      <c r="Q181" s="4">
        <f>CHOOSE(Table1[[#This Row],[Mode Digit]],Table1[[#This Row],[I_0]]+1/Lf*(Table1[[#This Row],[Vin]]-Vout)*Table1[[#This Row],[t1_Ph_II]],Table1[[#This Row],[I_0]]+1/Lf*Table1[[#This Row],[Vin]]*Table1[[#This Row],[t1_Ph_II]],Table1[[#This Row],[I_0]]+(Table1[[#This Row],[Vin]]-Vout)/L*Table1[[#This Row],[t1_Ph_II]])</f>
        <v>15.111696768180559</v>
      </c>
      <c r="R181" s="4">
        <f>CHOOSE(Table1[[#This Row],[Mode Digit]],0,0,Table1[[#This Row],[I_1]]+Table1[[#This Row],[Vin]]/L*Table1[[#This Row],[t2_Ph_I]])</f>
        <v>0</v>
      </c>
      <c r="S181" s="4">
        <f>Fsw*(Table1[[#This Row],[I_0]]*Table1[[#This Row],[t1_Ph_II]]+Table1[[#This Row],[I_1]]*Table1[[#This Row],[t2_Ph_I]]+Table1[[#This Row],[I_2]]*Table1[[#This Row],[t3_Ph_III]])</f>
        <v>13.030648147429561</v>
      </c>
      <c r="T181" s="354">
        <f>MIN(1,CHOOSE(Table1[[#This Row],[Mode Digit]],(Vout+(Rdson2+Rs+Rdcr)*Table1[[#This Row],[Iout]])/(Table1[[#This Row],[Vin]]+(Rs+Rdson2-Rdson1)*Table1[[#This Row],[Iout]]),1,Fsw*Table1[[#This Row],[t2_Ph_I]]+Table1[[#This Row],[t1_Ph_II]]))</f>
        <v>0.3343912944910451</v>
      </c>
      <c r="U181" s="354">
        <f>MIN(1,CHOOSE(Table1[[#This Row],[Mode Digit]],0,(Vout+(Rdson3+Rdcr)*Table1[[#This Row],[Iin]]-Table1[[#This Row],[Vin]])/(Vout+(Rdson3-Rdson4-Rs)*Table1[[#This Row],[Iin]]),Fsw*Table1[[#This Row],[t1_Ph_II]]+Table1[[#This Row],[t3_Ph_III]]))</f>
        <v>0</v>
      </c>
      <c r="V181" s="4">
        <f>MAX(Table1[[#This Row],[I_0]:[I_2]])-MIN(Table1[[#This Row],[I_0]:[I_1]])</f>
        <v>6.223393536361117</v>
      </c>
      <c r="W18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12.133736121205006</v>
      </c>
      <c r="X181" s="354">
        <f>(Table1[[#This Row],[Irms Lf]]^2*Rdcr*(1+Ltc*Ta-Ltc*25))/(1-Table1[[#This Row],[Irms Lf]]^2*Rdcr*Ltc*ThetaCa)</f>
        <v>0.91653134430788941</v>
      </c>
      <c r="Y181" s="354">
        <f>ABS(7.759*10^-3*Fsw^0.9458*(0.00787*Table1[[#This Row],[Ripple Current pk-pk]])^2.304)</f>
        <v>2.170430107432531</v>
      </c>
      <c r="Z181" s="354">
        <f>Table1[[#This Row],[DCR    Loss]]+Table1[[#This Row],[Core Loss]]</f>
        <v>3.0869614517404202</v>
      </c>
      <c r="AA181" s="4">
        <f>IF(Table1[[#This Row],[Vin]]&gt;Vout, Table1[[#This Row],[Ripple Current pk-pk]]/SQRT(12), SQRT(Table1[[#This Row],[Duty Cycle BOOST Leg]]/(1-Table1[[#This Row],[Duty Cycle BOOST Leg]]))*SQRT(Table1[[#This Row],[Iout]]^2+(Table1[[#This Row],[Ripple Current pk-pk]]^2)/12))</f>
        <v>1.796538966745534</v>
      </c>
      <c r="AB181" s="354">
        <f>RCoutEsr*Table1[[#This Row],[Irms Cout]]^2</f>
        <v>1.6137761295175555E-2</v>
      </c>
      <c r="AC181" s="354">
        <f>Table1[[#This Row],[Cout ESR Loss]]</f>
        <v>1.6137761295175555E-2</v>
      </c>
      <c r="AD181" s="354">
        <f>IF(Table1[[#This Row],[Vin]]&gt;Vout, SQRT(Table1[[#This Row],[Duty Cycle BUCK Leg]]*(1-Table1[[#This Row],[Duty Cycle BUCK Leg]]))*SQRT(Table1[[#This Row],[Iout]]^2+(Table1[[#This Row],[Ripple Current pk-pk]]^2)/12), Table1[[#This Row],[Ripple Current pk-pk]]/SQRT(12))</f>
        <v>5.7244204414157185</v>
      </c>
      <c r="AE181" s="354">
        <f>RCinEsr*Table1[[#This Row],[Irms Cin]]^2</f>
        <v>6.5537978780196252E-2</v>
      </c>
      <c r="AF181" s="549">
        <f>Table1[[#This Row],[Cin ESR Loss]]</f>
        <v>6.5537978780196252E-2</v>
      </c>
      <c r="AG18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7.0165241954009359</v>
      </c>
      <c r="AH181" s="354">
        <f>Rdson1*Table1[[#This Row],[Irms BuCtrl]]^2</f>
        <v>0.2067727694955164</v>
      </c>
      <c r="AI181" s="354">
        <f>CHOOSE(Table1[[#This Row],[Mode Digit]], (Table1[[#This Row],[Vin]]*Table1[[#This Row],[Iout]]/2)*(Fsw)*(Tr_buck+Tf_buck), 0, (Table1[[#This Row],[Vin]]*Table1[[#This Row],[Avg IL]]/2)*(Fsw/1)*(Tr_buck+Tf_buck))</f>
        <v>5.2453614580723391</v>
      </c>
      <c r="AJ181">
        <f>IF(Table1[[#This Row],[Vin]]&gt;Vout, IF(Table1[[#This Row],[Iout]]&gt;Table1[[#This Row],[Ripple Current pk-pk]]/2,0,ABS(Table1[[#This Row],[Iout]]-Table1[[#This Row],[Ripple Current pk-pk]]/2)*Vsd_Q1*Deadtime*Fsw),0)</f>
        <v>0</v>
      </c>
      <c r="AK181" s="354">
        <f>(Table1[[#This Row],[Dead Time Loss BuCtrl]]+Table1[[#This Row],[Transition Loss BuCtrl]]+Table1[[#This Row],[RDS(on) Loss BuCtrl]]*(1+RdsonTopTc*Ta-RdsonTopTc*25))/(1-Table1[[#This Row],[RDS(on) Loss BuCtrl]]*RdsonTopTc*ThetaJA_Q1)</f>
        <v>5.7368269297387027</v>
      </c>
      <c r="AL181" s="354">
        <f>CHOOSE(Table1[[#This Row],[Mode Digit]],SQRT((Fsw*(Table1[[#This Row],[t2_Ph_I]]+0))*((Table1[[#This Row],[I_0]]*Table1[[#This Row],[I_1]]+((Table1[[#This Row],[I_0]]-Table1[[#This Row],[I_1]])^2)/3))),0,SQRT((Fsw*(Table1[[#This Row],[t3_Ph_III]]+0))*((Table1[[#This Row],[I_0]]*Table1[[#This Row],[I_2]]+((Table1[[#This Row],[I_0]]-Table1[[#This Row],[I_2]])^2)/3))))</f>
        <v>9.8992898974819585</v>
      </c>
      <c r="AM181" s="354">
        <f>Rdson2*Table1[[#This Row],[Irms BuSync]]^2</f>
        <v>0.41158294999243117</v>
      </c>
      <c r="AN18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81" s="354">
        <f>(Table1[[#This Row],[Deadtime Loss BuSync]]+Table1[[#This Row],[RDS(on) Loss BuSync]]*(1+RdsonBotTc*Ta-RdsonBotTc*25))/(1-Table1[[#This Row],[RDS(on) Loss BuSync]]*RdsonBotTc*ThetaJA_Q2)</f>
        <v>1.0973505665715522</v>
      </c>
      <c r="AP181" s="354">
        <f>CHOOSE(Table1[[#This Row],[Mode Digit]],0,SQRT((Fsw*(Table1[[#This Row],[t1_Ph_II]]+0))*((Table1[[#This Row],[I_0]]*Table1[[#This Row],[I_1]]+((Table1[[#This Row],[I_0]]-Table1[[#This Row],[I_1]])^2)/3))),SQRT((Fsw*(Table1[[#This Row],[t2_Ph_I]]+0))*((Table1[[#This Row],[I_1]]*Table1[[#This Row],[I_2]]+((Table1[[#This Row],[I_1]]-Table1[[#This Row],[I_2]])^2)/3))))</f>
        <v>0</v>
      </c>
      <c r="AQ181" s="354">
        <f>Rdson4*Table1[[#This Row],[Irms BoCtlr]]^2</f>
        <v>0</v>
      </c>
      <c r="AR181" s="354">
        <f>CHOOSE(Table1[[#This Row],[Mode Digit]], 0, (Vout*Table1[[#This Row],[Iin]]/2)*(Fsw)*(Tr_boost+Tf_boost), (Vout*Iout/2)*(Fsw/1)*(Tr_boost+Tf_boost))</f>
        <v>0</v>
      </c>
      <c r="AS181">
        <f>IF(Table1[[#This Row],[Vin]]&gt;Vout, 0, IF(Table1[[#This Row],[Iin]]&gt;Table1[[#This Row],[Ripple Current pk-pk]]/2,0,ABS(Table1[[#This Row],[Iin]]-Table1[[#This Row],[Ripple Current pk-pk]]/2)*Vsd_Q4*Deadtime*Fsw))</f>
        <v>0</v>
      </c>
      <c r="AT181" s="354">
        <f>(Table1[[#This Row],[Dead Time Loss BoCtlr]]+Table1[[#This Row],[Transition Loss BoCtlr]]+Table1[[#This Row],[RDS(on) Loss BoCtlr]]*(1+RdsonTopTc*Ta-RdsonTopTc*25))/(1-Table1[[#This Row],[RDS(on) Loss BoCtlr]]*RdsonTopTc*ThetaJA_Q4)</f>
        <v>0</v>
      </c>
      <c r="AU18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12.133736121205006</v>
      </c>
      <c r="AV181" s="354">
        <f>Rdson3*Table1[[#This Row],[Irms BoSync]]^2</f>
        <v>0.61835571948794743</v>
      </c>
      <c r="AW18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81" s="354">
        <f>(Table1[[#This Row],[Deadtime Loss BoSync]]+Table1[[#This Row],[RDS(on) Loss BoSync]]*(1+RdsonBotTc*Ta-RdsonBotTc*25))/(1-Table1[[#This Row],[RDS(on) Loss BoSync]]*RdsonBotTc*ThetaJA_Q3)</f>
        <v>0.72611510177305316</v>
      </c>
      <c r="AY181" s="354">
        <f>CHOOSE(Table1[[#This Row],[Mode Digit]], Rdson3*Table1[[#This Row],[Irms Lf]]^2, Rdson1*Table1[[#This Row],[Irms Lf]]^2, 0)</f>
        <v>0.61835571948794743</v>
      </c>
      <c r="AZ181" s="354">
        <f>CHOOSE(Table1[[#This Row],[Mode Digit]], 2*Deadtime*Fsw*IF(VfdSky_Q2&gt;0,VfdSky_Q2,0)*Table1[[#This Row],[Iout]], 2*Deadtime*Fsw*IF(VfdSky_Q3&gt;0,VfdSky_Q3,0)*Table1[[#This Row],[Iin]], 2*Deadtime*Fsw*IF(VfdSky_Q2&gt;0,VfdSky_Q2,0)*Table1[[#This Row],[Iout]]+2*Deadtime*Fsw*IF(VfdSky_Q3&gt;0,VfdSky_Q3,0)*Table1[[#This Row],[Iin]])</f>
        <v>0</v>
      </c>
      <c r="BA181" s="354">
        <f>CHOOSE(Table1[[#This Row],[Mode Digit]], IF(QrrSky_Q2&gt;0,QrrSky_Q2,Qrr_Q2)*Fsw*(Table1[[#This Row],[Vin]]-Table1[[#This Row],[Iout]]*Rdson1),0,  IF(QrrSky_Q2&gt;0,QrrSky_Q2,Qrr_Q2)*Fsw*(Table1[[#This Row],[Vin]]-Table1[[#This Row],[Iout]]*Rdson1)+IF(QrrSky_Q3&gt;0,QrrSky_Q3,Qrr_Q3)*Fsw*Vout)</f>
        <v>0.52835519999999991</v>
      </c>
      <c r="BB181" s="354">
        <f>CHOOSE(Table1[[#This Row],[Mode Digit]],0, IF(QrrSky_Q3&gt;0,QrrSky_Q3,Qrr_Q3)*Fsw*Vout,  IF(QrrSky_Q2&gt;0,QrrSky_Q2,Qrr_Q2)*Fsw*(Table1[[#This Row],[Vin]]-Table1[[#This Row],[Iout]]*Rdson1)+IF(QrrSky_Q3&gt;0,QrrSky_Q3,Qrr_Q3)*Fsw*Vout)</f>
        <v>0</v>
      </c>
      <c r="BC181" s="354">
        <f>CHOOSE(Table1[[#This Row],[Mode Digit]], Rs*Table1[[#This Row],[Irms BuSync]]^2, Rs*Table1[[#This Row],[Irms BoCtlr]]^2, Rs*(Table1[[#This Row],[Irms BuSync]]^2+Table1[[#This Row],[Irms BoCtlr]]^2))</f>
        <v>0.24498985118597091</v>
      </c>
      <c r="BD181" s="354">
        <f t="shared" si="8"/>
        <v>1.44</v>
      </c>
      <c r="BE181" s="354">
        <f>IF(Vout&gt;8, Iq*Vout, Iq*Table1[[#This Row],[Vin]])</f>
        <v>4.3799999999999999E-2</v>
      </c>
      <c r="BF181" s="354">
        <f>CHOOSE(Table1[[#This Row],[Mode Digit]], (Qg_Q1+Qg_Q2)*Fsw, (Qg_Q3+Qg_Q4)*Fsw, (Qg_Q1+Qg_Q2+Qg_Q3+Qg_Q4)*Fsw)*IF(Vout&gt;8, Vout, Table1[[#This Row],[Vin]])</f>
        <v>0.47303999999999996</v>
      </c>
      <c r="BG181" s="354">
        <f t="shared" si="9"/>
        <v>0.45605042016806729</v>
      </c>
      <c r="BH181" s="354">
        <f>Table1[[#This Row],[IQ Loss]]+Table1[[#This Row],[Switching Current Loss]]</f>
        <v>0.51683999999999997</v>
      </c>
      <c r="BI18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13.459114841085071</v>
      </c>
      <c r="BJ181">
        <f>Vout*Table1[[#This Row],[Iout]]</f>
        <v>175.2</v>
      </c>
      <c r="BK181" s="550">
        <f>Table1[[#This Row],[Pout]]/(Table1[[#This Row],[Pout]]+Table1[[#This Row],[Total Loss]])</f>
        <v>0.92865907988372465</v>
      </c>
      <c r="BL18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344.20961578432218</v>
      </c>
      <c r="BM181" s="559">
        <f>IF(Table1[[#This Row],[Vin]]&gt;Vout, Table1[[#This Row],[Total Sync Bu MOSFET Loss]]*ThetaJA_Q2, ThetaJA_Q3*Table1[[#This Row],[Total Sync Bo MOSFET Loss]])</f>
        <v>65.841033994293127</v>
      </c>
      <c r="BN181" s="9"/>
      <c r="BO181" s="4">
        <f>Table1[[#This Row],[EFF, h]]*100</f>
        <v>92.86590798837247</v>
      </c>
      <c r="BP181" s="354">
        <f>Table1[[#This Row],[Total Inductor Loss]]</f>
        <v>3.0869614517404202</v>
      </c>
      <c r="BQ181" s="354">
        <f>Table1[[#This Row],[Total Control Bu MOSFET Loss]]+Table1[[#This Row],[Total Sync Bu MOSFET Loss]]+Table1[[#This Row],[Total Control Bo MOSFET Loss]]+Table1[[#This Row],[Total Sync Bo MOSFET Loss]]+Table1[[#This Row],[Reverse Recovery Loss MOSFET D BUCK]]+Table1[[#This Row],[Reverse Recovery Loss MOSFET D BOOST]]</f>
        <v>8.0886477980833078</v>
      </c>
      <c r="BR181" s="354">
        <f>Table1[[#This Row],[Total Control Bu MOSFET Loss]]+Table1[[#This Row],[Reverse Recovery Loss MOSFET D BUCK]]*0.66</f>
        <v>6.0855413617387022</v>
      </c>
      <c r="BS181" s="354">
        <f>Table1[[#This Row],[Total Sync Bu MOSFET Loss]]+Table1[[#This Row],[Reverse Recovery Loss MOSFET D BUCK]]*0.33</f>
        <v>1.2717077825715521</v>
      </c>
      <c r="BT181" s="354">
        <f xml:space="preserve"> Table1[[#This Row],[Total Control Bo MOSFET Loss]]+Table1[[#This Row],[Reverse Recovery Loss MOSFET D BOOST]]*0.66</f>
        <v>0</v>
      </c>
      <c r="BU181" s="354">
        <f xml:space="preserve"> Table1[[#This Row],[Total Sync Bo MOSFET Loss]]+Table1[[#This Row],[Reverse Recovery Loss MOSFET D BOOST]]*0.33</f>
        <v>0.72611510177305316</v>
      </c>
      <c r="BV181" s="354">
        <f>Table1[[#This Row],[Isense Shunt Loss]]</f>
        <v>0.24498985118597091</v>
      </c>
    </row>
    <row r="182" spans="7:74" x14ac:dyDescent="0.2">
      <c r="G182">
        <v>173</v>
      </c>
      <c r="H182" s="555">
        <f>VIN_min+(VIN_max-VIN_min)*(Table1[[#This Row],[Step]]/200)</f>
        <v>44.22</v>
      </c>
      <c r="I182" s="4" t="str">
        <f>IF(Mode = 2,IF(Table1[[#This Row],[Vin]]&gt;Vout, "BUCK","BOOST"),IF(Table1[[#This Row],[Vin]]&gt;VIN_BB_to_buck, "BUCK", IF(Table1[[#This Row],[Vin]]&lt;=VIN_boost_to_BB,"BOOST","BUCK-BST")))</f>
        <v>BUCK</v>
      </c>
      <c r="J182">
        <f>IF(Table1[[#This Row],[Mode]]="BOOST",2, IF(Table1[[#This Row],[Mode]]="BUCK", 1,3))</f>
        <v>1</v>
      </c>
      <c r="K182">
        <f t="shared" si="7"/>
        <v>12</v>
      </c>
      <c r="L182" s="4">
        <f>Vout*Table1[[#This Row],[Iout]]/(Table1[[#This Row],[Vin]]*Efficiency)</f>
        <v>4.1705348853817039</v>
      </c>
      <c r="M182" s="711">
        <f>MIN(1/Fsw,CHOOSE(Table1[[#This Row],[Mode Digit]],(Vout+(Rdson2+Rs+Rdcr)*Table1[[#This Row],[Iout]])/(Table1[[#This Row],[Vin]]+(Rs+Rdson2-Rdson1)*Table1[[#This Row],[Iout]])/Fsw,(Vout+(Rdson3+Rdcr)*Table1[[#This Row],[Iin]]-Table1[[#This Row],[Vin]])/(Vout+(Rdson3-Rdson4-Rs)*Table1[[#This Row],[Iin]])/Fsw,t1_Ph_II))</f>
        <v>5.5555555555555552E-7</v>
      </c>
      <c r="N182" s="602">
        <f>CHOOSE(Table1[[#This Row],[Mode Digit]],1/Fsw-Table1[[#This Row],[t1_Ph_II]],1/Fsw-Table1[[#This Row],[t1_Ph_II]],(Vout/Fsw-Table1[[#This Row],[Vin]]*t1_Ph_II)/(Table1[[#This Row],[Vin]]+Vout))</f>
        <v>1.1111111111111112E-6</v>
      </c>
      <c r="O182" s="602">
        <f>1/Fsw-(Table1[[#This Row],[t1_Ph_II]]+Table1[[#This Row],[t2_Ph_I]])</f>
        <v>0</v>
      </c>
      <c r="P18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8.8834175084175087</v>
      </c>
      <c r="Q182" s="4">
        <f>CHOOSE(Table1[[#This Row],[Mode Digit]],Table1[[#This Row],[I_0]]+1/Lf*(Table1[[#This Row],[Vin]]-Vout)*Table1[[#This Row],[t1_Ph_II]],Table1[[#This Row],[I_0]]+1/Lf*Table1[[#This Row],[Vin]]*Table1[[#This Row],[t1_Ph_II]],Table1[[#This Row],[I_0]]+(Table1[[#This Row],[Vin]]-Vout)/L*Table1[[#This Row],[t1_Ph_II]])</f>
        <v>15.116582491582491</v>
      </c>
      <c r="R182" s="4">
        <f>CHOOSE(Table1[[#This Row],[Mode Digit]],0,0,Table1[[#This Row],[I_1]]+Table1[[#This Row],[Vin]]/L*Table1[[#This Row],[t2_Ph_I]])</f>
        <v>0</v>
      </c>
      <c r="S182" s="4">
        <f>Fsw*(Table1[[#This Row],[I_0]]*Table1[[#This Row],[t1_Ph_II]]+Table1[[#This Row],[I_1]]*Table1[[#This Row],[t2_Ph_I]]+Table1[[#This Row],[I_2]]*Table1[[#This Row],[t3_Ph_III]])</f>
        <v>13.038860830527499</v>
      </c>
      <c r="T182" s="354">
        <f>MIN(1,CHOOSE(Table1[[#This Row],[Mode Digit]],(Vout+(Rdson2+Rs+Rdcr)*Table1[[#This Row],[Iout]])/(Table1[[#This Row],[Vin]]+(Rs+Rdson2-Rdson1)*Table1[[#This Row],[Iout]]),1,Fsw*Table1[[#This Row],[t2_Ph_I]]+Table1[[#This Row],[t1_Ph_II]]))</f>
        <v>0.33333333333333331</v>
      </c>
      <c r="U182" s="354">
        <f>MIN(1,CHOOSE(Table1[[#This Row],[Mode Digit]],0,(Vout+(Rdson3+Rdcr)*Table1[[#This Row],[Iin]]-Table1[[#This Row],[Vin]])/(Vout+(Rdson3-Rdson4-Rs)*Table1[[#This Row],[Iin]]),Fsw*Table1[[#This Row],[t1_Ph_II]]+Table1[[#This Row],[t3_Ph_III]]))</f>
        <v>0</v>
      </c>
      <c r="V182" s="4">
        <f>MAX(Table1[[#This Row],[I_0]:[I_2]])-MIN(Table1[[#This Row],[I_0]:[I_1]])</f>
        <v>6.2331649831649827</v>
      </c>
      <c r="W18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12.134154089824838</v>
      </c>
      <c r="X182" s="354">
        <f>(Table1[[#This Row],[Irms Lf]]^2*Rdcr*(1+Ltc*Ta-Ltc*25))/(1-Table1[[#This Row],[Irms Lf]]^2*Rdcr*Ltc*ThetaCa)</f>
        <v>0.91659911881365697</v>
      </c>
      <c r="Y182" s="354">
        <f>ABS(7.759*10^-3*Fsw^0.9458*(0.00787*Table1[[#This Row],[Ripple Current pk-pk]])^2.304)</f>
        <v>2.1782897776630139</v>
      </c>
      <c r="Z182" s="354">
        <f>Table1[[#This Row],[DCR    Loss]]+Table1[[#This Row],[Core Loss]]</f>
        <v>3.0948888964766708</v>
      </c>
      <c r="AA182" s="4">
        <f>IF(Table1[[#This Row],[Vin]]&gt;Vout, Table1[[#This Row],[Ripple Current pk-pk]]/SQRT(12), SQRT(Table1[[#This Row],[Duty Cycle BOOST Leg]]/(1-Table1[[#This Row],[Duty Cycle BOOST Leg]]))*SQRT(Table1[[#This Row],[Iout]]^2+(Table1[[#This Row],[Ripple Current pk-pk]]^2)/12))</f>
        <v>1.799359740466826</v>
      </c>
      <c r="AB182" s="354">
        <f>RCoutEsr*Table1[[#This Row],[Irms Cout]]^2</f>
        <v>1.6188477378064219E-2</v>
      </c>
      <c r="AC182" s="354">
        <f>Table1[[#This Row],[Cout ESR Loss]]</f>
        <v>1.6188477378064219E-2</v>
      </c>
      <c r="AD182" s="354">
        <f>IF(Table1[[#This Row],[Vin]]&gt;Vout, SQRT(Table1[[#This Row],[Duty Cycle BUCK Leg]]*(1-Table1[[#This Row],[Duty Cycle BUCK Leg]]))*SQRT(Table1[[#This Row],[Iout]]^2+(Table1[[#This Row],[Ripple Current pk-pk]]^2)/12), Table1[[#This Row],[Ripple Current pk-pk]]/SQRT(12))</f>
        <v>5.720095093918415</v>
      </c>
      <c r="AE182" s="354">
        <f>RCinEsr*Table1[[#This Row],[Irms Cin]]^2</f>
        <v>6.5438975766939037E-2</v>
      </c>
      <c r="AF182" s="549">
        <f>Table1[[#This Row],[Cin ESR Loss]]</f>
        <v>6.5438975766939037E-2</v>
      </c>
      <c r="AG18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7.0056571301487685</v>
      </c>
      <c r="AH182" s="354">
        <f>Rdson1*Table1[[#This Row],[Irms BuCtrl]]^2</f>
        <v>0.20613277366585803</v>
      </c>
      <c r="AI182" s="354">
        <f>CHOOSE(Table1[[#This Row],[Mode Digit]], (Table1[[#This Row],[Vin]]*Table1[[#This Row],[Iout]]/2)*(Fsw)*(Tr_buck+Tf_buck), 0, (Table1[[#This Row],[Vin]]*Table1[[#This Row],[Avg IL]]/2)*(Fsw/1)*(Tr_buck+Tf_buck))</f>
        <v>5.2620209545362711</v>
      </c>
      <c r="AJ182">
        <f>IF(Table1[[#This Row],[Vin]]&gt;Vout, IF(Table1[[#This Row],[Iout]]&gt;Table1[[#This Row],[Ripple Current pk-pk]]/2,0,ABS(Table1[[#This Row],[Iout]]-Table1[[#This Row],[Ripple Current pk-pk]]/2)*Vsd_Q1*Deadtime*Fsw),0)</f>
        <v>0</v>
      </c>
      <c r="AK182" s="354">
        <f>(Table1[[#This Row],[Dead Time Loss BuCtrl]]+Table1[[#This Row],[Transition Loss BuCtrl]]+Table1[[#This Row],[RDS(on) Loss BuCtrl]]*(1+RdsonTopTc*Ta-RdsonTopTc*25))/(1-Table1[[#This Row],[RDS(on) Loss BuCtrl]]*RdsonTopTc*ThetaJA_Q1)</f>
        <v>5.7527531598135013</v>
      </c>
      <c r="AL182" s="354">
        <f>CHOOSE(Table1[[#This Row],[Mode Digit]],SQRT((Fsw*(Table1[[#This Row],[t2_Ph_I]]+0))*((Table1[[#This Row],[I_0]]*Table1[[#This Row],[I_1]]+((Table1[[#This Row],[I_0]]-Table1[[#This Row],[I_1]])^2)/3))),0,SQRT((Fsw*(Table1[[#This Row],[t3_Ph_III]]+0))*((Table1[[#This Row],[I_0]]*Table1[[#This Row],[I_2]]+((Table1[[#This Row],[I_0]]-Table1[[#This Row],[I_2]])^2)/3))))</f>
        <v>9.9074953267921639</v>
      </c>
      <c r="AM182" s="354">
        <f>Rdson2*Table1[[#This Row],[Irms BuSync]]^2</f>
        <v>0.41226554733171605</v>
      </c>
      <c r="AN18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82" s="354">
        <f>(Table1[[#This Row],[Deadtime Loss BuSync]]+Table1[[#This Row],[RDS(on) Loss BuSync]]*(1+RdsonBotTc*Ta-RdsonBotTc*25))/(1-Table1[[#This Row],[RDS(on) Loss BuSync]]*RdsonBotTc*ThetaJA_Q2)</f>
        <v>1.0983076311054543</v>
      </c>
      <c r="AP182" s="354">
        <f>CHOOSE(Table1[[#This Row],[Mode Digit]],0,SQRT((Fsw*(Table1[[#This Row],[t1_Ph_II]]+0))*((Table1[[#This Row],[I_0]]*Table1[[#This Row],[I_1]]+((Table1[[#This Row],[I_0]]-Table1[[#This Row],[I_1]])^2)/3))),SQRT((Fsw*(Table1[[#This Row],[t2_Ph_I]]+0))*((Table1[[#This Row],[I_1]]*Table1[[#This Row],[I_2]]+((Table1[[#This Row],[I_1]]-Table1[[#This Row],[I_2]])^2)/3))))</f>
        <v>0</v>
      </c>
      <c r="AQ182" s="354">
        <f>Rdson4*Table1[[#This Row],[Irms BoCtlr]]^2</f>
        <v>0</v>
      </c>
      <c r="AR182" s="354">
        <f>CHOOSE(Table1[[#This Row],[Mode Digit]], 0, (Vout*Table1[[#This Row],[Iin]]/2)*(Fsw)*(Tr_boost+Tf_boost), (Vout*Iout/2)*(Fsw/1)*(Tr_boost+Tf_boost))</f>
        <v>0</v>
      </c>
      <c r="AS182">
        <f>IF(Table1[[#This Row],[Vin]]&gt;Vout, 0, IF(Table1[[#This Row],[Iin]]&gt;Table1[[#This Row],[Ripple Current pk-pk]]/2,0,ABS(Table1[[#This Row],[Iin]]-Table1[[#This Row],[Ripple Current pk-pk]]/2)*Vsd_Q4*Deadtime*Fsw))</f>
        <v>0</v>
      </c>
      <c r="AT182" s="354">
        <f>(Table1[[#This Row],[Dead Time Loss BoCtlr]]+Table1[[#This Row],[Transition Loss BoCtlr]]+Table1[[#This Row],[RDS(on) Loss BoCtlr]]*(1+RdsonTopTc*Ta-RdsonTopTc*25))/(1-Table1[[#This Row],[RDS(on) Loss BoCtlr]]*RdsonTopTc*ThetaJA_Q4)</f>
        <v>0</v>
      </c>
      <c r="AU18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12.134154089824838</v>
      </c>
      <c r="AV182" s="354">
        <f>Rdson3*Table1[[#This Row],[Irms BoSync]]^2</f>
        <v>0.61839832099757397</v>
      </c>
      <c r="AW18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82" s="354">
        <f>(Table1[[#This Row],[Deadtime Loss BoSync]]+Table1[[#This Row],[RDS(on) Loss BoSync]]*(1+RdsonBotTc*Ta-RdsonBotTc*25))/(1-Table1[[#This Row],[RDS(on) Loss BoSync]]*RdsonBotTc*ThetaJA_Q3)</f>
        <v>0.72617384588970457</v>
      </c>
      <c r="AY182" s="354">
        <f>CHOOSE(Table1[[#This Row],[Mode Digit]], Rdson3*Table1[[#This Row],[Irms Lf]]^2, Rdson1*Table1[[#This Row],[Irms Lf]]^2, 0)</f>
        <v>0.61839832099757397</v>
      </c>
      <c r="AZ182" s="354">
        <f>CHOOSE(Table1[[#This Row],[Mode Digit]], 2*Deadtime*Fsw*IF(VfdSky_Q2&gt;0,VfdSky_Q2,0)*Table1[[#This Row],[Iout]], 2*Deadtime*Fsw*IF(VfdSky_Q3&gt;0,VfdSky_Q3,0)*Table1[[#This Row],[Iin]], 2*Deadtime*Fsw*IF(VfdSky_Q2&gt;0,VfdSky_Q2,0)*Table1[[#This Row],[Iout]]+2*Deadtime*Fsw*IF(VfdSky_Q3&gt;0,VfdSky_Q3,0)*Table1[[#This Row],[Iin]])</f>
        <v>0</v>
      </c>
      <c r="BA182" s="354">
        <f>CHOOSE(Table1[[#This Row],[Mode Digit]], IF(QrrSky_Q2&gt;0,QrrSky_Q2,Qrr_Q2)*Fsw*(Table1[[#This Row],[Vin]]-Table1[[#This Row],[Iout]]*Rdson1),0,  IF(QrrSky_Q2&gt;0,QrrSky_Q2,Qrr_Q2)*Fsw*(Table1[[#This Row],[Vin]]-Table1[[#This Row],[Iout]]*Rdson1)+IF(QrrSky_Q3&gt;0,QrrSky_Q3,Qrr_Q3)*Fsw*Vout)</f>
        <v>0.53003519999999993</v>
      </c>
      <c r="BB182" s="354">
        <f>CHOOSE(Table1[[#This Row],[Mode Digit]],0, IF(QrrSky_Q3&gt;0,QrrSky_Q3,Qrr_Q3)*Fsw*Vout,  IF(QrrSky_Q2&gt;0,QrrSky_Q2,Qrr_Q2)*Fsw*(Table1[[#This Row],[Vin]]-Table1[[#This Row],[Iout]]*Rdson1)+IF(QrrSky_Q3&gt;0,QrrSky_Q3,Qrr_Q3)*Fsw*Vout)</f>
        <v>0</v>
      </c>
      <c r="BC182" s="354">
        <f>CHOOSE(Table1[[#This Row],[Mode Digit]], Rs*Table1[[#This Row],[Irms BuSync]]^2, Rs*Table1[[#This Row],[Irms BoCtlr]]^2, Rs*(Table1[[#This Row],[Irms BuSync]]^2+Table1[[#This Row],[Irms BoCtlr]]^2))</f>
        <v>0.24539615912602142</v>
      </c>
      <c r="BD182" s="354">
        <f t="shared" si="8"/>
        <v>1.44</v>
      </c>
      <c r="BE182" s="354">
        <f>IF(Vout&gt;8, Iq*Vout, Iq*Table1[[#This Row],[Vin]])</f>
        <v>4.3799999999999999E-2</v>
      </c>
      <c r="BF182" s="354">
        <f>CHOOSE(Table1[[#This Row],[Mode Digit]], (Qg_Q1+Qg_Q2)*Fsw, (Qg_Q3+Qg_Q4)*Fsw, (Qg_Q1+Qg_Q2+Qg_Q3+Qg_Q4)*Fsw)*IF(Vout&gt;8, Vout, Table1[[#This Row],[Vin]])</f>
        <v>0.47303999999999996</v>
      </c>
      <c r="BG182" s="354">
        <f t="shared" si="9"/>
        <v>0.45605042016806729</v>
      </c>
      <c r="BH182" s="354">
        <f>Table1[[#This Row],[IQ Loss]]+Table1[[#This Row],[Switching Current Loss]]</f>
        <v>0.51683999999999997</v>
      </c>
      <c r="BI18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13.486022345556357</v>
      </c>
      <c r="BJ182">
        <f>Vout*Table1[[#This Row],[Iout]]</f>
        <v>175.2</v>
      </c>
      <c r="BK182" s="550">
        <f>Table1[[#This Row],[Pout]]/(Table1[[#This Row],[Pout]]+Table1[[#This Row],[Total Loss]])</f>
        <v>0.92852664877921753</v>
      </c>
      <c r="BL18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345.16518958881011</v>
      </c>
      <c r="BM182" s="559">
        <f>IF(Table1[[#This Row],[Vin]]&gt;Vout, Table1[[#This Row],[Total Sync Bu MOSFET Loss]]*ThetaJA_Q2, ThetaJA_Q3*Table1[[#This Row],[Total Sync Bo MOSFET Loss]])</f>
        <v>65.898457866327249</v>
      </c>
      <c r="BN182" s="9"/>
      <c r="BO182" s="4">
        <f>Table1[[#This Row],[EFF, h]]*100</f>
        <v>92.852664877921754</v>
      </c>
      <c r="BP182" s="354">
        <f>Table1[[#This Row],[Total Inductor Loss]]</f>
        <v>3.0948888964766708</v>
      </c>
      <c r="BQ182" s="354">
        <f>Table1[[#This Row],[Total Control Bu MOSFET Loss]]+Table1[[#This Row],[Total Sync Bu MOSFET Loss]]+Table1[[#This Row],[Total Control Bo MOSFET Loss]]+Table1[[#This Row],[Total Sync Bo MOSFET Loss]]+Table1[[#This Row],[Reverse Recovery Loss MOSFET D BUCK]]+Table1[[#This Row],[Reverse Recovery Loss MOSFET D BOOST]]</f>
        <v>8.1072698368086602</v>
      </c>
      <c r="BR182" s="354">
        <f>Table1[[#This Row],[Total Control Bu MOSFET Loss]]+Table1[[#This Row],[Reverse Recovery Loss MOSFET D BUCK]]*0.66</f>
        <v>6.1025763918135016</v>
      </c>
      <c r="BS182" s="354">
        <f>Table1[[#This Row],[Total Sync Bu MOSFET Loss]]+Table1[[#This Row],[Reverse Recovery Loss MOSFET D BUCK]]*0.33</f>
        <v>1.2732192471054542</v>
      </c>
      <c r="BT182" s="354">
        <f xml:space="preserve"> Table1[[#This Row],[Total Control Bo MOSFET Loss]]+Table1[[#This Row],[Reverse Recovery Loss MOSFET D BOOST]]*0.66</f>
        <v>0</v>
      </c>
      <c r="BU182" s="354">
        <f xml:space="preserve"> Table1[[#This Row],[Total Sync Bo MOSFET Loss]]+Table1[[#This Row],[Reverse Recovery Loss MOSFET D BOOST]]*0.33</f>
        <v>0.72617384588970457</v>
      </c>
      <c r="BV182" s="354">
        <f>Table1[[#This Row],[Isense Shunt Loss]]</f>
        <v>0.24539615912602142</v>
      </c>
    </row>
    <row r="183" spans="7:74" x14ac:dyDescent="0.2">
      <c r="G183">
        <v>174</v>
      </c>
      <c r="H183" s="555">
        <f>VIN_min+(VIN_max-VIN_min)*(Table1[[#This Row],[Step]]/200)</f>
        <v>44.36</v>
      </c>
      <c r="I183" s="4" t="str">
        <f>IF(Mode = 2,IF(Table1[[#This Row],[Vin]]&gt;Vout, "BUCK","BOOST"),IF(Table1[[#This Row],[Vin]]&gt;VIN_BB_to_buck, "BUCK", IF(Table1[[#This Row],[Vin]]&lt;=VIN_boost_to_BB,"BOOST","BUCK-BST")))</f>
        <v>BUCK</v>
      </c>
      <c r="J183">
        <f>IF(Table1[[#This Row],[Mode]]="BOOST",2, IF(Table1[[#This Row],[Mode]]="BUCK", 1,3))</f>
        <v>1</v>
      </c>
      <c r="K183">
        <f t="shared" si="7"/>
        <v>12</v>
      </c>
      <c r="L183" s="4">
        <f>Vout*Table1[[#This Row],[Iout]]/(Table1[[#This Row],[Vin]]*Efficiency)</f>
        <v>4.1573726923259455</v>
      </c>
      <c r="M183" s="711">
        <f>MIN(1/Fsw,CHOOSE(Table1[[#This Row],[Mode Digit]],(Vout+(Rdson2+Rs+Rdcr)*Table1[[#This Row],[Iout]])/(Table1[[#This Row],[Vin]]+(Rs+Rdson2-Rdson1)*Table1[[#This Row],[Iout]])/Fsw,(Vout+(Rdson3+Rdcr)*Table1[[#This Row],[Iin]]-Table1[[#This Row],[Vin]])/(Vout+(Rdson3-Rdson4-Rs)*Table1[[#This Row],[Iin]])/Fsw,t1_Ph_II))</f>
        <v>5.5380340917624085E-7</v>
      </c>
      <c r="N183" s="602">
        <f>CHOOSE(Table1[[#This Row],[Mode Digit]],1/Fsw-Table1[[#This Row],[t1_Ph_II]],1/Fsw-Table1[[#This Row],[t1_Ph_II]],(Vout/Fsw-Table1[[#This Row],[Vin]]*t1_Ph_II)/(Table1[[#This Row],[Vin]]+Vout))</f>
        <v>1.1128632574904257E-6</v>
      </c>
      <c r="O183" s="602">
        <f>1/Fsw-(Table1[[#This Row],[t1_Ph_II]]+Table1[[#This Row],[t2_Ph_I]])</f>
        <v>0</v>
      </c>
      <c r="P18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8.8785626028248252</v>
      </c>
      <c r="Q183" s="4">
        <f>CHOOSE(Table1[[#This Row],[Mode Digit]],Table1[[#This Row],[I_0]]+1/Lf*(Table1[[#This Row],[Vin]]-Vout)*Table1[[#This Row],[t1_Ph_II]],Table1[[#This Row],[I_0]]+1/Lf*Table1[[#This Row],[Vin]]*Table1[[#This Row],[t1_Ph_II]],Table1[[#This Row],[I_0]]+(Table1[[#This Row],[Vin]]-Vout)/L*Table1[[#This Row],[t1_Ph_II]])</f>
        <v>15.121437397175175</v>
      </c>
      <c r="R183" s="4">
        <f>CHOOSE(Table1[[#This Row],[Mode Digit]],0,0,Table1[[#This Row],[I_1]]+Table1[[#This Row],[Vin]]/L*Table1[[#This Row],[t2_Ph_I]])</f>
        <v>0</v>
      </c>
      <c r="S183" s="4">
        <f>Fsw*(Table1[[#This Row],[I_0]]*Table1[[#This Row],[t1_Ph_II]]+Table1[[#This Row],[I_1]]*Table1[[#This Row],[t2_Ph_I]]+Table1[[#This Row],[I_2]]*Table1[[#This Row],[t3_Ph_III]])</f>
        <v>13.047042190672185</v>
      </c>
      <c r="T183" s="354">
        <f>MIN(1,CHOOSE(Table1[[#This Row],[Mode Digit]],(Vout+(Rdson2+Rs+Rdcr)*Table1[[#This Row],[Iout]])/(Table1[[#This Row],[Vin]]+(Rs+Rdson2-Rdson1)*Table1[[#This Row],[Iout]]),1,Fsw*Table1[[#This Row],[t2_Ph_I]]+Table1[[#This Row],[t1_Ph_II]]))</f>
        <v>0.33228204550574453</v>
      </c>
      <c r="U183" s="354">
        <f>MIN(1,CHOOSE(Table1[[#This Row],[Mode Digit]],0,(Vout+(Rdson3+Rdcr)*Table1[[#This Row],[Iin]]-Table1[[#This Row],[Vin]])/(Vout+(Rdson3-Rdson4-Rs)*Table1[[#This Row],[Iin]]),Fsw*Table1[[#This Row],[t1_Ph_II]]+Table1[[#This Row],[t3_Ph_III]]))</f>
        <v>0</v>
      </c>
      <c r="V183" s="4">
        <f>MAX(Table1[[#This Row],[I_0]:[I_2]])-MIN(Table1[[#This Row],[I_0]:[I_1]])</f>
        <v>6.2428747943503495</v>
      </c>
      <c r="W18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12.134570057271411</v>
      </c>
      <c r="X183" s="354">
        <f>(Table1[[#This Row],[Irms Lf]]^2*Rdcr*(1+Ltc*Ta-Ltc*25))/(1-Table1[[#This Row],[Irms Lf]]^2*Rdcr*Ltc*ThetaCa)</f>
        <v>0.9166665718225997</v>
      </c>
      <c r="Y183" s="354">
        <f>ABS(7.759*10^-3*Fsw^0.9458*(0.00787*Table1[[#This Row],[Ripple Current pk-pk]])^2.304)</f>
        <v>2.1861158027081062</v>
      </c>
      <c r="Z183" s="354">
        <f>Table1[[#This Row],[DCR    Loss]]+Table1[[#This Row],[Core Loss]]</f>
        <v>3.1027823745307059</v>
      </c>
      <c r="AA183" s="4">
        <f>IF(Table1[[#This Row],[Vin]]&gt;Vout, Table1[[#This Row],[Ripple Current pk-pk]]/SQRT(12), SQRT(Table1[[#This Row],[Duty Cycle BOOST Leg]]/(1-Table1[[#This Row],[Duty Cycle BOOST Leg]]))*SQRT(Table1[[#This Row],[Iout]]^2+(Table1[[#This Row],[Ripple Current pk-pk]]^2)/12))</f>
        <v>1.8021627215176521</v>
      </c>
      <c r="AB183" s="354">
        <f>RCoutEsr*Table1[[#This Row],[Irms Cout]]^2</f>
        <v>1.6238952374139554E-2</v>
      </c>
      <c r="AC183" s="354">
        <f>Table1[[#This Row],[Cout ESR Loss]]</f>
        <v>1.6238952374139554E-2</v>
      </c>
      <c r="AD183" s="354">
        <f>IF(Table1[[#This Row],[Vin]]&gt;Vout, SQRT(Table1[[#This Row],[Duty Cycle BUCK Leg]]*(1-Table1[[#This Row],[Duty Cycle BUCK Leg]]))*SQRT(Table1[[#This Row],[Iout]]^2+(Table1[[#This Row],[Ripple Current pk-pk]]^2)/12), Table1[[#This Row],[Ripple Current pk-pk]]/SQRT(12))</f>
        <v>5.7157649130176971</v>
      </c>
      <c r="AE183" s="354">
        <f>RCinEsr*Table1[[#This Row],[Irms Cin]]^2</f>
        <v>6.5339937081768398E-2</v>
      </c>
      <c r="AF183" s="549">
        <f>Table1[[#This Row],[Cin ESR Loss]]</f>
        <v>6.5339937081768398E-2</v>
      </c>
      <c r="AG18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6.994840742660057</v>
      </c>
      <c r="AH183" s="354">
        <f>Rdson1*Table1[[#This Row],[Irms BuCtrl]]^2</f>
        <v>0.20549674746374386</v>
      </c>
      <c r="AI183" s="354">
        <f>CHOOSE(Table1[[#This Row],[Mode Digit]], (Table1[[#This Row],[Vin]]*Table1[[#This Row],[Iout]]/2)*(Fsw)*(Tr_buck+Tf_buck), 0, (Table1[[#This Row],[Vin]]*Table1[[#This Row],[Avg IL]]/2)*(Fsw/1)*(Tr_buck+Tf_buck))</f>
        <v>5.2786804510002021</v>
      </c>
      <c r="AJ183">
        <f>IF(Table1[[#This Row],[Vin]]&gt;Vout, IF(Table1[[#This Row],[Iout]]&gt;Table1[[#This Row],[Ripple Current pk-pk]]/2,0,ABS(Table1[[#This Row],[Iout]]-Table1[[#This Row],[Ripple Current pk-pk]]/2)*Vsd_Q1*Deadtime*Fsw),0)</f>
        <v>0</v>
      </c>
      <c r="AK183" s="354">
        <f>(Table1[[#This Row],[Dead Time Loss BuCtrl]]+Table1[[#This Row],[Transition Loss BuCtrl]]+Table1[[#This Row],[RDS(on) Loss BuCtrl]]*(1+RdsonTopTc*Ta-RdsonTopTc*25))/(1-Table1[[#This Row],[RDS(on) Loss BuCtrl]]*RdsonTopTc*ThetaJA_Q1)</f>
        <v>5.7686842001292371</v>
      </c>
      <c r="AL183" s="354">
        <f>CHOOSE(Table1[[#This Row],[Mode Digit]],SQRT((Fsw*(Table1[[#This Row],[t2_Ph_I]]+0))*((Table1[[#This Row],[I_0]]*Table1[[#This Row],[I_1]]+((Table1[[#This Row],[I_0]]-Table1[[#This Row],[I_1]])^2)/3))),0,SQRT((Fsw*(Table1[[#This Row],[t3_Ph_III]]+0))*((Table1[[#This Row],[I_0]]*Table1[[#This Row],[I_2]]+((Table1[[#This Row],[I_0]]-Table1[[#This Row],[I_2]])^2)/3))))</f>
        <v>9.9156438751929166</v>
      </c>
      <c r="AM183" s="354">
        <f>Rdson2*Table1[[#This Row],[Irms BuSync]]^2</f>
        <v>0.41294397253053344</v>
      </c>
      <c r="AN18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83" s="354">
        <f>(Table1[[#This Row],[Deadtime Loss BuSync]]+Table1[[#This Row],[RDS(on) Loss BuSync]]*(1+RdsonBotTc*Ta-RdsonBotTc*25))/(1-Table1[[#This Row],[RDS(on) Loss BuSync]]*RdsonBotTc*ThetaJA_Q2)</f>
        <v>1.0992591908038609</v>
      </c>
      <c r="AP183" s="354">
        <f>CHOOSE(Table1[[#This Row],[Mode Digit]],0,SQRT((Fsw*(Table1[[#This Row],[t1_Ph_II]]+0))*((Table1[[#This Row],[I_0]]*Table1[[#This Row],[I_1]]+((Table1[[#This Row],[I_0]]-Table1[[#This Row],[I_1]])^2)/3))),SQRT((Fsw*(Table1[[#This Row],[t2_Ph_I]]+0))*((Table1[[#This Row],[I_1]]*Table1[[#This Row],[I_2]]+((Table1[[#This Row],[I_1]]-Table1[[#This Row],[I_2]])^2)/3))))</f>
        <v>0</v>
      </c>
      <c r="AQ183" s="354">
        <f>Rdson4*Table1[[#This Row],[Irms BoCtlr]]^2</f>
        <v>0</v>
      </c>
      <c r="AR183" s="354">
        <f>CHOOSE(Table1[[#This Row],[Mode Digit]], 0, (Vout*Table1[[#This Row],[Iin]]/2)*(Fsw)*(Tr_boost+Tf_boost), (Vout*Iout/2)*(Fsw/1)*(Tr_boost+Tf_boost))</f>
        <v>0</v>
      </c>
      <c r="AS183">
        <f>IF(Table1[[#This Row],[Vin]]&gt;Vout, 0, IF(Table1[[#This Row],[Iin]]&gt;Table1[[#This Row],[Ripple Current pk-pk]]/2,0,ABS(Table1[[#This Row],[Iin]]-Table1[[#This Row],[Ripple Current pk-pk]]/2)*Vsd_Q4*Deadtime*Fsw))</f>
        <v>0</v>
      </c>
      <c r="AT183" s="354">
        <f>(Table1[[#This Row],[Dead Time Loss BoCtlr]]+Table1[[#This Row],[Transition Loss BoCtlr]]+Table1[[#This Row],[RDS(on) Loss BoCtlr]]*(1+RdsonTopTc*Ta-RdsonTopTc*25))/(1-Table1[[#This Row],[RDS(on) Loss BoCtlr]]*RdsonTopTc*ThetaJA_Q4)</f>
        <v>0</v>
      </c>
      <c r="AU18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12.134570057271411</v>
      </c>
      <c r="AV183" s="354">
        <f>Rdson3*Table1[[#This Row],[Irms BoSync]]^2</f>
        <v>0.6184407199942773</v>
      </c>
      <c r="AW18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83" s="354">
        <f>(Table1[[#This Row],[Deadtime Loss BoSync]]+Table1[[#This Row],[RDS(on) Loss BoSync]]*(1+RdsonBotTc*Ta-RdsonBotTc*25))/(1-Table1[[#This Row],[RDS(on) Loss BoSync]]*RdsonBotTc*ThetaJA_Q3)</f>
        <v>0.72623231215760287</v>
      </c>
      <c r="AY183" s="354">
        <f>CHOOSE(Table1[[#This Row],[Mode Digit]], Rdson3*Table1[[#This Row],[Irms Lf]]^2, Rdson1*Table1[[#This Row],[Irms Lf]]^2, 0)</f>
        <v>0.6184407199942773</v>
      </c>
      <c r="AZ183" s="354">
        <f>CHOOSE(Table1[[#This Row],[Mode Digit]], 2*Deadtime*Fsw*IF(VfdSky_Q2&gt;0,VfdSky_Q2,0)*Table1[[#This Row],[Iout]], 2*Deadtime*Fsw*IF(VfdSky_Q3&gt;0,VfdSky_Q3,0)*Table1[[#This Row],[Iin]], 2*Deadtime*Fsw*IF(VfdSky_Q2&gt;0,VfdSky_Q2,0)*Table1[[#This Row],[Iout]]+2*Deadtime*Fsw*IF(VfdSky_Q3&gt;0,VfdSky_Q3,0)*Table1[[#This Row],[Iin]])</f>
        <v>0</v>
      </c>
      <c r="BA183" s="354">
        <f>CHOOSE(Table1[[#This Row],[Mode Digit]], IF(QrrSky_Q2&gt;0,QrrSky_Q2,Qrr_Q2)*Fsw*(Table1[[#This Row],[Vin]]-Table1[[#This Row],[Iout]]*Rdson1),0,  IF(QrrSky_Q2&gt;0,QrrSky_Q2,Qrr_Q2)*Fsw*(Table1[[#This Row],[Vin]]-Table1[[#This Row],[Iout]]*Rdson1)+IF(QrrSky_Q3&gt;0,QrrSky_Q3,Qrr_Q3)*Fsw*Vout)</f>
        <v>0.53171519999999994</v>
      </c>
      <c r="BB183" s="354">
        <f>CHOOSE(Table1[[#This Row],[Mode Digit]],0, IF(QrrSky_Q3&gt;0,QrrSky_Q3,Qrr_Q3)*Fsw*Vout,  IF(QrrSky_Q2&gt;0,QrrSky_Q2,Qrr_Q2)*Fsw*(Table1[[#This Row],[Vin]]-Table1[[#This Row],[Iout]]*Rdson1)+IF(QrrSky_Q3&gt;0,QrrSky_Q3,Qrr_Q3)*Fsw*Vout)</f>
        <v>0</v>
      </c>
      <c r="BC183" s="354">
        <f>CHOOSE(Table1[[#This Row],[Mode Digit]], Rs*Table1[[#This Row],[Irms BuSync]]^2, Rs*Table1[[#This Row],[Irms BoCtlr]]^2, Rs*(Table1[[#This Row],[Irms BuSync]]^2+Table1[[#This Row],[Irms BoCtlr]]^2))</f>
        <v>0.245799983649127</v>
      </c>
      <c r="BD183" s="354">
        <f t="shared" si="8"/>
        <v>1.44</v>
      </c>
      <c r="BE183" s="354">
        <f>IF(Vout&gt;8, Iq*Vout, Iq*Table1[[#This Row],[Vin]])</f>
        <v>4.3799999999999999E-2</v>
      </c>
      <c r="BF183" s="354">
        <f>CHOOSE(Table1[[#This Row],[Mode Digit]], (Qg_Q1+Qg_Q2)*Fsw, (Qg_Q3+Qg_Q4)*Fsw, (Qg_Q1+Qg_Q2+Qg_Q3+Qg_Q4)*Fsw)*IF(Vout&gt;8, Vout, Table1[[#This Row],[Vin]])</f>
        <v>0.47303999999999996</v>
      </c>
      <c r="BG183" s="354">
        <f t="shared" si="9"/>
        <v>0.45605042016806729</v>
      </c>
      <c r="BH183" s="354">
        <f>Table1[[#This Row],[IQ Loss]]+Table1[[#This Row],[Switching Current Loss]]</f>
        <v>0.51683999999999997</v>
      </c>
      <c r="BI18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13.512892150726442</v>
      </c>
      <c r="BJ183">
        <f>Vout*Table1[[#This Row],[Iout]]</f>
        <v>175.2</v>
      </c>
      <c r="BK183" s="550">
        <f>Table1[[#This Row],[Pout]]/(Table1[[#This Row],[Pout]]+Table1[[#This Row],[Total Loss]])</f>
        <v>0.92839444090585199</v>
      </c>
      <c r="BL18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346.1210520077542</v>
      </c>
      <c r="BM183" s="559">
        <f>IF(Table1[[#This Row],[Vin]]&gt;Vout, Table1[[#This Row],[Total Sync Bu MOSFET Loss]]*ThetaJA_Q2, ThetaJA_Q3*Table1[[#This Row],[Total Sync Bo MOSFET Loss]])</f>
        <v>65.95555144823166</v>
      </c>
      <c r="BN183" s="9"/>
      <c r="BO183" s="4">
        <f>Table1[[#This Row],[EFF, h]]*100</f>
        <v>92.839444090585204</v>
      </c>
      <c r="BP183" s="354">
        <f>Table1[[#This Row],[Total Inductor Loss]]</f>
        <v>3.1027823745307059</v>
      </c>
      <c r="BQ183" s="354">
        <f>Table1[[#This Row],[Total Control Bu MOSFET Loss]]+Table1[[#This Row],[Total Sync Bu MOSFET Loss]]+Table1[[#This Row],[Total Control Bo MOSFET Loss]]+Table1[[#This Row],[Total Sync Bo MOSFET Loss]]+Table1[[#This Row],[Reverse Recovery Loss MOSFET D BUCK]]+Table1[[#This Row],[Reverse Recovery Loss MOSFET D BOOST]]</f>
        <v>8.1258909030907009</v>
      </c>
      <c r="BR183" s="354">
        <f>Table1[[#This Row],[Total Control Bu MOSFET Loss]]+Table1[[#This Row],[Reverse Recovery Loss MOSFET D BUCK]]*0.66</f>
        <v>6.1196162321292373</v>
      </c>
      <c r="BS183" s="354">
        <f>Table1[[#This Row],[Total Sync Bu MOSFET Loss]]+Table1[[#This Row],[Reverse Recovery Loss MOSFET D BUCK]]*0.33</f>
        <v>1.2747252068038608</v>
      </c>
      <c r="BT183" s="354">
        <f xml:space="preserve"> Table1[[#This Row],[Total Control Bo MOSFET Loss]]+Table1[[#This Row],[Reverse Recovery Loss MOSFET D BOOST]]*0.66</f>
        <v>0</v>
      </c>
      <c r="BU183" s="354">
        <f xml:space="preserve"> Table1[[#This Row],[Total Sync Bo MOSFET Loss]]+Table1[[#This Row],[Reverse Recovery Loss MOSFET D BOOST]]*0.33</f>
        <v>0.72623231215760287</v>
      </c>
      <c r="BV183" s="354">
        <f>Table1[[#This Row],[Isense Shunt Loss]]</f>
        <v>0.245799983649127</v>
      </c>
    </row>
    <row r="184" spans="7:74" x14ac:dyDescent="0.2">
      <c r="G184">
        <v>175</v>
      </c>
      <c r="H184" s="555">
        <f>VIN_min+(VIN_max-VIN_min)*(Table1[[#This Row],[Step]]/200)</f>
        <v>44.5</v>
      </c>
      <c r="I184" s="4" t="str">
        <f>IF(Mode = 2,IF(Table1[[#This Row],[Vin]]&gt;Vout, "BUCK","BOOST"),IF(Table1[[#This Row],[Vin]]&gt;VIN_BB_to_buck, "BUCK", IF(Table1[[#This Row],[Vin]]&lt;=VIN_boost_to_BB,"BOOST","BUCK-BST")))</f>
        <v>BUCK</v>
      </c>
      <c r="J184">
        <f>IF(Table1[[#This Row],[Mode]]="BOOST",2, IF(Table1[[#This Row],[Mode]]="BUCK", 1,3))</f>
        <v>1</v>
      </c>
      <c r="K184">
        <f t="shared" si="7"/>
        <v>12</v>
      </c>
      <c r="L184" s="4">
        <f>Vout*Table1[[#This Row],[Iout]]/(Table1[[#This Row],[Vin]]*Efficiency)</f>
        <v>4.1442933175635721</v>
      </c>
      <c r="M184" s="711">
        <f>MIN(1/Fsw,CHOOSE(Table1[[#This Row],[Mode Digit]],(Vout+(Rdson2+Rs+Rdcr)*Table1[[#This Row],[Iout]])/(Table1[[#This Row],[Vin]]+(Rs+Rdson2-Rdson1)*Table1[[#This Row],[Iout]])/Fsw,(Vout+(Rdson3+Rdcr)*Table1[[#This Row],[Iin]]-Table1[[#This Row],[Vin]])/(Vout+(Rdson3-Rdson4-Rs)*Table1[[#This Row],[Iin]])/Fsw,t1_Ph_II))</f>
        <v>5.5206228011078666E-7</v>
      </c>
      <c r="N184" s="602">
        <f>CHOOSE(Table1[[#This Row],[Mode Digit]],1/Fsw-Table1[[#This Row],[t1_Ph_II]],1/Fsw-Table1[[#This Row],[t1_Ph_II]],(Vout/Fsw-Table1[[#This Row],[Vin]]*t1_Ph_II)/(Table1[[#This Row],[Vin]]+Vout))</f>
        <v>1.1146043865558801E-6</v>
      </c>
      <c r="O184" s="602">
        <f>1/Fsw-(Table1[[#This Row],[t1_Ph_II]]+Table1[[#This Row],[t2_Ph_I]])</f>
        <v>0</v>
      </c>
      <c r="P18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8.8737382243726284</v>
      </c>
      <c r="Q184" s="4">
        <f>CHOOSE(Table1[[#This Row],[Mode Digit]],Table1[[#This Row],[I_0]]+1/Lf*(Table1[[#This Row],[Vin]]-Vout)*Table1[[#This Row],[t1_Ph_II]],Table1[[#This Row],[I_0]]+1/Lf*Table1[[#This Row],[Vin]]*Table1[[#This Row],[t1_Ph_II]],Table1[[#This Row],[I_0]]+(Table1[[#This Row],[Vin]]-Vout)/L*Table1[[#This Row],[t1_Ph_II]])</f>
        <v>15.12626177562737</v>
      </c>
      <c r="R184" s="4">
        <f>CHOOSE(Table1[[#This Row],[Mode Digit]],0,0,Table1[[#This Row],[I_1]]+Table1[[#This Row],[Vin]]/L*Table1[[#This Row],[t2_Ph_I]])</f>
        <v>0</v>
      </c>
      <c r="S184" s="4">
        <f>Fsw*(Table1[[#This Row],[I_0]]*Table1[[#This Row],[t1_Ph_II]]+Table1[[#This Row],[I_1]]*Table1[[#This Row],[t2_Ph_I]]+Table1[[#This Row],[I_2]]*Table1[[#This Row],[t3_Ph_III]])</f>
        <v>13.055192330736118</v>
      </c>
      <c r="T184" s="354">
        <f>MIN(1,CHOOSE(Table1[[#This Row],[Mode Digit]],(Vout+(Rdson2+Rs+Rdcr)*Table1[[#This Row],[Iout]])/(Table1[[#This Row],[Vin]]+(Rs+Rdson2-Rdson1)*Table1[[#This Row],[Iout]]),1,Fsw*Table1[[#This Row],[t2_Ph_I]]+Table1[[#This Row],[t1_Ph_II]]))</f>
        <v>0.33123736806647203</v>
      </c>
      <c r="U184" s="354">
        <f>MIN(1,CHOOSE(Table1[[#This Row],[Mode Digit]],0,(Vout+(Rdson3+Rdcr)*Table1[[#This Row],[Iin]]-Table1[[#This Row],[Vin]])/(Vout+(Rdson3-Rdson4-Rs)*Table1[[#This Row],[Iin]]),Fsw*Table1[[#This Row],[t1_Ph_II]]+Table1[[#This Row],[t3_Ph_III]]))</f>
        <v>0</v>
      </c>
      <c r="V184" s="4">
        <f>MAX(Table1[[#This Row],[I_0]:[I_2]])-MIN(Table1[[#This Row],[I_0]:[I_1]])</f>
        <v>6.2525235512547415</v>
      </c>
      <c r="W18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12.134984036382148</v>
      </c>
      <c r="X184" s="354">
        <f>(Table1[[#This Row],[Irms Lf]]^2*Rdcr*(1+Ltc*Ta-Ltc*25))/(1-Table1[[#This Row],[Irms Lf]]^2*Rdcr*Ltc*ThetaCa)</f>
        <v>0.91673370537348242</v>
      </c>
      <c r="Y184" s="354">
        <f>ABS(7.759*10^-3*Fsw^0.9458*(0.00787*Table1[[#This Row],[Ripple Current pk-pk]])^2.304)</f>
        <v>2.1939083575592488</v>
      </c>
      <c r="Z184" s="354">
        <f>Table1[[#This Row],[DCR    Loss]]+Table1[[#This Row],[Core Loss]]</f>
        <v>3.1106420629327314</v>
      </c>
      <c r="AA184" s="4">
        <f>IF(Table1[[#This Row],[Vin]]&gt;Vout, Table1[[#This Row],[Ripple Current pk-pk]]/SQRT(12), SQRT(Table1[[#This Row],[Duty Cycle BOOST Leg]]/(1-Table1[[#This Row],[Duty Cycle BOOST Leg]]))*SQRT(Table1[[#This Row],[Iout]]^2+(Table1[[#This Row],[Ripple Current pk-pk]]^2)/12))</f>
        <v>1.8049480777157001</v>
      </c>
      <c r="AB184" s="354">
        <f>RCoutEsr*Table1[[#This Row],[Irms Cout]]^2</f>
        <v>1.6289187816248007E-2</v>
      </c>
      <c r="AC184" s="354">
        <f>Table1[[#This Row],[Cout ESR Loss]]</f>
        <v>1.6289187816248007E-2</v>
      </c>
      <c r="AD184" s="354">
        <f>IF(Table1[[#This Row],[Vin]]&gt;Vout, SQRT(Table1[[#This Row],[Duty Cycle BUCK Leg]]*(1-Table1[[#This Row],[Duty Cycle BUCK Leg]]))*SQRT(Table1[[#This Row],[Iout]]^2+(Table1[[#This Row],[Ripple Current pk-pk]]^2)/12), Table1[[#This Row],[Ripple Current pk-pk]]/SQRT(12))</f>
        <v>5.711430166892975</v>
      </c>
      <c r="AE184" s="354">
        <f>RCinEsr*Table1[[#This Row],[Irms Cin]]^2</f>
        <v>6.5240869102590235E-2</v>
      </c>
      <c r="AF184" s="549">
        <f>Table1[[#This Row],[Cin ESR Loss]]</f>
        <v>6.5240869102590235E-2</v>
      </c>
      <c r="AG18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6.9840746374599156</v>
      </c>
      <c r="AH184" s="354">
        <f>Rdson1*Table1[[#This Row],[Irms BuCtrl]]^2</f>
        <v>0.20486465387476563</v>
      </c>
      <c r="AI184" s="354">
        <f>CHOOSE(Table1[[#This Row],[Mode Digit]], (Table1[[#This Row],[Vin]]*Table1[[#This Row],[Iout]]/2)*(Fsw)*(Tr_buck+Tf_buck), 0, (Table1[[#This Row],[Vin]]*Table1[[#This Row],[Avg IL]]/2)*(Fsw/1)*(Tr_buck+Tf_buck))</f>
        <v>5.2953399474641349</v>
      </c>
      <c r="AJ184">
        <f>IF(Table1[[#This Row],[Vin]]&gt;Vout, IF(Table1[[#This Row],[Iout]]&gt;Table1[[#This Row],[Ripple Current pk-pk]]/2,0,ABS(Table1[[#This Row],[Iout]]-Table1[[#This Row],[Ripple Current pk-pk]]/2)*Vsd_Q1*Deadtime*Fsw),0)</f>
        <v>0</v>
      </c>
      <c r="AK184" s="354">
        <f>(Table1[[#This Row],[Dead Time Loss BuCtrl]]+Table1[[#This Row],[Transition Loss BuCtrl]]+Table1[[#This Row],[RDS(on) Loss BuCtrl]]*(1+RdsonTopTc*Ta-RdsonTopTc*25))/(1-Table1[[#This Row],[RDS(on) Loss BuCtrl]]*RdsonTopTc*ThetaJA_Q1)</f>
        <v>5.7846200032836395</v>
      </c>
      <c r="AL184" s="354">
        <f>CHOOSE(Table1[[#This Row],[Mode Digit]],SQRT((Fsw*(Table1[[#This Row],[t2_Ph_I]]+0))*((Table1[[#This Row],[I_0]]*Table1[[#This Row],[I_1]]+((Table1[[#This Row],[I_0]]-Table1[[#This Row],[I_1]])^2)/3))),0,SQRT((Fsw*(Table1[[#This Row],[t3_Ph_III]]+0))*((Table1[[#This Row],[I_0]]*Table1[[#This Row],[I_2]]+((Table1[[#This Row],[I_0]]-Table1[[#This Row],[I_2]])^2)/3))))</f>
        <v>9.9237361422822374</v>
      </c>
      <c r="AM184" s="354">
        <f>Rdson2*Table1[[#This Row],[Irms BuSync]]^2</f>
        <v>0.4136182638908828</v>
      </c>
      <c r="AN18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84" s="354">
        <f>(Table1[[#This Row],[Deadtime Loss BuSync]]+Table1[[#This Row],[RDS(on) Loss BuSync]]*(1+RdsonBotTc*Ta-RdsonBotTc*25))/(1-Table1[[#This Row],[RDS(on) Loss BuSync]]*RdsonBotTc*ThetaJA_Q2)</f>
        <v>1.1002052932594828</v>
      </c>
      <c r="AP184" s="354">
        <f>CHOOSE(Table1[[#This Row],[Mode Digit]],0,SQRT((Fsw*(Table1[[#This Row],[t1_Ph_II]]+0))*((Table1[[#This Row],[I_0]]*Table1[[#This Row],[I_1]]+((Table1[[#This Row],[I_0]]-Table1[[#This Row],[I_1]])^2)/3))),SQRT((Fsw*(Table1[[#This Row],[t2_Ph_I]]+0))*((Table1[[#This Row],[I_1]]*Table1[[#This Row],[I_2]]+((Table1[[#This Row],[I_1]]-Table1[[#This Row],[I_2]])^2)/3))))</f>
        <v>0</v>
      </c>
      <c r="AQ184" s="354">
        <f>Rdson4*Table1[[#This Row],[Irms BoCtlr]]^2</f>
        <v>0</v>
      </c>
      <c r="AR184" s="354">
        <f>CHOOSE(Table1[[#This Row],[Mode Digit]], 0, (Vout*Table1[[#This Row],[Iin]]/2)*(Fsw)*(Tr_boost+Tf_boost), (Vout*Iout/2)*(Fsw/1)*(Tr_boost+Tf_boost))</f>
        <v>0</v>
      </c>
      <c r="AS184">
        <f>IF(Table1[[#This Row],[Vin]]&gt;Vout, 0, IF(Table1[[#This Row],[Iin]]&gt;Table1[[#This Row],[Ripple Current pk-pk]]/2,0,ABS(Table1[[#This Row],[Iin]]-Table1[[#This Row],[Ripple Current pk-pk]]/2)*Vsd_Q4*Deadtime*Fsw))</f>
        <v>0</v>
      </c>
      <c r="AT184" s="354">
        <f>(Table1[[#This Row],[Dead Time Loss BoCtlr]]+Table1[[#This Row],[Transition Loss BoCtlr]]+Table1[[#This Row],[RDS(on) Loss BoCtlr]]*(1+RdsonTopTc*Ta-RdsonTopTc*25))/(1-Table1[[#This Row],[RDS(on) Loss BoCtlr]]*RdsonTopTc*ThetaJA_Q4)</f>
        <v>0</v>
      </c>
      <c r="AU18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12.134984036382148</v>
      </c>
      <c r="AV184" s="354">
        <f>Rdson3*Table1[[#This Row],[Irms BoSync]]^2</f>
        <v>0.61848291776564834</v>
      </c>
      <c r="AW18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84" s="354">
        <f>(Table1[[#This Row],[Deadtime Loss BoSync]]+Table1[[#This Row],[RDS(on) Loss BoSync]]*(1+RdsonBotTc*Ta-RdsonBotTc*25))/(1-Table1[[#This Row],[RDS(on) Loss BoSync]]*RdsonBotTc*ThetaJA_Q3)</f>
        <v>0.7262905023323688</v>
      </c>
      <c r="AY184" s="354">
        <f>CHOOSE(Table1[[#This Row],[Mode Digit]], Rdson3*Table1[[#This Row],[Irms Lf]]^2, Rdson1*Table1[[#This Row],[Irms Lf]]^2, 0)</f>
        <v>0.61848291776564834</v>
      </c>
      <c r="AZ184" s="354">
        <f>CHOOSE(Table1[[#This Row],[Mode Digit]], 2*Deadtime*Fsw*IF(VfdSky_Q2&gt;0,VfdSky_Q2,0)*Table1[[#This Row],[Iout]], 2*Deadtime*Fsw*IF(VfdSky_Q3&gt;0,VfdSky_Q3,0)*Table1[[#This Row],[Iin]], 2*Deadtime*Fsw*IF(VfdSky_Q2&gt;0,VfdSky_Q2,0)*Table1[[#This Row],[Iout]]+2*Deadtime*Fsw*IF(VfdSky_Q3&gt;0,VfdSky_Q3,0)*Table1[[#This Row],[Iin]])</f>
        <v>0</v>
      </c>
      <c r="BA184" s="354">
        <f>CHOOSE(Table1[[#This Row],[Mode Digit]], IF(QrrSky_Q2&gt;0,QrrSky_Q2,Qrr_Q2)*Fsw*(Table1[[#This Row],[Vin]]-Table1[[#This Row],[Iout]]*Rdson1),0,  IF(QrrSky_Q2&gt;0,QrrSky_Q2,Qrr_Q2)*Fsw*(Table1[[#This Row],[Vin]]-Table1[[#This Row],[Iout]]*Rdson1)+IF(QrrSky_Q3&gt;0,QrrSky_Q3,Qrr_Q3)*Fsw*Vout)</f>
        <v>0.53339519999999996</v>
      </c>
      <c r="BB184" s="354">
        <f>CHOOSE(Table1[[#This Row],[Mode Digit]],0, IF(QrrSky_Q3&gt;0,QrrSky_Q3,Qrr_Q3)*Fsw*Vout,  IF(QrrSky_Q2&gt;0,QrrSky_Q2,Qrr_Q2)*Fsw*(Table1[[#This Row],[Vin]]-Table1[[#This Row],[Iout]]*Rdson1)+IF(QrrSky_Q3&gt;0,QrrSky_Q3,Qrr_Q3)*Fsw*Vout)</f>
        <v>0</v>
      </c>
      <c r="BC184" s="354">
        <f>CHOOSE(Table1[[#This Row],[Mode Digit]], Rs*Table1[[#This Row],[Irms BuSync]]^2, Rs*Table1[[#This Row],[Irms BoCtlr]]^2, Rs*(Table1[[#This Row],[Irms BuSync]]^2+Table1[[#This Row],[Irms BoCtlr]]^2))</f>
        <v>0.24620134755409687</v>
      </c>
      <c r="BD184" s="354">
        <f t="shared" si="8"/>
        <v>1.44</v>
      </c>
      <c r="BE184" s="354">
        <f>IF(Vout&gt;8, Iq*Vout, Iq*Table1[[#This Row],[Vin]])</f>
        <v>4.3799999999999999E-2</v>
      </c>
      <c r="BF184" s="354">
        <f>CHOOSE(Table1[[#This Row],[Mode Digit]], (Qg_Q1+Qg_Q2)*Fsw, (Qg_Q3+Qg_Q4)*Fsw, (Qg_Q1+Qg_Q2+Qg_Q3+Qg_Q4)*Fsw)*IF(Vout&gt;8, Vout, Table1[[#This Row],[Vin]])</f>
        <v>0.47303999999999996</v>
      </c>
      <c r="BG184" s="354">
        <f t="shared" si="9"/>
        <v>0.45605042016806729</v>
      </c>
      <c r="BH184" s="354">
        <f>Table1[[#This Row],[IQ Loss]]+Table1[[#This Row],[Switching Current Loss]]</f>
        <v>0.51683999999999997</v>
      </c>
      <c r="BI18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13.539724466281156</v>
      </c>
      <c r="BJ184">
        <f>Vout*Table1[[#This Row],[Iout]]</f>
        <v>175.2</v>
      </c>
      <c r="BK184" s="550">
        <f>Table1[[#This Row],[Pout]]/(Table1[[#This Row],[Pout]]+Table1[[#This Row],[Total Loss]])</f>
        <v>0.92826245505778482</v>
      </c>
      <c r="BL18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347.07720019701839</v>
      </c>
      <c r="BM184" s="559">
        <f>IF(Table1[[#This Row],[Vin]]&gt;Vout, Table1[[#This Row],[Total Sync Bu MOSFET Loss]]*ThetaJA_Q2, ThetaJA_Q3*Table1[[#This Row],[Total Sync Bo MOSFET Loss]])</f>
        <v>66.012317595568973</v>
      </c>
      <c r="BN184" s="9"/>
      <c r="BO184" s="4">
        <f>Table1[[#This Row],[EFF, h]]*100</f>
        <v>92.826245505778488</v>
      </c>
      <c r="BP184" s="354">
        <f>Table1[[#This Row],[Total Inductor Loss]]</f>
        <v>3.1106420629327314</v>
      </c>
      <c r="BQ184" s="354">
        <f>Table1[[#This Row],[Total Control Bu MOSFET Loss]]+Table1[[#This Row],[Total Sync Bu MOSFET Loss]]+Table1[[#This Row],[Total Control Bo MOSFET Loss]]+Table1[[#This Row],[Total Sync Bo MOSFET Loss]]+Table1[[#This Row],[Reverse Recovery Loss MOSFET D BUCK]]+Table1[[#This Row],[Reverse Recovery Loss MOSFET D BOOST]]</f>
        <v>8.1445109988754911</v>
      </c>
      <c r="BR184" s="354">
        <f>Table1[[#This Row],[Total Control Bu MOSFET Loss]]+Table1[[#This Row],[Reverse Recovery Loss MOSFET D BUCK]]*0.66</f>
        <v>6.1366608352836396</v>
      </c>
      <c r="BS184" s="354">
        <f>Table1[[#This Row],[Total Sync Bu MOSFET Loss]]+Table1[[#This Row],[Reverse Recovery Loss MOSFET D BUCK]]*0.33</f>
        <v>1.2762257092594829</v>
      </c>
      <c r="BT184" s="354">
        <f xml:space="preserve"> Table1[[#This Row],[Total Control Bo MOSFET Loss]]+Table1[[#This Row],[Reverse Recovery Loss MOSFET D BOOST]]*0.66</f>
        <v>0</v>
      </c>
      <c r="BU184" s="354">
        <f xml:space="preserve"> Table1[[#This Row],[Total Sync Bo MOSFET Loss]]+Table1[[#This Row],[Reverse Recovery Loss MOSFET D BOOST]]*0.33</f>
        <v>0.7262905023323688</v>
      </c>
      <c r="BV184" s="354">
        <f>Table1[[#This Row],[Isense Shunt Loss]]</f>
        <v>0.24620134755409687</v>
      </c>
    </row>
    <row r="185" spans="7:74" x14ac:dyDescent="0.2">
      <c r="G185">
        <v>176</v>
      </c>
      <c r="H185" s="555">
        <f>VIN_min+(VIN_max-VIN_min)*(Table1[[#This Row],[Step]]/200)</f>
        <v>44.64</v>
      </c>
      <c r="I185" s="4" t="str">
        <f>IF(Mode = 2,IF(Table1[[#This Row],[Vin]]&gt;Vout, "BUCK","BOOST"),IF(Table1[[#This Row],[Vin]]&gt;VIN_BB_to_buck, "BUCK", IF(Table1[[#This Row],[Vin]]&lt;=VIN_boost_to_BB,"BOOST","BUCK-BST")))</f>
        <v>BUCK</v>
      </c>
      <c r="J185">
        <f>IF(Table1[[#This Row],[Mode]]="BOOST",2, IF(Table1[[#This Row],[Mode]]="BUCK", 1,3))</f>
        <v>1</v>
      </c>
      <c r="K185">
        <f t="shared" si="7"/>
        <v>12</v>
      </c>
      <c r="L185" s="4">
        <f>Vout*Table1[[#This Row],[Iout]]/(Table1[[#This Row],[Vin]]*Efficiency)</f>
        <v>4.1312959818902089</v>
      </c>
      <c r="M185" s="711">
        <f>MIN(1/Fsw,CHOOSE(Table1[[#This Row],[Mode Digit]],(Vout+(Rdson2+Rs+Rdcr)*Table1[[#This Row],[Iout]])/(Table1[[#This Row],[Vin]]+(Rs+Rdson2-Rdson1)*Table1[[#This Row],[Iout]])/Fsw,(Vout+(Rdson3+Rdcr)*Table1[[#This Row],[Iin]]-Table1[[#This Row],[Vin]])/(Vout+(Rdson3-Rdson4-Rs)*Table1[[#This Row],[Iin]])/Fsw,t1_Ph_II))</f>
        <v>5.5033206477128565E-7</v>
      </c>
      <c r="N185" s="602">
        <f>CHOOSE(Table1[[#This Row],[Mode Digit]],1/Fsw-Table1[[#This Row],[t1_Ph_II]],1/Fsw-Table1[[#This Row],[t1_Ph_II]],(Vout/Fsw-Table1[[#This Row],[Vin]]*t1_Ph_II)/(Table1[[#This Row],[Vin]]+Vout))</f>
        <v>1.116334601895381E-6</v>
      </c>
      <c r="O185" s="602">
        <f>1/Fsw-(Table1[[#This Row],[t1_Ph_II]]+Table1[[#This Row],[t2_Ph_I]])</f>
        <v>0</v>
      </c>
      <c r="P18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8.8689440860360946</v>
      </c>
      <c r="Q185" s="4">
        <f>CHOOSE(Table1[[#This Row],[Mode Digit]],Table1[[#This Row],[I_0]]+1/Lf*(Table1[[#This Row],[Vin]]-Vout)*Table1[[#This Row],[t1_Ph_II]],Table1[[#This Row],[I_0]]+1/Lf*Table1[[#This Row],[Vin]]*Table1[[#This Row],[t1_Ph_II]],Table1[[#This Row],[I_0]]+(Table1[[#This Row],[Vin]]-Vout)/L*Table1[[#This Row],[t1_Ph_II]])</f>
        <v>15.131055913963905</v>
      </c>
      <c r="R185" s="4">
        <f>CHOOSE(Table1[[#This Row],[Mode Digit]],0,0,Table1[[#This Row],[I_1]]+Table1[[#This Row],[Vin]]/L*Table1[[#This Row],[t2_Ph_I]])</f>
        <v>0</v>
      </c>
      <c r="S185" s="4">
        <f>Fsw*(Table1[[#This Row],[I_0]]*Table1[[#This Row],[t1_Ph_II]]+Table1[[#This Row],[I_1]]*Table1[[#This Row],[t2_Ph_I]]+Table1[[#This Row],[I_2]]*Table1[[#This Row],[t3_Ph_III]])</f>
        <v>13.063311354708585</v>
      </c>
      <c r="T185" s="354">
        <f>MIN(1,CHOOSE(Table1[[#This Row],[Mode Digit]],(Vout+(Rdson2+Rs+Rdcr)*Table1[[#This Row],[Iout]])/(Table1[[#This Row],[Vin]]+(Rs+Rdson2-Rdson1)*Table1[[#This Row],[Iout]]),1,Fsw*Table1[[#This Row],[t2_Ph_I]]+Table1[[#This Row],[t1_Ph_II]]))</f>
        <v>0.33019923886277142</v>
      </c>
      <c r="U185" s="354">
        <f>MIN(1,CHOOSE(Table1[[#This Row],[Mode Digit]],0,(Vout+(Rdson3+Rdcr)*Table1[[#This Row],[Iin]]-Table1[[#This Row],[Vin]])/(Vout+(Rdson3-Rdson4-Rs)*Table1[[#This Row],[Iin]]),Fsw*Table1[[#This Row],[t1_Ph_II]]+Table1[[#This Row],[t3_Ph_III]]))</f>
        <v>0</v>
      </c>
      <c r="V185" s="4">
        <f>MAX(Table1[[#This Row],[I_0]:[I_2]])-MIN(Table1[[#This Row],[I_0]:[I_1]])</f>
        <v>6.2621118279278107</v>
      </c>
      <c r="W18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12.135396039909704</v>
      </c>
      <c r="X185" s="354">
        <f>(Table1[[#This Row],[Irms Lf]]^2*Rdcr*(1+Ltc*Ta-Ltc*25))/(1-Table1[[#This Row],[Irms Lf]]^2*Rdcr*Ltc*ThetaCa)</f>
        <v>0.91680052149189284</v>
      </c>
      <c r="Y185" s="354">
        <f>ABS(7.759*10^-3*Fsw^0.9458*(0.00787*Table1[[#This Row],[Ripple Current pk-pk]])^2.304)</f>
        <v>2.2016676166923763</v>
      </c>
      <c r="Z185" s="354">
        <f>Table1[[#This Row],[DCR    Loss]]+Table1[[#This Row],[Core Loss]]</f>
        <v>3.1184681381842694</v>
      </c>
      <c r="AA185" s="4">
        <f>IF(Table1[[#This Row],[Vin]]&gt;Vout, Table1[[#This Row],[Ripple Current pk-pk]]/SQRT(12), SQRT(Table1[[#This Row],[Duty Cycle BOOST Leg]]/(1-Table1[[#This Row],[Duty Cycle BOOST Leg]]))*SQRT(Table1[[#This Row],[Iout]]^2+(Table1[[#This Row],[Ripple Current pk-pk]]^2)/12))</f>
        <v>1.8077159747748306</v>
      </c>
      <c r="AB185" s="354">
        <f>RCoutEsr*Table1[[#This Row],[Irms Cout]]^2</f>
        <v>1.6339185227280579E-2</v>
      </c>
      <c r="AC185" s="354">
        <f>Table1[[#This Row],[Cout ESR Loss]]</f>
        <v>1.6339185227280579E-2</v>
      </c>
      <c r="AD185" s="354">
        <f>IF(Table1[[#This Row],[Vin]]&gt;Vout, SQRT(Table1[[#This Row],[Duty Cycle BUCK Leg]]*(1-Table1[[#This Row],[Duty Cycle BUCK Leg]]))*SQRT(Table1[[#This Row],[Iout]]^2+(Table1[[#This Row],[Ripple Current pk-pk]]^2)/12), Table1[[#This Row],[Ripple Current pk-pk]]/SQRT(12))</f>
        <v>5.707091117789842</v>
      </c>
      <c r="AE185" s="354">
        <f>RCinEsr*Table1[[#This Row],[Irms Cin]]^2</f>
        <v>6.5141778053511415E-2</v>
      </c>
      <c r="AF185" s="549">
        <f>Table1[[#This Row],[Cin ESR Loss]]</f>
        <v>6.5141778053511415E-2</v>
      </c>
      <c r="AG18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6.9733584234123711</v>
      </c>
      <c r="AH185" s="354">
        <f>Rdson1*Table1[[#This Row],[Irms BuCtrl]]^2</f>
        <v>0.20423645634578039</v>
      </c>
      <c r="AI185" s="354">
        <f>CHOOSE(Table1[[#This Row],[Mode Digit]], (Table1[[#This Row],[Vin]]*Table1[[#This Row],[Iout]]/2)*(Fsw)*(Tr_buck+Tf_buck), 0, (Table1[[#This Row],[Vin]]*Table1[[#This Row],[Avg IL]]/2)*(Fsw/1)*(Tr_buck+Tf_buck))</f>
        <v>5.3119994439280678</v>
      </c>
      <c r="AJ185">
        <f>IF(Table1[[#This Row],[Vin]]&gt;Vout, IF(Table1[[#This Row],[Iout]]&gt;Table1[[#This Row],[Ripple Current pk-pk]]/2,0,ABS(Table1[[#This Row],[Iout]]-Table1[[#This Row],[Ripple Current pk-pk]]/2)*Vsd_Q1*Deadtime*Fsw),0)</f>
        <v>0</v>
      </c>
      <c r="AK185" s="354">
        <f>(Table1[[#This Row],[Dead Time Loss BuCtrl]]+Table1[[#This Row],[Transition Loss BuCtrl]]+Table1[[#This Row],[RDS(on) Loss BuCtrl]]*(1+RdsonTopTc*Ta-RdsonTopTc*25))/(1-Table1[[#This Row],[RDS(on) Loss BuCtrl]]*RdsonTopTc*ThetaJA_Q1)</f>
        <v>5.8005605224980643</v>
      </c>
      <c r="AL185" s="354">
        <f>CHOOSE(Table1[[#This Row],[Mode Digit]],SQRT((Fsw*(Table1[[#This Row],[t2_Ph_I]]+0))*((Table1[[#This Row],[I_0]]*Table1[[#This Row],[I_1]]+((Table1[[#This Row],[I_0]]-Table1[[#This Row],[I_1]])^2)/3))),0,SQRT((Fsw*(Table1[[#This Row],[t3_Ph_III]]+0))*((Table1[[#This Row],[I_0]]*Table1[[#This Row],[I_2]]+((Table1[[#This Row],[I_0]]-Table1[[#This Row],[I_2]])^2)/3))))</f>
        <v>9.9317727191111196</v>
      </c>
      <c r="AM185" s="354">
        <f>Rdson2*Table1[[#This Row],[Irms BuSync]]^2</f>
        <v>0.41428845924513558</v>
      </c>
      <c r="AN18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85" s="354">
        <f>(Table1[[#This Row],[Deadtime Loss BuSync]]+Table1[[#This Row],[RDS(on) Loss BuSync]]*(1+RdsonBotTc*Ta-RdsonBotTc*25))/(1-Table1[[#This Row],[RDS(on) Loss BuSync]]*RdsonBotTc*ThetaJA_Q2)</f>
        <v>1.1011459855148649</v>
      </c>
      <c r="AP185" s="354">
        <f>CHOOSE(Table1[[#This Row],[Mode Digit]],0,SQRT((Fsw*(Table1[[#This Row],[t1_Ph_II]]+0))*((Table1[[#This Row],[I_0]]*Table1[[#This Row],[I_1]]+((Table1[[#This Row],[I_0]]-Table1[[#This Row],[I_1]])^2)/3))),SQRT((Fsw*(Table1[[#This Row],[t2_Ph_I]]+0))*((Table1[[#This Row],[I_1]]*Table1[[#This Row],[I_2]]+((Table1[[#This Row],[I_1]]-Table1[[#This Row],[I_2]])^2)/3))))</f>
        <v>0</v>
      </c>
      <c r="AQ185" s="354">
        <f>Rdson4*Table1[[#This Row],[Irms BoCtlr]]^2</f>
        <v>0</v>
      </c>
      <c r="AR185" s="354">
        <f>CHOOSE(Table1[[#This Row],[Mode Digit]], 0, (Vout*Table1[[#This Row],[Iin]]/2)*(Fsw)*(Tr_boost+Tf_boost), (Vout*Iout/2)*(Fsw/1)*(Tr_boost+Tf_boost))</f>
        <v>0</v>
      </c>
      <c r="AS185">
        <f>IF(Table1[[#This Row],[Vin]]&gt;Vout, 0, IF(Table1[[#This Row],[Iin]]&gt;Table1[[#This Row],[Ripple Current pk-pk]]/2,0,ABS(Table1[[#This Row],[Iin]]-Table1[[#This Row],[Ripple Current pk-pk]]/2)*Vsd_Q4*Deadtime*Fsw))</f>
        <v>0</v>
      </c>
      <c r="AT185" s="354">
        <f>(Table1[[#This Row],[Dead Time Loss BoCtlr]]+Table1[[#This Row],[Transition Loss BoCtlr]]+Table1[[#This Row],[RDS(on) Loss BoCtlr]]*(1+RdsonTopTc*Ta-RdsonTopTc*25))/(1-Table1[[#This Row],[RDS(on) Loss BoCtlr]]*RdsonTopTc*ThetaJA_Q4)</f>
        <v>0</v>
      </c>
      <c r="AU18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12.135396039909704</v>
      </c>
      <c r="AV185" s="354">
        <f>Rdson3*Table1[[#This Row],[Irms BoSync]]^2</f>
        <v>0.61852491559091582</v>
      </c>
      <c r="AW18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85" s="354">
        <f>(Table1[[#This Row],[Deadtime Loss BoSync]]+Table1[[#This Row],[RDS(on) Loss BoSync]]*(1+RdsonBotTc*Ta-RdsonBotTc*25))/(1-Table1[[#This Row],[RDS(on) Loss BoSync]]*RdsonBotTc*ThetaJA_Q3)</f>
        <v>0.72634841815835371</v>
      </c>
      <c r="AY185" s="354">
        <f>CHOOSE(Table1[[#This Row],[Mode Digit]], Rdson3*Table1[[#This Row],[Irms Lf]]^2, Rdson1*Table1[[#This Row],[Irms Lf]]^2, 0)</f>
        <v>0.61852491559091582</v>
      </c>
      <c r="AZ185" s="354">
        <f>CHOOSE(Table1[[#This Row],[Mode Digit]], 2*Deadtime*Fsw*IF(VfdSky_Q2&gt;0,VfdSky_Q2,0)*Table1[[#This Row],[Iout]], 2*Deadtime*Fsw*IF(VfdSky_Q3&gt;0,VfdSky_Q3,0)*Table1[[#This Row],[Iin]], 2*Deadtime*Fsw*IF(VfdSky_Q2&gt;0,VfdSky_Q2,0)*Table1[[#This Row],[Iout]]+2*Deadtime*Fsw*IF(VfdSky_Q3&gt;0,VfdSky_Q3,0)*Table1[[#This Row],[Iin]])</f>
        <v>0</v>
      </c>
      <c r="BA185" s="354">
        <f>CHOOSE(Table1[[#This Row],[Mode Digit]], IF(QrrSky_Q2&gt;0,QrrSky_Q2,Qrr_Q2)*Fsw*(Table1[[#This Row],[Vin]]-Table1[[#This Row],[Iout]]*Rdson1),0,  IF(QrrSky_Q2&gt;0,QrrSky_Q2,Qrr_Q2)*Fsw*(Table1[[#This Row],[Vin]]-Table1[[#This Row],[Iout]]*Rdson1)+IF(QrrSky_Q3&gt;0,QrrSky_Q3,Qrr_Q3)*Fsw*Vout)</f>
        <v>0.53507519999999997</v>
      </c>
      <c r="BB185" s="354">
        <f>CHOOSE(Table1[[#This Row],[Mode Digit]],0, IF(QrrSky_Q3&gt;0,QrrSky_Q3,Qrr_Q3)*Fsw*Vout,  IF(QrrSky_Q2&gt;0,QrrSky_Q2,Qrr_Q2)*Fsw*(Table1[[#This Row],[Vin]]-Table1[[#This Row],[Iout]]*Rdson1)+IF(QrrSky_Q3&gt;0,QrrSky_Q3,Qrr_Q3)*Fsw*Vout)</f>
        <v>0</v>
      </c>
      <c r="BC185" s="354">
        <f>CHOOSE(Table1[[#This Row],[Mode Digit]], Rs*Table1[[#This Row],[Irms BuSync]]^2, Rs*Table1[[#This Row],[Irms BoCtlr]]^2, Rs*(Table1[[#This Row],[Irms BuSync]]^2+Table1[[#This Row],[Irms BoCtlr]]^2))</f>
        <v>0.24660027336019974</v>
      </c>
      <c r="BD185" s="354">
        <f t="shared" si="8"/>
        <v>1.44</v>
      </c>
      <c r="BE185" s="354">
        <f>IF(Vout&gt;8, Iq*Vout, Iq*Table1[[#This Row],[Vin]])</f>
        <v>4.3799999999999999E-2</v>
      </c>
      <c r="BF185" s="354">
        <f>CHOOSE(Table1[[#This Row],[Mode Digit]], (Qg_Q1+Qg_Q2)*Fsw, (Qg_Q3+Qg_Q4)*Fsw, (Qg_Q1+Qg_Q2+Qg_Q3+Qg_Q4)*Fsw)*IF(Vout&gt;8, Vout, Table1[[#This Row],[Vin]])</f>
        <v>0.47303999999999996</v>
      </c>
      <c r="BG185" s="354">
        <f t="shared" si="9"/>
        <v>0.45605042016806729</v>
      </c>
      <c r="BH185" s="354">
        <f>Table1[[#This Row],[IQ Loss]]+Table1[[#This Row],[Switching Current Loss]]</f>
        <v>0.51683999999999997</v>
      </c>
      <c r="BI18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13.566519500996543</v>
      </c>
      <c r="BJ185">
        <f>Vout*Table1[[#This Row],[Iout]]</f>
        <v>175.2</v>
      </c>
      <c r="BK185" s="550">
        <f>Table1[[#This Row],[Pout]]/(Table1[[#This Row],[Pout]]+Table1[[#This Row],[Total Loss]])</f>
        <v>0.92813069003518434</v>
      </c>
      <c r="BL18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348.03363134988388</v>
      </c>
      <c r="BM185" s="559">
        <f>IF(Table1[[#This Row],[Vin]]&gt;Vout, Table1[[#This Row],[Total Sync Bu MOSFET Loss]]*ThetaJA_Q2, ThetaJA_Q3*Table1[[#This Row],[Total Sync Bo MOSFET Loss]])</f>
        <v>66.068759130891891</v>
      </c>
      <c r="BN185" s="9"/>
      <c r="BO185" s="4">
        <f>Table1[[#This Row],[EFF, h]]*100</f>
        <v>92.813069003518436</v>
      </c>
      <c r="BP185" s="354">
        <f>Table1[[#This Row],[Total Inductor Loss]]</f>
        <v>3.1184681381842694</v>
      </c>
      <c r="BQ185" s="354">
        <f>Table1[[#This Row],[Total Control Bu MOSFET Loss]]+Table1[[#This Row],[Total Sync Bu MOSFET Loss]]+Table1[[#This Row],[Total Control Bo MOSFET Loss]]+Table1[[#This Row],[Total Sync Bo MOSFET Loss]]+Table1[[#This Row],[Reverse Recovery Loss MOSFET D BUCK]]+Table1[[#This Row],[Reverse Recovery Loss MOSFET D BOOST]]</f>
        <v>8.1631301261712839</v>
      </c>
      <c r="BR185" s="354">
        <f>Table1[[#This Row],[Total Control Bu MOSFET Loss]]+Table1[[#This Row],[Reverse Recovery Loss MOSFET D BUCK]]*0.66</f>
        <v>6.1537101544980644</v>
      </c>
      <c r="BS185" s="354">
        <f>Table1[[#This Row],[Total Sync Bu MOSFET Loss]]+Table1[[#This Row],[Reverse Recovery Loss MOSFET D BUCK]]*0.33</f>
        <v>1.2777208015148649</v>
      </c>
      <c r="BT185" s="354">
        <f xml:space="preserve"> Table1[[#This Row],[Total Control Bo MOSFET Loss]]+Table1[[#This Row],[Reverse Recovery Loss MOSFET D BOOST]]*0.66</f>
        <v>0</v>
      </c>
      <c r="BU185" s="354">
        <f xml:space="preserve"> Table1[[#This Row],[Total Sync Bo MOSFET Loss]]+Table1[[#This Row],[Reverse Recovery Loss MOSFET D BOOST]]*0.33</f>
        <v>0.72634841815835371</v>
      </c>
      <c r="BV185" s="354">
        <f>Table1[[#This Row],[Isense Shunt Loss]]</f>
        <v>0.24660027336019974</v>
      </c>
    </row>
    <row r="186" spans="7:74" x14ac:dyDescent="0.2">
      <c r="G186">
        <v>177</v>
      </c>
      <c r="H186" s="555">
        <f>VIN_min+(VIN_max-VIN_min)*(Table1[[#This Row],[Step]]/200)</f>
        <v>44.78</v>
      </c>
      <c r="I186" s="4" t="str">
        <f>IF(Mode = 2,IF(Table1[[#This Row],[Vin]]&gt;Vout, "BUCK","BOOST"),IF(Table1[[#This Row],[Vin]]&gt;VIN_BB_to_buck, "BUCK", IF(Table1[[#This Row],[Vin]]&lt;=VIN_boost_to_BB,"BOOST","BUCK-BST")))</f>
        <v>BUCK</v>
      </c>
      <c r="J186">
        <f>IF(Table1[[#This Row],[Mode]]="BOOST",2, IF(Table1[[#This Row],[Mode]]="BUCK", 1,3))</f>
        <v>1</v>
      </c>
      <c r="K186">
        <f t="shared" si="7"/>
        <v>12</v>
      </c>
      <c r="L186" s="4">
        <f>Vout*Table1[[#This Row],[Iout]]/(Table1[[#This Row],[Vin]]*Efficiency)</f>
        <v>4.1183799158458898</v>
      </c>
      <c r="M186" s="711">
        <f>MIN(1/Fsw,CHOOSE(Table1[[#This Row],[Mode Digit]],(Vout+(Rdson2+Rs+Rdcr)*Table1[[#This Row],[Iout]])/(Table1[[#This Row],[Vin]]+(Rs+Rdson2-Rdson1)*Table1[[#This Row],[Iout]])/Fsw,(Vout+(Rdson3+Rdcr)*Table1[[#This Row],[Iin]]-Table1[[#This Row],[Vin]])/(Vout+(Rdson3-Rdson4-Rs)*Table1[[#This Row],[Iin]])/Fsw,t1_Ph_II))</f>
        <v>5.4861266086439035E-7</v>
      </c>
      <c r="N186" s="602">
        <f>CHOOSE(Table1[[#This Row],[Mode Digit]],1/Fsw-Table1[[#This Row],[t1_Ph_II]],1/Fsw-Table1[[#This Row],[t1_Ph_II]],(Vout/Fsw-Table1[[#This Row],[Vin]]*t1_Ph_II)/(Table1[[#This Row],[Vin]]+Vout))</f>
        <v>1.1180540058022764E-6</v>
      </c>
      <c r="O186" s="602">
        <f>1/Fsw-(Table1[[#This Row],[t1_Ph_II]]+Table1[[#This Row],[t2_Ph_I]])</f>
        <v>0</v>
      </c>
      <c r="P18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8.864179904377405</v>
      </c>
      <c r="Q186" s="4">
        <f>CHOOSE(Table1[[#This Row],[Mode Digit]],Table1[[#This Row],[I_0]]+1/Lf*(Table1[[#This Row],[Vin]]-Vout)*Table1[[#This Row],[t1_Ph_II]],Table1[[#This Row],[I_0]]+1/Lf*Table1[[#This Row],[Vin]]*Table1[[#This Row],[t1_Ph_II]],Table1[[#This Row],[I_0]]+(Table1[[#This Row],[Vin]]-Vout)/L*Table1[[#This Row],[t1_Ph_II]])</f>
        <v>15.135820095622595</v>
      </c>
      <c r="R186" s="4">
        <f>CHOOSE(Table1[[#This Row],[Mode Digit]],0,0,Table1[[#This Row],[I_1]]+Table1[[#This Row],[Vin]]/L*Table1[[#This Row],[t2_Ph_I]])</f>
        <v>0</v>
      </c>
      <c r="S186" s="4">
        <f>Fsw*(Table1[[#This Row],[I_0]]*Table1[[#This Row],[t1_Ph_II]]+Table1[[#This Row],[I_1]]*Table1[[#This Row],[t2_Ph_I]]+Table1[[#This Row],[I_2]]*Table1[[#This Row],[t3_Ph_III]])</f>
        <v>13.071399367640749</v>
      </c>
      <c r="T186" s="354">
        <f>MIN(1,CHOOSE(Table1[[#This Row],[Mode Digit]],(Vout+(Rdson2+Rs+Rdcr)*Table1[[#This Row],[Iout]])/(Table1[[#This Row],[Vin]]+(Rs+Rdson2-Rdson1)*Table1[[#This Row],[Iout]]),1,Fsw*Table1[[#This Row],[t2_Ph_I]]+Table1[[#This Row],[t1_Ph_II]]))</f>
        <v>0.3291675965186342</v>
      </c>
      <c r="U186" s="354">
        <f>MIN(1,CHOOSE(Table1[[#This Row],[Mode Digit]],0,(Vout+(Rdson3+Rdcr)*Table1[[#This Row],[Iin]]-Table1[[#This Row],[Vin]])/(Vout+(Rdson3-Rdson4-Rs)*Table1[[#This Row],[Iin]]),Fsw*Table1[[#This Row],[t1_Ph_II]]+Table1[[#This Row],[t3_Ph_III]]))</f>
        <v>0</v>
      </c>
      <c r="V186" s="4">
        <f>MAX(Table1[[#This Row],[I_0]:[I_2]])-MIN(Table1[[#This Row],[I_0]:[I_1]])</f>
        <v>6.27164019124519</v>
      </c>
      <c r="W18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12.135806080522086</v>
      </c>
      <c r="X186" s="354">
        <f>(Table1[[#This Row],[Irms Lf]]^2*Rdcr*(1+Ltc*Ta-Ltc*25))/(1-Table1[[#This Row],[Irms Lf]]^2*Rdcr*Ltc*ThetaCa)</f>
        <v>0.91686702219025507</v>
      </c>
      <c r="Y186" s="354">
        <f>ABS(7.759*10^-3*Fsw^0.9458*(0.00787*Table1[[#This Row],[Ripple Current pk-pk]])^2.304)</f>
        <v>2.2093937540515354</v>
      </c>
      <c r="Z186" s="354">
        <f>Table1[[#This Row],[DCR    Loss]]+Table1[[#This Row],[Core Loss]]</f>
        <v>3.1262607762417902</v>
      </c>
      <c r="AA186" s="4">
        <f>IF(Table1[[#This Row],[Vin]]&gt;Vout, Table1[[#This Row],[Ripple Current pk-pk]]/SQRT(12), SQRT(Table1[[#This Row],[Duty Cycle BOOST Leg]]/(1-Table1[[#This Row],[Duty Cycle BOOST Leg]]))*SQRT(Table1[[#This Row],[Iout]]^2+(Table1[[#This Row],[Ripple Current pk-pk]]^2)/12))</f>
        <v>1.8104665763379433</v>
      </c>
      <c r="AB186" s="354">
        <f>RCoutEsr*Table1[[#This Row],[Irms Cout]]^2</f>
        <v>1.638894612018417E-2</v>
      </c>
      <c r="AC186" s="354">
        <f>Table1[[#This Row],[Cout ESR Loss]]</f>
        <v>1.638894612018417E-2</v>
      </c>
      <c r="AD186" s="354">
        <f>IF(Table1[[#This Row],[Vin]]&gt;Vout, SQRT(Table1[[#This Row],[Duty Cycle BUCK Leg]]*(1-Table1[[#This Row],[Duty Cycle BUCK Leg]]))*SQRT(Table1[[#This Row],[Iout]]^2+(Table1[[#This Row],[Ripple Current pk-pk]]^2)/12), Table1[[#This Row],[Ripple Current pk-pk]]/SQRT(12))</f>
        <v>5.7027480221544433</v>
      </c>
      <c r="AE186" s="354">
        <f>RCinEsr*Table1[[#This Row],[Irms Cin]]^2</f>
        <v>6.5042670008372827E-2</v>
      </c>
      <c r="AF186" s="549">
        <f>Table1[[#This Row],[Cin ESR Loss]]</f>
        <v>6.5042670008372827E-2</v>
      </c>
      <c r="AG18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6.9626917136588924</v>
      </c>
      <c r="AH186" s="354">
        <f>Rdson1*Table1[[#This Row],[Irms BuCtrl]]^2</f>
        <v>0.20361211877770768</v>
      </c>
      <c r="AI186" s="354">
        <f>CHOOSE(Table1[[#This Row],[Mode Digit]], (Table1[[#This Row],[Vin]]*Table1[[#This Row],[Iout]]/2)*(Fsw)*(Tr_buck+Tf_buck), 0, (Table1[[#This Row],[Vin]]*Table1[[#This Row],[Avg IL]]/2)*(Fsw/1)*(Tr_buck+Tf_buck))</f>
        <v>5.3286589403919997</v>
      </c>
      <c r="AJ186">
        <f>IF(Table1[[#This Row],[Vin]]&gt;Vout, IF(Table1[[#This Row],[Iout]]&gt;Table1[[#This Row],[Ripple Current pk-pk]]/2,0,ABS(Table1[[#This Row],[Iout]]-Table1[[#This Row],[Ripple Current pk-pk]]/2)*Vsd_Q1*Deadtime*Fsw),0)</f>
        <v>0</v>
      </c>
      <c r="AK186" s="354">
        <f>(Table1[[#This Row],[Dead Time Loss BuCtrl]]+Table1[[#This Row],[Transition Loss BuCtrl]]+Table1[[#This Row],[RDS(on) Loss BuCtrl]]*(1+RdsonTopTc*Ta-RdsonTopTc*25))/(1-Table1[[#This Row],[RDS(on) Loss BuCtrl]]*RdsonTopTc*ThetaJA_Q1)</f>
        <v>5.8165057116072241</v>
      </c>
      <c r="AL186" s="354">
        <f>CHOOSE(Table1[[#This Row],[Mode Digit]],SQRT((Fsw*(Table1[[#This Row],[t2_Ph_I]]+0))*((Table1[[#This Row],[I_0]]*Table1[[#This Row],[I_1]]+((Table1[[#This Row],[I_0]]-Table1[[#This Row],[I_1]])^2)/3))),0,SQRT((Fsw*(Table1[[#This Row],[t3_Ph_III]]+0))*((Table1[[#This Row],[I_0]]*Table1[[#This Row],[I_2]]+((Table1[[#This Row],[I_0]]-Table1[[#This Row],[I_2]])^2)/3))))</f>
        <v>9.9397541883379912</v>
      </c>
      <c r="AM186" s="354">
        <f>Rdson2*Table1[[#This Row],[Irms BuSync]]^2</f>
        <v>0.41495459596324713</v>
      </c>
      <c r="AN18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86" s="354">
        <f>(Table1[[#This Row],[Deadtime Loss BuSync]]+Table1[[#This Row],[RDS(on) Loss BuSync]]*(1+RdsonBotTc*Ta-RdsonBotTc*25))/(1-Table1[[#This Row],[RDS(on) Loss BuSync]]*RdsonBotTc*ThetaJA_Q2)</f>
        <v>1.1020813140703669</v>
      </c>
      <c r="AP186" s="354">
        <f>CHOOSE(Table1[[#This Row],[Mode Digit]],0,SQRT((Fsw*(Table1[[#This Row],[t1_Ph_II]]+0))*((Table1[[#This Row],[I_0]]*Table1[[#This Row],[I_1]]+((Table1[[#This Row],[I_0]]-Table1[[#This Row],[I_1]])^2)/3))),SQRT((Fsw*(Table1[[#This Row],[t2_Ph_I]]+0))*((Table1[[#This Row],[I_1]]*Table1[[#This Row],[I_2]]+((Table1[[#This Row],[I_1]]-Table1[[#This Row],[I_2]])^2)/3))))</f>
        <v>0</v>
      </c>
      <c r="AQ186" s="354">
        <f>Rdson4*Table1[[#This Row],[Irms BoCtlr]]^2</f>
        <v>0</v>
      </c>
      <c r="AR186" s="354">
        <f>CHOOSE(Table1[[#This Row],[Mode Digit]], 0, (Vout*Table1[[#This Row],[Iin]]/2)*(Fsw)*(Tr_boost+Tf_boost), (Vout*Iout/2)*(Fsw/1)*(Tr_boost+Tf_boost))</f>
        <v>0</v>
      </c>
      <c r="AS186">
        <f>IF(Table1[[#This Row],[Vin]]&gt;Vout, 0, IF(Table1[[#This Row],[Iin]]&gt;Table1[[#This Row],[Ripple Current pk-pk]]/2,0,ABS(Table1[[#This Row],[Iin]]-Table1[[#This Row],[Ripple Current pk-pk]]/2)*Vsd_Q4*Deadtime*Fsw))</f>
        <v>0</v>
      </c>
      <c r="AT186" s="354">
        <f>(Table1[[#This Row],[Dead Time Loss BoCtlr]]+Table1[[#This Row],[Transition Loss BoCtlr]]+Table1[[#This Row],[RDS(on) Loss BoCtlr]]*(1+RdsonTopTc*Ta-RdsonTopTc*25))/(1-Table1[[#This Row],[RDS(on) Loss BoCtlr]]*RdsonTopTc*ThetaJA_Q4)</f>
        <v>0</v>
      </c>
      <c r="AU18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12.135806080522086</v>
      </c>
      <c r="AV186" s="354">
        <f>Rdson3*Table1[[#This Row],[Irms BoSync]]^2</f>
        <v>0.61856671474095481</v>
      </c>
      <c r="AW18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86" s="354">
        <f>(Table1[[#This Row],[Deadtime Loss BoSync]]+Table1[[#This Row],[RDS(on) Loss BoSync]]*(1+RdsonBotTc*Ta-RdsonBotTc*25))/(1-Table1[[#This Row],[RDS(on) Loss BoSync]]*RdsonBotTc*ThetaJA_Q3)</f>
        <v>0.72640606136864783</v>
      </c>
      <c r="AY186" s="354">
        <f>CHOOSE(Table1[[#This Row],[Mode Digit]], Rdson3*Table1[[#This Row],[Irms Lf]]^2, Rdson1*Table1[[#This Row],[Irms Lf]]^2, 0)</f>
        <v>0.61856671474095481</v>
      </c>
      <c r="AZ186" s="354">
        <f>CHOOSE(Table1[[#This Row],[Mode Digit]], 2*Deadtime*Fsw*IF(VfdSky_Q2&gt;0,VfdSky_Q2,0)*Table1[[#This Row],[Iout]], 2*Deadtime*Fsw*IF(VfdSky_Q3&gt;0,VfdSky_Q3,0)*Table1[[#This Row],[Iin]], 2*Deadtime*Fsw*IF(VfdSky_Q2&gt;0,VfdSky_Q2,0)*Table1[[#This Row],[Iout]]+2*Deadtime*Fsw*IF(VfdSky_Q3&gt;0,VfdSky_Q3,0)*Table1[[#This Row],[Iin]])</f>
        <v>0</v>
      </c>
      <c r="BA186" s="354">
        <f>CHOOSE(Table1[[#This Row],[Mode Digit]], IF(QrrSky_Q2&gt;0,QrrSky_Q2,Qrr_Q2)*Fsw*(Table1[[#This Row],[Vin]]-Table1[[#This Row],[Iout]]*Rdson1),0,  IF(QrrSky_Q2&gt;0,QrrSky_Q2,Qrr_Q2)*Fsw*(Table1[[#This Row],[Vin]]-Table1[[#This Row],[Iout]]*Rdson1)+IF(QrrSky_Q3&gt;0,QrrSky_Q3,Qrr_Q3)*Fsw*Vout)</f>
        <v>0.53675519999999999</v>
      </c>
      <c r="BB186" s="354">
        <f>CHOOSE(Table1[[#This Row],[Mode Digit]],0, IF(QrrSky_Q3&gt;0,QrrSky_Q3,Qrr_Q3)*Fsw*Vout,  IF(QrrSky_Q2&gt;0,QrrSky_Q2,Qrr_Q2)*Fsw*(Table1[[#This Row],[Vin]]-Table1[[#This Row],[Iout]]*Rdson1)+IF(QrrSky_Q3&gt;0,QrrSky_Q3,Qrr_Q3)*Fsw*Vout)</f>
        <v>0</v>
      </c>
      <c r="BC186" s="354">
        <f>CHOOSE(Table1[[#This Row],[Mode Digit]], Rs*Table1[[#This Row],[Irms BuSync]]^2, Rs*Table1[[#This Row],[Irms BoCtlr]]^2, Rs*(Table1[[#This Row],[Irms BuSync]]^2+Table1[[#This Row],[Irms BoCtlr]]^2))</f>
        <v>0.24699678331145661</v>
      </c>
      <c r="BD186" s="354">
        <f t="shared" si="8"/>
        <v>1.44</v>
      </c>
      <c r="BE186" s="354">
        <f>IF(Vout&gt;8, Iq*Vout, Iq*Table1[[#This Row],[Vin]])</f>
        <v>4.3799999999999999E-2</v>
      </c>
      <c r="BF186" s="354">
        <f>CHOOSE(Table1[[#This Row],[Mode Digit]], (Qg_Q1+Qg_Q2)*Fsw, (Qg_Q3+Qg_Q4)*Fsw, (Qg_Q1+Qg_Q2+Qg_Q3+Qg_Q4)*Fsw)*IF(Vout&gt;8, Vout, Table1[[#This Row],[Vin]])</f>
        <v>0.47303999999999996</v>
      </c>
      <c r="BG186" s="354">
        <f t="shared" si="9"/>
        <v>0.45605042016806729</v>
      </c>
      <c r="BH186" s="354">
        <f>Table1[[#This Row],[IQ Loss]]+Table1[[#This Row],[Switching Current Loss]]</f>
        <v>0.51683999999999997</v>
      </c>
      <c r="BI18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13.593277462728041</v>
      </c>
      <c r="BJ186">
        <f>Vout*Table1[[#This Row],[Iout]]</f>
        <v>175.2</v>
      </c>
      <c r="BK186" s="550">
        <f>Table1[[#This Row],[Pout]]/(Table1[[#This Row],[Pout]]+Table1[[#This Row],[Total Loss]])</f>
        <v>0.92799914464427014</v>
      </c>
      <c r="BL18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348.99034269643346</v>
      </c>
      <c r="BM186" s="559">
        <f>IF(Table1[[#This Row],[Vin]]&gt;Vout, Table1[[#This Row],[Total Sync Bu MOSFET Loss]]*ThetaJA_Q2, ThetaJA_Q3*Table1[[#This Row],[Total Sync Bo MOSFET Loss]])</f>
        <v>66.12487884422201</v>
      </c>
      <c r="BN186" s="9"/>
      <c r="BO186" s="4">
        <f>Table1[[#This Row],[EFF, h]]*100</f>
        <v>92.799914464427019</v>
      </c>
      <c r="BP186" s="354">
        <f>Table1[[#This Row],[Total Inductor Loss]]</f>
        <v>3.1262607762417902</v>
      </c>
      <c r="BQ186" s="354">
        <f>Table1[[#This Row],[Total Control Bu MOSFET Loss]]+Table1[[#This Row],[Total Sync Bu MOSFET Loss]]+Table1[[#This Row],[Total Control Bo MOSFET Loss]]+Table1[[#This Row],[Total Sync Bo MOSFET Loss]]+Table1[[#This Row],[Reverse Recovery Loss MOSFET D BUCK]]+Table1[[#This Row],[Reverse Recovery Loss MOSFET D BOOST]]</f>
        <v>8.1817482870462399</v>
      </c>
      <c r="BR186" s="354">
        <f>Table1[[#This Row],[Total Control Bu MOSFET Loss]]+Table1[[#This Row],[Reverse Recovery Loss MOSFET D BUCK]]*0.66</f>
        <v>6.170764143607224</v>
      </c>
      <c r="BS186" s="354">
        <f>Table1[[#This Row],[Total Sync Bu MOSFET Loss]]+Table1[[#This Row],[Reverse Recovery Loss MOSFET D BUCK]]*0.33</f>
        <v>1.2792105300703669</v>
      </c>
      <c r="BT186" s="354">
        <f xml:space="preserve"> Table1[[#This Row],[Total Control Bo MOSFET Loss]]+Table1[[#This Row],[Reverse Recovery Loss MOSFET D BOOST]]*0.66</f>
        <v>0</v>
      </c>
      <c r="BU186" s="354">
        <f xml:space="preserve"> Table1[[#This Row],[Total Sync Bo MOSFET Loss]]+Table1[[#This Row],[Reverse Recovery Loss MOSFET D BOOST]]*0.33</f>
        <v>0.72640606136864783</v>
      </c>
      <c r="BV186" s="354">
        <f>Table1[[#This Row],[Isense Shunt Loss]]</f>
        <v>0.24699678331145661</v>
      </c>
    </row>
    <row r="187" spans="7:74" x14ac:dyDescent="0.2">
      <c r="G187">
        <v>178</v>
      </c>
      <c r="H187" s="555">
        <f>VIN_min+(VIN_max-VIN_min)*(Table1[[#This Row],[Step]]/200)</f>
        <v>44.92</v>
      </c>
      <c r="I187" s="4" t="str">
        <f>IF(Mode = 2,IF(Table1[[#This Row],[Vin]]&gt;Vout, "BUCK","BOOST"),IF(Table1[[#This Row],[Vin]]&gt;VIN_BB_to_buck, "BUCK", IF(Table1[[#This Row],[Vin]]&lt;=VIN_boost_to_BB,"BOOST","BUCK-BST")))</f>
        <v>BUCK</v>
      </c>
      <c r="J187">
        <f>IF(Table1[[#This Row],[Mode]]="BOOST",2, IF(Table1[[#This Row],[Mode]]="BUCK", 1,3))</f>
        <v>1</v>
      </c>
      <c r="K187">
        <f t="shared" si="7"/>
        <v>12</v>
      </c>
      <c r="L187" s="4">
        <f>Vout*Table1[[#This Row],[Iout]]/(Table1[[#This Row],[Vin]]*Efficiency)</f>
        <v>4.1055443595631997</v>
      </c>
      <c r="M187" s="711">
        <f>MIN(1/Fsw,CHOOSE(Table1[[#This Row],[Mode Digit]],(Vout+(Rdson2+Rs+Rdcr)*Table1[[#This Row],[Iout]])/(Table1[[#This Row],[Vin]]+(Rs+Rdson2-Rdson1)*Table1[[#This Row],[Iout]])/Fsw,(Vout+(Rdson3+Rdcr)*Table1[[#This Row],[Iin]]-Table1[[#This Row],[Vin]])/(Vout+(Rdson3-Rdson4-Rs)*Table1[[#This Row],[Iin]])/Fsw,t1_Ph_II))</f>
        <v>5.4690396737115311E-7</v>
      </c>
      <c r="N187" s="602">
        <f>CHOOSE(Table1[[#This Row],[Mode Digit]],1/Fsw-Table1[[#This Row],[t1_Ph_II]],1/Fsw-Table1[[#This Row],[t1_Ph_II]],(Vout/Fsw-Table1[[#This Row],[Vin]]*t1_Ph_II)/(Table1[[#This Row],[Vin]]+Vout))</f>
        <v>1.1197626992955134E-6</v>
      </c>
      <c r="O187" s="602">
        <f>1/Fsw-(Table1[[#This Row],[t1_Ph_II]]+Table1[[#This Row],[t2_Ph_I]])</f>
        <v>0</v>
      </c>
      <c r="P18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8.8594453994898927</v>
      </c>
      <c r="Q187" s="4">
        <f>CHOOSE(Table1[[#This Row],[Mode Digit]],Table1[[#This Row],[I_0]]+1/Lf*(Table1[[#This Row],[Vin]]-Vout)*Table1[[#This Row],[t1_Ph_II]],Table1[[#This Row],[I_0]]+1/Lf*Table1[[#This Row],[Vin]]*Table1[[#This Row],[t1_Ph_II]],Table1[[#This Row],[I_0]]+(Table1[[#This Row],[Vin]]-Vout)/L*Table1[[#This Row],[t1_Ph_II]])</f>
        <v>15.140554600510105</v>
      </c>
      <c r="R187" s="4">
        <f>CHOOSE(Table1[[#This Row],[Mode Digit]],0,0,Table1[[#This Row],[I_1]]+Table1[[#This Row],[Vin]]/L*Table1[[#This Row],[t2_Ph_I]])</f>
        <v>0</v>
      </c>
      <c r="S187" s="4">
        <f>Fsw*(Table1[[#This Row],[I_0]]*Table1[[#This Row],[t1_Ph_II]]+Table1[[#This Row],[I_1]]*Table1[[#This Row],[t2_Ph_I]]+Table1[[#This Row],[I_2]]*Table1[[#This Row],[t3_Ph_III]])</f>
        <v>13.07945647559246</v>
      </c>
      <c r="T187" s="354">
        <f>MIN(1,CHOOSE(Table1[[#This Row],[Mode Digit]],(Vout+(Rdson2+Rs+Rdcr)*Table1[[#This Row],[Iout]])/(Table1[[#This Row],[Vin]]+(Rs+Rdson2-Rdson1)*Table1[[#This Row],[Iout]]),1,Fsw*Table1[[#This Row],[t2_Ph_I]]+Table1[[#This Row],[t1_Ph_II]]))</f>
        <v>0.32814238042269184</v>
      </c>
      <c r="U187" s="354">
        <f>MIN(1,CHOOSE(Table1[[#This Row],[Mode Digit]],0,(Vout+(Rdson3+Rdcr)*Table1[[#This Row],[Iin]]-Table1[[#This Row],[Vin]])/(Vout+(Rdson3-Rdson4-Rs)*Table1[[#This Row],[Iin]]),Fsw*Table1[[#This Row],[t1_Ph_II]]+Table1[[#This Row],[t3_Ph_III]]))</f>
        <v>0</v>
      </c>
      <c r="V187" s="4">
        <f>MAX(Table1[[#This Row],[I_0]:[I_2]])-MIN(Table1[[#This Row],[I_0]:[I_1]])</f>
        <v>6.2811092010202128</v>
      </c>
      <c r="W18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12.136214170802816</v>
      </c>
      <c r="X187" s="354">
        <f>(Table1[[#This Row],[Irms Lf]]^2*Rdcr*(1+Ltc*Ta-Ltc*25))/(1-Table1[[#This Row],[Irms Lf]]^2*Rdcr*Ltc*ThetaCa)</f>
        <v>0.91693320946784784</v>
      </c>
      <c r="Y187" s="354">
        <f>ABS(7.759*10^-3*Fsw^0.9458*(0.00787*Table1[[#This Row],[Ripple Current pk-pk]])^2.304)</f>
        <v>2.2170869430332401</v>
      </c>
      <c r="Z187" s="354">
        <f>Table1[[#This Row],[DCR    Loss]]+Table1[[#This Row],[Core Loss]]</f>
        <v>3.1340201525010878</v>
      </c>
      <c r="AA187" s="4">
        <f>IF(Table1[[#This Row],[Vin]]&gt;Vout, Table1[[#This Row],[Ripple Current pk-pk]]/SQRT(12), SQRT(Table1[[#This Row],[Duty Cycle BOOST Leg]]/(1-Table1[[#This Row],[Duty Cycle BOOST Leg]]))*SQRT(Table1[[#This Row],[Iout]]^2+(Table1[[#This Row],[Ripple Current pk-pk]]^2)/12))</f>
        <v>1.8132000440092275</v>
      </c>
      <c r="AB187" s="354">
        <f>RCoutEsr*Table1[[#This Row],[Irms Cout]]^2</f>
        <v>1.6438471997975324E-2</v>
      </c>
      <c r="AC187" s="354">
        <f>Table1[[#This Row],[Cout ESR Loss]]</f>
        <v>1.6438471997975324E-2</v>
      </c>
      <c r="AD187" s="354">
        <f>IF(Table1[[#This Row],[Vin]]&gt;Vout, SQRT(Table1[[#This Row],[Duty Cycle BUCK Leg]]*(1-Table1[[#This Row],[Duty Cycle BUCK Leg]]))*SQRT(Table1[[#This Row],[Iout]]^2+(Table1[[#This Row],[Ripple Current pk-pk]]^2)/12), Table1[[#This Row],[Ripple Current pk-pk]]/SQRT(12))</f>
        <v>5.6984011307644673</v>
      </c>
      <c r="AE187" s="354">
        <f>RCinEsr*Table1[[#This Row],[Irms Cin]]^2</f>
        <v>6.4943550894195526E-2</v>
      </c>
      <c r="AF187" s="549">
        <f>Table1[[#This Row],[Cin ESR Loss]]</f>
        <v>6.4943550894195526E-2</v>
      </c>
      <c r="AG18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6.9520741255580054</v>
      </c>
      <c r="AH187" s="354">
        <f>Rdson1*Table1[[#This Row],[Irms BuCtrl]]^2</f>
        <v>0.20299160551846307</v>
      </c>
      <c r="AI187" s="354">
        <f>CHOOSE(Table1[[#This Row],[Mode Digit]], (Table1[[#This Row],[Vin]]*Table1[[#This Row],[Iout]]/2)*(Fsw)*(Tr_buck+Tf_buck), 0, (Table1[[#This Row],[Vin]]*Table1[[#This Row],[Avg IL]]/2)*(Fsw/1)*(Tr_buck+Tf_buck))</f>
        <v>5.3453184368559317</v>
      </c>
      <c r="AJ187">
        <f>IF(Table1[[#This Row],[Vin]]&gt;Vout, IF(Table1[[#This Row],[Iout]]&gt;Table1[[#This Row],[Ripple Current pk-pk]]/2,0,ABS(Table1[[#This Row],[Iout]]-Table1[[#This Row],[Ripple Current pk-pk]]/2)*Vsd_Q1*Deadtime*Fsw),0)</f>
        <v>0</v>
      </c>
      <c r="AK187" s="354">
        <f>(Table1[[#This Row],[Dead Time Loss BuCtrl]]+Table1[[#This Row],[Transition Loss BuCtrl]]+Table1[[#This Row],[RDS(on) Loss BuCtrl]]*(1+RdsonTopTc*Ta-RdsonTopTc*25))/(1-Table1[[#This Row],[RDS(on) Loss BuCtrl]]*RdsonTopTc*ThetaJA_Q1)</f>
        <v>5.8324555250491361</v>
      </c>
      <c r="AL187" s="354">
        <f>CHOOSE(Table1[[#This Row],[Mode Digit]],SQRT((Fsw*(Table1[[#This Row],[t2_Ph_I]]+0))*((Table1[[#This Row],[I_0]]*Table1[[#This Row],[I_1]]+((Table1[[#This Row],[I_0]]-Table1[[#This Row],[I_1]])^2)/3))),0,SQRT((Fsw*(Table1[[#This Row],[t3_Ph_III]]+0))*((Table1[[#This Row],[I_0]]*Table1[[#This Row],[I_2]]+((Table1[[#This Row],[I_0]]-Table1[[#This Row],[I_2]])^2)/3))))</f>
        <v>9.9476811243797894</v>
      </c>
      <c r="AM187" s="354">
        <f>Rdson2*Table1[[#This Row],[Irms BuSync]]^2</f>
        <v>0.41561671095983627</v>
      </c>
      <c r="AN18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87" s="354">
        <f>(Table1[[#This Row],[Deadtime Loss BuSync]]+Table1[[#This Row],[RDS(on) Loss BuSync]]*(1+RdsonBotTc*Ta-RdsonBotTc*25))/(1-Table1[[#This Row],[RDS(on) Loss BuSync]]*RdsonBotTc*ThetaJA_Q2)</f>
        <v>1.1030113248920004</v>
      </c>
      <c r="AP187" s="354">
        <f>CHOOSE(Table1[[#This Row],[Mode Digit]],0,SQRT((Fsw*(Table1[[#This Row],[t1_Ph_II]]+0))*((Table1[[#This Row],[I_0]]*Table1[[#This Row],[I_1]]+((Table1[[#This Row],[I_0]]-Table1[[#This Row],[I_1]])^2)/3))),SQRT((Fsw*(Table1[[#This Row],[t2_Ph_I]]+0))*((Table1[[#This Row],[I_1]]*Table1[[#This Row],[I_2]]+((Table1[[#This Row],[I_1]]-Table1[[#This Row],[I_2]])^2)/3))))</f>
        <v>0</v>
      </c>
      <c r="AQ187" s="354">
        <f>Rdson4*Table1[[#This Row],[Irms BoCtlr]]^2</f>
        <v>0</v>
      </c>
      <c r="AR187" s="354">
        <f>CHOOSE(Table1[[#This Row],[Mode Digit]], 0, (Vout*Table1[[#This Row],[Iin]]/2)*(Fsw)*(Tr_boost+Tf_boost), (Vout*Iout/2)*(Fsw/1)*(Tr_boost+Tf_boost))</f>
        <v>0</v>
      </c>
      <c r="AS187">
        <f>IF(Table1[[#This Row],[Vin]]&gt;Vout, 0, IF(Table1[[#This Row],[Iin]]&gt;Table1[[#This Row],[Ripple Current pk-pk]]/2,0,ABS(Table1[[#This Row],[Iin]]-Table1[[#This Row],[Ripple Current pk-pk]]/2)*Vsd_Q4*Deadtime*Fsw))</f>
        <v>0</v>
      </c>
      <c r="AT187" s="354">
        <f>(Table1[[#This Row],[Dead Time Loss BoCtlr]]+Table1[[#This Row],[Transition Loss BoCtlr]]+Table1[[#This Row],[RDS(on) Loss BoCtlr]]*(1+RdsonTopTc*Ta-RdsonTopTc*25))/(1-Table1[[#This Row],[RDS(on) Loss BoCtlr]]*RdsonTopTc*ThetaJA_Q4)</f>
        <v>0</v>
      </c>
      <c r="AU18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12.136214170802816</v>
      </c>
      <c r="AV187" s="354">
        <f>Rdson3*Table1[[#This Row],[Irms BoSync]]^2</f>
        <v>0.6186083164782995</v>
      </c>
      <c r="AW18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87" s="354">
        <f>(Table1[[#This Row],[Deadtime Loss BoSync]]+Table1[[#This Row],[RDS(on) Loss BoSync]]*(1+RdsonBotTc*Ta-RdsonBotTc*25))/(1-Table1[[#This Row],[RDS(on) Loss BoSync]]*RdsonBotTc*ThetaJA_Q3)</f>
        <v>0.72646343368509503</v>
      </c>
      <c r="AY187" s="354">
        <f>CHOOSE(Table1[[#This Row],[Mode Digit]], Rdson3*Table1[[#This Row],[Irms Lf]]^2, Rdson1*Table1[[#This Row],[Irms Lf]]^2, 0)</f>
        <v>0.6186083164782995</v>
      </c>
      <c r="AZ187" s="354">
        <f>CHOOSE(Table1[[#This Row],[Mode Digit]], 2*Deadtime*Fsw*IF(VfdSky_Q2&gt;0,VfdSky_Q2,0)*Table1[[#This Row],[Iout]], 2*Deadtime*Fsw*IF(VfdSky_Q3&gt;0,VfdSky_Q3,0)*Table1[[#This Row],[Iin]], 2*Deadtime*Fsw*IF(VfdSky_Q2&gt;0,VfdSky_Q2,0)*Table1[[#This Row],[Iout]]+2*Deadtime*Fsw*IF(VfdSky_Q3&gt;0,VfdSky_Q3,0)*Table1[[#This Row],[Iin]])</f>
        <v>0</v>
      </c>
      <c r="BA187" s="354">
        <f>CHOOSE(Table1[[#This Row],[Mode Digit]], IF(QrrSky_Q2&gt;0,QrrSky_Q2,Qrr_Q2)*Fsw*(Table1[[#This Row],[Vin]]-Table1[[#This Row],[Iout]]*Rdson1),0,  IF(QrrSky_Q2&gt;0,QrrSky_Q2,Qrr_Q2)*Fsw*(Table1[[#This Row],[Vin]]-Table1[[#This Row],[Iout]]*Rdson1)+IF(QrrSky_Q3&gt;0,QrrSky_Q3,Qrr_Q3)*Fsw*Vout)</f>
        <v>0.5384352</v>
      </c>
      <c r="BB187" s="354">
        <f>CHOOSE(Table1[[#This Row],[Mode Digit]],0, IF(QrrSky_Q3&gt;0,QrrSky_Q3,Qrr_Q3)*Fsw*Vout,  IF(QrrSky_Q2&gt;0,QrrSky_Q2,Qrr_Q2)*Fsw*(Table1[[#This Row],[Vin]]-Table1[[#This Row],[Iout]]*Rdson1)+IF(QrrSky_Q3&gt;0,QrrSky_Q3,Qrr_Q3)*Fsw*Vout)</f>
        <v>0</v>
      </c>
      <c r="BC187" s="354">
        <f>CHOOSE(Table1[[#This Row],[Mode Digit]], Rs*Table1[[#This Row],[Irms BuSync]]^2, Rs*Table1[[#This Row],[Irms BoCtlr]]^2, Rs*(Table1[[#This Row],[Irms BuSync]]^2+Table1[[#This Row],[Irms BoCtlr]]^2))</f>
        <v>0.2473908993808549</v>
      </c>
      <c r="BD187" s="354">
        <f t="shared" si="8"/>
        <v>1.44</v>
      </c>
      <c r="BE187" s="354">
        <f>IF(Vout&gt;8, Iq*Vout, Iq*Table1[[#This Row],[Vin]])</f>
        <v>4.3799999999999999E-2</v>
      </c>
      <c r="BF187" s="354">
        <f>CHOOSE(Table1[[#This Row],[Mode Digit]], (Qg_Q1+Qg_Q2)*Fsw, (Qg_Q3+Qg_Q4)*Fsw, (Qg_Q1+Qg_Q2+Qg_Q3+Qg_Q4)*Fsw)*IF(Vout&gt;8, Vout, Table1[[#This Row],[Vin]])</f>
        <v>0.47303999999999996</v>
      </c>
      <c r="BG187" s="354">
        <f t="shared" si="9"/>
        <v>0.45605042016806729</v>
      </c>
      <c r="BH187" s="354">
        <f>Table1[[#This Row],[IQ Loss]]+Table1[[#This Row],[Switching Current Loss]]</f>
        <v>0.51683999999999997</v>
      </c>
      <c r="BI18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13.619998558400345</v>
      </c>
      <c r="BJ187">
        <f>Vout*Table1[[#This Row],[Iout]]</f>
        <v>175.2</v>
      </c>
      <c r="BK187" s="550">
        <f>Table1[[#This Row],[Pout]]/(Table1[[#This Row],[Pout]]+Table1[[#This Row],[Total Loss]])</f>
        <v>0.9278678176973516</v>
      </c>
      <c r="BL18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349.94733150294815</v>
      </c>
      <c r="BM187" s="559">
        <f>IF(Table1[[#This Row],[Vin]]&gt;Vout, Table1[[#This Row],[Total Sync Bu MOSFET Loss]]*ThetaJA_Q2, ThetaJA_Q3*Table1[[#This Row],[Total Sync Bo MOSFET Loss]])</f>
        <v>66.180679493520017</v>
      </c>
      <c r="BN187" s="9"/>
      <c r="BO187" s="4">
        <f>Table1[[#This Row],[EFF, h]]*100</f>
        <v>92.786781769735157</v>
      </c>
      <c r="BP187" s="354">
        <f>Table1[[#This Row],[Total Inductor Loss]]</f>
        <v>3.1340201525010878</v>
      </c>
      <c r="BQ187" s="354">
        <f>Table1[[#This Row],[Total Control Bu MOSFET Loss]]+Table1[[#This Row],[Total Sync Bu MOSFET Loss]]+Table1[[#This Row],[Total Control Bo MOSFET Loss]]+Table1[[#This Row],[Total Sync Bo MOSFET Loss]]+Table1[[#This Row],[Reverse Recovery Loss MOSFET D BUCK]]+Table1[[#This Row],[Reverse Recovery Loss MOSFET D BOOST]]</f>
        <v>8.2003654836262303</v>
      </c>
      <c r="BR187" s="354">
        <f>Table1[[#This Row],[Total Control Bu MOSFET Loss]]+Table1[[#This Row],[Reverse Recovery Loss MOSFET D BUCK]]*0.66</f>
        <v>6.187822757049136</v>
      </c>
      <c r="BS187" s="354">
        <f>Table1[[#This Row],[Total Sync Bu MOSFET Loss]]+Table1[[#This Row],[Reverse Recovery Loss MOSFET D BUCK]]*0.33</f>
        <v>1.2806949408920003</v>
      </c>
      <c r="BT187" s="354">
        <f xml:space="preserve"> Table1[[#This Row],[Total Control Bo MOSFET Loss]]+Table1[[#This Row],[Reverse Recovery Loss MOSFET D BOOST]]*0.66</f>
        <v>0</v>
      </c>
      <c r="BU187" s="354">
        <f xml:space="preserve"> Table1[[#This Row],[Total Sync Bo MOSFET Loss]]+Table1[[#This Row],[Reverse Recovery Loss MOSFET D BOOST]]*0.33</f>
        <v>0.72646343368509503</v>
      </c>
      <c r="BV187" s="354">
        <f>Table1[[#This Row],[Isense Shunt Loss]]</f>
        <v>0.2473908993808549</v>
      </c>
    </row>
    <row r="188" spans="7:74" x14ac:dyDescent="0.2">
      <c r="G188">
        <v>179</v>
      </c>
      <c r="H188" s="555">
        <f>VIN_min+(VIN_max-VIN_min)*(Table1[[#This Row],[Step]]/200)</f>
        <v>45.06</v>
      </c>
      <c r="I188" s="4" t="str">
        <f>IF(Mode = 2,IF(Table1[[#This Row],[Vin]]&gt;Vout, "BUCK","BOOST"),IF(Table1[[#This Row],[Vin]]&gt;VIN_BB_to_buck, "BUCK", IF(Table1[[#This Row],[Vin]]&lt;=VIN_boost_to_BB,"BOOST","BUCK-BST")))</f>
        <v>BUCK</v>
      </c>
      <c r="J188">
        <f>IF(Table1[[#This Row],[Mode]]="BOOST",2, IF(Table1[[#This Row],[Mode]]="BUCK", 1,3))</f>
        <v>1</v>
      </c>
      <c r="K188">
        <f t="shared" si="7"/>
        <v>12</v>
      </c>
      <c r="L188" s="4">
        <f>Vout*Table1[[#This Row],[Iout]]/(Table1[[#This Row],[Vin]]*Efficiency)</f>
        <v>4.0927885626182627</v>
      </c>
      <c r="M188" s="711">
        <f>MIN(1/Fsw,CHOOSE(Table1[[#This Row],[Mode Digit]],(Vout+(Rdson2+Rs+Rdcr)*Table1[[#This Row],[Iout]])/(Table1[[#This Row],[Vin]]+(Rs+Rdson2-Rdson1)*Table1[[#This Row],[Iout]])/Fsw,(Vout+(Rdson3+Rdcr)*Table1[[#This Row],[Iin]]-Table1[[#This Row],[Vin]])/(Vout+(Rdson3-Rdson4-Rs)*Table1[[#This Row],[Iin]])/Fsw,t1_Ph_II))</f>
        <v>5.4520588452724185E-7</v>
      </c>
      <c r="N188" s="602">
        <f>CHOOSE(Table1[[#This Row],[Mode Digit]],1/Fsw-Table1[[#This Row],[t1_Ph_II]],1/Fsw-Table1[[#This Row],[t1_Ph_II]],(Vout/Fsw-Table1[[#This Row],[Vin]]*t1_Ph_II)/(Table1[[#This Row],[Vin]]+Vout))</f>
        <v>1.1214607821394248E-6</v>
      </c>
      <c r="O188" s="602">
        <f>1/Fsw-(Table1[[#This Row],[t1_Ph_II]]+Table1[[#This Row],[t2_Ph_I]])</f>
        <v>0</v>
      </c>
      <c r="P18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8.8547402949432215</v>
      </c>
      <c r="Q188" s="4">
        <f>CHOOSE(Table1[[#This Row],[Mode Digit]],Table1[[#This Row],[I_0]]+1/Lf*(Table1[[#This Row],[Vin]]-Vout)*Table1[[#This Row],[t1_Ph_II]],Table1[[#This Row],[I_0]]+1/Lf*Table1[[#This Row],[Vin]]*Table1[[#This Row],[t1_Ph_II]],Table1[[#This Row],[I_0]]+(Table1[[#This Row],[Vin]]-Vout)/L*Table1[[#This Row],[t1_Ph_II]])</f>
        <v>15.145259705056777</v>
      </c>
      <c r="R188" s="4">
        <f>CHOOSE(Table1[[#This Row],[Mode Digit]],0,0,Table1[[#This Row],[I_1]]+Table1[[#This Row],[Vin]]/L*Table1[[#This Row],[t2_Ph_I]])</f>
        <v>0</v>
      </c>
      <c r="S188" s="4">
        <f>Fsw*(Table1[[#This Row],[I_0]]*Table1[[#This Row],[t1_Ph_II]]+Table1[[#This Row],[I_1]]*Table1[[#This Row],[t2_Ph_I]]+Table1[[#This Row],[I_2]]*Table1[[#This Row],[t3_Ph_III]])</f>
        <v>13.087482785580729</v>
      </c>
      <c r="T188" s="354">
        <f>MIN(1,CHOOSE(Table1[[#This Row],[Mode Digit]],(Vout+(Rdson2+Rs+Rdcr)*Table1[[#This Row],[Iout]])/(Table1[[#This Row],[Vin]]+(Rs+Rdson2-Rdson1)*Table1[[#This Row],[Iout]]),1,Fsw*Table1[[#This Row],[t2_Ph_I]]+Table1[[#This Row],[t1_Ph_II]]))</f>
        <v>0.32712353071634509</v>
      </c>
      <c r="U188" s="354">
        <f>MIN(1,CHOOSE(Table1[[#This Row],[Mode Digit]],0,(Vout+(Rdson3+Rdcr)*Table1[[#This Row],[Iin]]-Table1[[#This Row],[Vin]])/(Vout+(Rdson3-Rdson4-Rs)*Table1[[#This Row],[Iin]]),Fsw*Table1[[#This Row],[t1_Ph_II]]+Table1[[#This Row],[t3_Ph_III]]))</f>
        <v>0</v>
      </c>
      <c r="V188" s="4">
        <f>MAX(Table1[[#This Row],[I_0]:[I_2]])-MIN(Table1[[#This Row],[I_0]:[I_1]])</f>
        <v>6.2905194101135553</v>
      </c>
      <c r="W18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12.136620323251083</v>
      </c>
      <c r="X188" s="354">
        <f>(Table1[[#This Row],[Irms Lf]]^2*Rdcr*(1+Ltc*Ta-Ltc*25))/(1-Table1[[#This Row],[Irms Lf]]^2*Rdcr*Ltc*ThetaCa)</f>
        <v>0.91699908531082186</v>
      </c>
      <c r="Y188" s="354">
        <f>ABS(7.759*10^-3*Fsw^0.9458*(0.00787*Table1[[#This Row],[Ripple Current pk-pk]])^2.304)</f>
        <v>2.224747356471525</v>
      </c>
      <c r="Z188" s="354">
        <f>Table1[[#This Row],[DCR    Loss]]+Table1[[#This Row],[Core Loss]]</f>
        <v>3.1417464417823471</v>
      </c>
      <c r="AA188" s="4">
        <f>IF(Table1[[#This Row],[Vin]]&gt;Vout, Table1[[#This Row],[Ripple Current pk-pk]]/SQRT(12), SQRT(Table1[[#This Row],[Duty Cycle BOOST Leg]]/(1-Table1[[#This Row],[Duty Cycle BOOST Leg]]))*SQRT(Table1[[#This Row],[Iout]]^2+(Table1[[#This Row],[Ripple Current pk-pk]]^2)/12))</f>
        <v>1.8159165373858137</v>
      </c>
      <c r="AB188" s="354">
        <f>RCoutEsr*Table1[[#This Row],[Irms Cout]]^2</f>
        <v>1.6487764353756418E-2</v>
      </c>
      <c r="AC188" s="354">
        <f>Table1[[#This Row],[Cout ESR Loss]]</f>
        <v>1.6487764353756418E-2</v>
      </c>
      <c r="AD188" s="354">
        <f>IF(Table1[[#This Row],[Vin]]&gt;Vout, SQRT(Table1[[#This Row],[Duty Cycle BUCK Leg]]*(1-Table1[[#This Row],[Duty Cycle BUCK Leg]]))*SQRT(Table1[[#This Row],[Iout]]^2+(Table1[[#This Row],[Ripple Current pk-pk]]^2)/12), Table1[[#This Row],[Ripple Current pk-pk]]/SQRT(12))</f>
        <v>5.694050688856847</v>
      </c>
      <c r="AE188" s="354">
        <f>RCinEsr*Table1[[#This Row],[Irms Cin]]^2</f>
        <v>6.4844426494542265E-2</v>
      </c>
      <c r="AF188" s="549">
        <f>Table1[[#This Row],[Cin ESR Loss]]</f>
        <v>6.4844426494542265E-2</v>
      </c>
      <c r="AG18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6.941505280625929</v>
      </c>
      <c r="AH188" s="354">
        <f>Rdson1*Table1[[#This Row],[Irms BuCtrl]]^2</f>
        <v>0.20237488135602219</v>
      </c>
      <c r="AI188" s="354">
        <f>CHOOSE(Table1[[#This Row],[Mode Digit]], (Table1[[#This Row],[Vin]]*Table1[[#This Row],[Iout]]/2)*(Fsw)*(Tr_buck+Tf_buck), 0, (Table1[[#This Row],[Vin]]*Table1[[#This Row],[Avg IL]]/2)*(Fsw/1)*(Tr_buck+Tf_buck))</f>
        <v>5.3619779333198636</v>
      </c>
      <c r="AJ188">
        <f>IF(Table1[[#This Row],[Vin]]&gt;Vout, IF(Table1[[#This Row],[Iout]]&gt;Table1[[#This Row],[Ripple Current pk-pk]]/2,0,ABS(Table1[[#This Row],[Iout]]-Table1[[#This Row],[Ripple Current pk-pk]]/2)*Vsd_Q1*Deadtime*Fsw),0)</f>
        <v>0</v>
      </c>
      <c r="AK188" s="354">
        <f>(Table1[[#This Row],[Dead Time Loss BuCtrl]]+Table1[[#This Row],[Transition Loss BuCtrl]]+Table1[[#This Row],[RDS(on) Loss BuCtrl]]*(1+RdsonTopTc*Ta-RdsonTopTc*25))/(1-Table1[[#This Row],[RDS(on) Loss BuCtrl]]*RdsonTopTc*ThetaJA_Q1)</f>
        <v>5.8484099178552462</v>
      </c>
      <c r="AL188" s="354">
        <f>CHOOSE(Table1[[#This Row],[Mode Digit]],SQRT((Fsw*(Table1[[#This Row],[t2_Ph_I]]+0))*((Table1[[#This Row],[I_0]]*Table1[[#This Row],[I_1]]+((Table1[[#This Row],[I_0]]-Table1[[#This Row],[I_1]])^2)/3))),0,SQRT((Fsw*(Table1[[#This Row],[t3_Ph_III]]+0))*((Table1[[#This Row],[I_0]]*Table1[[#This Row],[I_2]]+((Table1[[#This Row],[I_0]]-Table1[[#This Row],[I_2]])^2)/3))))</f>
        <v>9.955554093559714</v>
      </c>
      <c r="AM188" s="354">
        <f>Rdson2*Table1[[#This Row],[Irms BuSync]]^2</f>
        <v>0.41627484070113308</v>
      </c>
      <c r="AN18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88" s="354">
        <f>(Table1[[#This Row],[Deadtime Loss BuSync]]+Table1[[#This Row],[RDS(on) Loss BuSync]]*(1+RdsonBotTc*Ta-RdsonBotTc*25))/(1-Table1[[#This Row],[RDS(on) Loss BuSync]]*RdsonBotTc*ThetaJA_Q2)</f>
        <v>1.1039360634191298</v>
      </c>
      <c r="AP188" s="354">
        <f>CHOOSE(Table1[[#This Row],[Mode Digit]],0,SQRT((Fsw*(Table1[[#This Row],[t1_Ph_II]]+0))*((Table1[[#This Row],[I_0]]*Table1[[#This Row],[I_1]]+((Table1[[#This Row],[I_0]]-Table1[[#This Row],[I_1]])^2)/3))),SQRT((Fsw*(Table1[[#This Row],[t2_Ph_I]]+0))*((Table1[[#This Row],[I_1]]*Table1[[#This Row],[I_2]]+((Table1[[#This Row],[I_1]]-Table1[[#This Row],[I_2]])^2)/3))))</f>
        <v>0</v>
      </c>
      <c r="AQ188" s="354">
        <f>Rdson4*Table1[[#This Row],[Irms BoCtlr]]^2</f>
        <v>0</v>
      </c>
      <c r="AR188" s="354">
        <f>CHOOSE(Table1[[#This Row],[Mode Digit]], 0, (Vout*Table1[[#This Row],[Iin]]/2)*(Fsw)*(Tr_boost+Tf_boost), (Vout*Iout/2)*(Fsw/1)*(Tr_boost+Tf_boost))</f>
        <v>0</v>
      </c>
      <c r="AS188">
        <f>IF(Table1[[#This Row],[Vin]]&gt;Vout, 0, IF(Table1[[#This Row],[Iin]]&gt;Table1[[#This Row],[Ripple Current pk-pk]]/2,0,ABS(Table1[[#This Row],[Iin]]-Table1[[#This Row],[Ripple Current pk-pk]]/2)*Vsd_Q4*Deadtime*Fsw))</f>
        <v>0</v>
      </c>
      <c r="AT188" s="354">
        <f>(Table1[[#This Row],[Dead Time Loss BoCtlr]]+Table1[[#This Row],[Transition Loss BoCtlr]]+Table1[[#This Row],[RDS(on) Loss BoCtlr]]*(1+RdsonTopTc*Ta-RdsonTopTc*25))/(1-Table1[[#This Row],[RDS(on) Loss BoCtlr]]*RdsonTopTc*ThetaJA_Q4)</f>
        <v>0</v>
      </c>
      <c r="AU18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12.136620323251083</v>
      </c>
      <c r="AV188" s="354">
        <f>Rdson3*Table1[[#This Row],[Irms BoSync]]^2</f>
        <v>0.61864972205715529</v>
      </c>
      <c r="AW18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88" s="354">
        <f>(Table1[[#This Row],[Deadtime Loss BoSync]]+Table1[[#This Row],[RDS(on) Loss BoSync]]*(1+RdsonBotTc*Ta-RdsonBotTc*25))/(1-Table1[[#This Row],[RDS(on) Loss BoSync]]*RdsonBotTc*ThetaJA_Q3)</f>
        <v>0.72652053681830564</v>
      </c>
      <c r="AY188" s="354">
        <f>CHOOSE(Table1[[#This Row],[Mode Digit]], Rdson3*Table1[[#This Row],[Irms Lf]]^2, Rdson1*Table1[[#This Row],[Irms Lf]]^2, 0)</f>
        <v>0.61864972205715529</v>
      </c>
      <c r="AZ188" s="354">
        <f>CHOOSE(Table1[[#This Row],[Mode Digit]], 2*Deadtime*Fsw*IF(VfdSky_Q2&gt;0,VfdSky_Q2,0)*Table1[[#This Row],[Iout]], 2*Deadtime*Fsw*IF(VfdSky_Q3&gt;0,VfdSky_Q3,0)*Table1[[#This Row],[Iin]], 2*Deadtime*Fsw*IF(VfdSky_Q2&gt;0,VfdSky_Q2,0)*Table1[[#This Row],[Iout]]+2*Deadtime*Fsw*IF(VfdSky_Q3&gt;0,VfdSky_Q3,0)*Table1[[#This Row],[Iin]])</f>
        <v>0</v>
      </c>
      <c r="BA188" s="354">
        <f>CHOOSE(Table1[[#This Row],[Mode Digit]], IF(QrrSky_Q2&gt;0,QrrSky_Q2,Qrr_Q2)*Fsw*(Table1[[#This Row],[Vin]]-Table1[[#This Row],[Iout]]*Rdson1),0,  IF(QrrSky_Q2&gt;0,QrrSky_Q2,Qrr_Q2)*Fsw*(Table1[[#This Row],[Vin]]-Table1[[#This Row],[Iout]]*Rdson1)+IF(QrrSky_Q3&gt;0,QrrSky_Q3,Qrr_Q3)*Fsw*Vout)</f>
        <v>0.54011520000000002</v>
      </c>
      <c r="BB188" s="354">
        <f>CHOOSE(Table1[[#This Row],[Mode Digit]],0, IF(QrrSky_Q3&gt;0,QrrSky_Q3,Qrr_Q3)*Fsw*Vout,  IF(QrrSky_Q2&gt;0,QrrSky_Q2,Qrr_Q2)*Fsw*(Table1[[#This Row],[Vin]]-Table1[[#This Row],[Iout]]*Rdson1)+IF(QrrSky_Q3&gt;0,QrrSky_Q3,Qrr_Q3)*Fsw*Vout)</f>
        <v>0</v>
      </c>
      <c r="BC188" s="354">
        <f>CHOOSE(Table1[[#This Row],[Mode Digit]], Rs*Table1[[#This Row],[Irms BuSync]]^2, Rs*Table1[[#This Row],[Irms BoCtlr]]^2, Rs*(Table1[[#This Row],[Irms BuSync]]^2+Table1[[#This Row],[Irms BoCtlr]]^2))</f>
        <v>0.24778264327448393</v>
      </c>
      <c r="BD188" s="354">
        <f t="shared" si="8"/>
        <v>1.44</v>
      </c>
      <c r="BE188" s="354">
        <f>IF(Vout&gt;8, Iq*Vout, Iq*Table1[[#This Row],[Vin]])</f>
        <v>4.3799999999999999E-2</v>
      </c>
      <c r="BF188" s="354">
        <f>CHOOSE(Table1[[#This Row],[Mode Digit]], (Qg_Q1+Qg_Q2)*Fsw, (Qg_Q3+Qg_Q4)*Fsw, (Qg_Q1+Qg_Q2+Qg_Q3+Qg_Q4)*Fsw)*IF(Vout&gt;8, Vout, Table1[[#This Row],[Vin]])</f>
        <v>0.47303999999999996</v>
      </c>
      <c r="BG188" s="354">
        <f t="shared" si="9"/>
        <v>0.45605042016806729</v>
      </c>
      <c r="BH188" s="354">
        <f>Table1[[#This Row],[IQ Loss]]+Table1[[#This Row],[Switching Current Loss]]</f>
        <v>0.51683999999999997</v>
      </c>
      <c r="BI18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13.646682993997812</v>
      </c>
      <c r="BJ188">
        <f>Vout*Table1[[#This Row],[Iout]]</f>
        <v>175.2</v>
      </c>
      <c r="BK188" s="550">
        <f>Table1[[#This Row],[Pout]]/(Table1[[#This Row],[Pout]]+Table1[[#This Row],[Total Loss]])</f>
        <v>0.92773670801286168</v>
      </c>
      <c r="BL18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350.90459507131476</v>
      </c>
      <c r="BM188" s="559">
        <f>IF(Table1[[#This Row],[Vin]]&gt;Vout, Table1[[#This Row],[Total Sync Bu MOSFET Loss]]*ThetaJA_Q2, ThetaJA_Q3*Table1[[#This Row],[Total Sync Bo MOSFET Loss]])</f>
        <v>66.236163805147783</v>
      </c>
      <c r="BN188" s="9"/>
      <c r="BO188" s="4">
        <f>Table1[[#This Row],[EFF, h]]*100</f>
        <v>92.773670801286173</v>
      </c>
      <c r="BP188" s="354">
        <f>Table1[[#This Row],[Total Inductor Loss]]</f>
        <v>3.1417464417823471</v>
      </c>
      <c r="BQ188" s="354">
        <f>Table1[[#This Row],[Total Control Bu MOSFET Loss]]+Table1[[#This Row],[Total Sync Bu MOSFET Loss]]+Table1[[#This Row],[Total Control Bo MOSFET Loss]]+Table1[[#This Row],[Total Sync Bo MOSFET Loss]]+Table1[[#This Row],[Reverse Recovery Loss MOSFET D BUCK]]+Table1[[#This Row],[Reverse Recovery Loss MOSFET D BOOST]]</f>
        <v>8.2189817180926816</v>
      </c>
      <c r="BR188" s="354">
        <f>Table1[[#This Row],[Total Control Bu MOSFET Loss]]+Table1[[#This Row],[Reverse Recovery Loss MOSFET D BUCK]]*0.66</f>
        <v>6.204885949855246</v>
      </c>
      <c r="BS188" s="354">
        <f>Table1[[#This Row],[Total Sync Bu MOSFET Loss]]+Table1[[#This Row],[Reverse Recovery Loss MOSFET D BUCK]]*0.33</f>
        <v>1.2821740794191299</v>
      </c>
      <c r="BT188" s="354">
        <f xml:space="preserve"> Table1[[#This Row],[Total Control Bo MOSFET Loss]]+Table1[[#This Row],[Reverse Recovery Loss MOSFET D BOOST]]*0.66</f>
        <v>0</v>
      </c>
      <c r="BU188" s="354">
        <f xml:space="preserve"> Table1[[#This Row],[Total Sync Bo MOSFET Loss]]+Table1[[#This Row],[Reverse Recovery Loss MOSFET D BOOST]]*0.33</f>
        <v>0.72652053681830564</v>
      </c>
      <c r="BV188" s="354">
        <f>Table1[[#This Row],[Isense Shunt Loss]]</f>
        <v>0.24778264327448393</v>
      </c>
    </row>
    <row r="189" spans="7:74" x14ac:dyDescent="0.2">
      <c r="G189">
        <v>180</v>
      </c>
      <c r="H189" s="555">
        <f>VIN_min+(VIN_max-VIN_min)*(Table1[[#This Row],[Step]]/200)</f>
        <v>45.2</v>
      </c>
      <c r="I189" s="4" t="str">
        <f>IF(Mode = 2,IF(Table1[[#This Row],[Vin]]&gt;Vout, "BUCK","BOOST"),IF(Table1[[#This Row],[Vin]]&gt;VIN_BB_to_buck, "BUCK", IF(Table1[[#This Row],[Vin]]&lt;=VIN_boost_to_BB,"BOOST","BUCK-BST")))</f>
        <v>BUCK</v>
      </c>
      <c r="J189">
        <f>IF(Table1[[#This Row],[Mode]]="BOOST",2, IF(Table1[[#This Row],[Mode]]="BUCK", 1,3))</f>
        <v>1</v>
      </c>
      <c r="K189">
        <f t="shared" si="7"/>
        <v>12</v>
      </c>
      <c r="L189" s="4">
        <f>Vout*Table1[[#This Row],[Iout]]/(Table1[[#This Row],[Vin]]*Efficiency)</f>
        <v>4.0801117838844903</v>
      </c>
      <c r="M189" s="711">
        <f>MIN(1/Fsw,CHOOSE(Table1[[#This Row],[Mode Digit]],(Vout+(Rdson2+Rs+Rdcr)*Table1[[#This Row],[Iout]])/(Table1[[#This Row],[Vin]]+(Rs+Rdson2-Rdson1)*Table1[[#This Row],[Iout]])/Fsw,(Vout+(Rdson3+Rdcr)*Table1[[#This Row],[Iin]]-Table1[[#This Row],[Vin]])/(Vout+(Rdson3-Rdson4-Rs)*Table1[[#This Row],[Iin]])/Fsw,t1_Ph_II))</f>
        <v>5.4351831380352267E-7</v>
      </c>
      <c r="N189" s="602">
        <f>CHOOSE(Table1[[#This Row],[Mode Digit]],1/Fsw-Table1[[#This Row],[t1_Ph_II]],1/Fsw-Table1[[#This Row],[t1_Ph_II]],(Vout/Fsw-Table1[[#This Row],[Vin]]*t1_Ph_II)/(Table1[[#This Row],[Vin]]+Vout))</f>
        <v>1.1231483528631439E-6</v>
      </c>
      <c r="O189" s="602">
        <f>1/Fsw-(Table1[[#This Row],[t1_Ph_II]]+Table1[[#This Row],[t2_Ph_I]])</f>
        <v>0</v>
      </c>
      <c r="P18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8.8500643177295846</v>
      </c>
      <c r="Q189" s="4">
        <f>CHOOSE(Table1[[#This Row],[Mode Digit]],Table1[[#This Row],[I_0]]+1/Lf*(Table1[[#This Row],[Vin]]-Vout)*Table1[[#This Row],[t1_Ph_II]],Table1[[#This Row],[I_0]]+1/Lf*Table1[[#This Row],[Vin]]*Table1[[#This Row],[t1_Ph_II]],Table1[[#This Row],[I_0]]+(Table1[[#This Row],[Vin]]-Vout)/L*Table1[[#This Row],[t1_Ph_II]])</f>
        <v>15.149935682270417</v>
      </c>
      <c r="R189" s="4">
        <f>CHOOSE(Table1[[#This Row],[Mode Digit]],0,0,Table1[[#This Row],[I_1]]+Table1[[#This Row],[Vin]]/L*Table1[[#This Row],[t2_Ph_I]])</f>
        <v>0</v>
      </c>
      <c r="S189" s="4">
        <f>Fsw*(Table1[[#This Row],[I_0]]*Table1[[#This Row],[t1_Ph_II]]+Table1[[#This Row],[I_1]]*Table1[[#This Row],[t2_Ph_I]]+Table1[[#This Row],[I_2]]*Table1[[#This Row],[t3_Ph_III]])</f>
        <v>13.095478405529818</v>
      </c>
      <c r="T189" s="354">
        <f>MIN(1,CHOOSE(Table1[[#This Row],[Mode Digit]],(Vout+(Rdson2+Rs+Rdcr)*Table1[[#This Row],[Iout]])/(Table1[[#This Row],[Vin]]+(Rs+Rdson2-Rdson1)*Table1[[#This Row],[Iout]]),1,Fsw*Table1[[#This Row],[t2_Ph_I]]+Table1[[#This Row],[t1_Ph_II]]))</f>
        <v>0.3261109882821136</v>
      </c>
      <c r="U189" s="354">
        <f>MIN(1,CHOOSE(Table1[[#This Row],[Mode Digit]],0,(Vout+(Rdson3+Rdcr)*Table1[[#This Row],[Iin]]-Table1[[#This Row],[Vin]])/(Vout+(Rdson3-Rdson4-Rs)*Table1[[#This Row],[Iin]]),Fsw*Table1[[#This Row],[t1_Ph_II]]+Table1[[#This Row],[t3_Ph_III]]))</f>
        <v>0</v>
      </c>
      <c r="V189" s="4">
        <f>MAX(Table1[[#This Row],[I_0]:[I_2]])-MIN(Table1[[#This Row],[I_0]:[I_1]])</f>
        <v>6.2998713645408326</v>
      </c>
      <c r="W18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12.137024550281952</v>
      </c>
      <c r="X189" s="354">
        <f>(Table1[[#This Row],[Irms Lf]]^2*Rdcr*(1+Ltc*Ta-Ltc*25))/(1-Table1[[#This Row],[Irms Lf]]^2*Rdcr*Ltc*ThetaCa)</f>
        <v>0.91706465169222695</v>
      </c>
      <c r="Y189" s="354">
        <f>ABS(7.759*10^-3*Fsw^0.9458*(0.00787*Table1[[#This Row],[Ripple Current pk-pk]])^2.304)</f>
        <v>2.2323751666236595</v>
      </c>
      <c r="Z189" s="354">
        <f>Table1[[#This Row],[DCR    Loss]]+Table1[[#This Row],[Core Loss]]</f>
        <v>3.1494398183158863</v>
      </c>
      <c r="AA189" s="4">
        <f>IF(Table1[[#This Row],[Vin]]&gt;Vout, Table1[[#This Row],[Ripple Current pk-pk]]/SQRT(12), SQRT(Table1[[#This Row],[Duty Cycle BOOST Leg]]/(1-Table1[[#This Row],[Duty Cycle BOOST Leg]]))*SQRT(Table1[[#This Row],[Iout]]^2+(Table1[[#This Row],[Ripple Current pk-pk]]^2)/12))</f>
        <v>1.8186162140888325</v>
      </c>
      <c r="AB189" s="354">
        <f>RCoutEsr*Table1[[#This Row],[Irms Cout]]^2</f>
        <v>1.6536824670733991E-2</v>
      </c>
      <c r="AC189" s="354">
        <f>Table1[[#This Row],[Cout ESR Loss]]</f>
        <v>1.6536824670733991E-2</v>
      </c>
      <c r="AD189" s="354">
        <f>IF(Table1[[#This Row],[Vin]]&gt;Vout, SQRT(Table1[[#This Row],[Duty Cycle BUCK Leg]]*(1-Table1[[#This Row],[Duty Cycle BUCK Leg]]))*SQRT(Table1[[#This Row],[Iout]]^2+(Table1[[#This Row],[Ripple Current pk-pk]]^2)/12), Table1[[#This Row],[Ripple Current pk-pk]]/SQRT(12))</f>
        <v>5.6896969362522913</v>
      </c>
      <c r="AE189" s="354">
        <f>RCinEsr*Table1[[#This Row],[Irms Cin]]^2</f>
        <v>6.4745302452797415E-2</v>
      </c>
      <c r="AF189" s="549">
        <f>Table1[[#This Row],[Cin ESR Loss]]</f>
        <v>6.4745302452797415E-2</v>
      </c>
      <c r="AG18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6.9309848044782632</v>
      </c>
      <c r="AH189" s="354">
        <f>Rdson1*Table1[[#This Row],[Irms BuCtrl]]^2</f>
        <v>0.2017619115116161</v>
      </c>
      <c r="AI189" s="354">
        <f>CHOOSE(Table1[[#This Row],[Mode Digit]], (Table1[[#This Row],[Vin]]*Table1[[#This Row],[Iout]]/2)*(Fsw)*(Tr_buck+Tf_buck), 0, (Table1[[#This Row],[Vin]]*Table1[[#This Row],[Avg IL]]/2)*(Fsw/1)*(Tr_buck+Tf_buck))</f>
        <v>5.3786374297837964</v>
      </c>
      <c r="AJ189">
        <f>IF(Table1[[#This Row],[Vin]]&gt;Vout, IF(Table1[[#This Row],[Iout]]&gt;Table1[[#This Row],[Ripple Current pk-pk]]/2,0,ABS(Table1[[#This Row],[Iout]]-Table1[[#This Row],[Ripple Current pk-pk]]/2)*Vsd_Q1*Deadtime*Fsw),0)</f>
        <v>0</v>
      </c>
      <c r="AK189" s="354">
        <f>(Table1[[#This Row],[Dead Time Loss BuCtrl]]+Table1[[#This Row],[Transition Loss BuCtrl]]+Table1[[#This Row],[RDS(on) Loss BuCtrl]]*(1+RdsonTopTc*Ta-RdsonTopTc*25))/(1-Table1[[#This Row],[RDS(on) Loss BuCtrl]]*RdsonTopTc*ThetaJA_Q1)</f>
        <v>5.8643688456407688</v>
      </c>
      <c r="AL189" s="354">
        <f>CHOOSE(Table1[[#This Row],[Mode Digit]],SQRT((Fsw*(Table1[[#This Row],[t2_Ph_I]]+0))*((Table1[[#This Row],[I_0]]*Table1[[#This Row],[I_1]]+((Table1[[#This Row],[I_0]]-Table1[[#This Row],[I_1]])^2)/3))),0,SQRT((Fsw*(Table1[[#This Row],[t3_Ph_III]]+0))*((Table1[[#This Row],[I_0]]*Table1[[#This Row],[I_2]]+((Table1[[#This Row],[I_0]]-Table1[[#This Row],[I_2]])^2)/3))))</f>
        <v>9.9633736542517681</v>
      </c>
      <c r="AM189" s="354">
        <f>Rdson2*Table1[[#This Row],[Irms BuSync]]^2</f>
        <v>0.41692902121180064</v>
      </c>
      <c r="AN18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89" s="354">
        <f>(Table1[[#This Row],[Deadtime Loss BuSync]]+Table1[[#This Row],[RDS(on) Loss BuSync]]*(1+RdsonBotTc*Ta-RdsonBotTc*25))/(1-Table1[[#This Row],[RDS(on) Loss BuSync]]*RdsonBotTc*ThetaJA_Q2)</f>
        <v>1.1048555745720428</v>
      </c>
      <c r="AP189" s="354">
        <f>CHOOSE(Table1[[#This Row],[Mode Digit]],0,SQRT((Fsw*(Table1[[#This Row],[t1_Ph_II]]+0))*((Table1[[#This Row],[I_0]]*Table1[[#This Row],[I_1]]+((Table1[[#This Row],[I_0]]-Table1[[#This Row],[I_1]])^2)/3))),SQRT((Fsw*(Table1[[#This Row],[t2_Ph_I]]+0))*((Table1[[#This Row],[I_1]]*Table1[[#This Row],[I_2]]+((Table1[[#This Row],[I_1]]-Table1[[#This Row],[I_2]])^2)/3))))</f>
        <v>0</v>
      </c>
      <c r="AQ189" s="354">
        <f>Rdson4*Table1[[#This Row],[Irms BoCtlr]]^2</f>
        <v>0</v>
      </c>
      <c r="AR189" s="354">
        <f>CHOOSE(Table1[[#This Row],[Mode Digit]], 0, (Vout*Table1[[#This Row],[Iin]]/2)*(Fsw)*(Tr_boost+Tf_boost), (Vout*Iout/2)*(Fsw/1)*(Tr_boost+Tf_boost))</f>
        <v>0</v>
      </c>
      <c r="AS189">
        <f>IF(Table1[[#This Row],[Vin]]&gt;Vout, 0, IF(Table1[[#This Row],[Iin]]&gt;Table1[[#This Row],[Ripple Current pk-pk]]/2,0,ABS(Table1[[#This Row],[Iin]]-Table1[[#This Row],[Ripple Current pk-pk]]/2)*Vsd_Q4*Deadtime*Fsw))</f>
        <v>0</v>
      </c>
      <c r="AT189" s="354">
        <f>(Table1[[#This Row],[Dead Time Loss BoCtlr]]+Table1[[#This Row],[Transition Loss BoCtlr]]+Table1[[#This Row],[RDS(on) Loss BoCtlr]]*(1+RdsonTopTc*Ta-RdsonTopTc*25))/(1-Table1[[#This Row],[RDS(on) Loss BoCtlr]]*RdsonTopTc*ThetaJA_Q4)</f>
        <v>0</v>
      </c>
      <c r="AU18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12.137024550281952</v>
      </c>
      <c r="AV189" s="354">
        <f>Rdson3*Table1[[#This Row],[Irms BoSync]]^2</f>
        <v>0.61869093272341669</v>
      </c>
      <c r="AW18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89" s="354">
        <f>(Table1[[#This Row],[Deadtime Loss BoSync]]+Table1[[#This Row],[RDS(on) Loss BoSync]]*(1+RdsonBotTc*Ta-RdsonBotTc*25))/(1-Table1[[#This Row],[RDS(on) Loss BoSync]]*RdsonBotTc*ThetaJA_Q3)</f>
        <v>0.7265773724676784</v>
      </c>
      <c r="AY189" s="354">
        <f>CHOOSE(Table1[[#This Row],[Mode Digit]], Rdson3*Table1[[#This Row],[Irms Lf]]^2, Rdson1*Table1[[#This Row],[Irms Lf]]^2, 0)</f>
        <v>0.61869093272341669</v>
      </c>
      <c r="AZ189" s="354">
        <f>CHOOSE(Table1[[#This Row],[Mode Digit]], 2*Deadtime*Fsw*IF(VfdSky_Q2&gt;0,VfdSky_Q2,0)*Table1[[#This Row],[Iout]], 2*Deadtime*Fsw*IF(VfdSky_Q3&gt;0,VfdSky_Q3,0)*Table1[[#This Row],[Iin]], 2*Deadtime*Fsw*IF(VfdSky_Q2&gt;0,VfdSky_Q2,0)*Table1[[#This Row],[Iout]]+2*Deadtime*Fsw*IF(VfdSky_Q3&gt;0,VfdSky_Q3,0)*Table1[[#This Row],[Iin]])</f>
        <v>0</v>
      </c>
      <c r="BA189" s="354">
        <f>CHOOSE(Table1[[#This Row],[Mode Digit]], IF(QrrSky_Q2&gt;0,QrrSky_Q2,Qrr_Q2)*Fsw*(Table1[[#This Row],[Vin]]-Table1[[#This Row],[Iout]]*Rdson1),0,  IF(QrrSky_Q2&gt;0,QrrSky_Q2,Qrr_Q2)*Fsw*(Table1[[#This Row],[Vin]]-Table1[[#This Row],[Iout]]*Rdson1)+IF(QrrSky_Q3&gt;0,QrrSky_Q3,Qrr_Q3)*Fsw*Vout)</f>
        <v>0.54179520000000003</v>
      </c>
      <c r="BB189" s="354">
        <f>CHOOSE(Table1[[#This Row],[Mode Digit]],0, IF(QrrSky_Q3&gt;0,QrrSky_Q3,Qrr_Q3)*Fsw*Vout,  IF(QrrSky_Q2&gt;0,QrrSky_Q2,Qrr_Q2)*Fsw*(Table1[[#This Row],[Vin]]-Table1[[#This Row],[Iout]]*Rdson1)+IF(QrrSky_Q3&gt;0,QrrSky_Q3,Qrr_Q3)*Fsw*Vout)</f>
        <v>0</v>
      </c>
      <c r="BC189" s="354">
        <f>CHOOSE(Table1[[#This Row],[Mode Digit]], Rs*Table1[[#This Row],[Irms BuSync]]^2, Rs*Table1[[#This Row],[Irms BoCtlr]]^2, Rs*(Table1[[#This Row],[Irms BuSync]]^2+Table1[[#This Row],[Irms BoCtlr]]^2))</f>
        <v>0.2481720364355956</v>
      </c>
      <c r="BD189" s="354">
        <f t="shared" si="8"/>
        <v>1.44</v>
      </c>
      <c r="BE189" s="354">
        <f>IF(Vout&gt;8, Iq*Vout, Iq*Table1[[#This Row],[Vin]])</f>
        <v>4.3799999999999999E-2</v>
      </c>
      <c r="BF189" s="354">
        <f>CHOOSE(Table1[[#This Row],[Mode Digit]], (Qg_Q1+Qg_Q2)*Fsw, (Qg_Q3+Qg_Q4)*Fsw, (Qg_Q1+Qg_Q2+Qg_Q3+Qg_Q4)*Fsw)*IF(Vout&gt;8, Vout, Table1[[#This Row],[Vin]])</f>
        <v>0.47303999999999996</v>
      </c>
      <c r="BG189" s="354">
        <f t="shared" si="9"/>
        <v>0.45605042016806729</v>
      </c>
      <c r="BH189" s="354">
        <f>Table1[[#This Row],[IQ Loss]]+Table1[[#This Row],[Switching Current Loss]]</f>
        <v>0.51683999999999997</v>
      </c>
      <c r="BI18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13.673330974555501</v>
      </c>
      <c r="BJ189">
        <f>Vout*Table1[[#This Row],[Iout]]</f>
        <v>175.2</v>
      </c>
      <c r="BK189" s="550">
        <f>Table1[[#This Row],[Pout]]/(Table1[[#This Row],[Pout]]+Table1[[#This Row],[Total Loss]])</f>
        <v>0.92760581441538958</v>
      </c>
      <c r="BL18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351.86213073844613</v>
      </c>
      <c r="BM189" s="559">
        <f>IF(Table1[[#This Row],[Vin]]&gt;Vout, Table1[[#This Row],[Total Sync Bu MOSFET Loss]]*ThetaJA_Q2, ThetaJA_Q3*Table1[[#This Row],[Total Sync Bo MOSFET Loss]])</f>
        <v>66.291334474322568</v>
      </c>
      <c r="BN189" s="9"/>
      <c r="BO189" s="4">
        <f>Table1[[#This Row],[EFF, h]]*100</f>
        <v>92.76058144153896</v>
      </c>
      <c r="BP189" s="354">
        <f>Table1[[#This Row],[Total Inductor Loss]]</f>
        <v>3.1494398183158863</v>
      </c>
      <c r="BQ189" s="354">
        <f>Table1[[#This Row],[Total Control Bu MOSFET Loss]]+Table1[[#This Row],[Total Sync Bu MOSFET Loss]]+Table1[[#This Row],[Total Control Bo MOSFET Loss]]+Table1[[#This Row],[Total Sync Bo MOSFET Loss]]+Table1[[#This Row],[Reverse Recovery Loss MOSFET D BUCK]]+Table1[[#This Row],[Reverse Recovery Loss MOSFET D BOOST]]</f>
        <v>8.2375969926804906</v>
      </c>
      <c r="BR189" s="354">
        <f>Table1[[#This Row],[Total Control Bu MOSFET Loss]]+Table1[[#This Row],[Reverse Recovery Loss MOSFET D BUCK]]*0.66</f>
        <v>6.2219536776407685</v>
      </c>
      <c r="BS189" s="354">
        <f>Table1[[#This Row],[Total Sync Bu MOSFET Loss]]+Table1[[#This Row],[Reverse Recovery Loss MOSFET D BUCK]]*0.33</f>
        <v>1.2836479905720428</v>
      </c>
      <c r="BT189" s="354">
        <f xml:space="preserve"> Table1[[#This Row],[Total Control Bo MOSFET Loss]]+Table1[[#This Row],[Reverse Recovery Loss MOSFET D BOOST]]*0.66</f>
        <v>0</v>
      </c>
      <c r="BU189" s="354">
        <f xml:space="preserve"> Table1[[#This Row],[Total Sync Bo MOSFET Loss]]+Table1[[#This Row],[Reverse Recovery Loss MOSFET D BOOST]]*0.33</f>
        <v>0.7265773724676784</v>
      </c>
      <c r="BV189" s="354">
        <f>Table1[[#This Row],[Isense Shunt Loss]]</f>
        <v>0.2481720364355956</v>
      </c>
    </row>
    <row r="190" spans="7:74" x14ac:dyDescent="0.2">
      <c r="G190">
        <v>181</v>
      </c>
      <c r="H190" s="555">
        <f>VIN_min+(VIN_max-VIN_min)*(Table1[[#This Row],[Step]]/200)</f>
        <v>45.34</v>
      </c>
      <c r="I190" s="4" t="str">
        <f>IF(Mode = 2,IF(Table1[[#This Row],[Vin]]&gt;Vout, "BUCK","BOOST"),IF(Table1[[#This Row],[Vin]]&gt;VIN_BB_to_buck, "BUCK", IF(Table1[[#This Row],[Vin]]&lt;=VIN_boost_to_BB,"BOOST","BUCK-BST")))</f>
        <v>BUCK</v>
      </c>
      <c r="J190">
        <f>IF(Table1[[#This Row],[Mode]]="BOOST",2, IF(Table1[[#This Row],[Mode]]="BUCK", 1,3))</f>
        <v>1</v>
      </c>
      <c r="K190">
        <f t="shared" si="7"/>
        <v>12</v>
      </c>
      <c r="L190" s="4">
        <f>Vout*Table1[[#This Row],[Iout]]/(Table1[[#This Row],[Vin]]*Efficiency)</f>
        <v>4.0675132913890373</v>
      </c>
      <c r="M190" s="711">
        <f>MIN(1/Fsw,CHOOSE(Table1[[#This Row],[Mode Digit]],(Vout+(Rdson2+Rs+Rdcr)*Table1[[#This Row],[Iout]])/(Table1[[#This Row],[Vin]]+(Rs+Rdson2-Rdson1)*Table1[[#This Row],[Iout]])/Fsw,(Vout+(Rdson3+Rdcr)*Table1[[#This Row],[Iin]]-Table1[[#This Row],[Vin]])/(Vout+(Rdson3-Rdson4-Rs)*Table1[[#This Row],[Iin]])/Fsw,t1_Ph_II))</f>
        <v>5.4184115788700311E-7</v>
      </c>
      <c r="N190" s="602">
        <f>CHOOSE(Table1[[#This Row],[Mode Digit]],1/Fsw-Table1[[#This Row],[t1_Ph_II]],1/Fsw-Table1[[#This Row],[t1_Ph_II]],(Vout/Fsw-Table1[[#This Row],[Vin]]*t1_Ph_II)/(Table1[[#This Row],[Vin]]+Vout))</f>
        <v>1.1248255087796636E-6</v>
      </c>
      <c r="O190" s="602">
        <f>1/Fsw-(Table1[[#This Row],[t1_Ph_II]]+Table1[[#This Row],[t2_Ph_I]])</f>
        <v>0</v>
      </c>
      <c r="P19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8.8454171982108942</v>
      </c>
      <c r="Q190" s="4">
        <f>CHOOSE(Table1[[#This Row],[Mode Digit]],Table1[[#This Row],[I_0]]+1/Lf*(Table1[[#This Row],[Vin]]-Vout)*Table1[[#This Row],[t1_Ph_II]],Table1[[#This Row],[I_0]]+1/Lf*Table1[[#This Row],[Vin]]*Table1[[#This Row],[t1_Ph_II]],Table1[[#This Row],[I_0]]+(Table1[[#This Row],[Vin]]-Vout)/L*Table1[[#This Row],[t1_Ph_II]])</f>
        <v>15.154582801789104</v>
      </c>
      <c r="R190" s="4">
        <f>CHOOSE(Table1[[#This Row],[Mode Digit]],0,0,Table1[[#This Row],[I_1]]+Table1[[#This Row],[Vin]]/L*Table1[[#This Row],[t2_Ph_I]])</f>
        <v>0</v>
      </c>
      <c r="S190" s="4">
        <f>Fsw*(Table1[[#This Row],[I_0]]*Table1[[#This Row],[t1_Ph_II]]+Table1[[#This Row],[I_1]]*Table1[[#This Row],[t2_Ph_I]]+Table1[[#This Row],[I_2]]*Table1[[#This Row],[t3_Ph_III]])</f>
        <v>13.103443444222901</v>
      </c>
      <c r="T190" s="354">
        <f>MIN(1,CHOOSE(Table1[[#This Row],[Mode Digit]],(Vout+(Rdson2+Rs+Rdcr)*Table1[[#This Row],[Iout]])/(Table1[[#This Row],[Vin]]+(Rs+Rdson2-Rdson1)*Table1[[#This Row],[Iout]]),1,Fsw*Table1[[#This Row],[t2_Ph_I]]+Table1[[#This Row],[t1_Ph_II]]))</f>
        <v>0.32510469473220188</v>
      </c>
      <c r="U190" s="354">
        <f>MIN(1,CHOOSE(Table1[[#This Row],[Mode Digit]],0,(Vout+(Rdson3+Rdcr)*Table1[[#This Row],[Iin]]-Table1[[#This Row],[Vin]])/(Vout+(Rdson3-Rdson4-Rs)*Table1[[#This Row],[Iin]]),Fsw*Table1[[#This Row],[t1_Ph_II]]+Table1[[#This Row],[t3_Ph_III]]))</f>
        <v>0</v>
      </c>
      <c r="V190" s="4">
        <f>MAX(Table1[[#This Row],[I_0]:[I_2]])-MIN(Table1[[#This Row],[I_0]:[I_1]])</f>
        <v>6.3091656035782098</v>
      </c>
      <c r="W19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12.13742686422653</v>
      </c>
      <c r="X190" s="354">
        <f>(Table1[[#This Row],[Irms Lf]]^2*Rdcr*(1+Ltc*Ta-Ltc*25))/(1-Table1[[#This Row],[Irms Lf]]^2*Rdcr*Ltc*ThetaCa)</f>
        <v>0.91712991057203241</v>
      </c>
      <c r="Y190" s="354">
        <f>ABS(7.759*10^-3*Fsw^0.9458*(0.00787*Table1[[#This Row],[Ripple Current pk-pk]])^2.304)</f>
        <v>2.2399705451565497</v>
      </c>
      <c r="Z190" s="354">
        <f>Table1[[#This Row],[DCR    Loss]]+Table1[[#This Row],[Core Loss]]</f>
        <v>3.1571004557285822</v>
      </c>
      <c r="AA190" s="4">
        <f>IF(Table1[[#This Row],[Vin]]&gt;Vout, Table1[[#This Row],[Ripple Current pk-pk]]/SQRT(12), SQRT(Table1[[#This Row],[Duty Cycle BOOST Leg]]/(1-Table1[[#This Row],[Duty Cycle BOOST Leg]]))*SQRT(Table1[[#This Row],[Iout]]^2+(Table1[[#This Row],[Ripple Current pk-pk]]^2)/12))</f>
        <v>1.8212992297939037</v>
      </c>
      <c r="AB190" s="354">
        <f>RCoutEsr*Table1[[#This Row],[Irms Cout]]^2</f>
        <v>1.6585654422239332E-2</v>
      </c>
      <c r="AC190" s="354">
        <f>Table1[[#This Row],[Cout ESR Loss]]</f>
        <v>1.6585654422239332E-2</v>
      </c>
      <c r="AD190" s="354">
        <f>IF(Table1[[#This Row],[Vin]]&gt;Vout, SQRT(Table1[[#This Row],[Duty Cycle BUCK Leg]]*(1-Table1[[#This Row],[Duty Cycle BUCK Leg]]))*SQRT(Table1[[#This Row],[Iout]]^2+(Table1[[#This Row],[Ripple Current pk-pk]]^2)/12), Table1[[#This Row],[Ripple Current pk-pk]]/SQRT(12))</f>
        <v>5.6853401074766801</v>
      </c>
      <c r="AE190" s="354">
        <f>RCinEsr*Table1[[#This Row],[Irms Cin]]^2</f>
        <v>6.4646184275365892E-2</v>
      </c>
      <c r="AF190" s="549">
        <f>Table1[[#This Row],[Cin ESR Loss]]</f>
        <v>6.4646184275365892E-2</v>
      </c>
      <c r="AG19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6.9205123267726538</v>
      </c>
      <c r="AH190" s="354">
        <f>Rdson1*Table1[[#This Row],[Irms BuCtrl]]^2</f>
        <v>0.20115266163305148</v>
      </c>
      <c r="AI190" s="354">
        <f>CHOOSE(Table1[[#This Row],[Mode Digit]], (Table1[[#This Row],[Vin]]*Table1[[#This Row],[Iout]]/2)*(Fsw)*(Tr_buck+Tf_buck), 0, (Table1[[#This Row],[Vin]]*Table1[[#This Row],[Avg IL]]/2)*(Fsw/1)*(Tr_buck+Tf_buck))</f>
        <v>5.3952969262477275</v>
      </c>
      <c r="AJ190">
        <f>IF(Table1[[#This Row],[Vin]]&gt;Vout, IF(Table1[[#This Row],[Iout]]&gt;Table1[[#This Row],[Ripple Current pk-pk]]/2,0,ABS(Table1[[#This Row],[Iout]]-Table1[[#This Row],[Ripple Current pk-pk]]/2)*Vsd_Q1*Deadtime*Fsw),0)</f>
        <v>0</v>
      </c>
      <c r="AK190" s="354">
        <f>(Table1[[#This Row],[Dead Time Loss BuCtrl]]+Table1[[#This Row],[Transition Loss BuCtrl]]+Table1[[#This Row],[RDS(on) Loss BuCtrl]]*(1+RdsonTopTc*Ta-RdsonTopTc*25))/(1-Table1[[#This Row],[RDS(on) Loss BuCtrl]]*RdsonTopTc*ThetaJA_Q1)</f>
        <v>5.8803322645951868</v>
      </c>
      <c r="AL190" s="354">
        <f>CHOOSE(Table1[[#This Row],[Mode Digit]],SQRT((Fsw*(Table1[[#This Row],[t2_Ph_I]]+0))*((Table1[[#This Row],[I_0]]*Table1[[#This Row],[I_1]]+((Table1[[#This Row],[I_0]]-Table1[[#This Row],[I_1]])^2)/3))),0,SQRT((Fsw*(Table1[[#This Row],[t3_Ph_III]]+0))*((Table1[[#This Row],[I_0]]*Table1[[#This Row],[I_2]]+((Table1[[#This Row],[I_0]]-Table1[[#This Row],[I_2]])^2)/3))))</f>
        <v>9.97114035702214</v>
      </c>
      <c r="AM190" s="354">
        <f>Rdson2*Table1[[#This Row],[Irms BuSync]]^2</f>
        <v>0.41757928808162964</v>
      </c>
      <c r="AN19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90" s="354">
        <f>(Table1[[#This Row],[Deadtime Loss BuSync]]+Table1[[#This Row],[RDS(on) Loss BuSync]]*(1+RdsonBotTc*Ta-RdsonBotTc*25))/(1-Table1[[#This Row],[RDS(on) Loss BuSync]]*RdsonBotTc*ThetaJA_Q2)</f>
        <v>1.1057699027593837</v>
      </c>
      <c r="AP190" s="354">
        <f>CHOOSE(Table1[[#This Row],[Mode Digit]],0,SQRT((Fsw*(Table1[[#This Row],[t1_Ph_II]]+0))*((Table1[[#This Row],[I_0]]*Table1[[#This Row],[I_1]]+((Table1[[#This Row],[I_0]]-Table1[[#This Row],[I_1]])^2)/3))),SQRT((Fsw*(Table1[[#This Row],[t2_Ph_I]]+0))*((Table1[[#This Row],[I_1]]*Table1[[#This Row],[I_2]]+((Table1[[#This Row],[I_1]]-Table1[[#This Row],[I_2]])^2)/3))))</f>
        <v>0</v>
      </c>
      <c r="AQ190" s="354">
        <f>Rdson4*Table1[[#This Row],[Irms BoCtlr]]^2</f>
        <v>0</v>
      </c>
      <c r="AR190" s="354">
        <f>CHOOSE(Table1[[#This Row],[Mode Digit]], 0, (Vout*Table1[[#This Row],[Iin]]/2)*(Fsw)*(Tr_boost+Tf_boost), (Vout*Iout/2)*(Fsw/1)*(Tr_boost+Tf_boost))</f>
        <v>0</v>
      </c>
      <c r="AS190">
        <f>IF(Table1[[#This Row],[Vin]]&gt;Vout, 0, IF(Table1[[#This Row],[Iin]]&gt;Table1[[#This Row],[Ripple Current pk-pk]]/2,0,ABS(Table1[[#This Row],[Iin]]-Table1[[#This Row],[Ripple Current pk-pk]]/2)*Vsd_Q4*Deadtime*Fsw))</f>
        <v>0</v>
      </c>
      <c r="AT190" s="354">
        <f>(Table1[[#This Row],[Dead Time Loss BoCtlr]]+Table1[[#This Row],[Transition Loss BoCtlr]]+Table1[[#This Row],[RDS(on) Loss BoCtlr]]*(1+RdsonTopTc*Ta-RdsonTopTc*25))/(1-Table1[[#This Row],[RDS(on) Loss BoCtlr]]*RdsonTopTc*ThetaJA_Q4)</f>
        <v>0</v>
      </c>
      <c r="AU19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12.13742686422653</v>
      </c>
      <c r="AV190" s="354">
        <f>Rdson3*Table1[[#This Row],[Irms BoSync]]^2</f>
        <v>0.61873194971468115</v>
      </c>
      <c r="AW19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90" s="354">
        <f>(Table1[[#This Row],[Deadtime Loss BoSync]]+Table1[[#This Row],[RDS(on) Loss BoSync]]*(1+RdsonBotTc*Ta-RdsonBotTc*25))/(1-Table1[[#This Row],[RDS(on) Loss BoSync]]*RdsonBotTc*ThetaJA_Q3)</f>
        <v>0.72663394232141587</v>
      </c>
      <c r="AY190" s="354">
        <f>CHOOSE(Table1[[#This Row],[Mode Digit]], Rdson3*Table1[[#This Row],[Irms Lf]]^2, Rdson1*Table1[[#This Row],[Irms Lf]]^2, 0)</f>
        <v>0.61873194971468115</v>
      </c>
      <c r="AZ190" s="354">
        <f>CHOOSE(Table1[[#This Row],[Mode Digit]], 2*Deadtime*Fsw*IF(VfdSky_Q2&gt;0,VfdSky_Q2,0)*Table1[[#This Row],[Iout]], 2*Deadtime*Fsw*IF(VfdSky_Q3&gt;0,VfdSky_Q3,0)*Table1[[#This Row],[Iin]], 2*Deadtime*Fsw*IF(VfdSky_Q2&gt;0,VfdSky_Q2,0)*Table1[[#This Row],[Iout]]+2*Deadtime*Fsw*IF(VfdSky_Q3&gt;0,VfdSky_Q3,0)*Table1[[#This Row],[Iin]])</f>
        <v>0</v>
      </c>
      <c r="BA190" s="354">
        <f>CHOOSE(Table1[[#This Row],[Mode Digit]], IF(QrrSky_Q2&gt;0,QrrSky_Q2,Qrr_Q2)*Fsw*(Table1[[#This Row],[Vin]]-Table1[[#This Row],[Iout]]*Rdson1),0,  IF(QrrSky_Q2&gt;0,QrrSky_Q2,Qrr_Q2)*Fsw*(Table1[[#This Row],[Vin]]-Table1[[#This Row],[Iout]]*Rdson1)+IF(QrrSky_Q3&gt;0,QrrSky_Q3,Qrr_Q3)*Fsw*Vout)</f>
        <v>0.54347520000000005</v>
      </c>
      <c r="BB190" s="354">
        <f>CHOOSE(Table1[[#This Row],[Mode Digit]],0, IF(QrrSky_Q3&gt;0,QrrSky_Q3,Qrr_Q3)*Fsw*Vout,  IF(QrrSky_Q2&gt;0,QrrSky_Q2,Qrr_Q2)*Fsw*(Table1[[#This Row],[Vin]]-Table1[[#This Row],[Iout]]*Rdson1)+IF(QrrSky_Q3&gt;0,QrrSky_Q3,Qrr_Q3)*Fsw*Vout)</f>
        <v>0</v>
      </c>
      <c r="BC190" s="354">
        <f>CHOOSE(Table1[[#This Row],[Mode Digit]], Rs*Table1[[#This Row],[Irms BuSync]]^2, Rs*Table1[[#This Row],[Irms BoCtlr]]^2, Rs*(Table1[[#This Row],[Irms BuSync]]^2+Table1[[#This Row],[Irms BoCtlr]]^2))</f>
        <v>0.24855910004858903</v>
      </c>
      <c r="BD190" s="354">
        <f t="shared" si="8"/>
        <v>1.44</v>
      </c>
      <c r="BE190" s="354">
        <f>IF(Vout&gt;8, Iq*Vout, Iq*Table1[[#This Row],[Vin]])</f>
        <v>4.3799999999999999E-2</v>
      </c>
      <c r="BF190" s="354">
        <f>CHOOSE(Table1[[#This Row],[Mode Digit]], (Qg_Q1+Qg_Q2)*Fsw, (Qg_Q3+Qg_Q4)*Fsw, (Qg_Q1+Qg_Q2+Qg_Q3+Qg_Q4)*Fsw)*IF(Vout&gt;8, Vout, Table1[[#This Row],[Vin]])</f>
        <v>0.47303999999999996</v>
      </c>
      <c r="BG190" s="354">
        <f t="shared" si="9"/>
        <v>0.45605042016806729</v>
      </c>
      <c r="BH190" s="354">
        <f>Table1[[#This Row],[IQ Loss]]+Table1[[#This Row],[Switching Current Loss]]</f>
        <v>0.51683999999999997</v>
      </c>
      <c r="BI19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13.699942704150761</v>
      </c>
      <c r="BJ190">
        <f>Vout*Table1[[#This Row],[Iout]]</f>
        <v>175.2</v>
      </c>
      <c r="BK190" s="550">
        <f>Table1[[#This Row],[Pout]]/(Table1[[#This Row],[Pout]]+Table1[[#This Row],[Total Loss]])</f>
        <v>0.92747513573570961</v>
      </c>
      <c r="BL19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352.81993587571122</v>
      </c>
      <c r="BM190" s="559">
        <f>IF(Table1[[#This Row],[Vin]]&gt;Vout, Table1[[#This Row],[Total Sync Bu MOSFET Loss]]*ThetaJA_Q2, ThetaJA_Q3*Table1[[#This Row],[Total Sync Bo MOSFET Loss]])</f>
        <v>66.34619416556302</v>
      </c>
      <c r="BN190" s="9"/>
      <c r="BO190" s="4">
        <f>Table1[[#This Row],[EFF, h]]*100</f>
        <v>92.747513573570956</v>
      </c>
      <c r="BP190" s="354">
        <f>Table1[[#This Row],[Total Inductor Loss]]</f>
        <v>3.1571004557285822</v>
      </c>
      <c r="BQ190" s="354">
        <f>Table1[[#This Row],[Total Control Bu MOSFET Loss]]+Table1[[#This Row],[Total Sync Bu MOSFET Loss]]+Table1[[#This Row],[Total Control Bo MOSFET Loss]]+Table1[[#This Row],[Total Sync Bo MOSFET Loss]]+Table1[[#This Row],[Reverse Recovery Loss MOSFET D BUCK]]+Table1[[#This Row],[Reverse Recovery Loss MOSFET D BOOST]]</f>
        <v>8.2562113096759866</v>
      </c>
      <c r="BR190" s="354">
        <f>Table1[[#This Row],[Total Control Bu MOSFET Loss]]+Table1[[#This Row],[Reverse Recovery Loss MOSFET D BUCK]]*0.66</f>
        <v>6.2390258965951872</v>
      </c>
      <c r="BS190" s="354">
        <f>Table1[[#This Row],[Total Sync Bu MOSFET Loss]]+Table1[[#This Row],[Reverse Recovery Loss MOSFET D BUCK]]*0.33</f>
        <v>1.2851167187593837</v>
      </c>
      <c r="BT190" s="354">
        <f xml:space="preserve"> Table1[[#This Row],[Total Control Bo MOSFET Loss]]+Table1[[#This Row],[Reverse Recovery Loss MOSFET D BOOST]]*0.66</f>
        <v>0</v>
      </c>
      <c r="BU190" s="354">
        <f xml:space="preserve"> Table1[[#This Row],[Total Sync Bo MOSFET Loss]]+Table1[[#This Row],[Reverse Recovery Loss MOSFET D BOOST]]*0.33</f>
        <v>0.72663394232141587</v>
      </c>
      <c r="BV190" s="354">
        <f>Table1[[#This Row],[Isense Shunt Loss]]</f>
        <v>0.24855910004858903</v>
      </c>
    </row>
    <row r="191" spans="7:74" x14ac:dyDescent="0.2">
      <c r="G191">
        <v>182</v>
      </c>
      <c r="H191" s="555">
        <f>VIN_min+(VIN_max-VIN_min)*(Table1[[#This Row],[Step]]/200)</f>
        <v>45.480000000000004</v>
      </c>
      <c r="I191" s="4" t="str">
        <f>IF(Mode = 2,IF(Table1[[#This Row],[Vin]]&gt;Vout, "BUCK","BOOST"),IF(Table1[[#This Row],[Vin]]&gt;VIN_BB_to_buck, "BUCK", IF(Table1[[#This Row],[Vin]]&lt;=VIN_boost_to_BB,"BOOST","BUCK-BST")))</f>
        <v>BUCK</v>
      </c>
      <c r="J191">
        <f>IF(Table1[[#This Row],[Mode]]="BOOST",2, IF(Table1[[#This Row],[Mode]]="BUCK", 1,3))</f>
        <v>1</v>
      </c>
      <c r="K191">
        <f t="shared" si="7"/>
        <v>12</v>
      </c>
      <c r="L191" s="4">
        <f>Vout*Table1[[#This Row],[Iout]]/(Table1[[#This Row],[Vin]]*Efficiency)</f>
        <v>4.0549923621719204</v>
      </c>
      <c r="M191" s="711">
        <f>MIN(1/Fsw,CHOOSE(Table1[[#This Row],[Mode Digit]],(Vout+(Rdson2+Rs+Rdcr)*Table1[[#This Row],[Iout]])/(Table1[[#This Row],[Vin]]+(Rs+Rdson2-Rdson1)*Table1[[#This Row],[Iout]])/Fsw,(Vout+(Rdson3+Rdcr)*Table1[[#This Row],[Iin]]-Table1[[#This Row],[Vin]])/(Vout+(Rdson3-Rdson4-Rs)*Table1[[#This Row],[Iin]])/Fsw,t1_Ph_II))</f>
        <v>5.401743206621255E-7</v>
      </c>
      <c r="N191" s="602">
        <f>CHOOSE(Table1[[#This Row],[Mode Digit]],1/Fsw-Table1[[#This Row],[t1_Ph_II]],1/Fsw-Table1[[#This Row],[t1_Ph_II]],(Vout/Fsw-Table1[[#This Row],[Vin]]*t1_Ph_II)/(Table1[[#This Row],[Vin]]+Vout))</f>
        <v>1.1264923460045411E-6</v>
      </c>
      <c r="O191" s="602">
        <f>1/Fsw-(Table1[[#This Row],[t1_Ph_II]]+Table1[[#This Row],[t2_Ph_I]])</f>
        <v>0</v>
      </c>
      <c r="P19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8.8407986700669632</v>
      </c>
      <c r="Q191" s="4">
        <f>CHOOSE(Table1[[#This Row],[Mode Digit]],Table1[[#This Row],[I_0]]+1/Lf*(Table1[[#This Row],[Vin]]-Vout)*Table1[[#This Row],[t1_Ph_II]],Table1[[#This Row],[I_0]]+1/Lf*Table1[[#This Row],[Vin]]*Table1[[#This Row],[t1_Ph_II]],Table1[[#This Row],[I_0]]+(Table1[[#This Row],[Vin]]-Vout)/L*Table1[[#This Row],[t1_Ph_II]])</f>
        <v>15.159201329933037</v>
      </c>
      <c r="R191" s="4">
        <f>CHOOSE(Table1[[#This Row],[Mode Digit]],0,0,Table1[[#This Row],[I_1]]+Table1[[#This Row],[Vin]]/L*Table1[[#This Row],[t2_Ph_I]])</f>
        <v>0</v>
      </c>
      <c r="S191" s="4">
        <f>Fsw*(Table1[[#This Row],[I_0]]*Table1[[#This Row],[t1_Ph_II]]+Table1[[#This Row],[I_1]]*Table1[[#This Row],[t2_Ph_I]]+Table1[[#This Row],[I_2]]*Table1[[#This Row],[t3_Ph_III]])</f>
        <v>13.111378011255283</v>
      </c>
      <c r="T191" s="354">
        <f>MIN(1,CHOOSE(Table1[[#This Row],[Mode Digit]],(Vout+(Rdson2+Rs+Rdcr)*Table1[[#This Row],[Iout]])/(Table1[[#This Row],[Vin]]+(Rs+Rdson2-Rdson1)*Table1[[#This Row],[Iout]]),1,Fsw*Table1[[#This Row],[t2_Ph_I]]+Table1[[#This Row],[t1_Ph_II]]))</f>
        <v>0.32410459239727529</v>
      </c>
      <c r="U191" s="354">
        <f>MIN(1,CHOOSE(Table1[[#This Row],[Mode Digit]],0,(Vout+(Rdson3+Rdcr)*Table1[[#This Row],[Iin]]-Table1[[#This Row],[Vin]])/(Vout+(Rdson3-Rdson4-Rs)*Table1[[#This Row],[Iin]]),Fsw*Table1[[#This Row],[t1_Ph_II]]+Table1[[#This Row],[t3_Ph_III]]))</f>
        <v>0</v>
      </c>
      <c r="V191" s="4">
        <f>MAX(Table1[[#This Row],[I_0]:[I_2]])-MIN(Table1[[#This Row],[I_0]:[I_1]])</f>
        <v>6.3184026598660736</v>
      </c>
      <c r="W19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12.137827277332226</v>
      </c>
      <c r="X191" s="354">
        <f>(Table1[[#This Row],[Irms Lf]]^2*Rdcr*(1+Ltc*Ta-Ltc*25))/(1-Table1[[#This Row],[Irms Lf]]^2*Rdcr*Ltc*ThetaCa)</f>
        <v>0.91719486389716143</v>
      </c>
      <c r="Y191" s="354">
        <f>ABS(7.759*10^-3*Fsw^0.9458*(0.00787*Table1[[#This Row],[Ripple Current pk-pk]])^2.304)</f>
        <v>2.2475336631337632</v>
      </c>
      <c r="Z191" s="354">
        <f>Table1[[#This Row],[DCR    Loss]]+Table1[[#This Row],[Core Loss]]</f>
        <v>3.1647285270309249</v>
      </c>
      <c r="AA191" s="4">
        <f>IF(Table1[[#This Row],[Vin]]&gt;Vout, Table1[[#This Row],[Ripple Current pk-pk]]/SQRT(12), SQRT(Table1[[#This Row],[Duty Cycle BOOST Leg]]/(1-Table1[[#This Row],[Duty Cycle BOOST Leg]]))*SQRT(Table1[[#This Row],[Iout]]^2+(Table1[[#This Row],[Ripple Current pk-pk]]^2)/12))</f>
        <v>1.8239657382610626</v>
      </c>
      <c r="AB191" s="354">
        <f>RCoutEsr*Table1[[#This Row],[Irms Cout]]^2</f>
        <v>1.6634255071751113E-2</v>
      </c>
      <c r="AC191" s="354">
        <f>Table1[[#This Row],[Cout ESR Loss]]</f>
        <v>1.6634255071751113E-2</v>
      </c>
      <c r="AD191" s="354">
        <f>IF(Table1[[#This Row],[Vin]]&gt;Vout, SQRT(Table1[[#This Row],[Duty Cycle BUCK Leg]]*(1-Table1[[#This Row],[Duty Cycle BUCK Leg]]))*SQRT(Table1[[#This Row],[Iout]]^2+(Table1[[#This Row],[Ripple Current pk-pk]]^2)/12), Table1[[#This Row],[Ripple Current pk-pk]]/SQRT(12))</f>
        <v>5.6809804318794725</v>
      </c>
      <c r="AE191" s="354">
        <f>RCinEsr*Table1[[#This Row],[Irms Cin]]^2</f>
        <v>6.4547077334794964E-2</v>
      </c>
      <c r="AF191" s="549">
        <f>Table1[[#This Row],[Cin ESR Loss]]</f>
        <v>6.4547077334794964E-2</v>
      </c>
      <c r="AG19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6.9100874811524697</v>
      </c>
      <c r="AH191" s="354">
        <f>Rdson1*Table1[[#This Row],[Irms BuCtrl]]^2</f>
        <v>0.20054709778815638</v>
      </c>
      <c r="AI191" s="354">
        <f>CHOOSE(Table1[[#This Row],[Mode Digit]], (Table1[[#This Row],[Vin]]*Table1[[#This Row],[Iout]]/2)*(Fsw)*(Tr_buck+Tf_buck), 0, (Table1[[#This Row],[Vin]]*Table1[[#This Row],[Avg IL]]/2)*(Fsw/1)*(Tr_buck+Tf_buck))</f>
        <v>5.4119564227116594</v>
      </c>
      <c r="AJ191">
        <f>IF(Table1[[#This Row],[Vin]]&gt;Vout, IF(Table1[[#This Row],[Iout]]&gt;Table1[[#This Row],[Ripple Current pk-pk]]/2,0,ABS(Table1[[#This Row],[Iout]]-Table1[[#This Row],[Ripple Current pk-pk]]/2)*Vsd_Q1*Deadtime*Fsw),0)</f>
        <v>0</v>
      </c>
      <c r="AK191" s="354">
        <f>(Table1[[#This Row],[Dead Time Loss BuCtrl]]+Table1[[#This Row],[Transition Loss BuCtrl]]+Table1[[#This Row],[RDS(on) Loss BuCtrl]]*(1+RdsonTopTc*Ta-RdsonTopTc*25))/(1-Table1[[#This Row],[RDS(on) Loss BuCtrl]]*RdsonTopTc*ThetaJA_Q1)</f>
        <v>5.8963001314729748</v>
      </c>
      <c r="AL191" s="354">
        <f>CHOOSE(Table1[[#This Row],[Mode Digit]],SQRT((Fsw*(Table1[[#This Row],[t2_Ph_I]]+0))*((Table1[[#This Row],[I_0]]*Table1[[#This Row],[I_1]]+((Table1[[#This Row],[I_0]]-Table1[[#This Row],[I_1]])^2)/3))),0,SQRT((Fsw*(Table1[[#This Row],[t3_Ph_III]]+0))*((Table1[[#This Row],[I_0]]*Table1[[#This Row],[I_2]]+((Table1[[#This Row],[I_0]]-Table1[[#This Row],[I_2]])^2)/3))))</f>
        <v>9.9788547447675651</v>
      </c>
      <c r="AM191" s="354">
        <f>Rdson2*Table1[[#This Row],[Irms BuSync]]^2</f>
        <v>0.41822567647211467</v>
      </c>
      <c r="AN19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91" s="354">
        <f>(Table1[[#This Row],[Deadtime Loss BuSync]]+Table1[[#This Row],[RDS(on) Loss BuSync]]*(1+RdsonBotTc*Ta-RdsonBotTc*25))/(1-Table1[[#This Row],[RDS(on) Loss BuSync]]*RdsonBotTc*ThetaJA_Q2)</f>
        <v>1.1066790918854659</v>
      </c>
      <c r="AP191" s="354">
        <f>CHOOSE(Table1[[#This Row],[Mode Digit]],0,SQRT((Fsw*(Table1[[#This Row],[t1_Ph_II]]+0))*((Table1[[#This Row],[I_0]]*Table1[[#This Row],[I_1]]+((Table1[[#This Row],[I_0]]-Table1[[#This Row],[I_1]])^2)/3))),SQRT((Fsw*(Table1[[#This Row],[t2_Ph_I]]+0))*((Table1[[#This Row],[I_1]]*Table1[[#This Row],[I_2]]+((Table1[[#This Row],[I_1]]-Table1[[#This Row],[I_2]])^2)/3))))</f>
        <v>0</v>
      </c>
      <c r="AQ191" s="354">
        <f>Rdson4*Table1[[#This Row],[Irms BoCtlr]]^2</f>
        <v>0</v>
      </c>
      <c r="AR191" s="354">
        <f>CHOOSE(Table1[[#This Row],[Mode Digit]], 0, (Vout*Table1[[#This Row],[Iin]]/2)*(Fsw)*(Tr_boost+Tf_boost), (Vout*Iout/2)*(Fsw/1)*(Tr_boost+Tf_boost))</f>
        <v>0</v>
      </c>
      <c r="AS191">
        <f>IF(Table1[[#This Row],[Vin]]&gt;Vout, 0, IF(Table1[[#This Row],[Iin]]&gt;Table1[[#This Row],[Ripple Current pk-pk]]/2,0,ABS(Table1[[#This Row],[Iin]]-Table1[[#This Row],[Ripple Current pk-pk]]/2)*Vsd_Q4*Deadtime*Fsw))</f>
        <v>0</v>
      </c>
      <c r="AT191" s="354">
        <f>(Table1[[#This Row],[Dead Time Loss BoCtlr]]+Table1[[#This Row],[Transition Loss BoCtlr]]+Table1[[#This Row],[RDS(on) Loss BoCtlr]]*(1+RdsonTopTc*Ta-RdsonTopTc*25))/(1-Table1[[#This Row],[RDS(on) Loss BoCtlr]]*RdsonTopTc*ThetaJA_Q4)</f>
        <v>0</v>
      </c>
      <c r="AU19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12.137827277332226</v>
      </c>
      <c r="AV191" s="354">
        <f>Rdson3*Table1[[#This Row],[Irms BoSync]]^2</f>
        <v>0.61877277426027111</v>
      </c>
      <c r="AW19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91" s="354">
        <f>(Table1[[#This Row],[Deadtime Loss BoSync]]+Table1[[#This Row],[RDS(on) Loss BoSync]]*(1+RdsonBotTc*Ta-RdsonBotTc*25))/(1-Table1[[#This Row],[RDS(on) Loss BoSync]]*RdsonBotTc*ThetaJA_Q3)</f>
        <v>0.72669024805655202</v>
      </c>
      <c r="AY191" s="354">
        <f>CHOOSE(Table1[[#This Row],[Mode Digit]], Rdson3*Table1[[#This Row],[Irms Lf]]^2, Rdson1*Table1[[#This Row],[Irms Lf]]^2, 0)</f>
        <v>0.61877277426027111</v>
      </c>
      <c r="AZ191" s="354">
        <f>CHOOSE(Table1[[#This Row],[Mode Digit]], 2*Deadtime*Fsw*IF(VfdSky_Q2&gt;0,VfdSky_Q2,0)*Table1[[#This Row],[Iout]], 2*Deadtime*Fsw*IF(VfdSky_Q3&gt;0,VfdSky_Q3,0)*Table1[[#This Row],[Iin]], 2*Deadtime*Fsw*IF(VfdSky_Q2&gt;0,VfdSky_Q2,0)*Table1[[#This Row],[Iout]]+2*Deadtime*Fsw*IF(VfdSky_Q3&gt;0,VfdSky_Q3,0)*Table1[[#This Row],[Iin]])</f>
        <v>0</v>
      </c>
      <c r="BA191" s="354">
        <f>CHOOSE(Table1[[#This Row],[Mode Digit]], IF(QrrSky_Q2&gt;0,QrrSky_Q2,Qrr_Q2)*Fsw*(Table1[[#This Row],[Vin]]-Table1[[#This Row],[Iout]]*Rdson1),0,  IF(QrrSky_Q2&gt;0,QrrSky_Q2,Qrr_Q2)*Fsw*(Table1[[#This Row],[Vin]]-Table1[[#This Row],[Iout]]*Rdson1)+IF(QrrSky_Q3&gt;0,QrrSky_Q3,Qrr_Q3)*Fsw*Vout)</f>
        <v>0.54515520000000006</v>
      </c>
      <c r="BB191" s="354">
        <f>CHOOSE(Table1[[#This Row],[Mode Digit]],0, IF(QrrSky_Q3&gt;0,QrrSky_Q3,Qrr_Q3)*Fsw*Vout,  IF(QrrSky_Q2&gt;0,QrrSky_Q2,Qrr_Q2)*Fsw*(Table1[[#This Row],[Vin]]-Table1[[#This Row],[Iout]]*Rdson1)+IF(QrrSky_Q3&gt;0,QrrSky_Q3,Qrr_Q3)*Fsw*Vout)</f>
        <v>0</v>
      </c>
      <c r="BC191" s="354">
        <f>CHOOSE(Table1[[#This Row],[Mode Digit]], Rs*Table1[[#This Row],[Irms BuSync]]^2, Rs*Table1[[#This Row],[Irms BoCtlr]]^2, Rs*(Table1[[#This Row],[Irms BuSync]]^2+Table1[[#This Row],[Irms BoCtlr]]^2))</f>
        <v>0.24894385504292538</v>
      </c>
      <c r="BD191" s="354">
        <f t="shared" si="8"/>
        <v>1.44</v>
      </c>
      <c r="BE191" s="354">
        <f>IF(Vout&gt;8, Iq*Vout, Iq*Table1[[#This Row],[Vin]])</f>
        <v>4.3799999999999999E-2</v>
      </c>
      <c r="BF191" s="354">
        <f>CHOOSE(Table1[[#This Row],[Mode Digit]], (Qg_Q1+Qg_Q2)*Fsw, (Qg_Q3+Qg_Q4)*Fsw, (Qg_Q1+Qg_Q2+Qg_Q3+Qg_Q4)*Fsw)*IF(Vout&gt;8, Vout, Table1[[#This Row],[Vin]])</f>
        <v>0.47303999999999996</v>
      </c>
      <c r="BG191" s="354">
        <f t="shared" si="9"/>
        <v>0.45605042016806729</v>
      </c>
      <c r="BH191" s="354">
        <f>Table1[[#This Row],[IQ Loss]]+Table1[[#This Row],[Switching Current Loss]]</f>
        <v>0.51683999999999997</v>
      </c>
      <c r="BI19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13.726518385895391</v>
      </c>
      <c r="BJ191">
        <f>Vout*Table1[[#This Row],[Iout]]</f>
        <v>175.2</v>
      </c>
      <c r="BK191" s="550">
        <f>Table1[[#This Row],[Pout]]/(Table1[[#This Row],[Pout]]+Table1[[#This Row],[Total Loss]])</f>
        <v>0.92734467081080685</v>
      </c>
      <c r="BL19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353.77800788837851</v>
      </c>
      <c r="BM191" s="559">
        <f>IF(Table1[[#This Row],[Vin]]&gt;Vout, Table1[[#This Row],[Total Sync Bu MOSFET Loss]]*ThetaJA_Q2, ThetaJA_Q3*Table1[[#This Row],[Total Sync Bo MOSFET Loss]])</f>
        <v>66.400745513127958</v>
      </c>
      <c r="BN191" s="9"/>
      <c r="BO191" s="4">
        <f>Table1[[#This Row],[EFF, h]]*100</f>
        <v>92.73446708108068</v>
      </c>
      <c r="BP191" s="354">
        <f>Table1[[#This Row],[Total Inductor Loss]]</f>
        <v>3.1647285270309249</v>
      </c>
      <c r="BQ191" s="354">
        <f>Table1[[#This Row],[Total Control Bu MOSFET Loss]]+Table1[[#This Row],[Total Sync Bu MOSFET Loss]]+Table1[[#This Row],[Total Control Bo MOSFET Loss]]+Table1[[#This Row],[Total Sync Bo MOSFET Loss]]+Table1[[#This Row],[Reverse Recovery Loss MOSFET D BUCK]]+Table1[[#This Row],[Reverse Recovery Loss MOSFET D BOOST]]</f>
        <v>8.2748246714149936</v>
      </c>
      <c r="BR191" s="354">
        <f>Table1[[#This Row],[Total Control Bu MOSFET Loss]]+Table1[[#This Row],[Reverse Recovery Loss MOSFET D BUCK]]*0.66</f>
        <v>6.2561025634729752</v>
      </c>
      <c r="BS191" s="354">
        <f>Table1[[#This Row],[Total Sync Bu MOSFET Loss]]+Table1[[#This Row],[Reverse Recovery Loss MOSFET D BUCK]]*0.33</f>
        <v>1.2865803078854658</v>
      </c>
      <c r="BT191" s="354">
        <f xml:space="preserve"> Table1[[#This Row],[Total Control Bo MOSFET Loss]]+Table1[[#This Row],[Reverse Recovery Loss MOSFET D BOOST]]*0.66</f>
        <v>0</v>
      </c>
      <c r="BU191" s="354">
        <f xml:space="preserve"> Table1[[#This Row],[Total Sync Bo MOSFET Loss]]+Table1[[#This Row],[Reverse Recovery Loss MOSFET D BOOST]]*0.33</f>
        <v>0.72669024805655202</v>
      </c>
      <c r="BV191" s="354">
        <f>Table1[[#This Row],[Isense Shunt Loss]]</f>
        <v>0.24894385504292538</v>
      </c>
    </row>
    <row r="192" spans="7:74" x14ac:dyDescent="0.2">
      <c r="G192">
        <v>183</v>
      </c>
      <c r="H192" s="555">
        <f>VIN_min+(VIN_max-VIN_min)*(Table1[[#This Row],[Step]]/200)</f>
        <v>45.620000000000005</v>
      </c>
      <c r="I192" s="4" t="str">
        <f>IF(Mode = 2,IF(Table1[[#This Row],[Vin]]&gt;Vout, "BUCK","BOOST"),IF(Table1[[#This Row],[Vin]]&gt;VIN_BB_to_buck, "BUCK", IF(Table1[[#This Row],[Vin]]&lt;=VIN_boost_to_BB,"BOOST","BUCK-BST")))</f>
        <v>BUCK</v>
      </c>
      <c r="J192">
        <f>IF(Table1[[#This Row],[Mode]]="BOOST",2, IF(Table1[[#This Row],[Mode]]="BUCK", 1,3))</f>
        <v>1</v>
      </c>
      <c r="K192">
        <f t="shared" si="7"/>
        <v>12</v>
      </c>
      <c r="L192" s="4">
        <f>Vout*Table1[[#This Row],[Iout]]/(Table1[[#This Row],[Vin]]*Efficiency)</f>
        <v>4.0425482821477186</v>
      </c>
      <c r="M192" s="711">
        <f>MIN(1/Fsw,CHOOSE(Table1[[#This Row],[Mode Digit]],(Vout+(Rdson2+Rs+Rdcr)*Table1[[#This Row],[Iout]])/(Table1[[#This Row],[Vin]]+(Rs+Rdson2-Rdson1)*Table1[[#This Row],[Iout]])/Fsw,(Vout+(Rdson3+Rdcr)*Table1[[#This Row],[Iin]]-Table1[[#This Row],[Vin]])/(Vout+(Rdson3-Rdson4-Rs)*Table1[[#This Row],[Iin]])/Fsw,t1_Ph_II))</f>
        <v>5.3851770719240594E-7</v>
      </c>
      <c r="N192" s="602">
        <f>CHOOSE(Table1[[#This Row],[Mode Digit]],1/Fsw-Table1[[#This Row],[t1_Ph_II]],1/Fsw-Table1[[#This Row],[t1_Ph_II]],(Vout/Fsw-Table1[[#This Row],[Vin]]*t1_Ph_II)/(Table1[[#This Row],[Vin]]+Vout))</f>
        <v>1.1281489594742606E-6</v>
      </c>
      <c r="O192" s="602">
        <f>1/Fsw-(Table1[[#This Row],[t1_Ph_II]]+Table1[[#This Row],[t2_Ph_I]])</f>
        <v>0</v>
      </c>
      <c r="P19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8.836208470244614</v>
      </c>
      <c r="Q192" s="4">
        <f>CHOOSE(Table1[[#This Row],[Mode Digit]],Table1[[#This Row],[I_0]]+1/Lf*(Table1[[#This Row],[Vin]]-Vout)*Table1[[#This Row],[t1_Ph_II]],Table1[[#This Row],[I_0]]+1/Lf*Table1[[#This Row],[Vin]]*Table1[[#This Row],[t1_Ph_II]],Table1[[#This Row],[I_0]]+(Table1[[#This Row],[Vin]]-Vout)/L*Table1[[#This Row],[t1_Ph_II]])</f>
        <v>15.163791529755386</v>
      </c>
      <c r="R192" s="4">
        <f>CHOOSE(Table1[[#This Row],[Mode Digit]],0,0,Table1[[#This Row],[I_1]]+Table1[[#This Row],[Vin]]/L*Table1[[#This Row],[t2_Ph_I]])</f>
        <v>0</v>
      </c>
      <c r="S192" s="4">
        <f>Fsw*(Table1[[#This Row],[I_0]]*Table1[[#This Row],[t1_Ph_II]]+Table1[[#This Row],[I_1]]*Table1[[#This Row],[t2_Ph_I]]+Table1[[#This Row],[I_2]]*Table1[[#This Row],[t3_Ph_III]])</f>
        <v>13.119282216989035</v>
      </c>
      <c r="T192" s="354">
        <f>MIN(1,CHOOSE(Table1[[#This Row],[Mode Digit]],(Vout+(Rdson2+Rs+Rdcr)*Table1[[#This Row],[Iout]])/(Table1[[#This Row],[Vin]]+(Rs+Rdson2-Rdson1)*Table1[[#This Row],[Iout]]),1,Fsw*Table1[[#This Row],[t2_Ph_I]]+Table1[[#This Row],[t1_Ph_II]]))</f>
        <v>0.32311062431544357</v>
      </c>
      <c r="U192" s="354">
        <f>MIN(1,CHOOSE(Table1[[#This Row],[Mode Digit]],0,(Vout+(Rdson3+Rdcr)*Table1[[#This Row],[Iin]]-Table1[[#This Row],[Vin]])/(Vout+(Rdson3-Rdson4-Rs)*Table1[[#This Row],[Iin]]),Fsw*Table1[[#This Row],[t1_Ph_II]]+Table1[[#This Row],[t3_Ph_III]]))</f>
        <v>0</v>
      </c>
      <c r="V192" s="4">
        <f>MAX(Table1[[#This Row],[I_0]:[I_2]])-MIN(Table1[[#This Row],[I_0]:[I_1]])</f>
        <v>6.327583059510772</v>
      </c>
      <c r="W19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12.138225801762957</v>
      </c>
      <c r="X192" s="354">
        <f>(Table1[[#This Row],[Irms Lf]]^2*Rdcr*(1+Ltc*Ta-Ltc*25))/(1-Table1[[#This Row],[Irms Lf]]^2*Rdcr*Ltc*ThetaCa)</f>
        <v>0.91725951360151736</v>
      </c>
      <c r="Y192" s="354">
        <f>ABS(7.759*10^-3*Fsw^0.9458*(0.00787*Table1[[#This Row],[Ripple Current pk-pk]])^2.304)</f>
        <v>2.2550646910031511</v>
      </c>
      <c r="Z192" s="354">
        <f>Table1[[#This Row],[DCR    Loss]]+Table1[[#This Row],[Core Loss]]</f>
        <v>3.1723242046046685</v>
      </c>
      <c r="AA192" s="4">
        <f>IF(Table1[[#This Row],[Vin]]&gt;Vout, Table1[[#This Row],[Ripple Current pk-pk]]/SQRT(12), SQRT(Table1[[#This Row],[Duty Cycle BOOST Leg]]/(1-Table1[[#This Row],[Duty Cycle BOOST Leg]]))*SQRT(Table1[[#This Row],[Iout]]^2+(Table1[[#This Row],[Ripple Current pk-pk]]^2)/12))</f>
        <v>1.8266158913641302</v>
      </c>
      <c r="AB192" s="354">
        <f>RCoutEsr*Table1[[#This Row],[Irms Cout]]^2</f>
        <v>1.668262807291988E-2</v>
      </c>
      <c r="AC192" s="354">
        <f>Table1[[#This Row],[Cout ESR Loss]]</f>
        <v>1.668262807291988E-2</v>
      </c>
      <c r="AD192" s="354">
        <f>IF(Table1[[#This Row],[Vin]]&gt;Vout, SQRT(Table1[[#This Row],[Duty Cycle BUCK Leg]]*(1-Table1[[#This Row],[Duty Cycle BUCK Leg]]))*SQRT(Table1[[#This Row],[Iout]]^2+(Table1[[#This Row],[Ripple Current pk-pk]]^2)/12), Table1[[#This Row],[Ripple Current pk-pk]]/SQRT(12))</f>
        <v>5.676618133749173</v>
      </c>
      <c r="AE192" s="354">
        <f>RCinEsr*Table1[[#This Row],[Irms Cin]]^2</f>
        <v>6.4447986872819885E-2</v>
      </c>
      <c r="AF192" s="549">
        <f>Table1[[#This Row],[Cin ESR Loss]]</f>
        <v>6.4447986872819885E-2</v>
      </c>
      <c r="AG19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6.8997099051914184</v>
      </c>
      <c r="AH192" s="354">
        <f>Rdson1*Table1[[#This Row],[Irms BuCtrl]]^2</f>
        <v>0.19994518645834561</v>
      </c>
      <c r="AI192" s="354">
        <f>CHOOSE(Table1[[#This Row],[Mode Digit]], (Table1[[#This Row],[Vin]]*Table1[[#This Row],[Iout]]/2)*(Fsw)*(Tr_buck+Tf_buck), 0, (Table1[[#This Row],[Vin]]*Table1[[#This Row],[Avg IL]]/2)*(Fsw/1)*(Tr_buck+Tf_buck))</f>
        <v>5.4286159191755932</v>
      </c>
      <c r="AJ192">
        <f>IF(Table1[[#This Row],[Vin]]&gt;Vout, IF(Table1[[#This Row],[Iout]]&gt;Table1[[#This Row],[Ripple Current pk-pk]]/2,0,ABS(Table1[[#This Row],[Iout]]-Table1[[#This Row],[Ripple Current pk-pk]]/2)*Vsd_Q1*Deadtime*Fsw),0)</f>
        <v>0</v>
      </c>
      <c r="AK192" s="354">
        <f>(Table1[[#This Row],[Dead Time Loss BuCtrl]]+Table1[[#This Row],[Transition Loss BuCtrl]]+Table1[[#This Row],[RDS(on) Loss BuCtrl]]*(1+RdsonTopTc*Ta-RdsonTopTc*25))/(1-Table1[[#This Row],[RDS(on) Loss BuCtrl]]*RdsonTopTc*ThetaJA_Q1)</f>
        <v>5.9122724035844731</v>
      </c>
      <c r="AL192" s="354">
        <f>CHOOSE(Table1[[#This Row],[Mode Digit]],SQRT((Fsw*(Table1[[#This Row],[t2_Ph_I]]+0))*((Table1[[#This Row],[I_0]]*Table1[[#This Row],[I_1]]+((Table1[[#This Row],[I_0]]-Table1[[#This Row],[I_1]])^2)/3))),0,SQRT((Fsw*(Table1[[#This Row],[t3_Ph_III]]+0))*((Table1[[#This Row],[I_0]]*Table1[[#This Row],[I_2]]+((Table1[[#This Row],[I_0]]-Table1[[#This Row],[I_2]])^2)/3))))</f>
        <v>9.9865173528506617</v>
      </c>
      <c r="AM192" s="354">
        <f>Rdson2*Table1[[#This Row],[Irms BuSync]]^2</f>
        <v>0.41886822112290711</v>
      </c>
      <c r="AN19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92" s="354">
        <f>(Table1[[#This Row],[Deadtime Loss BuSync]]+Table1[[#This Row],[RDS(on) Loss BuSync]]*(1+RdsonBotTc*Ta-RdsonBotTc*25))/(1-Table1[[#This Row],[RDS(on) Loss BuSync]]*RdsonBotTc*ThetaJA_Q2)</f>
        <v>1.1075831853574523</v>
      </c>
      <c r="AP192" s="354">
        <f>CHOOSE(Table1[[#This Row],[Mode Digit]],0,SQRT((Fsw*(Table1[[#This Row],[t1_Ph_II]]+0))*((Table1[[#This Row],[I_0]]*Table1[[#This Row],[I_1]]+((Table1[[#This Row],[I_0]]-Table1[[#This Row],[I_1]])^2)/3))),SQRT((Fsw*(Table1[[#This Row],[t2_Ph_I]]+0))*((Table1[[#This Row],[I_1]]*Table1[[#This Row],[I_2]]+((Table1[[#This Row],[I_1]]-Table1[[#This Row],[I_2]])^2)/3))))</f>
        <v>0</v>
      </c>
      <c r="AQ192" s="354">
        <f>Rdson4*Table1[[#This Row],[Irms BoCtlr]]^2</f>
        <v>0</v>
      </c>
      <c r="AR192" s="354">
        <f>CHOOSE(Table1[[#This Row],[Mode Digit]], 0, (Vout*Table1[[#This Row],[Iin]]/2)*(Fsw)*(Tr_boost+Tf_boost), (Vout*Iout/2)*(Fsw/1)*(Tr_boost+Tf_boost))</f>
        <v>0</v>
      </c>
      <c r="AS192">
        <f>IF(Table1[[#This Row],[Vin]]&gt;Vout, 0, IF(Table1[[#This Row],[Iin]]&gt;Table1[[#This Row],[Ripple Current pk-pk]]/2,0,ABS(Table1[[#This Row],[Iin]]-Table1[[#This Row],[Ripple Current pk-pk]]/2)*Vsd_Q4*Deadtime*Fsw))</f>
        <v>0</v>
      </c>
      <c r="AT192" s="354">
        <f>(Table1[[#This Row],[Dead Time Loss BoCtlr]]+Table1[[#This Row],[Transition Loss BoCtlr]]+Table1[[#This Row],[RDS(on) Loss BoCtlr]]*(1+RdsonTopTc*Ta-RdsonTopTc*25))/(1-Table1[[#This Row],[RDS(on) Loss BoCtlr]]*RdsonTopTc*ThetaJA_Q4)</f>
        <v>0</v>
      </c>
      <c r="AU19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12.138225801762957</v>
      </c>
      <c r="AV192" s="354">
        <f>Rdson3*Table1[[#This Row],[Irms BoSync]]^2</f>
        <v>0.61881340758125269</v>
      </c>
      <c r="AW19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92" s="354">
        <f>(Table1[[#This Row],[Deadtime Loss BoSync]]+Table1[[#This Row],[RDS(on) Loss BoSync]]*(1+RdsonBotTc*Ta-RdsonBotTc*25))/(1-Table1[[#This Row],[RDS(on) Loss BoSync]]*RdsonBotTc*ThetaJA_Q3)</f>
        <v>0.72674629133897484</v>
      </c>
      <c r="AY192" s="354">
        <f>CHOOSE(Table1[[#This Row],[Mode Digit]], Rdson3*Table1[[#This Row],[Irms Lf]]^2, Rdson1*Table1[[#This Row],[Irms Lf]]^2, 0)</f>
        <v>0.61881340758125269</v>
      </c>
      <c r="AZ192" s="354">
        <f>CHOOSE(Table1[[#This Row],[Mode Digit]], 2*Deadtime*Fsw*IF(VfdSky_Q2&gt;0,VfdSky_Q2,0)*Table1[[#This Row],[Iout]], 2*Deadtime*Fsw*IF(VfdSky_Q3&gt;0,VfdSky_Q3,0)*Table1[[#This Row],[Iin]], 2*Deadtime*Fsw*IF(VfdSky_Q2&gt;0,VfdSky_Q2,0)*Table1[[#This Row],[Iout]]+2*Deadtime*Fsw*IF(VfdSky_Q3&gt;0,VfdSky_Q3,0)*Table1[[#This Row],[Iin]])</f>
        <v>0</v>
      </c>
      <c r="BA192" s="354">
        <f>CHOOSE(Table1[[#This Row],[Mode Digit]], IF(QrrSky_Q2&gt;0,QrrSky_Q2,Qrr_Q2)*Fsw*(Table1[[#This Row],[Vin]]-Table1[[#This Row],[Iout]]*Rdson1),0,  IF(QrrSky_Q2&gt;0,QrrSky_Q2,Qrr_Q2)*Fsw*(Table1[[#This Row],[Vin]]-Table1[[#This Row],[Iout]]*Rdson1)+IF(QrrSky_Q3&gt;0,QrrSky_Q3,Qrr_Q3)*Fsw*Vout)</f>
        <v>0.54683520000000008</v>
      </c>
      <c r="BB192" s="354">
        <f>CHOOSE(Table1[[#This Row],[Mode Digit]],0, IF(QrrSky_Q3&gt;0,QrrSky_Q3,Qrr_Q3)*Fsw*Vout,  IF(QrrSky_Q2&gt;0,QrrSky_Q2,Qrr_Q2)*Fsw*(Table1[[#This Row],[Vin]]-Table1[[#This Row],[Iout]]*Rdson1)+IF(QrrSky_Q3&gt;0,QrrSky_Q3,Qrr_Q3)*Fsw*Vout)</f>
        <v>0</v>
      </c>
      <c r="BC192" s="354">
        <f>CHOOSE(Table1[[#This Row],[Mode Digit]], Rs*Table1[[#This Row],[Irms BuSync]]^2, Rs*Table1[[#This Row],[Irms BoCtlr]]^2, Rs*(Table1[[#This Row],[Irms BuSync]]^2+Table1[[#This Row],[Irms BoCtlr]]^2))</f>
        <v>0.24932632209696848</v>
      </c>
      <c r="BD192" s="354">
        <f t="shared" si="8"/>
        <v>1.44</v>
      </c>
      <c r="BE192" s="354">
        <f>IF(Vout&gt;8, Iq*Vout, Iq*Table1[[#This Row],[Vin]])</f>
        <v>4.3799999999999999E-2</v>
      </c>
      <c r="BF192" s="354">
        <f>CHOOSE(Table1[[#This Row],[Mode Digit]], (Qg_Q1+Qg_Q2)*Fsw, (Qg_Q3+Qg_Q4)*Fsw, (Qg_Q1+Qg_Q2+Qg_Q3+Qg_Q4)*Fsw)*IF(Vout&gt;8, Vout, Table1[[#This Row],[Vin]])</f>
        <v>0.47303999999999996</v>
      </c>
      <c r="BG192" s="354">
        <f t="shared" si="9"/>
        <v>0.45605042016806729</v>
      </c>
      <c r="BH192" s="354">
        <f>Table1[[#This Row],[IQ Loss]]+Table1[[#This Row],[Switching Current Loss]]</f>
        <v>0.51683999999999997</v>
      </c>
      <c r="BI19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13.753058221928276</v>
      </c>
      <c r="BJ192">
        <f>Vout*Table1[[#This Row],[Iout]]</f>
        <v>175.2</v>
      </c>
      <c r="BK192" s="550">
        <f>Table1[[#This Row],[Pout]]/(Table1[[#This Row],[Pout]]+Table1[[#This Row],[Total Loss]])</f>
        <v>0.9272144184839014</v>
      </c>
      <c r="BL19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354.73634421506841</v>
      </c>
      <c r="BM192" s="559">
        <f>IF(Table1[[#This Row],[Vin]]&gt;Vout, Table1[[#This Row],[Total Sync Bu MOSFET Loss]]*ThetaJA_Q2, ThetaJA_Q3*Table1[[#This Row],[Total Sync Bo MOSFET Loss]])</f>
        <v>66.454991121447136</v>
      </c>
      <c r="BN192" s="9"/>
      <c r="BO192" s="4">
        <f>Table1[[#This Row],[EFF, h]]*100</f>
        <v>92.721441848390143</v>
      </c>
      <c r="BP192" s="354">
        <f>Table1[[#This Row],[Total Inductor Loss]]</f>
        <v>3.1723242046046685</v>
      </c>
      <c r="BQ192" s="354">
        <f>Table1[[#This Row],[Total Control Bu MOSFET Loss]]+Table1[[#This Row],[Total Sync Bu MOSFET Loss]]+Table1[[#This Row],[Total Control Bo MOSFET Loss]]+Table1[[#This Row],[Total Sync Bo MOSFET Loss]]+Table1[[#This Row],[Reverse Recovery Loss MOSFET D BUCK]]+Table1[[#This Row],[Reverse Recovery Loss MOSFET D BOOST]]</f>
        <v>8.2934370802808992</v>
      </c>
      <c r="BR192" s="354">
        <f>Table1[[#This Row],[Total Control Bu MOSFET Loss]]+Table1[[#This Row],[Reverse Recovery Loss MOSFET D BUCK]]*0.66</f>
        <v>6.2731836355844734</v>
      </c>
      <c r="BS192" s="354">
        <f>Table1[[#This Row],[Total Sync Bu MOSFET Loss]]+Table1[[#This Row],[Reverse Recovery Loss MOSFET D BUCK]]*0.33</f>
        <v>1.2880388013574522</v>
      </c>
      <c r="BT192" s="354">
        <f xml:space="preserve"> Table1[[#This Row],[Total Control Bo MOSFET Loss]]+Table1[[#This Row],[Reverse Recovery Loss MOSFET D BOOST]]*0.66</f>
        <v>0</v>
      </c>
      <c r="BU192" s="354">
        <f xml:space="preserve"> Table1[[#This Row],[Total Sync Bo MOSFET Loss]]+Table1[[#This Row],[Reverse Recovery Loss MOSFET D BOOST]]*0.33</f>
        <v>0.72674629133897484</v>
      </c>
      <c r="BV192" s="354">
        <f>Table1[[#This Row],[Isense Shunt Loss]]</f>
        <v>0.24932632209696848</v>
      </c>
    </row>
    <row r="193" spans="7:74" x14ac:dyDescent="0.2">
      <c r="G193">
        <v>184</v>
      </c>
      <c r="H193" s="555">
        <f>VIN_min+(VIN_max-VIN_min)*(Table1[[#This Row],[Step]]/200)</f>
        <v>45.760000000000005</v>
      </c>
      <c r="I193" s="4" t="str">
        <f>IF(Mode = 2,IF(Table1[[#This Row],[Vin]]&gt;Vout, "BUCK","BOOST"),IF(Table1[[#This Row],[Vin]]&gt;VIN_BB_to_buck, "BUCK", IF(Table1[[#This Row],[Vin]]&lt;=VIN_boost_to_BB,"BOOST","BUCK-BST")))</f>
        <v>BUCK</v>
      </c>
      <c r="J193">
        <f>IF(Table1[[#This Row],[Mode]]="BOOST",2, IF(Table1[[#This Row],[Mode]]="BUCK", 1,3))</f>
        <v>1</v>
      </c>
      <c r="K193">
        <f t="shared" si="7"/>
        <v>12</v>
      </c>
      <c r="L193" s="4">
        <f>Vout*Table1[[#This Row],[Iout]]/(Table1[[#This Row],[Vin]]*Efficiency)</f>
        <v>4.0301803459698196</v>
      </c>
      <c r="M193" s="711">
        <f>MIN(1/Fsw,CHOOSE(Table1[[#This Row],[Mode Digit]],(Vout+(Rdson2+Rs+Rdcr)*Table1[[#This Row],[Iout]])/(Table1[[#This Row],[Vin]]+(Rs+Rdson2-Rdson1)*Table1[[#This Row],[Iout]])/Fsw,(Vout+(Rdson3+Rdcr)*Table1[[#This Row],[Iin]]-Table1[[#This Row],[Vin]])/(Vout+(Rdson3-Rdson4-Rs)*Table1[[#This Row],[Iin]])/Fsw,t1_Ph_II))</f>
        <v>5.3687122370240949E-7</v>
      </c>
      <c r="N193" s="602">
        <f>CHOOSE(Table1[[#This Row],[Mode Digit]],1/Fsw-Table1[[#This Row],[t1_Ph_II]],1/Fsw-Table1[[#This Row],[t1_Ph_II]],(Vout/Fsw-Table1[[#This Row],[Vin]]*t1_Ph_II)/(Table1[[#This Row],[Vin]]+Vout))</f>
        <v>1.1297954429642572E-6</v>
      </c>
      <c r="O193" s="602">
        <f>1/Fsw-(Table1[[#This Row],[t1_Ph_II]]+Table1[[#This Row],[t2_Ph_I]])</f>
        <v>0</v>
      </c>
      <c r="P19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8.8316463389077491</v>
      </c>
      <c r="Q193" s="4">
        <f>CHOOSE(Table1[[#This Row],[Mode Digit]],Table1[[#This Row],[I_0]]+1/Lf*(Table1[[#This Row],[Vin]]-Vout)*Table1[[#This Row],[t1_Ph_II]],Table1[[#This Row],[I_0]]+1/Lf*Table1[[#This Row],[Vin]]*Table1[[#This Row],[t1_Ph_II]],Table1[[#This Row],[I_0]]+(Table1[[#This Row],[Vin]]-Vout)/L*Table1[[#This Row],[t1_Ph_II]])</f>
        <v>15.168353661092251</v>
      </c>
      <c r="R193" s="4">
        <f>CHOOSE(Table1[[#This Row],[Mode Digit]],0,0,Table1[[#This Row],[I_1]]+Table1[[#This Row],[Vin]]/L*Table1[[#This Row],[t2_Ph_I]])</f>
        <v>0</v>
      </c>
      <c r="S193" s="4">
        <f>Fsw*(Table1[[#This Row],[I_0]]*Table1[[#This Row],[t1_Ph_II]]+Table1[[#This Row],[I_1]]*Table1[[#This Row],[t2_Ph_I]]+Table1[[#This Row],[I_2]]*Table1[[#This Row],[t3_Ph_III]])</f>
        <v>13.127156172509123</v>
      </c>
      <c r="T193" s="354">
        <f>MIN(1,CHOOSE(Table1[[#This Row],[Mode Digit]],(Vout+(Rdson2+Rs+Rdcr)*Table1[[#This Row],[Iout]])/(Table1[[#This Row],[Vin]]+(Rs+Rdson2-Rdson1)*Table1[[#This Row],[Iout]]),1,Fsw*Table1[[#This Row],[t2_Ph_I]]+Table1[[#This Row],[t1_Ph_II]]))</f>
        <v>0.32212273422144566</v>
      </c>
      <c r="U193" s="354">
        <f>MIN(1,CHOOSE(Table1[[#This Row],[Mode Digit]],0,(Vout+(Rdson3+Rdcr)*Table1[[#This Row],[Iin]]-Table1[[#This Row],[Vin]])/(Vout+(Rdson3-Rdson4-Rs)*Table1[[#This Row],[Iin]]),Fsw*Table1[[#This Row],[t1_Ph_II]]+Table1[[#This Row],[t3_Ph_III]]))</f>
        <v>0</v>
      </c>
      <c r="V193" s="4">
        <f>MAX(Table1[[#This Row],[I_0]:[I_2]])-MIN(Table1[[#This Row],[I_0]:[I_1]])</f>
        <v>6.3367073221845018</v>
      </c>
      <c r="W19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12.138622449599415</v>
      </c>
      <c r="X193" s="354">
        <f>(Table1[[#This Row],[Irms Lf]]^2*Rdcr*(1+Ltc*Ta-Ltc*25))/(1-Table1[[#This Row],[Irms Lf]]^2*Rdcr*Ltc*ThetaCa)</f>
        <v>0.91732386160602186</v>
      </c>
      <c r="Y193" s="354">
        <f>ABS(7.759*10^-3*Fsw^0.9458*(0.00787*Table1[[#This Row],[Ripple Current pk-pk]])^2.304)</f>
        <v>2.2625637985850808</v>
      </c>
      <c r="Z193" s="354">
        <f>Table1[[#This Row],[DCR    Loss]]+Table1[[#This Row],[Core Loss]]</f>
        <v>3.1798876601911026</v>
      </c>
      <c r="AA193" s="4">
        <f>IF(Table1[[#This Row],[Vin]]&gt;Vout, Table1[[#This Row],[Ripple Current pk-pk]]/SQRT(12), SQRT(Table1[[#This Row],[Duty Cycle BOOST Leg]]/(1-Table1[[#This Row],[Duty Cycle BOOST Leg]]))*SQRT(Table1[[#This Row],[Iout]]^2+(Table1[[#This Row],[Ripple Current pk-pk]]^2)/12))</f>
        <v>1.8292498391195475</v>
      </c>
      <c r="AB193" s="354">
        <f>RCoutEsr*Table1[[#This Row],[Irms Cout]]^2</f>
        <v>1.6730774869594452E-2</v>
      </c>
      <c r="AC193" s="354">
        <f>Table1[[#This Row],[Cout ESR Loss]]</f>
        <v>1.6730774869594452E-2</v>
      </c>
      <c r="AD193" s="354">
        <f>IF(Table1[[#This Row],[Vin]]&gt;Vout, SQRT(Table1[[#This Row],[Duty Cycle BUCK Leg]]*(1-Table1[[#This Row],[Duty Cycle BUCK Leg]]))*SQRT(Table1[[#This Row],[Iout]]^2+(Table1[[#This Row],[Ripple Current pk-pk]]^2)/12), Table1[[#This Row],[Ripple Current pk-pk]]/SQRT(12))</f>
        <v>5.6722534324259426</v>
      </c>
      <c r="AE193" s="354">
        <f>RCinEsr*Table1[[#This Row],[Irms Cin]]^2</f>
        <v>6.4348918003335767E-2</v>
      </c>
      <c r="AF193" s="549">
        <f>Table1[[#This Row],[Cin ESR Loss]]</f>
        <v>6.4348918003335767E-2</v>
      </c>
      <c r="AG19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6.8893792403391201</v>
      </c>
      <c r="AH193" s="354">
        <f>Rdson1*Table1[[#This Row],[Irms BuCtrl]]^2</f>
        <v>0.19934689453230567</v>
      </c>
      <c r="AI193" s="354">
        <f>CHOOSE(Table1[[#This Row],[Mode Digit]], (Table1[[#This Row],[Vin]]*Table1[[#This Row],[Iout]]/2)*(Fsw)*(Tr_buck+Tf_buck), 0, (Table1[[#This Row],[Vin]]*Table1[[#This Row],[Avg IL]]/2)*(Fsw/1)*(Tr_buck+Tf_buck))</f>
        <v>5.4452754156395251</v>
      </c>
      <c r="AJ193">
        <f>IF(Table1[[#This Row],[Vin]]&gt;Vout, IF(Table1[[#This Row],[Iout]]&gt;Table1[[#This Row],[Ripple Current pk-pk]]/2,0,ABS(Table1[[#This Row],[Iout]]-Table1[[#This Row],[Ripple Current pk-pk]]/2)*Vsd_Q1*Deadtime*Fsw),0)</f>
        <v>0</v>
      </c>
      <c r="AK193" s="354">
        <f>(Table1[[#This Row],[Dead Time Loss BuCtrl]]+Table1[[#This Row],[Transition Loss BuCtrl]]+Table1[[#This Row],[RDS(on) Loss BuCtrl]]*(1+RdsonTopTc*Ta-RdsonTopTc*25))/(1-Table1[[#This Row],[RDS(on) Loss BuCtrl]]*RdsonTopTc*ThetaJA_Q1)</f>
        <v>5.9282490387869435</v>
      </c>
      <c r="AL193" s="354">
        <f>CHOOSE(Table1[[#This Row],[Mode Digit]],SQRT((Fsw*(Table1[[#This Row],[t2_Ph_I]]+0))*((Table1[[#This Row],[I_0]]*Table1[[#This Row],[I_1]]+((Table1[[#This Row],[I_0]]-Table1[[#This Row],[I_1]])^2)/3))),0,SQRT((Fsw*(Table1[[#This Row],[t3_Ph_III]]+0))*((Table1[[#This Row],[I_0]]*Table1[[#This Row],[I_2]]+((Table1[[#This Row],[I_0]]-Table1[[#This Row],[I_2]])^2)/3))))</f>
        <v>9.9941287092324007</v>
      </c>
      <c r="AM193" s="354">
        <f>Rdson2*Table1[[#This Row],[Irms BuSync]]^2</f>
        <v>0.41950695635815394</v>
      </c>
      <c r="AN19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93" s="354">
        <f>(Table1[[#This Row],[Deadtime Loss BuSync]]+Table1[[#This Row],[RDS(on) Loss BuSync]]*(1+RdsonBotTc*Ta-RdsonBotTc*25))/(1-Table1[[#This Row],[RDS(on) Loss BuSync]]*RdsonBotTc*ThetaJA_Q2)</f>
        <v>1.1084822260924161</v>
      </c>
      <c r="AP193" s="354">
        <f>CHOOSE(Table1[[#This Row],[Mode Digit]],0,SQRT((Fsw*(Table1[[#This Row],[t1_Ph_II]]+0))*((Table1[[#This Row],[I_0]]*Table1[[#This Row],[I_1]]+((Table1[[#This Row],[I_0]]-Table1[[#This Row],[I_1]])^2)/3))),SQRT((Fsw*(Table1[[#This Row],[t2_Ph_I]]+0))*((Table1[[#This Row],[I_1]]*Table1[[#This Row],[I_2]]+((Table1[[#This Row],[I_1]]-Table1[[#This Row],[I_2]])^2)/3))))</f>
        <v>0</v>
      </c>
      <c r="AQ193" s="354">
        <f>Rdson4*Table1[[#This Row],[Irms BoCtlr]]^2</f>
        <v>0</v>
      </c>
      <c r="AR193" s="354">
        <f>CHOOSE(Table1[[#This Row],[Mode Digit]], 0, (Vout*Table1[[#This Row],[Iin]]/2)*(Fsw)*(Tr_boost+Tf_boost), (Vout*Iout/2)*(Fsw/1)*(Tr_boost+Tf_boost))</f>
        <v>0</v>
      </c>
      <c r="AS193">
        <f>IF(Table1[[#This Row],[Vin]]&gt;Vout, 0, IF(Table1[[#This Row],[Iin]]&gt;Table1[[#This Row],[Ripple Current pk-pk]]/2,0,ABS(Table1[[#This Row],[Iin]]-Table1[[#This Row],[Ripple Current pk-pk]]/2)*Vsd_Q4*Deadtime*Fsw))</f>
        <v>0</v>
      </c>
      <c r="AT193" s="354">
        <f>(Table1[[#This Row],[Dead Time Loss BoCtlr]]+Table1[[#This Row],[Transition Loss BoCtlr]]+Table1[[#This Row],[RDS(on) Loss BoCtlr]]*(1+RdsonTopTc*Ta-RdsonTopTc*25))/(1-Table1[[#This Row],[RDS(on) Loss BoCtlr]]*RdsonTopTc*ThetaJA_Q4)</f>
        <v>0</v>
      </c>
      <c r="AU19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12.138622449599415</v>
      </c>
      <c r="AV193" s="354">
        <f>Rdson3*Table1[[#This Row],[Irms BoSync]]^2</f>
        <v>0.61885385089045952</v>
      </c>
      <c r="AW19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93" s="354">
        <f>(Table1[[#This Row],[Deadtime Loss BoSync]]+Table1[[#This Row],[RDS(on) Loss BoSync]]*(1+RdsonBotTc*Ta-RdsonBotTc*25))/(1-Table1[[#This Row],[RDS(on) Loss BoSync]]*RdsonBotTc*ThetaJA_Q3)</f>
        <v>0.72680207382345574</v>
      </c>
      <c r="AY193" s="354">
        <f>CHOOSE(Table1[[#This Row],[Mode Digit]], Rdson3*Table1[[#This Row],[Irms Lf]]^2, Rdson1*Table1[[#This Row],[Irms Lf]]^2, 0)</f>
        <v>0.61885385089045952</v>
      </c>
      <c r="AZ193" s="354">
        <f>CHOOSE(Table1[[#This Row],[Mode Digit]], 2*Deadtime*Fsw*IF(VfdSky_Q2&gt;0,VfdSky_Q2,0)*Table1[[#This Row],[Iout]], 2*Deadtime*Fsw*IF(VfdSky_Q3&gt;0,VfdSky_Q3,0)*Table1[[#This Row],[Iin]], 2*Deadtime*Fsw*IF(VfdSky_Q2&gt;0,VfdSky_Q2,0)*Table1[[#This Row],[Iout]]+2*Deadtime*Fsw*IF(VfdSky_Q3&gt;0,VfdSky_Q3,0)*Table1[[#This Row],[Iin]])</f>
        <v>0</v>
      </c>
      <c r="BA193" s="354">
        <f>CHOOSE(Table1[[#This Row],[Mode Digit]], IF(QrrSky_Q2&gt;0,QrrSky_Q2,Qrr_Q2)*Fsw*(Table1[[#This Row],[Vin]]-Table1[[#This Row],[Iout]]*Rdson1),0,  IF(QrrSky_Q2&gt;0,QrrSky_Q2,Qrr_Q2)*Fsw*(Table1[[#This Row],[Vin]]-Table1[[#This Row],[Iout]]*Rdson1)+IF(QrrSky_Q3&gt;0,QrrSky_Q3,Qrr_Q3)*Fsw*Vout)</f>
        <v>0.54851519999999998</v>
      </c>
      <c r="BB193" s="354">
        <f>CHOOSE(Table1[[#This Row],[Mode Digit]],0, IF(QrrSky_Q3&gt;0,QrrSky_Q3,Qrr_Q3)*Fsw*Vout,  IF(QrrSky_Q2&gt;0,QrrSky_Q2,Qrr_Q2)*Fsw*(Table1[[#This Row],[Vin]]-Table1[[#This Row],[Iout]]*Rdson1)+IF(QrrSky_Q3&gt;0,QrrSky_Q3,Qrr_Q3)*Fsw*Vout)</f>
        <v>0</v>
      </c>
      <c r="BC193" s="354">
        <f>CHOOSE(Table1[[#This Row],[Mode Digit]], Rs*Table1[[#This Row],[Irms BuSync]]^2, Rs*Table1[[#This Row],[Irms BoCtlr]]^2, Rs*(Table1[[#This Row],[Irms BuSync]]^2+Table1[[#This Row],[Irms BoCtlr]]^2))</f>
        <v>0.24970652164175824</v>
      </c>
      <c r="BD193" s="354">
        <f t="shared" si="8"/>
        <v>1.44</v>
      </c>
      <c r="BE193" s="354">
        <f>IF(Vout&gt;8, Iq*Vout, Iq*Table1[[#This Row],[Vin]])</f>
        <v>4.3799999999999999E-2</v>
      </c>
      <c r="BF193" s="354">
        <f>CHOOSE(Table1[[#This Row],[Mode Digit]], (Qg_Q1+Qg_Q2)*Fsw, (Qg_Q3+Qg_Q4)*Fsw, (Qg_Q1+Qg_Q2+Qg_Q3+Qg_Q4)*Fsw)*IF(Vout&gt;8, Vout, Table1[[#This Row],[Vin]])</f>
        <v>0.47303999999999996</v>
      </c>
      <c r="BG193" s="354">
        <f t="shared" si="9"/>
        <v>0.45605042016806729</v>
      </c>
      <c r="BH193" s="354">
        <f>Table1[[#This Row],[IQ Loss]]+Table1[[#This Row],[Switching Current Loss]]</f>
        <v>0.51683999999999997</v>
      </c>
      <c r="BI19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13.779562413408607</v>
      </c>
      <c r="BJ193">
        <f>Vout*Table1[[#This Row],[Iout]]</f>
        <v>175.2</v>
      </c>
      <c r="BK193" s="550">
        <f>Table1[[#This Row],[Pout]]/(Table1[[#This Row],[Pout]]+Table1[[#This Row],[Total Loss]])</f>
        <v>0.92708437760446993</v>
      </c>
      <c r="BL19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355.69494232721661</v>
      </c>
      <c r="BM193" s="559">
        <f>IF(Table1[[#This Row],[Vin]]&gt;Vout, Table1[[#This Row],[Total Sync Bu MOSFET Loss]]*ThetaJA_Q2, ThetaJA_Q3*Table1[[#This Row],[Total Sync Bo MOSFET Loss]])</f>
        <v>66.508933565544964</v>
      </c>
      <c r="BN193" s="9"/>
      <c r="BO193" s="4">
        <f>Table1[[#This Row],[EFF, h]]*100</f>
        <v>92.708437760446998</v>
      </c>
      <c r="BP193" s="354">
        <f>Table1[[#This Row],[Total Inductor Loss]]</f>
        <v>3.1798876601911026</v>
      </c>
      <c r="BQ193" s="354">
        <f>Table1[[#This Row],[Total Control Bu MOSFET Loss]]+Table1[[#This Row],[Total Sync Bu MOSFET Loss]]+Table1[[#This Row],[Total Control Bo MOSFET Loss]]+Table1[[#This Row],[Total Sync Bo MOSFET Loss]]+Table1[[#This Row],[Reverse Recovery Loss MOSFET D BUCK]]+Table1[[#This Row],[Reverse Recovery Loss MOSFET D BOOST]]</f>
        <v>8.3120485387028165</v>
      </c>
      <c r="BR193" s="354">
        <f>Table1[[#This Row],[Total Control Bu MOSFET Loss]]+Table1[[#This Row],[Reverse Recovery Loss MOSFET D BUCK]]*0.66</f>
        <v>6.2902690707869438</v>
      </c>
      <c r="BS193" s="354">
        <f>Table1[[#This Row],[Total Sync Bu MOSFET Loss]]+Table1[[#This Row],[Reverse Recovery Loss MOSFET D BUCK]]*0.33</f>
        <v>1.289492242092416</v>
      </c>
      <c r="BT193" s="354">
        <f xml:space="preserve"> Table1[[#This Row],[Total Control Bo MOSFET Loss]]+Table1[[#This Row],[Reverse Recovery Loss MOSFET D BOOST]]*0.66</f>
        <v>0</v>
      </c>
      <c r="BU193" s="354">
        <f xml:space="preserve"> Table1[[#This Row],[Total Sync Bo MOSFET Loss]]+Table1[[#This Row],[Reverse Recovery Loss MOSFET D BOOST]]*0.33</f>
        <v>0.72680207382345574</v>
      </c>
      <c r="BV193" s="354">
        <f>Table1[[#This Row],[Isense Shunt Loss]]</f>
        <v>0.24970652164175824</v>
      </c>
    </row>
    <row r="194" spans="7:74" x14ac:dyDescent="0.2">
      <c r="G194">
        <v>185</v>
      </c>
      <c r="H194" s="555">
        <f>VIN_min+(VIN_max-VIN_min)*(Table1[[#This Row],[Step]]/200)</f>
        <v>45.900000000000006</v>
      </c>
      <c r="I194" s="4" t="str">
        <f>IF(Mode = 2,IF(Table1[[#This Row],[Vin]]&gt;Vout, "BUCK","BOOST"),IF(Table1[[#This Row],[Vin]]&gt;VIN_BB_to_buck, "BUCK", IF(Table1[[#This Row],[Vin]]&lt;=VIN_boost_to_BB,"BOOST","BUCK-BST")))</f>
        <v>BUCK</v>
      </c>
      <c r="J194">
        <f>IF(Table1[[#This Row],[Mode]]="BOOST",2, IF(Table1[[#This Row],[Mode]]="BUCK", 1,3))</f>
        <v>1</v>
      </c>
      <c r="K194">
        <f t="shared" si="7"/>
        <v>12</v>
      </c>
      <c r="L194" s="4">
        <f>Vout*Table1[[#This Row],[Iout]]/(Table1[[#This Row],[Vin]]*Efficiency)</f>
        <v>4.0178878568971443</v>
      </c>
      <c r="M194" s="711">
        <f>MIN(1/Fsw,CHOOSE(Table1[[#This Row],[Mode Digit]],(Vout+(Rdson2+Rs+Rdcr)*Table1[[#This Row],[Iout]])/(Table1[[#This Row],[Vin]]+(Rs+Rdson2-Rdson1)*Table1[[#This Row],[Iout]])/Fsw,(Vout+(Rdson3+Rdcr)*Table1[[#This Row],[Iin]]-Table1[[#This Row],[Vin]])/(Vout+(Rdson3-Rdson4-Rs)*Table1[[#This Row],[Iin]])/Fsw,t1_Ph_II))</f>
        <v>5.3523477756005503E-7</v>
      </c>
      <c r="N194" s="602">
        <f>CHOOSE(Table1[[#This Row],[Mode Digit]],1/Fsw-Table1[[#This Row],[t1_Ph_II]],1/Fsw-Table1[[#This Row],[t1_Ph_II]],(Vout/Fsw-Table1[[#This Row],[Vin]]*t1_Ph_II)/(Table1[[#This Row],[Vin]]+Vout))</f>
        <v>1.1314318891066116E-6</v>
      </c>
      <c r="O194" s="602">
        <f>1/Fsw-(Table1[[#This Row],[t1_Ph_II]]+Table1[[#This Row],[t2_Ph_I]])</f>
        <v>0</v>
      </c>
      <c r="P19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8.8271120193883092</v>
      </c>
      <c r="Q194" s="4">
        <f>CHOOSE(Table1[[#This Row],[Mode Digit]],Table1[[#This Row],[I_0]]+1/Lf*(Table1[[#This Row],[Vin]]-Vout)*Table1[[#This Row],[t1_Ph_II]],Table1[[#This Row],[I_0]]+1/Lf*Table1[[#This Row],[Vin]]*Table1[[#This Row],[t1_Ph_II]],Table1[[#This Row],[I_0]]+(Table1[[#This Row],[Vin]]-Vout)/L*Table1[[#This Row],[t1_Ph_II]])</f>
        <v>15.172887980611691</v>
      </c>
      <c r="R194" s="4">
        <f>CHOOSE(Table1[[#This Row],[Mode Digit]],0,0,Table1[[#This Row],[I_1]]+Table1[[#This Row],[Vin]]/L*Table1[[#This Row],[t2_Ph_I]])</f>
        <v>0</v>
      </c>
      <c r="S194" s="4">
        <f>Fsw*(Table1[[#This Row],[I_0]]*Table1[[#This Row],[t1_Ph_II]]+Table1[[#This Row],[I_1]]*Table1[[#This Row],[t2_Ph_I]]+Table1[[#This Row],[I_2]]*Table1[[#This Row],[t3_Ph_III]])</f>
        <v>13.134999989580887</v>
      </c>
      <c r="T194" s="354">
        <f>MIN(1,CHOOSE(Table1[[#This Row],[Mode Digit]],(Vout+(Rdson2+Rs+Rdcr)*Table1[[#This Row],[Iout]])/(Table1[[#This Row],[Vin]]+(Rs+Rdson2-Rdson1)*Table1[[#This Row],[Iout]]),1,Fsw*Table1[[#This Row],[t2_Ph_I]]+Table1[[#This Row],[t1_Ph_II]]))</f>
        <v>0.32114086653603302</v>
      </c>
      <c r="U194" s="354">
        <f>MIN(1,CHOOSE(Table1[[#This Row],[Mode Digit]],0,(Vout+(Rdson3+Rdcr)*Table1[[#This Row],[Iin]]-Table1[[#This Row],[Vin]])/(Vout+(Rdson3-Rdson4-Rs)*Table1[[#This Row],[Iin]]),Fsw*Table1[[#This Row],[t1_Ph_II]]+Table1[[#This Row],[t3_Ph_III]]))</f>
        <v>0</v>
      </c>
      <c r="V194" s="4">
        <f>MAX(Table1[[#This Row],[I_0]:[I_2]])-MIN(Table1[[#This Row],[I_0]:[I_1]])</f>
        <v>6.3457759612233815</v>
      </c>
      <c r="W19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12.139017232839322</v>
      </c>
      <c r="X194" s="354">
        <f>(Table1[[#This Row],[Irms Lf]]^2*Rdcr*(1+Ltc*Ta-Ltc*25))/(1-Table1[[#This Row],[Irms Lf]]^2*Rdcr*Ltc*ThetaCa)</f>
        <v>0.91738790981864693</v>
      </c>
      <c r="Y194" s="354">
        <f>ABS(7.759*10^-3*Fsw^0.9458*(0.00787*Table1[[#This Row],[Ripple Current pk-pk]])^2.304)</f>
        <v>2.2700311550612415</v>
      </c>
      <c r="Z194" s="354">
        <f>Table1[[#This Row],[DCR    Loss]]+Table1[[#This Row],[Core Loss]]</f>
        <v>3.1874190648798884</v>
      </c>
      <c r="AA194" s="4">
        <f>IF(Table1[[#This Row],[Vin]]&gt;Vout, Table1[[#This Row],[Ripple Current pk-pk]]/SQRT(12), SQRT(Table1[[#This Row],[Duty Cycle BOOST Leg]]/(1-Table1[[#This Row],[Duty Cycle BOOST Leg]]))*SQRT(Table1[[#This Row],[Iout]]^2+(Table1[[#This Row],[Ripple Current pk-pk]]^2)/12))</f>
        <v>1.8318677297146879</v>
      </c>
      <c r="AB194" s="354">
        <f>RCoutEsr*Table1[[#This Row],[Irms Cout]]^2</f>
        <v>1.6778696895850227E-2</v>
      </c>
      <c r="AC194" s="354">
        <f>Table1[[#This Row],[Cout ESR Loss]]</f>
        <v>1.6778696895850227E-2</v>
      </c>
      <c r="AD194" s="354">
        <f>IF(Table1[[#This Row],[Vin]]&gt;Vout, SQRT(Table1[[#This Row],[Duty Cycle BUCK Leg]]*(1-Table1[[#This Row],[Duty Cycle BUCK Leg]]))*SQRT(Table1[[#This Row],[Iout]]^2+(Table1[[#This Row],[Ripple Current pk-pk]]^2)/12), Table1[[#This Row],[Ripple Current pk-pk]]/SQRT(12))</f>
        <v>5.667886542411452</v>
      </c>
      <c r="AE194" s="354">
        <f>RCinEsr*Table1[[#This Row],[Irms Cin]]^2</f>
        <v>6.4249875715297694E-2</v>
      </c>
      <c r="AF194" s="549">
        <f>Table1[[#This Row],[Cin ESR Loss]]</f>
        <v>6.4249875715297694E-2</v>
      </c>
      <c r="AG19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6.8790951318675999</v>
      </c>
      <c r="AH194" s="354">
        <f>Rdson1*Table1[[#This Row],[Irms BuCtrl]]^2</f>
        <v>0.19875218929979499</v>
      </c>
      <c r="AI194" s="354">
        <f>CHOOSE(Table1[[#This Row],[Mode Digit]], (Table1[[#This Row],[Vin]]*Table1[[#This Row],[Iout]]/2)*(Fsw)*(Tr_buck+Tf_buck), 0, (Table1[[#This Row],[Vin]]*Table1[[#This Row],[Avg IL]]/2)*(Fsw/1)*(Tr_buck+Tf_buck))</f>
        <v>5.4619349121034571</v>
      </c>
      <c r="AJ194">
        <f>IF(Table1[[#This Row],[Vin]]&gt;Vout, IF(Table1[[#This Row],[Iout]]&gt;Table1[[#This Row],[Ripple Current pk-pk]]/2,0,ABS(Table1[[#This Row],[Iout]]-Table1[[#This Row],[Ripple Current pk-pk]]/2)*Vsd_Q1*Deadtime*Fsw),0)</f>
        <v>0</v>
      </c>
      <c r="AK194" s="354">
        <f>(Table1[[#This Row],[Dead Time Loss BuCtrl]]+Table1[[#This Row],[Transition Loss BuCtrl]]+Table1[[#This Row],[RDS(on) Loss BuCtrl]]*(1+RdsonTopTc*Ta-RdsonTopTc*25))/(1-Table1[[#This Row],[RDS(on) Loss BuCtrl]]*RdsonTopTc*ThetaJA_Q1)</f>
        <v>5.9442299954758111</v>
      </c>
      <c r="AL194" s="354">
        <f>CHOOSE(Table1[[#This Row],[Mode Digit]],SQRT((Fsw*(Table1[[#This Row],[t2_Ph_I]]+0))*((Table1[[#This Row],[I_0]]*Table1[[#This Row],[I_1]]+((Table1[[#This Row],[I_0]]-Table1[[#This Row],[I_1]])^2)/3))),0,SQRT((Fsw*(Table1[[#This Row],[t3_Ph_III]]+0))*((Table1[[#This Row],[I_0]]*Table1[[#This Row],[I_2]]+((Table1[[#This Row],[I_0]]-Table1[[#This Row],[I_2]])^2)/3))))</f>
        <v>10.001689334601707</v>
      </c>
      <c r="AM194" s="354">
        <f>Rdson2*Table1[[#This Row],[Irms BuSync]]^2</f>
        <v>0.42014191609271934</v>
      </c>
      <c r="AN19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94" s="354">
        <f>(Table1[[#This Row],[Deadtime Loss BuSync]]+Table1[[#This Row],[RDS(on) Loss BuSync]]*(1+RdsonBotTc*Ta-RdsonBotTc*25))/(1-Table1[[#This Row],[RDS(on) Loss BuSync]]*RdsonBotTc*ThetaJA_Q2)</f>
        <v>1.1093762565242786</v>
      </c>
      <c r="AP194" s="354">
        <f>CHOOSE(Table1[[#This Row],[Mode Digit]],0,SQRT((Fsw*(Table1[[#This Row],[t1_Ph_II]]+0))*((Table1[[#This Row],[I_0]]*Table1[[#This Row],[I_1]]+((Table1[[#This Row],[I_0]]-Table1[[#This Row],[I_1]])^2)/3))),SQRT((Fsw*(Table1[[#This Row],[t2_Ph_I]]+0))*((Table1[[#This Row],[I_1]]*Table1[[#This Row],[I_2]]+((Table1[[#This Row],[I_1]]-Table1[[#This Row],[I_2]])^2)/3))))</f>
        <v>0</v>
      </c>
      <c r="AQ194" s="354">
        <f>Rdson4*Table1[[#This Row],[Irms BoCtlr]]^2</f>
        <v>0</v>
      </c>
      <c r="AR194" s="354">
        <f>CHOOSE(Table1[[#This Row],[Mode Digit]], 0, (Vout*Table1[[#This Row],[Iin]]/2)*(Fsw)*(Tr_boost+Tf_boost), (Vout*Iout/2)*(Fsw/1)*(Tr_boost+Tf_boost))</f>
        <v>0</v>
      </c>
      <c r="AS194">
        <f>IF(Table1[[#This Row],[Vin]]&gt;Vout, 0, IF(Table1[[#This Row],[Iin]]&gt;Table1[[#This Row],[Ripple Current pk-pk]]/2,0,ABS(Table1[[#This Row],[Iin]]-Table1[[#This Row],[Ripple Current pk-pk]]/2)*Vsd_Q4*Deadtime*Fsw))</f>
        <v>0</v>
      </c>
      <c r="AT194" s="354">
        <f>(Table1[[#This Row],[Dead Time Loss BoCtlr]]+Table1[[#This Row],[Transition Loss BoCtlr]]+Table1[[#This Row],[RDS(on) Loss BoCtlr]]*(1+RdsonTopTc*Ta-RdsonTopTc*25))/(1-Table1[[#This Row],[RDS(on) Loss BoCtlr]]*RdsonTopTc*ThetaJA_Q4)</f>
        <v>0</v>
      </c>
      <c r="AU19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12.139017232839322</v>
      </c>
      <c r="AV194" s="354">
        <f>Rdson3*Table1[[#This Row],[Irms BoSync]]^2</f>
        <v>0.61889410539251422</v>
      </c>
      <c r="AW19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94" s="354">
        <f>(Table1[[#This Row],[Deadtime Loss BoSync]]+Table1[[#This Row],[RDS(on) Loss BoSync]]*(1+RdsonBotTc*Ta-RdsonBotTc*25))/(1-Table1[[#This Row],[RDS(on) Loss BoSync]]*RdsonBotTc*ThetaJA_Q3)</f>
        <v>0.7268575971536767</v>
      </c>
      <c r="AY194" s="354">
        <f>CHOOSE(Table1[[#This Row],[Mode Digit]], Rdson3*Table1[[#This Row],[Irms Lf]]^2, Rdson1*Table1[[#This Row],[Irms Lf]]^2, 0)</f>
        <v>0.61889410539251422</v>
      </c>
      <c r="AZ194" s="354">
        <f>CHOOSE(Table1[[#This Row],[Mode Digit]], 2*Deadtime*Fsw*IF(VfdSky_Q2&gt;0,VfdSky_Q2,0)*Table1[[#This Row],[Iout]], 2*Deadtime*Fsw*IF(VfdSky_Q3&gt;0,VfdSky_Q3,0)*Table1[[#This Row],[Iin]], 2*Deadtime*Fsw*IF(VfdSky_Q2&gt;0,VfdSky_Q2,0)*Table1[[#This Row],[Iout]]+2*Deadtime*Fsw*IF(VfdSky_Q3&gt;0,VfdSky_Q3,0)*Table1[[#This Row],[Iin]])</f>
        <v>0</v>
      </c>
      <c r="BA194" s="354">
        <f>CHOOSE(Table1[[#This Row],[Mode Digit]], IF(QrrSky_Q2&gt;0,QrrSky_Q2,Qrr_Q2)*Fsw*(Table1[[#This Row],[Vin]]-Table1[[#This Row],[Iout]]*Rdson1),0,  IF(QrrSky_Q2&gt;0,QrrSky_Q2,Qrr_Q2)*Fsw*(Table1[[#This Row],[Vin]]-Table1[[#This Row],[Iout]]*Rdson1)+IF(QrrSky_Q3&gt;0,QrrSky_Q3,Qrr_Q3)*Fsw*Vout)</f>
        <v>0.5501952</v>
      </c>
      <c r="BB194" s="354">
        <f>CHOOSE(Table1[[#This Row],[Mode Digit]],0, IF(QrrSky_Q3&gt;0,QrrSky_Q3,Qrr_Q3)*Fsw*Vout,  IF(QrrSky_Q2&gt;0,QrrSky_Q2,Qrr_Q2)*Fsw*(Table1[[#This Row],[Vin]]-Table1[[#This Row],[Iout]]*Rdson1)+IF(QrrSky_Q3&gt;0,QrrSky_Q3,Qrr_Q3)*Fsw*Vout)</f>
        <v>0</v>
      </c>
      <c r="BC194" s="354">
        <f>CHOOSE(Table1[[#This Row],[Mode Digit]], Rs*Table1[[#This Row],[Irms BuSync]]^2, Rs*Table1[[#This Row],[Irms BoCtlr]]^2, Rs*(Table1[[#This Row],[Irms BuSync]]^2+Table1[[#This Row],[Irms BoCtlr]]^2))</f>
        <v>0.25008447386471383</v>
      </c>
      <c r="BD194" s="354">
        <f t="shared" si="8"/>
        <v>1.44</v>
      </c>
      <c r="BE194" s="354">
        <f>IF(Vout&gt;8, Iq*Vout, Iq*Table1[[#This Row],[Vin]])</f>
        <v>4.3799999999999999E-2</v>
      </c>
      <c r="BF194" s="354">
        <f>CHOOSE(Table1[[#This Row],[Mode Digit]], (Qg_Q1+Qg_Q2)*Fsw, (Qg_Q3+Qg_Q4)*Fsw, (Qg_Q1+Qg_Q2+Qg_Q3+Qg_Q4)*Fsw)*IF(Vout&gt;8, Vout, Table1[[#This Row],[Vin]])</f>
        <v>0.47303999999999996</v>
      </c>
      <c r="BG194" s="354">
        <f t="shared" si="9"/>
        <v>0.45605042016806729</v>
      </c>
      <c r="BH194" s="354">
        <f>Table1[[#This Row],[IQ Loss]]+Table1[[#This Row],[Switching Current Loss]]</f>
        <v>0.51683999999999997</v>
      </c>
      <c r="BI19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13.806031160509516</v>
      </c>
      <c r="BJ194">
        <f>Vout*Table1[[#This Row],[Iout]]</f>
        <v>175.2</v>
      </c>
      <c r="BK194" s="550">
        <f>Table1[[#This Row],[Pout]]/(Table1[[#This Row],[Pout]]+Table1[[#This Row],[Total Loss]])</f>
        <v>0.92695454702826374</v>
      </c>
      <c r="BL19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356.65379972854868</v>
      </c>
      <c r="BM194" s="559">
        <f>IF(Table1[[#This Row],[Vin]]&gt;Vout, Table1[[#This Row],[Total Sync Bu MOSFET Loss]]*ThetaJA_Q2, ThetaJA_Q3*Table1[[#This Row],[Total Sync Bo MOSFET Loss]])</f>
        <v>66.562575391456718</v>
      </c>
      <c r="BN194" s="9"/>
      <c r="BO194" s="4">
        <f>Table1[[#This Row],[EFF, h]]*100</f>
        <v>92.695454702826368</v>
      </c>
      <c r="BP194" s="354">
        <f>Table1[[#This Row],[Total Inductor Loss]]</f>
        <v>3.1874190648798884</v>
      </c>
      <c r="BQ194" s="354">
        <f>Table1[[#This Row],[Total Control Bu MOSFET Loss]]+Table1[[#This Row],[Total Sync Bu MOSFET Loss]]+Table1[[#This Row],[Total Control Bo MOSFET Loss]]+Table1[[#This Row],[Total Sync Bo MOSFET Loss]]+Table1[[#This Row],[Reverse Recovery Loss MOSFET D BUCK]]+Table1[[#This Row],[Reverse Recovery Loss MOSFET D BOOST]]</f>
        <v>8.3306590491537662</v>
      </c>
      <c r="BR194" s="354">
        <f>Table1[[#This Row],[Total Control Bu MOSFET Loss]]+Table1[[#This Row],[Reverse Recovery Loss MOSFET D BUCK]]*0.66</f>
        <v>6.3073588274758112</v>
      </c>
      <c r="BS194" s="354">
        <f>Table1[[#This Row],[Total Sync Bu MOSFET Loss]]+Table1[[#This Row],[Reverse Recovery Loss MOSFET D BUCK]]*0.33</f>
        <v>1.2909406725242787</v>
      </c>
      <c r="BT194" s="354">
        <f xml:space="preserve"> Table1[[#This Row],[Total Control Bo MOSFET Loss]]+Table1[[#This Row],[Reverse Recovery Loss MOSFET D BOOST]]*0.66</f>
        <v>0</v>
      </c>
      <c r="BU194" s="354">
        <f xml:space="preserve"> Table1[[#This Row],[Total Sync Bo MOSFET Loss]]+Table1[[#This Row],[Reverse Recovery Loss MOSFET D BOOST]]*0.33</f>
        <v>0.7268575971536767</v>
      </c>
      <c r="BV194" s="354">
        <f>Table1[[#This Row],[Isense Shunt Loss]]</f>
        <v>0.25008447386471383</v>
      </c>
    </row>
    <row r="195" spans="7:74" x14ac:dyDescent="0.2">
      <c r="G195">
        <v>186</v>
      </c>
      <c r="H195" s="555">
        <f>VIN_min+(VIN_max-VIN_min)*(Table1[[#This Row],[Step]]/200)</f>
        <v>46.040000000000006</v>
      </c>
      <c r="I195" s="4" t="str">
        <f>IF(Mode = 2,IF(Table1[[#This Row],[Vin]]&gt;Vout, "BUCK","BOOST"),IF(Table1[[#This Row],[Vin]]&gt;VIN_BB_to_buck, "BUCK", IF(Table1[[#This Row],[Vin]]&lt;=VIN_boost_to_BB,"BOOST","BUCK-BST")))</f>
        <v>BUCK</v>
      </c>
      <c r="J195">
        <f>IF(Table1[[#This Row],[Mode]]="BOOST",2, IF(Table1[[#This Row],[Mode]]="BUCK", 1,3))</f>
        <v>1</v>
      </c>
      <c r="K195">
        <f t="shared" si="7"/>
        <v>12</v>
      </c>
      <c r="L195" s="4">
        <f>Vout*Table1[[#This Row],[Iout]]/(Table1[[#This Row],[Vin]]*Efficiency)</f>
        <v>4.0056701266633121</v>
      </c>
      <c r="M195" s="711">
        <f>MIN(1/Fsw,CHOOSE(Table1[[#This Row],[Mode Digit]],(Vout+(Rdson2+Rs+Rdcr)*Table1[[#This Row],[Iout]])/(Table1[[#This Row],[Vin]]+(Rs+Rdson2-Rdson1)*Table1[[#This Row],[Iout]])/Fsw,(Vout+(Rdson3+Rdcr)*Table1[[#This Row],[Iin]]-Table1[[#This Row],[Vin]])/(Vout+(Rdson3-Rdson4-Rs)*Table1[[#This Row],[Iin]])/Fsw,t1_Ph_II))</f>
        <v>5.3360827725924314E-7</v>
      </c>
      <c r="N195" s="602">
        <f>CHOOSE(Table1[[#This Row],[Mode Digit]],1/Fsw-Table1[[#This Row],[t1_Ph_II]],1/Fsw-Table1[[#This Row],[t1_Ph_II]],(Vout/Fsw-Table1[[#This Row],[Vin]]*t1_Ph_II)/(Table1[[#This Row],[Vin]]+Vout))</f>
        <v>1.1330583894074236E-6</v>
      </c>
      <c r="O195" s="602">
        <f>1/Fsw-(Table1[[#This Row],[t1_Ph_II]]+Table1[[#This Row],[t2_Ph_I]])</f>
        <v>0</v>
      </c>
      <c r="P19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8.8226052581381431</v>
      </c>
      <c r="Q195" s="4">
        <f>CHOOSE(Table1[[#This Row],[Mode Digit]],Table1[[#This Row],[I_0]]+1/Lf*(Table1[[#This Row],[Vin]]-Vout)*Table1[[#This Row],[t1_Ph_II]],Table1[[#This Row],[I_0]]+1/Lf*Table1[[#This Row],[Vin]]*Table1[[#This Row],[t1_Ph_II]],Table1[[#This Row],[I_0]]+(Table1[[#This Row],[Vin]]-Vout)/L*Table1[[#This Row],[t1_Ph_II]])</f>
        <v>15.177394741861857</v>
      </c>
      <c r="R195" s="4">
        <f>CHOOSE(Table1[[#This Row],[Mode Digit]],0,0,Table1[[#This Row],[I_1]]+Table1[[#This Row],[Vin]]/L*Table1[[#This Row],[t2_Ph_I]])</f>
        <v>0</v>
      </c>
      <c r="S195" s="4">
        <f>Fsw*(Table1[[#This Row],[I_0]]*Table1[[#This Row],[t1_Ph_II]]+Table1[[#This Row],[I_1]]*Table1[[#This Row],[t2_Ph_I]]+Table1[[#This Row],[I_2]]*Table1[[#This Row],[t3_Ph_III]])</f>
        <v>13.142813780608877</v>
      </c>
      <c r="T195" s="354">
        <f>MIN(1,CHOOSE(Table1[[#This Row],[Mode Digit]],(Vout+(Rdson2+Rs+Rdcr)*Table1[[#This Row],[Iout]])/(Table1[[#This Row],[Vin]]+(Rs+Rdson2-Rdson1)*Table1[[#This Row],[Iout]]),1,Fsw*Table1[[#This Row],[t2_Ph_I]]+Table1[[#This Row],[t1_Ph_II]]))</f>
        <v>0.32016496635554587</v>
      </c>
      <c r="U195" s="354">
        <f>MIN(1,CHOOSE(Table1[[#This Row],[Mode Digit]],0,(Vout+(Rdson3+Rdcr)*Table1[[#This Row],[Iin]]-Table1[[#This Row],[Vin]])/(Vout+(Rdson3-Rdson4-Rs)*Table1[[#This Row],[Iin]]),Fsw*Table1[[#This Row],[t1_Ph_II]]+Table1[[#This Row],[t3_Ph_III]]))</f>
        <v>0</v>
      </c>
      <c r="V195" s="4">
        <f>MAX(Table1[[#This Row],[I_0]:[I_2]])-MIN(Table1[[#This Row],[I_0]:[I_1]])</f>
        <v>6.3547894837237138</v>
      </c>
      <c r="W19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12.139410163397717</v>
      </c>
      <c r="X195" s="354">
        <f>(Table1[[#This Row],[Irms Lf]]^2*Rdcr*(1+Ltc*Ta-Ltc*25))/(1-Table1[[#This Row],[Irms Lf]]^2*Rdcr*Ltc*ThetaCa)</f>
        <v>0.91745166013445734</v>
      </c>
      <c r="Y195" s="354">
        <f>ABS(7.759*10^-3*Fsw^0.9458*(0.00787*Table1[[#This Row],[Ripple Current pk-pk]])^2.304)</f>
        <v>2.277466928964003</v>
      </c>
      <c r="Z195" s="354">
        <f>Table1[[#This Row],[DCR    Loss]]+Table1[[#This Row],[Core Loss]]</f>
        <v>3.1949185890984602</v>
      </c>
      <c r="AA195" s="4">
        <f>IF(Table1[[#This Row],[Vin]]&gt;Vout, Table1[[#This Row],[Ripple Current pk-pk]]/SQRT(12), SQRT(Table1[[#This Row],[Duty Cycle BOOST Leg]]/(1-Table1[[#This Row],[Duty Cycle BOOST Leg]]))*SQRT(Table1[[#This Row],[Iout]]^2+(Table1[[#This Row],[Ripple Current pk-pk]]^2)/12))</f>
        <v>1.8344697095356446</v>
      </c>
      <c r="AB195" s="354">
        <f>RCoutEsr*Table1[[#This Row],[Irms Cout]]^2</f>
        <v>1.6826395576018963E-2</v>
      </c>
      <c r="AC195" s="354">
        <f>Table1[[#This Row],[Cout ESR Loss]]</f>
        <v>1.6826395576018963E-2</v>
      </c>
      <c r="AD195" s="354">
        <f>IF(Table1[[#This Row],[Vin]]&gt;Vout, SQRT(Table1[[#This Row],[Duty Cycle BUCK Leg]]*(1-Table1[[#This Row],[Duty Cycle BUCK Leg]]))*SQRT(Table1[[#This Row],[Iout]]^2+(Table1[[#This Row],[Ripple Current pk-pk]]^2)/12), Table1[[#This Row],[Ripple Current pk-pk]]/SQRT(12))</f>
        <v>5.663517673476024</v>
      </c>
      <c r="AE195" s="354">
        <f>RCinEsr*Table1[[#This Row],[Irms Cin]]^2</f>
        <v>6.4150864875550551E-2</v>
      </c>
      <c r="AF195" s="549">
        <f>Table1[[#This Row],[Cin ESR Loss]]</f>
        <v>6.4150864875550551E-2</v>
      </c>
      <c r="AG19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6.8688572288186949</v>
      </c>
      <c r="AH195" s="354">
        <f>Rdson1*Table1[[#This Row],[Irms BuCtrl]]^2</f>
        <v>0.19816103844555835</v>
      </c>
      <c r="AI195" s="354">
        <f>CHOOSE(Table1[[#This Row],[Mode Digit]], (Table1[[#This Row],[Vin]]*Table1[[#This Row],[Iout]]/2)*(Fsw)*(Tr_buck+Tf_buck), 0, (Table1[[#This Row],[Vin]]*Table1[[#This Row],[Avg IL]]/2)*(Fsw/1)*(Tr_buck+Tf_buck))</f>
        <v>5.4785944085673881</v>
      </c>
      <c r="AJ195">
        <f>IF(Table1[[#This Row],[Vin]]&gt;Vout, IF(Table1[[#This Row],[Iout]]&gt;Table1[[#This Row],[Ripple Current pk-pk]]/2,0,ABS(Table1[[#This Row],[Iout]]-Table1[[#This Row],[Ripple Current pk-pk]]/2)*Vsd_Q1*Deadtime*Fsw),0)</f>
        <v>0</v>
      </c>
      <c r="AK195" s="354">
        <f>(Table1[[#This Row],[Dead Time Loss BuCtrl]]+Table1[[#This Row],[Transition Loss BuCtrl]]+Table1[[#This Row],[RDS(on) Loss BuCtrl]]*(1+RdsonTopTc*Ta-RdsonTopTc*25))/(1-Table1[[#This Row],[RDS(on) Loss BuCtrl]]*RdsonTopTc*ThetaJA_Q1)</f>
        <v>5.9602152325760605</v>
      </c>
      <c r="AL195" s="354">
        <f>CHOOSE(Table1[[#This Row],[Mode Digit]],SQRT((Fsw*(Table1[[#This Row],[t2_Ph_I]]+0))*((Table1[[#This Row],[I_0]]*Table1[[#This Row],[I_1]]+((Table1[[#This Row],[I_0]]-Table1[[#This Row],[I_1]])^2)/3))),0,SQRT((Fsw*(Table1[[#This Row],[t3_Ph_III]]+0))*((Table1[[#This Row],[I_0]]*Table1[[#This Row],[I_2]]+((Table1[[#This Row],[I_0]]-Table1[[#This Row],[I_2]])^2)/3))))</f>
        <v>10.009199742502341</v>
      </c>
      <c r="AM195" s="354">
        <f>Rdson2*Table1[[#This Row],[Irms BuSync]]^2</f>
        <v>0.42077313383829756</v>
      </c>
      <c r="AN19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95" s="354">
        <f>(Table1[[#This Row],[Deadtime Loss BuSync]]+Table1[[#This Row],[RDS(on) Loss BuSync]]*(1+RdsonBotTc*Ta-RdsonBotTc*25))/(1-Table1[[#This Row],[RDS(on) Loss BuSync]]*RdsonBotTc*ThetaJA_Q2)</f>
        <v>1.110265318610631</v>
      </c>
      <c r="AP195" s="354">
        <f>CHOOSE(Table1[[#This Row],[Mode Digit]],0,SQRT((Fsw*(Table1[[#This Row],[t1_Ph_II]]+0))*((Table1[[#This Row],[I_0]]*Table1[[#This Row],[I_1]]+((Table1[[#This Row],[I_0]]-Table1[[#This Row],[I_1]])^2)/3))),SQRT((Fsw*(Table1[[#This Row],[t2_Ph_I]]+0))*((Table1[[#This Row],[I_1]]*Table1[[#This Row],[I_2]]+((Table1[[#This Row],[I_1]]-Table1[[#This Row],[I_2]])^2)/3))))</f>
        <v>0</v>
      </c>
      <c r="AQ195" s="354">
        <f>Rdson4*Table1[[#This Row],[Irms BoCtlr]]^2</f>
        <v>0</v>
      </c>
      <c r="AR195" s="354">
        <f>CHOOSE(Table1[[#This Row],[Mode Digit]], 0, (Vout*Table1[[#This Row],[Iin]]/2)*(Fsw)*(Tr_boost+Tf_boost), (Vout*Iout/2)*(Fsw/1)*(Tr_boost+Tf_boost))</f>
        <v>0</v>
      </c>
      <c r="AS195">
        <f>IF(Table1[[#This Row],[Vin]]&gt;Vout, 0, IF(Table1[[#This Row],[Iin]]&gt;Table1[[#This Row],[Ripple Current pk-pk]]/2,0,ABS(Table1[[#This Row],[Iin]]-Table1[[#This Row],[Ripple Current pk-pk]]/2)*Vsd_Q4*Deadtime*Fsw))</f>
        <v>0</v>
      </c>
      <c r="AT195" s="354">
        <f>(Table1[[#This Row],[Dead Time Loss BoCtlr]]+Table1[[#This Row],[Transition Loss BoCtlr]]+Table1[[#This Row],[RDS(on) Loss BoCtlr]]*(1+RdsonTopTc*Ta-RdsonTopTc*25))/(1-Table1[[#This Row],[RDS(on) Loss BoCtlr]]*RdsonTopTc*ThetaJA_Q4)</f>
        <v>0</v>
      </c>
      <c r="AU19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12.139410163397717</v>
      </c>
      <c r="AV195" s="354">
        <f>Rdson3*Table1[[#This Row],[Irms BoSync]]^2</f>
        <v>0.61893417228385594</v>
      </c>
      <c r="AW19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95" s="354">
        <f>(Table1[[#This Row],[Deadtime Loss BoSync]]+Table1[[#This Row],[RDS(on) Loss BoSync]]*(1+RdsonBotTc*Ta-RdsonBotTc*25))/(1-Table1[[#This Row],[RDS(on) Loss BoSync]]*RdsonBotTc*ThetaJA_Q3)</f>
        <v>0.72691286296226487</v>
      </c>
      <c r="AY195" s="354">
        <f>CHOOSE(Table1[[#This Row],[Mode Digit]], Rdson3*Table1[[#This Row],[Irms Lf]]^2, Rdson1*Table1[[#This Row],[Irms Lf]]^2, 0)</f>
        <v>0.61893417228385594</v>
      </c>
      <c r="AZ195" s="354">
        <f>CHOOSE(Table1[[#This Row],[Mode Digit]], 2*Deadtime*Fsw*IF(VfdSky_Q2&gt;0,VfdSky_Q2,0)*Table1[[#This Row],[Iout]], 2*Deadtime*Fsw*IF(VfdSky_Q3&gt;0,VfdSky_Q3,0)*Table1[[#This Row],[Iin]], 2*Deadtime*Fsw*IF(VfdSky_Q2&gt;0,VfdSky_Q2,0)*Table1[[#This Row],[Iout]]+2*Deadtime*Fsw*IF(VfdSky_Q3&gt;0,VfdSky_Q3,0)*Table1[[#This Row],[Iin]])</f>
        <v>0</v>
      </c>
      <c r="BA195" s="354">
        <f>CHOOSE(Table1[[#This Row],[Mode Digit]], IF(QrrSky_Q2&gt;0,QrrSky_Q2,Qrr_Q2)*Fsw*(Table1[[#This Row],[Vin]]-Table1[[#This Row],[Iout]]*Rdson1),0,  IF(QrrSky_Q2&gt;0,QrrSky_Q2,Qrr_Q2)*Fsw*(Table1[[#This Row],[Vin]]-Table1[[#This Row],[Iout]]*Rdson1)+IF(QrrSky_Q3&gt;0,QrrSky_Q3,Qrr_Q3)*Fsw*Vout)</f>
        <v>0.55187520000000001</v>
      </c>
      <c r="BB195" s="354">
        <f>CHOOSE(Table1[[#This Row],[Mode Digit]],0, IF(QrrSky_Q3&gt;0,QrrSky_Q3,Qrr_Q3)*Fsw*Vout,  IF(QrrSky_Q2&gt;0,QrrSky_Q2,Qrr_Q2)*Fsw*(Table1[[#This Row],[Vin]]-Table1[[#This Row],[Iout]]*Rdson1)+IF(QrrSky_Q3&gt;0,QrrSky_Q3,Qrr_Q3)*Fsw*Vout)</f>
        <v>0</v>
      </c>
      <c r="BC195" s="354">
        <f>CHOOSE(Table1[[#This Row],[Mode Digit]], Rs*Table1[[#This Row],[Irms BuSync]]^2, Rs*Table1[[#This Row],[Irms BoCtlr]]^2, Rs*(Table1[[#This Row],[Irms BuSync]]^2+Table1[[#This Row],[Irms BoCtlr]]^2))</f>
        <v>0.2504601987132723</v>
      </c>
      <c r="BD195" s="354">
        <f t="shared" si="8"/>
        <v>1.44</v>
      </c>
      <c r="BE195" s="354">
        <f>IF(Vout&gt;8, Iq*Vout, Iq*Table1[[#This Row],[Vin]])</f>
        <v>4.3799999999999999E-2</v>
      </c>
      <c r="BF195" s="354">
        <f>CHOOSE(Table1[[#This Row],[Mode Digit]], (Qg_Q1+Qg_Q2)*Fsw, (Qg_Q3+Qg_Q4)*Fsw, (Qg_Q1+Qg_Q2+Qg_Q3+Qg_Q4)*Fsw)*IF(Vout&gt;8, Vout, Table1[[#This Row],[Vin]])</f>
        <v>0.47303999999999996</v>
      </c>
      <c r="BG195" s="354">
        <f t="shared" si="9"/>
        <v>0.45605042016806729</v>
      </c>
      <c r="BH195" s="354">
        <f>Table1[[#This Row],[IQ Loss]]+Table1[[#This Row],[Switching Current Loss]]</f>
        <v>0.51683999999999997</v>
      </c>
      <c r="BI19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13.832464662412258</v>
      </c>
      <c r="BJ195">
        <f>Vout*Table1[[#This Row],[Iout]]</f>
        <v>175.2</v>
      </c>
      <c r="BK195" s="550">
        <f>Table1[[#This Row],[Pout]]/(Table1[[#This Row],[Pout]]+Table1[[#This Row],[Total Loss]])</f>
        <v>0.92682492561732577</v>
      </c>
      <c r="BL19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357.61291395456362</v>
      </c>
      <c r="BM195" s="559">
        <f>IF(Table1[[#This Row],[Vin]]&gt;Vout, Table1[[#This Row],[Total Sync Bu MOSFET Loss]]*ThetaJA_Q2, ThetaJA_Q3*Table1[[#This Row],[Total Sync Bo MOSFET Loss]])</f>
        <v>66.615919116637869</v>
      </c>
      <c r="BN195" s="9"/>
      <c r="BO195" s="4">
        <f>Table1[[#This Row],[EFF, h]]*100</f>
        <v>92.682492561732573</v>
      </c>
      <c r="BP195" s="354">
        <f>Table1[[#This Row],[Total Inductor Loss]]</f>
        <v>3.1949185890984602</v>
      </c>
      <c r="BQ195" s="354">
        <f>Table1[[#This Row],[Total Control Bu MOSFET Loss]]+Table1[[#This Row],[Total Sync Bu MOSFET Loss]]+Table1[[#This Row],[Total Control Bo MOSFET Loss]]+Table1[[#This Row],[Total Sync Bo MOSFET Loss]]+Table1[[#This Row],[Reverse Recovery Loss MOSFET D BUCK]]+Table1[[#This Row],[Reverse Recovery Loss MOSFET D BOOST]]</f>
        <v>8.349268614148956</v>
      </c>
      <c r="BR195" s="354">
        <f>Table1[[#This Row],[Total Control Bu MOSFET Loss]]+Table1[[#This Row],[Reverse Recovery Loss MOSFET D BUCK]]*0.66</f>
        <v>6.3244528645760605</v>
      </c>
      <c r="BS195" s="354">
        <f>Table1[[#This Row],[Total Sync Bu MOSFET Loss]]+Table1[[#This Row],[Reverse Recovery Loss MOSFET D BUCK]]*0.33</f>
        <v>1.2923841346106311</v>
      </c>
      <c r="BT195" s="354">
        <f xml:space="preserve"> Table1[[#This Row],[Total Control Bo MOSFET Loss]]+Table1[[#This Row],[Reverse Recovery Loss MOSFET D BOOST]]*0.66</f>
        <v>0</v>
      </c>
      <c r="BU195" s="354">
        <f xml:space="preserve"> Table1[[#This Row],[Total Sync Bo MOSFET Loss]]+Table1[[#This Row],[Reverse Recovery Loss MOSFET D BOOST]]*0.33</f>
        <v>0.72691286296226487</v>
      </c>
      <c r="BV195" s="354">
        <f>Table1[[#This Row],[Isense Shunt Loss]]</f>
        <v>0.2504601987132723</v>
      </c>
    </row>
    <row r="196" spans="7:74" x14ac:dyDescent="0.2">
      <c r="G196">
        <v>187</v>
      </c>
      <c r="H196" s="555">
        <f>VIN_min+(VIN_max-VIN_min)*(Table1[[#This Row],[Step]]/200)</f>
        <v>46.18</v>
      </c>
      <c r="I196" s="4" t="str">
        <f>IF(Mode = 2,IF(Table1[[#This Row],[Vin]]&gt;Vout, "BUCK","BOOST"),IF(Table1[[#This Row],[Vin]]&gt;VIN_BB_to_buck, "BUCK", IF(Table1[[#This Row],[Vin]]&lt;=VIN_boost_to_BB,"BOOST","BUCK-BST")))</f>
        <v>BUCK</v>
      </c>
      <c r="J196">
        <f>IF(Table1[[#This Row],[Mode]]="BOOST",2, IF(Table1[[#This Row],[Mode]]="BUCK", 1,3))</f>
        <v>1</v>
      </c>
      <c r="K196">
        <f t="shared" si="7"/>
        <v>12</v>
      </c>
      <c r="L196" s="4">
        <f>Vout*Table1[[#This Row],[Iout]]/(Table1[[#This Row],[Vin]]*Efficiency)</f>
        <v>3.9935264753481801</v>
      </c>
      <c r="M196" s="711">
        <f>MIN(1/Fsw,CHOOSE(Table1[[#This Row],[Mode Digit]],(Vout+(Rdson2+Rs+Rdcr)*Table1[[#This Row],[Iout]])/(Table1[[#This Row],[Vin]]+(Rs+Rdson2-Rdson1)*Table1[[#This Row],[Iout]])/Fsw,(Vout+(Rdson3+Rdcr)*Table1[[#This Row],[Iin]]-Table1[[#This Row],[Vin]])/(Vout+(Rdson3-Rdson4-Rs)*Table1[[#This Row],[Iin]])/Fsw,t1_Ph_II))</f>
        <v>5.3199163240279887E-7</v>
      </c>
      <c r="N196" s="602">
        <f>CHOOSE(Table1[[#This Row],[Mode Digit]],1/Fsw-Table1[[#This Row],[t1_Ph_II]],1/Fsw-Table1[[#This Row],[t1_Ph_II]],(Vout/Fsw-Table1[[#This Row],[Vin]]*t1_Ph_II)/(Table1[[#This Row],[Vin]]+Vout))</f>
        <v>1.1346750342638679E-6</v>
      </c>
      <c r="O196" s="602">
        <f>1/Fsw-(Table1[[#This Row],[t1_Ph_II]]+Table1[[#This Row],[t2_Ph_I]])</f>
        <v>0</v>
      </c>
      <c r="P19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8.8181258046817454</v>
      </c>
      <c r="Q196" s="4">
        <f>CHOOSE(Table1[[#This Row],[Mode Digit]],Table1[[#This Row],[I_0]]+1/Lf*(Table1[[#This Row],[Vin]]-Vout)*Table1[[#This Row],[t1_Ph_II]],Table1[[#This Row],[I_0]]+1/Lf*Table1[[#This Row],[Vin]]*Table1[[#This Row],[t1_Ph_II]],Table1[[#This Row],[I_0]]+(Table1[[#This Row],[Vin]]-Vout)/L*Table1[[#This Row],[t1_Ph_II]])</f>
        <v>15.181874195318255</v>
      </c>
      <c r="R196" s="4">
        <f>CHOOSE(Table1[[#This Row],[Mode Digit]],0,0,Table1[[#This Row],[I_1]]+Table1[[#This Row],[Vin]]/L*Table1[[#This Row],[t2_Ph_I]])</f>
        <v>0</v>
      </c>
      <c r="S196" s="4">
        <f>Fsw*(Table1[[#This Row],[I_0]]*Table1[[#This Row],[t1_Ph_II]]+Table1[[#This Row],[I_1]]*Table1[[#This Row],[t2_Ph_I]]+Table1[[#This Row],[I_2]]*Table1[[#This Row],[t3_Ph_III]])</f>
        <v>13.150597658597015</v>
      </c>
      <c r="T196" s="354">
        <f>MIN(1,CHOOSE(Table1[[#This Row],[Mode Digit]],(Vout+(Rdson2+Rs+Rdcr)*Table1[[#This Row],[Iout]])/(Table1[[#This Row],[Vin]]+(Rs+Rdson2-Rdson1)*Table1[[#This Row],[Iout]]),1,Fsw*Table1[[#This Row],[t2_Ph_I]]+Table1[[#This Row],[t1_Ph_II]]))</f>
        <v>0.31919497944167929</v>
      </c>
      <c r="U196" s="354">
        <f>MIN(1,CHOOSE(Table1[[#This Row],[Mode Digit]],0,(Vout+(Rdson3+Rdcr)*Table1[[#This Row],[Iin]]-Table1[[#This Row],[Vin]])/(Vout+(Rdson3-Rdson4-Rs)*Table1[[#This Row],[Iin]]),Fsw*Table1[[#This Row],[t1_Ph_II]]+Table1[[#This Row],[t3_Ph_III]]))</f>
        <v>0</v>
      </c>
      <c r="V196" s="4">
        <f>MAX(Table1[[#This Row],[I_0]:[I_2]])-MIN(Table1[[#This Row],[I_0]:[I_1]])</f>
        <v>6.3637483906365091</v>
      </c>
      <c r="W19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12.139801253107237</v>
      </c>
      <c r="X196" s="354">
        <f>(Table1[[#This Row],[Irms Lf]]^2*Rdcr*(1+Ltc*Ta-Ltc*25))/(1-Table1[[#This Row],[Irms Lf]]^2*Rdcr*Ltc*ThetaCa)</f>
        <v>0.91751511443564815</v>
      </c>
      <c r="Y196" s="354">
        <f>ABS(7.759*10^-3*Fsw^0.9458*(0.00787*Table1[[#This Row],[Ripple Current pk-pk]])^2.304)</f>
        <v>2.284871288166304</v>
      </c>
      <c r="Z196" s="354">
        <f>Table1[[#This Row],[DCR    Loss]]+Table1[[#This Row],[Core Loss]]</f>
        <v>3.2023864026019524</v>
      </c>
      <c r="AA196" s="4">
        <f>IF(Table1[[#This Row],[Vin]]&gt;Vout, Table1[[#This Row],[Ripple Current pk-pk]]/SQRT(12), SQRT(Table1[[#This Row],[Duty Cycle BOOST Leg]]/(1-Table1[[#This Row],[Duty Cycle BOOST Leg]]))*SQRT(Table1[[#This Row],[Iout]]^2+(Table1[[#This Row],[Ripple Current pk-pk]]^2)/12))</f>
        <v>1.8370559231945183</v>
      </c>
      <c r="AB196" s="354">
        <f>RCoutEsr*Table1[[#This Row],[Irms Cout]]^2</f>
        <v>1.6873872324720318E-2</v>
      </c>
      <c r="AC196" s="354">
        <f>Table1[[#This Row],[Cout ESR Loss]]</f>
        <v>1.6873872324720318E-2</v>
      </c>
      <c r="AD196" s="354">
        <f>IF(Table1[[#This Row],[Vin]]&gt;Vout, SQRT(Table1[[#This Row],[Duty Cycle BUCK Leg]]*(1-Table1[[#This Row],[Duty Cycle BUCK Leg]]))*SQRT(Table1[[#This Row],[Iout]]^2+(Table1[[#This Row],[Ripple Current pk-pk]]^2)/12), Table1[[#This Row],[Ripple Current pk-pk]]/SQRT(12))</f>
        <v>5.6591470307631724</v>
      </c>
      <c r="AE196" s="354">
        <f>RCinEsr*Table1[[#This Row],[Irms Cin]]^2</f>
        <v>6.405189023159126E-2</v>
      </c>
      <c r="AF196" s="549">
        <f>Table1[[#This Row],[Cin ESR Loss]]</f>
        <v>6.405189023159126E-2</v>
      </c>
      <c r="AG19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6.8586651839523372</v>
      </c>
      <c r="AH196" s="354">
        <f>Rdson1*Table1[[#This Row],[Irms BuCtrl]]^2</f>
        <v>0.19757341004335183</v>
      </c>
      <c r="AI196" s="354">
        <f>CHOOSE(Table1[[#This Row],[Mode Digit]], (Table1[[#This Row],[Vin]]*Table1[[#This Row],[Iout]]/2)*(Fsw)*(Tr_buck+Tf_buck), 0, (Table1[[#This Row],[Vin]]*Table1[[#This Row],[Avg IL]]/2)*(Fsw/1)*(Tr_buck+Tf_buck))</f>
        <v>5.4952539050313201</v>
      </c>
      <c r="AJ196">
        <f>IF(Table1[[#This Row],[Vin]]&gt;Vout, IF(Table1[[#This Row],[Iout]]&gt;Table1[[#This Row],[Ripple Current pk-pk]]/2,0,ABS(Table1[[#This Row],[Iout]]-Table1[[#This Row],[Ripple Current pk-pk]]/2)*Vsd_Q1*Deadtime*Fsw),0)</f>
        <v>0</v>
      </c>
      <c r="AK196" s="354">
        <f>(Table1[[#This Row],[Dead Time Loss BuCtrl]]+Table1[[#This Row],[Transition Loss BuCtrl]]+Table1[[#This Row],[RDS(on) Loss BuCtrl]]*(1+RdsonTopTc*Ta-RdsonTopTc*25))/(1-Table1[[#This Row],[RDS(on) Loss BuCtrl]]*RdsonTopTc*ThetaJA_Q1)</f>
        <v>5.9762047095338078</v>
      </c>
      <c r="AL196" s="354">
        <f>CHOOSE(Table1[[#This Row],[Mode Digit]],SQRT((Fsw*(Table1[[#This Row],[t2_Ph_I]]+0))*((Table1[[#This Row],[I_0]]*Table1[[#This Row],[I_1]]+((Table1[[#This Row],[I_0]]-Table1[[#This Row],[I_1]])^2)/3))),0,SQRT((Fsw*(Table1[[#This Row],[t3_Ph_III]]+0))*((Table1[[#This Row],[I_0]]*Table1[[#This Row],[I_2]]+((Table1[[#This Row],[I_0]]-Table1[[#This Row],[I_2]])^2)/3))))</f>
        <v>10.016660439457061</v>
      </c>
      <c r="AM196" s="354">
        <f>Rdson2*Table1[[#This Row],[Irms BuSync]]^2</f>
        <v>0.42140064270941341</v>
      </c>
      <c r="AN19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96" s="354">
        <f>(Table1[[#This Row],[Deadtime Loss BuSync]]+Table1[[#This Row],[RDS(on) Loss BuSync]]*(1+RdsonBotTc*Ta-RdsonBotTc*25))/(1-Table1[[#This Row],[RDS(on) Loss BuSync]]*RdsonBotTc*ThetaJA_Q2)</f>
        <v>1.1111494538394386</v>
      </c>
      <c r="AP196" s="354">
        <f>CHOOSE(Table1[[#This Row],[Mode Digit]],0,SQRT((Fsw*(Table1[[#This Row],[t1_Ph_II]]+0))*((Table1[[#This Row],[I_0]]*Table1[[#This Row],[I_1]]+((Table1[[#This Row],[I_0]]-Table1[[#This Row],[I_1]])^2)/3))),SQRT((Fsw*(Table1[[#This Row],[t2_Ph_I]]+0))*((Table1[[#This Row],[I_1]]*Table1[[#This Row],[I_2]]+((Table1[[#This Row],[I_1]]-Table1[[#This Row],[I_2]])^2)/3))))</f>
        <v>0</v>
      </c>
      <c r="AQ196" s="354">
        <f>Rdson4*Table1[[#This Row],[Irms BoCtlr]]^2</f>
        <v>0</v>
      </c>
      <c r="AR196" s="354">
        <f>CHOOSE(Table1[[#This Row],[Mode Digit]], 0, (Vout*Table1[[#This Row],[Iin]]/2)*(Fsw)*(Tr_boost+Tf_boost), (Vout*Iout/2)*(Fsw/1)*(Tr_boost+Tf_boost))</f>
        <v>0</v>
      </c>
      <c r="AS196">
        <f>IF(Table1[[#This Row],[Vin]]&gt;Vout, 0, IF(Table1[[#This Row],[Iin]]&gt;Table1[[#This Row],[Ripple Current pk-pk]]/2,0,ABS(Table1[[#This Row],[Iin]]-Table1[[#This Row],[Ripple Current pk-pk]]/2)*Vsd_Q4*Deadtime*Fsw))</f>
        <v>0</v>
      </c>
      <c r="AT196" s="354">
        <f>(Table1[[#This Row],[Dead Time Loss BoCtlr]]+Table1[[#This Row],[Transition Loss BoCtlr]]+Table1[[#This Row],[RDS(on) Loss BoCtlr]]*(1+RdsonTopTc*Ta-RdsonTopTc*25))/(1-Table1[[#This Row],[RDS(on) Loss BoCtlr]]*RdsonTopTc*ThetaJA_Q4)</f>
        <v>0</v>
      </c>
      <c r="AU19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12.139801253107237</v>
      </c>
      <c r="AV196" s="354">
        <f>Rdson3*Table1[[#This Row],[Irms BoSync]]^2</f>
        <v>0.61897405275276507</v>
      </c>
      <c r="AW19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96" s="354">
        <f>(Table1[[#This Row],[Deadtime Loss BoSync]]+Table1[[#This Row],[RDS(on) Loss BoSync]]*(1+RdsonBotTc*Ta-RdsonBotTc*25))/(1-Table1[[#This Row],[RDS(on) Loss BoSync]]*RdsonBotTc*ThetaJA_Q3)</f>
        <v>0.72696787287082365</v>
      </c>
      <c r="AY196" s="354">
        <f>CHOOSE(Table1[[#This Row],[Mode Digit]], Rdson3*Table1[[#This Row],[Irms Lf]]^2, Rdson1*Table1[[#This Row],[Irms Lf]]^2, 0)</f>
        <v>0.61897405275276507</v>
      </c>
      <c r="AZ196" s="354">
        <f>CHOOSE(Table1[[#This Row],[Mode Digit]], 2*Deadtime*Fsw*IF(VfdSky_Q2&gt;0,VfdSky_Q2,0)*Table1[[#This Row],[Iout]], 2*Deadtime*Fsw*IF(VfdSky_Q3&gt;0,VfdSky_Q3,0)*Table1[[#This Row],[Iin]], 2*Deadtime*Fsw*IF(VfdSky_Q2&gt;0,VfdSky_Q2,0)*Table1[[#This Row],[Iout]]+2*Deadtime*Fsw*IF(VfdSky_Q3&gt;0,VfdSky_Q3,0)*Table1[[#This Row],[Iin]])</f>
        <v>0</v>
      </c>
      <c r="BA196" s="354">
        <f>CHOOSE(Table1[[#This Row],[Mode Digit]], IF(QrrSky_Q2&gt;0,QrrSky_Q2,Qrr_Q2)*Fsw*(Table1[[#This Row],[Vin]]-Table1[[#This Row],[Iout]]*Rdson1),0,  IF(QrrSky_Q2&gt;0,QrrSky_Q2,Qrr_Q2)*Fsw*(Table1[[#This Row],[Vin]]-Table1[[#This Row],[Iout]]*Rdson1)+IF(QrrSky_Q3&gt;0,QrrSky_Q3,Qrr_Q3)*Fsw*Vout)</f>
        <v>0.55355519999999991</v>
      </c>
      <c r="BB196" s="354">
        <f>CHOOSE(Table1[[#This Row],[Mode Digit]],0, IF(QrrSky_Q3&gt;0,QrrSky_Q3,Qrr_Q3)*Fsw*Vout,  IF(QrrSky_Q2&gt;0,QrrSky_Q2,Qrr_Q2)*Fsw*(Table1[[#This Row],[Vin]]-Table1[[#This Row],[Iout]]*Rdson1)+IF(QrrSky_Q3&gt;0,QrrSky_Q3,Qrr_Q3)*Fsw*Vout)</f>
        <v>0</v>
      </c>
      <c r="BC196" s="354">
        <f>CHOOSE(Table1[[#This Row],[Mode Digit]], Rs*Table1[[#This Row],[Irms BuSync]]^2, Rs*Table1[[#This Row],[Irms BoCtlr]]^2, Rs*(Table1[[#This Row],[Irms BuSync]]^2+Table1[[#This Row],[Irms BoCtlr]]^2))</f>
        <v>0.25083371589846032</v>
      </c>
      <c r="BD196" s="354">
        <f t="shared" si="8"/>
        <v>1.44</v>
      </c>
      <c r="BE196" s="354">
        <f>IF(Vout&gt;8, Iq*Vout, Iq*Table1[[#This Row],[Vin]])</f>
        <v>4.3799999999999999E-2</v>
      </c>
      <c r="BF196" s="354">
        <f>CHOOSE(Table1[[#This Row],[Mode Digit]], (Qg_Q1+Qg_Q2)*Fsw, (Qg_Q3+Qg_Q4)*Fsw, (Qg_Q1+Qg_Q2+Qg_Q3+Qg_Q4)*Fsw)*IF(Vout&gt;8, Vout, Table1[[#This Row],[Vin]])</f>
        <v>0.47303999999999996</v>
      </c>
      <c r="BG196" s="354">
        <f t="shared" si="9"/>
        <v>0.45605042016806729</v>
      </c>
      <c r="BH196" s="354">
        <f>Table1[[#This Row],[IQ Loss]]+Table1[[#This Row],[Switching Current Loss]]</f>
        <v>0.51683999999999997</v>
      </c>
      <c r="BI19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13.858863117300793</v>
      </c>
      <c r="BJ196">
        <f>Vout*Table1[[#This Row],[Iout]]</f>
        <v>175.2</v>
      </c>
      <c r="BK196" s="550">
        <f>Table1[[#This Row],[Pout]]/(Table1[[#This Row],[Pout]]+Table1[[#This Row],[Total Loss]])</f>
        <v>0.92669551224000479</v>
      </c>
      <c r="BL19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358.57228257202848</v>
      </c>
      <c r="BM196" s="559">
        <f>IF(Table1[[#This Row],[Vin]]&gt;Vout, Table1[[#This Row],[Total Sync Bu MOSFET Loss]]*ThetaJA_Q2, ThetaJA_Q3*Table1[[#This Row],[Total Sync Bo MOSFET Loss]])</f>
        <v>66.66896723036632</v>
      </c>
      <c r="BN196" s="9"/>
      <c r="BO196" s="4">
        <f>Table1[[#This Row],[EFF, h]]*100</f>
        <v>92.669551224000486</v>
      </c>
      <c r="BP196" s="354">
        <f>Table1[[#This Row],[Total Inductor Loss]]</f>
        <v>3.2023864026019524</v>
      </c>
      <c r="BQ196" s="354">
        <f>Table1[[#This Row],[Total Control Bu MOSFET Loss]]+Table1[[#This Row],[Total Sync Bu MOSFET Loss]]+Table1[[#This Row],[Total Control Bo MOSFET Loss]]+Table1[[#This Row],[Total Sync Bo MOSFET Loss]]+Table1[[#This Row],[Reverse Recovery Loss MOSFET D BUCK]]+Table1[[#This Row],[Reverse Recovery Loss MOSFET D BOOST]]</f>
        <v>8.3678772362440696</v>
      </c>
      <c r="BR196" s="354">
        <f>Table1[[#This Row],[Total Control Bu MOSFET Loss]]+Table1[[#This Row],[Reverse Recovery Loss MOSFET D BUCK]]*0.66</f>
        <v>6.3415511415338077</v>
      </c>
      <c r="BS196" s="354">
        <f>Table1[[#This Row],[Total Sync Bu MOSFET Loss]]+Table1[[#This Row],[Reverse Recovery Loss MOSFET D BUCK]]*0.33</f>
        <v>1.2938226698394386</v>
      </c>
      <c r="BT196" s="354">
        <f xml:space="preserve"> Table1[[#This Row],[Total Control Bo MOSFET Loss]]+Table1[[#This Row],[Reverse Recovery Loss MOSFET D BOOST]]*0.66</f>
        <v>0</v>
      </c>
      <c r="BU196" s="354">
        <f xml:space="preserve"> Table1[[#This Row],[Total Sync Bo MOSFET Loss]]+Table1[[#This Row],[Reverse Recovery Loss MOSFET D BOOST]]*0.33</f>
        <v>0.72696787287082365</v>
      </c>
      <c r="BV196" s="354">
        <f>Table1[[#This Row],[Isense Shunt Loss]]</f>
        <v>0.25083371589846032</v>
      </c>
    </row>
    <row r="197" spans="7:74" x14ac:dyDescent="0.2">
      <c r="G197">
        <v>188</v>
      </c>
      <c r="H197" s="555">
        <f>VIN_min+(VIN_max-VIN_min)*(Table1[[#This Row],[Step]]/200)</f>
        <v>46.32</v>
      </c>
      <c r="I197" s="4" t="str">
        <f>IF(Mode = 2,IF(Table1[[#This Row],[Vin]]&gt;Vout, "BUCK","BOOST"),IF(Table1[[#This Row],[Vin]]&gt;VIN_BB_to_buck, "BUCK", IF(Table1[[#This Row],[Vin]]&lt;=VIN_boost_to_BB,"BOOST","BUCK-BST")))</f>
        <v>BUCK</v>
      </c>
      <c r="J197">
        <f>IF(Table1[[#This Row],[Mode]]="BOOST",2, IF(Table1[[#This Row],[Mode]]="BUCK", 1,3))</f>
        <v>1</v>
      </c>
      <c r="K197">
        <f t="shared" si="7"/>
        <v>12</v>
      </c>
      <c r="L197" s="4">
        <f>Vout*Table1[[#This Row],[Iout]]/(Table1[[#This Row],[Vin]]*Efficiency)</f>
        <v>3.9814562312517041</v>
      </c>
      <c r="M197" s="711">
        <f>MIN(1/Fsw,CHOOSE(Table1[[#This Row],[Mode Digit]],(Vout+(Rdson2+Rs+Rdcr)*Table1[[#This Row],[Iout]])/(Table1[[#This Row],[Vin]]+(Rs+Rdson2-Rdson1)*Table1[[#This Row],[Iout]])/Fsw,(Vout+(Rdson3+Rdcr)*Table1[[#This Row],[Iin]]-Table1[[#This Row],[Vin]])/(Vout+(Rdson3-Rdson4-Rs)*Table1[[#This Row],[Iin]])/Fsw,t1_Ph_II))</f>
        <v>5.3038475368572452E-7</v>
      </c>
      <c r="N197" s="602">
        <f>CHOOSE(Table1[[#This Row],[Mode Digit]],1/Fsw-Table1[[#This Row],[t1_Ph_II]],1/Fsw-Table1[[#This Row],[t1_Ph_II]],(Vout/Fsw-Table1[[#This Row],[Vin]]*t1_Ph_II)/(Table1[[#This Row],[Vin]]+Vout))</f>
        <v>1.1362819129809421E-6</v>
      </c>
      <c r="O197" s="602">
        <f>1/Fsw-(Table1[[#This Row],[t1_Ph_II]]+Table1[[#This Row],[t2_Ph_I]])</f>
        <v>0</v>
      </c>
      <c r="P19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8.8136734115698516</v>
      </c>
      <c r="Q197" s="4">
        <f>CHOOSE(Table1[[#This Row],[Mode Digit]],Table1[[#This Row],[I_0]]+1/Lf*(Table1[[#This Row],[Vin]]-Vout)*Table1[[#This Row],[t1_Ph_II]],Table1[[#This Row],[I_0]]+1/Lf*Table1[[#This Row],[Vin]]*Table1[[#This Row],[t1_Ph_II]],Table1[[#This Row],[I_0]]+(Table1[[#This Row],[Vin]]-Vout)/L*Table1[[#This Row],[t1_Ph_II]])</f>
        <v>15.186326588430147</v>
      </c>
      <c r="R197" s="4">
        <f>CHOOSE(Table1[[#This Row],[Mode Digit]],0,0,Table1[[#This Row],[I_1]]+Table1[[#This Row],[Vin]]/L*Table1[[#This Row],[t2_Ph_I]])</f>
        <v>0</v>
      </c>
      <c r="S197" s="4">
        <f>Fsw*(Table1[[#This Row],[I_0]]*Table1[[#This Row],[t1_Ph_II]]+Table1[[#This Row],[I_1]]*Table1[[#This Row],[t2_Ph_I]]+Table1[[#This Row],[I_2]]*Table1[[#This Row],[t3_Ph_III]])</f>
        <v>13.158351737109987</v>
      </c>
      <c r="T197" s="354">
        <f>MIN(1,CHOOSE(Table1[[#This Row],[Mode Digit]],(Vout+(Rdson2+Rs+Rdcr)*Table1[[#This Row],[Iout]])/(Table1[[#This Row],[Vin]]+(Rs+Rdson2-Rdson1)*Table1[[#This Row],[Iout]]),1,Fsw*Table1[[#This Row],[t2_Ph_I]]+Table1[[#This Row],[t1_Ph_II]]))</f>
        <v>0.31823085221143471</v>
      </c>
      <c r="U197" s="354">
        <f>MIN(1,CHOOSE(Table1[[#This Row],[Mode Digit]],0,(Vout+(Rdson3+Rdcr)*Table1[[#This Row],[Iin]]-Table1[[#This Row],[Vin]])/(Vout+(Rdson3-Rdson4-Rs)*Table1[[#This Row],[Iin]]),Fsw*Table1[[#This Row],[t1_Ph_II]]+Table1[[#This Row],[t3_Ph_III]]))</f>
        <v>0</v>
      </c>
      <c r="V197" s="4">
        <f>MAX(Table1[[#This Row],[I_0]:[I_2]])-MIN(Table1[[#This Row],[I_0]:[I_1]])</f>
        <v>6.372653176860295</v>
      </c>
      <c r="W19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12.14019051371843</v>
      </c>
      <c r="X197" s="354">
        <f>(Table1[[#This Row],[Irms Lf]]^2*Rdcr*(1+Ltc*Ta-Ltc*25))/(1-Table1[[#This Row],[Irms Lf]]^2*Rdcr*Ltc*ThetaCa)</f>
        <v>0.91757827459158914</v>
      </c>
      <c r="Y197" s="354">
        <f>ABS(7.759*10^-3*Fsw^0.9458*(0.00787*Table1[[#This Row],[Ripple Current pk-pk]])^2.304)</f>
        <v>2.2922443998720481</v>
      </c>
      <c r="Z197" s="354">
        <f>Table1[[#This Row],[DCR    Loss]]+Table1[[#This Row],[Core Loss]]</f>
        <v>3.2098226744636373</v>
      </c>
      <c r="AA197" s="4">
        <f>IF(Table1[[#This Row],[Vin]]&gt;Vout, Table1[[#This Row],[Ripple Current pk-pk]]/SQRT(12), SQRT(Table1[[#This Row],[Duty Cycle BOOST Leg]]/(1-Table1[[#This Row],[Duty Cycle BOOST Leg]]))*SQRT(Table1[[#This Row],[Iout]]^2+(Table1[[#This Row],[Ripple Current pk-pk]]^2)/12))</f>
        <v>1.8396265135562078</v>
      </c>
      <c r="AB197" s="354">
        <f>RCoutEsr*Table1[[#This Row],[Irms Cout]]^2</f>
        <v>1.6921128546894842E-2</v>
      </c>
      <c r="AC197" s="354">
        <f>Table1[[#This Row],[Cout ESR Loss]]</f>
        <v>1.6921128546894842E-2</v>
      </c>
      <c r="AD197" s="354">
        <f>IF(Table1[[#This Row],[Vin]]&gt;Vout, SQRT(Table1[[#This Row],[Duty Cycle BUCK Leg]]*(1-Table1[[#This Row],[Duty Cycle BUCK Leg]]))*SQRT(Table1[[#This Row],[Iout]]^2+(Table1[[#This Row],[Ripple Current pk-pk]]^2)/12), Table1[[#This Row],[Ripple Current pk-pk]]/SQRT(12))</f>
        <v>5.6547748148915788</v>
      </c>
      <c r="AE197" s="354">
        <f>RCinEsr*Table1[[#This Row],[Irms Cin]]^2</f>
        <v>6.3952956414264184E-2</v>
      </c>
      <c r="AF197" s="549">
        <f>Table1[[#This Row],[Cin ESR Loss]]</f>
        <v>6.3952956414264184E-2</v>
      </c>
      <c r="AG19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6.8485186536957103</v>
      </c>
      <c r="AH197" s="354">
        <f>Rdson1*Table1[[#This Row],[Irms BuCtrl]]^2</f>
        <v>0.19698927255007609</v>
      </c>
      <c r="AI197" s="354">
        <f>CHOOSE(Table1[[#This Row],[Mode Digit]], (Table1[[#This Row],[Vin]]*Table1[[#This Row],[Iout]]/2)*(Fsw)*(Tr_buck+Tf_buck), 0, (Table1[[#This Row],[Vin]]*Table1[[#This Row],[Avg IL]]/2)*(Fsw/1)*(Tr_buck+Tf_buck))</f>
        <v>5.5119134014952529</v>
      </c>
      <c r="AJ197">
        <f>IF(Table1[[#This Row],[Vin]]&gt;Vout, IF(Table1[[#This Row],[Iout]]&gt;Table1[[#This Row],[Ripple Current pk-pk]]/2,0,ABS(Table1[[#This Row],[Iout]]-Table1[[#This Row],[Ripple Current pk-pk]]/2)*Vsd_Q1*Deadtime*Fsw),0)</f>
        <v>0</v>
      </c>
      <c r="AK197" s="354">
        <f>(Table1[[#This Row],[Dead Time Loss BuCtrl]]+Table1[[#This Row],[Transition Loss BuCtrl]]+Table1[[#This Row],[RDS(on) Loss BuCtrl]]*(1+RdsonTopTc*Ta-RdsonTopTc*25))/(1-Table1[[#This Row],[RDS(on) Loss BuCtrl]]*RdsonTopTc*ThetaJA_Q1)</f>
        <v>5.992198386308023</v>
      </c>
      <c r="AL197" s="354">
        <f>CHOOSE(Table1[[#This Row],[Mode Digit]],SQRT((Fsw*(Table1[[#This Row],[t2_Ph_I]]+0))*((Table1[[#This Row],[I_0]]*Table1[[#This Row],[I_1]]+((Table1[[#This Row],[I_0]]-Table1[[#This Row],[I_1]])^2)/3))),0,SQRT((Fsw*(Table1[[#This Row],[t3_Ph_III]]+0))*((Table1[[#This Row],[I_0]]*Table1[[#This Row],[I_2]]+((Table1[[#This Row],[I_0]]-Table1[[#This Row],[I_2]])^2)/3))))</f>
        <v>10.024071925089167</v>
      </c>
      <c r="AM197" s="354">
        <f>Rdson2*Table1[[#This Row],[Irms BuSync]]^2</f>
        <v>0.42202447542931559</v>
      </c>
      <c r="AN19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97" s="354">
        <f>(Table1[[#This Row],[Deadtime Loss BuSync]]+Table1[[#This Row],[RDS(on) Loss BuSync]]*(1+RdsonBotTc*Ta-RdsonBotTc*25))/(1-Table1[[#This Row],[RDS(on) Loss BuSync]]*RdsonBotTc*ThetaJA_Q2)</f>
        <v>1.1120287032356302</v>
      </c>
      <c r="AP197" s="354">
        <f>CHOOSE(Table1[[#This Row],[Mode Digit]],0,SQRT((Fsw*(Table1[[#This Row],[t1_Ph_II]]+0))*((Table1[[#This Row],[I_0]]*Table1[[#This Row],[I_1]]+((Table1[[#This Row],[I_0]]-Table1[[#This Row],[I_1]])^2)/3))),SQRT((Fsw*(Table1[[#This Row],[t2_Ph_I]]+0))*((Table1[[#This Row],[I_1]]*Table1[[#This Row],[I_2]]+((Table1[[#This Row],[I_1]]-Table1[[#This Row],[I_2]])^2)/3))))</f>
        <v>0</v>
      </c>
      <c r="AQ197" s="354">
        <f>Rdson4*Table1[[#This Row],[Irms BoCtlr]]^2</f>
        <v>0</v>
      </c>
      <c r="AR197" s="354">
        <f>CHOOSE(Table1[[#This Row],[Mode Digit]], 0, (Vout*Table1[[#This Row],[Iin]]/2)*(Fsw)*(Tr_boost+Tf_boost), (Vout*Iout/2)*(Fsw/1)*(Tr_boost+Tf_boost))</f>
        <v>0</v>
      </c>
      <c r="AS197">
        <f>IF(Table1[[#This Row],[Vin]]&gt;Vout, 0, IF(Table1[[#This Row],[Iin]]&gt;Table1[[#This Row],[Ripple Current pk-pk]]/2,0,ABS(Table1[[#This Row],[Iin]]-Table1[[#This Row],[Ripple Current pk-pk]]/2)*Vsd_Q4*Deadtime*Fsw))</f>
        <v>0</v>
      </c>
      <c r="AT197" s="354">
        <f>(Table1[[#This Row],[Dead Time Loss BoCtlr]]+Table1[[#This Row],[Transition Loss BoCtlr]]+Table1[[#This Row],[RDS(on) Loss BoCtlr]]*(1+RdsonTopTc*Ta-RdsonTopTc*25))/(1-Table1[[#This Row],[RDS(on) Loss BoCtlr]]*RdsonTopTc*ThetaJA_Q4)</f>
        <v>0</v>
      </c>
      <c r="AU19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12.14019051371843</v>
      </c>
      <c r="AV197" s="354">
        <f>Rdson3*Table1[[#This Row],[Irms BoSync]]^2</f>
        <v>0.61901374797939179</v>
      </c>
      <c r="AW19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97" s="354">
        <f>(Table1[[#This Row],[Deadtime Loss BoSync]]+Table1[[#This Row],[RDS(on) Loss BoSync]]*(1+RdsonBotTc*Ta-RdsonBotTc*25))/(1-Table1[[#This Row],[RDS(on) Loss BoSync]]*RdsonBotTc*ThetaJA_Q3)</f>
        <v>0.7270226284899689</v>
      </c>
      <c r="AY197" s="354">
        <f>CHOOSE(Table1[[#This Row],[Mode Digit]], Rdson3*Table1[[#This Row],[Irms Lf]]^2, Rdson1*Table1[[#This Row],[Irms Lf]]^2, 0)</f>
        <v>0.61901374797939179</v>
      </c>
      <c r="AZ197" s="354">
        <f>CHOOSE(Table1[[#This Row],[Mode Digit]], 2*Deadtime*Fsw*IF(VfdSky_Q2&gt;0,VfdSky_Q2,0)*Table1[[#This Row],[Iout]], 2*Deadtime*Fsw*IF(VfdSky_Q3&gt;0,VfdSky_Q3,0)*Table1[[#This Row],[Iin]], 2*Deadtime*Fsw*IF(VfdSky_Q2&gt;0,VfdSky_Q2,0)*Table1[[#This Row],[Iout]]+2*Deadtime*Fsw*IF(VfdSky_Q3&gt;0,VfdSky_Q3,0)*Table1[[#This Row],[Iin]])</f>
        <v>0</v>
      </c>
      <c r="BA197" s="354">
        <f>CHOOSE(Table1[[#This Row],[Mode Digit]], IF(QrrSky_Q2&gt;0,QrrSky_Q2,Qrr_Q2)*Fsw*(Table1[[#This Row],[Vin]]-Table1[[#This Row],[Iout]]*Rdson1),0,  IF(QrrSky_Q2&gt;0,QrrSky_Q2,Qrr_Q2)*Fsw*(Table1[[#This Row],[Vin]]-Table1[[#This Row],[Iout]]*Rdson1)+IF(QrrSky_Q3&gt;0,QrrSky_Q3,Qrr_Q3)*Fsw*Vout)</f>
        <v>0.55523519999999993</v>
      </c>
      <c r="BB197" s="354">
        <f>CHOOSE(Table1[[#This Row],[Mode Digit]],0, IF(QrrSky_Q3&gt;0,QrrSky_Q3,Qrr_Q3)*Fsw*Vout,  IF(QrrSky_Q2&gt;0,QrrSky_Q2,Qrr_Q2)*Fsw*(Table1[[#This Row],[Vin]]-Table1[[#This Row],[Iout]]*Rdson1)+IF(QrrSky_Q3&gt;0,QrrSky_Q3,Qrr_Q3)*Fsw*Vout)</f>
        <v>0</v>
      </c>
      <c r="BC197" s="354">
        <f>CHOOSE(Table1[[#This Row],[Mode Digit]], Rs*Table1[[#This Row],[Irms BuSync]]^2, Rs*Table1[[#This Row],[Irms BoCtlr]]^2, Rs*(Table1[[#This Row],[Irms BuSync]]^2+Table1[[#This Row],[Irms BoCtlr]]^2))</f>
        <v>0.25120504489840212</v>
      </c>
      <c r="BD197" s="354">
        <f t="shared" si="8"/>
        <v>1.44</v>
      </c>
      <c r="BE197" s="354">
        <f>IF(Vout&gt;8, Iq*Vout, Iq*Table1[[#This Row],[Vin]])</f>
        <v>4.3799999999999999E-2</v>
      </c>
      <c r="BF197" s="354">
        <f>CHOOSE(Table1[[#This Row],[Mode Digit]], (Qg_Q1+Qg_Q2)*Fsw, (Qg_Q3+Qg_Q4)*Fsw, (Qg_Q1+Qg_Q2+Qg_Q3+Qg_Q4)*Fsw)*IF(Vout&gt;8, Vout, Table1[[#This Row],[Vin]])</f>
        <v>0.47303999999999996</v>
      </c>
      <c r="BG197" s="354">
        <f t="shared" si="9"/>
        <v>0.45605042016806729</v>
      </c>
      <c r="BH197" s="354">
        <f>Table1[[#This Row],[IQ Loss]]+Table1[[#This Row],[Switching Current Loss]]</f>
        <v>0.51683999999999997</v>
      </c>
      <c r="BI19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13.885226722356821</v>
      </c>
      <c r="BJ197">
        <f>Vout*Table1[[#This Row],[Iout]]</f>
        <v>175.2</v>
      </c>
      <c r="BK197" s="550">
        <f>Table1[[#This Row],[Pout]]/(Table1[[#This Row],[Pout]]+Table1[[#This Row],[Total Loss]])</f>
        <v>0.92656630577096755</v>
      </c>
      <c r="BL19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359.5319031784814</v>
      </c>
      <c r="BM197" s="559">
        <f>IF(Table1[[#This Row],[Vin]]&gt;Vout, Table1[[#This Row],[Total Sync Bu MOSFET Loss]]*ThetaJA_Q2, ThetaJA_Q3*Table1[[#This Row],[Total Sync Bo MOSFET Loss]])</f>
        <v>66.721722194137811</v>
      </c>
      <c r="BN197" s="9"/>
      <c r="BO197" s="4">
        <f>Table1[[#This Row],[EFF, h]]*100</f>
        <v>92.656630577096749</v>
      </c>
      <c r="BP197" s="354">
        <f>Table1[[#This Row],[Total Inductor Loss]]</f>
        <v>3.2098226744636373</v>
      </c>
      <c r="BQ197" s="354">
        <f>Table1[[#This Row],[Total Control Bu MOSFET Loss]]+Table1[[#This Row],[Total Sync Bu MOSFET Loss]]+Table1[[#This Row],[Total Control Bo MOSFET Loss]]+Table1[[#This Row],[Total Sync Bo MOSFET Loss]]+Table1[[#This Row],[Reverse Recovery Loss MOSFET D BUCK]]+Table1[[#This Row],[Reverse Recovery Loss MOSFET D BOOST]]</f>
        <v>8.3864849180336218</v>
      </c>
      <c r="BR197" s="354">
        <f>Table1[[#This Row],[Total Control Bu MOSFET Loss]]+Table1[[#This Row],[Reverse Recovery Loss MOSFET D BUCK]]*0.66</f>
        <v>6.3586536183080229</v>
      </c>
      <c r="BS197" s="354">
        <f>Table1[[#This Row],[Total Sync Bu MOSFET Loss]]+Table1[[#This Row],[Reverse Recovery Loss MOSFET D BUCK]]*0.33</f>
        <v>1.2952563192356301</v>
      </c>
      <c r="BT197" s="354">
        <f xml:space="preserve"> Table1[[#This Row],[Total Control Bo MOSFET Loss]]+Table1[[#This Row],[Reverse Recovery Loss MOSFET D BOOST]]*0.66</f>
        <v>0</v>
      </c>
      <c r="BU197" s="354">
        <f xml:space="preserve"> Table1[[#This Row],[Total Sync Bo MOSFET Loss]]+Table1[[#This Row],[Reverse Recovery Loss MOSFET D BOOST]]*0.33</f>
        <v>0.7270226284899689</v>
      </c>
      <c r="BV197" s="354">
        <f>Table1[[#This Row],[Isense Shunt Loss]]</f>
        <v>0.25120504489840212</v>
      </c>
    </row>
    <row r="198" spans="7:74" x14ac:dyDescent="0.2">
      <c r="G198">
        <v>189</v>
      </c>
      <c r="H198" s="555">
        <f>VIN_min+(VIN_max-VIN_min)*(Table1[[#This Row],[Step]]/200)</f>
        <v>46.459999999999994</v>
      </c>
      <c r="I198" s="4" t="str">
        <f>IF(Mode = 2,IF(Table1[[#This Row],[Vin]]&gt;Vout, "BUCK","BOOST"),IF(Table1[[#This Row],[Vin]]&gt;VIN_BB_to_buck, "BUCK", IF(Table1[[#This Row],[Vin]]&lt;=VIN_boost_to_BB,"BOOST","BUCK-BST")))</f>
        <v>BUCK</v>
      </c>
      <c r="J198">
        <f>IF(Table1[[#This Row],[Mode]]="BOOST",2, IF(Table1[[#This Row],[Mode]]="BUCK", 1,3))</f>
        <v>1</v>
      </c>
      <c r="K198">
        <f t="shared" si="7"/>
        <v>12</v>
      </c>
      <c r="L198" s="4">
        <f>Vout*Table1[[#This Row],[Iout]]/(Table1[[#This Row],[Vin]]*Efficiency)</f>
        <v>3.9694587307701026</v>
      </c>
      <c r="M198" s="711">
        <f>MIN(1/Fsw,CHOOSE(Table1[[#This Row],[Mode Digit]],(Vout+(Rdson2+Rs+Rdcr)*Table1[[#This Row],[Iout]])/(Table1[[#This Row],[Vin]]+(Rs+Rdson2-Rdson1)*Table1[[#This Row],[Iout]])/Fsw,(Vout+(Rdson3+Rdcr)*Table1[[#This Row],[Iin]]-Table1[[#This Row],[Vin]])/(Vout+(Rdson3-Rdson4-Rs)*Table1[[#This Row],[Iin]])/Fsw,t1_Ph_II))</f>
        <v>5.2878755287875536E-7</v>
      </c>
      <c r="N198" s="602">
        <f>CHOOSE(Table1[[#This Row],[Mode Digit]],1/Fsw-Table1[[#This Row],[t1_Ph_II]],1/Fsw-Table1[[#This Row],[t1_Ph_II]],(Vout/Fsw-Table1[[#This Row],[Vin]]*t1_Ph_II)/(Table1[[#This Row],[Vin]]+Vout))</f>
        <v>1.1378791137879114E-6</v>
      </c>
      <c r="O198" s="602">
        <f>1/Fsw-(Table1[[#This Row],[t1_Ph_II]]+Table1[[#This Row],[t2_Ph_I]])</f>
        <v>0</v>
      </c>
      <c r="P19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8.809247834333874</v>
      </c>
      <c r="Q198" s="4">
        <f>CHOOSE(Table1[[#This Row],[Mode Digit]],Table1[[#This Row],[I_0]]+1/Lf*(Table1[[#This Row],[Vin]]-Vout)*Table1[[#This Row],[t1_Ph_II]],Table1[[#This Row],[I_0]]+1/Lf*Table1[[#This Row],[Vin]]*Table1[[#This Row],[t1_Ph_II]],Table1[[#This Row],[I_0]]+(Table1[[#This Row],[Vin]]-Vout)/L*Table1[[#This Row],[t1_Ph_II]])</f>
        <v>15.190752165666124</v>
      </c>
      <c r="R198" s="4">
        <f>CHOOSE(Table1[[#This Row],[Mode Digit]],0,0,Table1[[#This Row],[I_1]]+Table1[[#This Row],[Vin]]/L*Table1[[#This Row],[t2_Ph_I]])</f>
        <v>0</v>
      </c>
      <c r="S198" s="4">
        <f>Fsw*(Table1[[#This Row],[I_0]]*Table1[[#This Row],[t1_Ph_II]]+Table1[[#This Row],[I_1]]*Table1[[#This Row],[t2_Ph_I]]+Table1[[#This Row],[I_2]]*Table1[[#This Row],[t3_Ph_III]])</f>
        <v>13.166076130235911</v>
      </c>
      <c r="T198" s="354">
        <f>MIN(1,CHOOSE(Table1[[#This Row],[Mode Digit]],(Vout+(Rdson2+Rs+Rdcr)*Table1[[#This Row],[Iout]])/(Table1[[#This Row],[Vin]]+(Rs+Rdson2-Rdson1)*Table1[[#This Row],[Iout]]),1,Fsw*Table1[[#This Row],[t2_Ph_I]]+Table1[[#This Row],[t1_Ph_II]]))</f>
        <v>0.31727253172725323</v>
      </c>
      <c r="U198" s="354">
        <f>MIN(1,CHOOSE(Table1[[#This Row],[Mode Digit]],0,(Vout+(Rdson3+Rdcr)*Table1[[#This Row],[Iin]]-Table1[[#This Row],[Vin]])/(Vout+(Rdson3-Rdson4-Rs)*Table1[[#This Row],[Iin]]),Fsw*Table1[[#This Row],[t1_Ph_II]]+Table1[[#This Row],[t3_Ph_III]]))</f>
        <v>0</v>
      </c>
      <c r="V198" s="4">
        <f>MAX(Table1[[#This Row],[I_0]:[I_2]])-MIN(Table1[[#This Row],[I_0]:[I_1]])</f>
        <v>6.3815043313322501</v>
      </c>
      <c r="W19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12.140577956900062</v>
      </c>
      <c r="X198" s="354">
        <f>(Table1[[#This Row],[Irms Lf]]^2*Rdcr*(1+Ltc*Ta-Ltc*25))/(1-Table1[[#This Row],[Irms Lf]]^2*Rdcr*Ltc*ThetaCa)</f>
        <v>0.9176411424588683</v>
      </c>
      <c r="Y198" s="354">
        <f>ABS(7.759*10^-3*Fsw^0.9458*(0.00787*Table1[[#This Row],[Ripple Current pk-pk]])^2.304)</f>
        <v>2.2995864306070457</v>
      </c>
      <c r="Z198" s="354">
        <f>Table1[[#This Row],[DCR    Loss]]+Table1[[#This Row],[Core Loss]]</f>
        <v>3.2172275730659141</v>
      </c>
      <c r="AA198" s="4">
        <f>IF(Table1[[#This Row],[Vin]]&gt;Vout, Table1[[#This Row],[Ripple Current pk-pk]]/SQRT(12), SQRT(Table1[[#This Row],[Duty Cycle BOOST Leg]]/(1-Table1[[#This Row],[Duty Cycle BOOST Leg]]))*SQRT(Table1[[#This Row],[Iout]]^2+(Table1[[#This Row],[Ripple Current pk-pk]]^2)/12))</f>
        <v>1.8421816217647189</v>
      </c>
      <c r="AB198" s="354">
        <f>RCoutEsr*Table1[[#This Row],[Irms Cout]]^2</f>
        <v>1.6968165637838449E-2</v>
      </c>
      <c r="AC198" s="354">
        <f>Table1[[#This Row],[Cout ESR Loss]]</f>
        <v>1.6968165637838449E-2</v>
      </c>
      <c r="AD198" s="354">
        <f>IF(Table1[[#This Row],[Vin]]&gt;Vout, SQRT(Table1[[#This Row],[Duty Cycle BUCK Leg]]*(1-Table1[[#This Row],[Duty Cycle BUCK Leg]]))*SQRT(Table1[[#This Row],[Iout]]^2+(Table1[[#This Row],[Ripple Current pk-pk]]^2)/12), Table1[[#This Row],[Ripple Current pk-pk]]/SQRT(12))</f>
        <v>5.6504012220546027</v>
      </c>
      <c r="AE198" s="354">
        <f>RCinEsr*Table1[[#This Row],[Irms Cin]]^2</f>
        <v>6.3854067940392306E-2</v>
      </c>
      <c r="AF198" s="549">
        <f>Table1[[#This Row],[Cin ESR Loss]]</f>
        <v>6.3854067940392306E-2</v>
      </c>
      <c r="AG19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6.838417298093276</v>
      </c>
      <c r="AH198" s="354">
        <f>Rdson1*Table1[[#This Row],[Irms BuCtrl]]^2</f>
        <v>0.19640859480001768</v>
      </c>
      <c r="AI198" s="354">
        <f>CHOOSE(Table1[[#This Row],[Mode Digit]], (Table1[[#This Row],[Vin]]*Table1[[#This Row],[Iout]]/2)*(Fsw)*(Tr_buck+Tf_buck), 0, (Table1[[#This Row],[Vin]]*Table1[[#This Row],[Avg IL]]/2)*(Fsw/1)*(Tr_buck+Tf_buck))</f>
        <v>5.5285728979591848</v>
      </c>
      <c r="AJ198">
        <f>IF(Table1[[#This Row],[Vin]]&gt;Vout, IF(Table1[[#This Row],[Iout]]&gt;Table1[[#This Row],[Ripple Current pk-pk]]/2,0,ABS(Table1[[#This Row],[Iout]]-Table1[[#This Row],[Ripple Current pk-pk]]/2)*Vsd_Q1*Deadtime*Fsw),0)</f>
        <v>0</v>
      </c>
      <c r="AK198" s="354">
        <f>(Table1[[#This Row],[Dead Time Loss BuCtrl]]+Table1[[#This Row],[Transition Loss BuCtrl]]+Table1[[#This Row],[RDS(on) Loss BuCtrl]]*(1+RdsonTopTc*Ta-RdsonTopTc*25))/(1-Table1[[#This Row],[RDS(on) Loss BuCtrl]]*RdsonTopTc*ThetaJA_Q1)</f>
        <v>6.0081962233624155</v>
      </c>
      <c r="AL198" s="354">
        <f>CHOOSE(Table1[[#This Row],[Mode Digit]],SQRT((Fsw*(Table1[[#This Row],[t2_Ph_I]]+0))*((Table1[[#This Row],[I_0]]*Table1[[#This Row],[I_1]]+((Table1[[#This Row],[I_0]]-Table1[[#This Row],[I_1]])^2)/3))),0,SQRT((Fsw*(Table1[[#This Row],[t3_Ph_III]]+0))*((Table1[[#This Row],[I_0]]*Table1[[#This Row],[I_2]]+((Table1[[#This Row],[I_0]]-Table1[[#This Row],[I_2]])^2)/3))))</f>
        <v>10.031434692241502</v>
      </c>
      <c r="AM198" s="354">
        <f>Rdson2*Table1[[#This Row],[Irms BuSync]]^2</f>
        <v>0.42264466433576681</v>
      </c>
      <c r="AN19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98" s="354">
        <f>(Table1[[#This Row],[Deadtime Loss BuSync]]+Table1[[#This Row],[RDS(on) Loss BuSync]]*(1+RdsonBotTc*Ta-RdsonBotTc*25))/(1-Table1[[#This Row],[RDS(on) Loss BuSync]]*RdsonBotTc*ThetaJA_Q2)</f>
        <v>1.1129031073675799</v>
      </c>
      <c r="AP198" s="354">
        <f>CHOOSE(Table1[[#This Row],[Mode Digit]],0,SQRT((Fsw*(Table1[[#This Row],[t1_Ph_II]]+0))*((Table1[[#This Row],[I_0]]*Table1[[#This Row],[I_1]]+((Table1[[#This Row],[I_0]]-Table1[[#This Row],[I_1]])^2)/3))),SQRT((Fsw*(Table1[[#This Row],[t2_Ph_I]]+0))*((Table1[[#This Row],[I_1]]*Table1[[#This Row],[I_2]]+((Table1[[#This Row],[I_1]]-Table1[[#This Row],[I_2]])^2)/3))))</f>
        <v>0</v>
      </c>
      <c r="AQ198" s="354">
        <f>Rdson4*Table1[[#This Row],[Irms BoCtlr]]^2</f>
        <v>0</v>
      </c>
      <c r="AR198" s="354">
        <f>CHOOSE(Table1[[#This Row],[Mode Digit]], 0, (Vout*Table1[[#This Row],[Iin]]/2)*(Fsw)*(Tr_boost+Tf_boost), (Vout*Iout/2)*(Fsw/1)*(Tr_boost+Tf_boost))</f>
        <v>0</v>
      </c>
      <c r="AS198">
        <f>IF(Table1[[#This Row],[Vin]]&gt;Vout, 0, IF(Table1[[#This Row],[Iin]]&gt;Table1[[#This Row],[Ripple Current pk-pk]]/2,0,ABS(Table1[[#This Row],[Iin]]-Table1[[#This Row],[Ripple Current pk-pk]]/2)*Vsd_Q4*Deadtime*Fsw))</f>
        <v>0</v>
      </c>
      <c r="AT198" s="354">
        <f>(Table1[[#This Row],[Dead Time Loss BoCtlr]]+Table1[[#This Row],[Transition Loss BoCtlr]]+Table1[[#This Row],[RDS(on) Loss BoCtlr]]*(1+RdsonTopTc*Ta-RdsonTopTc*25))/(1-Table1[[#This Row],[RDS(on) Loss BoCtlr]]*RdsonTopTc*ThetaJA_Q4)</f>
        <v>0</v>
      </c>
      <c r="AU19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12.140577956900062</v>
      </c>
      <c r="AV198" s="354">
        <f>Rdson3*Table1[[#This Row],[Irms BoSync]]^2</f>
        <v>0.61905325913578435</v>
      </c>
      <c r="AW19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98" s="354">
        <f>(Table1[[#This Row],[Deadtime Loss BoSync]]+Table1[[#This Row],[RDS(on) Loss BoSync]]*(1+RdsonBotTc*Ta-RdsonBotTc*25))/(1-Table1[[#This Row],[RDS(on) Loss BoSync]]*RdsonBotTc*ThetaJA_Q3)</f>
        <v>0.7270771314193657</v>
      </c>
      <c r="AY198" s="354">
        <f>CHOOSE(Table1[[#This Row],[Mode Digit]], Rdson3*Table1[[#This Row],[Irms Lf]]^2, Rdson1*Table1[[#This Row],[Irms Lf]]^2, 0)</f>
        <v>0.61905325913578435</v>
      </c>
      <c r="AZ198" s="354">
        <f>CHOOSE(Table1[[#This Row],[Mode Digit]], 2*Deadtime*Fsw*IF(VfdSky_Q2&gt;0,VfdSky_Q2,0)*Table1[[#This Row],[Iout]], 2*Deadtime*Fsw*IF(VfdSky_Q3&gt;0,VfdSky_Q3,0)*Table1[[#This Row],[Iin]], 2*Deadtime*Fsw*IF(VfdSky_Q2&gt;0,VfdSky_Q2,0)*Table1[[#This Row],[Iout]]+2*Deadtime*Fsw*IF(VfdSky_Q3&gt;0,VfdSky_Q3,0)*Table1[[#This Row],[Iin]])</f>
        <v>0</v>
      </c>
      <c r="BA198" s="354">
        <f>CHOOSE(Table1[[#This Row],[Mode Digit]], IF(QrrSky_Q2&gt;0,QrrSky_Q2,Qrr_Q2)*Fsw*(Table1[[#This Row],[Vin]]-Table1[[#This Row],[Iout]]*Rdson1),0,  IF(QrrSky_Q2&gt;0,QrrSky_Q2,Qrr_Q2)*Fsw*(Table1[[#This Row],[Vin]]-Table1[[#This Row],[Iout]]*Rdson1)+IF(QrrSky_Q3&gt;0,QrrSky_Q3,Qrr_Q3)*Fsw*Vout)</f>
        <v>0.55691519999999994</v>
      </c>
      <c r="BB198" s="354">
        <f>CHOOSE(Table1[[#This Row],[Mode Digit]],0, IF(QrrSky_Q3&gt;0,QrrSky_Q3,Qrr_Q3)*Fsw*Vout,  IF(QrrSky_Q2&gt;0,QrrSky_Q2,Qrr_Q2)*Fsw*(Table1[[#This Row],[Vin]]-Table1[[#This Row],[Iout]]*Rdson1)+IF(QrrSky_Q3&gt;0,QrrSky_Q3,Qrr_Q3)*Fsw*Vout)</f>
        <v>0</v>
      </c>
      <c r="BC198" s="354">
        <f>CHOOSE(Table1[[#This Row],[Mode Digit]], Rs*Table1[[#This Row],[Irms BuSync]]^2, Rs*Table1[[#This Row],[Irms BoCtlr]]^2, Rs*(Table1[[#This Row],[Irms BuSync]]^2+Table1[[#This Row],[Irms BoCtlr]]^2))</f>
        <v>0.25157420496176591</v>
      </c>
      <c r="BD198" s="354">
        <f t="shared" si="8"/>
        <v>1.44</v>
      </c>
      <c r="BE198" s="354">
        <f>IF(Vout&gt;8, Iq*Vout, Iq*Table1[[#This Row],[Vin]])</f>
        <v>4.3799999999999999E-2</v>
      </c>
      <c r="BF198" s="354">
        <f>CHOOSE(Table1[[#This Row],[Mode Digit]], (Qg_Q1+Qg_Q2)*Fsw, (Qg_Q3+Qg_Q4)*Fsw, (Qg_Q1+Qg_Q2+Qg_Q3+Qg_Q4)*Fsw)*IF(Vout&gt;8, Vout, Table1[[#This Row],[Vin]])</f>
        <v>0.47303999999999996</v>
      </c>
      <c r="BG198" s="354">
        <f t="shared" si="9"/>
        <v>0.45605042016806729</v>
      </c>
      <c r="BH198" s="354">
        <f>Table1[[#This Row],[IQ Loss]]+Table1[[#This Row],[Switching Current Loss]]</f>
        <v>0.51683999999999997</v>
      </c>
      <c r="BI19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13.911555673755274</v>
      </c>
      <c r="BJ198">
        <f>Vout*Table1[[#This Row],[Iout]]</f>
        <v>175.2</v>
      </c>
      <c r="BK198" s="550">
        <f>Table1[[#This Row],[Pout]]/(Table1[[#This Row],[Pout]]+Table1[[#This Row],[Total Loss]])</f>
        <v>0.92643730509120903</v>
      </c>
      <c r="BL19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360.49177340174492</v>
      </c>
      <c r="BM198" s="559">
        <f>IF(Table1[[#This Row],[Vin]]&gt;Vout, Table1[[#This Row],[Total Sync Bu MOSFET Loss]]*ThetaJA_Q2, ThetaJA_Q3*Table1[[#This Row],[Total Sync Bo MOSFET Loss]])</f>
        <v>66.774186442054798</v>
      </c>
      <c r="BN198" s="9"/>
      <c r="BO198" s="4">
        <f>Table1[[#This Row],[EFF, h]]*100</f>
        <v>92.6437305091209</v>
      </c>
      <c r="BP198" s="354">
        <f>Table1[[#This Row],[Total Inductor Loss]]</f>
        <v>3.2172275730659141</v>
      </c>
      <c r="BQ198" s="354">
        <f>Table1[[#This Row],[Total Control Bu MOSFET Loss]]+Table1[[#This Row],[Total Sync Bu MOSFET Loss]]+Table1[[#This Row],[Total Control Bo MOSFET Loss]]+Table1[[#This Row],[Total Sync Bo MOSFET Loss]]+Table1[[#This Row],[Reverse Recovery Loss MOSFET D BUCK]]+Table1[[#This Row],[Reverse Recovery Loss MOSFET D BOOST]]</f>
        <v>8.4050916621493617</v>
      </c>
      <c r="BR198" s="354">
        <f>Table1[[#This Row],[Total Control Bu MOSFET Loss]]+Table1[[#This Row],[Reverse Recovery Loss MOSFET D BUCK]]*0.66</f>
        <v>6.3757602553624153</v>
      </c>
      <c r="BS198" s="354">
        <f>Table1[[#This Row],[Total Sync Bu MOSFET Loss]]+Table1[[#This Row],[Reverse Recovery Loss MOSFET D BUCK]]*0.33</f>
        <v>1.2966851233675798</v>
      </c>
      <c r="BT198" s="354">
        <f xml:space="preserve"> Table1[[#This Row],[Total Control Bo MOSFET Loss]]+Table1[[#This Row],[Reverse Recovery Loss MOSFET D BOOST]]*0.66</f>
        <v>0</v>
      </c>
      <c r="BU198" s="354">
        <f xml:space="preserve"> Table1[[#This Row],[Total Sync Bo MOSFET Loss]]+Table1[[#This Row],[Reverse Recovery Loss MOSFET D BOOST]]*0.33</f>
        <v>0.7270771314193657</v>
      </c>
      <c r="BV198" s="354">
        <f>Table1[[#This Row],[Isense Shunt Loss]]</f>
        <v>0.25157420496176591</v>
      </c>
    </row>
    <row r="199" spans="7:74" x14ac:dyDescent="0.2">
      <c r="G199">
        <v>190</v>
      </c>
      <c r="H199" s="555">
        <f>VIN_min+(VIN_max-VIN_min)*(Table1[[#This Row],[Step]]/200)</f>
        <v>46.599999999999994</v>
      </c>
      <c r="I199" s="4" t="str">
        <f>IF(Mode = 2,IF(Table1[[#This Row],[Vin]]&gt;Vout, "BUCK","BOOST"),IF(Table1[[#This Row],[Vin]]&gt;VIN_BB_to_buck, "BUCK", IF(Table1[[#This Row],[Vin]]&lt;=VIN_boost_to_BB,"BOOST","BUCK-BST")))</f>
        <v>BUCK</v>
      </c>
      <c r="J199">
        <f>IF(Table1[[#This Row],[Mode]]="BOOST",2, IF(Table1[[#This Row],[Mode]]="BUCK", 1,3))</f>
        <v>1</v>
      </c>
      <c r="K199">
        <f t="shared" si="7"/>
        <v>12</v>
      </c>
      <c r="L199" s="4">
        <f>Vout*Table1[[#This Row],[Iout]]/(Table1[[#This Row],[Vin]]*Efficiency)</f>
        <v>3.9575333182742263</v>
      </c>
      <c r="M199" s="711">
        <f>MIN(1/Fsw,CHOOSE(Table1[[#This Row],[Mode Digit]],(Vout+(Rdson2+Rs+Rdcr)*Table1[[#This Row],[Iout]])/(Table1[[#This Row],[Vin]]+(Rs+Rdson2-Rdson1)*Table1[[#This Row],[Iout]])/Fsw,(Vout+(Rdson3+Rdcr)*Table1[[#This Row],[Iin]]-Table1[[#This Row],[Vin]])/(Vout+(Rdson3-Rdson4-Rs)*Table1[[#This Row],[Iin]])/Fsw,t1_Ph_II))</f>
        <v>5.2719994281220963E-7</v>
      </c>
      <c r="N199" s="602">
        <f>CHOOSE(Table1[[#This Row],[Mode Digit]],1/Fsw-Table1[[#This Row],[t1_Ph_II]],1/Fsw-Table1[[#This Row],[t1_Ph_II]],(Vout/Fsw-Table1[[#This Row],[Vin]]*t1_Ph_II)/(Table1[[#This Row],[Vin]]+Vout))</f>
        <v>1.1394667238544571E-6</v>
      </c>
      <c r="O199" s="602">
        <f>1/Fsw-(Table1[[#This Row],[t1_Ph_II]]+Table1[[#This Row],[t2_Ph_I]])</f>
        <v>0</v>
      </c>
      <c r="P19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8.8048488314411539</v>
      </c>
      <c r="Q199" s="4">
        <f>CHOOSE(Table1[[#This Row],[Mode Digit]],Table1[[#This Row],[I_0]]+1/Lf*(Table1[[#This Row],[Vin]]-Vout)*Table1[[#This Row],[t1_Ph_II]],Table1[[#This Row],[I_0]]+1/Lf*Table1[[#This Row],[Vin]]*Table1[[#This Row],[t1_Ph_II]],Table1[[#This Row],[I_0]]+(Table1[[#This Row],[Vin]]-Vout)/L*Table1[[#This Row],[t1_Ph_II]])</f>
        <v>15.195151168558844</v>
      </c>
      <c r="R199" s="4">
        <f>CHOOSE(Table1[[#This Row],[Mode Digit]],0,0,Table1[[#This Row],[I_1]]+Table1[[#This Row],[Vin]]/L*Table1[[#This Row],[t2_Ph_I]])</f>
        <v>0</v>
      </c>
      <c r="S199" s="4">
        <f>Fsw*(Table1[[#This Row],[I_0]]*Table1[[#This Row],[t1_Ph_II]]+Table1[[#This Row],[I_1]]*Table1[[#This Row],[t2_Ph_I]]+Table1[[#This Row],[I_2]]*Table1[[#This Row],[t3_Ph_III]])</f>
        <v>13.173770952550139</v>
      </c>
      <c r="T199" s="354">
        <f>MIN(1,CHOOSE(Table1[[#This Row],[Mode Digit]],(Vout+(Rdson2+Rs+Rdcr)*Table1[[#This Row],[Iout]])/(Table1[[#This Row],[Vin]]+(Rs+Rdson2-Rdson1)*Table1[[#This Row],[Iout]]),1,Fsw*Table1[[#This Row],[t2_Ph_I]]+Table1[[#This Row],[t1_Ph_II]]))</f>
        <v>0.31631996568732579</v>
      </c>
      <c r="U199" s="354">
        <f>MIN(1,CHOOSE(Table1[[#This Row],[Mode Digit]],0,(Vout+(Rdson3+Rdcr)*Table1[[#This Row],[Iin]]-Table1[[#This Row],[Vin]])/(Vout+(Rdson3-Rdson4-Rs)*Table1[[#This Row],[Iin]]),Fsw*Table1[[#This Row],[t1_Ph_II]]+Table1[[#This Row],[t3_Ph_III]]))</f>
        <v>0</v>
      </c>
      <c r="V199" s="4">
        <f>MAX(Table1[[#This Row],[I_0]:[I_2]])-MIN(Table1[[#This Row],[I_0]:[I_1]])</f>
        <v>6.3903023371176904</v>
      </c>
      <c r="W19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12.140963594239446</v>
      </c>
      <c r="X199" s="354">
        <f>(Table1[[#This Row],[Irms Lf]]^2*Rdcr*(1+Ltc*Ta-Ltc*25))/(1-Table1[[#This Row],[Irms Lf]]^2*Rdcr*Ltc*ThetaCa)</f>
        <v>0.91770371988133947</v>
      </c>
      <c r="Y199" s="354">
        <f>ABS(7.759*10^-3*Fsw^0.9458*(0.00787*Table1[[#This Row],[Ripple Current pk-pk]])^2.304)</f>
        <v>2.3068975462103771</v>
      </c>
      <c r="Z199" s="354">
        <f>Table1[[#This Row],[DCR    Loss]]+Table1[[#This Row],[Core Loss]]</f>
        <v>3.2246012660917165</v>
      </c>
      <c r="AA199" s="4">
        <f>IF(Table1[[#This Row],[Vin]]&gt;Vout, Table1[[#This Row],[Ripple Current pk-pk]]/SQRT(12), SQRT(Table1[[#This Row],[Duty Cycle BOOST Leg]]/(1-Table1[[#This Row],[Duty Cycle BOOST Leg]]))*SQRT(Table1[[#This Row],[Iout]]^2+(Table1[[#This Row],[Ripple Current pk-pk]]^2)/12))</f>
        <v>1.8447213872689967</v>
      </c>
      <c r="AB199" s="354">
        <f>RCoutEsr*Table1[[#This Row],[Irms Cout]]^2</f>
        <v>1.7014984983238259E-2</v>
      </c>
      <c r="AC199" s="354">
        <f>Table1[[#This Row],[Cout ESR Loss]]</f>
        <v>1.7014984983238259E-2</v>
      </c>
      <c r="AD199" s="354">
        <f>IF(Table1[[#This Row],[Vin]]&gt;Vout, SQRT(Table1[[#This Row],[Duty Cycle BUCK Leg]]*(1-Table1[[#This Row],[Duty Cycle BUCK Leg]]))*SQRT(Table1[[#This Row],[Iout]]^2+(Table1[[#This Row],[Ripple Current pk-pk]]^2)/12), Table1[[#This Row],[Ripple Current pk-pk]]/SQRT(12))</f>
        <v>5.6460264441173642</v>
      </c>
      <c r="AE199" s="354">
        <f>RCinEsr*Table1[[#This Row],[Irms Cin]]^2</f>
        <v>6.3755229215345141E-2</v>
      </c>
      <c r="AF199" s="549">
        <f>Table1[[#This Row],[Cin ESR Loss]]</f>
        <v>6.3755229215345141E-2</v>
      </c>
      <c r="AG19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6.8283607807576017</v>
      </c>
      <c r="AH199" s="354">
        <f>Rdson1*Table1[[#This Row],[Irms BuCtrl]]^2</f>
        <v>0.19583134599919197</v>
      </c>
      <c r="AI199" s="354">
        <f>CHOOSE(Table1[[#This Row],[Mode Digit]], (Table1[[#This Row],[Vin]]*Table1[[#This Row],[Iout]]/2)*(Fsw)*(Tr_buck+Tf_buck), 0, (Table1[[#This Row],[Vin]]*Table1[[#This Row],[Avg IL]]/2)*(Fsw/1)*(Tr_buck+Tf_buck))</f>
        <v>5.5452323944231159</v>
      </c>
      <c r="AJ199">
        <f>IF(Table1[[#This Row],[Vin]]&gt;Vout, IF(Table1[[#This Row],[Iout]]&gt;Table1[[#This Row],[Ripple Current pk-pk]]/2,0,ABS(Table1[[#This Row],[Iout]]-Table1[[#This Row],[Ripple Current pk-pk]]/2)*Vsd_Q1*Deadtime*Fsw),0)</f>
        <v>0</v>
      </c>
      <c r="AK199" s="354">
        <f>(Table1[[#This Row],[Dead Time Loss BuCtrl]]+Table1[[#This Row],[Transition Loss BuCtrl]]+Table1[[#This Row],[RDS(on) Loss BuCtrl]]*(1+RdsonTopTc*Ta-RdsonTopTc*25))/(1-Table1[[#This Row],[RDS(on) Loss BuCtrl]]*RdsonTopTc*ThetaJA_Q1)</f>
        <v>6.0241981816574759</v>
      </c>
      <c r="AL199" s="354">
        <f>CHOOSE(Table1[[#This Row],[Mode Digit]],SQRT((Fsw*(Table1[[#This Row],[t2_Ph_I]]+0))*((Table1[[#This Row],[I_0]]*Table1[[#This Row],[I_1]]+((Table1[[#This Row],[I_0]]-Table1[[#This Row],[I_1]])^2)/3))),0,SQRT((Fsw*(Table1[[#This Row],[t3_Ph_III]]+0))*((Table1[[#This Row],[I_0]]*Table1[[#This Row],[I_2]]+((Table1[[#This Row],[I_0]]-Table1[[#This Row],[I_2]])^2)/3))))</f>
        <v>10.038749227092939</v>
      </c>
      <c r="AM199" s="354">
        <f>Rdson2*Table1[[#This Row],[Irms BuSync]]^2</f>
        <v>0.42326124138672822</v>
      </c>
      <c r="AN19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99" s="354">
        <f>(Table1[[#This Row],[Deadtime Loss BuSync]]+Table1[[#This Row],[RDS(on) Loss BuSync]]*(1+RdsonBotTc*Ta-RdsonBotTc*25))/(1-Table1[[#This Row],[RDS(on) Loss BuSync]]*RdsonBotTc*ThetaJA_Q2)</f>
        <v>1.1137727063534753</v>
      </c>
      <c r="AP199" s="354">
        <f>CHOOSE(Table1[[#This Row],[Mode Digit]],0,SQRT((Fsw*(Table1[[#This Row],[t1_Ph_II]]+0))*((Table1[[#This Row],[I_0]]*Table1[[#This Row],[I_1]]+((Table1[[#This Row],[I_0]]-Table1[[#This Row],[I_1]])^2)/3))),SQRT((Fsw*(Table1[[#This Row],[t2_Ph_I]]+0))*((Table1[[#This Row],[I_1]]*Table1[[#This Row],[I_2]]+((Table1[[#This Row],[I_1]]-Table1[[#This Row],[I_2]])^2)/3))))</f>
        <v>0</v>
      </c>
      <c r="AQ199" s="354">
        <f>Rdson4*Table1[[#This Row],[Irms BoCtlr]]^2</f>
        <v>0</v>
      </c>
      <c r="AR199" s="354">
        <f>CHOOSE(Table1[[#This Row],[Mode Digit]], 0, (Vout*Table1[[#This Row],[Iin]]/2)*(Fsw)*(Tr_boost+Tf_boost), (Vout*Iout/2)*(Fsw/1)*(Tr_boost+Tf_boost))</f>
        <v>0</v>
      </c>
      <c r="AS199">
        <f>IF(Table1[[#This Row],[Vin]]&gt;Vout, 0, IF(Table1[[#This Row],[Iin]]&gt;Table1[[#This Row],[Ripple Current pk-pk]]/2,0,ABS(Table1[[#This Row],[Iin]]-Table1[[#This Row],[Ripple Current pk-pk]]/2)*Vsd_Q4*Deadtime*Fsw))</f>
        <v>0</v>
      </c>
      <c r="AT199" s="354">
        <f>(Table1[[#This Row],[Dead Time Loss BoCtlr]]+Table1[[#This Row],[Transition Loss BoCtlr]]+Table1[[#This Row],[RDS(on) Loss BoCtlr]]*(1+RdsonTopTc*Ta-RdsonTopTc*25))/(1-Table1[[#This Row],[RDS(on) Loss BoCtlr]]*RdsonTopTc*ThetaJA_Q4)</f>
        <v>0</v>
      </c>
      <c r="AU19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12.140963594239446</v>
      </c>
      <c r="AV199" s="354">
        <f>Rdson3*Table1[[#This Row],[Irms BoSync]]^2</f>
        <v>0.61909258738591999</v>
      </c>
      <c r="AW19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99" s="354">
        <f>(Table1[[#This Row],[Deadtime Loss BoSync]]+Table1[[#This Row],[RDS(on) Loss BoSync]]*(1+RdsonBotTc*Ta-RdsonBotTc*25))/(1-Table1[[#This Row],[RDS(on) Loss BoSync]]*RdsonBotTc*ThetaJA_Q3)</f>
        <v>0.72713138324776716</v>
      </c>
      <c r="AY199" s="354">
        <f>CHOOSE(Table1[[#This Row],[Mode Digit]], Rdson3*Table1[[#This Row],[Irms Lf]]^2, Rdson1*Table1[[#This Row],[Irms Lf]]^2, 0)</f>
        <v>0.61909258738591999</v>
      </c>
      <c r="AZ199" s="354">
        <f>CHOOSE(Table1[[#This Row],[Mode Digit]], 2*Deadtime*Fsw*IF(VfdSky_Q2&gt;0,VfdSky_Q2,0)*Table1[[#This Row],[Iout]], 2*Deadtime*Fsw*IF(VfdSky_Q3&gt;0,VfdSky_Q3,0)*Table1[[#This Row],[Iin]], 2*Deadtime*Fsw*IF(VfdSky_Q2&gt;0,VfdSky_Q2,0)*Table1[[#This Row],[Iout]]+2*Deadtime*Fsw*IF(VfdSky_Q3&gt;0,VfdSky_Q3,0)*Table1[[#This Row],[Iin]])</f>
        <v>0</v>
      </c>
      <c r="BA199" s="354">
        <f>CHOOSE(Table1[[#This Row],[Mode Digit]], IF(QrrSky_Q2&gt;0,QrrSky_Q2,Qrr_Q2)*Fsw*(Table1[[#This Row],[Vin]]-Table1[[#This Row],[Iout]]*Rdson1),0,  IF(QrrSky_Q2&gt;0,QrrSky_Q2,Qrr_Q2)*Fsw*(Table1[[#This Row],[Vin]]-Table1[[#This Row],[Iout]]*Rdson1)+IF(QrrSky_Q3&gt;0,QrrSky_Q3,Qrr_Q3)*Fsw*Vout)</f>
        <v>0.55859519999999996</v>
      </c>
      <c r="BB199" s="354">
        <f>CHOOSE(Table1[[#This Row],[Mode Digit]],0, IF(QrrSky_Q3&gt;0,QrrSky_Q3,Qrr_Q3)*Fsw*Vout,  IF(QrrSky_Q2&gt;0,QrrSky_Q2,Qrr_Q2)*Fsw*(Table1[[#This Row],[Vin]]-Table1[[#This Row],[Iout]]*Rdson1)+IF(QrrSky_Q3&gt;0,QrrSky_Q3,Qrr_Q3)*Fsw*Vout)</f>
        <v>0</v>
      </c>
      <c r="BC199" s="354">
        <f>CHOOSE(Table1[[#This Row],[Mode Digit]], Rs*Table1[[#This Row],[Irms BuSync]]^2, Rs*Table1[[#This Row],[Irms BoCtlr]]^2, Rs*(Table1[[#This Row],[Irms BuSync]]^2+Table1[[#This Row],[Irms BoCtlr]]^2))</f>
        <v>0.25194121511114775</v>
      </c>
      <c r="BD199" s="354">
        <f t="shared" si="8"/>
        <v>1.44</v>
      </c>
      <c r="BE199" s="354">
        <f>IF(Vout&gt;8, Iq*Vout, Iq*Table1[[#This Row],[Vin]])</f>
        <v>4.3799999999999999E-2</v>
      </c>
      <c r="BF199" s="354">
        <f>CHOOSE(Table1[[#This Row],[Mode Digit]], (Qg_Q1+Qg_Q2)*Fsw, (Qg_Q3+Qg_Q4)*Fsw, (Qg_Q1+Qg_Q2+Qg_Q3+Qg_Q4)*Fsw)*IF(Vout&gt;8, Vout, Table1[[#This Row],[Vin]])</f>
        <v>0.47303999999999996</v>
      </c>
      <c r="BG199" s="354">
        <f t="shared" si="9"/>
        <v>0.45605042016806729</v>
      </c>
      <c r="BH199" s="354">
        <f>Table1[[#This Row],[IQ Loss]]+Table1[[#This Row],[Switching Current Loss]]</f>
        <v>0.51683999999999997</v>
      </c>
      <c r="BI19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13.937850166660166</v>
      </c>
      <c r="BJ199">
        <f>Vout*Table1[[#This Row],[Iout]]</f>
        <v>175.2</v>
      </c>
      <c r="BK199" s="550">
        <f>Table1[[#This Row],[Pout]]/(Table1[[#This Row],[Pout]]+Table1[[#This Row],[Total Loss]])</f>
        <v>0.92630850908806084</v>
      </c>
      <c r="BL19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361.45189089944853</v>
      </c>
      <c r="BM199" s="559">
        <f>IF(Table1[[#This Row],[Vin]]&gt;Vout, Table1[[#This Row],[Total Sync Bu MOSFET Loss]]*ThetaJA_Q2, ThetaJA_Q3*Table1[[#This Row],[Total Sync Bo MOSFET Loss]])</f>
        <v>66.826362381208511</v>
      </c>
      <c r="BN199" s="9"/>
      <c r="BO199" s="4">
        <f>Table1[[#This Row],[EFF, h]]*100</f>
        <v>92.630850908806082</v>
      </c>
      <c r="BP199" s="354">
        <f>Table1[[#This Row],[Total Inductor Loss]]</f>
        <v>3.2246012660917165</v>
      </c>
      <c r="BQ199" s="354">
        <f>Table1[[#This Row],[Total Control Bu MOSFET Loss]]+Table1[[#This Row],[Total Sync Bu MOSFET Loss]]+Table1[[#This Row],[Total Control Bo MOSFET Loss]]+Table1[[#This Row],[Total Sync Bo MOSFET Loss]]+Table1[[#This Row],[Reverse Recovery Loss MOSFET D BUCK]]+Table1[[#This Row],[Reverse Recovery Loss MOSFET D BOOST]]</f>
        <v>8.423697471258718</v>
      </c>
      <c r="BR199" s="354">
        <f>Table1[[#This Row],[Total Control Bu MOSFET Loss]]+Table1[[#This Row],[Reverse Recovery Loss MOSFET D BUCK]]*0.66</f>
        <v>6.3928710136574756</v>
      </c>
      <c r="BS199" s="354">
        <f>Table1[[#This Row],[Total Sync Bu MOSFET Loss]]+Table1[[#This Row],[Reverse Recovery Loss MOSFET D BUCK]]*0.33</f>
        <v>1.2981091223534753</v>
      </c>
      <c r="BT199" s="354">
        <f xml:space="preserve"> Table1[[#This Row],[Total Control Bo MOSFET Loss]]+Table1[[#This Row],[Reverse Recovery Loss MOSFET D BOOST]]*0.66</f>
        <v>0</v>
      </c>
      <c r="BU199" s="354">
        <f xml:space="preserve"> Table1[[#This Row],[Total Sync Bo MOSFET Loss]]+Table1[[#This Row],[Reverse Recovery Loss MOSFET D BOOST]]*0.33</f>
        <v>0.72713138324776716</v>
      </c>
      <c r="BV199" s="354">
        <f>Table1[[#This Row],[Isense Shunt Loss]]</f>
        <v>0.25194121511114775</v>
      </c>
    </row>
    <row r="200" spans="7:74" x14ac:dyDescent="0.2">
      <c r="G200">
        <v>191</v>
      </c>
      <c r="H200" s="555">
        <f>VIN_min+(VIN_max-VIN_min)*(Table1[[#This Row],[Step]]/200)</f>
        <v>46.739999999999995</v>
      </c>
      <c r="I200" s="4" t="str">
        <f>IF(Mode = 2,IF(Table1[[#This Row],[Vin]]&gt;Vout, "BUCK","BOOST"),IF(Table1[[#This Row],[Vin]]&gt;VIN_BB_to_buck, "BUCK", IF(Table1[[#This Row],[Vin]]&lt;=VIN_boost_to_BB,"BOOST","BUCK-BST")))</f>
        <v>BUCK</v>
      </c>
      <c r="J200">
        <f>IF(Table1[[#This Row],[Mode]]="BOOST",2, IF(Table1[[#This Row],[Mode]]="BUCK", 1,3))</f>
        <v>1</v>
      </c>
      <c r="K200">
        <f t="shared" si="7"/>
        <v>12</v>
      </c>
      <c r="L200" s="4">
        <f>Vout*Table1[[#This Row],[Iout]]/(Table1[[#This Row],[Vin]]*Efficiency)</f>
        <v>3.9456793459901363</v>
      </c>
      <c r="M200" s="711">
        <f>MIN(1/Fsw,CHOOSE(Table1[[#This Row],[Mode Digit]],(Vout+(Rdson2+Rs+Rdcr)*Table1[[#This Row],[Iout]])/(Table1[[#This Row],[Vin]]+(Rs+Rdson2-Rdson1)*Table1[[#This Row],[Iout]])/Fsw,(Vout+(Rdson3+Rdcr)*Table1[[#This Row],[Iin]]-Table1[[#This Row],[Vin]])/(Vout+(Rdson3-Rdson4-Rs)*Table1[[#This Row],[Iin]])/Fsw,t1_Ph_II))</f>
        <v>5.256218373601311E-7</v>
      </c>
      <c r="N200" s="602">
        <f>CHOOSE(Table1[[#This Row],[Mode Digit]],1/Fsw-Table1[[#This Row],[t1_Ph_II]],1/Fsw-Table1[[#This Row],[t1_Ph_II]],(Vout/Fsw-Table1[[#This Row],[Vin]]*t1_Ph_II)/(Table1[[#This Row],[Vin]]+Vout))</f>
        <v>1.1410448293065356E-6</v>
      </c>
      <c r="O200" s="602">
        <f>1/Fsw-(Table1[[#This Row],[t1_Ph_II]]+Table1[[#This Row],[t2_Ph_I]])</f>
        <v>0</v>
      </c>
      <c r="P20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8.8004761642510196</v>
      </c>
      <c r="Q200" s="4">
        <f>CHOOSE(Table1[[#This Row],[Mode Digit]],Table1[[#This Row],[I_0]]+1/Lf*(Table1[[#This Row],[Vin]]-Vout)*Table1[[#This Row],[t1_Ph_II]],Table1[[#This Row],[I_0]]+1/Lf*Table1[[#This Row],[Vin]]*Table1[[#This Row],[t1_Ph_II]],Table1[[#This Row],[I_0]]+(Table1[[#This Row],[Vin]]-Vout)/L*Table1[[#This Row],[t1_Ph_II]])</f>
        <v>15.199523835748979</v>
      </c>
      <c r="R200" s="4">
        <f>CHOOSE(Table1[[#This Row],[Mode Digit]],0,0,Table1[[#This Row],[I_1]]+Table1[[#This Row],[Vin]]/L*Table1[[#This Row],[t2_Ph_I]])</f>
        <v>0</v>
      </c>
      <c r="S200" s="4">
        <f>Fsw*(Table1[[#This Row],[I_0]]*Table1[[#This Row],[t1_Ph_II]]+Table1[[#This Row],[I_1]]*Table1[[#This Row],[t2_Ph_I]]+Table1[[#This Row],[I_2]]*Table1[[#This Row],[t3_Ph_III]])</f>
        <v>13.181436319080285</v>
      </c>
      <c r="T200" s="354">
        <f>MIN(1,CHOOSE(Table1[[#This Row],[Mode Digit]],(Vout+(Rdson2+Rs+Rdcr)*Table1[[#This Row],[Iout]])/(Table1[[#This Row],[Vin]]+(Rs+Rdson2-Rdson1)*Table1[[#This Row],[Iout]]),1,Fsw*Table1[[#This Row],[t2_Ph_I]]+Table1[[#This Row],[t1_Ph_II]]))</f>
        <v>0.31537310241607869</v>
      </c>
      <c r="U200" s="354">
        <f>MIN(1,CHOOSE(Table1[[#This Row],[Mode Digit]],0,(Vout+(Rdson3+Rdcr)*Table1[[#This Row],[Iin]]-Table1[[#This Row],[Vin]])/(Vout+(Rdson3-Rdson4-Rs)*Table1[[#This Row],[Iin]]),Fsw*Table1[[#This Row],[t1_Ph_II]]+Table1[[#This Row],[t3_Ph_III]]))</f>
        <v>0</v>
      </c>
      <c r="V200" s="4">
        <f>MAX(Table1[[#This Row],[I_0]:[I_2]])-MIN(Table1[[#This Row],[I_0]:[I_1]])</f>
        <v>6.3990476714979589</v>
      </c>
      <c r="W20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12.141347437242786</v>
      </c>
      <c r="X200" s="354">
        <f>(Table1[[#This Row],[Irms Lf]]^2*Rdcr*(1+Ltc*Ta-Ltc*25))/(1-Table1[[#This Row],[Irms Lf]]^2*Rdcr*Ltc*ThetaCa)</f>
        <v>0.91776600869017055</v>
      </c>
      <c r="Y200" s="354">
        <f>ABS(7.759*10^-3*Fsw^0.9458*(0.00787*Table1[[#This Row],[Ripple Current pk-pk]])^2.304)</f>
        <v>2.3141779118262691</v>
      </c>
      <c r="Z200" s="354">
        <f>Table1[[#This Row],[DCR    Loss]]+Table1[[#This Row],[Core Loss]]</f>
        <v>3.2319439205164397</v>
      </c>
      <c r="AA200" s="4">
        <f>IF(Table1[[#This Row],[Vin]]&gt;Vout, Table1[[#This Row],[Ripple Current pk-pk]]/SQRT(12), SQRT(Table1[[#This Row],[Duty Cycle BOOST Leg]]/(1-Table1[[#This Row],[Duty Cycle BOOST Leg]]))*SQRT(Table1[[#This Row],[Iout]]^2+(Table1[[#This Row],[Ripple Current pk-pk]]^2)/12))</f>
        <v>1.8472459478482974</v>
      </c>
      <c r="AB200" s="354">
        <f>RCoutEsr*Table1[[#This Row],[Irms Cout]]^2</f>
        <v>1.7061587959209774E-2</v>
      </c>
      <c r="AC200" s="354">
        <f>Table1[[#This Row],[Cout ESR Loss]]</f>
        <v>1.7061587959209774E-2</v>
      </c>
      <c r="AD200" s="354">
        <f>IF(Table1[[#This Row],[Vin]]&gt;Vout, SQRT(Table1[[#This Row],[Duty Cycle BUCK Leg]]*(1-Table1[[#This Row],[Duty Cycle BUCK Leg]]))*SQRT(Table1[[#This Row],[Iout]]^2+(Table1[[#This Row],[Ripple Current pk-pk]]^2)/12), Table1[[#This Row],[Ripple Current pk-pk]]/SQRT(12))</f>
        <v>5.6416506687114962</v>
      </c>
      <c r="AE200" s="354">
        <f>RCinEsr*Table1[[#This Row],[Irms Cin]]^2</f>
        <v>6.3656444535545753E-2</v>
      </c>
      <c r="AF200" s="549">
        <f>Table1[[#This Row],[Cin ESR Loss]]</f>
        <v>6.3656444535545753E-2</v>
      </c>
      <c r="AG20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6.8183487688210471</v>
      </c>
      <c r="AH200" s="354">
        <f>Rdson1*Table1[[#This Row],[Irms BuCtrl]]^2</f>
        <v>0.19525749571979067</v>
      </c>
      <c r="AI200" s="354">
        <f>CHOOSE(Table1[[#This Row],[Mode Digit]], (Table1[[#This Row],[Vin]]*Table1[[#This Row],[Iout]]/2)*(Fsw)*(Tr_buck+Tf_buck), 0, (Table1[[#This Row],[Vin]]*Table1[[#This Row],[Avg IL]]/2)*(Fsw/1)*(Tr_buck+Tf_buck))</f>
        <v>5.5618918908870478</v>
      </c>
      <c r="AJ200">
        <f>IF(Table1[[#This Row],[Vin]]&gt;Vout, IF(Table1[[#This Row],[Iout]]&gt;Table1[[#This Row],[Ripple Current pk-pk]]/2,0,ABS(Table1[[#This Row],[Iout]]-Table1[[#This Row],[Ripple Current pk-pk]]/2)*Vsd_Q1*Deadtime*Fsw),0)</f>
        <v>0</v>
      </c>
      <c r="AK200" s="354">
        <f>(Table1[[#This Row],[Dead Time Loss BuCtrl]]+Table1[[#This Row],[Transition Loss BuCtrl]]+Table1[[#This Row],[RDS(on) Loss BuCtrl]]*(1+RdsonTopTc*Ta-RdsonTopTc*25))/(1-Table1[[#This Row],[RDS(on) Loss BuCtrl]]*RdsonTopTc*ThetaJA_Q1)</f>
        <v>6.0402042226426733</v>
      </c>
      <c r="AL200" s="354">
        <f>CHOOSE(Table1[[#This Row],[Mode Digit]],SQRT((Fsw*(Table1[[#This Row],[t2_Ph_I]]+0))*((Table1[[#This Row],[I_0]]*Table1[[#This Row],[I_1]]+((Table1[[#This Row],[I_0]]-Table1[[#This Row],[I_1]])^2)/3))),0,SQRT((Fsw*(Table1[[#This Row],[t3_Ph_III]]+0))*((Table1[[#This Row],[I_0]]*Table1[[#This Row],[I_2]]+((Table1[[#This Row],[I_0]]-Table1[[#This Row],[I_2]])^2)/3))))</f>
        <v>10.046016009272455</v>
      </c>
      <c r="AM200" s="354">
        <f>Rdson2*Table1[[#This Row],[Irms BuSync]]^2</f>
        <v>0.42387423816594555</v>
      </c>
      <c r="AN20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00" s="354">
        <f>(Table1[[#This Row],[Deadtime Loss BuSync]]+Table1[[#This Row],[RDS(on) Loss BuSync]]*(1+RdsonBotTc*Ta-RdsonBotTc*25))/(1-Table1[[#This Row],[RDS(on) Loss BuSync]]*RdsonBotTc*ThetaJA_Q2)</f>
        <v>1.1146375398675825</v>
      </c>
      <c r="AP200" s="354">
        <f>CHOOSE(Table1[[#This Row],[Mode Digit]],0,SQRT((Fsw*(Table1[[#This Row],[t1_Ph_II]]+0))*((Table1[[#This Row],[I_0]]*Table1[[#This Row],[I_1]]+((Table1[[#This Row],[I_0]]-Table1[[#This Row],[I_1]])^2)/3))),SQRT((Fsw*(Table1[[#This Row],[t2_Ph_I]]+0))*((Table1[[#This Row],[I_1]]*Table1[[#This Row],[I_2]]+((Table1[[#This Row],[I_1]]-Table1[[#This Row],[I_2]])^2)/3))))</f>
        <v>0</v>
      </c>
      <c r="AQ200" s="354">
        <f>Rdson4*Table1[[#This Row],[Irms BoCtlr]]^2</f>
        <v>0</v>
      </c>
      <c r="AR200" s="354">
        <f>CHOOSE(Table1[[#This Row],[Mode Digit]], 0, (Vout*Table1[[#This Row],[Iin]]/2)*(Fsw)*(Tr_boost+Tf_boost), (Vout*Iout/2)*(Fsw/1)*(Tr_boost+Tf_boost))</f>
        <v>0</v>
      </c>
      <c r="AS200">
        <f>IF(Table1[[#This Row],[Vin]]&gt;Vout, 0, IF(Table1[[#This Row],[Iin]]&gt;Table1[[#This Row],[Ripple Current pk-pk]]/2,0,ABS(Table1[[#This Row],[Iin]]-Table1[[#This Row],[Ripple Current pk-pk]]/2)*Vsd_Q4*Deadtime*Fsw))</f>
        <v>0</v>
      </c>
      <c r="AT200" s="354">
        <f>(Table1[[#This Row],[Dead Time Loss BoCtlr]]+Table1[[#This Row],[Transition Loss BoCtlr]]+Table1[[#This Row],[RDS(on) Loss BoCtlr]]*(1+RdsonTopTc*Ta-RdsonTopTc*25))/(1-Table1[[#This Row],[RDS(on) Loss BoCtlr]]*RdsonTopTc*ThetaJA_Q4)</f>
        <v>0</v>
      </c>
      <c r="AU20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12.141347437242786</v>
      </c>
      <c r="AV200" s="354">
        <f>Rdson3*Table1[[#This Row],[Irms BoSync]]^2</f>
        <v>0.61913173388573639</v>
      </c>
      <c r="AW20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00" s="354">
        <f>(Table1[[#This Row],[Deadtime Loss BoSync]]+Table1[[#This Row],[RDS(on) Loss BoSync]]*(1+RdsonBotTc*Ta-RdsonBotTc*25))/(1-Table1[[#This Row],[RDS(on) Loss BoSync]]*RdsonBotTc*ThetaJA_Q3)</f>
        <v>0.7271853855530559</v>
      </c>
      <c r="AY200" s="354">
        <f>CHOOSE(Table1[[#This Row],[Mode Digit]], Rdson3*Table1[[#This Row],[Irms Lf]]^2, Rdson1*Table1[[#This Row],[Irms Lf]]^2, 0)</f>
        <v>0.61913173388573639</v>
      </c>
      <c r="AZ200" s="354">
        <f>CHOOSE(Table1[[#This Row],[Mode Digit]], 2*Deadtime*Fsw*IF(VfdSky_Q2&gt;0,VfdSky_Q2,0)*Table1[[#This Row],[Iout]], 2*Deadtime*Fsw*IF(VfdSky_Q3&gt;0,VfdSky_Q3,0)*Table1[[#This Row],[Iin]], 2*Deadtime*Fsw*IF(VfdSky_Q2&gt;0,VfdSky_Q2,0)*Table1[[#This Row],[Iout]]+2*Deadtime*Fsw*IF(VfdSky_Q3&gt;0,VfdSky_Q3,0)*Table1[[#This Row],[Iin]])</f>
        <v>0</v>
      </c>
      <c r="BA200" s="354">
        <f>CHOOSE(Table1[[#This Row],[Mode Digit]], IF(QrrSky_Q2&gt;0,QrrSky_Q2,Qrr_Q2)*Fsw*(Table1[[#This Row],[Vin]]-Table1[[#This Row],[Iout]]*Rdson1),0,  IF(QrrSky_Q2&gt;0,QrrSky_Q2,Qrr_Q2)*Fsw*(Table1[[#This Row],[Vin]]-Table1[[#This Row],[Iout]]*Rdson1)+IF(QrrSky_Q3&gt;0,QrrSky_Q3,Qrr_Q3)*Fsw*Vout)</f>
        <v>0.56027519999999986</v>
      </c>
      <c r="BB200" s="354">
        <f>CHOOSE(Table1[[#This Row],[Mode Digit]],0, IF(QrrSky_Q3&gt;0,QrrSky_Q3,Qrr_Q3)*Fsw*Vout,  IF(QrrSky_Q2&gt;0,QrrSky_Q2,Qrr_Q2)*Fsw*(Table1[[#This Row],[Vin]]-Table1[[#This Row],[Iout]]*Rdson1)+IF(QrrSky_Q3&gt;0,QrrSky_Q3,Qrr_Q3)*Fsw*Vout)</f>
        <v>0</v>
      </c>
      <c r="BC200" s="354">
        <f>CHOOSE(Table1[[#This Row],[Mode Digit]], Rs*Table1[[#This Row],[Irms BuSync]]^2, Rs*Table1[[#This Row],[Irms BoCtlr]]^2, Rs*(Table1[[#This Row],[Irms BuSync]]^2+Table1[[#This Row],[Irms BoCtlr]]^2))</f>
        <v>0.25230609414639615</v>
      </c>
      <c r="BD200" s="354">
        <f t="shared" si="8"/>
        <v>1.44</v>
      </c>
      <c r="BE200" s="354">
        <f>IF(Vout&gt;8, Iq*Vout, Iq*Table1[[#This Row],[Vin]])</f>
        <v>4.3799999999999999E-2</v>
      </c>
      <c r="BF200" s="354">
        <f>CHOOSE(Table1[[#This Row],[Mode Digit]], (Qg_Q1+Qg_Q2)*Fsw, (Qg_Q3+Qg_Q4)*Fsw, (Qg_Q1+Qg_Q2+Qg_Q3+Qg_Q4)*Fsw)*IF(Vout&gt;8, Vout, Table1[[#This Row],[Vin]])</f>
        <v>0.47303999999999996</v>
      </c>
      <c r="BG200" s="354">
        <f t="shared" si="9"/>
        <v>0.45605042016806729</v>
      </c>
      <c r="BH200" s="354">
        <f>Table1[[#This Row],[IQ Loss]]+Table1[[#This Row],[Switching Current Loss]]</f>
        <v>0.51683999999999997</v>
      </c>
      <c r="BI20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13.964110395220903</v>
      </c>
      <c r="BJ200">
        <f>Vout*Table1[[#This Row],[Iout]]</f>
        <v>175.2</v>
      </c>
      <c r="BK200" s="550">
        <f>Table1[[#This Row],[Pout]]/(Table1[[#This Row],[Pout]]+Table1[[#This Row],[Total Loss]])</f>
        <v>0.92617991665519606</v>
      </c>
      <c r="BL20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362.41225335856041</v>
      </c>
      <c r="BM200" s="559">
        <f>IF(Table1[[#This Row],[Vin]]&gt;Vout, Table1[[#This Row],[Total Sync Bu MOSFET Loss]]*ThetaJA_Q2, ThetaJA_Q3*Table1[[#This Row],[Total Sync Bo MOSFET Loss]])</f>
        <v>66.878252392054947</v>
      </c>
      <c r="BN200" s="9"/>
      <c r="BO200" s="4">
        <f>Table1[[#This Row],[EFF, h]]*100</f>
        <v>92.617991665519611</v>
      </c>
      <c r="BP200" s="354">
        <f>Table1[[#This Row],[Total Inductor Loss]]</f>
        <v>3.2319439205164397</v>
      </c>
      <c r="BQ200" s="354">
        <f>Table1[[#This Row],[Total Control Bu MOSFET Loss]]+Table1[[#This Row],[Total Sync Bu MOSFET Loss]]+Table1[[#This Row],[Total Control Bo MOSFET Loss]]+Table1[[#This Row],[Total Sync Bo MOSFET Loss]]+Table1[[#This Row],[Reverse Recovery Loss MOSFET D BUCK]]+Table1[[#This Row],[Reverse Recovery Loss MOSFET D BOOST]]</f>
        <v>8.4423023480633113</v>
      </c>
      <c r="BR200" s="354">
        <f>Table1[[#This Row],[Total Control Bu MOSFET Loss]]+Table1[[#This Row],[Reverse Recovery Loss MOSFET D BUCK]]*0.66</f>
        <v>6.4099858546426729</v>
      </c>
      <c r="BS200" s="354">
        <f>Table1[[#This Row],[Total Sync Bu MOSFET Loss]]+Table1[[#This Row],[Reverse Recovery Loss MOSFET D BUCK]]*0.33</f>
        <v>1.2995283558675825</v>
      </c>
      <c r="BT200" s="354">
        <f xml:space="preserve"> Table1[[#This Row],[Total Control Bo MOSFET Loss]]+Table1[[#This Row],[Reverse Recovery Loss MOSFET D BOOST]]*0.66</f>
        <v>0</v>
      </c>
      <c r="BU200" s="354">
        <f xml:space="preserve"> Table1[[#This Row],[Total Sync Bo MOSFET Loss]]+Table1[[#This Row],[Reverse Recovery Loss MOSFET D BOOST]]*0.33</f>
        <v>0.7271853855530559</v>
      </c>
      <c r="BV200" s="354">
        <f>Table1[[#This Row],[Isense Shunt Loss]]</f>
        <v>0.25230609414639615</v>
      </c>
    </row>
    <row r="201" spans="7:74" x14ac:dyDescent="0.2">
      <c r="G201">
        <v>192</v>
      </c>
      <c r="H201" s="555">
        <f>VIN_min+(VIN_max-VIN_min)*(Table1[[#This Row],[Step]]/200)</f>
        <v>46.879999999999995</v>
      </c>
      <c r="I201" s="4" t="str">
        <f>IF(Mode = 2,IF(Table1[[#This Row],[Vin]]&gt;Vout, "BUCK","BOOST"),IF(Table1[[#This Row],[Vin]]&gt;VIN_BB_to_buck, "BUCK", IF(Table1[[#This Row],[Vin]]&lt;=VIN_boost_to_BB,"BOOST","BUCK-BST")))</f>
        <v>BUCK</v>
      </c>
      <c r="J201">
        <f>IF(Table1[[#This Row],[Mode]]="BOOST",2, IF(Table1[[#This Row],[Mode]]="BUCK", 1,3))</f>
        <v>1</v>
      </c>
      <c r="K201">
        <f t="shared" ref="K201:K209" si="10">Iout</f>
        <v>12</v>
      </c>
      <c r="L201" s="4">
        <f>Vout*Table1[[#This Row],[Iout]]/(Table1[[#This Row],[Vin]]*Efficiency)</f>
        <v>3.9338961738818039</v>
      </c>
      <c r="M201" s="711">
        <f>MIN(1/Fsw,CHOOSE(Table1[[#This Row],[Mode Digit]],(Vout+(Rdson2+Rs+Rdcr)*Table1[[#This Row],[Iout]])/(Table1[[#This Row],[Vin]]+(Rs+Rdson2-Rdson1)*Table1[[#This Row],[Iout]])/Fsw,(Vout+(Rdson3+Rdcr)*Table1[[#This Row],[Iin]]-Table1[[#This Row],[Vin]])/(Vout+(Rdson3-Rdson4-Rs)*Table1[[#This Row],[Iin]])/Fsw,t1_Ph_II))</f>
        <v>5.2405315142471405E-7</v>
      </c>
      <c r="N201" s="602">
        <f>CHOOSE(Table1[[#This Row],[Mode Digit]],1/Fsw-Table1[[#This Row],[t1_Ph_II]],1/Fsw-Table1[[#This Row],[t1_Ph_II]],(Vout/Fsw-Table1[[#This Row],[Vin]]*t1_Ph_II)/(Table1[[#This Row],[Vin]]+Vout))</f>
        <v>1.1426135152419527E-6</v>
      </c>
      <c r="O201" s="602">
        <f>1/Fsw-(Table1[[#This Row],[t1_Ph_II]]+Table1[[#This Row],[t2_Ph_I]])</f>
        <v>0</v>
      </c>
      <c r="P20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8.7961295969716353</v>
      </c>
      <c r="Q201" s="4">
        <f>CHOOSE(Table1[[#This Row],[Mode Digit]],Table1[[#This Row],[I_0]]+1/Lf*(Table1[[#This Row],[Vin]]-Vout)*Table1[[#This Row],[t1_Ph_II]],Table1[[#This Row],[I_0]]+1/Lf*Table1[[#This Row],[Vin]]*Table1[[#This Row],[t1_Ph_II]],Table1[[#This Row],[I_0]]+(Table1[[#This Row],[Vin]]-Vout)/L*Table1[[#This Row],[t1_Ph_II]])</f>
        <v>15.203870403028365</v>
      </c>
      <c r="R201" s="4">
        <f>CHOOSE(Table1[[#This Row],[Mode Digit]],0,0,Table1[[#This Row],[I_1]]+Table1[[#This Row],[Vin]]/L*Table1[[#This Row],[t2_Ph_I]])</f>
        <v>0</v>
      </c>
      <c r="S201" s="4">
        <f>Fsw*(Table1[[#This Row],[I_0]]*Table1[[#This Row],[t1_Ph_II]]+Table1[[#This Row],[I_1]]*Table1[[#This Row],[t2_Ph_I]]+Table1[[#This Row],[I_2]]*Table1[[#This Row],[t3_Ph_III]])</f>
        <v>13.189072345272306</v>
      </c>
      <c r="T201" s="354">
        <f>MIN(1,CHOOSE(Table1[[#This Row],[Mode Digit]],(Vout+(Rdson2+Rs+Rdcr)*Table1[[#This Row],[Iout]])/(Table1[[#This Row],[Vin]]+(Rs+Rdson2-Rdson1)*Table1[[#This Row],[Iout]]),1,Fsw*Table1[[#This Row],[t2_Ph_I]]+Table1[[#This Row],[t1_Ph_II]]))</f>
        <v>0.31443189085482842</v>
      </c>
      <c r="U201" s="354">
        <f>MIN(1,CHOOSE(Table1[[#This Row],[Mode Digit]],0,(Vout+(Rdson3+Rdcr)*Table1[[#This Row],[Iin]]-Table1[[#This Row],[Vin]])/(Vout+(Rdson3-Rdson4-Rs)*Table1[[#This Row],[Iin]]),Fsw*Table1[[#This Row],[t1_Ph_II]]+Table1[[#This Row],[t3_Ph_III]]))</f>
        <v>0</v>
      </c>
      <c r="V201" s="4">
        <f>MAX(Table1[[#This Row],[I_0]:[I_2]])-MIN(Table1[[#This Row],[I_0]:[I_1]])</f>
        <v>6.4077408060567294</v>
      </c>
      <c r="W20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12.141729497335502</v>
      </c>
      <c r="X201" s="354">
        <f>(Table1[[#This Row],[Irms Lf]]^2*Rdcr*(1+Ltc*Ta-Ltc*25))/(1-Table1[[#This Row],[Irms Lf]]^2*Rdcr*Ltc*ThetaCa)</f>
        <v>0.91782801070389086</v>
      </c>
      <c r="Y201" s="354">
        <f>ABS(7.759*10^-3*Fsw^0.9458*(0.00787*Table1[[#This Row],[Ripple Current pk-pk]])^2.304)</f>
        <v>2.3214276918964045</v>
      </c>
      <c r="Z201" s="354">
        <f>Table1[[#This Row],[DCR    Loss]]+Table1[[#This Row],[Core Loss]]</f>
        <v>3.2392557026002953</v>
      </c>
      <c r="AA201" s="4">
        <f>IF(Table1[[#This Row],[Vin]]&gt;Vout, Table1[[#This Row],[Ripple Current pk-pk]]/SQRT(12), SQRT(Table1[[#This Row],[Duty Cycle BOOST Leg]]/(1-Table1[[#This Row],[Duty Cycle BOOST Leg]]))*SQRT(Table1[[#This Row],[Iout]]^2+(Table1[[#This Row],[Ripple Current pk-pk]]^2)/12))</f>
        <v>1.8497554396371012</v>
      </c>
      <c r="AB201" s="354">
        <f>RCoutEsr*Table1[[#This Row],[Irms Cout]]^2</f>
        <v>1.7107975932335231E-2</v>
      </c>
      <c r="AC201" s="354">
        <f>Table1[[#This Row],[Cout ESR Loss]]</f>
        <v>1.7107975932335231E-2</v>
      </c>
      <c r="AD201" s="354">
        <f>IF(Table1[[#This Row],[Vin]]&gt;Vout, SQRT(Table1[[#This Row],[Duty Cycle BUCK Leg]]*(1-Table1[[#This Row],[Duty Cycle BUCK Leg]]))*SQRT(Table1[[#This Row],[Iout]]^2+(Table1[[#This Row],[Ripple Current pk-pk]]^2)/12), Table1[[#This Row],[Ripple Current pk-pk]]/SQRT(12))</f>
        <v>5.637274079327609</v>
      </c>
      <c r="AE201" s="354">
        <f>RCinEsr*Table1[[#This Row],[Irms Cin]]^2</f>
        <v>6.3557718090917883E-2</v>
      </c>
      <c r="AF201" s="549">
        <f>Table1[[#This Row],[Cin ESR Loss]]</f>
        <v>6.3557718090917883E-2</v>
      </c>
      <c r="AG20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6.8083809328882223</v>
      </c>
      <c r="AH201" s="354">
        <f>Rdson1*Table1[[#This Row],[Irms BuCtrl]]^2</f>
        <v>0.19468701389472681</v>
      </c>
      <c r="AI201" s="354">
        <f>CHOOSE(Table1[[#This Row],[Mode Digit]], (Table1[[#This Row],[Vin]]*Table1[[#This Row],[Iout]]/2)*(Fsw)*(Tr_buck+Tf_buck), 0, (Table1[[#This Row],[Vin]]*Table1[[#This Row],[Avg IL]]/2)*(Fsw/1)*(Tr_buck+Tf_buck))</f>
        <v>5.5785513873509798</v>
      </c>
      <c r="AJ201">
        <f>IF(Table1[[#This Row],[Vin]]&gt;Vout, IF(Table1[[#This Row],[Iout]]&gt;Table1[[#This Row],[Ripple Current pk-pk]]/2,0,ABS(Table1[[#This Row],[Iout]]-Table1[[#This Row],[Ripple Current pk-pk]]/2)*Vsd_Q1*Deadtime*Fsw),0)</f>
        <v>0</v>
      </c>
      <c r="AK201" s="354">
        <f>(Table1[[#This Row],[Dead Time Loss BuCtrl]]+Table1[[#This Row],[Transition Loss BuCtrl]]+Table1[[#This Row],[RDS(on) Loss BuCtrl]]*(1+RdsonTopTc*Ta-RdsonTopTc*25))/(1-Table1[[#This Row],[RDS(on) Loss BuCtrl]]*RdsonTopTc*ThetaJA_Q1)</f>
        <v>6.0562143082487809</v>
      </c>
      <c r="AL201" s="354">
        <f>CHOOSE(Table1[[#This Row],[Mode Digit]],SQRT((Fsw*(Table1[[#This Row],[t2_Ph_I]]+0))*((Table1[[#This Row],[I_0]]*Table1[[#This Row],[I_1]]+((Table1[[#This Row],[I_0]]-Table1[[#This Row],[I_1]])^2)/3))),0,SQRT((Fsw*(Table1[[#This Row],[t3_Ph_III]]+0))*((Table1[[#This Row],[I_0]]*Table1[[#This Row],[I_2]]+((Table1[[#This Row],[I_0]]-Table1[[#This Row],[I_2]])^2)/3))))</f>
        <v>10.053235511970819</v>
      </c>
      <c r="AM201" s="354">
        <f>Rdson2*Table1[[#This Row],[Irms BuSync]]^2</f>
        <v>0.42448368588843494</v>
      </c>
      <c r="AN20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01" s="354">
        <f>(Table1[[#This Row],[Deadtime Loss BuSync]]+Table1[[#This Row],[RDS(on) Loss BuSync]]*(1+RdsonBotTc*Ta-RdsonBotTc*25))/(1-Table1[[#This Row],[RDS(on) Loss BuSync]]*RdsonBotTc*ThetaJA_Q2)</f>
        <v>1.1154976471464033</v>
      </c>
      <c r="AP201" s="354">
        <f>CHOOSE(Table1[[#This Row],[Mode Digit]],0,SQRT((Fsw*(Table1[[#This Row],[t1_Ph_II]]+0))*((Table1[[#This Row],[I_0]]*Table1[[#This Row],[I_1]]+((Table1[[#This Row],[I_0]]-Table1[[#This Row],[I_1]])^2)/3))),SQRT((Fsw*(Table1[[#This Row],[t2_Ph_I]]+0))*((Table1[[#This Row],[I_1]]*Table1[[#This Row],[I_2]]+((Table1[[#This Row],[I_1]]-Table1[[#This Row],[I_2]])^2)/3))))</f>
        <v>0</v>
      </c>
      <c r="AQ201" s="354">
        <f>Rdson4*Table1[[#This Row],[Irms BoCtlr]]^2</f>
        <v>0</v>
      </c>
      <c r="AR201" s="354">
        <f>CHOOSE(Table1[[#This Row],[Mode Digit]], 0, (Vout*Table1[[#This Row],[Iin]]/2)*(Fsw)*(Tr_boost+Tf_boost), (Vout*Iout/2)*(Fsw/1)*(Tr_boost+Tf_boost))</f>
        <v>0</v>
      </c>
      <c r="AS201">
        <f>IF(Table1[[#This Row],[Vin]]&gt;Vout, 0, IF(Table1[[#This Row],[Iin]]&gt;Table1[[#This Row],[Ripple Current pk-pk]]/2,0,ABS(Table1[[#This Row],[Iin]]-Table1[[#This Row],[Ripple Current pk-pk]]/2)*Vsd_Q4*Deadtime*Fsw))</f>
        <v>0</v>
      </c>
      <c r="AT201" s="354">
        <f>(Table1[[#This Row],[Dead Time Loss BoCtlr]]+Table1[[#This Row],[Transition Loss BoCtlr]]+Table1[[#This Row],[RDS(on) Loss BoCtlr]]*(1+RdsonTopTc*Ta-RdsonTopTc*25))/(1-Table1[[#This Row],[RDS(on) Loss BoCtlr]]*RdsonTopTc*ThetaJA_Q4)</f>
        <v>0</v>
      </c>
      <c r="AU20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12.141729497335502</v>
      </c>
      <c r="AV201" s="354">
        <f>Rdson3*Table1[[#This Row],[Irms BoSync]]^2</f>
        <v>0.61917069978316153</v>
      </c>
      <c r="AW20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01" s="354">
        <f>(Table1[[#This Row],[Deadtime Loss BoSync]]+Table1[[#This Row],[RDS(on) Loss BoSync]]*(1+RdsonBotTc*Ta-RdsonBotTc*25))/(1-Table1[[#This Row],[RDS(on) Loss BoSync]]*RdsonBotTc*ThetaJA_Q3)</f>
        <v>0.72723913990228151</v>
      </c>
      <c r="AY201" s="354">
        <f>CHOOSE(Table1[[#This Row],[Mode Digit]], Rdson3*Table1[[#This Row],[Irms Lf]]^2, Rdson1*Table1[[#This Row],[Irms Lf]]^2, 0)</f>
        <v>0.61917069978316153</v>
      </c>
      <c r="AZ201" s="354">
        <f>CHOOSE(Table1[[#This Row],[Mode Digit]], 2*Deadtime*Fsw*IF(VfdSky_Q2&gt;0,VfdSky_Q2,0)*Table1[[#This Row],[Iout]], 2*Deadtime*Fsw*IF(VfdSky_Q3&gt;0,VfdSky_Q3,0)*Table1[[#This Row],[Iin]], 2*Deadtime*Fsw*IF(VfdSky_Q2&gt;0,VfdSky_Q2,0)*Table1[[#This Row],[Iout]]+2*Deadtime*Fsw*IF(VfdSky_Q3&gt;0,VfdSky_Q3,0)*Table1[[#This Row],[Iin]])</f>
        <v>0</v>
      </c>
      <c r="BA201" s="354">
        <f>CHOOSE(Table1[[#This Row],[Mode Digit]], IF(QrrSky_Q2&gt;0,QrrSky_Q2,Qrr_Q2)*Fsw*(Table1[[#This Row],[Vin]]-Table1[[#This Row],[Iout]]*Rdson1),0,  IF(QrrSky_Q2&gt;0,QrrSky_Q2,Qrr_Q2)*Fsw*(Table1[[#This Row],[Vin]]-Table1[[#This Row],[Iout]]*Rdson1)+IF(QrrSky_Q3&gt;0,QrrSky_Q3,Qrr_Q3)*Fsw*Vout)</f>
        <v>0.56195519999999988</v>
      </c>
      <c r="BB201" s="354">
        <f>CHOOSE(Table1[[#This Row],[Mode Digit]],0, IF(QrrSky_Q3&gt;0,QrrSky_Q3,Qrr_Q3)*Fsw*Vout,  IF(QrrSky_Q2&gt;0,QrrSky_Q2,Qrr_Q2)*Fsw*(Table1[[#This Row],[Vin]]-Table1[[#This Row],[Iout]]*Rdson1)+IF(QrrSky_Q3&gt;0,QrrSky_Q3,Qrr_Q3)*Fsw*Vout)</f>
        <v>0</v>
      </c>
      <c r="BC201" s="354">
        <f>CHOOSE(Table1[[#This Row],[Mode Digit]], Rs*Table1[[#This Row],[Irms BuSync]]^2, Rs*Table1[[#This Row],[Irms BoCtlr]]^2, Rs*(Table1[[#This Row],[Irms BuSync]]^2+Table1[[#This Row],[Irms BoCtlr]]^2))</f>
        <v>0.25266886064787791</v>
      </c>
      <c r="BD201" s="354">
        <f t="shared" ref="BD201:BD209" si="11">Rshunt/1000*Iout^2</f>
        <v>1.44</v>
      </c>
      <c r="BE201" s="354">
        <f>IF(Vout&gt;8, Iq*Vout, Iq*Table1[[#This Row],[Vin]])</f>
        <v>4.3799999999999999E-2</v>
      </c>
      <c r="BF201" s="354">
        <f>CHOOSE(Table1[[#This Row],[Mode Digit]], (Qg_Q1+Qg_Q2)*Fsw, (Qg_Q3+Qg_Q4)*Fsw, (Qg_Q1+Qg_Q2+Qg_Q3+Qg_Q4)*Fsw)*IF(Vout&gt;8, Vout, Table1[[#This Row],[Vin]])</f>
        <v>0.47303999999999996</v>
      </c>
      <c r="BG201" s="354">
        <f t="shared" ref="BG201:BG209" si="12">(Vin-Vdd)*Fsw*(Qg_Q1+Qg_Q2)+(RdsonDRT+RdsonDRT2)*Fsw*Qg_Q1*Vdd/(RdsonDRT+2*Rgate1+RdsonDRT2)+(RdsonDRB+RdsonDRB2)*Fsw*Qg_Q2*Vdd/(RdsonDRB+2*Rgate2+RdsonDRB2)</f>
        <v>0.45605042016806729</v>
      </c>
      <c r="BH201" s="354">
        <f>Table1[[#This Row],[IQ Loss]]+Table1[[#This Row],[Switching Current Loss]]</f>
        <v>0.51683999999999997</v>
      </c>
      <c r="BI20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13.990336552568891</v>
      </c>
      <c r="BJ201">
        <f>Vout*Table1[[#This Row],[Iout]]</f>
        <v>175.2</v>
      </c>
      <c r="BK201" s="550">
        <f>Table1[[#This Row],[Pout]]/(Table1[[#This Row],[Pout]]+Table1[[#This Row],[Total Loss]])</f>
        <v>0.9260515266926358</v>
      </c>
      <c r="BL20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363.37285849492685</v>
      </c>
      <c r="BM201" s="559">
        <f>IF(Table1[[#This Row],[Vin]]&gt;Vout, Table1[[#This Row],[Total Sync Bu MOSFET Loss]]*ThetaJA_Q2, ThetaJA_Q3*Table1[[#This Row],[Total Sync Bo MOSFET Loss]])</f>
        <v>66.929858828784205</v>
      </c>
      <c r="BN201" s="9"/>
      <c r="BO201" s="4">
        <f>Table1[[#This Row],[EFF, h]]*100</f>
        <v>92.605152669263575</v>
      </c>
      <c r="BP201" s="354">
        <f>Table1[[#This Row],[Total Inductor Loss]]</f>
        <v>3.2392557026002953</v>
      </c>
      <c r="BQ201" s="354">
        <f>Table1[[#This Row],[Total Control Bu MOSFET Loss]]+Table1[[#This Row],[Total Sync Bu MOSFET Loss]]+Table1[[#This Row],[Total Control Bo MOSFET Loss]]+Table1[[#This Row],[Total Sync Bo MOSFET Loss]]+Table1[[#This Row],[Reverse Recovery Loss MOSFET D BUCK]]+Table1[[#This Row],[Reverse Recovery Loss MOSFET D BOOST]]</f>
        <v>8.4609062952974661</v>
      </c>
      <c r="BR201" s="354">
        <f>Table1[[#This Row],[Total Control Bu MOSFET Loss]]+Table1[[#This Row],[Reverse Recovery Loss MOSFET D BUCK]]*0.66</f>
        <v>6.4271047402487813</v>
      </c>
      <c r="BS201" s="354">
        <f>Table1[[#This Row],[Total Sync Bu MOSFET Loss]]+Table1[[#This Row],[Reverse Recovery Loss MOSFET D BUCK]]*0.33</f>
        <v>1.3009428631464033</v>
      </c>
      <c r="BT201" s="354">
        <f xml:space="preserve"> Table1[[#This Row],[Total Control Bo MOSFET Loss]]+Table1[[#This Row],[Reverse Recovery Loss MOSFET D BOOST]]*0.66</f>
        <v>0</v>
      </c>
      <c r="BU201" s="354">
        <f xml:space="preserve"> Table1[[#This Row],[Total Sync Bo MOSFET Loss]]+Table1[[#This Row],[Reverse Recovery Loss MOSFET D BOOST]]*0.33</f>
        <v>0.72723913990228151</v>
      </c>
      <c r="BV201" s="354">
        <f>Table1[[#This Row],[Isense Shunt Loss]]</f>
        <v>0.25266886064787791</v>
      </c>
    </row>
    <row r="202" spans="7:74" x14ac:dyDescent="0.2">
      <c r="G202">
        <v>193</v>
      </c>
      <c r="H202" s="555">
        <f>VIN_min+(VIN_max-VIN_min)*(Table1[[#This Row],[Step]]/200)</f>
        <v>47.019999999999996</v>
      </c>
      <c r="I202" s="4" t="str">
        <f>IF(Mode = 2,IF(Table1[[#This Row],[Vin]]&gt;Vout, "BUCK","BOOST"),IF(Table1[[#This Row],[Vin]]&gt;VIN_BB_to_buck, "BUCK", IF(Table1[[#This Row],[Vin]]&lt;=VIN_boost_to_BB,"BOOST","BUCK-BST")))</f>
        <v>BUCK</v>
      </c>
      <c r="J202">
        <f>IF(Table1[[#This Row],[Mode]]="BOOST",2, IF(Table1[[#This Row],[Mode]]="BUCK", 1,3))</f>
        <v>1</v>
      </c>
      <c r="K202">
        <f t="shared" si="10"/>
        <v>12</v>
      </c>
      <c r="L202" s="4">
        <f>Vout*Table1[[#This Row],[Iout]]/(Table1[[#This Row],[Vin]]*Efficiency)</f>
        <v>3.9221831695359199</v>
      </c>
      <c r="M202" s="711">
        <f>MIN(1/Fsw,CHOOSE(Table1[[#This Row],[Mode Digit]],(Vout+(Rdson2+Rs+Rdcr)*Table1[[#This Row],[Iout]])/(Table1[[#This Row],[Vin]]+(Rs+Rdson2-Rdson1)*Table1[[#This Row],[Iout]])/Fsw,(Vout+(Rdson3+Rdcr)*Table1[[#This Row],[Iin]]-Table1[[#This Row],[Vin]])/(Vout+(Rdson3-Rdson4-Rs)*Table1[[#This Row],[Iin]])/Fsw,t1_Ph_II))</f>
        <v>5.2249380092100606E-7</v>
      </c>
      <c r="N202" s="602">
        <f>CHOOSE(Table1[[#This Row],[Mode Digit]],1/Fsw-Table1[[#This Row],[t1_Ph_II]],1/Fsw-Table1[[#This Row],[t1_Ph_II]],(Vout/Fsw-Table1[[#This Row],[Vin]]*t1_Ph_II)/(Table1[[#This Row],[Vin]]+Vout))</f>
        <v>1.1441728657456606E-6</v>
      </c>
      <c r="O202" s="602">
        <f>1/Fsw-(Table1[[#This Row],[t1_Ph_II]]+Table1[[#This Row],[t2_Ph_I]])</f>
        <v>0</v>
      </c>
      <c r="P20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8.7918088966176118</v>
      </c>
      <c r="Q202" s="4">
        <f>CHOOSE(Table1[[#This Row],[Mode Digit]],Table1[[#This Row],[I_0]]+1/Lf*(Table1[[#This Row],[Vin]]-Vout)*Table1[[#This Row],[t1_Ph_II]],Table1[[#This Row],[I_0]]+1/Lf*Table1[[#This Row],[Vin]]*Table1[[#This Row],[t1_Ph_II]],Table1[[#This Row],[I_0]]+(Table1[[#This Row],[Vin]]-Vout)/L*Table1[[#This Row],[t1_Ph_II]])</f>
        <v>15.20819110338239</v>
      </c>
      <c r="R202" s="4">
        <f>CHOOSE(Table1[[#This Row],[Mode Digit]],0,0,Table1[[#This Row],[I_1]]+Table1[[#This Row],[Vin]]/L*Table1[[#This Row],[t2_Ph_I]])</f>
        <v>0</v>
      </c>
      <c r="S202" s="4">
        <f>Fsw*(Table1[[#This Row],[I_0]]*Table1[[#This Row],[t1_Ph_II]]+Table1[[#This Row],[I_1]]*Table1[[#This Row],[t2_Ph_I]]+Table1[[#This Row],[I_2]]*Table1[[#This Row],[t3_Ph_III]])</f>
        <v>13.196679146957726</v>
      </c>
      <c r="T202" s="354">
        <f>MIN(1,CHOOSE(Table1[[#This Row],[Mode Digit]],(Vout+(Rdson2+Rs+Rdcr)*Table1[[#This Row],[Iout]])/(Table1[[#This Row],[Vin]]+(Rs+Rdson2-Rdson1)*Table1[[#This Row],[Iout]]),1,Fsw*Table1[[#This Row],[t2_Ph_I]]+Table1[[#This Row],[t1_Ph_II]]))</f>
        <v>0.31349628055260365</v>
      </c>
      <c r="U202" s="354">
        <f>MIN(1,CHOOSE(Table1[[#This Row],[Mode Digit]],0,(Vout+(Rdson3+Rdcr)*Table1[[#This Row],[Iin]]-Table1[[#This Row],[Vin]])/(Vout+(Rdson3-Rdson4-Rs)*Table1[[#This Row],[Iin]]),Fsw*Table1[[#This Row],[t1_Ph_II]]+Table1[[#This Row],[t3_Ph_III]]))</f>
        <v>0</v>
      </c>
      <c r="V202" s="4">
        <f>MAX(Table1[[#This Row],[I_0]:[I_2]])-MIN(Table1[[#This Row],[I_0]:[I_1]])</f>
        <v>6.4163822067647782</v>
      </c>
      <c r="W20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12.142109785862614</v>
      </c>
      <c r="X202" s="354">
        <f>(Table1[[#This Row],[Irms Lf]]^2*Rdcr*(1+Ltc*Ta-Ltc*25))/(1-Table1[[#This Row],[Irms Lf]]^2*Rdcr*Ltc*ThetaCa)</f>
        <v>0.91788972772844757</v>
      </c>
      <c r="Y202" s="354">
        <f>ABS(7.759*10^-3*Fsw^0.9458*(0.00787*Table1[[#This Row],[Ripple Current pk-pk]])^2.304)</f>
        <v>2.328647050152679</v>
      </c>
      <c r="Z202" s="354">
        <f>Table1[[#This Row],[DCR    Loss]]+Table1[[#This Row],[Core Loss]]</f>
        <v>3.2465367778811265</v>
      </c>
      <c r="AA202" s="4">
        <f>IF(Table1[[#This Row],[Vin]]&gt;Vout, Table1[[#This Row],[Ripple Current pk-pk]]/SQRT(12), SQRT(Table1[[#This Row],[Duty Cycle BOOST Leg]]/(1-Table1[[#This Row],[Duty Cycle BOOST Leg]]))*SQRT(Table1[[#This Row],[Iout]]^2+(Table1[[#This Row],[Ripple Current pk-pk]]^2)/12))</f>
        <v>1.8522499971495849</v>
      </c>
      <c r="AB202" s="354">
        <f>RCoutEsr*Table1[[#This Row],[Irms Cout]]^2</f>
        <v>1.7154150259703186E-2</v>
      </c>
      <c r="AC202" s="354">
        <f>Table1[[#This Row],[Cout ESR Loss]]</f>
        <v>1.7154150259703186E-2</v>
      </c>
      <c r="AD202" s="354">
        <f>IF(Table1[[#This Row],[Vin]]&gt;Vout, SQRT(Table1[[#This Row],[Duty Cycle BUCK Leg]]*(1-Table1[[#This Row],[Duty Cycle BUCK Leg]]))*SQRT(Table1[[#This Row],[Iout]]^2+(Table1[[#This Row],[Ripple Current pk-pk]]^2)/12), Table1[[#This Row],[Ripple Current pk-pk]]/SQRT(12))</f>
        <v>5.632896855405531</v>
      </c>
      <c r="AE202" s="354">
        <f>RCinEsr*Table1[[#This Row],[Irms Cin]]^2</f>
        <v>6.3459053967275039E-2</v>
      </c>
      <c r="AF202" s="549">
        <f>Table1[[#This Row],[Cin ESR Loss]]</f>
        <v>6.3459053967275039E-2</v>
      </c>
      <c r="AG20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6.7984569469892522</v>
      </c>
      <c r="AH202" s="354">
        <f>Rdson1*Table1[[#This Row],[Irms BuCtrl]]^2</f>
        <v>0.19411987081227902</v>
      </c>
      <c r="AI202" s="354">
        <f>CHOOSE(Table1[[#This Row],[Mode Digit]], (Table1[[#This Row],[Vin]]*Table1[[#This Row],[Iout]]/2)*(Fsw)*(Tr_buck+Tf_buck), 0, (Table1[[#This Row],[Vin]]*Table1[[#This Row],[Avg IL]]/2)*(Fsw/1)*(Tr_buck+Tf_buck))</f>
        <v>5.5952108838149135</v>
      </c>
      <c r="AJ202">
        <f>IF(Table1[[#This Row],[Vin]]&gt;Vout, IF(Table1[[#This Row],[Iout]]&gt;Table1[[#This Row],[Ripple Current pk-pk]]/2,0,ABS(Table1[[#This Row],[Iout]]-Table1[[#This Row],[Ripple Current pk-pk]]/2)*Vsd_Q1*Deadtime*Fsw),0)</f>
        <v>0</v>
      </c>
      <c r="AK202" s="354">
        <f>(Table1[[#This Row],[Dead Time Loss BuCtrl]]+Table1[[#This Row],[Transition Loss BuCtrl]]+Table1[[#This Row],[RDS(on) Loss BuCtrl]]*(1+RdsonTopTc*Ta-RdsonTopTc*25))/(1-Table1[[#This Row],[RDS(on) Loss BuCtrl]]*RdsonTopTc*ThetaJA_Q1)</f>
        <v>6.0722284008803644</v>
      </c>
      <c r="AL202" s="354">
        <f>CHOOSE(Table1[[#This Row],[Mode Digit]],SQRT((Fsw*(Table1[[#This Row],[t2_Ph_I]]+0))*((Table1[[#This Row],[I_0]]*Table1[[#This Row],[I_1]]+((Table1[[#This Row],[I_0]]-Table1[[#This Row],[I_1]])^2)/3))),0,SQRT((Fsw*(Table1[[#This Row],[t3_Ph_III]]+0))*((Table1[[#This Row],[I_0]]*Table1[[#This Row],[I_2]]+((Table1[[#This Row],[I_0]]-Table1[[#This Row],[I_2]])^2)/3))))</f>
        <v>10.060408202049967</v>
      </c>
      <c r="AM202" s="354">
        <f>Rdson2*Table1[[#This Row],[Irms BuSync]]^2</f>
        <v>0.42508961540587187</v>
      </c>
      <c r="AN20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02" s="354">
        <f>(Table1[[#This Row],[Deadtime Loss BuSync]]+Table1[[#This Row],[RDS(on) Loss BuSync]]*(1+RdsonBotTc*Ta-RdsonBotTc*25))/(1-Table1[[#This Row],[RDS(on) Loss BuSync]]*RdsonBotTc*ThetaJA_Q2)</f>
        <v>1.1163530669947295</v>
      </c>
      <c r="AP202" s="354">
        <f>CHOOSE(Table1[[#This Row],[Mode Digit]],0,SQRT((Fsw*(Table1[[#This Row],[t1_Ph_II]]+0))*((Table1[[#This Row],[I_0]]*Table1[[#This Row],[I_1]]+((Table1[[#This Row],[I_0]]-Table1[[#This Row],[I_1]])^2)/3))),SQRT((Fsw*(Table1[[#This Row],[t2_Ph_I]]+0))*((Table1[[#This Row],[I_1]]*Table1[[#This Row],[I_2]]+((Table1[[#This Row],[I_1]]-Table1[[#This Row],[I_2]])^2)/3))))</f>
        <v>0</v>
      </c>
      <c r="AQ202" s="354">
        <f>Rdson4*Table1[[#This Row],[Irms BoCtlr]]^2</f>
        <v>0</v>
      </c>
      <c r="AR202" s="354">
        <f>CHOOSE(Table1[[#This Row],[Mode Digit]], 0, (Vout*Table1[[#This Row],[Iin]]/2)*(Fsw)*(Tr_boost+Tf_boost), (Vout*Iout/2)*(Fsw/1)*(Tr_boost+Tf_boost))</f>
        <v>0</v>
      </c>
      <c r="AS202">
        <f>IF(Table1[[#This Row],[Vin]]&gt;Vout, 0, IF(Table1[[#This Row],[Iin]]&gt;Table1[[#This Row],[Ripple Current pk-pk]]/2,0,ABS(Table1[[#This Row],[Iin]]-Table1[[#This Row],[Ripple Current pk-pk]]/2)*Vsd_Q4*Deadtime*Fsw))</f>
        <v>0</v>
      </c>
      <c r="AT202" s="354">
        <f>(Table1[[#This Row],[Dead Time Loss BoCtlr]]+Table1[[#This Row],[Transition Loss BoCtlr]]+Table1[[#This Row],[RDS(on) Loss BoCtlr]]*(1+RdsonTopTc*Ta-RdsonTopTc*25))/(1-Table1[[#This Row],[RDS(on) Loss BoCtlr]]*RdsonTopTc*ThetaJA_Q4)</f>
        <v>0</v>
      </c>
      <c r="AU20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12.142109785862614</v>
      </c>
      <c r="AV202" s="354">
        <f>Rdson3*Table1[[#This Row],[Irms BoSync]]^2</f>
        <v>0.61920948621815086</v>
      </c>
      <c r="AW20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02" s="354">
        <f>(Table1[[#This Row],[Deadtime Loss BoSync]]+Table1[[#This Row],[RDS(on) Loss BoSync]]*(1+RdsonBotTc*Ta-RdsonBotTc*25))/(1-Table1[[#This Row],[RDS(on) Loss BoSync]]*RdsonBotTc*ThetaJA_Q3)</f>
        <v>0.72729264785170977</v>
      </c>
      <c r="AY202" s="354">
        <f>CHOOSE(Table1[[#This Row],[Mode Digit]], Rdson3*Table1[[#This Row],[Irms Lf]]^2, Rdson1*Table1[[#This Row],[Irms Lf]]^2, 0)</f>
        <v>0.61920948621815086</v>
      </c>
      <c r="AZ202" s="354">
        <f>CHOOSE(Table1[[#This Row],[Mode Digit]], 2*Deadtime*Fsw*IF(VfdSky_Q2&gt;0,VfdSky_Q2,0)*Table1[[#This Row],[Iout]], 2*Deadtime*Fsw*IF(VfdSky_Q3&gt;0,VfdSky_Q3,0)*Table1[[#This Row],[Iin]], 2*Deadtime*Fsw*IF(VfdSky_Q2&gt;0,VfdSky_Q2,0)*Table1[[#This Row],[Iout]]+2*Deadtime*Fsw*IF(VfdSky_Q3&gt;0,VfdSky_Q3,0)*Table1[[#This Row],[Iin]])</f>
        <v>0</v>
      </c>
      <c r="BA202" s="354">
        <f>CHOOSE(Table1[[#This Row],[Mode Digit]], IF(QrrSky_Q2&gt;0,QrrSky_Q2,Qrr_Q2)*Fsw*(Table1[[#This Row],[Vin]]-Table1[[#This Row],[Iout]]*Rdson1),0,  IF(QrrSky_Q2&gt;0,QrrSky_Q2,Qrr_Q2)*Fsw*(Table1[[#This Row],[Vin]]-Table1[[#This Row],[Iout]]*Rdson1)+IF(QrrSky_Q3&gt;0,QrrSky_Q3,Qrr_Q3)*Fsw*Vout)</f>
        <v>0.56363519999999989</v>
      </c>
      <c r="BB202" s="354">
        <f>CHOOSE(Table1[[#This Row],[Mode Digit]],0, IF(QrrSky_Q3&gt;0,QrrSky_Q3,Qrr_Q3)*Fsw*Vout,  IF(QrrSky_Q2&gt;0,QrrSky_Q2,Qrr_Q2)*Fsw*(Table1[[#This Row],[Vin]]-Table1[[#This Row],[Iout]]*Rdson1)+IF(QrrSky_Q3&gt;0,QrrSky_Q3,Qrr_Q3)*Fsw*Vout)</f>
        <v>0</v>
      </c>
      <c r="BC202" s="354">
        <f>CHOOSE(Table1[[#This Row],[Mode Digit]], Rs*Table1[[#This Row],[Irms BuSync]]^2, Rs*Table1[[#This Row],[Irms BoCtlr]]^2, Rs*(Table1[[#This Row],[Irms BuSync]]^2+Table1[[#This Row],[Irms BoCtlr]]^2))</f>
        <v>0.25302953297968561</v>
      </c>
      <c r="BD202" s="354">
        <f t="shared" si="11"/>
        <v>1.44</v>
      </c>
      <c r="BE202" s="354">
        <f>IF(Vout&gt;8, Iq*Vout, Iq*Table1[[#This Row],[Vin]])</f>
        <v>4.3799999999999999E-2</v>
      </c>
      <c r="BF202" s="354">
        <f>CHOOSE(Table1[[#This Row],[Mode Digit]], (Qg_Q1+Qg_Q2)*Fsw, (Qg_Q3+Qg_Q4)*Fsw, (Qg_Q1+Qg_Q2+Qg_Q3+Qg_Q4)*Fsw)*IF(Vout&gt;8, Vout, Table1[[#This Row],[Vin]])</f>
        <v>0.47303999999999996</v>
      </c>
      <c r="BG202" s="354">
        <f t="shared" si="12"/>
        <v>0.45605042016806729</v>
      </c>
      <c r="BH202" s="354">
        <f>Table1[[#This Row],[IQ Loss]]+Table1[[#This Row],[Switching Current Loss]]</f>
        <v>0.51683999999999997</v>
      </c>
      <c r="BI20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14.016528830814595</v>
      </c>
      <c r="BJ202">
        <f>Vout*Table1[[#This Row],[Iout]]</f>
        <v>175.2</v>
      </c>
      <c r="BK202" s="550">
        <f>Table1[[#This Row],[Pout]]/(Table1[[#This Row],[Pout]]+Table1[[#This Row],[Total Loss]])</f>
        <v>0.92592333810675032</v>
      </c>
      <c r="BL20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364.33370405282187</v>
      </c>
      <c r="BM202" s="559">
        <f>IF(Table1[[#This Row],[Vin]]&gt;Vout, Table1[[#This Row],[Total Sync Bu MOSFET Loss]]*ThetaJA_Q2, ThetaJA_Q3*Table1[[#This Row],[Total Sync Bo MOSFET Loss]])</f>
        <v>66.981184019683766</v>
      </c>
      <c r="BN202" s="9"/>
      <c r="BO202" s="4">
        <f>Table1[[#This Row],[EFF, h]]*100</f>
        <v>92.592333810675029</v>
      </c>
      <c r="BP202" s="354">
        <f>Table1[[#This Row],[Total Inductor Loss]]</f>
        <v>3.2465367778811265</v>
      </c>
      <c r="BQ202" s="354">
        <f>Table1[[#This Row],[Total Control Bu MOSFET Loss]]+Table1[[#This Row],[Total Sync Bu MOSFET Loss]]+Table1[[#This Row],[Total Control Bo MOSFET Loss]]+Table1[[#This Row],[Total Sync Bo MOSFET Loss]]+Table1[[#This Row],[Reverse Recovery Loss MOSFET D BUCK]]+Table1[[#This Row],[Reverse Recovery Loss MOSFET D BOOST]]</f>
        <v>8.4795093157268031</v>
      </c>
      <c r="BR202" s="354">
        <f>Table1[[#This Row],[Total Control Bu MOSFET Loss]]+Table1[[#This Row],[Reverse Recovery Loss MOSFET D BUCK]]*0.66</f>
        <v>6.4442276328803647</v>
      </c>
      <c r="BS202" s="354">
        <f>Table1[[#This Row],[Total Sync Bu MOSFET Loss]]+Table1[[#This Row],[Reverse Recovery Loss MOSFET D BUCK]]*0.33</f>
        <v>1.3023526829947294</v>
      </c>
      <c r="BT202" s="354">
        <f xml:space="preserve"> Table1[[#This Row],[Total Control Bo MOSFET Loss]]+Table1[[#This Row],[Reverse Recovery Loss MOSFET D BOOST]]*0.66</f>
        <v>0</v>
      </c>
      <c r="BU202" s="354">
        <f xml:space="preserve"> Table1[[#This Row],[Total Sync Bo MOSFET Loss]]+Table1[[#This Row],[Reverse Recovery Loss MOSFET D BOOST]]*0.33</f>
        <v>0.72729264785170977</v>
      </c>
      <c r="BV202" s="354">
        <f>Table1[[#This Row],[Isense Shunt Loss]]</f>
        <v>0.25302953297968561</v>
      </c>
    </row>
    <row r="203" spans="7:74" x14ac:dyDescent="0.2">
      <c r="G203">
        <v>194</v>
      </c>
      <c r="H203" s="555">
        <f>VIN_min+(VIN_max-VIN_min)*(Table1[[#This Row],[Step]]/200)</f>
        <v>47.16</v>
      </c>
      <c r="I203" s="4" t="str">
        <f>IF(Mode = 2,IF(Table1[[#This Row],[Vin]]&gt;Vout, "BUCK","BOOST"),IF(Table1[[#This Row],[Vin]]&gt;VIN_BB_to_buck, "BUCK", IF(Table1[[#This Row],[Vin]]&lt;=VIN_boost_to_BB,"BOOST","BUCK-BST")))</f>
        <v>BUCK</v>
      </c>
      <c r="J203">
        <f>IF(Table1[[#This Row],[Mode]]="BOOST",2, IF(Table1[[#This Row],[Mode]]="BUCK", 1,3))</f>
        <v>1</v>
      </c>
      <c r="K203">
        <f t="shared" si="10"/>
        <v>12</v>
      </c>
      <c r="L203" s="4">
        <f>Vout*Table1[[#This Row],[Iout]]/(Table1[[#This Row],[Vin]]*Efficiency)</f>
        <v>3.9105397080487481</v>
      </c>
      <c r="M203" s="711">
        <f>MIN(1/Fsw,CHOOSE(Table1[[#This Row],[Mode Digit]],(Vout+(Rdson2+Rs+Rdcr)*Table1[[#This Row],[Iout]])/(Table1[[#This Row],[Vin]]+(Rs+Rdson2-Rdson1)*Table1[[#This Row],[Iout]])/Fsw,(Vout+(Rdson3+Rdcr)*Table1[[#This Row],[Iin]]-Table1[[#This Row],[Vin]])/(Vout+(Rdson3-Rdson4-Rs)*Table1[[#This Row],[Iin]])/Fsw,t1_Ph_II))</f>
        <v>5.2094370276188463E-7</v>
      </c>
      <c r="N203" s="602">
        <f>CHOOSE(Table1[[#This Row],[Mode Digit]],1/Fsw-Table1[[#This Row],[t1_Ph_II]],1/Fsw-Table1[[#This Row],[t1_Ph_II]],(Vout/Fsw-Table1[[#This Row],[Vin]]*t1_Ph_II)/(Table1[[#This Row],[Vin]]+Vout))</f>
        <v>1.145722963904782E-6</v>
      </c>
      <c r="O203" s="602">
        <f>1/Fsw-(Table1[[#This Row],[t1_Ph_II]]+Table1[[#This Row],[t2_Ph_I]])</f>
        <v>0</v>
      </c>
      <c r="P20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8.7875138329683793</v>
      </c>
      <c r="Q203" s="4">
        <f>CHOOSE(Table1[[#This Row],[Mode Digit]],Table1[[#This Row],[I_0]]+1/Lf*(Table1[[#This Row],[Vin]]-Vout)*Table1[[#This Row],[t1_Ph_II]],Table1[[#This Row],[I_0]]+1/Lf*Table1[[#This Row],[Vin]]*Table1[[#This Row],[t1_Ph_II]],Table1[[#This Row],[I_0]]+(Table1[[#This Row],[Vin]]-Vout)/L*Table1[[#This Row],[t1_Ph_II]])</f>
        <v>15.212486167031622</v>
      </c>
      <c r="R203" s="4">
        <f>CHOOSE(Table1[[#This Row],[Mode Digit]],0,0,Table1[[#This Row],[I_1]]+Table1[[#This Row],[Vin]]/L*Table1[[#This Row],[t2_Ph_I]])</f>
        <v>0</v>
      </c>
      <c r="S203" s="4">
        <f>Fsw*(Table1[[#This Row],[I_0]]*Table1[[#This Row],[t1_Ph_II]]+Table1[[#This Row],[I_1]]*Table1[[#This Row],[t2_Ph_I]]+Table1[[#This Row],[I_2]]*Table1[[#This Row],[t3_Ph_III]])</f>
        <v>13.204256840321879</v>
      </c>
      <c r="T203" s="354">
        <f>MIN(1,CHOOSE(Table1[[#This Row],[Mode Digit]],(Vout+(Rdson2+Rs+Rdcr)*Table1[[#This Row],[Iout]])/(Table1[[#This Row],[Vin]]+(Rs+Rdson2-Rdson1)*Table1[[#This Row],[Iout]]),1,Fsw*Table1[[#This Row],[t2_Ph_I]]+Table1[[#This Row],[t1_Ph_II]]))</f>
        <v>0.31256622165713077</v>
      </c>
      <c r="U203" s="354">
        <f>MIN(1,CHOOSE(Table1[[#This Row],[Mode Digit]],0,(Vout+(Rdson3+Rdcr)*Table1[[#This Row],[Iin]]-Table1[[#This Row],[Vin]])/(Vout+(Rdson3-Rdson4-Rs)*Table1[[#This Row],[Iin]]),Fsw*Table1[[#This Row],[t1_Ph_II]]+Table1[[#This Row],[t3_Ph_III]]))</f>
        <v>0</v>
      </c>
      <c r="V203" s="4">
        <f>MAX(Table1[[#This Row],[I_0]:[I_2]])-MIN(Table1[[#This Row],[I_0]:[I_1]])</f>
        <v>6.4249723340632432</v>
      </c>
      <c r="W20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12.142488314089078</v>
      </c>
      <c r="X203" s="354">
        <f>(Table1[[#This Row],[Irms Lf]]^2*Rdcr*(1+Ltc*Ta-Ltc*25))/(1-Table1[[#This Row],[Irms Lf]]^2*Rdcr*Ltc*ThetaCa)</f>
        <v>0.9179511615572532</v>
      </c>
      <c r="Y203" s="354">
        <f>ABS(7.759*10^-3*Fsw^0.9458*(0.00787*Table1[[#This Row],[Ripple Current pk-pk]])^2.304)</f>
        <v>2.3358361496103468</v>
      </c>
      <c r="Z203" s="354">
        <f>Table1[[#This Row],[DCR    Loss]]+Table1[[#This Row],[Core Loss]]</f>
        <v>3.2537873111676001</v>
      </c>
      <c r="AA203" s="4">
        <f>IF(Table1[[#This Row],[Vin]]&gt;Vout, Table1[[#This Row],[Ripple Current pk-pk]]/SQRT(12), SQRT(Table1[[#This Row],[Duty Cycle BOOST Leg]]/(1-Table1[[#This Row],[Duty Cycle BOOST Leg]]))*SQRT(Table1[[#This Row],[Iout]]^2+(Table1[[#This Row],[Ripple Current pk-pk]]^2)/12))</f>
        <v>1.854729753303656</v>
      </c>
      <c r="AB203" s="354">
        <f>RCoutEsr*Table1[[#This Row],[Irms Cout]]^2</f>
        <v>1.7200112288949205E-2</v>
      </c>
      <c r="AC203" s="354">
        <f>Table1[[#This Row],[Cout ESR Loss]]</f>
        <v>1.7200112288949205E-2</v>
      </c>
      <c r="AD203" s="354">
        <f>IF(Table1[[#This Row],[Vin]]&gt;Vout, SQRT(Table1[[#This Row],[Duty Cycle BUCK Leg]]*(1-Table1[[#This Row],[Duty Cycle BUCK Leg]]))*SQRT(Table1[[#This Row],[Iout]]^2+(Table1[[#This Row],[Ripple Current pk-pk]]^2)/12), Table1[[#This Row],[Ripple Current pk-pk]]/SQRT(12))</f>
        <v>5.6285191724223838</v>
      </c>
      <c r="AE203" s="354">
        <f>RCinEsr*Table1[[#This Row],[Irms Cin]]^2</f>
        <v>6.3360456148652711E-2</v>
      </c>
      <c r="AF203" s="549">
        <f>Table1[[#This Row],[Cin ESR Loss]]</f>
        <v>6.3360456148652711E-2</v>
      </c>
      <c r="AG20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6.7885764885337982</v>
      </c>
      <c r="AH203" s="354">
        <f>Rdson1*Table1[[#This Row],[Irms BuCtrl]]^2</f>
        <v>0.1935560371108303</v>
      </c>
      <c r="AI203" s="354">
        <f>CHOOSE(Table1[[#This Row],[Mode Digit]], (Table1[[#This Row],[Vin]]*Table1[[#This Row],[Iout]]/2)*(Fsw)*(Tr_buck+Tf_buck), 0, (Table1[[#This Row],[Vin]]*Table1[[#This Row],[Avg IL]]/2)*(Fsw/1)*(Tr_buck+Tf_buck))</f>
        <v>5.6118703802788454</v>
      </c>
      <c r="AJ203">
        <f>IF(Table1[[#This Row],[Vin]]&gt;Vout, IF(Table1[[#This Row],[Iout]]&gt;Table1[[#This Row],[Ripple Current pk-pk]]/2,0,ABS(Table1[[#This Row],[Iout]]-Table1[[#This Row],[Ripple Current pk-pk]]/2)*Vsd_Q1*Deadtime*Fsw),0)</f>
        <v>0</v>
      </c>
      <c r="AK203" s="354">
        <f>(Table1[[#This Row],[Dead Time Loss BuCtrl]]+Table1[[#This Row],[Transition Loss BuCtrl]]+Table1[[#This Row],[RDS(on) Loss BuCtrl]]*(1+RdsonTopTc*Ta-RdsonTopTc*25))/(1-Table1[[#This Row],[RDS(on) Loss BuCtrl]]*RdsonTopTc*ThetaJA_Q1)</f>
        <v>6.0882464634084013</v>
      </c>
      <c r="AL203" s="354">
        <f>CHOOSE(Table1[[#This Row],[Mode Digit]],SQRT((Fsw*(Table1[[#This Row],[t2_Ph_I]]+0))*((Table1[[#This Row],[I_0]]*Table1[[#This Row],[I_1]]+((Table1[[#This Row],[I_0]]-Table1[[#This Row],[I_1]])^2)/3))),0,SQRT((Fsw*(Table1[[#This Row],[t3_Ph_III]]+0))*((Table1[[#This Row],[I_0]]*Table1[[#This Row],[I_2]]+((Table1[[#This Row],[I_0]]-Table1[[#This Row],[I_2]])^2)/3))))</f>
        <v>10.067534540150133</v>
      </c>
      <c r="AM203" s="354">
        <f>Rdson2*Table1[[#This Row],[Irms BuSync]]^2</f>
        <v>0.42569205721188702</v>
      </c>
      <c r="AN20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03" s="354">
        <f>(Table1[[#This Row],[Deadtime Loss BuSync]]+Table1[[#This Row],[RDS(on) Loss BuSync]]*(1+RdsonBotTc*Ta-RdsonBotTc*25))/(1-Table1[[#This Row],[RDS(on) Loss BuSync]]*RdsonBotTc*ThetaJA_Q2)</f>
        <v>1.1172038377916007</v>
      </c>
      <c r="AP203" s="354">
        <f>CHOOSE(Table1[[#This Row],[Mode Digit]],0,SQRT((Fsw*(Table1[[#This Row],[t1_Ph_II]]+0))*((Table1[[#This Row],[I_0]]*Table1[[#This Row],[I_1]]+((Table1[[#This Row],[I_0]]-Table1[[#This Row],[I_1]])^2)/3))),SQRT((Fsw*(Table1[[#This Row],[t2_Ph_I]]+0))*((Table1[[#This Row],[I_1]]*Table1[[#This Row],[I_2]]+((Table1[[#This Row],[I_1]]-Table1[[#This Row],[I_2]])^2)/3))))</f>
        <v>0</v>
      </c>
      <c r="AQ203" s="354">
        <f>Rdson4*Table1[[#This Row],[Irms BoCtlr]]^2</f>
        <v>0</v>
      </c>
      <c r="AR203" s="354">
        <f>CHOOSE(Table1[[#This Row],[Mode Digit]], 0, (Vout*Table1[[#This Row],[Iin]]/2)*(Fsw)*(Tr_boost+Tf_boost), (Vout*Iout/2)*(Fsw/1)*(Tr_boost+Tf_boost))</f>
        <v>0</v>
      </c>
      <c r="AS203">
        <f>IF(Table1[[#This Row],[Vin]]&gt;Vout, 0, IF(Table1[[#This Row],[Iin]]&gt;Table1[[#This Row],[Ripple Current pk-pk]]/2,0,ABS(Table1[[#This Row],[Iin]]-Table1[[#This Row],[Ripple Current pk-pk]]/2)*Vsd_Q4*Deadtime*Fsw))</f>
        <v>0</v>
      </c>
      <c r="AT203" s="354">
        <f>(Table1[[#This Row],[Dead Time Loss BoCtlr]]+Table1[[#This Row],[Transition Loss BoCtlr]]+Table1[[#This Row],[RDS(on) Loss BoCtlr]]*(1+RdsonTopTc*Ta-RdsonTopTc*25))/(1-Table1[[#This Row],[RDS(on) Loss BoCtlr]]*RdsonTopTc*ThetaJA_Q4)</f>
        <v>0</v>
      </c>
      <c r="AU20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12.142488314089078</v>
      </c>
      <c r="AV203" s="354">
        <f>Rdson3*Table1[[#This Row],[Irms BoSync]]^2</f>
        <v>0.61924809432271744</v>
      </c>
      <c r="AW20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03" s="354">
        <f>(Table1[[#This Row],[Deadtime Loss BoSync]]+Table1[[#This Row],[RDS(on) Loss BoSync]]*(1+RdsonBotTc*Ta-RdsonBotTc*25))/(1-Table1[[#This Row],[RDS(on) Loss BoSync]]*RdsonBotTc*ThetaJA_Q3)</f>
        <v>0.72734591094686085</v>
      </c>
      <c r="AY203" s="354">
        <f>CHOOSE(Table1[[#This Row],[Mode Digit]], Rdson3*Table1[[#This Row],[Irms Lf]]^2, Rdson1*Table1[[#This Row],[Irms Lf]]^2, 0)</f>
        <v>0.61924809432271744</v>
      </c>
      <c r="AZ203" s="354">
        <f>CHOOSE(Table1[[#This Row],[Mode Digit]], 2*Deadtime*Fsw*IF(VfdSky_Q2&gt;0,VfdSky_Q2,0)*Table1[[#This Row],[Iout]], 2*Deadtime*Fsw*IF(VfdSky_Q3&gt;0,VfdSky_Q3,0)*Table1[[#This Row],[Iin]], 2*Deadtime*Fsw*IF(VfdSky_Q2&gt;0,VfdSky_Q2,0)*Table1[[#This Row],[Iout]]+2*Deadtime*Fsw*IF(VfdSky_Q3&gt;0,VfdSky_Q3,0)*Table1[[#This Row],[Iin]])</f>
        <v>0</v>
      </c>
      <c r="BA203" s="354">
        <f>CHOOSE(Table1[[#This Row],[Mode Digit]], IF(QrrSky_Q2&gt;0,QrrSky_Q2,Qrr_Q2)*Fsw*(Table1[[#This Row],[Vin]]-Table1[[#This Row],[Iout]]*Rdson1),0,  IF(QrrSky_Q2&gt;0,QrrSky_Q2,Qrr_Q2)*Fsw*(Table1[[#This Row],[Vin]]-Table1[[#This Row],[Iout]]*Rdson1)+IF(QrrSky_Q3&gt;0,QrrSky_Q3,Qrr_Q3)*Fsw*Vout)</f>
        <v>0.56531519999999991</v>
      </c>
      <c r="BB203" s="354">
        <f>CHOOSE(Table1[[#This Row],[Mode Digit]],0, IF(QrrSky_Q3&gt;0,QrrSky_Q3,Qrr_Q3)*Fsw*Vout,  IF(QrrSky_Q2&gt;0,QrrSky_Q2,Qrr_Q2)*Fsw*(Table1[[#This Row],[Vin]]-Table1[[#This Row],[Iout]]*Rdson1)+IF(QrrSky_Q3&gt;0,QrrSky_Q3,Qrr_Q3)*Fsw*Vout)</f>
        <v>0</v>
      </c>
      <c r="BC203" s="354">
        <f>CHOOSE(Table1[[#This Row],[Mode Digit]], Rs*Table1[[#This Row],[Irms BuSync]]^2, Rs*Table1[[#This Row],[Irms BoCtlr]]^2, Rs*(Table1[[#This Row],[Irms BuSync]]^2+Table1[[#This Row],[Irms BoCtlr]]^2))</f>
        <v>0.25338812929278987</v>
      </c>
      <c r="BD203" s="354">
        <f t="shared" si="11"/>
        <v>1.44</v>
      </c>
      <c r="BE203" s="354">
        <f>IF(Vout&gt;8, Iq*Vout, Iq*Table1[[#This Row],[Vin]])</f>
        <v>4.3799999999999999E-2</v>
      </c>
      <c r="BF203" s="354">
        <f>CHOOSE(Table1[[#This Row],[Mode Digit]], (Qg_Q1+Qg_Q2)*Fsw, (Qg_Q3+Qg_Q4)*Fsw, (Qg_Q1+Qg_Q2+Qg_Q3+Qg_Q4)*Fsw)*IF(Vout&gt;8, Vout, Table1[[#This Row],[Vin]])</f>
        <v>0.47303999999999996</v>
      </c>
      <c r="BG203" s="354">
        <f t="shared" si="12"/>
        <v>0.45605042016806729</v>
      </c>
      <c r="BH203" s="354">
        <f>Table1[[#This Row],[IQ Loss]]+Table1[[#This Row],[Switching Current Loss]]</f>
        <v>0.51683999999999997</v>
      </c>
      <c r="BI20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14.042687421044855</v>
      </c>
      <c r="BJ203">
        <f>Vout*Table1[[#This Row],[Iout]]</f>
        <v>175.2</v>
      </c>
      <c r="BK203" s="550">
        <f>Table1[[#This Row],[Pout]]/(Table1[[#This Row],[Pout]]+Table1[[#This Row],[Total Loss]])</f>
        <v>0.92579534981026046</v>
      </c>
      <c r="BL20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365.2947878045041</v>
      </c>
      <c r="BM203" s="559">
        <f>IF(Table1[[#This Row],[Vin]]&gt;Vout, Table1[[#This Row],[Total Sync Bu MOSFET Loss]]*ThetaJA_Q2, ThetaJA_Q3*Table1[[#This Row],[Total Sync Bo MOSFET Loss]])</f>
        <v>67.032230267496047</v>
      </c>
      <c r="BN203" s="9"/>
      <c r="BO203" s="4">
        <f>Table1[[#This Row],[EFF, h]]*100</f>
        <v>92.579534981026043</v>
      </c>
      <c r="BP203" s="354">
        <f>Table1[[#This Row],[Total Inductor Loss]]</f>
        <v>3.2537873111676001</v>
      </c>
      <c r="BQ203" s="354">
        <f>Table1[[#This Row],[Total Control Bu MOSFET Loss]]+Table1[[#This Row],[Total Sync Bu MOSFET Loss]]+Table1[[#This Row],[Total Control Bo MOSFET Loss]]+Table1[[#This Row],[Total Sync Bo MOSFET Loss]]+Table1[[#This Row],[Reverse Recovery Loss MOSFET D BUCK]]+Table1[[#This Row],[Reverse Recovery Loss MOSFET D BOOST]]</f>
        <v>8.4981114121468622</v>
      </c>
      <c r="BR203" s="354">
        <f>Table1[[#This Row],[Total Control Bu MOSFET Loss]]+Table1[[#This Row],[Reverse Recovery Loss MOSFET D BUCK]]*0.66</f>
        <v>6.4613544954084015</v>
      </c>
      <c r="BS203" s="354">
        <f>Table1[[#This Row],[Total Sync Bu MOSFET Loss]]+Table1[[#This Row],[Reverse Recovery Loss MOSFET D BUCK]]*0.33</f>
        <v>1.3037578537916006</v>
      </c>
      <c r="BT203" s="354">
        <f xml:space="preserve"> Table1[[#This Row],[Total Control Bo MOSFET Loss]]+Table1[[#This Row],[Reverse Recovery Loss MOSFET D BOOST]]*0.66</f>
        <v>0</v>
      </c>
      <c r="BU203" s="354">
        <f xml:space="preserve"> Table1[[#This Row],[Total Sync Bo MOSFET Loss]]+Table1[[#This Row],[Reverse Recovery Loss MOSFET D BOOST]]*0.33</f>
        <v>0.72734591094686085</v>
      </c>
      <c r="BV203" s="354">
        <f>Table1[[#This Row],[Isense Shunt Loss]]</f>
        <v>0.25338812929278987</v>
      </c>
    </row>
    <row r="204" spans="7:74" x14ac:dyDescent="0.2">
      <c r="G204">
        <v>195</v>
      </c>
      <c r="H204" s="555">
        <f>VIN_min+(VIN_max-VIN_min)*(Table1[[#This Row],[Step]]/200)</f>
        <v>47.3</v>
      </c>
      <c r="I204" s="4" t="str">
        <f>IF(Mode = 2,IF(Table1[[#This Row],[Vin]]&gt;Vout, "BUCK","BOOST"),IF(Table1[[#This Row],[Vin]]&gt;VIN_BB_to_buck, "BUCK", IF(Table1[[#This Row],[Vin]]&lt;=VIN_boost_to_BB,"BOOST","BUCK-BST")))</f>
        <v>BUCK</v>
      </c>
      <c r="J204">
        <f>IF(Table1[[#This Row],[Mode]]="BOOST",2, IF(Table1[[#This Row],[Mode]]="BUCK", 1,3))</f>
        <v>1</v>
      </c>
      <c r="K204">
        <f t="shared" si="10"/>
        <v>12</v>
      </c>
      <c r="L204" s="4">
        <f>Vout*Table1[[#This Row],[Iout]]/(Table1[[#This Row],[Vin]]*Efficiency)</f>
        <v>3.8989651719149885</v>
      </c>
      <c r="M204" s="711">
        <f>MIN(1/Fsw,CHOOSE(Table1[[#This Row],[Mode Digit]],(Vout+(Rdson2+Rs+Rdcr)*Table1[[#This Row],[Iout]])/(Table1[[#This Row],[Vin]]+(Rs+Rdson2-Rdson1)*Table1[[#This Row],[Iout]])/Fsw,(Vout+(Rdson3+Rdcr)*Table1[[#This Row],[Iin]]-Table1[[#This Row],[Vin]])/(Vout+(Rdson3-Rdson4-Rs)*Table1[[#This Row],[Iin]])/Fsw,t1_Ph_II))</f>
        <v>5.1940277484329887E-7</v>
      </c>
      <c r="N204" s="602">
        <f>CHOOSE(Table1[[#This Row],[Mode Digit]],1/Fsw-Table1[[#This Row],[t1_Ph_II]],1/Fsw-Table1[[#This Row],[t1_Ph_II]],(Vout/Fsw-Table1[[#This Row],[Vin]]*t1_Ph_II)/(Table1[[#This Row],[Vin]]+Vout))</f>
        <v>1.1472638918233677E-6</v>
      </c>
      <c r="O204" s="602">
        <f>1/Fsw-(Table1[[#This Row],[t1_Ph_II]]+Table1[[#This Row],[t2_Ph_I]])</f>
        <v>0</v>
      </c>
      <c r="P20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8.7832441785272977</v>
      </c>
      <c r="Q204" s="4">
        <f>CHOOSE(Table1[[#This Row],[Mode Digit]],Table1[[#This Row],[I_0]]+1/Lf*(Table1[[#This Row],[Vin]]-Vout)*Table1[[#This Row],[t1_Ph_II]],Table1[[#This Row],[I_0]]+1/Lf*Table1[[#This Row],[Vin]]*Table1[[#This Row],[t1_Ph_II]],Table1[[#This Row],[I_0]]+(Table1[[#This Row],[Vin]]-Vout)/L*Table1[[#This Row],[t1_Ph_II]])</f>
        <v>15.216755821472702</v>
      </c>
      <c r="R204" s="4">
        <f>CHOOSE(Table1[[#This Row],[Mode Digit]],0,0,Table1[[#This Row],[I_1]]+Table1[[#This Row],[Vin]]/L*Table1[[#This Row],[t2_Ph_I]])</f>
        <v>0</v>
      </c>
      <c r="S204" s="4">
        <f>Fsw*(Table1[[#This Row],[I_0]]*Table1[[#This Row],[t1_Ph_II]]+Table1[[#This Row],[I_1]]*Table1[[#This Row],[t2_Ph_I]]+Table1[[#This Row],[I_2]]*Table1[[#This Row],[t3_Ph_III]])</f>
        <v>13.211805541873192</v>
      </c>
      <c r="T204" s="354">
        <f>MIN(1,CHOOSE(Table1[[#This Row],[Mode Digit]],(Vout+(Rdson2+Rs+Rdcr)*Table1[[#This Row],[Iout]])/(Table1[[#This Row],[Vin]]+(Rs+Rdson2-Rdson1)*Table1[[#This Row],[Iout]]),1,Fsw*Table1[[#This Row],[t2_Ph_I]]+Table1[[#This Row],[t1_Ph_II]]))</f>
        <v>0.31164166490597933</v>
      </c>
      <c r="U204" s="354">
        <f>MIN(1,CHOOSE(Table1[[#This Row],[Mode Digit]],0,(Vout+(Rdson3+Rdcr)*Table1[[#This Row],[Iin]]-Table1[[#This Row],[Vin]])/(Vout+(Rdson3-Rdson4-Rs)*Table1[[#This Row],[Iin]]),Fsw*Table1[[#This Row],[t1_Ph_II]]+Table1[[#This Row],[t3_Ph_III]]))</f>
        <v>0</v>
      </c>
      <c r="V204" s="4">
        <f>MAX(Table1[[#This Row],[I_0]:[I_2]])-MIN(Table1[[#This Row],[I_0]:[I_1]])</f>
        <v>6.4335116429454047</v>
      </c>
      <c r="W20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12.142865093200182</v>
      </c>
      <c r="X204" s="354">
        <f>(Table1[[#This Row],[Irms Lf]]^2*Rdcr*(1+Ltc*Ta-Ltc*25))/(1-Table1[[#This Row],[Irms Lf]]^2*Rdcr*Ltc*ThetaCa)</f>
        <v>0.91801231397124439</v>
      </c>
      <c r="Y204" s="354">
        <f>ABS(7.759*10^-3*Fsw^0.9458*(0.00787*Table1[[#This Row],[Ripple Current pk-pk]])^2.304)</f>
        <v>2.3429951525616373</v>
      </c>
      <c r="Z204" s="354">
        <f>Table1[[#This Row],[DCR    Loss]]+Table1[[#This Row],[Core Loss]]</f>
        <v>3.2610074665328819</v>
      </c>
      <c r="AA204" s="4">
        <f>IF(Table1[[#This Row],[Vin]]&gt;Vout, Table1[[#This Row],[Ripple Current pk-pk]]/SQRT(12), SQRT(Table1[[#This Row],[Duty Cycle BOOST Leg]]/(1-Table1[[#This Row],[Duty Cycle BOOST Leg]]))*SQRT(Table1[[#This Row],[Iout]]^2+(Table1[[#This Row],[Ripple Current pk-pk]]^2)/12))</f>
        <v>1.8571948394445605</v>
      </c>
      <c r="AB204" s="354">
        <f>RCoutEsr*Table1[[#This Row],[Irms Cout]]^2</f>
        <v>1.7245863358297534E-2</v>
      </c>
      <c r="AC204" s="354">
        <f>Table1[[#This Row],[Cout ESR Loss]]</f>
        <v>1.7245863358297534E-2</v>
      </c>
      <c r="AD204" s="354">
        <f>IF(Table1[[#This Row],[Vin]]&gt;Vout, SQRT(Table1[[#This Row],[Duty Cycle BUCK Leg]]*(1-Table1[[#This Row],[Duty Cycle BUCK Leg]]))*SQRT(Table1[[#This Row],[Iout]]^2+(Table1[[#This Row],[Ripple Current pk-pk]]^2)/12), Table1[[#This Row],[Ripple Current pk-pk]]/SQRT(12))</f>
        <v>5.6241412019785715</v>
      </c>
      <c r="AE204" s="354">
        <f>RCinEsr*Table1[[#This Row],[Irms Cin]]^2</f>
        <v>6.3261928519585939E-2</v>
      </c>
      <c r="AF204" s="549">
        <f>Table1[[#This Row],[Cin ESR Loss]]</f>
        <v>6.3261928519585939E-2</v>
      </c>
      <c r="AG20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6.7787392382658584</v>
      </c>
      <c r="AH204" s="354">
        <f>Rdson1*Table1[[#This Row],[Irms BuCtrl]]^2</f>
        <v>0.19299548377370182</v>
      </c>
      <c r="AI204" s="354">
        <f>CHOOSE(Table1[[#This Row],[Mode Digit]], (Table1[[#This Row],[Vin]]*Table1[[#This Row],[Iout]]/2)*(Fsw)*(Tr_buck+Tf_buck), 0, (Table1[[#This Row],[Vin]]*Table1[[#This Row],[Avg IL]]/2)*(Fsw/1)*(Tr_buck+Tf_buck))</f>
        <v>5.6285298767427765</v>
      </c>
      <c r="AJ204">
        <f>IF(Table1[[#This Row],[Vin]]&gt;Vout, IF(Table1[[#This Row],[Iout]]&gt;Table1[[#This Row],[Ripple Current pk-pk]]/2,0,ABS(Table1[[#This Row],[Iout]]-Table1[[#This Row],[Ripple Current pk-pk]]/2)*Vsd_Q1*Deadtime*Fsw),0)</f>
        <v>0</v>
      </c>
      <c r="AK204" s="354">
        <f>(Table1[[#This Row],[Dead Time Loss BuCtrl]]+Table1[[#This Row],[Transition Loss BuCtrl]]+Table1[[#This Row],[RDS(on) Loss BuCtrl]]*(1+RdsonTopTc*Ta-RdsonTopTc*25))/(1-Table1[[#This Row],[RDS(on) Loss BuCtrl]]*RdsonTopTc*ThetaJA_Q1)</f>
        <v>6.1042684591630518</v>
      </c>
      <c r="AL204" s="354">
        <f>CHOOSE(Table1[[#This Row],[Mode Digit]],SQRT((Fsw*(Table1[[#This Row],[t2_Ph_I]]+0))*((Table1[[#This Row],[I_0]]*Table1[[#This Row],[I_1]]+((Table1[[#This Row],[I_0]]-Table1[[#This Row],[I_1]])^2)/3))),0,SQRT((Fsw*(Table1[[#This Row],[t3_Ph_III]]+0))*((Table1[[#This Row],[I_0]]*Table1[[#This Row],[I_2]]+((Table1[[#This Row],[I_0]]-Table1[[#This Row],[I_2]])^2)/3))))</f>
        <v>10.074614980794765</v>
      </c>
      <c r="AM204" s="354">
        <f>Rdson2*Table1[[#This Row],[Irms BuSync]]^2</f>
        <v>0.42629104144726815</v>
      </c>
      <c r="AN20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04" s="354">
        <f>(Table1[[#This Row],[Deadtime Loss BuSync]]+Table1[[#This Row],[RDS(on) Loss BuSync]]*(1+RdsonBotTc*Ta-RdsonBotTc*25))/(1-Table1[[#This Row],[RDS(on) Loss BuSync]]*RdsonBotTc*ThetaJA_Q2)</f>
        <v>1.1180499974961573</v>
      </c>
      <c r="AP204" s="354">
        <f>CHOOSE(Table1[[#This Row],[Mode Digit]],0,SQRT((Fsw*(Table1[[#This Row],[t1_Ph_II]]+0))*((Table1[[#This Row],[I_0]]*Table1[[#This Row],[I_1]]+((Table1[[#This Row],[I_0]]-Table1[[#This Row],[I_1]])^2)/3))),SQRT((Fsw*(Table1[[#This Row],[t2_Ph_I]]+0))*((Table1[[#This Row],[I_1]]*Table1[[#This Row],[I_2]]+((Table1[[#This Row],[I_1]]-Table1[[#This Row],[I_2]])^2)/3))))</f>
        <v>0</v>
      </c>
      <c r="AQ204" s="354">
        <f>Rdson4*Table1[[#This Row],[Irms BoCtlr]]^2</f>
        <v>0</v>
      </c>
      <c r="AR204" s="354">
        <f>CHOOSE(Table1[[#This Row],[Mode Digit]], 0, (Vout*Table1[[#This Row],[Iin]]/2)*(Fsw)*(Tr_boost+Tf_boost), (Vout*Iout/2)*(Fsw/1)*(Tr_boost+Tf_boost))</f>
        <v>0</v>
      </c>
      <c r="AS204">
        <f>IF(Table1[[#This Row],[Vin]]&gt;Vout, 0, IF(Table1[[#This Row],[Iin]]&gt;Table1[[#This Row],[Ripple Current pk-pk]]/2,0,ABS(Table1[[#This Row],[Iin]]-Table1[[#This Row],[Ripple Current pk-pk]]/2)*Vsd_Q4*Deadtime*Fsw))</f>
        <v>0</v>
      </c>
      <c r="AT204" s="354">
        <f>(Table1[[#This Row],[Dead Time Loss BoCtlr]]+Table1[[#This Row],[Transition Loss BoCtlr]]+Table1[[#This Row],[RDS(on) Loss BoCtlr]]*(1+RdsonTopTc*Ta-RdsonTopTc*25))/(1-Table1[[#This Row],[RDS(on) Loss BoCtlr]]*RdsonTopTc*ThetaJA_Q4)</f>
        <v>0</v>
      </c>
      <c r="AU20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12.142865093200182</v>
      </c>
      <c r="AV204" s="354">
        <f>Rdson3*Table1[[#This Row],[Irms BoSync]]^2</f>
        <v>0.61928652522096994</v>
      </c>
      <c r="AW20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04" s="354">
        <f>(Table1[[#This Row],[Deadtime Loss BoSync]]+Table1[[#This Row],[RDS(on) Loss BoSync]]*(1+RdsonBotTc*Ta-RdsonBotTc*25))/(1-Table1[[#This Row],[RDS(on) Loss BoSync]]*RdsonBotTc*ThetaJA_Q3)</f>
        <v>0.72739893072255946</v>
      </c>
      <c r="AY204" s="354">
        <f>CHOOSE(Table1[[#This Row],[Mode Digit]], Rdson3*Table1[[#This Row],[Irms Lf]]^2, Rdson1*Table1[[#This Row],[Irms Lf]]^2, 0)</f>
        <v>0.61928652522096994</v>
      </c>
      <c r="AZ204" s="354">
        <f>CHOOSE(Table1[[#This Row],[Mode Digit]], 2*Deadtime*Fsw*IF(VfdSky_Q2&gt;0,VfdSky_Q2,0)*Table1[[#This Row],[Iout]], 2*Deadtime*Fsw*IF(VfdSky_Q3&gt;0,VfdSky_Q3,0)*Table1[[#This Row],[Iin]], 2*Deadtime*Fsw*IF(VfdSky_Q2&gt;0,VfdSky_Q2,0)*Table1[[#This Row],[Iout]]+2*Deadtime*Fsw*IF(VfdSky_Q3&gt;0,VfdSky_Q3,0)*Table1[[#This Row],[Iin]])</f>
        <v>0</v>
      </c>
      <c r="BA204" s="354">
        <f>CHOOSE(Table1[[#This Row],[Mode Digit]], IF(QrrSky_Q2&gt;0,QrrSky_Q2,Qrr_Q2)*Fsw*(Table1[[#This Row],[Vin]]-Table1[[#This Row],[Iout]]*Rdson1),0,  IF(QrrSky_Q2&gt;0,QrrSky_Q2,Qrr_Q2)*Fsw*(Table1[[#This Row],[Vin]]-Table1[[#This Row],[Iout]]*Rdson1)+IF(QrrSky_Q3&gt;0,QrrSky_Q3,Qrr_Q3)*Fsw*Vout)</f>
        <v>0.56699519999999992</v>
      </c>
      <c r="BB204" s="354">
        <f>CHOOSE(Table1[[#This Row],[Mode Digit]],0, IF(QrrSky_Q3&gt;0,QrrSky_Q3,Qrr_Q3)*Fsw*Vout,  IF(QrrSky_Q2&gt;0,QrrSky_Q2,Qrr_Q2)*Fsw*(Table1[[#This Row],[Vin]]-Table1[[#This Row],[Iout]]*Rdson1)+IF(QrrSky_Q3&gt;0,QrrSky_Q3,Qrr_Q3)*Fsw*Vout)</f>
        <v>0</v>
      </c>
      <c r="BC204" s="354">
        <f>CHOOSE(Table1[[#This Row],[Mode Digit]], Rs*Table1[[#This Row],[Irms BuSync]]^2, Rs*Table1[[#This Row],[Irms BoCtlr]]^2, Rs*(Table1[[#This Row],[Irms BuSync]]^2+Table1[[#This Row],[Irms BoCtlr]]^2))</f>
        <v>0.25374466752813574</v>
      </c>
      <c r="BD204" s="354">
        <f t="shared" si="11"/>
        <v>1.44</v>
      </c>
      <c r="BE204" s="354">
        <f>IF(Vout&gt;8, Iq*Vout, Iq*Table1[[#This Row],[Vin]])</f>
        <v>4.3799999999999999E-2</v>
      </c>
      <c r="BF204" s="354">
        <f>CHOOSE(Table1[[#This Row],[Mode Digit]], (Qg_Q1+Qg_Q2)*Fsw, (Qg_Q3+Qg_Q4)*Fsw, (Qg_Q1+Qg_Q2+Qg_Q3+Qg_Q4)*Fsw)*IF(Vout&gt;8, Vout, Table1[[#This Row],[Vin]])</f>
        <v>0.47303999999999996</v>
      </c>
      <c r="BG204" s="354">
        <f t="shared" si="12"/>
        <v>0.45605042016806729</v>
      </c>
      <c r="BH204" s="354">
        <f>Table1[[#This Row],[IQ Loss]]+Table1[[#This Row],[Switching Current Loss]]</f>
        <v>0.51683999999999997</v>
      </c>
      <c r="BI20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14.068812513320669</v>
      </c>
      <c r="BJ204">
        <f>Vout*Table1[[#This Row],[Iout]]</f>
        <v>175.2</v>
      </c>
      <c r="BK204" s="550">
        <f>Table1[[#This Row],[Pout]]/(Table1[[#This Row],[Pout]]+Table1[[#This Row],[Total Loss]])</f>
        <v>0.92566756072223733</v>
      </c>
      <c r="BL20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366.25610754978311</v>
      </c>
      <c r="BM204" s="559">
        <f>IF(Table1[[#This Row],[Vin]]&gt;Vout, Table1[[#This Row],[Total Sync Bu MOSFET Loss]]*ThetaJA_Q2, ThetaJA_Q3*Table1[[#This Row],[Total Sync Bo MOSFET Loss]])</f>
        <v>67.082999849769436</v>
      </c>
      <c r="BN204" s="9"/>
      <c r="BO204" s="4">
        <f>Table1[[#This Row],[EFF, h]]*100</f>
        <v>92.56675607222374</v>
      </c>
      <c r="BP204" s="354">
        <f>Table1[[#This Row],[Total Inductor Loss]]</f>
        <v>3.2610074665328819</v>
      </c>
      <c r="BQ204" s="354">
        <f>Table1[[#This Row],[Total Control Bu MOSFET Loss]]+Table1[[#This Row],[Total Sync Bu MOSFET Loss]]+Table1[[#This Row],[Total Control Bo MOSFET Loss]]+Table1[[#This Row],[Total Sync Bo MOSFET Loss]]+Table1[[#This Row],[Reverse Recovery Loss MOSFET D BUCK]]+Table1[[#This Row],[Reverse Recovery Loss MOSFET D BOOST]]</f>
        <v>8.5167125873817682</v>
      </c>
      <c r="BR204" s="354">
        <f>Table1[[#This Row],[Total Control Bu MOSFET Loss]]+Table1[[#This Row],[Reverse Recovery Loss MOSFET D BUCK]]*0.66</f>
        <v>6.4784852911630519</v>
      </c>
      <c r="BS204" s="354">
        <f>Table1[[#This Row],[Total Sync Bu MOSFET Loss]]+Table1[[#This Row],[Reverse Recovery Loss MOSFET D BUCK]]*0.33</f>
        <v>1.3051584134961574</v>
      </c>
      <c r="BT204" s="354">
        <f xml:space="preserve"> Table1[[#This Row],[Total Control Bo MOSFET Loss]]+Table1[[#This Row],[Reverse Recovery Loss MOSFET D BOOST]]*0.66</f>
        <v>0</v>
      </c>
      <c r="BU204" s="354">
        <f xml:space="preserve"> Table1[[#This Row],[Total Sync Bo MOSFET Loss]]+Table1[[#This Row],[Reverse Recovery Loss MOSFET D BOOST]]*0.33</f>
        <v>0.72739893072255946</v>
      </c>
      <c r="BV204" s="354">
        <f>Table1[[#This Row],[Isense Shunt Loss]]</f>
        <v>0.25374466752813574</v>
      </c>
    </row>
    <row r="205" spans="7:74" x14ac:dyDescent="0.2">
      <c r="G205">
        <v>196</v>
      </c>
      <c r="H205" s="555">
        <f>VIN_min+(VIN_max-VIN_min)*(Table1[[#This Row],[Step]]/200)</f>
        <v>47.44</v>
      </c>
      <c r="I205" s="4" t="str">
        <f>IF(Mode = 2,IF(Table1[[#This Row],[Vin]]&gt;Vout, "BUCK","BOOST"),IF(Table1[[#This Row],[Vin]]&gt;VIN_BB_to_buck, "BUCK", IF(Table1[[#This Row],[Vin]]&lt;=VIN_boost_to_BB,"BOOST","BUCK-BST")))</f>
        <v>BUCK</v>
      </c>
      <c r="J205">
        <f>IF(Table1[[#This Row],[Mode]]="BOOST",2, IF(Table1[[#This Row],[Mode]]="BUCK", 1,3))</f>
        <v>1</v>
      </c>
      <c r="K205">
        <f t="shared" si="10"/>
        <v>12</v>
      </c>
      <c r="L205" s="4">
        <f>Vout*Table1[[#This Row],[Iout]]/(Table1[[#This Row],[Vin]]*Efficiency)</f>
        <v>3.8874589509186119</v>
      </c>
      <c r="M205" s="711">
        <f>MIN(1/Fsw,CHOOSE(Table1[[#This Row],[Mode Digit]],(Vout+(Rdson2+Rs+Rdcr)*Table1[[#This Row],[Iout]])/(Table1[[#This Row],[Vin]]+(Rs+Rdson2-Rdson1)*Table1[[#This Row],[Iout]])/Fsw,(Vout+(Rdson3+Rdcr)*Table1[[#This Row],[Iin]]-Table1[[#This Row],[Vin]])/(Vout+(Rdson3-Rdson4-Rs)*Table1[[#This Row],[Iin]])/Fsw,t1_Ph_II))</f>
        <v>5.1787093602977318E-7</v>
      </c>
      <c r="N205" s="602">
        <f>CHOOSE(Table1[[#This Row],[Mode Digit]],1/Fsw-Table1[[#This Row],[t1_Ph_II]],1/Fsw-Table1[[#This Row],[t1_Ph_II]],(Vout/Fsw-Table1[[#This Row],[Vin]]*t1_Ph_II)/(Table1[[#This Row],[Vin]]+Vout))</f>
        <v>1.1487957306368935E-6</v>
      </c>
      <c r="O205" s="602">
        <f>1/Fsw-(Table1[[#This Row],[t1_Ph_II]]+Table1[[#This Row],[t2_Ph_I]])</f>
        <v>0</v>
      </c>
      <c r="P20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8.7789997084814875</v>
      </c>
      <c r="Q205" s="4">
        <f>CHOOSE(Table1[[#This Row],[Mode Digit]],Table1[[#This Row],[I_0]]+1/Lf*(Table1[[#This Row],[Vin]]-Vout)*Table1[[#This Row],[t1_Ph_II]],Table1[[#This Row],[I_0]]+1/Lf*Table1[[#This Row],[Vin]]*Table1[[#This Row],[t1_Ph_II]],Table1[[#This Row],[I_0]]+(Table1[[#This Row],[Vin]]-Vout)/L*Table1[[#This Row],[t1_Ph_II]])</f>
        <v>15.221000291518514</v>
      </c>
      <c r="R205" s="4">
        <f>CHOOSE(Table1[[#This Row],[Mode Digit]],0,0,Table1[[#This Row],[I_1]]+Table1[[#This Row],[Vin]]/L*Table1[[#This Row],[t2_Ph_I]])</f>
        <v>0</v>
      </c>
      <c r="S205" s="4">
        <f>Fsw*(Table1[[#This Row],[I_0]]*Table1[[#This Row],[t1_Ph_II]]+Table1[[#This Row],[I_1]]*Table1[[#This Row],[t2_Ph_I]]+Table1[[#This Row],[I_2]]*Table1[[#This Row],[t3_Ph_III]])</f>
        <v>13.219325368413477</v>
      </c>
      <c r="T205" s="354">
        <f>MIN(1,CHOOSE(Table1[[#This Row],[Mode Digit]],(Vout+(Rdson2+Rs+Rdcr)*Table1[[#This Row],[Iout]])/(Table1[[#This Row],[Vin]]+(Rs+Rdson2-Rdson1)*Table1[[#This Row],[Iout]]),1,Fsw*Table1[[#This Row],[t2_Ph_I]]+Table1[[#This Row],[t1_Ph_II]]))</f>
        <v>0.31072256161786393</v>
      </c>
      <c r="U205" s="354">
        <f>MIN(1,CHOOSE(Table1[[#This Row],[Mode Digit]],0,(Vout+(Rdson3+Rdcr)*Table1[[#This Row],[Iin]]-Table1[[#This Row],[Vin]])/(Vout+(Rdson3-Rdson4-Rs)*Table1[[#This Row],[Iin]]),Fsw*Table1[[#This Row],[t1_Ph_II]]+Table1[[#This Row],[t3_Ph_III]]))</f>
        <v>0</v>
      </c>
      <c r="V205" s="4">
        <f>MAX(Table1[[#This Row],[I_0]:[I_2]])-MIN(Table1[[#This Row],[I_0]:[I_1]])</f>
        <v>6.4420005830370268</v>
      </c>
      <c r="W20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12.143240134301916</v>
      </c>
      <c r="X205" s="354">
        <f>(Table1[[#This Row],[Irms Lf]]^2*Rdcr*(1+Ltc*Ta-Ltc*25))/(1-Table1[[#This Row],[Irms Lf]]^2*Rdcr*Ltc*ThetaCa)</f>
        <v>0.91807318673893579</v>
      </c>
      <c r="Y205" s="354">
        <f>ABS(7.759*10^-3*Fsw^0.9458*(0.00787*Table1[[#This Row],[Ripple Current pk-pk]])^2.304)</f>
        <v>2.3501242205697004</v>
      </c>
      <c r="Z205" s="354">
        <f>Table1[[#This Row],[DCR    Loss]]+Table1[[#This Row],[Core Loss]]</f>
        <v>3.2681974073086364</v>
      </c>
      <c r="AA205" s="4">
        <f>IF(Table1[[#This Row],[Vin]]&gt;Vout, Table1[[#This Row],[Ripple Current pk-pk]]/SQRT(12), SQRT(Table1[[#This Row],[Duty Cycle BOOST Leg]]/(1-Table1[[#This Row],[Duty Cycle BOOST Leg]]))*SQRT(Table1[[#This Row],[Iout]]^2+(Table1[[#This Row],[Ripple Current pk-pk]]^2)/12))</f>
        <v>1.859645385368077</v>
      </c>
      <c r="AB205" s="354">
        <f>RCoutEsr*Table1[[#This Row],[Irms Cout]]^2</f>
        <v>1.7291404796603918E-2</v>
      </c>
      <c r="AC205" s="354">
        <f>Table1[[#This Row],[Cout ESR Loss]]</f>
        <v>1.7291404796603918E-2</v>
      </c>
      <c r="AD205" s="354">
        <f>IF(Table1[[#This Row],[Vin]]&gt;Vout, SQRT(Table1[[#This Row],[Duty Cycle BUCK Leg]]*(1-Table1[[#This Row],[Duty Cycle BUCK Leg]]))*SQRT(Table1[[#This Row],[Iout]]^2+(Table1[[#This Row],[Ripple Current pk-pk]]^2)/12), Table1[[#This Row],[Ripple Current pk-pk]]/SQRT(12))</f>
        <v>5.6197631118817037</v>
      </c>
      <c r="AE205" s="354">
        <f>RCinEsr*Table1[[#This Row],[Irms Cin]]^2</f>
        <v>6.3163474867332661E-2</v>
      </c>
      <c r="AF205" s="549">
        <f>Table1[[#This Row],[Cin ESR Loss]]</f>
        <v>6.3163474867332661E-2</v>
      </c>
      <c r="AG20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6.7689448802192835</v>
      </c>
      <c r="AH205" s="354">
        <f>Rdson1*Table1[[#This Row],[Irms BuCtrl]]^2</f>
        <v>0.19243818212407679</v>
      </c>
      <c r="AI205" s="354">
        <f>CHOOSE(Table1[[#This Row],[Mode Digit]], (Table1[[#This Row],[Vin]]*Table1[[#This Row],[Iout]]/2)*(Fsw)*(Tr_buck+Tf_buck), 0, (Table1[[#This Row],[Vin]]*Table1[[#This Row],[Avg IL]]/2)*(Fsw/1)*(Tr_buck+Tf_buck))</f>
        <v>5.6451893732067093</v>
      </c>
      <c r="AJ205">
        <f>IF(Table1[[#This Row],[Vin]]&gt;Vout, IF(Table1[[#This Row],[Iout]]&gt;Table1[[#This Row],[Ripple Current pk-pk]]/2,0,ABS(Table1[[#This Row],[Iout]]-Table1[[#This Row],[Ripple Current pk-pk]]/2)*Vsd_Q1*Deadtime*Fsw),0)</f>
        <v>0</v>
      </c>
      <c r="AK205" s="354">
        <f>(Table1[[#This Row],[Dead Time Loss BuCtrl]]+Table1[[#This Row],[Transition Loss BuCtrl]]+Table1[[#This Row],[RDS(on) Loss BuCtrl]]*(1+RdsonTopTc*Ta-RdsonTopTc*25))/(1-Table1[[#This Row],[RDS(on) Loss BuCtrl]]*RdsonTopTc*ThetaJA_Q1)</f>
        <v>6.120294351926546</v>
      </c>
      <c r="AL205" s="354">
        <f>CHOOSE(Table1[[#This Row],[Mode Digit]],SQRT((Fsw*(Table1[[#This Row],[t2_Ph_I]]+0))*((Table1[[#This Row],[I_0]]*Table1[[#This Row],[I_1]]+((Table1[[#This Row],[I_0]]-Table1[[#This Row],[I_1]])^2)/3))),0,SQRT((Fsw*(Table1[[#This Row],[t3_Ph_III]]+0))*((Table1[[#This Row],[I_0]]*Table1[[#This Row],[I_2]]+((Table1[[#This Row],[I_0]]-Table1[[#This Row],[I_2]])^2)/3))))</f>
        <v>10.08164997249329</v>
      </c>
      <c r="AM205" s="354">
        <f>Rdson2*Table1[[#This Row],[Irms BuSync]]^2</f>
        <v>0.42688659790507066</v>
      </c>
      <c r="AN20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05" s="354">
        <f>(Table1[[#This Row],[Deadtime Loss BuSync]]+Table1[[#This Row],[RDS(on) Loss BuSync]]*(1+RdsonBotTc*Ta-RdsonBotTc*25))/(1-Table1[[#This Row],[RDS(on) Loss BuSync]]*RdsonBotTc*ThetaJA_Q2)</f>
        <v>1.1188915836533992</v>
      </c>
      <c r="AP205" s="354">
        <f>CHOOSE(Table1[[#This Row],[Mode Digit]],0,SQRT((Fsw*(Table1[[#This Row],[t1_Ph_II]]+0))*((Table1[[#This Row],[I_0]]*Table1[[#This Row],[I_1]]+((Table1[[#This Row],[I_0]]-Table1[[#This Row],[I_1]])^2)/3))),SQRT((Fsw*(Table1[[#This Row],[t2_Ph_I]]+0))*((Table1[[#This Row],[I_1]]*Table1[[#This Row],[I_2]]+((Table1[[#This Row],[I_1]]-Table1[[#This Row],[I_2]])^2)/3))))</f>
        <v>0</v>
      </c>
      <c r="AQ205" s="354">
        <f>Rdson4*Table1[[#This Row],[Irms BoCtlr]]^2</f>
        <v>0</v>
      </c>
      <c r="AR205" s="354">
        <f>CHOOSE(Table1[[#This Row],[Mode Digit]], 0, (Vout*Table1[[#This Row],[Iin]]/2)*(Fsw)*(Tr_boost+Tf_boost), (Vout*Iout/2)*(Fsw/1)*(Tr_boost+Tf_boost))</f>
        <v>0</v>
      </c>
      <c r="AS205">
        <f>IF(Table1[[#This Row],[Vin]]&gt;Vout, 0, IF(Table1[[#This Row],[Iin]]&gt;Table1[[#This Row],[Ripple Current pk-pk]]/2,0,ABS(Table1[[#This Row],[Iin]]-Table1[[#This Row],[Ripple Current pk-pk]]/2)*Vsd_Q4*Deadtime*Fsw))</f>
        <v>0</v>
      </c>
      <c r="AT205" s="354">
        <f>(Table1[[#This Row],[Dead Time Loss BoCtlr]]+Table1[[#This Row],[Transition Loss BoCtlr]]+Table1[[#This Row],[RDS(on) Loss BoCtlr]]*(1+RdsonTopTc*Ta-RdsonTopTc*25))/(1-Table1[[#This Row],[RDS(on) Loss BoCtlr]]*RdsonTopTc*ThetaJA_Q4)</f>
        <v>0</v>
      </c>
      <c r="AU20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12.143240134301916</v>
      </c>
      <c r="AV205" s="354">
        <f>Rdson3*Table1[[#This Row],[Irms BoSync]]^2</f>
        <v>0.61932478002914748</v>
      </c>
      <c r="AW20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05" s="354">
        <f>(Table1[[#This Row],[Deadtime Loss BoSync]]+Table1[[#This Row],[RDS(on) Loss BoSync]]*(1+RdsonBotTc*Ta-RdsonBotTc*25))/(1-Table1[[#This Row],[RDS(on) Loss BoSync]]*RdsonBotTc*ThetaJA_Q3)</f>
        <v>0.72745170870297959</v>
      </c>
      <c r="AY205" s="354">
        <f>CHOOSE(Table1[[#This Row],[Mode Digit]], Rdson3*Table1[[#This Row],[Irms Lf]]^2, Rdson1*Table1[[#This Row],[Irms Lf]]^2, 0)</f>
        <v>0.61932478002914748</v>
      </c>
      <c r="AZ205" s="354">
        <f>CHOOSE(Table1[[#This Row],[Mode Digit]], 2*Deadtime*Fsw*IF(VfdSky_Q2&gt;0,VfdSky_Q2,0)*Table1[[#This Row],[Iout]], 2*Deadtime*Fsw*IF(VfdSky_Q3&gt;0,VfdSky_Q3,0)*Table1[[#This Row],[Iin]], 2*Deadtime*Fsw*IF(VfdSky_Q2&gt;0,VfdSky_Q2,0)*Table1[[#This Row],[Iout]]+2*Deadtime*Fsw*IF(VfdSky_Q3&gt;0,VfdSky_Q3,0)*Table1[[#This Row],[Iin]])</f>
        <v>0</v>
      </c>
      <c r="BA205" s="354">
        <f>CHOOSE(Table1[[#This Row],[Mode Digit]], IF(QrrSky_Q2&gt;0,QrrSky_Q2,Qrr_Q2)*Fsw*(Table1[[#This Row],[Vin]]-Table1[[#This Row],[Iout]]*Rdson1),0,  IF(QrrSky_Q2&gt;0,QrrSky_Q2,Qrr_Q2)*Fsw*(Table1[[#This Row],[Vin]]-Table1[[#This Row],[Iout]]*Rdson1)+IF(QrrSky_Q3&gt;0,QrrSky_Q3,Qrr_Q3)*Fsw*Vout)</f>
        <v>0.56867519999999994</v>
      </c>
      <c r="BB205" s="354">
        <f>CHOOSE(Table1[[#This Row],[Mode Digit]],0, IF(QrrSky_Q3&gt;0,QrrSky_Q3,Qrr_Q3)*Fsw*Vout,  IF(QrrSky_Q2&gt;0,QrrSky_Q2,Qrr_Q2)*Fsw*(Table1[[#This Row],[Vin]]-Table1[[#This Row],[Iout]]*Rdson1)+IF(QrrSky_Q3&gt;0,QrrSky_Q3,Qrr_Q3)*Fsw*Vout)</f>
        <v>0</v>
      </c>
      <c r="BC205" s="354">
        <f>CHOOSE(Table1[[#This Row],[Mode Digit]], Rs*Table1[[#This Row],[Irms BuSync]]^2, Rs*Table1[[#This Row],[Irms BoCtlr]]^2, Rs*(Table1[[#This Row],[Irms BuSync]]^2+Table1[[#This Row],[Irms BoCtlr]]^2))</f>
        <v>0.25409916541968491</v>
      </c>
      <c r="BD205" s="354">
        <f t="shared" si="11"/>
        <v>1.44</v>
      </c>
      <c r="BE205" s="354">
        <f>IF(Vout&gt;8, Iq*Vout, Iq*Table1[[#This Row],[Vin]])</f>
        <v>4.3799999999999999E-2</v>
      </c>
      <c r="BF205" s="354">
        <f>CHOOSE(Table1[[#This Row],[Mode Digit]], (Qg_Q1+Qg_Q2)*Fsw, (Qg_Q3+Qg_Q4)*Fsw, (Qg_Q1+Qg_Q2+Qg_Q3+Qg_Q4)*Fsw)*IF(Vout&gt;8, Vout, Table1[[#This Row],[Vin]])</f>
        <v>0.47303999999999996</v>
      </c>
      <c r="BG205" s="354">
        <f t="shared" si="12"/>
        <v>0.45605042016806729</v>
      </c>
      <c r="BH205" s="354">
        <f>Table1[[#This Row],[IQ Loss]]+Table1[[#This Row],[Switching Current Loss]]</f>
        <v>0.51683999999999997</v>
      </c>
      <c r="BI20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14.094904296675182</v>
      </c>
      <c r="BJ205">
        <f>Vout*Table1[[#This Row],[Iout]]</f>
        <v>175.2</v>
      </c>
      <c r="BK205" s="550">
        <f>Table1[[#This Row],[Pout]]/(Table1[[#This Row],[Pout]]+Table1[[#This Row],[Total Loss]])</f>
        <v>0.92553996976809938</v>
      </c>
      <c r="BL20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367.21766111559276</v>
      </c>
      <c r="BM205" s="559">
        <f>IF(Table1[[#This Row],[Vin]]&gt;Vout, Table1[[#This Row],[Total Sync Bu MOSFET Loss]]*ThetaJA_Q2, ThetaJA_Q3*Table1[[#This Row],[Total Sync Bo MOSFET Loss]])</f>
        <v>67.133495019203949</v>
      </c>
      <c r="BN205" s="9"/>
      <c r="BO205" s="4">
        <f>Table1[[#This Row],[EFF, h]]*100</f>
        <v>92.553996976809941</v>
      </c>
      <c r="BP205" s="354">
        <f>Table1[[#This Row],[Total Inductor Loss]]</f>
        <v>3.2681974073086364</v>
      </c>
      <c r="BQ205" s="354">
        <f>Table1[[#This Row],[Total Control Bu MOSFET Loss]]+Table1[[#This Row],[Total Sync Bu MOSFET Loss]]+Table1[[#This Row],[Total Control Bo MOSFET Loss]]+Table1[[#This Row],[Total Sync Bo MOSFET Loss]]+Table1[[#This Row],[Reverse Recovery Loss MOSFET D BUCK]]+Table1[[#This Row],[Reverse Recovery Loss MOSFET D BOOST]]</f>
        <v>8.5353128442829238</v>
      </c>
      <c r="BR205" s="354">
        <f>Table1[[#This Row],[Total Control Bu MOSFET Loss]]+Table1[[#This Row],[Reverse Recovery Loss MOSFET D BUCK]]*0.66</f>
        <v>6.495619983926546</v>
      </c>
      <c r="BS205" s="354">
        <f>Table1[[#This Row],[Total Sync Bu MOSFET Loss]]+Table1[[#This Row],[Reverse Recovery Loss MOSFET D BUCK]]*0.33</f>
        <v>1.3065543996533993</v>
      </c>
      <c r="BT205" s="354">
        <f xml:space="preserve"> Table1[[#This Row],[Total Control Bo MOSFET Loss]]+Table1[[#This Row],[Reverse Recovery Loss MOSFET D BOOST]]*0.66</f>
        <v>0</v>
      </c>
      <c r="BU205" s="354">
        <f xml:space="preserve"> Table1[[#This Row],[Total Sync Bo MOSFET Loss]]+Table1[[#This Row],[Reverse Recovery Loss MOSFET D BOOST]]*0.33</f>
        <v>0.72745170870297959</v>
      </c>
      <c r="BV205" s="354">
        <f>Table1[[#This Row],[Isense Shunt Loss]]</f>
        <v>0.25409916541968491</v>
      </c>
    </row>
    <row r="206" spans="7:74" x14ac:dyDescent="0.2">
      <c r="G206">
        <v>197</v>
      </c>
      <c r="H206" s="555">
        <f>VIN_min+(VIN_max-VIN_min)*(Table1[[#This Row],[Step]]/200)</f>
        <v>47.58</v>
      </c>
      <c r="I206" s="4" t="str">
        <f>IF(Mode = 2,IF(Table1[[#This Row],[Vin]]&gt;Vout, "BUCK","BOOST"),IF(Table1[[#This Row],[Vin]]&gt;VIN_BB_to_buck, "BUCK", IF(Table1[[#This Row],[Vin]]&lt;=VIN_boost_to_BB,"BOOST","BUCK-BST")))</f>
        <v>BUCK</v>
      </c>
      <c r="J206">
        <f>IF(Table1[[#This Row],[Mode]]="BOOST",2, IF(Table1[[#This Row],[Mode]]="BUCK", 1,3))</f>
        <v>1</v>
      </c>
      <c r="K206">
        <f t="shared" si="10"/>
        <v>12</v>
      </c>
      <c r="L206" s="4">
        <f>Vout*Table1[[#This Row],[Iout]]/(Table1[[#This Row],[Vin]]*Efficiency)</f>
        <v>3.8760204420256192</v>
      </c>
      <c r="M206" s="711">
        <f>MIN(1/Fsw,CHOOSE(Table1[[#This Row],[Mode Digit]],(Vout+(Rdson2+Rs+Rdcr)*Table1[[#This Row],[Iout]])/(Table1[[#This Row],[Vin]]+(Rs+Rdson2-Rdson1)*Table1[[#This Row],[Iout]])/Fsw,(Vout+(Rdson3+Rdcr)*Table1[[#This Row],[Iin]]-Table1[[#This Row],[Vin]])/(Vout+(Rdson3-Rdson4-Rs)*Table1[[#This Row],[Iin]])/Fsw,t1_Ph_II))</f>
        <v>5.1634810614016664E-7</v>
      </c>
      <c r="N206" s="602">
        <f>CHOOSE(Table1[[#This Row],[Mode Digit]],1/Fsw-Table1[[#This Row],[t1_Ph_II]],1/Fsw-Table1[[#This Row],[t1_Ph_II]],(Vout/Fsw-Table1[[#This Row],[Vin]]*t1_Ph_II)/(Table1[[#This Row],[Vin]]+Vout))</f>
        <v>1.1503185605265E-6</v>
      </c>
      <c r="O206" s="602">
        <f>1/Fsw-(Table1[[#This Row],[t1_Ph_II]]+Table1[[#This Row],[t2_Ph_I]])</f>
        <v>0</v>
      </c>
      <c r="P20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8.7747802006623683</v>
      </c>
      <c r="Q206" s="4">
        <f>CHOOSE(Table1[[#This Row],[Mode Digit]],Table1[[#This Row],[I_0]]+1/Lf*(Table1[[#This Row],[Vin]]-Vout)*Table1[[#This Row],[t1_Ph_II]],Table1[[#This Row],[I_0]]+1/Lf*Table1[[#This Row],[Vin]]*Table1[[#This Row],[t1_Ph_II]],Table1[[#This Row],[I_0]]+(Table1[[#This Row],[Vin]]-Vout)/L*Table1[[#This Row],[t1_Ph_II]])</f>
        <v>15.22521979933763</v>
      </c>
      <c r="R206" s="4">
        <f>CHOOSE(Table1[[#This Row],[Mode Digit]],0,0,Table1[[#This Row],[I_1]]+Table1[[#This Row],[Vin]]/L*Table1[[#This Row],[t2_Ph_I]])</f>
        <v>0</v>
      </c>
      <c r="S206" s="4">
        <f>Fsw*(Table1[[#This Row],[I_0]]*Table1[[#This Row],[t1_Ph_II]]+Table1[[#This Row],[I_1]]*Table1[[#This Row],[t2_Ph_I]]+Table1[[#This Row],[I_2]]*Table1[[#This Row],[t3_Ph_III]])</f>
        <v>13.226816437009127</v>
      </c>
      <c r="T206" s="354">
        <f>MIN(1,CHOOSE(Table1[[#This Row],[Mode Digit]],(Vout+(Rdson2+Rs+Rdcr)*Table1[[#This Row],[Iout]])/(Table1[[#This Row],[Vin]]+(Rs+Rdson2-Rdson1)*Table1[[#This Row],[Iout]]),1,Fsw*Table1[[#This Row],[t2_Ph_I]]+Table1[[#This Row],[t1_Ph_II]]))</f>
        <v>0.30980886368409999</v>
      </c>
      <c r="U206" s="354">
        <f>MIN(1,CHOOSE(Table1[[#This Row],[Mode Digit]],0,(Vout+(Rdson3+Rdcr)*Table1[[#This Row],[Iin]]-Table1[[#This Row],[Vin]])/(Vout+(Rdson3-Rdson4-Rs)*Table1[[#This Row],[Iin]]),Fsw*Table1[[#This Row],[t1_Ph_II]]+Table1[[#This Row],[t3_Ph_III]]))</f>
        <v>0</v>
      </c>
      <c r="V206" s="4">
        <f>MAX(Table1[[#This Row],[I_0]:[I_2]])-MIN(Table1[[#This Row],[I_0]:[I_1]])</f>
        <v>6.4504395986752616</v>
      </c>
      <c r="W20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12.143613448421346</v>
      </c>
      <c r="X206" s="354">
        <f>(Table1[[#This Row],[Irms Lf]]^2*Rdcr*(1+Ltc*Ta-Ltc*25))/(1-Table1[[#This Row],[Irms Lf]]^2*Rdcr*Ltc*ThetaCa)</f>
        <v>0.91813378161647596</v>
      </c>
      <c r="Y206" s="354">
        <f>ABS(7.759*10^-3*Fsw^0.9458*(0.00787*Table1[[#This Row],[Ripple Current pk-pk]])^2.304)</f>
        <v>2.357223514462957</v>
      </c>
      <c r="Z206" s="354">
        <f>Table1[[#This Row],[DCR    Loss]]+Table1[[#This Row],[Core Loss]]</f>
        <v>3.275357296079433</v>
      </c>
      <c r="AA206" s="4">
        <f>IF(Table1[[#This Row],[Vin]]&gt;Vout, Table1[[#This Row],[Ripple Current pk-pk]]/SQRT(12), SQRT(Table1[[#This Row],[Duty Cycle BOOST Leg]]/(1-Table1[[#This Row],[Duty Cycle BOOST Leg]]))*SQRT(Table1[[#This Row],[Iout]]^2+(Table1[[#This Row],[Ripple Current pk-pk]]^2)/12))</f>
        <v>1.862081519343292</v>
      </c>
      <c r="AB206" s="354">
        <f>RCoutEsr*Table1[[#This Row],[Irms Cout]]^2</f>
        <v>1.7336737923399115E-2</v>
      </c>
      <c r="AC206" s="354">
        <f>Table1[[#This Row],[Cout ESR Loss]]</f>
        <v>1.7336737923399115E-2</v>
      </c>
      <c r="AD206" s="354">
        <f>IF(Table1[[#This Row],[Vin]]&gt;Vout, SQRT(Table1[[#This Row],[Duty Cycle BUCK Leg]]*(1-Table1[[#This Row],[Duty Cycle BUCK Leg]]))*SQRT(Table1[[#This Row],[Iout]]^2+(Table1[[#This Row],[Ripple Current pk-pk]]^2)/12), Table1[[#This Row],[Ripple Current pk-pk]]/SQRT(12))</f>
        <v>5.6153850662285354</v>
      </c>
      <c r="AE206" s="354">
        <f>RCinEsr*Table1[[#This Row],[Irms Cin]]^2</f>
        <v>6.3065098884044907E-2</v>
      </c>
      <c r="AF206" s="549">
        <f>Table1[[#This Row],[Cin ESR Loss]]</f>
        <v>6.3065098884044907E-2</v>
      </c>
      <c r="AG20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6.7591931016740343</v>
      </c>
      <c r="AH206" s="354">
        <f>Rdson1*Table1[[#This Row],[Irms BuCtrl]]^2</f>
        <v>0.191884103820015</v>
      </c>
      <c r="AI206" s="354">
        <f>CHOOSE(Table1[[#This Row],[Mode Digit]], (Table1[[#This Row],[Vin]]*Table1[[#This Row],[Iout]]/2)*(Fsw)*(Tr_buck+Tf_buck), 0, (Table1[[#This Row],[Vin]]*Table1[[#This Row],[Avg IL]]/2)*(Fsw/1)*(Tr_buck+Tf_buck))</f>
        <v>5.6618488696706413</v>
      </c>
      <c r="AJ206">
        <f>IF(Table1[[#This Row],[Vin]]&gt;Vout, IF(Table1[[#This Row],[Iout]]&gt;Table1[[#This Row],[Ripple Current pk-pk]]/2,0,ABS(Table1[[#This Row],[Iout]]-Table1[[#This Row],[Ripple Current pk-pk]]/2)*Vsd_Q1*Deadtime*Fsw),0)</f>
        <v>0</v>
      </c>
      <c r="AK206" s="354">
        <f>(Table1[[#This Row],[Dead Time Loss BuCtrl]]+Table1[[#This Row],[Transition Loss BuCtrl]]+Table1[[#This Row],[RDS(on) Loss BuCtrl]]*(1+RdsonTopTc*Ta-RdsonTopTc*25))/(1-Table1[[#This Row],[RDS(on) Loss BuCtrl]]*RdsonTopTc*ThetaJA_Q1)</f>
        <v>6.1363241059262092</v>
      </c>
      <c r="AL206" s="354">
        <f>CHOOSE(Table1[[#This Row],[Mode Digit]],SQRT((Fsw*(Table1[[#This Row],[t2_Ph_I]]+0))*((Table1[[#This Row],[I_0]]*Table1[[#This Row],[I_1]]+((Table1[[#This Row],[I_0]]-Table1[[#This Row],[I_1]])^2)/3))),0,SQRT((Fsw*(Table1[[#This Row],[t3_Ph_III]]+0))*((Table1[[#This Row],[I_0]]*Table1[[#This Row],[I_2]]+((Table1[[#This Row],[I_0]]-Table1[[#This Row],[I_2]])^2)/3))))</f>
        <v>10.088639957841787</v>
      </c>
      <c r="AM206" s="354">
        <f>Rdson2*Table1[[#This Row],[Irms BuSync]]^2</f>
        <v>0.42747875603564017</v>
      </c>
      <c r="AN20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06" s="354">
        <f>(Table1[[#This Row],[Deadtime Loss BuSync]]+Table1[[#This Row],[RDS(on) Loss BuSync]]*(1+RdsonBotTc*Ta-RdsonBotTc*25))/(1-Table1[[#This Row],[RDS(on) Loss BuSync]]*RdsonBotTc*ThetaJA_Q2)</f>
        <v>1.11972863339985</v>
      </c>
      <c r="AP206" s="354">
        <f>CHOOSE(Table1[[#This Row],[Mode Digit]],0,SQRT((Fsw*(Table1[[#This Row],[t1_Ph_II]]+0))*((Table1[[#This Row],[I_0]]*Table1[[#This Row],[I_1]]+((Table1[[#This Row],[I_0]]-Table1[[#This Row],[I_1]])^2)/3))),SQRT((Fsw*(Table1[[#This Row],[t2_Ph_I]]+0))*((Table1[[#This Row],[I_1]]*Table1[[#This Row],[I_2]]+((Table1[[#This Row],[I_1]]-Table1[[#This Row],[I_2]])^2)/3))))</f>
        <v>0</v>
      </c>
      <c r="AQ206" s="354">
        <f>Rdson4*Table1[[#This Row],[Irms BoCtlr]]^2</f>
        <v>0</v>
      </c>
      <c r="AR206" s="354">
        <f>CHOOSE(Table1[[#This Row],[Mode Digit]], 0, (Vout*Table1[[#This Row],[Iin]]/2)*(Fsw)*(Tr_boost+Tf_boost), (Vout*Iout/2)*(Fsw/1)*(Tr_boost+Tf_boost))</f>
        <v>0</v>
      </c>
      <c r="AS206">
        <f>IF(Table1[[#This Row],[Vin]]&gt;Vout, 0, IF(Table1[[#This Row],[Iin]]&gt;Table1[[#This Row],[Ripple Current pk-pk]]/2,0,ABS(Table1[[#This Row],[Iin]]-Table1[[#This Row],[Ripple Current pk-pk]]/2)*Vsd_Q4*Deadtime*Fsw))</f>
        <v>0</v>
      </c>
      <c r="AT206" s="354">
        <f>(Table1[[#This Row],[Dead Time Loss BoCtlr]]+Table1[[#This Row],[Transition Loss BoCtlr]]+Table1[[#This Row],[RDS(on) Loss BoCtlr]]*(1+RdsonTopTc*Ta-RdsonTopTc*25))/(1-Table1[[#This Row],[RDS(on) Loss BoCtlr]]*RdsonTopTc*ThetaJA_Q4)</f>
        <v>0</v>
      </c>
      <c r="AU20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12.143613448421346</v>
      </c>
      <c r="AV206" s="354">
        <f>Rdson3*Table1[[#This Row],[Irms BoSync]]^2</f>
        <v>0.6193628598556552</v>
      </c>
      <c r="AW20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06" s="354">
        <f>(Table1[[#This Row],[Deadtime Loss BoSync]]+Table1[[#This Row],[RDS(on) Loss BoSync]]*(1+RdsonBotTc*Ta-RdsonBotTc*25))/(1-Table1[[#This Row],[RDS(on) Loss BoSync]]*RdsonBotTc*ThetaJA_Q3)</f>
        <v>0.72750424640169165</v>
      </c>
      <c r="AY206" s="354">
        <f>CHOOSE(Table1[[#This Row],[Mode Digit]], Rdson3*Table1[[#This Row],[Irms Lf]]^2, Rdson1*Table1[[#This Row],[Irms Lf]]^2, 0)</f>
        <v>0.6193628598556552</v>
      </c>
      <c r="AZ206" s="354">
        <f>CHOOSE(Table1[[#This Row],[Mode Digit]], 2*Deadtime*Fsw*IF(VfdSky_Q2&gt;0,VfdSky_Q2,0)*Table1[[#This Row],[Iout]], 2*Deadtime*Fsw*IF(VfdSky_Q3&gt;0,VfdSky_Q3,0)*Table1[[#This Row],[Iin]], 2*Deadtime*Fsw*IF(VfdSky_Q2&gt;0,VfdSky_Q2,0)*Table1[[#This Row],[Iout]]+2*Deadtime*Fsw*IF(VfdSky_Q3&gt;0,VfdSky_Q3,0)*Table1[[#This Row],[Iin]])</f>
        <v>0</v>
      </c>
      <c r="BA206" s="354">
        <f>CHOOSE(Table1[[#This Row],[Mode Digit]], IF(QrrSky_Q2&gt;0,QrrSky_Q2,Qrr_Q2)*Fsw*(Table1[[#This Row],[Vin]]-Table1[[#This Row],[Iout]]*Rdson1),0,  IF(QrrSky_Q2&gt;0,QrrSky_Q2,Qrr_Q2)*Fsw*(Table1[[#This Row],[Vin]]-Table1[[#This Row],[Iout]]*Rdson1)+IF(QrrSky_Q3&gt;0,QrrSky_Q3,Qrr_Q3)*Fsw*Vout)</f>
        <v>0.57035519999999995</v>
      </c>
      <c r="BB206" s="354">
        <f>CHOOSE(Table1[[#This Row],[Mode Digit]],0, IF(QrrSky_Q3&gt;0,QrrSky_Q3,Qrr_Q3)*Fsw*Vout,  IF(QrrSky_Q2&gt;0,QrrSky_Q2,Qrr_Q2)*Fsw*(Table1[[#This Row],[Vin]]-Table1[[#This Row],[Iout]]*Rdson1)+IF(QrrSky_Q3&gt;0,QrrSky_Q3,Qrr_Q3)*Fsw*Vout)</f>
        <v>0</v>
      </c>
      <c r="BC206" s="354">
        <f>CHOOSE(Table1[[#This Row],[Mode Digit]], Rs*Table1[[#This Row],[Irms BuSync]]^2, Rs*Table1[[#This Row],[Irms BoCtlr]]^2, Rs*(Table1[[#This Row],[Irms BuSync]]^2+Table1[[#This Row],[Irms BoCtlr]]^2))</f>
        <v>0.25445164049740482</v>
      </c>
      <c r="BD206" s="354">
        <f t="shared" si="11"/>
        <v>1.44</v>
      </c>
      <c r="BE206" s="354">
        <f>IF(Vout&gt;8, Iq*Vout, Iq*Table1[[#This Row],[Vin]])</f>
        <v>4.3799999999999999E-2</v>
      </c>
      <c r="BF206" s="354">
        <f>CHOOSE(Table1[[#This Row],[Mode Digit]], (Qg_Q1+Qg_Q2)*Fsw, (Qg_Q3+Qg_Q4)*Fsw, (Qg_Q1+Qg_Q2+Qg_Q3+Qg_Q4)*Fsw)*IF(Vout&gt;8, Vout, Table1[[#This Row],[Vin]])</f>
        <v>0.47303999999999996</v>
      </c>
      <c r="BG206" s="354">
        <f t="shared" si="12"/>
        <v>0.45605042016806729</v>
      </c>
      <c r="BH206" s="354">
        <f>Table1[[#This Row],[IQ Loss]]+Table1[[#This Row],[Switching Current Loss]]</f>
        <v>0.51683999999999997</v>
      </c>
      <c r="BI20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14.120962959112031</v>
      </c>
      <c r="BJ206">
        <f>Vout*Table1[[#This Row],[Iout]]</f>
        <v>175.2</v>
      </c>
      <c r="BK206" s="550">
        <f>Table1[[#This Row],[Pout]]/(Table1[[#This Row],[Pout]]+Table1[[#This Row],[Total Loss]])</f>
        <v>0.92541257587960946</v>
      </c>
      <c r="BL20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368.17944635557257</v>
      </c>
      <c r="BM206" s="559">
        <f>IF(Table1[[#This Row],[Vin]]&gt;Vout, Table1[[#This Row],[Total Sync Bu MOSFET Loss]]*ThetaJA_Q2, ThetaJA_Q3*Table1[[#This Row],[Total Sync Bo MOSFET Loss]])</f>
        <v>67.183718003991004</v>
      </c>
      <c r="BN206" s="9"/>
      <c r="BO206" s="4">
        <f>Table1[[#This Row],[EFF, h]]*100</f>
        <v>92.541257587960942</v>
      </c>
      <c r="BP206" s="354">
        <f>Table1[[#This Row],[Total Inductor Loss]]</f>
        <v>3.275357296079433</v>
      </c>
      <c r="BQ206" s="354">
        <f>Table1[[#This Row],[Total Control Bu MOSFET Loss]]+Table1[[#This Row],[Total Sync Bu MOSFET Loss]]+Table1[[#This Row],[Total Control Bo MOSFET Loss]]+Table1[[#This Row],[Total Sync Bo MOSFET Loss]]+Table1[[#This Row],[Reverse Recovery Loss MOSFET D BUCK]]+Table1[[#This Row],[Reverse Recovery Loss MOSFET D BOOST]]</f>
        <v>8.5539121857277518</v>
      </c>
      <c r="BR206" s="354">
        <f>Table1[[#This Row],[Total Control Bu MOSFET Loss]]+Table1[[#This Row],[Reverse Recovery Loss MOSFET D BUCK]]*0.66</f>
        <v>6.5127585379262092</v>
      </c>
      <c r="BS206" s="354">
        <f>Table1[[#This Row],[Total Sync Bu MOSFET Loss]]+Table1[[#This Row],[Reverse Recovery Loss MOSFET D BUCK]]*0.33</f>
        <v>1.3079458493998499</v>
      </c>
      <c r="BT206" s="354">
        <f xml:space="preserve"> Table1[[#This Row],[Total Control Bo MOSFET Loss]]+Table1[[#This Row],[Reverse Recovery Loss MOSFET D BOOST]]*0.66</f>
        <v>0</v>
      </c>
      <c r="BU206" s="354">
        <f xml:space="preserve"> Table1[[#This Row],[Total Sync Bo MOSFET Loss]]+Table1[[#This Row],[Reverse Recovery Loss MOSFET D BOOST]]*0.33</f>
        <v>0.72750424640169165</v>
      </c>
      <c r="BV206" s="354">
        <f>Table1[[#This Row],[Isense Shunt Loss]]</f>
        <v>0.25445164049740482</v>
      </c>
    </row>
    <row r="207" spans="7:74" x14ac:dyDescent="0.2">
      <c r="G207">
        <v>198</v>
      </c>
      <c r="H207" s="555">
        <f>VIN_min+(VIN_max-VIN_min)*(Table1[[#This Row],[Step]]/200)</f>
        <v>47.72</v>
      </c>
      <c r="I207" s="4" t="str">
        <f>IF(Mode = 2,IF(Table1[[#This Row],[Vin]]&gt;Vout, "BUCK","BOOST"),IF(Table1[[#This Row],[Vin]]&gt;VIN_BB_to_buck, "BUCK", IF(Table1[[#This Row],[Vin]]&lt;=VIN_boost_to_BB,"BOOST","BUCK-BST")))</f>
        <v>BUCK</v>
      </c>
      <c r="J207">
        <f>IF(Table1[[#This Row],[Mode]]="BOOST",2, IF(Table1[[#This Row],[Mode]]="BUCK", 1,3))</f>
        <v>1</v>
      </c>
      <c r="K207">
        <f t="shared" si="10"/>
        <v>12</v>
      </c>
      <c r="L207" s="4">
        <f>Vout*Table1[[#This Row],[Iout]]/(Table1[[#This Row],[Vin]]*Efficiency)</f>
        <v>3.8646490492786874</v>
      </c>
      <c r="M207" s="711">
        <f>MIN(1/Fsw,CHOOSE(Table1[[#This Row],[Mode Digit]],(Vout+(Rdson2+Rs+Rdcr)*Table1[[#This Row],[Iout]])/(Table1[[#This Row],[Vin]]+(Rs+Rdson2-Rdson1)*Table1[[#This Row],[Iout]])/Fsw,(Vout+(Rdson3+Rdcr)*Table1[[#This Row],[Iin]]-Table1[[#This Row],[Vin]])/(Vout+(Rdson3-Rdson4-Rs)*Table1[[#This Row],[Iin]])/Fsw,t1_Ph_II))</f>
        <v>5.1483420593368232E-7</v>
      </c>
      <c r="N207" s="602">
        <f>CHOOSE(Table1[[#This Row],[Mode Digit]],1/Fsw-Table1[[#This Row],[t1_Ph_II]],1/Fsw-Table1[[#This Row],[t1_Ph_II]],(Vout/Fsw-Table1[[#This Row],[Vin]]*t1_Ph_II)/(Table1[[#This Row],[Vin]]+Vout))</f>
        <v>1.1518324607329843E-6</v>
      </c>
      <c r="O207" s="602">
        <f>1/Fsw-(Table1[[#This Row],[t1_Ph_II]]+Table1[[#This Row],[t2_Ph_I]])</f>
        <v>0</v>
      </c>
      <c r="P20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8.7705854355069022</v>
      </c>
      <c r="Q207" s="4">
        <f>CHOOSE(Table1[[#This Row],[Mode Digit]],Table1[[#This Row],[I_0]]+1/Lf*(Table1[[#This Row],[Vin]]-Vout)*Table1[[#This Row],[t1_Ph_II]],Table1[[#This Row],[I_0]]+1/Lf*Table1[[#This Row],[Vin]]*Table1[[#This Row],[t1_Ph_II]],Table1[[#This Row],[I_0]]+(Table1[[#This Row],[Vin]]-Vout)/L*Table1[[#This Row],[t1_Ph_II]])</f>
        <v>15.229414564493098</v>
      </c>
      <c r="R207" s="4">
        <f>CHOOSE(Table1[[#This Row],[Mode Digit]],0,0,Table1[[#This Row],[I_1]]+Table1[[#This Row],[Vin]]/L*Table1[[#This Row],[t2_Ph_I]])</f>
        <v>0</v>
      </c>
      <c r="S207" s="4">
        <f>Fsw*(Table1[[#This Row],[I_0]]*Table1[[#This Row],[t1_Ph_II]]+Table1[[#This Row],[I_1]]*Table1[[#This Row],[t2_Ph_I]]+Table1[[#This Row],[I_2]]*Table1[[#This Row],[t3_Ph_III]])</f>
        <v>13.234278864963331</v>
      </c>
      <c r="T207" s="354">
        <f>MIN(1,CHOOSE(Table1[[#This Row],[Mode Digit]],(Vout+(Rdson2+Rs+Rdcr)*Table1[[#This Row],[Iout]])/(Table1[[#This Row],[Vin]]+(Rs+Rdson2-Rdson1)*Table1[[#This Row],[Iout]]),1,Fsw*Table1[[#This Row],[t2_Ph_I]]+Table1[[#This Row],[t1_Ph_II]]))</f>
        <v>0.30890052356020942</v>
      </c>
      <c r="U207" s="354">
        <f>MIN(1,CHOOSE(Table1[[#This Row],[Mode Digit]],0,(Vout+(Rdson3+Rdcr)*Table1[[#This Row],[Iin]]-Table1[[#This Row],[Vin]])/(Vout+(Rdson3-Rdson4-Rs)*Table1[[#This Row],[Iin]]),Fsw*Table1[[#This Row],[t1_Ph_II]]+Table1[[#This Row],[t3_Ph_III]]))</f>
        <v>0</v>
      </c>
      <c r="V207" s="4">
        <f>MAX(Table1[[#This Row],[I_0]:[I_2]])-MIN(Table1[[#This Row],[I_0]:[I_1]])</f>
        <v>6.4588291289861957</v>
      </c>
      <c r="W20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12.143985046507044</v>
      </c>
      <c r="X207" s="354">
        <f>(Table1[[#This Row],[Irms Lf]]^2*Rdcr*(1+Ltc*Ta-Ltc*25))/(1-Table1[[#This Row],[Irms Lf]]^2*Rdcr*Ltc*ThetaCa)</f>
        <v>0.9181941003477091</v>
      </c>
      <c r="Y207" s="354">
        <f>ABS(7.759*10^-3*Fsw^0.9458*(0.00787*Table1[[#This Row],[Ripple Current pk-pk]])^2.304)</f>
        <v>2.3642931943298415</v>
      </c>
      <c r="Z207" s="354">
        <f>Table1[[#This Row],[DCR    Loss]]+Table1[[#This Row],[Core Loss]]</f>
        <v>3.2824872946775505</v>
      </c>
      <c r="AA207" s="4">
        <f>IF(Table1[[#This Row],[Vin]]&gt;Vout, Table1[[#This Row],[Ripple Current pk-pk]]/SQRT(12), SQRT(Table1[[#This Row],[Duty Cycle BOOST Leg]]/(1-Table1[[#This Row],[Duty Cycle BOOST Leg]]))*SQRT(Table1[[#This Row],[Iout]]^2+(Table1[[#This Row],[Ripple Current pk-pk]]^2)/12))</f>
        <v>1.8645033681349883</v>
      </c>
      <c r="AB207" s="354">
        <f>RCoutEsr*Table1[[#This Row],[Irms Cout]]^2</f>
        <v>1.7381864048933576E-2</v>
      </c>
      <c r="AC207" s="354">
        <f>Table1[[#This Row],[Cout ESR Loss]]</f>
        <v>1.7381864048933576E-2</v>
      </c>
      <c r="AD207" s="354">
        <f>IF(Table1[[#This Row],[Vin]]&gt;Vout, SQRT(Table1[[#This Row],[Duty Cycle BUCK Leg]]*(1-Table1[[#This Row],[Duty Cycle BUCK Leg]]))*SQRT(Table1[[#This Row],[Iout]]^2+(Table1[[#This Row],[Ripple Current pk-pk]]^2)/12), Table1[[#This Row],[Ripple Current pk-pk]]/SQRT(12))</f>
        <v>5.6110072254849639</v>
      </c>
      <c r="AE207" s="354">
        <f>RCinEsr*Table1[[#This Row],[Irms Cin]]^2</f>
        <v>6.2966804168888946E-2</v>
      </c>
      <c r="AF207" s="549">
        <f>Table1[[#This Row],[Cin ESR Loss]]</f>
        <v>6.2966804168888946E-2</v>
      </c>
      <c r="AG20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6.7494835931131609</v>
      </c>
      <c r="AH207" s="354">
        <f>Rdson1*Table1[[#This Row],[Irms BuCtrl]]^2</f>
        <v>0.19133322084955573</v>
      </c>
      <c r="AI207" s="354">
        <f>CHOOSE(Table1[[#This Row],[Mode Digit]], (Table1[[#This Row],[Vin]]*Table1[[#This Row],[Iout]]/2)*(Fsw)*(Tr_buck+Tf_buck), 0, (Table1[[#This Row],[Vin]]*Table1[[#This Row],[Avg IL]]/2)*(Fsw/1)*(Tr_buck+Tf_buck))</f>
        <v>5.6785083661345732</v>
      </c>
      <c r="AJ207">
        <f>IF(Table1[[#This Row],[Vin]]&gt;Vout, IF(Table1[[#This Row],[Iout]]&gt;Table1[[#This Row],[Ripple Current pk-pk]]/2,0,ABS(Table1[[#This Row],[Iout]]-Table1[[#This Row],[Ripple Current pk-pk]]/2)*Vsd_Q1*Deadtime*Fsw),0)</f>
        <v>0</v>
      </c>
      <c r="AK207" s="354">
        <f>(Table1[[#This Row],[Dead Time Loss BuCtrl]]+Table1[[#This Row],[Transition Loss BuCtrl]]+Table1[[#This Row],[RDS(on) Loss BuCtrl]]*(1+RdsonTopTc*Ta-RdsonTopTc*25))/(1-Table1[[#This Row],[RDS(on) Loss BuCtrl]]*RdsonTopTc*ThetaJA_Q1)</f>
        <v>6.1523576858276297</v>
      </c>
      <c r="AL207" s="354">
        <f>CHOOSE(Table1[[#This Row],[Mode Digit]],SQRT((Fsw*(Table1[[#This Row],[t2_Ph_I]]+0))*((Table1[[#This Row],[I_0]]*Table1[[#This Row],[I_1]]+((Table1[[#This Row],[I_0]]-Table1[[#This Row],[I_1]])^2)/3))),0,SQRT((Fsw*(Table1[[#This Row],[t3_Ph_III]]+0))*((Table1[[#This Row],[I_0]]*Table1[[#This Row],[I_2]]+((Table1[[#This Row],[I_0]]-Table1[[#This Row],[I_2]])^2)/3))))</f>
        <v>10.095585373621629</v>
      </c>
      <c r="AM207" s="354">
        <f>Rdson2*Table1[[#This Row],[Irms BuSync]]^2</f>
        <v>0.42806754495154853</v>
      </c>
      <c r="AN20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07" s="354">
        <f>(Table1[[#This Row],[Deadtime Loss BuSync]]+Table1[[#This Row],[RDS(on) Loss BuSync]]*(1+RdsonBotTc*Ta-RdsonBotTc*25))/(1-Table1[[#This Row],[RDS(on) Loss BuSync]]*RdsonBotTc*ThetaJA_Q2)</f>
        <v>1.1205611834691289</v>
      </c>
      <c r="AP207" s="354">
        <f>CHOOSE(Table1[[#This Row],[Mode Digit]],0,SQRT((Fsw*(Table1[[#This Row],[t1_Ph_II]]+0))*((Table1[[#This Row],[I_0]]*Table1[[#This Row],[I_1]]+((Table1[[#This Row],[I_0]]-Table1[[#This Row],[I_1]])^2)/3))),SQRT((Fsw*(Table1[[#This Row],[t2_Ph_I]]+0))*((Table1[[#This Row],[I_1]]*Table1[[#This Row],[I_2]]+((Table1[[#This Row],[I_1]]-Table1[[#This Row],[I_2]])^2)/3))))</f>
        <v>0</v>
      </c>
      <c r="AQ207" s="354">
        <f>Rdson4*Table1[[#This Row],[Irms BoCtlr]]^2</f>
        <v>0</v>
      </c>
      <c r="AR207" s="354">
        <f>CHOOSE(Table1[[#This Row],[Mode Digit]], 0, (Vout*Table1[[#This Row],[Iin]]/2)*(Fsw)*(Tr_boost+Tf_boost), (Vout*Iout/2)*(Fsw/1)*(Tr_boost+Tf_boost))</f>
        <v>0</v>
      </c>
      <c r="AS207">
        <f>IF(Table1[[#This Row],[Vin]]&gt;Vout, 0, IF(Table1[[#This Row],[Iin]]&gt;Table1[[#This Row],[Ripple Current pk-pk]]/2,0,ABS(Table1[[#This Row],[Iin]]-Table1[[#This Row],[Ripple Current pk-pk]]/2)*Vsd_Q4*Deadtime*Fsw))</f>
        <v>0</v>
      </c>
      <c r="AT207" s="354">
        <f>(Table1[[#This Row],[Dead Time Loss BoCtlr]]+Table1[[#This Row],[Transition Loss BoCtlr]]+Table1[[#This Row],[RDS(on) Loss BoCtlr]]*(1+RdsonTopTc*Ta-RdsonTopTc*25))/(1-Table1[[#This Row],[RDS(on) Loss BoCtlr]]*RdsonTopTc*ThetaJA_Q4)</f>
        <v>0</v>
      </c>
      <c r="AU20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12.143985046507044</v>
      </c>
      <c r="AV207" s="354">
        <f>Rdson3*Table1[[#This Row],[Irms BoSync]]^2</f>
        <v>0.61940076580110426</v>
      </c>
      <c r="AW20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07" s="354">
        <f>(Table1[[#This Row],[Deadtime Loss BoSync]]+Table1[[#This Row],[RDS(on) Loss BoSync]]*(1+RdsonBotTc*Ta-RdsonBotTc*25))/(1-Table1[[#This Row],[RDS(on) Loss BoSync]]*RdsonBotTc*ThetaJA_Q3)</f>
        <v>0.72755654532171454</v>
      </c>
      <c r="AY207" s="354">
        <f>CHOOSE(Table1[[#This Row],[Mode Digit]], Rdson3*Table1[[#This Row],[Irms Lf]]^2, Rdson1*Table1[[#This Row],[Irms Lf]]^2, 0)</f>
        <v>0.61940076580110426</v>
      </c>
      <c r="AZ207" s="354">
        <f>CHOOSE(Table1[[#This Row],[Mode Digit]], 2*Deadtime*Fsw*IF(VfdSky_Q2&gt;0,VfdSky_Q2,0)*Table1[[#This Row],[Iout]], 2*Deadtime*Fsw*IF(VfdSky_Q3&gt;0,VfdSky_Q3,0)*Table1[[#This Row],[Iin]], 2*Deadtime*Fsw*IF(VfdSky_Q2&gt;0,VfdSky_Q2,0)*Table1[[#This Row],[Iout]]+2*Deadtime*Fsw*IF(VfdSky_Q3&gt;0,VfdSky_Q3,0)*Table1[[#This Row],[Iin]])</f>
        <v>0</v>
      </c>
      <c r="BA207" s="354">
        <f>CHOOSE(Table1[[#This Row],[Mode Digit]], IF(QrrSky_Q2&gt;0,QrrSky_Q2,Qrr_Q2)*Fsw*(Table1[[#This Row],[Vin]]-Table1[[#This Row],[Iout]]*Rdson1),0,  IF(QrrSky_Q2&gt;0,QrrSky_Q2,Qrr_Q2)*Fsw*(Table1[[#This Row],[Vin]]-Table1[[#This Row],[Iout]]*Rdson1)+IF(QrrSky_Q3&gt;0,QrrSky_Q3,Qrr_Q3)*Fsw*Vout)</f>
        <v>0.57203519999999997</v>
      </c>
      <c r="BB207" s="354">
        <f>CHOOSE(Table1[[#This Row],[Mode Digit]],0, IF(QrrSky_Q3&gt;0,QrrSky_Q3,Qrr_Q3)*Fsw*Vout,  IF(QrrSky_Q2&gt;0,QrrSky_Q2,Qrr_Q2)*Fsw*(Table1[[#This Row],[Vin]]-Table1[[#This Row],[Iout]]*Rdson1)+IF(QrrSky_Q3&gt;0,QrrSky_Q3,Qrr_Q3)*Fsw*Vout)</f>
        <v>0</v>
      </c>
      <c r="BC207" s="354">
        <f>CHOOSE(Table1[[#This Row],[Mode Digit]], Rs*Table1[[#This Row],[Irms BuSync]]^2, Rs*Table1[[#This Row],[Irms BoCtlr]]^2, Rs*(Table1[[#This Row],[Irms BuSync]]^2+Table1[[#This Row],[Irms BoCtlr]]^2))</f>
        <v>0.25480211009020742</v>
      </c>
      <c r="BD207" s="354">
        <f t="shared" si="11"/>
        <v>1.44</v>
      </c>
      <c r="BE207" s="354">
        <f>IF(Vout&gt;8, Iq*Vout, Iq*Table1[[#This Row],[Vin]])</f>
        <v>4.3799999999999999E-2</v>
      </c>
      <c r="BF207" s="354">
        <f>CHOOSE(Table1[[#This Row],[Mode Digit]], (Qg_Q1+Qg_Q2)*Fsw, (Qg_Q3+Qg_Q4)*Fsw, (Qg_Q1+Qg_Q2+Qg_Q3+Qg_Q4)*Fsw)*IF(Vout&gt;8, Vout, Table1[[#This Row],[Vin]])</f>
        <v>0.47303999999999996</v>
      </c>
      <c r="BG207" s="354">
        <f t="shared" si="12"/>
        <v>0.45605042016806729</v>
      </c>
      <c r="BH207" s="354">
        <f>Table1[[#This Row],[IQ Loss]]+Table1[[#This Row],[Switching Current Loss]]</f>
        <v>0.51683999999999997</v>
      </c>
      <c r="BI20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14.146988687604052</v>
      </c>
      <c r="BJ207">
        <f>Vout*Table1[[#This Row],[Iout]]</f>
        <v>175.2</v>
      </c>
      <c r="BK207" s="550">
        <f>Table1[[#This Row],[Pout]]/(Table1[[#This Row],[Pout]]+Table1[[#This Row],[Total Loss]])</f>
        <v>0.92528537799486954</v>
      </c>
      <c r="BL20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369.1414611496578</v>
      </c>
      <c r="BM207" s="559">
        <f>IF(Table1[[#This Row],[Vin]]&gt;Vout, Table1[[#This Row],[Total Sync Bu MOSFET Loss]]*ThetaJA_Q2, ThetaJA_Q3*Table1[[#This Row],[Total Sync Bo MOSFET Loss]])</f>
        <v>67.233671008147738</v>
      </c>
      <c r="BN207" s="9"/>
      <c r="BO207" s="4">
        <f>Table1[[#This Row],[EFF, h]]*100</f>
        <v>92.528537799486955</v>
      </c>
      <c r="BP207" s="354">
        <f>Table1[[#This Row],[Total Inductor Loss]]</f>
        <v>3.2824872946775505</v>
      </c>
      <c r="BQ207" s="354">
        <f>Table1[[#This Row],[Total Control Bu MOSFET Loss]]+Table1[[#This Row],[Total Sync Bu MOSFET Loss]]+Table1[[#This Row],[Total Control Bo MOSFET Loss]]+Table1[[#This Row],[Total Sync Bo MOSFET Loss]]+Table1[[#This Row],[Reverse Recovery Loss MOSFET D BUCK]]+Table1[[#This Row],[Reverse Recovery Loss MOSFET D BOOST]]</f>
        <v>8.5725106146184729</v>
      </c>
      <c r="BR207" s="354">
        <f>Table1[[#This Row],[Total Control Bu MOSFET Loss]]+Table1[[#This Row],[Reverse Recovery Loss MOSFET D BUCK]]*0.66</f>
        <v>6.5299009178276295</v>
      </c>
      <c r="BS207" s="354">
        <f>Table1[[#This Row],[Total Sync Bu MOSFET Loss]]+Table1[[#This Row],[Reverse Recovery Loss MOSFET D BUCK]]*0.33</f>
        <v>1.3093327994691288</v>
      </c>
      <c r="BT207" s="354">
        <f xml:space="preserve"> Table1[[#This Row],[Total Control Bo MOSFET Loss]]+Table1[[#This Row],[Reverse Recovery Loss MOSFET D BOOST]]*0.66</f>
        <v>0</v>
      </c>
      <c r="BU207" s="354">
        <f xml:space="preserve"> Table1[[#This Row],[Total Sync Bo MOSFET Loss]]+Table1[[#This Row],[Reverse Recovery Loss MOSFET D BOOST]]*0.33</f>
        <v>0.72755654532171454</v>
      </c>
      <c r="BV207" s="354">
        <f>Table1[[#This Row],[Isense Shunt Loss]]</f>
        <v>0.25480211009020742</v>
      </c>
    </row>
    <row r="208" spans="7:74" x14ac:dyDescent="0.2">
      <c r="G208">
        <v>199</v>
      </c>
      <c r="H208" s="555">
        <f>VIN_min+(VIN_max-VIN_min)*(Table1[[#This Row],[Step]]/200)</f>
        <v>47.86</v>
      </c>
      <c r="I208" s="4" t="str">
        <f>IF(Mode = 2,IF(Table1[[#This Row],[Vin]]&gt;Vout, "BUCK","BOOST"),IF(Table1[[#This Row],[Vin]]&gt;VIN_BB_to_buck, "BUCK", IF(Table1[[#This Row],[Vin]]&lt;=VIN_boost_to_BB,"BOOST","BUCK-BST")))</f>
        <v>BUCK</v>
      </c>
      <c r="J208">
        <f>IF(Table1[[#This Row],[Mode]]="BOOST",2, IF(Table1[[#This Row],[Mode]]="BUCK", 1,3))</f>
        <v>1</v>
      </c>
      <c r="K208">
        <f t="shared" si="10"/>
        <v>12</v>
      </c>
      <c r="L208" s="4">
        <f>Vout*Table1[[#This Row],[Iout]]/(Table1[[#This Row],[Vin]]*Efficiency)</f>
        <v>3.8533441836936677</v>
      </c>
      <c r="M208" s="711">
        <f>MIN(1/Fsw,CHOOSE(Table1[[#This Row],[Mode Digit]],(Vout+(Rdson2+Rs+Rdcr)*Table1[[#This Row],[Iout]])/(Table1[[#This Row],[Vin]]+(Rs+Rdson2-Rdson1)*Table1[[#This Row],[Iout]])/Fsw,(Vout+(Rdson3+Rdcr)*Table1[[#This Row],[Iin]]-Table1[[#This Row],[Vin]])/(Vout+(Rdson3-Rdson4-Rs)*Table1[[#This Row],[Iin]])/Fsw,t1_Ph_II))</f>
        <v>5.1332915709612301E-7</v>
      </c>
      <c r="N208" s="602">
        <f>CHOOSE(Table1[[#This Row],[Mode Digit]],1/Fsw-Table1[[#This Row],[t1_Ph_II]],1/Fsw-Table1[[#This Row],[t1_Ph_II]],(Vout/Fsw-Table1[[#This Row],[Vin]]*t1_Ph_II)/(Table1[[#This Row],[Vin]]+Vout))</f>
        <v>1.1533375095705437E-6</v>
      </c>
      <c r="O208" s="602">
        <f>1/Fsw-(Table1[[#This Row],[t1_Ph_II]]+Table1[[#This Row],[t2_Ph_I]])</f>
        <v>0</v>
      </c>
      <c r="P20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8.7664151960194978</v>
      </c>
      <c r="Q208" s="4">
        <f>CHOOSE(Table1[[#This Row],[Mode Digit]],Table1[[#This Row],[I_0]]+1/Lf*(Table1[[#This Row],[Vin]]-Vout)*Table1[[#This Row],[t1_Ph_II]],Table1[[#This Row],[I_0]]+1/Lf*Table1[[#This Row],[Vin]]*Table1[[#This Row],[t1_Ph_II]],Table1[[#This Row],[I_0]]+(Table1[[#This Row],[Vin]]-Vout)/L*Table1[[#This Row],[t1_Ph_II]])</f>
        <v>15.233584803980502</v>
      </c>
      <c r="R208" s="4">
        <f>CHOOSE(Table1[[#This Row],[Mode Digit]],0,0,Table1[[#This Row],[I_1]]+Table1[[#This Row],[Vin]]/L*Table1[[#This Row],[t2_Ph_I]])</f>
        <v>0</v>
      </c>
      <c r="S208" s="4">
        <f>Fsw*(Table1[[#This Row],[I_0]]*Table1[[#This Row],[t1_Ph_II]]+Table1[[#This Row],[I_1]]*Table1[[#This Row],[t2_Ph_I]]+Table1[[#This Row],[I_2]]*Table1[[#This Row],[t3_Ph_III]])</f>
        <v>13.24171276978913</v>
      </c>
      <c r="T208" s="354">
        <f>MIN(1,CHOOSE(Table1[[#This Row],[Mode Digit]],(Vout+(Rdson2+Rs+Rdcr)*Table1[[#This Row],[Iout]])/(Table1[[#This Row],[Vin]]+(Rs+Rdson2-Rdson1)*Table1[[#This Row],[Iout]]),1,Fsw*Table1[[#This Row],[t2_Ph_I]]+Table1[[#This Row],[t1_Ph_II]]))</f>
        <v>0.30799749425767381</v>
      </c>
      <c r="U208" s="354">
        <f>MIN(1,CHOOSE(Table1[[#This Row],[Mode Digit]],0,(Vout+(Rdson3+Rdcr)*Table1[[#This Row],[Iin]]-Table1[[#This Row],[Vin]])/(Vout+(Rdson3-Rdson4-Rs)*Table1[[#This Row],[Iin]]),Fsw*Table1[[#This Row],[t1_Ph_II]]+Table1[[#This Row],[t3_Ph_III]]))</f>
        <v>0</v>
      </c>
      <c r="V208" s="4">
        <f>MAX(Table1[[#This Row],[I_0]:[I_2]])-MIN(Table1[[#This Row],[I_0]:[I_1]])</f>
        <v>6.4671696079610044</v>
      </c>
      <c r="W20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12.144354939429453</v>
      </c>
      <c r="X208" s="354">
        <f>(Table1[[#This Row],[Irms Lf]]^2*Rdcr*(1+Ltc*Ta-Ltc*25))/(1-Table1[[#This Row],[Irms Lf]]^2*Rdcr*Ltc*ThetaCa)</f>
        <v>0.9182541446642305</v>
      </c>
      <c r="Y208" s="354">
        <f>ABS(7.759*10^-3*Fsw^0.9458*(0.00787*Table1[[#This Row],[Ripple Current pk-pk]])^2.304)</f>
        <v>2.3713334195138445</v>
      </c>
      <c r="Z208" s="354">
        <f>Table1[[#This Row],[DCR    Loss]]+Table1[[#This Row],[Core Loss]]</f>
        <v>3.289587564178075</v>
      </c>
      <c r="AA208" s="4">
        <f>IF(Table1[[#This Row],[Vin]]&gt;Vout, Table1[[#This Row],[Ripple Current pk-pk]]/SQRT(12), SQRT(Table1[[#This Row],[Duty Cycle BOOST Leg]]/(1-Table1[[#This Row],[Duty Cycle BOOST Leg]]))*SQRT(Table1[[#This Row],[Iout]]^2+(Table1[[#This Row],[Ripple Current pk-pk]]^2)/12))</f>
        <v>1.8669110570256262</v>
      </c>
      <c r="AB208" s="354">
        <f>RCoutEsr*Table1[[#This Row],[Irms Cout]]^2</f>
        <v>1.7426784474222707E-2</v>
      </c>
      <c r="AC208" s="354">
        <f>Table1[[#This Row],[Cout ESR Loss]]</f>
        <v>1.7426784474222707E-2</v>
      </c>
      <c r="AD208" s="354">
        <f>IF(Table1[[#This Row],[Vin]]&gt;Vout, SQRT(Table1[[#This Row],[Duty Cycle BUCK Leg]]*(1-Table1[[#This Row],[Duty Cycle BUCK Leg]]))*SQRT(Table1[[#This Row],[Iout]]^2+(Table1[[#This Row],[Ripple Current pk-pk]]^2)/12), Table1[[#This Row],[Ripple Current pk-pk]]/SQRT(12))</f>
        <v>5.6066297465641401</v>
      </c>
      <c r="AE208" s="354">
        <f>RCinEsr*Table1[[#This Row],[Irms Cin]]^2</f>
        <v>6.2868594230115746E-2</v>
      </c>
      <c r="AF208" s="549">
        <f>Table1[[#This Row],[Cin ESR Loss]]</f>
        <v>6.2868594230115746E-2</v>
      </c>
      <c r="AG20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6.739816048180459</v>
      </c>
      <c r="AH208" s="354">
        <f>Rdson1*Table1[[#This Row],[Irms BuCtrl]]^2</f>
        <v>0.19078550552590565</v>
      </c>
      <c r="AI208" s="354">
        <f>CHOOSE(Table1[[#This Row],[Mode Digit]], (Table1[[#This Row],[Vin]]*Table1[[#This Row],[Iout]]/2)*(Fsw)*(Tr_buck+Tf_buck), 0, (Table1[[#This Row],[Vin]]*Table1[[#This Row],[Avg IL]]/2)*(Fsw/1)*(Tr_buck+Tf_buck))</f>
        <v>5.6951678625985052</v>
      </c>
      <c r="AJ208">
        <f>IF(Table1[[#This Row],[Vin]]&gt;Vout, IF(Table1[[#This Row],[Iout]]&gt;Table1[[#This Row],[Ripple Current pk-pk]]/2,0,ABS(Table1[[#This Row],[Iout]]-Table1[[#This Row],[Ripple Current pk-pk]]/2)*Vsd_Q1*Deadtime*Fsw),0)</f>
        <v>0</v>
      </c>
      <c r="AK208" s="354">
        <f>(Table1[[#This Row],[Dead Time Loss BuCtrl]]+Table1[[#This Row],[Transition Loss BuCtrl]]+Table1[[#This Row],[RDS(on) Loss BuCtrl]]*(1+RdsonTopTc*Ta-RdsonTopTc*25))/(1-Table1[[#This Row],[RDS(on) Loss BuCtrl]]*RdsonTopTc*ThetaJA_Q1)</f>
        <v>6.1683950567279311</v>
      </c>
      <c r="AL208" s="354">
        <f>CHOOSE(Table1[[#This Row],[Mode Digit]],SQRT((Fsw*(Table1[[#This Row],[t2_Ph_I]]+0))*((Table1[[#This Row],[I_0]]*Table1[[#This Row],[I_1]]+((Table1[[#This Row],[I_0]]-Table1[[#This Row],[I_1]])^2)/3))),0,SQRT((Fsw*(Table1[[#This Row],[t3_Ph_III]]+0))*((Table1[[#This Row],[I_0]]*Table1[[#This Row],[I_2]]+((Table1[[#This Row],[I_0]]-Table1[[#This Row],[I_2]])^2)/3))))</f>
        <v>10.10248665089609</v>
      </c>
      <c r="AM208" s="354">
        <f>Rdson2*Table1[[#This Row],[Irms BuSync]]^2</f>
        <v>0.42865299343244156</v>
      </c>
      <c r="AN20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08" s="354">
        <f>(Table1[[#This Row],[Deadtime Loss BuSync]]+Table1[[#This Row],[RDS(on) Loss BuSync]]*(1+RdsonBotTc*Ta-RdsonBotTc*25))/(1-Table1[[#This Row],[RDS(on) Loss BuSync]]*RdsonBotTc*ThetaJA_Q2)</f>
        <v>1.1213892701974255</v>
      </c>
      <c r="AP208" s="354">
        <f>CHOOSE(Table1[[#This Row],[Mode Digit]],0,SQRT((Fsw*(Table1[[#This Row],[t1_Ph_II]]+0))*((Table1[[#This Row],[I_0]]*Table1[[#This Row],[I_1]]+((Table1[[#This Row],[I_0]]-Table1[[#This Row],[I_1]])^2)/3))),SQRT((Fsw*(Table1[[#This Row],[t2_Ph_I]]+0))*((Table1[[#This Row],[I_1]]*Table1[[#This Row],[I_2]]+((Table1[[#This Row],[I_1]]-Table1[[#This Row],[I_2]])^2)/3))))</f>
        <v>0</v>
      </c>
      <c r="AQ208" s="354">
        <f>Rdson4*Table1[[#This Row],[Irms BoCtlr]]^2</f>
        <v>0</v>
      </c>
      <c r="AR208" s="354">
        <f>CHOOSE(Table1[[#This Row],[Mode Digit]], 0, (Vout*Table1[[#This Row],[Iin]]/2)*(Fsw)*(Tr_boost+Tf_boost), (Vout*Iout/2)*(Fsw/1)*(Tr_boost+Tf_boost))</f>
        <v>0</v>
      </c>
      <c r="AS208">
        <f>IF(Table1[[#This Row],[Vin]]&gt;Vout, 0, IF(Table1[[#This Row],[Iin]]&gt;Table1[[#This Row],[Ripple Current pk-pk]]/2,0,ABS(Table1[[#This Row],[Iin]]-Table1[[#This Row],[Ripple Current pk-pk]]/2)*Vsd_Q4*Deadtime*Fsw))</f>
        <v>0</v>
      </c>
      <c r="AT208" s="354">
        <f>(Table1[[#This Row],[Dead Time Loss BoCtlr]]+Table1[[#This Row],[Transition Loss BoCtlr]]+Table1[[#This Row],[RDS(on) Loss BoCtlr]]*(1+RdsonTopTc*Ta-RdsonTopTc*25))/(1-Table1[[#This Row],[RDS(on) Loss BoCtlr]]*RdsonTopTc*ThetaJA_Q4)</f>
        <v>0</v>
      </c>
      <c r="AU20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12.144354939429453</v>
      </c>
      <c r="AV208" s="354">
        <f>Rdson3*Table1[[#This Row],[Irms BoSync]]^2</f>
        <v>0.61943849895834724</v>
      </c>
      <c r="AW20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08" s="354">
        <f>(Table1[[#This Row],[Deadtime Loss BoSync]]+Table1[[#This Row],[RDS(on) Loss BoSync]]*(1+RdsonBotTc*Ta-RdsonBotTc*25))/(1-Table1[[#This Row],[RDS(on) Loss BoSync]]*RdsonBotTc*ThetaJA_Q3)</f>
        <v>0.72760860695556173</v>
      </c>
      <c r="AY208" s="354">
        <f>CHOOSE(Table1[[#This Row],[Mode Digit]], Rdson3*Table1[[#This Row],[Irms Lf]]^2, Rdson1*Table1[[#This Row],[Irms Lf]]^2, 0)</f>
        <v>0.61943849895834724</v>
      </c>
      <c r="AZ208" s="354">
        <f>CHOOSE(Table1[[#This Row],[Mode Digit]], 2*Deadtime*Fsw*IF(VfdSky_Q2&gt;0,VfdSky_Q2,0)*Table1[[#This Row],[Iout]], 2*Deadtime*Fsw*IF(VfdSky_Q3&gt;0,VfdSky_Q3,0)*Table1[[#This Row],[Iin]], 2*Deadtime*Fsw*IF(VfdSky_Q2&gt;0,VfdSky_Q2,0)*Table1[[#This Row],[Iout]]+2*Deadtime*Fsw*IF(VfdSky_Q3&gt;0,VfdSky_Q3,0)*Table1[[#This Row],[Iin]])</f>
        <v>0</v>
      </c>
      <c r="BA208" s="354">
        <f>CHOOSE(Table1[[#This Row],[Mode Digit]], IF(QrrSky_Q2&gt;0,QrrSky_Q2,Qrr_Q2)*Fsw*(Table1[[#This Row],[Vin]]-Table1[[#This Row],[Iout]]*Rdson1),0,  IF(QrrSky_Q2&gt;0,QrrSky_Q2,Qrr_Q2)*Fsw*(Table1[[#This Row],[Vin]]-Table1[[#This Row],[Iout]]*Rdson1)+IF(QrrSky_Q3&gt;0,QrrSky_Q3,Qrr_Q3)*Fsw*Vout)</f>
        <v>0.57371519999999998</v>
      </c>
      <c r="BB208" s="354">
        <f>CHOOSE(Table1[[#This Row],[Mode Digit]],0, IF(QrrSky_Q3&gt;0,QrrSky_Q3,Qrr_Q3)*Fsw*Vout,  IF(QrrSky_Q2&gt;0,QrrSky_Q2,Qrr_Q2)*Fsw*(Table1[[#This Row],[Vin]]-Table1[[#This Row],[Iout]]*Rdson1)+IF(QrrSky_Q3&gt;0,QrrSky_Q3,Qrr_Q3)*Fsw*Vout)</f>
        <v>0</v>
      </c>
      <c r="BC208" s="354">
        <f>CHOOSE(Table1[[#This Row],[Mode Digit]], Rs*Table1[[#This Row],[Irms BuSync]]^2, Rs*Table1[[#This Row],[Irms BoCtlr]]^2, Rs*(Table1[[#This Row],[Irms BuSync]]^2+Table1[[#This Row],[Irms BoCtlr]]^2))</f>
        <v>0.25515059132883422</v>
      </c>
      <c r="BD208" s="354">
        <f t="shared" si="11"/>
        <v>1.44</v>
      </c>
      <c r="BE208" s="354">
        <f>IF(Vout&gt;8, Iq*Vout, Iq*Table1[[#This Row],[Vin]])</f>
        <v>4.3799999999999999E-2</v>
      </c>
      <c r="BF208" s="354">
        <f>CHOOSE(Table1[[#This Row],[Mode Digit]], (Qg_Q1+Qg_Q2)*Fsw, (Qg_Q3+Qg_Q4)*Fsw, (Qg_Q1+Qg_Q2+Qg_Q3+Qg_Q4)*Fsw)*IF(Vout&gt;8, Vout, Table1[[#This Row],[Vin]])</f>
        <v>0.47303999999999996</v>
      </c>
      <c r="BG208" s="354">
        <f t="shared" si="12"/>
        <v>0.45605042016806729</v>
      </c>
      <c r="BH208" s="354">
        <f>Table1[[#This Row],[IQ Loss]]+Table1[[#This Row],[Switching Current Loss]]</f>
        <v>0.51683999999999997</v>
      </c>
      <c r="BI20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14.172981668092165</v>
      </c>
      <c r="BJ208">
        <f>Vout*Table1[[#This Row],[Iout]]</f>
        <v>175.2</v>
      </c>
      <c r="BK208" s="550">
        <f>Table1[[#This Row],[Pout]]/(Table1[[#This Row],[Pout]]+Table1[[#This Row],[Total Loss]])</f>
        <v>0.92515837505831378</v>
      </c>
      <c r="BL20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370.10370340367587</v>
      </c>
      <c r="BM208" s="559">
        <f>IF(Table1[[#This Row],[Vin]]&gt;Vout, Table1[[#This Row],[Total Sync Bu MOSFET Loss]]*ThetaJA_Q2, ThetaJA_Q3*Table1[[#This Row],[Total Sync Bo MOSFET Loss]])</f>
        <v>67.283356211845529</v>
      </c>
      <c r="BN208" s="9"/>
      <c r="BO208" s="4">
        <f>Table1[[#This Row],[EFF, h]]*100</f>
        <v>92.515837505831371</v>
      </c>
      <c r="BP208" s="354">
        <f>Table1[[#This Row],[Total Inductor Loss]]</f>
        <v>3.289587564178075</v>
      </c>
      <c r="BQ208" s="354">
        <f>Table1[[#This Row],[Total Control Bu MOSFET Loss]]+Table1[[#This Row],[Total Sync Bu MOSFET Loss]]+Table1[[#This Row],[Total Control Bo MOSFET Loss]]+Table1[[#This Row],[Total Sync Bo MOSFET Loss]]+Table1[[#This Row],[Reverse Recovery Loss MOSFET D BUCK]]+Table1[[#This Row],[Reverse Recovery Loss MOSFET D BOOST]]</f>
        <v>8.591108133880919</v>
      </c>
      <c r="BR208" s="354">
        <f>Table1[[#This Row],[Total Control Bu MOSFET Loss]]+Table1[[#This Row],[Reverse Recovery Loss MOSFET D BUCK]]*0.66</f>
        <v>6.5470470887279308</v>
      </c>
      <c r="BS208" s="354">
        <f>Table1[[#This Row],[Total Sync Bu MOSFET Loss]]+Table1[[#This Row],[Reverse Recovery Loss MOSFET D BUCK]]*0.33</f>
        <v>1.3107152861974256</v>
      </c>
      <c r="BT208" s="354">
        <f xml:space="preserve"> Table1[[#This Row],[Total Control Bo MOSFET Loss]]+Table1[[#This Row],[Reverse Recovery Loss MOSFET D BOOST]]*0.66</f>
        <v>0</v>
      </c>
      <c r="BU208" s="354">
        <f xml:space="preserve"> Table1[[#This Row],[Total Sync Bo MOSFET Loss]]+Table1[[#This Row],[Reverse Recovery Loss MOSFET D BOOST]]*0.33</f>
        <v>0.72760860695556173</v>
      </c>
      <c r="BV208" s="354">
        <f>Table1[[#This Row],[Isense Shunt Loss]]</f>
        <v>0.25515059132883422</v>
      </c>
    </row>
    <row r="209" spans="7:74" x14ac:dyDescent="0.2">
      <c r="G209">
        <v>200</v>
      </c>
      <c r="H209" s="555">
        <f>VIN_min+(VIN_max-VIN_min)*(Table1[[#This Row],[Step]]/200)</f>
        <v>48</v>
      </c>
      <c r="I209" s="4" t="str">
        <f>IF(Mode = 2,IF(Table1[[#This Row],[Vin]]&gt;Vout, "BUCK","BOOST"),IF(Table1[[#This Row],[Vin]]&gt;VIN_BB_to_buck, "BUCK", IF(Table1[[#This Row],[Vin]]&lt;=VIN_boost_to_BB,"BOOST","BUCK-BST")))</f>
        <v>BUCK</v>
      </c>
      <c r="J209">
        <f>IF(Table1[[#This Row],[Mode]]="BOOST",2, IF(Table1[[#This Row],[Mode]]="BUCK", 1,3))</f>
        <v>1</v>
      </c>
      <c r="K209">
        <f t="shared" si="10"/>
        <v>12</v>
      </c>
      <c r="L209" s="4">
        <f>Vout*Table1[[#This Row],[Iout]]/(Table1[[#This Row],[Vin]]*Efficiency)</f>
        <v>3.8421052631578951</v>
      </c>
      <c r="M209" s="711">
        <f>MIN(1/Fsw,CHOOSE(Table1[[#This Row],[Mode Digit]],(Vout+(Rdson2+Rs+Rdcr)*Table1[[#This Row],[Iout]])/(Table1[[#This Row],[Vin]]+(Rs+Rdson2-Rdson1)*Table1[[#This Row],[Iout]])/Fsw,(Vout+(Rdson3+Rdcr)*Table1[[#This Row],[Iin]]-Table1[[#This Row],[Vin]])/(Vout+(Rdson3-Rdson4-Rs)*Table1[[#This Row],[Iin]])/Fsw,t1_Ph_II))</f>
        <v>5.1183288222638625E-7</v>
      </c>
      <c r="N209" s="602">
        <f>CHOOSE(Table1[[#This Row],[Mode Digit]],1/Fsw-Table1[[#This Row],[t1_Ph_II]],1/Fsw-Table1[[#This Row],[t1_Ph_II]],(Vout/Fsw-Table1[[#This Row],[Vin]]*t1_Ph_II)/(Table1[[#This Row],[Vin]]+Vout))</f>
        <v>1.1548337844402804E-6</v>
      </c>
      <c r="O209" s="602">
        <f>1/Fsw-(Table1[[#This Row],[t1_Ph_II]]+Table1[[#This Row],[t2_Ph_I]])</f>
        <v>0</v>
      </c>
      <c r="P20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8.7622692677346024</v>
      </c>
      <c r="Q209" s="4">
        <f>CHOOSE(Table1[[#This Row],[Mode Digit]],Table1[[#This Row],[I_0]]+1/Lf*(Table1[[#This Row],[Vin]]-Vout)*Table1[[#This Row],[t1_Ph_II]],Table1[[#This Row],[I_0]]+1/Lf*Table1[[#This Row],[Vin]]*Table1[[#This Row],[t1_Ph_II]],Table1[[#This Row],[I_0]]+(Table1[[#This Row],[Vin]]-Vout)/L*Table1[[#This Row],[t1_Ph_II]])</f>
        <v>15.237730732265398</v>
      </c>
      <c r="R209" s="4">
        <f>CHOOSE(Table1[[#This Row],[Mode Digit]],0,0,Table1[[#This Row],[I_1]]+Table1[[#This Row],[Vin]]/L*Table1[[#This Row],[t2_Ph_I]])</f>
        <v>0</v>
      </c>
      <c r="S209" s="4">
        <f>Fsw*(Table1[[#This Row],[I_0]]*Table1[[#This Row],[t1_Ph_II]]+Table1[[#This Row],[I_1]]*Table1[[#This Row],[t2_Ph_I]]+Table1[[#This Row],[I_2]]*Table1[[#This Row],[t3_Ph_III]])</f>
        <v>13.249118269183382</v>
      </c>
      <c r="T209" s="354">
        <f>MIN(1,CHOOSE(Table1[[#This Row],[Mode Digit]],(Vout+(Rdson2+Rs+Rdcr)*Table1[[#This Row],[Iout]])/(Table1[[#This Row],[Vin]]+(Rs+Rdson2-Rdson1)*Table1[[#This Row],[Iout]]),1,Fsw*Table1[[#This Row],[t2_Ph_I]]+Table1[[#This Row],[t1_Ph_II]]))</f>
        <v>0.30709972933583174</v>
      </c>
      <c r="U209" s="354">
        <f>MIN(1,CHOOSE(Table1[[#This Row],[Mode Digit]],0,(Vout+(Rdson3+Rdcr)*Table1[[#This Row],[Iin]]-Table1[[#This Row],[Vin]])/(Vout+(Rdson3-Rdson4-Rs)*Table1[[#This Row],[Iin]]),Fsw*Table1[[#This Row],[t1_Ph_II]]+Table1[[#This Row],[t3_Ph_III]]))</f>
        <v>0</v>
      </c>
      <c r="V209" s="4">
        <f>MAX(Table1[[#This Row],[I_0]:[I_2]])-MIN(Table1[[#This Row],[I_0]:[I_1]])</f>
        <v>6.4754614645307953</v>
      </c>
      <c r="W20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12.144723137981311</v>
      </c>
      <c r="X209" s="354">
        <f>(Table1[[#This Row],[Irms Lf]]^2*Rdcr*(1+Ltc*Ta-Ltc*25))/(1-Table1[[#This Row],[Irms Lf]]^2*Rdcr*Ltc*ThetaCa)</f>
        <v>0.91831391628544901</v>
      </c>
      <c r="Y209" s="354">
        <f>ABS(7.759*10^-3*Fsw^0.9458*(0.00787*Table1[[#This Row],[Ripple Current pk-pk]])^2.304)</f>
        <v>2.3783443486089562</v>
      </c>
      <c r="Z209" s="354">
        <f>Table1[[#This Row],[DCR    Loss]]+Table1[[#This Row],[Core Loss]]</f>
        <v>3.2966582648944049</v>
      </c>
      <c r="AA209" s="4">
        <f>IF(Table1[[#This Row],[Vin]]&gt;Vout, Table1[[#This Row],[Ripple Current pk-pk]]/SQRT(12), SQRT(Table1[[#This Row],[Duty Cycle BOOST Leg]]/(1-Table1[[#This Row],[Duty Cycle BOOST Leg]]))*SQRT(Table1[[#This Row],[Iout]]^2+(Table1[[#This Row],[Ripple Current pk-pk]]^2)/12))</f>
        <v>1.8693047098369515</v>
      </c>
      <c r="AB209" s="354">
        <f>RCoutEsr*Table1[[#This Row],[Irms Cout]]^2</f>
        <v>1.7471500491093049E-2</v>
      </c>
      <c r="AC209" s="354">
        <f>Table1[[#This Row],[Cout ESR Loss]]</f>
        <v>1.7471500491093049E-2</v>
      </c>
      <c r="AD209" s="354">
        <f>IF(Table1[[#This Row],[Vin]]&gt;Vout, SQRT(Table1[[#This Row],[Duty Cycle BUCK Leg]]*(1-Table1[[#This Row],[Duty Cycle BUCK Leg]]))*SQRT(Table1[[#This Row],[Iout]]^2+(Table1[[#This Row],[Ripple Current pk-pk]]^2)/12), Table1[[#This Row],[Ripple Current pk-pk]]/SQRT(12))</f>
        <v>5.6022527829027373</v>
      </c>
      <c r="AE209" s="354">
        <f>RCinEsr*Table1[[#This Row],[Irms Cin]]^2</f>
        <v>6.2770472487082923E-2</v>
      </c>
      <c r="AF209" s="549">
        <f>Table1[[#This Row],[Cin ESR Loss]]</f>
        <v>6.2770472487082923E-2</v>
      </c>
      <c r="AG20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6.7301901636388317</v>
      </c>
      <c r="AH209" s="354">
        <f>Rdson1*Table1[[#This Row],[Irms BuCtrl]]^2</f>
        <v>0.19024093048271176</v>
      </c>
      <c r="AI209" s="354">
        <f>CHOOSE(Table1[[#This Row],[Mode Digit]], (Table1[[#This Row],[Vin]]*Table1[[#This Row],[Iout]]/2)*(Fsw)*(Tr_buck+Tf_buck), 0, (Table1[[#This Row],[Vin]]*Table1[[#This Row],[Avg IL]]/2)*(Fsw/1)*(Tr_buck+Tf_buck))</f>
        <v>5.711827359062438</v>
      </c>
      <c r="AJ209">
        <f>IF(Table1[[#This Row],[Vin]]&gt;Vout, IF(Table1[[#This Row],[Iout]]&gt;Table1[[#This Row],[Ripple Current pk-pk]]/2,0,ABS(Table1[[#This Row],[Iout]]-Table1[[#This Row],[Ripple Current pk-pk]]/2)*Vsd_Q1*Deadtime*Fsw),0)</f>
        <v>0</v>
      </c>
      <c r="AK209" s="354">
        <f>(Table1[[#This Row],[Dead Time Loss BuCtrl]]+Table1[[#This Row],[Transition Loss BuCtrl]]+Table1[[#This Row],[RDS(on) Loss BuCtrl]]*(1+RdsonTopTc*Ta-RdsonTopTc*25))/(1-Table1[[#This Row],[RDS(on) Loss BuCtrl]]*RdsonTopTc*ThetaJA_Q1)</f>
        <v>6.1844361841491873</v>
      </c>
      <c r="AL209" s="354">
        <f>CHOOSE(Table1[[#This Row],[Mode Digit]],SQRT((Fsw*(Table1[[#This Row],[t2_Ph_I]]+0))*((Table1[[#This Row],[I_0]]*Table1[[#This Row],[I_1]]+((Table1[[#This Row],[I_0]]-Table1[[#This Row],[I_1]])^2)/3))),0,SQRT((Fsw*(Table1[[#This Row],[t3_Ph_III]]+0))*((Table1[[#This Row],[I_0]]*Table1[[#This Row],[I_2]]+((Table1[[#This Row],[I_0]]-Table1[[#This Row],[I_2]])^2)/3))))</f>
        <v>10.10934421510504</v>
      </c>
      <c r="AM209" s="354">
        <f>Rdson2*Table1[[#This Row],[Irms BuSync]]^2</f>
        <v>0.42923512992980656</v>
      </c>
      <c r="AN20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09" s="354">
        <f>(Table1[[#This Row],[Deadtime Loss BuSync]]+Table1[[#This Row],[RDS(on) Loss BuSync]]*(1+RdsonBotTc*Ta-RdsonBotTc*25))/(1-Table1[[#This Row],[RDS(on) Loss BuSync]]*RdsonBotTc*ThetaJA_Q2)</f>
        <v>1.1222129295288936</v>
      </c>
      <c r="AP209" s="354">
        <f>CHOOSE(Table1[[#This Row],[Mode Digit]],0,SQRT((Fsw*(Table1[[#This Row],[t1_Ph_II]]+0))*((Table1[[#This Row],[I_0]]*Table1[[#This Row],[I_1]]+((Table1[[#This Row],[I_0]]-Table1[[#This Row],[I_1]])^2)/3))),SQRT((Fsw*(Table1[[#This Row],[t2_Ph_I]]+0))*((Table1[[#This Row],[I_1]]*Table1[[#This Row],[I_2]]+((Table1[[#This Row],[I_1]]-Table1[[#This Row],[I_2]])^2)/3))))</f>
        <v>0</v>
      </c>
      <c r="AQ209" s="354">
        <f>Rdson4*Table1[[#This Row],[Irms BoCtlr]]^2</f>
        <v>0</v>
      </c>
      <c r="AR209" s="354">
        <f>CHOOSE(Table1[[#This Row],[Mode Digit]], 0, (Vout*Table1[[#This Row],[Iin]]/2)*(Fsw)*(Tr_boost+Tf_boost), (Vout*Iout/2)*(Fsw/1)*(Tr_boost+Tf_boost))</f>
        <v>0</v>
      </c>
      <c r="AS209">
        <f>IF(Table1[[#This Row],[Vin]]&gt;Vout, 0, IF(Table1[[#This Row],[Iin]]&gt;Table1[[#This Row],[Ripple Current pk-pk]]/2,0,ABS(Table1[[#This Row],[Iin]]-Table1[[#This Row],[Ripple Current pk-pk]]/2)*Vsd_Q4*Deadtime*Fsw))</f>
        <v>0</v>
      </c>
      <c r="AT209" s="354">
        <f>(Table1[[#This Row],[Dead Time Loss BoCtlr]]+Table1[[#This Row],[Transition Loss BoCtlr]]+Table1[[#This Row],[RDS(on) Loss BoCtlr]]*(1+RdsonTopTc*Ta-RdsonTopTc*25))/(1-Table1[[#This Row],[RDS(on) Loss BoCtlr]]*RdsonTopTc*ThetaJA_Q4)</f>
        <v>0</v>
      </c>
      <c r="AU20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12.144723137981311</v>
      </c>
      <c r="AV209" s="354">
        <f>Rdson3*Table1[[#This Row],[Irms BoSync]]^2</f>
        <v>0.61947606041251824</v>
      </c>
      <c r="AW20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09" s="354">
        <f>(Table1[[#This Row],[Deadtime Loss BoSync]]+Table1[[#This Row],[RDS(on) Loss BoSync]]*(1+RdsonBotTc*Ta-RdsonBotTc*25))/(1-Table1[[#This Row],[RDS(on) Loss BoSync]]*RdsonBotTc*ThetaJA_Q3)</f>
        <v>0.7276604327852948</v>
      </c>
      <c r="AY209" s="354">
        <f>CHOOSE(Table1[[#This Row],[Mode Digit]], Rdson3*Table1[[#This Row],[Irms Lf]]^2, Rdson1*Table1[[#This Row],[Irms Lf]]^2, 0)</f>
        <v>0.61947606041251824</v>
      </c>
      <c r="AZ209" s="354">
        <f>CHOOSE(Table1[[#This Row],[Mode Digit]], 2*Deadtime*Fsw*IF(VfdSky_Q2&gt;0,VfdSky_Q2,0)*Table1[[#This Row],[Iout]], 2*Deadtime*Fsw*IF(VfdSky_Q3&gt;0,VfdSky_Q3,0)*Table1[[#This Row],[Iin]], 2*Deadtime*Fsw*IF(VfdSky_Q2&gt;0,VfdSky_Q2,0)*Table1[[#This Row],[Iout]]+2*Deadtime*Fsw*IF(VfdSky_Q3&gt;0,VfdSky_Q3,0)*Table1[[#This Row],[Iin]])</f>
        <v>0</v>
      </c>
      <c r="BA209" s="354">
        <f>CHOOSE(Table1[[#This Row],[Mode Digit]], IF(QrrSky_Q2&gt;0,QrrSky_Q2,Qrr_Q2)*Fsw*(Table1[[#This Row],[Vin]]-Table1[[#This Row],[Iout]]*Rdson1),0,  IF(QrrSky_Q2&gt;0,QrrSky_Q2,Qrr_Q2)*Fsw*(Table1[[#This Row],[Vin]]-Table1[[#This Row],[Iout]]*Rdson1)+IF(QrrSky_Q3&gt;0,QrrSky_Q3,Qrr_Q3)*Fsw*Vout)</f>
        <v>0.5753952</v>
      </c>
      <c r="BB209" s="354">
        <f>CHOOSE(Table1[[#This Row],[Mode Digit]],0, IF(QrrSky_Q3&gt;0,QrrSky_Q3,Qrr_Q3)*Fsw*Vout,  IF(QrrSky_Q2&gt;0,QrrSky_Q2,Qrr_Q2)*Fsw*(Table1[[#This Row],[Vin]]-Table1[[#This Row],[Iout]]*Rdson1)+IF(QrrSky_Q3&gt;0,QrrSky_Q3,Qrr_Q3)*Fsw*Vout)</f>
        <v>0</v>
      </c>
      <c r="BC209" s="354">
        <f>CHOOSE(Table1[[#This Row],[Mode Digit]], Rs*Table1[[#This Row],[Irms BuSync]]^2, Rs*Table1[[#This Row],[Irms BoCtlr]]^2, Rs*(Table1[[#This Row],[Irms BuSync]]^2+Table1[[#This Row],[Irms BoCtlr]]^2))</f>
        <v>0.25549710114869434</v>
      </c>
      <c r="BD209" s="354">
        <f t="shared" si="11"/>
        <v>1.44</v>
      </c>
      <c r="BE209" s="354">
        <f>IF(Vout&gt;8, Iq*Vout, Iq*Table1[[#This Row],[Vin]])</f>
        <v>4.3799999999999999E-2</v>
      </c>
      <c r="BF209" s="354">
        <f>CHOOSE(Table1[[#This Row],[Mode Digit]], (Qg_Q1+Qg_Q2)*Fsw, (Qg_Q3+Qg_Q4)*Fsw, (Qg_Q1+Qg_Q2+Qg_Q3+Qg_Q4)*Fsw)*IF(Vout&gt;8, Vout, Table1[[#This Row],[Vin]])</f>
        <v>0.47303999999999996</v>
      </c>
      <c r="BG209" s="354">
        <f t="shared" si="12"/>
        <v>0.45605042016806729</v>
      </c>
      <c r="BH209" s="354">
        <f>Table1[[#This Row],[IQ Loss]]+Table1[[#This Row],[Switching Current Loss]]</f>
        <v>0.51683999999999997</v>
      </c>
      <c r="BI20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14.198942085484649</v>
      </c>
      <c r="BJ209">
        <f>Vout*Table1[[#This Row],[Iout]]</f>
        <v>175.2</v>
      </c>
      <c r="BK209" s="550">
        <f>Table1[[#This Row],[Pout]]/(Table1[[#This Row],[Pout]]+Table1[[#This Row],[Total Loss]])</f>
        <v>0.92503156602070147</v>
      </c>
      <c r="BL20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371.06617104895122</v>
      </c>
      <c r="BM209" s="559">
        <f>IF(Table1[[#This Row],[Vin]]&gt;Vout, Table1[[#This Row],[Total Sync Bu MOSFET Loss]]*ThetaJA_Q2, ThetaJA_Q3*Table1[[#This Row],[Total Sync Bo MOSFET Loss]])</f>
        <v>67.332775771733623</v>
      </c>
      <c r="BN209" s="9"/>
      <c r="BO209" s="4">
        <f>Table1[[#This Row],[EFF, h]]*100</f>
        <v>92.503156602070149</v>
      </c>
      <c r="BP209" s="354">
        <f>Table1[[#This Row],[Total Inductor Loss]]</f>
        <v>3.2966582648944049</v>
      </c>
      <c r="BQ209" s="354">
        <f>Table1[[#This Row],[Total Control Bu MOSFET Loss]]+Table1[[#This Row],[Total Sync Bu MOSFET Loss]]+Table1[[#This Row],[Total Control Bo MOSFET Loss]]+Table1[[#This Row],[Total Sync Bo MOSFET Loss]]+Table1[[#This Row],[Reverse Recovery Loss MOSFET D BUCK]]+Table1[[#This Row],[Reverse Recovery Loss MOSFET D BOOST]]</f>
        <v>8.6097047464633754</v>
      </c>
      <c r="BR209" s="354">
        <f>Table1[[#This Row],[Total Control Bu MOSFET Loss]]+Table1[[#This Row],[Reverse Recovery Loss MOSFET D BUCK]]*0.66</f>
        <v>6.5641970161491869</v>
      </c>
      <c r="BS209" s="354">
        <f>Table1[[#This Row],[Total Sync Bu MOSFET Loss]]+Table1[[#This Row],[Reverse Recovery Loss MOSFET D BUCK]]*0.33</f>
        <v>1.3120933455288937</v>
      </c>
      <c r="BT209" s="354">
        <f xml:space="preserve"> Table1[[#This Row],[Total Control Bo MOSFET Loss]]+Table1[[#This Row],[Reverse Recovery Loss MOSFET D BOOST]]*0.66</f>
        <v>0</v>
      </c>
      <c r="BU209" s="354">
        <f xml:space="preserve"> Table1[[#This Row],[Total Sync Bo MOSFET Loss]]+Table1[[#This Row],[Reverse Recovery Loss MOSFET D BOOST]]*0.33</f>
        <v>0.7276604327852948</v>
      </c>
      <c r="BV209" s="354">
        <f>Table1[[#This Row],[Isense Shunt Loss]]</f>
        <v>0.25549710114869434</v>
      </c>
    </row>
    <row r="224" spans="7:74" x14ac:dyDescent="0.2">
      <c r="H224"/>
      <c r="T224"/>
      <c r="U224"/>
      <c r="V224"/>
      <c r="W224"/>
      <c r="X224"/>
      <c r="AA224"/>
      <c r="AD224"/>
      <c r="AY224"/>
      <c r="BA224"/>
      <c r="BB224"/>
      <c r="BI224"/>
      <c r="BK224"/>
      <c r="BL224"/>
      <c r="BM224"/>
      <c r="BO224"/>
      <c r="BP224"/>
      <c r="BQ224"/>
      <c r="BR224"/>
      <c r="BS224"/>
      <c r="BT224"/>
      <c r="BU224"/>
    </row>
    <row r="234" customFormat="1" x14ac:dyDescent="0.2"/>
    <row r="235" customFormat="1" x14ac:dyDescent="0.2"/>
  </sheetData>
  <sheetProtection selectLockedCells="1"/>
  <mergeCells count="13">
    <mergeCell ref="AD7:AF7"/>
    <mergeCell ref="A1:D4"/>
    <mergeCell ref="A6:D7"/>
    <mergeCell ref="G7:V7"/>
    <mergeCell ref="W7:Z7"/>
    <mergeCell ref="AA7:AC7"/>
    <mergeCell ref="AG7:AK7"/>
    <mergeCell ref="AL7:AO7"/>
    <mergeCell ref="BE7:BH7"/>
    <mergeCell ref="BI7:BM7"/>
    <mergeCell ref="BO7:BV7"/>
    <mergeCell ref="AP7:AT7"/>
    <mergeCell ref="AU7:AX7"/>
  </mergeCells>
  <pageMargins left="0.75" right="0.75" top="1" bottom="1" header="0.5" footer="0.5"/>
  <pageSetup orientation="portrait" r:id="rId1"/>
  <headerFooter alignWithMargins="0"/>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rgb="FF92D050"/>
  </sheetPr>
  <dimension ref="A1:CN209"/>
  <sheetViews>
    <sheetView topLeftCell="T1" zoomScaleNormal="100" workbookViewId="0">
      <pane ySplit="8" topLeftCell="A9" activePane="bottomLeft" state="frozen"/>
      <selection activeCell="D24" sqref="D24"/>
      <selection pane="bottomLeft" activeCell="D24" sqref="D24"/>
    </sheetView>
  </sheetViews>
  <sheetFormatPr defaultRowHeight="12.75" x14ac:dyDescent="0.2"/>
  <cols>
    <col min="1" max="1" width="19.85546875" customWidth="1"/>
    <col min="2" max="2" width="13.140625" bestFit="1" customWidth="1"/>
    <col min="4" max="4" width="71.5703125" customWidth="1"/>
    <col min="6" max="6" width="9.140625" customWidth="1"/>
    <col min="7" max="7" width="6.85546875" customWidth="1"/>
    <col min="8" max="8" width="9.140625" style="554"/>
    <col min="9" max="9" width="11" customWidth="1"/>
    <col min="10" max="10" width="12.140625" customWidth="1"/>
    <col min="11" max="11" width="8.140625" customWidth="1"/>
    <col min="12" max="12" width="7.42578125" customWidth="1"/>
    <col min="13" max="13" width="12.7109375" bestFit="1" customWidth="1"/>
    <col min="14" max="14" width="12.140625" bestFit="1" customWidth="1"/>
    <col min="15" max="15" width="12.7109375" bestFit="1" customWidth="1"/>
    <col min="16" max="19" width="8.28515625" customWidth="1"/>
    <col min="20" max="20" width="22" style="354" customWidth="1"/>
    <col min="21" max="21" width="23.28515625" style="354" customWidth="1"/>
    <col min="22" max="22" width="21.140625" style="4" customWidth="1"/>
    <col min="23" max="23" width="8.85546875" style="4" customWidth="1"/>
    <col min="24" max="24" width="13.28515625" style="311" customWidth="1"/>
    <col min="25" max="25" width="11.85546875" customWidth="1"/>
    <col min="26" max="26" width="19.85546875" customWidth="1"/>
    <col min="27" max="27" width="11.42578125" style="4" customWidth="1"/>
    <col min="28" max="28" width="16.28515625" customWidth="1"/>
    <col min="29" max="29" width="16.7109375" customWidth="1"/>
    <col min="30" max="30" width="10.140625" style="311" customWidth="1"/>
    <col min="31" max="31" width="14.85546875" customWidth="1"/>
    <col min="32" max="32" width="15.42578125" customWidth="1"/>
    <col min="33" max="33" width="8.5703125" customWidth="1"/>
    <col min="34" max="34" width="15.140625" customWidth="1"/>
    <col min="35" max="35" width="16.42578125" customWidth="1"/>
    <col min="36" max="36" width="17.28515625" customWidth="1"/>
    <col min="37" max="37" width="27.28515625" customWidth="1"/>
    <col min="38" max="38" width="8.85546875" customWidth="1"/>
    <col min="39" max="39" width="16.140625" customWidth="1"/>
    <col min="40" max="40" width="15.7109375" customWidth="1"/>
    <col min="41" max="41" width="25" customWidth="1"/>
    <col min="42" max="42" width="8.5703125" customWidth="1"/>
    <col min="43" max="43" width="16.140625" customWidth="1"/>
    <col min="44" max="44" width="17.42578125" customWidth="1"/>
    <col min="45" max="45" width="18.28515625" customWidth="1"/>
    <col min="46" max="46" width="28.28515625" customWidth="1"/>
    <col min="47" max="47" width="8.85546875" customWidth="1"/>
    <col min="48" max="48" width="17.140625" customWidth="1"/>
    <col min="49" max="49" width="17.7109375" customWidth="1"/>
    <col min="50" max="50" width="27" customWidth="1"/>
    <col min="51" max="51" width="32.42578125" style="311" customWidth="1"/>
    <col min="52" max="52" width="17.7109375" customWidth="1"/>
    <col min="53" max="54" width="23.5703125" style="311" customWidth="1"/>
    <col min="55" max="55" width="19" customWidth="1"/>
    <col min="56" max="56" width="16.7109375" customWidth="1"/>
    <col min="57" max="57" width="9.5703125" customWidth="1"/>
    <col min="58" max="58" width="23.5703125" customWidth="1"/>
    <col min="59" max="59" width="23.140625" customWidth="1"/>
    <col min="60" max="60" width="14.28515625" customWidth="1"/>
    <col min="61" max="61" width="12" style="4" customWidth="1"/>
    <col min="62" max="62" width="7.28515625" customWidth="1"/>
    <col min="63" max="63" width="10.140625" style="9" customWidth="1"/>
    <col min="64" max="64" width="36.5703125" style="371" customWidth="1"/>
    <col min="65" max="65" width="32.42578125" style="371" customWidth="1"/>
    <col min="66" max="66" width="11.5703125" customWidth="1"/>
    <col min="67" max="67" width="7.85546875" style="354" customWidth="1"/>
    <col min="68" max="68" width="24.7109375" style="311" customWidth="1"/>
    <col min="69" max="69" width="20.140625" style="311" customWidth="1"/>
    <col min="70" max="70" width="29.140625" style="311" customWidth="1"/>
    <col min="71" max="73" width="27.5703125" style="311" customWidth="1"/>
    <col min="74" max="74" width="12.85546875" customWidth="1"/>
    <col min="78" max="78" width="28.42578125" customWidth="1"/>
    <col min="81" max="81" width="12.42578125" bestFit="1" customWidth="1"/>
  </cols>
  <sheetData>
    <row r="1" spans="1:92" ht="12.75" customHeight="1" x14ac:dyDescent="0.2">
      <c r="A1" s="929" t="s">
        <v>817</v>
      </c>
      <c r="B1" s="929"/>
      <c r="C1" s="929"/>
      <c r="D1" s="929"/>
    </row>
    <row r="2" spans="1:92" ht="12.75" customHeight="1" x14ac:dyDescent="0.2">
      <c r="A2" s="929"/>
      <c r="B2" s="929"/>
      <c r="C2" s="929"/>
      <c r="D2" s="929"/>
      <c r="H2" s="560">
        <f>BK19</f>
        <v>0.8699503869569738</v>
      </c>
      <c r="I2" s="114" t="s">
        <v>840</v>
      </c>
      <c r="AO2" s="114"/>
      <c r="AP2" s="114"/>
    </row>
    <row r="3" spans="1:92" ht="12.75" customHeight="1" x14ac:dyDescent="0.2">
      <c r="A3" s="929"/>
      <c r="B3" s="929"/>
      <c r="C3" s="929"/>
      <c r="D3" s="929"/>
      <c r="H3" s="560">
        <f>BK59</f>
        <v>0.94643678840199541</v>
      </c>
      <c r="I3" s="114" t="s">
        <v>842</v>
      </c>
      <c r="AO3" s="114"/>
      <c r="AP3" s="114"/>
    </row>
    <row r="4" spans="1:92" ht="12.75" customHeight="1" x14ac:dyDescent="0.2">
      <c r="A4" s="929"/>
      <c r="B4" s="929"/>
      <c r="C4" s="929"/>
      <c r="D4" s="929"/>
      <c r="H4" s="560">
        <f>BK109</f>
        <v>0.94434293841416705</v>
      </c>
      <c r="I4" s="114" t="s">
        <v>841</v>
      </c>
      <c r="AO4" s="114"/>
      <c r="AP4" s="114"/>
    </row>
    <row r="5" spans="1:92" x14ac:dyDescent="0.2">
      <c r="A5" s="10"/>
      <c r="B5" s="11"/>
      <c r="C5" s="6"/>
      <c r="D5" s="6"/>
    </row>
    <row r="6" spans="1:92" ht="13.5" customHeight="1" thickBot="1" x14ac:dyDescent="0.25">
      <c r="A6" s="930" t="s">
        <v>646</v>
      </c>
      <c r="B6" s="930"/>
      <c r="C6" s="930"/>
      <c r="D6" s="930"/>
      <c r="BL6" s="371" t="str">
        <f>IF(Vin&gt;Vout, "Buck ''CONTROL'' MOSFET Temp Rise", "Boost ''CONTROL'' MOSFET Temp Rise")</f>
        <v>Buck ''CONTROL'' MOSFET Temp Rise</v>
      </c>
      <c r="BM6" s="371" t="str">
        <f>IF(Vin&gt;Vout, "Buck ''SYNC'' MOSFET Temp Rise", "Boost ''SYNC'' MOSFET Temp Rise")</f>
        <v>Buck ''SYNC'' MOSFET Temp Rise</v>
      </c>
      <c r="CE6">
        <v>80</v>
      </c>
      <c r="CF6">
        <v>100</v>
      </c>
      <c r="CG6">
        <v>120</v>
      </c>
      <c r="CH6">
        <v>140</v>
      </c>
      <c r="CI6">
        <v>160</v>
      </c>
      <c r="CJ6">
        <v>180</v>
      </c>
      <c r="CK6">
        <v>20</v>
      </c>
      <c r="CL6">
        <v>30</v>
      </c>
      <c r="CM6">
        <v>40</v>
      </c>
      <c r="CN6">
        <v>50</v>
      </c>
    </row>
    <row r="7" spans="1:92" ht="13.5" thickBot="1" x14ac:dyDescent="0.25">
      <c r="A7" s="930"/>
      <c r="B7" s="930"/>
      <c r="C7" s="930"/>
      <c r="D7" s="930"/>
      <c r="G7" s="922" t="s">
        <v>829</v>
      </c>
      <c r="H7" s="923"/>
      <c r="I7" s="923"/>
      <c r="J7" s="923"/>
      <c r="K7" s="923"/>
      <c r="L7" s="923"/>
      <c r="M7" s="923"/>
      <c r="N7" s="923"/>
      <c r="O7" s="923"/>
      <c r="P7" s="923"/>
      <c r="Q7" s="923"/>
      <c r="R7" s="923"/>
      <c r="S7" s="923"/>
      <c r="T7" s="923"/>
      <c r="U7" s="923"/>
      <c r="V7" s="924"/>
      <c r="W7" s="922" t="s">
        <v>658</v>
      </c>
      <c r="X7" s="923"/>
      <c r="Y7" s="923"/>
      <c r="Z7" s="924"/>
      <c r="AA7" s="931" t="s">
        <v>27</v>
      </c>
      <c r="AB7" s="932"/>
      <c r="AC7" s="933"/>
      <c r="AD7" s="922" t="s">
        <v>61</v>
      </c>
      <c r="AE7" s="923"/>
      <c r="AF7" s="924"/>
      <c r="AG7" s="922" t="s">
        <v>824</v>
      </c>
      <c r="AH7" s="923"/>
      <c r="AI7" s="923"/>
      <c r="AJ7" s="923"/>
      <c r="AK7" s="924"/>
      <c r="AL7" s="922" t="s">
        <v>825</v>
      </c>
      <c r="AM7" s="923"/>
      <c r="AN7" s="923"/>
      <c r="AO7" s="924"/>
      <c r="AP7" s="922" t="s">
        <v>826</v>
      </c>
      <c r="AQ7" s="923"/>
      <c r="AR7" s="923"/>
      <c r="AS7" s="923"/>
      <c r="AT7" s="924"/>
      <c r="AU7" s="922" t="s">
        <v>827</v>
      </c>
      <c r="AV7" s="923"/>
      <c r="AW7" s="923"/>
      <c r="AX7" s="924"/>
      <c r="AY7" s="468" t="s">
        <v>819</v>
      </c>
      <c r="AZ7" s="466" t="s">
        <v>234</v>
      </c>
      <c r="BA7" s="469" t="s">
        <v>621</v>
      </c>
      <c r="BB7" s="469" t="s">
        <v>621</v>
      </c>
      <c r="BC7" s="467" t="s">
        <v>676</v>
      </c>
      <c r="BD7" s="467" t="s">
        <v>673</v>
      </c>
      <c r="BE7" s="925" t="s">
        <v>664</v>
      </c>
      <c r="BF7" s="926"/>
      <c r="BG7" s="926"/>
      <c r="BH7" s="927"/>
      <c r="BI7" s="922" t="s">
        <v>671</v>
      </c>
      <c r="BJ7" s="923"/>
      <c r="BK7" s="923"/>
      <c r="BL7" s="923"/>
      <c r="BM7" s="923"/>
      <c r="BN7" s="551"/>
      <c r="BO7" s="928" t="s">
        <v>672</v>
      </c>
      <c r="BP7" s="928"/>
      <c r="BQ7" s="928"/>
      <c r="BR7" s="928"/>
      <c r="BS7" s="928"/>
      <c r="BT7" s="928"/>
      <c r="BU7" s="928"/>
      <c r="BV7" s="928"/>
    </row>
    <row r="8" spans="1:92" ht="30.75" thickBot="1" x14ac:dyDescent="0.45">
      <c r="A8" s="13" t="s">
        <v>110</v>
      </c>
      <c r="B8" s="13"/>
      <c r="C8" s="13"/>
      <c r="D8" s="6"/>
      <c r="G8" s="451" t="s">
        <v>57</v>
      </c>
      <c r="H8" s="553" t="s">
        <v>4</v>
      </c>
      <c r="I8" s="546" t="s">
        <v>828</v>
      </c>
      <c r="J8" s="546" t="s">
        <v>830</v>
      </c>
      <c r="K8" s="452" t="s">
        <v>6</v>
      </c>
      <c r="L8" s="452" t="s">
        <v>402</v>
      </c>
      <c r="M8" s="452" t="s">
        <v>1183</v>
      </c>
      <c r="N8" s="452" t="s">
        <v>1184</v>
      </c>
      <c r="O8" s="452" t="s">
        <v>1185</v>
      </c>
      <c r="P8" s="452" t="s">
        <v>1139</v>
      </c>
      <c r="Q8" s="452" t="s">
        <v>1141</v>
      </c>
      <c r="R8" s="452" t="s">
        <v>1142</v>
      </c>
      <c r="S8" s="452" t="s">
        <v>833</v>
      </c>
      <c r="T8" s="463" t="s">
        <v>832</v>
      </c>
      <c r="U8" s="556" t="s">
        <v>831</v>
      </c>
      <c r="V8" s="548" t="s">
        <v>659</v>
      </c>
      <c r="W8" s="547" t="s">
        <v>823</v>
      </c>
      <c r="X8" s="465" t="s">
        <v>90</v>
      </c>
      <c r="Y8" s="452" t="s">
        <v>822</v>
      </c>
      <c r="Z8" s="453" t="s">
        <v>706</v>
      </c>
      <c r="AA8" s="547" t="s">
        <v>661</v>
      </c>
      <c r="AB8" s="454" t="s">
        <v>660</v>
      </c>
      <c r="AC8" s="453" t="s">
        <v>705</v>
      </c>
      <c r="AD8" s="464" t="s">
        <v>662</v>
      </c>
      <c r="AE8" s="452" t="s">
        <v>663</v>
      </c>
      <c r="AF8" s="453" t="s">
        <v>703</v>
      </c>
      <c r="AG8" s="451" t="s">
        <v>1043</v>
      </c>
      <c r="AH8" s="452" t="s">
        <v>1044</v>
      </c>
      <c r="AI8" s="452" t="s">
        <v>1045</v>
      </c>
      <c r="AJ8" s="455" t="s">
        <v>1046</v>
      </c>
      <c r="AK8" s="453" t="s">
        <v>1047</v>
      </c>
      <c r="AL8" s="451" t="s">
        <v>1048</v>
      </c>
      <c r="AM8" s="452" t="s">
        <v>1049</v>
      </c>
      <c r="AN8" s="452" t="s">
        <v>1050</v>
      </c>
      <c r="AO8" s="456" t="s">
        <v>1051</v>
      </c>
      <c r="AP8" s="451" t="s">
        <v>1057</v>
      </c>
      <c r="AQ8" s="452" t="s">
        <v>1058</v>
      </c>
      <c r="AR8" s="452" t="s">
        <v>1059</v>
      </c>
      <c r="AS8" s="455" t="s">
        <v>1060</v>
      </c>
      <c r="AT8" s="453" t="s">
        <v>1056</v>
      </c>
      <c r="AU8" s="451" t="s">
        <v>1052</v>
      </c>
      <c r="AV8" s="452" t="s">
        <v>1053</v>
      </c>
      <c r="AW8" s="452" t="s">
        <v>1054</v>
      </c>
      <c r="AX8" s="456" t="s">
        <v>1055</v>
      </c>
      <c r="AY8" s="465" t="s">
        <v>818</v>
      </c>
      <c r="AZ8" s="453" t="s">
        <v>1061</v>
      </c>
      <c r="BA8" s="470" t="s">
        <v>1271</v>
      </c>
      <c r="BB8" s="470" t="s">
        <v>1272</v>
      </c>
      <c r="BC8" s="471" t="s">
        <v>675</v>
      </c>
      <c r="BD8" s="471" t="s">
        <v>674</v>
      </c>
      <c r="BE8" s="457" t="s">
        <v>666</v>
      </c>
      <c r="BF8" s="458" t="s">
        <v>164</v>
      </c>
      <c r="BG8" s="459" t="s">
        <v>236</v>
      </c>
      <c r="BH8" s="460" t="s">
        <v>665</v>
      </c>
      <c r="BI8" s="461" t="s">
        <v>58</v>
      </c>
      <c r="BJ8" s="452" t="s">
        <v>384</v>
      </c>
      <c r="BK8" s="462" t="s">
        <v>668</v>
      </c>
      <c r="BL8" s="631" t="s">
        <v>955</v>
      </c>
      <c r="BM8" s="631" t="s">
        <v>956</v>
      </c>
      <c r="BN8" t="s">
        <v>951</v>
      </c>
      <c r="BO8" s="670" t="s">
        <v>667</v>
      </c>
      <c r="BP8" s="671" t="s">
        <v>704</v>
      </c>
      <c r="BQ8" s="671" t="s">
        <v>834</v>
      </c>
      <c r="BR8" s="671" t="s">
        <v>953</v>
      </c>
      <c r="BS8" s="671" t="s">
        <v>954</v>
      </c>
      <c r="BT8" s="671" t="s">
        <v>1186</v>
      </c>
      <c r="BU8" s="671" t="s">
        <v>1187</v>
      </c>
      <c r="BV8" s="671" t="s">
        <v>799</v>
      </c>
      <c r="BW8" s="552"/>
      <c r="CC8" t="s">
        <v>130</v>
      </c>
      <c r="CE8" t="s">
        <v>122</v>
      </c>
      <c r="CF8" t="s">
        <v>123</v>
      </c>
      <c r="CG8" t="s">
        <v>124</v>
      </c>
      <c r="CH8" t="s">
        <v>125</v>
      </c>
      <c r="CI8" t="s">
        <v>126</v>
      </c>
      <c r="CJ8" t="s">
        <v>127</v>
      </c>
      <c r="CK8" t="s">
        <v>131</v>
      </c>
      <c r="CL8" t="s">
        <v>132</v>
      </c>
      <c r="CM8" t="s">
        <v>133</v>
      </c>
      <c r="CN8" t="s">
        <v>134</v>
      </c>
    </row>
    <row r="9" spans="1:92" x14ac:dyDescent="0.2">
      <c r="A9" s="14" t="s">
        <v>59</v>
      </c>
      <c r="B9" s="15" t="s">
        <v>113</v>
      </c>
      <c r="C9" s="16" t="s">
        <v>80</v>
      </c>
      <c r="D9" s="17" t="s">
        <v>109</v>
      </c>
      <c r="G9">
        <v>0</v>
      </c>
      <c r="H9" s="555">
        <f t="shared" ref="H9:H40" si="0">Vin</f>
        <v>20</v>
      </c>
      <c r="I9" s="4" t="str">
        <f>IF(Mode = 2,IF(Table2[[#This Row],[Vin]]&gt;Vout, "BUCK","BOOST"),IF(Table2[[#This Row],[Vin]]&gt;VIN_BB_to_buck, "BUCK", IF(Table2[[#This Row],[Vin]]&lt;=VIN_boost_to_BB,"BOOST","BUCK-BST")))</f>
        <v>BUCK</v>
      </c>
      <c r="J9">
        <f>IF(Table2[[#This Row],[Mode]]="BOOST",2, IF(Table2[[#This Row],[Mode]]="BUCK", 1,3))</f>
        <v>1</v>
      </c>
      <c r="K9">
        <v>0</v>
      </c>
      <c r="L9" s="4">
        <f>Vout*Table2[[#This Row],[Iout]]/(Table2[[#This Row],[Vin]]*Efficiency)</f>
        <v>0</v>
      </c>
      <c r="M9" s="711">
        <f>MIN(1/Fsw,CHOOSE(Table2[[#This Row],[Mode Digit]],(Vout+(Rdson2+Rs+Rdcr)*Table2[[#This Row],[Iout]])/(Table2[[#This Row],[Vin]]+(Rs+Rdson2-Rdson1)*Table2[[#This Row],[Iout]])/Fsw,(Vout+(Rdson3+Rdcr)*Table2[[#This Row],[Iin]]-Table2[[#This Row],[Vin]])/(Vout+(Rdson3-Rdson4-Rs)*Table2[[#This Row],[Iin]])/Fsw,t1_Ph_II))</f>
        <v>1.2166666666666667E-6</v>
      </c>
      <c r="N9" s="602">
        <f>CHOOSE(Table2[[#This Row],[Mode Digit]],1/Fsw-Table2[[#This Row],[t1_Ph_II]],1/Fsw-Table2[[#This Row],[t1_Ph_II]],(Vout/Fsw-Table2[[#This Row],[Vin]]*t1_Ph_II)/(Table2[[#This Row],[Vin]]+Vout))</f>
        <v>4.4999999999999993E-7</v>
      </c>
      <c r="O9" s="602">
        <f>1/Fsw-(Table2[[#This Row],[t1_Ph_II]]+Table2[[#This Row],[t2_Ph_I]])</f>
        <v>0</v>
      </c>
      <c r="P9"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-1.2443181818181821</v>
      </c>
      <c r="Q9" s="4">
        <f>CHOOSE(Table2[[#This Row],[Mode Digit]],Table2[[#This Row],[I_0]]+1/Lf*(Table2[[#This Row],[Vin]]-Vout)*Table2[[#This Row],[t1_Ph_II]],Table2[[#This Row],[I_0]]+1/Lf*Table2[[#This Row],[Vin]]*Table2[[#This Row],[t1_Ph_II]],Table2[[#This Row],[I_0]]+(Table2[[#This Row],[Vin]]-Vout)/L*Table2[[#This Row],[t1_Ph_II]])</f>
        <v>1.2443181818181821</v>
      </c>
      <c r="R9" s="4">
        <f>CHOOSE(Table2[[#This Row],[Mode Digit]],0,0,Table2[[#This Row],[I_1]]+Table2[[#This Row],[Vin]]/L*Table2[[#This Row],[t2_Ph_I]])</f>
        <v>0</v>
      </c>
      <c r="S9" s="4">
        <f>Fsw*(Table2[[#This Row],[I_0]]*Table2[[#This Row],[t1_Ph_II]]+Table2[[#This Row],[I_1]]*Table2[[#This Row],[t2_Ph_I]]+Table2[[#This Row],[I_2]]*Table2[[#This Row],[t3_Ph_III]])</f>
        <v>-0.57238636363636397</v>
      </c>
      <c r="T9" s="354">
        <f>MIN(1,CHOOSE(Table2[[#This Row],[Mode Digit]],(Vout+(Rdson2+Rs+Rdcr)*Table2[[#This Row],[Iout]])/(Table2[[#This Row],[Vin]]+(Rs+Rdson2-Rdson1)*Table2[[#This Row],[Iout]]),1,Fsw*Table2[[#This Row],[t2_Ph_I]]+Table2[[#This Row],[t1_Ph_II]]))</f>
        <v>0.73</v>
      </c>
      <c r="U9" s="354">
        <f>MIN(1,CHOOSE(Table2[[#This Row],[Mode Digit]],0,(Vout+(Rdson3+Rdcr)*Table2[[#This Row],[Iin]]-Table2[[#This Row],[Vin]])/(Vout+(Rdson3-Rdson4-Rs)*Table2[[#This Row],[Iin]]),Fsw*Table2[[#This Row],[t1_Ph_II]]+Table2[[#This Row],[t3_Ph_III]]))</f>
        <v>0</v>
      </c>
      <c r="V9" s="4">
        <f>MAX(Table2[[#This Row],[I_0]:[I_2]])-MIN(Table2[[#This Row],[I_0]:[I_1]])</f>
        <v>2.4886363636363642</v>
      </c>
      <c r="W9"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0.71840743723027323</v>
      </c>
      <c r="X9" s="354">
        <f>(Table2[[#This Row],[Irms Lf]]^2*Rdcr*(1+Ltc*Ta-Ltc*25))/(1-Table2[[#This Row],[Irms Lf]]^2*Rdcr*Ltc*ThetaCa)</f>
        <v>2.9941506493318692E-3</v>
      </c>
      <c r="Y9" s="354">
        <f>ABS(7.759*10^-3*Fsw^0.9458*(0.00787*Table2[[#This Row],[Ripple Current pk-pk]])^2.304)</f>
        <v>0.26266496655914845</v>
      </c>
      <c r="Z9" s="354">
        <f>Table2[[#This Row],[DCR    Loss]]+Table2[[#This Row],[Core Loss]]</f>
        <v>0.26565911720848034</v>
      </c>
      <c r="AA9" s="4">
        <f>IF(Table2[[#This Row],[Vin]]&gt;Vout, Table2[[#This Row],[Ripple Current pk-pk]]/SQRT(12), SQRT(Table2[[#This Row],[Duty Cycle BOOST Leg]]/(1-Table2[[#This Row],[Duty Cycle BOOST Leg]]))*SQRT(Table2[[#This Row],[Iout]]^2+(Table2[[#This Row],[Ripple Current pk-pk]]^2)/12))</f>
        <v>0.71840743723027323</v>
      </c>
      <c r="AB9" s="354">
        <f>RCoutEsr*Table2[[#This Row],[Irms Cout]]^2</f>
        <v>2.5805462293388448E-3</v>
      </c>
      <c r="AC9" s="354">
        <f>Table2[[#This Row],[Cout ESR Loss]]</f>
        <v>2.5805462293388448E-3</v>
      </c>
      <c r="AD9" s="354">
        <f>IF(Table2[[#This Row],[Vin]]&gt;Vout, SQRT(Table2[[#This Row],[Duty Cycle BUCK Leg]]*(1-Table2[[#This Row],[Duty Cycle BUCK Leg]]))*SQRT(Table2[[#This Row],[Iout]]^2+(Table2[[#This Row],[Ripple Current pk-pk]]^2)/12), Table2[[#This Row],[Ripple Current pk-pk]]/SQRT(12))</f>
        <v>0.31894377617463748</v>
      </c>
      <c r="AE9" s="354">
        <f>RCinEsr*Table2[[#This Row],[Irms Cin]]^2</f>
        <v>2.034502647210745E-4</v>
      </c>
      <c r="AF9" s="549">
        <f>Table2[[#This Row],[Cin ESR Loss]]</f>
        <v>2.034502647210745E-4</v>
      </c>
      <c r="AG9" s="354">
        <f>CHOOSE(Table2[[#This Row],[Mode Digit]],SQRT((Fsw*(Table2[[#This Row],[t1_Ph_II]]+0))*((Table2[[#This Row],[I_0]]*Table2[[#This Row],[I_1]]+((Table2[[#This Row],[I_0]]-Table2[[#This Row],[I_1]])^2)/3))),Table2[[#This Row],[Irms Lf]],SQRT(Fsw*(Table2[[#This Row],[t1_Ph_II]]*(Table2[[#This Row],[I_0]]*Table2[[#This Row],[I_1]]+((Table2[[#This Row],[I_0]]-Table2[[#This Row],[I_1]])^2)/3)+Table2[[#This Row],[t2_Ph_I]]*(Table2[[#This Row],[I_1]]*Table2[[#This Row],[I_2]]+((Table2[[#This Row],[I_1]]-Table2[[#This Row],[I_2]])^2)/3))))</f>
        <v>0.61380758343594244</v>
      </c>
      <c r="AH9" s="354">
        <f>Rdson1*Table2[[#This Row],[Irms BuCtrl]]^2</f>
        <v>1.5823909478305804E-3</v>
      </c>
      <c r="AI9" s="354">
        <f>CHOOSE(Table2[[#This Row],[Mode Digit]], (Table2[[#This Row],[Vin]]*Table2[[#This Row],[Iout]]/2)*(Fsw)*(Tr_buck+Tf_buck), 0, (Table2[[#This Row],[Vin]]*Table2[[#This Row],[Avg IL]]/2)*(Fsw/1)*(Tr_buck+Tf_buck))</f>
        <v>0</v>
      </c>
      <c r="AJ9">
        <f>IF(Table2[[#This Row],[Vin]]&gt;Vout, IF(Table2[[#This Row],[Iout]]&gt;Table2[[#This Row],[Ripple Current pk-pk]]/2,0,ABS(Table2[[#This Row],[Iout]]-Table2[[#This Row],[Ripple Current pk-pk]]/2)*Vsd_Q1*Deadtime*Fsw),0)</f>
        <v>2.9934740259740265E-2</v>
      </c>
      <c r="AK9" s="354">
        <f>(Table2[[#This Row],[Dead Time Loss BuCtrl]]+Table2[[#This Row],[Transition Loss BuCtrl]]+Table2[[#This Row],[RDS(on) Loss BuCtrl]]*(1+RdsonTopTc*Ta-RdsonTopTc*25))/(1-Table2[[#This Row],[RDS(on) Loss BuCtrl]]*RdsonTopTc*ThetaJA_Q1)</f>
        <v>3.1529105136505538E-2</v>
      </c>
      <c r="AL9" s="354">
        <f>CHOOSE(Table2[[#This Row],[Mode Digit]],SQRT((Fsw*(Table2[[#This Row],[t2_Ph_I]]+0))*((Table2[[#This Row],[I_0]]*Table2[[#This Row],[I_1]]+((Table2[[#This Row],[I_0]]-Table2[[#This Row],[I_1]])^2)/3))),0,SQRT((Fsw*(Table2[[#This Row],[t3_Ph_III]]+0))*((Table2[[#This Row],[I_0]]*Table2[[#This Row],[I_2]]+((Table2[[#This Row],[I_0]]-Table2[[#This Row],[I_2]])^2)/3))))</f>
        <v>0.37329545454545465</v>
      </c>
      <c r="AM9" s="354">
        <f>Rdson2*Table2[[#This Row],[Irms BuSync]]^2</f>
        <v>5.8526788481405004E-4</v>
      </c>
      <c r="AN9"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2.9934740259740265E-2</v>
      </c>
      <c r="AO9" s="354">
        <f>(Table2[[#This Row],[Deadtime Loss BuSync]]+Table2[[#This Row],[RDS(on) Loss BuSync]]*(1+RdsonBotTc*Ta-RdsonBotTc*25))/(1-Table2[[#This Row],[RDS(on) Loss BuSync]]*RdsonBotTc*ThetaJA_Q2)</f>
        <v>3.052429571815201E-2</v>
      </c>
      <c r="AP9" s="354">
        <f>CHOOSE(Table2[[#This Row],[Mode Digit]],0,SQRT((Fsw*(Table2[[#This Row],[t1_Ph_II]]+0))*((Table2[[#This Row],[I_0]]*Table2[[#This Row],[I_1]]+((Table2[[#This Row],[I_0]]-Table2[[#This Row],[I_1]])^2)/3))),SQRT((Fsw*(Table2[[#This Row],[t2_Ph_I]]+0))*((Table2[[#This Row],[I_1]]*Table2[[#This Row],[I_2]]+((Table2[[#This Row],[I_1]]-Table2[[#This Row],[I_2]])^2)/3))))</f>
        <v>0</v>
      </c>
      <c r="AQ9" s="354">
        <f>Rdson4*Table2[[#This Row],[Irms BoCtlr]]^2</f>
        <v>0</v>
      </c>
      <c r="AR9" s="354">
        <f>CHOOSE(Table2[[#This Row],[Mode Digit]], 0, (Vout*Table2[[#This Row],[Iin]]/2)*(Fsw)*(Tr_boost+Tf_boost), (Vout*Iout/2)*(Fsw/1)*(Tr_boost+Tf_boost))</f>
        <v>0</v>
      </c>
      <c r="AS9">
        <f>IF(Table2[[#This Row],[Vin]]&gt;Vout, 0, IF(Table2[[#This Row],[Iin]]&gt;Table2[[#This Row],[Ripple Current pk-pk]]/2,0,ABS(Table2[[#This Row],[Iin]]-Table2[[#This Row],[Ripple Current pk-pk]]/2)*Vsd_Q4*Deadtime*Fsw))</f>
        <v>0</v>
      </c>
      <c r="AT9" s="354">
        <f>(Table2[[#This Row],[Dead Time Loss BoCtlr]]+Table2[[#This Row],[Transition Loss BoCtlr]]+Table2[[#This Row],[RDS(on) Loss BoCtlr]]*(1+RdsonTopTc*Ta-RdsonTopTc*25))/(1-Table2[[#This Row],[RDS(on) Loss BoCtlr]]*RdsonTopTc*ThetaJA_Q4)</f>
        <v>0</v>
      </c>
      <c r="AU9" s="354">
        <f>CHOOSE(Table2[[#This Row],[Mode Digit]],SQRT((Fsw*(Table2[[#This Row],[t1_Ph_II]]+Table2[[#This Row],[t2_Ph_I]]))*((Table2[[#This Row],[I_0]]*Table2[[#This Row],[I_1]]+((Table2[[#This Row],[I_0]]-Table2[[#This Row],[I_1]])^2)/3))),SQRT((Fsw*(Table2[[#This Row],[t2_Ph_I]]+0))*((Table2[[#This Row],[I_0]]*Table2[[#This Row],[I_1]]+((Table2[[#This Row],[I_0]]-Table2[[#This Row],[I_1]])^2)/3))),SQRT(Fsw*(Table2[[#This Row],[t1_Ph_II]]*((Table2[[#This Row],[I_0]]*Table2[[#This Row],[I_1]]+((Table2[[#This Row],[I_0]]-Table2[[#This Row],[I_1]])^2)/3))+Table2[[#This Row],[t3_Ph_III]]*((Table2[[#This Row],[I_2]]*Table2[[#This Row],[I_0]]+((Table2[[#This Row],[I_2]]-Table2[[#This Row],[I_0]])^2)/3)))))</f>
        <v>0.71840743723027323</v>
      </c>
      <c r="AV9" s="354">
        <f>Rdson3*Table2[[#This Row],[Irms BoSync]]^2</f>
        <v>2.1676588326446302E-3</v>
      </c>
      <c r="AW9"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9" s="354">
        <f>(Table2[[#This Row],[Deadtime Loss BoSync]]+Table2[[#This Row],[RDS(on) Loss BoSync]]*(1+RdsonBotTc*Ta-RdsonBotTc*25))/(1-Table2[[#This Row],[RDS(on) Loss BoSync]]*RdsonBotTc*ThetaJA_Q3)</f>
        <v>2.1687871183774165E-3</v>
      </c>
      <c r="AY9" s="354">
        <f>CHOOSE(Table2[[#This Row],[Mode Digit]], Rdson3*Table2[[#This Row],[Irms Lf]]^2, Rdson1*Table2[[#This Row],[Irms Lf]]^2, 0)</f>
        <v>2.1676588326446302E-3</v>
      </c>
      <c r="AZ9" s="354">
        <f>CHOOSE(Table2[[#This Row],[Mode Digit]], 2*Deadtime*Fsw*IF(VfdSky_Q2&gt;0,VfdSky_Q2,0)*Table2[[#This Row],[Iout]], 2*Deadtime*Fsw*IF(VfdSky_Q3&gt;0,VfdSky_Q3,0)*Table2[[#This Row],[Iin]], 2*Deadtime*Fsw*IF(VfdSky_Q2&gt;0,VfdSky_Q2,0)*Table2[[#This Row],[Iout]]+2*Deadtime*Fsw*IF(VfdSky_Q3&gt;0,VfdSky_Q3,0)*Table2[[#This Row],[Iin]])</f>
        <v>0</v>
      </c>
      <c r="BA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v>
      </c>
      <c r="BB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v>
      </c>
      <c r="BC9" s="354">
        <f>CHOOSE(Table2[[#This Row],[Mode Digit]], Rs*Table2[[#This Row],[Irms BuSync]]^2, Rs*Table2[[#This Row],[Irms BoCtlr]]^2, Rs*(Table2[[#This Row],[Irms BuSync]]^2+Table2[[#This Row],[Irms BoCtlr]]^2))</f>
        <v>3.4837374096074401E-4</v>
      </c>
      <c r="BD9" s="354">
        <f t="shared" ref="BD9:BD40" si="1">Rshunt/1000*Iout^2</f>
        <v>1.44</v>
      </c>
      <c r="BE9" s="354">
        <f>IF(Vout&gt;8, Iq*Vout, Iq*Table2[[#This Row],[Vin]])</f>
        <v>4.3799999999999999E-2</v>
      </c>
      <c r="BF9" s="354">
        <f>CHOOSE(Table2[[#This Row],[Mode Digit]], (Qg_Q1+Qg_Q2)*Fsw, (Qg_Q3+Qg_Q4)*Fsw, (Qg_Q1+Qg_Q2+Qg_Q3+Qg_Q4)*Fsw)*IF(Vout&gt;8, Vout, Table2[[#This Row],[Vin]])</f>
        <v>0.47303999999999996</v>
      </c>
      <c r="BG9" s="354">
        <f>(Vin-Vdd)*Fsw*(Qg_Q1+Qg_Q2)+(RdsonDRT+RdsonDRT2)*Fsw*Qg_Q1*Vdd/(RdsonDRT+2*Rgate1+RdsonDRT2)+(RdsonDRB+RdsonDRB2)*Fsw*Qg_Q2*Vdd/(RdsonDRB+2*Rgate2+RdsonDRB2)</f>
        <v>0.45605042016806729</v>
      </c>
      <c r="BH9" s="354">
        <f>Table2[[#This Row],[IQ Loss]]+Table2[[#This Row],[Switching Current Loss]]</f>
        <v>0.51683999999999997</v>
      </c>
      <c r="BI9"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2.2898536754165359</v>
      </c>
      <c r="BJ9">
        <f>Vout*Table2[[#This Row],[Iout]]</f>
        <v>0</v>
      </c>
      <c r="BK9" s="550">
        <f>Table2[[#This Row],[Pout]]/(Table2[[#This Row],[Pout]]+Table2[[#This Row],[Total Loss]])</f>
        <v>0</v>
      </c>
      <c r="BL9" s="559">
        <f>IF(Table2[[#This Row],[Vin]]&gt;Vout,ThetaJA_Q1*(Table2[[#This Row],[Total Control Bu MOSFET Loss]]+Table2[[#This Row],[Reverse Recovery Loss MOSFET D BUCK]]),ThetaJA_Q4*(Table2[[#This Row],[Total Control Bo MOSFET Loss]]+Table2[[#This Row],[Reverse Recovery Loss MOSFET D BOOST]]))</f>
        <v>1.8917463081903323</v>
      </c>
      <c r="BM9" s="559">
        <f>IF(Table2[[#This Row],[Vin]]&gt;Vout, Table2[[#This Row],[Total Sync Bu MOSFET Loss]]*ThetaJA_Q2, ThetaJA_Q3*Table2[[#This Row],[Total Sync Bo MOSFET Loss]])</f>
        <v>1.8314577430891206</v>
      </c>
      <c r="BO9" s="4">
        <f>Table2[[#This Row],[EFF, h]]*100</f>
        <v>0</v>
      </c>
      <c r="BP9" s="354">
        <f>Table2[[#This Row],[Total Inductor Loss]]</f>
        <v>0.26565911720848034</v>
      </c>
      <c r="BQ9" s="354">
        <f>Table2[[#This Row],[Total Control Bu MOSFET Loss]]+Table2[[#This Row],[Total Sync Bu MOSFET Loss]]+Table2[[#This Row],[Total Control Bo MOSFET Loss]]+Table2[[#This Row],[Total Sync Bo MOSFET Loss]]+Table2[[#This Row],[Reverse Recovery Loss MOSFET D BUCK]]+Table2[[#This Row],[Reverse Recovery Loss MOSFET D BOOST]]</f>
        <v>6.4222187973034958E-2</v>
      </c>
      <c r="BR9" s="354">
        <f xml:space="preserve"> Table2[[#This Row],[Total Control Bu MOSFET Loss]]+Table2[[#This Row],[Reverse Recovery Loss MOSFET D BUCK]]*0.66</f>
        <v>3.1529105136505538E-2</v>
      </c>
      <c r="BS9" s="354">
        <f>Table2[[#This Row],[Total Sync Bu MOSFET Loss]]+Table2[[#This Row],[Reverse Recovery Loss MOSFET D BUCK]]*0.33</f>
        <v>3.052429571815201E-2</v>
      </c>
      <c r="BT9" s="354">
        <f xml:space="preserve"> Table2[[#This Row],[Total Control Bo MOSFET Loss]]+Table2[[#This Row],[Reverse Recovery Loss MOSFET D BOOST]]*0.66</f>
        <v>0</v>
      </c>
      <c r="BU9" s="354">
        <f xml:space="preserve"> Table2[[#This Row],[Total Sync Bo MOSFET Loss]]+Table2[[#This Row],[Reverse Recovery Loss MOSFET D BOOST]]*0.33</f>
        <v>2.1687871183774165E-3</v>
      </c>
      <c r="BV9" s="354">
        <f>Table2[[#This Row],[Isense Shunt Loss]]</f>
        <v>3.4837374096074401E-4</v>
      </c>
      <c r="BZ9" t="s">
        <v>135</v>
      </c>
      <c r="CA9" s="18">
        <v>70</v>
      </c>
      <c r="CB9" s="18">
        <v>70</v>
      </c>
      <c r="CC9" s="18">
        <v>70</v>
      </c>
      <c r="CD9" s="19">
        <f>250000*(5-Vdd)*CC9/1000000000+((250000*CC9/1000000000*Vdd)*2.5/(2*4))</f>
        <v>-2.7343749999999972E-3</v>
      </c>
      <c r="CE9">
        <f t="shared" ref="CE9:CN17" si="2">CE$6*$CD9</f>
        <v>-0.21874999999999978</v>
      </c>
      <c r="CF9">
        <f t="shared" si="2"/>
        <v>-0.27343749999999972</v>
      </c>
      <c r="CG9">
        <f t="shared" si="2"/>
        <v>-0.32812499999999967</v>
      </c>
      <c r="CH9">
        <f t="shared" si="2"/>
        <v>-0.38281249999999961</v>
      </c>
      <c r="CI9">
        <f t="shared" si="2"/>
        <v>-0.43749999999999956</v>
      </c>
      <c r="CJ9">
        <f t="shared" si="2"/>
        <v>-0.4921874999999995</v>
      </c>
      <c r="CK9">
        <f t="shared" si="2"/>
        <v>-5.4687499999999944E-2</v>
      </c>
      <c r="CL9">
        <f t="shared" si="2"/>
        <v>-8.2031249999999917E-2</v>
      </c>
      <c r="CM9">
        <f t="shared" si="2"/>
        <v>-0.10937499999999989</v>
      </c>
      <c r="CN9">
        <f t="shared" si="2"/>
        <v>-0.13671874999999986</v>
      </c>
    </row>
    <row r="10" spans="1:92" x14ac:dyDescent="0.2">
      <c r="A10" s="502"/>
      <c r="B10" s="24"/>
      <c r="C10" s="16"/>
      <c r="D10" s="17"/>
      <c r="G10">
        <v>1</v>
      </c>
      <c r="H10" s="555">
        <f t="shared" si="0"/>
        <v>20</v>
      </c>
      <c r="I10" s="4" t="str">
        <f>IF(Mode = 2,IF(Table2[[#This Row],[Vin]]&gt;Vout, "BUCK","BOOST"),IF(Table2[[#This Row],[Vin]]&gt;VIN_BB_to_buck, "BUCK", IF(Table2[[#This Row],[Vin]]&lt;=VIN_boost_to_BB,"BOOST","BUCK-BST")))</f>
        <v>BUCK</v>
      </c>
      <c r="J10">
        <f>IF(Table2[[#This Row],[Mode]]="BOOST",2, IF(Table2[[#This Row],[Mode]]="BUCK", 1,3))</f>
        <v>1</v>
      </c>
      <c r="K10" s="354">
        <f t="shared" ref="K10:K41" si="3">Iout*G10/100</f>
        <v>0.12</v>
      </c>
      <c r="L10" s="4">
        <f>Vout*Table2[[#This Row],[Iout]]/(Table2[[#This Row],[Vin]]*Efficiency)</f>
        <v>9.2210526315789479E-2</v>
      </c>
      <c r="M10" s="711">
        <f>MIN(1/Fsw,CHOOSE(Table2[[#This Row],[Mode Digit]],(Vout+(Rdson2+Rs+Rdcr)*Table2[[#This Row],[Iout]])/(Table2[[#This Row],[Vin]]+(Rs+Rdson2-Rdson1)*Table2[[#This Row],[Iout]])/Fsw,(Vout+(Rdson3+Rdcr)*Table2[[#This Row],[Iin]]-Table2[[#This Row],[Vin]])/(Vout+(Rdson3-Rdson4-Rs)*Table2[[#This Row],[Iin]])/Fsw,t1_Ph_II))</f>
        <v>1.2167734150654409E-6</v>
      </c>
      <c r="N10" s="602">
        <f>CHOOSE(Table2[[#This Row],[Mode Digit]],1/Fsw-Table2[[#This Row],[t1_Ph_II]],1/Fsw-Table2[[#This Row],[t1_Ph_II]],(Vout/Fsw-Table2[[#This Row],[Vin]]*t1_Ph_II)/(Table2[[#This Row],[Vin]]+Vout))</f>
        <v>4.4989325160122579E-7</v>
      </c>
      <c r="O10" s="602">
        <f>1/Fsw-(Table2[[#This Row],[t1_Ph_II]]+Table2[[#This Row],[t2_Ph_I]])</f>
        <v>0</v>
      </c>
      <c r="P10"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-1.1244273563169283</v>
      </c>
      <c r="Q10" s="4">
        <f>CHOOSE(Table2[[#This Row],[Mode Digit]],Table2[[#This Row],[I_0]]+1/Lf*(Table2[[#This Row],[Vin]]-Vout)*Table2[[#This Row],[t1_Ph_II]],Table2[[#This Row],[I_0]]+1/Lf*Table2[[#This Row],[Vin]]*Table2[[#This Row],[t1_Ph_II]],Table2[[#This Row],[I_0]]+(Table2[[#This Row],[Vin]]-Vout)/L*Table2[[#This Row],[t1_Ph_II]])</f>
        <v>1.3644273563169285</v>
      </c>
      <c r="R10" s="4">
        <f>CHOOSE(Table2[[#This Row],[Mode Digit]],0,0,Table2[[#This Row],[I_1]]+Table2[[#This Row],[Vin]]/L*Table2[[#This Row],[t2_Ph_I]])</f>
        <v>0</v>
      </c>
      <c r="S10" s="409">
        <f>Fsw*(Table2[[#This Row],[I_0]]*Table2[[#This Row],[t1_Ph_II]]+Table2[[#This Row],[I_1]]*Table2[[#This Row],[t2_Ph_I]]+Table2[[#This Row],[I_2]]*Table2[[#This Row],[t3_Ph_III]])</f>
        <v>-0.45259599265900013</v>
      </c>
      <c r="T10" s="354">
        <f>MIN(1,CHOOSE(Table2[[#This Row],[Mode Digit]],(Vout+(Rdson2+Rs+Rdcr)*Table2[[#This Row],[Iout]])/(Table2[[#This Row],[Vin]]+(Rs+Rdson2-Rdson1)*Table2[[#This Row],[Iout]]),1,Fsw*Table2[[#This Row],[t2_Ph_I]]+Table2[[#This Row],[t1_Ph_II]]))</f>
        <v>0.73006404903926447</v>
      </c>
      <c r="U10" s="354">
        <f>MIN(1,CHOOSE(Table2[[#This Row],[Mode Digit]],0,(Vout+(Rdson3+Rdcr)*Table2[[#This Row],[Iin]]-Table2[[#This Row],[Vin]])/(Vout+(Rdson3-Rdson4-Rs)*Table2[[#This Row],[Iin]]),Fsw*Table2[[#This Row],[t1_Ph_II]]+Table2[[#This Row],[t3_Ph_III]]))</f>
        <v>0</v>
      </c>
      <c r="V10" s="4">
        <f>MAX(Table2[[#This Row],[I_0]:[I_2]])-MIN(Table2[[#This Row],[I_0]:[I_1]])</f>
        <v>2.4888547126338567</v>
      </c>
      <c r="W10"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0.72842282710660555</v>
      </c>
      <c r="X10" s="354">
        <f>(Table2[[#This Row],[Irms Lf]]^2*Rdcr*(1+Ltc*Ta-Ltc*25))/(1-Table2[[#This Row],[Irms Lf]]^2*Rdcr*Ltc*ThetaCa)</f>
        <v>3.0782367839967588E-3</v>
      </c>
      <c r="Y10" s="354">
        <f>ABS(7.759*10^-3*Fsw^0.9458*(0.00787*Table2[[#This Row],[Ripple Current pk-pk]])^2.304)</f>
        <v>0.26271806713485624</v>
      </c>
      <c r="Z10" s="354">
        <f>Table2[[#This Row],[DCR    Loss]]+Table2[[#This Row],[Core Loss]]</f>
        <v>0.26579630391885301</v>
      </c>
      <c r="AA10" s="4">
        <f>IF(Table2[[#This Row],[Vin]]&gt;Vout, Table2[[#This Row],[Ripple Current pk-pk]]/SQRT(12), SQRT(Table2[[#This Row],[Duty Cycle BOOST Leg]]/(1-Table2[[#This Row],[Duty Cycle BOOST Leg]]))*SQRT(Table2[[#This Row],[Iout]]^2+(Table2[[#This Row],[Ripple Current pk-pk]]^2)/12))</f>
        <v>0.71847046915651291</v>
      </c>
      <c r="AB10" s="354">
        <f>RCoutEsr*Table2[[#This Row],[Irms Cout]]^2</f>
        <v>2.5809990752498992E-3</v>
      </c>
      <c r="AC10" s="354">
        <f>Table2[[#This Row],[Cout ESR Loss]]</f>
        <v>2.5809990752498992E-3</v>
      </c>
      <c r="AD10" s="4">
        <f>IF(Table2[[#This Row],[Vin]]&gt;Vout, SQRT(Table2[[#This Row],[Duty Cycle BUCK Leg]]*(1-Table2[[#This Row],[Duty Cycle BUCK Leg]]))*SQRT(Table2[[#This Row],[Iout]]^2+(Table2[[#This Row],[Ripple Current pk-pk]]^2)/12), Table2[[#This Row],[Ripple Current pk-pk]]/SQRT(12))</f>
        <v>0.32336602873806003</v>
      </c>
      <c r="AE10" s="354">
        <f>RCinEsr*Table2[[#This Row],[Irms Cin]]^2</f>
        <v>2.0913117708364773E-4</v>
      </c>
      <c r="AF10" s="549">
        <f>Table2[[#This Row],[Cin ESR Loss]]</f>
        <v>2.0913117708364773E-4</v>
      </c>
      <c r="AG10" s="354">
        <f>Table2[[#This Row],[Irms Lf]]</f>
        <v>0.72842282710660555</v>
      </c>
      <c r="AH10" s="354">
        <f>Rdson1*Table2[[#This Row],[Irms BuCtrl]]^2</f>
        <v>2.2285192232099154E-3</v>
      </c>
      <c r="AI10" s="354">
        <f>CHOOSE(Table2[[#This Row],[Mode Digit]], (Table2[[#This Row],[Vin]]*Table2[[#This Row],[Iout]]/2)*(Fsw)*(Tr_buck+Tf_buck), 0, (Table2[[#This Row],[Vin]]*Table2[[#This Row],[Avg IL]]/2)*(Fsw/1)*(Tr_buck+Tf_buck))</f>
        <v>2.3799280662760158E-2</v>
      </c>
      <c r="AJ10">
        <f>IF(Table2[[#This Row],[Vin]]&gt;Vout, IF(Table2[[#This Row],[Iout]]&gt;Table2[[#This Row],[Ripple Current pk-pk]]/2,0,ABS(Table2[[#This Row],[Iout]]-Table2[[#This Row],[Ripple Current pk-pk]]/2)*Vsd_Q1*Deadtime*Fsw),0)</f>
        <v>2.7050509543395815E-2</v>
      </c>
      <c r="AK10" s="354">
        <f>(Table2[[#This Row],[Dead Time Loss BuCtrl]]+Table2[[#This Row],[Transition Loss BuCtrl]]+Table2[[#This Row],[RDS(on) Loss BuCtrl]]*(1+RdsonTopTc*Ta-RdsonTopTc*25))/(1-Table2[[#This Row],[RDS(on) Loss BuCtrl]]*RdsonTopTc*ThetaJA_Q1)</f>
        <v>5.3106713268902185E-2</v>
      </c>
      <c r="AL10" s="354">
        <f>Table2[[#This Row],[Irms Lf]]</f>
        <v>0.72842282710660555</v>
      </c>
      <c r="AM10" s="354">
        <f>Rdson2*Table2[[#This Row],[Irms BuSync]]^2</f>
        <v>2.2285192232099154E-3</v>
      </c>
      <c r="AN10"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3.2824223829110107E-2</v>
      </c>
      <c r="AO10" s="354">
        <f>(Table2[[#This Row],[Deadtime Loss BuSync]]+Table2[[#This Row],[RDS(on) Loss BuSync]]*(1+RdsonBotTc*Ta-RdsonBotTc*25))/(1-Table2[[#This Row],[RDS(on) Loss BuSync]]*RdsonBotTc*ThetaJA_Q2)</f>
        <v>3.5071500855642486E-2</v>
      </c>
      <c r="AP10" s="354">
        <f>Table2[[#This Row],[Irms Lf]]</f>
        <v>0.72842282710660555</v>
      </c>
      <c r="AQ10" s="354">
        <f>Rdson4*Table2[[#This Row],[Irms BoCtlr]]^2</f>
        <v>2.2285192232099154E-3</v>
      </c>
      <c r="AR10" s="354">
        <f>CHOOSE(Table2[[#This Row],[Mode Digit]], 0, (Vout*Table2[[#This Row],[Iin]]/2)*(Fsw)*(Tr_boost+Tf_boost), (Vout*Iout/2)*(Fsw/1)*(Tr_boost+Tf_boost))</f>
        <v>0</v>
      </c>
      <c r="AS10" s="354">
        <f>IF(Table2[[#This Row],[Vin]]&gt;Vout, 0, IF(Table2[[#This Row],[Iin]]&gt;Table2[[#This Row],[Ripple Current pk-pk]]/2,0,ABS(Table2[[#This Row],[Iin]]-Table2[[#This Row],[Ripple Current pk-pk]]/2)*Vsd_Q4*Deadtime*Fsw))</f>
        <v>0</v>
      </c>
      <c r="AT10" s="354">
        <f>(Table2[[#This Row],[Dead Time Loss BoCtlr]]+Table2[[#This Row],[Transition Loss BoCtlr]]+Table2[[#This Row],[RDS(on) Loss BoCtlr]]*(1+RdsonTopTc*Ta-RdsonTopTc*25))/(1-Table2[[#This Row],[RDS(on) Loss BoCtlr]]*RdsonTopTc*ThetaJA_Q4)</f>
        <v>2.2297117725412732E-3</v>
      </c>
      <c r="AU10" s="354">
        <f>Table2[[#This Row],[Irms Lf]]</f>
        <v>0.72842282710660555</v>
      </c>
      <c r="AV10" s="354">
        <f>Rdson3*Table2[[#This Row],[Irms BoSync]]^2</f>
        <v>2.2285192232099154E-3</v>
      </c>
      <c r="AW10"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0" s="354">
        <f>(Table2[[#This Row],[Deadtime Loss BoSync]]+Table2[[#This Row],[RDS(on) Loss BoSync]]*(1+RdsonBotTc*Ta-RdsonBotTc*25))/(1-Table2[[#This Row],[RDS(on) Loss BoSync]]*RdsonBotTc*ThetaJA_Q3)</f>
        <v>2.2297117725412732E-3</v>
      </c>
      <c r="AY10" s="354">
        <f>CHOOSE(Table2[[#This Row],[Mode Digit]], Rdson3*Table2[[#This Row],[Irms Lf]]^2, Rdson1*Table2[[#This Row],[Irms Lf]]^2, 0)</f>
        <v>2.2285192232099154E-3</v>
      </c>
      <c r="AZ10" s="354">
        <f>CHOOSE(Table2[[#This Row],[Mode Digit]], 2*Deadtime*Fsw*IF(VfdSky_Q2&gt;0,VfdSky_Q2,0)*Table2[[#This Row],[Iout]], 2*Deadtime*Fsw*IF(VfdSky_Q3&gt;0,VfdSky_Q3,0)*Table2[[#This Row],[Iin]], 2*Deadtime*Fsw*IF(VfdSky_Q2&gt;0,VfdSky_Q2,0)*Table2[[#This Row],[Iout]]+2*Deadtime*Fsw*IF(VfdSky_Q3&gt;0,VfdSky_Q3,0)*Table2[[#This Row],[Iin]])</f>
        <v>0</v>
      </c>
      <c r="BA1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2.3999395200000003E-3</v>
      </c>
      <c r="BB1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2.3999395200000003E-3</v>
      </c>
      <c r="BC10" s="354">
        <f>CHOOSE(Table2[[#This Row],[Mode Digit]], Rs*Table2[[#This Row],[Irms BuSync]]^2, Rs*Table2[[#This Row],[Irms BoCtlr]]^2, Rs*(Table2[[#This Row],[Irms BuSync]]^2+Table2[[#This Row],[Irms BoCtlr]]^2))</f>
        <v>1.3264995376249494E-3</v>
      </c>
      <c r="BD10" s="354">
        <f t="shared" si="1"/>
        <v>1.44</v>
      </c>
      <c r="BE10" s="354">
        <f>IF(Vout&gt;8, Iq*Vout, Iq*Table2[[#This Row],[Vin]])</f>
        <v>4.3799999999999999E-2</v>
      </c>
      <c r="BF10" s="354">
        <f>CHOOSE(Table2[[#This Row],[Mode Digit]], (Qg_Q1+Qg_Q2)*Fsw, (Qg_Q3+Qg_Q4)*Fsw, (Qg_Q1+Qg_Q2+Qg_Q3+Qg_Q4)*Fsw)*IF(Vout&gt;8, Vout, Table2[[#This Row],[Vin]])</f>
        <v>0.47303999999999996</v>
      </c>
      <c r="BG10" s="354">
        <f t="shared" ref="BG10:BG72" si="4">(Vin-Vdd)*Fsw*(Qg_Q1+Qg_Q2)+(RdsonDRT+RdsonDRT2)*Fsw*Qg_Q1*Vdd/(RdsonDRT+2*Rgate1+RdsonDRT2)+(RdsonDRB+RdsonDRB2)*Fsw*Qg_Q2*Vdd/(RdsonDRB+2*Rgate2+RdsonDRB2)</f>
        <v>0.45605042016806729</v>
      </c>
      <c r="BH10" s="354">
        <f>Table2[[#This Row],[IQ Loss]]+Table2[[#This Row],[Switching Current Loss]]</f>
        <v>0.51683999999999997</v>
      </c>
      <c r="BI10"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2.3241904504184387</v>
      </c>
      <c r="BJ10">
        <f>Vout*Table2[[#This Row],[Iout]]</f>
        <v>1.752</v>
      </c>
      <c r="BK10" s="550">
        <f>Table2[[#This Row],[Pout]]/(Table2[[#This Row],[Pout]]+Table2[[#This Row],[Total Loss]])</f>
        <v>0.42981308682967684</v>
      </c>
      <c r="BL10" s="559">
        <f>IF(Table2[[#This Row],[Vin]]&gt;Vout,ThetaJA_Q1*(Table2[[#This Row],[Total Control Bu MOSFET Loss]]+Table2[[#This Row],[Reverse Recovery Loss MOSFET D BUCK]]),ThetaJA_Q4*(Table2[[#This Row],[Total Control Bo MOSFET Loss]]+Table2[[#This Row],[Reverse Recovery Loss MOSFET D BOOST]]))</f>
        <v>3.3303991673341309</v>
      </c>
      <c r="BM10" s="559">
        <f>IF(Table2[[#This Row],[Vin]]&gt;Vout, Table2[[#This Row],[Total Sync Bu MOSFET Loss]]*ThetaJA_Q2, ThetaJA_Q3*Table2[[#This Row],[Total Sync Bo MOSFET Loss]])</f>
        <v>2.1042900513385492</v>
      </c>
      <c r="BN10" s="9"/>
      <c r="BO10" s="4">
        <f>Table2[[#This Row],[EFF, h]]*100</f>
        <v>42.981308682967686</v>
      </c>
      <c r="BP10" s="354">
        <f>Table2[[#This Row],[Total Inductor Loss]]</f>
        <v>0.26579630391885301</v>
      </c>
      <c r="BQ10" s="354">
        <f>Table2[[#This Row],[Total Control Bu MOSFET Loss]]+Table2[[#This Row],[Total Sync Bu MOSFET Loss]]+Table2[[#This Row],[Total Control Bo MOSFET Loss]]+Table2[[#This Row],[Total Sync Bo MOSFET Loss]]+Table2[[#This Row],[Reverse Recovery Loss MOSFET D BUCK]]+Table2[[#This Row],[Reverse Recovery Loss MOSFET D BOOST]]</f>
        <v>9.7437516709627234E-2</v>
      </c>
      <c r="BR10" s="354">
        <f xml:space="preserve"> Table2[[#This Row],[Total Control Bu MOSFET Loss]]+Table2[[#This Row],[Reverse Recovery Loss MOSFET D BUCK]]*0.66</f>
        <v>5.4690673352102183E-2</v>
      </c>
      <c r="BS10" s="354">
        <f>Table2[[#This Row],[Total Sync Bu MOSFET Loss]]+Table2[[#This Row],[Reverse Recovery Loss MOSFET D BUCK]]*0.33</f>
        <v>3.5863480897242485E-2</v>
      </c>
      <c r="BT10" s="354">
        <f xml:space="preserve"> Table2[[#This Row],[Total Control Bo MOSFET Loss]]+Table2[[#This Row],[Reverse Recovery Loss MOSFET D BOOST]]*0.66</f>
        <v>3.8136718557412732E-3</v>
      </c>
      <c r="BU10" s="354">
        <f xml:space="preserve"> Table2[[#This Row],[Total Sync Bo MOSFET Loss]]+Table2[[#This Row],[Reverse Recovery Loss MOSFET D BOOST]]*0.33</f>
        <v>3.0216918141412735E-3</v>
      </c>
      <c r="BV10" s="354">
        <f>Table2[[#This Row],[Isense Shunt Loss]]</f>
        <v>1.3264995376249494E-3</v>
      </c>
      <c r="CA10" s="18"/>
      <c r="CB10" s="18"/>
      <c r="CC10" s="18"/>
      <c r="CD10" s="19"/>
    </row>
    <row r="11" spans="1:92" x14ac:dyDescent="0.2">
      <c r="A11" s="20" t="s">
        <v>4</v>
      </c>
      <c r="B11" s="5">
        <f>Vin</f>
        <v>20</v>
      </c>
      <c r="C11" s="440" t="s">
        <v>0</v>
      </c>
      <c r="D11" s="21" t="s">
        <v>4</v>
      </c>
      <c r="G11">
        <v>2</v>
      </c>
      <c r="H11" s="555">
        <f t="shared" si="0"/>
        <v>20</v>
      </c>
      <c r="I11" s="4" t="str">
        <f>IF(Mode = 2,IF(Table2[[#This Row],[Vin]]&gt;Vout, "BUCK","BOOST"),IF(Table2[[#This Row],[Vin]]&gt;VIN_BB_to_buck, "BUCK", IF(Table2[[#This Row],[Vin]]&lt;=VIN_boost_to_BB,"BOOST","BUCK-BST")))</f>
        <v>BUCK</v>
      </c>
      <c r="J11">
        <f>IF(Table2[[#This Row],[Mode]]="BOOST",2, IF(Table2[[#This Row],[Mode]]="BUCK", 1,3))</f>
        <v>1</v>
      </c>
      <c r="K11" s="354">
        <f t="shared" si="3"/>
        <v>0.24</v>
      </c>
      <c r="L11" s="4">
        <f>Vout*Table2[[#This Row],[Iout]]/(Table2[[#This Row],[Vin]]*Efficiency)</f>
        <v>0.18442105263157896</v>
      </c>
      <c r="M11" s="711">
        <f>MIN(1/Fsw,CHOOSE(Table2[[#This Row],[Mode Digit]],(Vout+(Rdson2+Rs+Rdcr)*Table2[[#This Row],[Iout]])/(Table2[[#This Row],[Vin]]+(Rs+Rdson2-Rdson1)*Table2[[#This Row],[Iout]])/Fsw,(Vout+(Rdson3+Rdcr)*Table2[[#This Row],[Iin]]-Table2[[#This Row],[Vin]])/(Vout+(Rdson3-Rdson4-Rs)*Table2[[#This Row],[Iin]])/Fsw,t1_Ph_II))</f>
        <v>1.2168801602618589E-6</v>
      </c>
      <c r="N11" s="602">
        <f>CHOOSE(Table2[[#This Row],[Mode Digit]],1/Fsw-Table2[[#This Row],[t1_Ph_II]],1/Fsw-Table2[[#This Row],[t1_Ph_II]],(Vout/Fsw-Table2[[#This Row],[Vin]]*t1_Ph_II)/(Table2[[#This Row],[Vin]]+Vout))</f>
        <v>4.4978650640480772E-7</v>
      </c>
      <c r="O11" s="602">
        <f>1/Fsw-(Table2[[#This Row],[t1_Ph_II]]+Table2[[#This Row],[t2_Ph_I]])</f>
        <v>0</v>
      </c>
      <c r="P11"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-1.0045365275405376</v>
      </c>
      <c r="Q11" s="4">
        <f>CHOOSE(Table2[[#This Row],[Mode Digit]],Table2[[#This Row],[I_0]]+1/Lf*(Table2[[#This Row],[Vin]]-Vout)*Table2[[#This Row],[t1_Ph_II]],Table2[[#This Row],[I_0]]+1/Lf*Table2[[#This Row],[Vin]]*Table2[[#This Row],[t1_Ph_II]],Table2[[#This Row],[I_0]]+(Table2[[#This Row],[Vin]]-Vout)/L*Table2[[#This Row],[t1_Ph_II]])</f>
        <v>1.4845365275405376</v>
      </c>
      <c r="R11" s="4">
        <f>CHOOSE(Table2[[#This Row],[Mode Digit]],0,0,Table2[[#This Row],[I_1]]+Table2[[#This Row],[Vin]]/L*Table2[[#This Row],[t2_Ph_I]])</f>
        <v>0</v>
      </c>
      <c r="S11" s="409">
        <f>Fsw*(Table2[[#This Row],[I_0]]*Table2[[#This Row],[t1_Ph_II]]+Table2[[#This Row],[I_1]]*Table2[[#This Row],[t2_Ph_I]]+Table2[[#This Row],[I_2]]*Table2[[#This Row],[t3_Ph_III]])</f>
        <v>-0.33280564336178259</v>
      </c>
      <c r="T11" s="354">
        <f>MIN(1,CHOOSE(Table2[[#This Row],[Mode Digit]],(Vout+(Rdson2+Rs+Rdcr)*Table2[[#This Row],[Iout]])/(Table2[[#This Row],[Vin]]+(Rs+Rdson2-Rdson1)*Table2[[#This Row],[Iout]]),1,Fsw*Table2[[#This Row],[t2_Ph_I]]+Table2[[#This Row],[t1_Ph_II]]))</f>
        <v>0.73012809615711538</v>
      </c>
      <c r="U11" s="354">
        <f>MIN(1,CHOOSE(Table2[[#This Row],[Mode Digit]],0,(Vout+(Rdson3+Rdcr)*Table2[[#This Row],[Iin]]-Table2[[#This Row],[Vin]])/(Vout+(Rdson3-Rdson4-Rs)*Table2[[#This Row],[Iin]]),Fsw*Table2[[#This Row],[t1_Ph_II]]+Table2[[#This Row],[t3_Ph_III]]))</f>
        <v>0</v>
      </c>
      <c r="V11" s="4">
        <f>MAX(Table2[[#This Row],[I_0]:[I_2]])-MIN(Table2[[#This Row],[I_0]:[I_1]])</f>
        <v>2.4890730550810751</v>
      </c>
      <c r="W11"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0.75755553556217026</v>
      </c>
      <c r="X11" s="354">
        <f>(Table2[[#This Row],[Irms Lf]]^2*Rdcr*(1+Ltc*Ta-Ltc*25))/(1-Table2[[#This Row],[Irms Lf]]^2*Rdcr*Ltc*ThetaCa)</f>
        <v>3.3294508421591322E-3</v>
      </c>
      <c r="Y11" s="354">
        <f>ABS(7.759*10^-3*Fsw^0.9458*(0.00787*Table2[[#This Row],[Ripple Current pk-pk]])^2.304)</f>
        <v>0.26277117219241891</v>
      </c>
      <c r="Z11" s="354">
        <f>Table2[[#This Row],[DCR    Loss]]+Table2[[#This Row],[Core Loss]]</f>
        <v>0.26610062303457804</v>
      </c>
      <c r="AA11" s="4">
        <f>IF(Table2[[#This Row],[Vin]]&gt;Vout, Table2[[#This Row],[Ripple Current pk-pk]]/SQRT(12), SQRT(Table2[[#This Row],[Duty Cycle BOOST Leg]]/(1-Table2[[#This Row],[Duty Cycle BOOST Leg]]))*SQRT(Table2[[#This Row],[Iout]]^2+(Table2[[#This Row],[Ripple Current pk-pk]]^2)/12))</f>
        <v>0.7185334991918515</v>
      </c>
      <c r="AB11" s="354">
        <f>RCoutEsr*Table2[[#This Row],[Irms Cout]]^2</f>
        <v>2.5814519473044322E-3</v>
      </c>
      <c r="AC11" s="354">
        <f>Table2[[#This Row],[Cout ESR Loss]]</f>
        <v>2.5814519473044322E-3</v>
      </c>
      <c r="AD11" s="4">
        <f>IF(Table2[[#This Row],[Vin]]&gt;Vout, SQRT(Table2[[#This Row],[Duty Cycle BUCK Leg]]*(1-Table2[[#This Row],[Duty Cycle BUCK Leg]]))*SQRT(Table2[[#This Row],[Iout]]^2+(Table2[[#This Row],[Ripple Current pk-pk]]^2)/12), Table2[[#This Row],[Ripple Current pk-pk]]/SQRT(12))</f>
        <v>0.33627365388234087</v>
      </c>
      <c r="AE11" s="354">
        <f>RCinEsr*Table2[[#This Row],[Irms Cin]]^2</f>
        <v>2.2615994059076077E-4</v>
      </c>
      <c r="AF11" s="549">
        <f>Table2[[#This Row],[Cin ESR Loss]]</f>
        <v>2.2615994059076077E-4</v>
      </c>
      <c r="AG11" s="354">
        <f>Table2[[#This Row],[Irms Lf]]</f>
        <v>0.75755553556217026</v>
      </c>
      <c r="AH11" s="354">
        <f>Rdson1*Table2[[#This Row],[Irms BuCtrl]]^2</f>
        <v>2.4103396357357237E-3</v>
      </c>
      <c r="AI11" s="354">
        <f>CHOOSE(Table2[[#This Row],[Mode Digit]], (Table2[[#This Row],[Vin]]*Table2[[#This Row],[Iout]]/2)*(Fsw)*(Tr_buck+Tf_buck), 0, (Table2[[#This Row],[Vin]]*Table2[[#This Row],[Avg IL]]/2)*(Fsw/1)*(Tr_buck+Tf_buck))</f>
        <v>4.7598561325520317E-2</v>
      </c>
      <c r="AJ11">
        <f>IF(Table2[[#This Row],[Vin]]&gt;Vout, IF(Table2[[#This Row],[Iout]]&gt;Table2[[#This Row],[Ripple Current pk-pk]]/2,0,ABS(Table2[[#This Row],[Iout]]-Table2[[#This Row],[Ripple Current pk-pk]]/2)*Vsd_Q1*Deadtime*Fsw),0)</f>
        <v>2.4166278748260935E-2</v>
      </c>
      <c r="AK11" s="354">
        <f>(Table2[[#This Row],[Dead Time Loss BuCtrl]]+Table2[[#This Row],[Transition Loss BuCtrl]]+Table2[[#This Row],[RDS(on) Loss BuCtrl]]*(1+RdsonTopTc*Ta-RdsonTopTc*25))/(1-Table2[[#This Row],[RDS(on) Loss BuCtrl]]*RdsonTopTc*ThetaJA_Q1)</f>
        <v>7.4218113516084344E-2</v>
      </c>
      <c r="AL11" s="354">
        <f>Table2[[#This Row],[Irms Lf]]</f>
        <v>0.75755553556217026</v>
      </c>
      <c r="AM11" s="354">
        <f>Rdson2*Table2[[#This Row],[Irms BuSync]]^2</f>
        <v>2.4103396357357237E-3</v>
      </c>
      <c r="AN11"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3.5713707319689501E-2</v>
      </c>
      <c r="AO11" s="354">
        <f>(Table2[[#This Row],[Deadtime Loss BuSync]]+Table2[[#This Row],[RDS(on) Loss BuSync]]*(1+RdsonBotTc*Ta-RdsonBotTc*25))/(1-Table2[[#This Row],[RDS(on) Loss BuSync]]*RdsonBotTc*ThetaJA_Q2)</f>
        <v>3.8146113777021873E-2</v>
      </c>
      <c r="AP11" s="354">
        <f>Table2[[#This Row],[Irms Lf]]</f>
        <v>0.75755553556217026</v>
      </c>
      <c r="AQ11" s="354">
        <f>Rdson4*Table2[[#This Row],[Irms BoCtlr]]^2</f>
        <v>2.4103396357357237E-3</v>
      </c>
      <c r="AR11" s="354">
        <f>CHOOSE(Table2[[#This Row],[Mode Digit]], 0, (Vout*Table2[[#This Row],[Iin]]/2)*(Fsw)*(Tr_boost+Tf_boost), (Vout*Iout/2)*(Fsw/1)*(Tr_boost+Tf_boost))</f>
        <v>0</v>
      </c>
      <c r="AS11" s="354">
        <f>IF(Table2[[#This Row],[Vin]]&gt;Vout, 0, IF(Table2[[#This Row],[Iin]]&gt;Table2[[#This Row],[Ripple Current pk-pk]]/2,0,ABS(Table2[[#This Row],[Iin]]-Table2[[#This Row],[Ripple Current pk-pk]]/2)*Vsd_Q4*Deadtime*Fsw))</f>
        <v>0</v>
      </c>
      <c r="AT11" s="354">
        <f>(Table2[[#This Row],[Dead Time Loss BoCtlr]]+Table2[[#This Row],[Transition Loss BoCtlr]]+Table2[[#This Row],[RDS(on) Loss BoCtlr]]*(1+RdsonTopTc*Ta-RdsonTopTc*25))/(1-Table2[[#This Row],[RDS(on) Loss BoCtlr]]*RdsonTopTc*ThetaJA_Q4)</f>
        <v>2.4117347797190289E-3</v>
      </c>
      <c r="AU11" s="354">
        <f>Table2[[#This Row],[Irms Lf]]</f>
        <v>0.75755553556217026</v>
      </c>
      <c r="AV11" s="354">
        <f>Rdson3*Table2[[#This Row],[Irms BoSync]]^2</f>
        <v>2.4103396357357237E-3</v>
      </c>
      <c r="AW11"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1" s="354">
        <f>(Table2[[#This Row],[Deadtime Loss BoSync]]+Table2[[#This Row],[RDS(on) Loss BoSync]]*(1+RdsonBotTc*Ta-RdsonBotTc*25))/(1-Table2[[#This Row],[RDS(on) Loss BoSync]]*RdsonBotTc*ThetaJA_Q3)</f>
        <v>2.4117347797190289E-3</v>
      </c>
      <c r="AY11" s="354">
        <f>CHOOSE(Table2[[#This Row],[Mode Digit]], Rdson3*Table2[[#This Row],[Irms Lf]]^2, Rdson1*Table2[[#This Row],[Irms Lf]]^2, 0)</f>
        <v>2.4103396357357237E-3</v>
      </c>
      <c r="AZ11" s="354">
        <f>CHOOSE(Table2[[#This Row],[Mode Digit]], 2*Deadtime*Fsw*IF(VfdSky_Q2&gt;0,VfdSky_Q2,0)*Table2[[#This Row],[Iout]], 2*Deadtime*Fsw*IF(VfdSky_Q3&gt;0,VfdSky_Q3,0)*Table2[[#This Row],[Iin]], 2*Deadtime*Fsw*IF(VfdSky_Q2&gt;0,VfdSky_Q2,0)*Table2[[#This Row],[Iout]]+2*Deadtime*Fsw*IF(VfdSky_Q3&gt;0,VfdSky_Q3,0)*Table2[[#This Row],[Iin]])</f>
        <v>0</v>
      </c>
      <c r="BA1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4.79975808E-3</v>
      </c>
      <c r="BB1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4.79975808E-3</v>
      </c>
      <c r="BC11" s="354">
        <f>CHOOSE(Table2[[#This Row],[Mode Digit]], Rs*Table2[[#This Row],[Irms BuSync]]^2, Rs*Table2[[#This Row],[Irms BoCtlr]]^2, Rs*(Table2[[#This Row],[Irms BuSync]]^2+Table2[[#This Row],[Irms BoCtlr]]^2))</f>
        <v>1.4347259736522163E-3</v>
      </c>
      <c r="BD11" s="354">
        <f t="shared" si="1"/>
        <v>1.44</v>
      </c>
      <c r="BE11" s="354">
        <f>IF(Vout&gt;8, Iq*Vout, Iq*Table2[[#This Row],[Vin]])</f>
        <v>4.3799999999999999E-2</v>
      </c>
      <c r="BF11" s="354">
        <f>CHOOSE(Table2[[#This Row],[Mode Digit]], (Qg_Q1+Qg_Q2)*Fsw, (Qg_Q3+Qg_Q4)*Fsw, (Qg_Q1+Qg_Q2+Qg_Q3+Qg_Q4)*Fsw)*IF(Vout&gt;8, Vout, Table2[[#This Row],[Vin]])</f>
        <v>0.47303999999999996</v>
      </c>
      <c r="BG11" s="354">
        <f t="shared" si="4"/>
        <v>0.45605042016806729</v>
      </c>
      <c r="BH11" s="354">
        <f>Table2[[#This Row],[IQ Loss]]+Table2[[#This Row],[Switching Current Loss]]</f>
        <v>0.51683999999999997</v>
      </c>
      <c r="BI11"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2.3539701739086696</v>
      </c>
      <c r="BJ11">
        <f>Vout*Table2[[#This Row],[Iout]]</f>
        <v>3.504</v>
      </c>
      <c r="BK11" s="550">
        <f>Table2[[#This Row],[Pout]]/(Table2[[#This Row],[Pout]]+Table2[[#This Row],[Total Loss]])</f>
        <v>0.59815941289813579</v>
      </c>
      <c r="BL11" s="559">
        <f>IF(Table2[[#This Row],[Vin]]&gt;Vout,ThetaJA_Q1*(Table2[[#This Row],[Total Control Bu MOSFET Loss]]+Table2[[#This Row],[Reverse Recovery Loss MOSFET D BUCK]]),ThetaJA_Q4*(Table2[[#This Row],[Total Control Bo MOSFET Loss]]+Table2[[#This Row],[Reverse Recovery Loss MOSFET D BOOST]]))</f>
        <v>4.7410722957650604</v>
      </c>
      <c r="BM11" s="559">
        <f>IF(Table2[[#This Row],[Vin]]&gt;Vout, Table2[[#This Row],[Total Sync Bu MOSFET Loss]]*ThetaJA_Q2, ThetaJA_Q3*Table2[[#This Row],[Total Sync Bo MOSFET Loss]])</f>
        <v>2.2887668266213126</v>
      </c>
      <c r="BN11" s="9"/>
      <c r="BO11" s="4">
        <f>Table2[[#This Row],[EFF, h]]*100</f>
        <v>59.81594128981358</v>
      </c>
      <c r="BP11" s="354">
        <f>Table2[[#This Row],[Total Inductor Loss]]</f>
        <v>0.26610062303457804</v>
      </c>
      <c r="BQ11" s="354">
        <f>Table2[[#This Row],[Total Control Bu MOSFET Loss]]+Table2[[#This Row],[Total Sync Bu MOSFET Loss]]+Table2[[#This Row],[Total Control Bo MOSFET Loss]]+Table2[[#This Row],[Total Sync Bo MOSFET Loss]]+Table2[[#This Row],[Reverse Recovery Loss MOSFET D BUCK]]+Table2[[#This Row],[Reverse Recovery Loss MOSFET D BOOST]]</f>
        <v>0.12678721301254425</v>
      </c>
      <c r="BR11" s="354">
        <f xml:space="preserve"> Table2[[#This Row],[Total Control Bu MOSFET Loss]]+Table2[[#This Row],[Reverse Recovery Loss MOSFET D BUCK]]*0.66</f>
        <v>7.7385953848884345E-2</v>
      </c>
      <c r="BS11" s="354">
        <f>Table2[[#This Row],[Total Sync Bu MOSFET Loss]]+Table2[[#This Row],[Reverse Recovery Loss MOSFET D BUCK]]*0.33</f>
        <v>3.9730033943421873E-2</v>
      </c>
      <c r="BT11" s="354">
        <f xml:space="preserve"> Table2[[#This Row],[Total Control Bo MOSFET Loss]]+Table2[[#This Row],[Reverse Recovery Loss MOSFET D BOOST]]*0.66</f>
        <v>5.5795751125190286E-3</v>
      </c>
      <c r="BU11" s="354">
        <f xml:space="preserve"> Table2[[#This Row],[Total Sync Bo MOSFET Loss]]+Table2[[#This Row],[Reverse Recovery Loss MOSFET D BOOST]]*0.33</f>
        <v>3.995654946119029E-3</v>
      </c>
      <c r="BV11" s="354">
        <f>Table2[[#This Row],[Isense Shunt Loss]]</f>
        <v>1.4347259736522163E-3</v>
      </c>
      <c r="BZ11" t="s">
        <v>136</v>
      </c>
      <c r="CA11" s="18">
        <v>90</v>
      </c>
      <c r="CB11" s="18">
        <v>90</v>
      </c>
      <c r="CC11" s="18">
        <v>90</v>
      </c>
      <c r="CD11" s="19">
        <f>250000*(12-Vdd)*CC11/1000000000+((250000*CC9/1000000000*Vdd)*2.5/(2*4))</f>
        <v>0.14226562500000001</v>
      </c>
      <c r="CE11">
        <f t="shared" si="2"/>
        <v>11.381250000000001</v>
      </c>
      <c r="CF11">
        <f t="shared" si="2"/>
        <v>14.2265625</v>
      </c>
      <c r="CG11">
        <f t="shared" si="2"/>
        <v>17.071875000000002</v>
      </c>
      <c r="CH11">
        <f t="shared" si="2"/>
        <v>19.917187500000001</v>
      </c>
      <c r="CI11">
        <f t="shared" si="2"/>
        <v>22.762500000000003</v>
      </c>
      <c r="CJ11">
        <f t="shared" si="2"/>
        <v>25.607812500000001</v>
      </c>
      <c r="CK11">
        <f t="shared" si="2"/>
        <v>2.8453125000000004</v>
      </c>
      <c r="CL11">
        <f t="shared" si="2"/>
        <v>4.2679687500000005</v>
      </c>
      <c r="CM11">
        <f t="shared" si="2"/>
        <v>5.6906250000000007</v>
      </c>
      <c r="CN11">
        <f t="shared" si="2"/>
        <v>7.11328125</v>
      </c>
    </row>
    <row r="12" spans="1:92" x14ac:dyDescent="0.2">
      <c r="A12" s="22" t="s">
        <v>5</v>
      </c>
      <c r="B12" s="5">
        <f>Vout</f>
        <v>14.6</v>
      </c>
      <c r="C12" s="440" t="s">
        <v>0</v>
      </c>
      <c r="D12" s="21" t="s">
        <v>5</v>
      </c>
      <c r="G12">
        <v>3</v>
      </c>
      <c r="H12" s="555">
        <f t="shared" si="0"/>
        <v>20</v>
      </c>
      <c r="I12" s="4" t="str">
        <f>IF(Mode = 2,IF(Table2[[#This Row],[Vin]]&gt;Vout, "BUCK","BOOST"),IF(Table2[[#This Row],[Vin]]&gt;VIN_BB_to_buck, "BUCK", IF(Table2[[#This Row],[Vin]]&lt;=VIN_boost_to_BB,"BOOST","BUCK-BST")))</f>
        <v>BUCK</v>
      </c>
      <c r="J12">
        <f>IF(Table2[[#This Row],[Mode]]="BOOST",2, IF(Table2[[#This Row],[Mode]]="BUCK", 1,3))</f>
        <v>1</v>
      </c>
      <c r="K12" s="354">
        <f t="shared" si="3"/>
        <v>0.36</v>
      </c>
      <c r="L12" s="4">
        <f>Vout*Table2[[#This Row],[Iout]]/(Table2[[#This Row],[Vin]]*Efficiency)</f>
        <v>0.2766315789473684</v>
      </c>
      <c r="M12" s="711">
        <f>MIN(1/Fsw,CHOOSE(Table2[[#This Row],[Mode Digit]],(Vout+(Rdson2+Rs+Rdcr)*Table2[[#This Row],[Iout]])/(Table2[[#This Row],[Vin]]+(Rs+Rdson2-Rdson1)*Table2[[#This Row],[Iout]])/Fsw,(Vout+(Rdson3+Rdcr)*Table2[[#This Row],[Iin]]-Table2[[#This Row],[Vin]])/(Vout+(Rdson3-Rdson4-Rs)*Table2[[#This Row],[Iin]])/Fsw,t1_Ph_II))</f>
        <v>1.2169869022560651E-6</v>
      </c>
      <c r="N12" s="602">
        <f>CHOOSE(Table2[[#This Row],[Mode Digit]],1/Fsw-Table2[[#This Row],[t1_Ph_II]],1/Fsw-Table2[[#This Row],[t1_Ph_II]],(Vout/Fsw-Table2[[#This Row],[Vin]]*t1_Ph_II)/(Table2[[#This Row],[Vin]]+Vout))</f>
        <v>4.4967976441060153E-7</v>
      </c>
      <c r="O12" s="602">
        <f>1/Fsw-(Table2[[#This Row],[t1_Ph_II]]+Table2[[#This Row],[t2_Ph_I]])</f>
        <v>0</v>
      </c>
      <c r="P12"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-0.88464569548915761</v>
      </c>
      <c r="Q12" s="4">
        <f>CHOOSE(Table2[[#This Row],[Mode Digit]],Table2[[#This Row],[I_0]]+1/Lf*(Table2[[#This Row],[Vin]]-Vout)*Table2[[#This Row],[t1_Ph_II]],Table2[[#This Row],[I_0]]+1/Lf*Table2[[#This Row],[Vin]]*Table2[[#This Row],[t1_Ph_II]],Table2[[#This Row],[I_0]]+(Table2[[#This Row],[Vin]]-Vout)/L*Table2[[#This Row],[t1_Ph_II]])</f>
        <v>1.6046456954891575</v>
      </c>
      <c r="R12" s="4">
        <f>CHOOSE(Table2[[#This Row],[Mode Digit]],0,0,Table2[[#This Row],[I_1]]+Table2[[#This Row],[Vin]]/L*Table2[[#This Row],[t2_Ph_I]])</f>
        <v>0</v>
      </c>
      <c r="S12" s="409">
        <f>Fsw*(Table2[[#This Row],[I_0]]*Table2[[#This Row],[t1_Ph_II]]+Table2[[#This Row],[I_1]]*Table2[[#This Row],[t2_Ph_I]]+Table2[[#This Row],[I_2]]*Table2[[#This Row],[t3_Ph_III]])</f>
        <v>-0.21301531574247723</v>
      </c>
      <c r="T12" s="354">
        <f>MIN(1,CHOOSE(Table2[[#This Row],[Mode Digit]],(Vout+(Rdson2+Rs+Rdcr)*Table2[[#This Row],[Iout]])/(Table2[[#This Row],[Vin]]+(Rs+Rdson2-Rdson1)*Table2[[#This Row],[Iout]]),1,Fsw*Table2[[#This Row],[t2_Ph_I]]+Table2[[#This Row],[t1_Ph_II]]))</f>
        <v>0.73019214135363908</v>
      </c>
      <c r="U12" s="354">
        <f>MIN(1,CHOOSE(Table2[[#This Row],[Mode Digit]],0,(Vout+(Rdson3+Rdcr)*Table2[[#This Row],[Iin]]-Table2[[#This Row],[Vin]])/(Vout+(Rdson3-Rdson4-Rs)*Table2[[#This Row],[Iin]]),Fsw*Table2[[#This Row],[t1_Ph_II]]+Table2[[#This Row],[t3_Ph_III]]))</f>
        <v>0</v>
      </c>
      <c r="V12" s="4">
        <f>MAX(Table2[[#This Row],[I_0]:[I_2]])-MIN(Table2[[#This Row],[I_0]:[I_1]])</f>
        <v>2.4892913909783152</v>
      </c>
      <c r="W12"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0.80372941286224953</v>
      </c>
      <c r="X12" s="354">
        <f>(Table2[[#This Row],[Irms Lf]]^2*Rdcr*(1+Ltc*Ta-Ltc*25))/(1-Table2[[#This Row],[Irms Lf]]^2*Rdcr*Ltc*ThetaCa)</f>
        <v>3.7478129721364643E-3</v>
      </c>
      <c r="Y12" s="354">
        <f>ABS(7.759*10^-3*Fsw^0.9458*(0.00787*Table2[[#This Row],[Ripple Current pk-pk]])^2.304)</f>
        <v>0.26282428173152478</v>
      </c>
      <c r="Z12" s="354">
        <f>Table2[[#This Row],[DCR    Loss]]+Table2[[#This Row],[Core Loss]]</f>
        <v>0.26657209470366122</v>
      </c>
      <c r="AA12" s="4">
        <f>IF(Table2[[#This Row],[Vin]]&gt;Vout, Table2[[#This Row],[Ripple Current pk-pk]]/SQRT(12), SQRT(Table2[[#This Row],[Duty Cycle BOOST Leg]]/(1-Table2[[#This Row],[Duty Cycle BOOST Leg]]))*SQRT(Table2[[#This Row],[Iout]]^2+(Table2[[#This Row],[Ripple Current pk-pk]]^2)/12))</f>
        <v>0.71859652733637414</v>
      </c>
      <c r="AB12" s="354">
        <f>RCoutEsr*Table2[[#This Row],[Irms Cout]]^2</f>
        <v>2.5819048454994815E-3</v>
      </c>
      <c r="AC12" s="354">
        <f>Table2[[#This Row],[Cout ESR Loss]]</f>
        <v>2.5819048454994815E-3</v>
      </c>
      <c r="AD12" s="4">
        <f>IF(Table2[[#This Row],[Vin]]&gt;Vout, SQRT(Table2[[#This Row],[Duty Cycle BUCK Leg]]*(1-Table2[[#This Row],[Duty Cycle BUCK Leg]]))*SQRT(Table2[[#This Row],[Iout]]^2+(Table2[[#This Row],[Ripple Current pk-pk]]^2)/12), Table2[[#This Row],[Ripple Current pk-pk]]/SQRT(12))</f>
        <v>0.35674322715150408</v>
      </c>
      <c r="AE12" s="354">
        <f>RCinEsr*Table2[[#This Row],[Irms Cin]]^2</f>
        <v>2.5453146023693928E-4</v>
      </c>
      <c r="AF12" s="549">
        <f>Table2[[#This Row],[Cin ESR Loss]]</f>
        <v>2.5453146023693928E-4</v>
      </c>
      <c r="AG12" s="354">
        <f>Table2[[#This Row],[Irms Lf]]</f>
        <v>0.80372941286224953</v>
      </c>
      <c r="AH12" s="354">
        <f>Rdson1*Table2[[#This Row],[Irms BuCtrl]]^2</f>
        <v>2.7131200702195648E-3</v>
      </c>
      <c r="AI12" s="354">
        <f>CHOOSE(Table2[[#This Row],[Mode Digit]], (Table2[[#This Row],[Vin]]*Table2[[#This Row],[Iout]]/2)*(Fsw)*(Tr_buck+Tf_buck), 0, (Table2[[#This Row],[Vin]]*Table2[[#This Row],[Avg IL]]/2)*(Fsw/1)*(Tr_buck+Tf_buck))</f>
        <v>7.1397841988280475E-2</v>
      </c>
      <c r="AJ12">
        <f>IF(Table2[[#This Row],[Vin]]&gt;Vout, IF(Table2[[#This Row],[Iout]]&gt;Table2[[#This Row],[Ripple Current pk-pk]]/2,0,ABS(Table2[[#This Row],[Iout]]-Table2[[#This Row],[Ripple Current pk-pk]]/2)*Vsd_Q1*Deadtime*Fsw),0)</f>
        <v>2.1282047874339162E-2</v>
      </c>
      <c r="AK12" s="354">
        <f>(Table2[[#This Row],[Dead Time Loss BuCtrl]]+Table2[[#This Row],[Transition Loss BuCtrl]]+Table2[[#This Row],[RDS(on) Loss BuCtrl]]*(1+RdsonTopTc*Ta-RdsonTopTc*25))/(1-Table2[[#This Row],[RDS(on) Loss BuCtrl]]*RdsonTopTc*ThetaJA_Q1)</f>
        <v>9.5455165450885018E-2</v>
      </c>
      <c r="AL12" s="354">
        <f>Table2[[#This Row],[Irms Lf]]</f>
        <v>0.80372941286224953</v>
      </c>
      <c r="AM12" s="354">
        <f>Rdson2*Table2[[#This Row],[Irms BuSync]]^2</f>
        <v>2.7131200702195648E-3</v>
      </c>
      <c r="AN12"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3.8603190731482016E-2</v>
      </c>
      <c r="AO12" s="354">
        <f>(Table2[[#This Row],[Deadtime Loss BuSync]]+Table2[[#This Row],[RDS(on) Loss BuSync]]*(1+RdsonBotTc*Ta-RdsonBotTc*25))/(1-Table2[[#This Row],[RDS(on) Loss BuSync]]*RdsonBotTc*ThetaJA_Q2)</f>
        <v>4.1343231397911198E-2</v>
      </c>
      <c r="AP12" s="354">
        <f>Table2[[#This Row],[Irms Lf]]</f>
        <v>0.80372941286224953</v>
      </c>
      <c r="AQ12" s="354">
        <f>Rdson4*Table2[[#This Row],[Irms BoCtlr]]^2</f>
        <v>2.7131200702195648E-3</v>
      </c>
      <c r="AR12" s="354">
        <f>CHOOSE(Table2[[#This Row],[Mode Digit]], 0, (Vout*Table2[[#This Row],[Iin]]/2)*(Fsw)*(Tr_boost+Tf_boost), (Vout*Iout/2)*(Fsw/1)*(Tr_boost+Tf_boost))</f>
        <v>0</v>
      </c>
      <c r="AS12" s="354">
        <f>IF(Table2[[#This Row],[Vin]]&gt;Vout, 0, IF(Table2[[#This Row],[Iin]]&gt;Table2[[#This Row],[Ripple Current pk-pk]]/2,0,ABS(Table2[[#This Row],[Iin]]-Table2[[#This Row],[Ripple Current pk-pk]]/2)*Vsd_Q4*Deadtime*Fsw))</f>
        <v>0</v>
      </c>
      <c r="AT12" s="354">
        <f>(Table2[[#This Row],[Dead Time Loss BoCtlr]]+Table2[[#This Row],[Transition Loss BoCtlr]]+Table2[[#This Row],[RDS(on) Loss BoCtlr]]*(1+RdsonTopTc*Ta-RdsonTopTc*25))/(1-Table2[[#This Row],[RDS(on) Loss BoCtlr]]*RdsonTopTc*ThetaJA_Q4)</f>
        <v>2.7148878662415559E-3</v>
      </c>
      <c r="AU12" s="354">
        <f>Table2[[#This Row],[Irms Lf]]</f>
        <v>0.80372941286224953</v>
      </c>
      <c r="AV12" s="354">
        <f>Rdson3*Table2[[#This Row],[Irms BoSync]]^2</f>
        <v>2.7131200702195648E-3</v>
      </c>
      <c r="AW12"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2" s="354">
        <f>(Table2[[#This Row],[Deadtime Loss BoSync]]+Table2[[#This Row],[RDS(on) Loss BoSync]]*(1+RdsonBotTc*Ta-RdsonBotTc*25))/(1-Table2[[#This Row],[RDS(on) Loss BoSync]]*RdsonBotTc*ThetaJA_Q3)</f>
        <v>2.7148878662415559E-3</v>
      </c>
      <c r="AY12" s="354">
        <f>CHOOSE(Table2[[#This Row],[Mode Digit]], Rdson3*Table2[[#This Row],[Irms Lf]]^2, Rdson1*Table2[[#This Row],[Irms Lf]]^2, 0)</f>
        <v>2.7131200702195648E-3</v>
      </c>
      <c r="AZ12" s="354">
        <f>CHOOSE(Table2[[#This Row],[Mode Digit]], 2*Deadtime*Fsw*IF(VfdSky_Q2&gt;0,VfdSky_Q2,0)*Table2[[#This Row],[Iout]], 2*Deadtime*Fsw*IF(VfdSky_Q3&gt;0,VfdSky_Q3,0)*Table2[[#This Row],[Iin]], 2*Deadtime*Fsw*IF(VfdSky_Q2&gt;0,VfdSky_Q2,0)*Table2[[#This Row],[Iout]]+2*Deadtime*Fsw*IF(VfdSky_Q3&gt;0,VfdSky_Q3,0)*Table2[[#This Row],[Iin]])</f>
        <v>0</v>
      </c>
      <c r="BA1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7.1994556799999995E-3</v>
      </c>
      <c r="BB1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7.1994556799999995E-3</v>
      </c>
      <c r="BC12" s="354">
        <f>CHOOSE(Table2[[#This Row],[Mode Digit]], Rs*Table2[[#This Row],[Irms BuSync]]^2, Rs*Table2[[#This Row],[Irms BoCtlr]]^2, Rs*(Table2[[#This Row],[Irms BuSync]]^2+Table2[[#This Row],[Irms BoCtlr]]^2))</f>
        <v>1.6149524227497408E-3</v>
      </c>
      <c r="BD12" s="354">
        <f t="shared" si="1"/>
        <v>1.44</v>
      </c>
      <c r="BE12" s="354">
        <f>IF(Vout&gt;8, Iq*Vout, Iq*Table2[[#This Row],[Vin]])</f>
        <v>4.3799999999999999E-2</v>
      </c>
      <c r="BF12" s="354">
        <f>CHOOSE(Table2[[#This Row],[Mode Digit]], (Qg_Q1+Qg_Q2)*Fsw, (Qg_Q3+Qg_Q4)*Fsw, (Qg_Q1+Qg_Q2+Qg_Q3+Qg_Q4)*Fsw)*IF(Vout&gt;8, Vout, Table2[[#This Row],[Vin]])</f>
        <v>0.47303999999999996</v>
      </c>
      <c r="BG12" s="354">
        <f t="shared" si="4"/>
        <v>0.45605042016806729</v>
      </c>
      <c r="BH12" s="354">
        <f>Table2[[#This Row],[IQ Loss]]+Table2[[#This Row],[Switching Current Loss]]</f>
        <v>0.51683999999999997</v>
      </c>
      <c r="BI12"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2.3844905673734269</v>
      </c>
      <c r="BJ12">
        <f>Vout*Table2[[#This Row],[Iout]]</f>
        <v>5.2559999999999993</v>
      </c>
      <c r="BK12" s="550">
        <f>Table2[[#This Row],[Pout]]/(Table2[[#This Row],[Pout]]+Table2[[#This Row],[Total Loss]])</f>
        <v>0.68791394396117367</v>
      </c>
      <c r="BL12" s="559">
        <f>IF(Table2[[#This Row],[Vin]]&gt;Vout,ThetaJA_Q1*(Table2[[#This Row],[Total Control Bu MOSFET Loss]]+Table2[[#This Row],[Reverse Recovery Loss MOSFET D BUCK]]),ThetaJA_Q4*(Table2[[#This Row],[Total Control Bo MOSFET Loss]]+Table2[[#This Row],[Reverse Recovery Loss MOSFET D BOOST]]))</f>
        <v>6.1592772678531009</v>
      </c>
      <c r="BM12" s="559">
        <f>IF(Table2[[#This Row],[Vin]]&gt;Vout, Table2[[#This Row],[Total Sync Bu MOSFET Loss]]*ThetaJA_Q2, ThetaJA_Q3*Table2[[#This Row],[Total Sync Bo MOSFET Loss]])</f>
        <v>2.4805938838746719</v>
      </c>
      <c r="BN12" s="9"/>
      <c r="BO12" s="4">
        <f>Table2[[#This Row],[EFF, h]]*100</f>
        <v>68.791394396117369</v>
      </c>
      <c r="BP12" s="354">
        <f>Table2[[#This Row],[Total Inductor Loss]]</f>
        <v>0.26657209470366122</v>
      </c>
      <c r="BQ12" s="354">
        <f>Table2[[#This Row],[Total Control Bu MOSFET Loss]]+Table2[[#This Row],[Total Sync Bu MOSFET Loss]]+Table2[[#This Row],[Total Control Bo MOSFET Loss]]+Table2[[#This Row],[Total Sync Bo MOSFET Loss]]+Table2[[#This Row],[Reverse Recovery Loss MOSFET D BUCK]]+Table2[[#This Row],[Reverse Recovery Loss MOSFET D BOOST]]</f>
        <v>0.1566270839412793</v>
      </c>
      <c r="BR12" s="354">
        <f xml:space="preserve"> Table2[[#This Row],[Total Control Bu MOSFET Loss]]+Table2[[#This Row],[Reverse Recovery Loss MOSFET D BUCK]]*0.66</f>
        <v>0.10020680619968501</v>
      </c>
      <c r="BS12" s="354">
        <f>Table2[[#This Row],[Total Sync Bu MOSFET Loss]]+Table2[[#This Row],[Reverse Recovery Loss MOSFET D BUCK]]*0.33</f>
        <v>4.3719051772311196E-2</v>
      </c>
      <c r="BT12" s="354">
        <f xml:space="preserve"> Table2[[#This Row],[Total Control Bo MOSFET Loss]]+Table2[[#This Row],[Reverse Recovery Loss MOSFET D BOOST]]*0.66</f>
        <v>7.4665286150415559E-3</v>
      </c>
      <c r="BU12" s="354">
        <f xml:space="preserve"> Table2[[#This Row],[Total Sync Bo MOSFET Loss]]+Table2[[#This Row],[Reverse Recovery Loss MOSFET D BOOST]]*0.33</f>
        <v>5.0907082406415564E-3</v>
      </c>
      <c r="BV12" s="354">
        <f>Table2[[#This Row],[Isense Shunt Loss]]</f>
        <v>1.6149524227497408E-3</v>
      </c>
      <c r="BZ12" t="s">
        <v>141</v>
      </c>
      <c r="CA12" s="18">
        <v>60</v>
      </c>
      <c r="CB12" s="18">
        <v>60</v>
      </c>
      <c r="CC12" s="18">
        <v>60</v>
      </c>
      <c r="CD12" s="19">
        <f>250000*(18-Vdd)*CC12/1000000000+((250000*CC9/1000000000*Vdd)*2.5/(2*4))</f>
        <v>0.198515625</v>
      </c>
      <c r="CE12">
        <f t="shared" si="2"/>
        <v>15.88125</v>
      </c>
      <c r="CF12">
        <f t="shared" si="2"/>
        <v>19.8515625</v>
      </c>
      <c r="CG12">
        <f t="shared" si="2"/>
        <v>23.821874999999999</v>
      </c>
      <c r="CH12">
        <f t="shared" si="2"/>
        <v>27.792187500000001</v>
      </c>
      <c r="CI12">
        <f t="shared" si="2"/>
        <v>31.762499999999999</v>
      </c>
      <c r="CJ12">
        <f t="shared" si="2"/>
        <v>35.732812500000001</v>
      </c>
      <c r="CK12">
        <f t="shared" si="2"/>
        <v>3.9703124999999999</v>
      </c>
      <c r="CL12">
        <f t="shared" si="2"/>
        <v>5.9554687499999996</v>
      </c>
      <c r="CM12">
        <f t="shared" si="2"/>
        <v>7.9406249999999998</v>
      </c>
      <c r="CN12">
        <f t="shared" si="2"/>
        <v>9.92578125</v>
      </c>
    </row>
    <row r="13" spans="1:92" x14ac:dyDescent="0.2">
      <c r="A13" s="22" t="s">
        <v>7</v>
      </c>
      <c r="B13" s="5">
        <f>Fsw/1000</f>
        <v>600</v>
      </c>
      <c r="C13" s="440" t="s">
        <v>3</v>
      </c>
      <c r="D13" s="21" t="s">
        <v>96</v>
      </c>
      <c r="G13">
        <v>4</v>
      </c>
      <c r="H13" s="555">
        <f t="shared" si="0"/>
        <v>20</v>
      </c>
      <c r="I13" s="4" t="str">
        <f>IF(Mode = 2,IF(Table2[[#This Row],[Vin]]&gt;Vout, "BUCK","BOOST"),IF(Table2[[#This Row],[Vin]]&gt;VIN_BB_to_buck, "BUCK", IF(Table2[[#This Row],[Vin]]&lt;=VIN_boost_to_BB,"BOOST","BUCK-BST")))</f>
        <v>BUCK</v>
      </c>
      <c r="J13">
        <f>IF(Table2[[#This Row],[Mode]]="BOOST",2, IF(Table2[[#This Row],[Mode]]="BUCK", 1,3))</f>
        <v>1</v>
      </c>
      <c r="K13" s="354">
        <f t="shared" si="3"/>
        <v>0.48</v>
      </c>
      <c r="L13" s="4">
        <f>Vout*Table2[[#This Row],[Iout]]/(Table2[[#This Row],[Vin]]*Efficiency)</f>
        <v>0.36884210526315792</v>
      </c>
      <c r="M13" s="711">
        <f>MIN(1/Fsw,CHOOSE(Table2[[#This Row],[Mode Digit]],(Vout+(Rdson2+Rs+Rdcr)*Table2[[#This Row],[Iout]])/(Table2[[#This Row],[Vin]]+(Rs+Rdson2-Rdson1)*Table2[[#This Row],[Iout]])/Fsw,(Vout+(Rdson3+Rdcr)*Table2[[#This Row],[Iin]]-Table2[[#This Row],[Vin]])/(Vout+(Rdson3-Rdson4-Rs)*Table2[[#This Row],[Iin]])/Fsw,t1_Ph_II))</f>
        <v>1.2170936410482039E-6</v>
      </c>
      <c r="N13" s="602">
        <f>CHOOSE(Table2[[#This Row],[Mode Digit]],1/Fsw-Table2[[#This Row],[t1_Ph_II]],1/Fsw-Table2[[#This Row],[t1_Ph_II]],(Vout/Fsw-Table2[[#This Row],[Vin]]*t1_Ph_II)/(Table2[[#This Row],[Vin]]+Vout))</f>
        <v>4.4957302561846278E-7</v>
      </c>
      <c r="O13" s="602">
        <f>1/Fsw-(Table2[[#This Row],[t1_Ph_II]]+Table2[[#This Row],[t2_Ph_I]])</f>
        <v>0</v>
      </c>
      <c r="P13"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-0.76475486016293592</v>
      </c>
      <c r="Q13" s="4">
        <f>CHOOSE(Table2[[#This Row],[Mode Digit]],Table2[[#This Row],[I_0]]+1/Lf*(Table2[[#This Row],[Vin]]-Vout)*Table2[[#This Row],[t1_Ph_II]],Table2[[#This Row],[I_0]]+1/Lf*Table2[[#This Row],[Vin]]*Table2[[#This Row],[t1_Ph_II]],Table2[[#This Row],[I_0]]+(Table2[[#This Row],[Vin]]-Vout)/L*Table2[[#This Row],[t1_Ph_II]])</f>
        <v>1.7247548601629359</v>
      </c>
      <c r="R13" s="4">
        <f>CHOOSE(Table2[[#This Row],[Mode Digit]],0,0,Table2[[#This Row],[I_1]]+Table2[[#This Row],[Vin]]/L*Table2[[#This Row],[t2_Ph_I]])</f>
        <v>0</v>
      </c>
      <c r="S13" s="409">
        <f>Fsw*(Table2[[#This Row],[I_0]]*Table2[[#This Row],[t1_Ph_II]]+Table2[[#This Row],[I_1]]*Table2[[#This Row],[t2_Ph_I]]+Table2[[#This Row],[I_2]]*Table2[[#This Row],[t3_Ph_III]])</f>
        <v>-9.3225009798850719E-2</v>
      </c>
      <c r="T13" s="354">
        <f>MIN(1,CHOOSE(Table2[[#This Row],[Mode Digit]],(Vout+(Rdson2+Rs+Rdcr)*Table2[[#This Row],[Iout]])/(Table2[[#This Row],[Vin]]+(Rs+Rdson2-Rdson1)*Table2[[#This Row],[Iout]]),1,Fsw*Table2[[#This Row],[t2_Ph_I]]+Table2[[#This Row],[t1_Ph_II]]))</f>
        <v>0.73025618462892228</v>
      </c>
      <c r="U13" s="354">
        <f>MIN(1,CHOOSE(Table2[[#This Row],[Mode Digit]],0,(Vout+(Rdson3+Rdcr)*Table2[[#This Row],[Iin]]-Table2[[#This Row],[Vin]])/(Vout+(Rdson3-Rdson4-Rs)*Table2[[#This Row],[Iin]]),Fsw*Table2[[#This Row],[t1_Ph_II]]+Table2[[#This Row],[t3_Ph_III]]))</f>
        <v>0</v>
      </c>
      <c r="V13" s="4">
        <f>MAX(Table2[[#This Row],[I_0]:[I_2]])-MIN(Table2[[#This Row],[I_0]:[I_1]])</f>
        <v>2.4895097203258718</v>
      </c>
      <c r="W13"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0.8642173071435314</v>
      </c>
      <c r="X13" s="354">
        <f>(Table2[[#This Row],[Irms Lf]]^2*Rdcr*(1+Ltc*Ta-Ltc*25))/(1-Table2[[#This Row],[Irms Lf]]^2*Rdcr*Ltc*ThetaCa)</f>
        <v>4.3333567308514315E-3</v>
      </c>
      <c r="Y13" s="354">
        <f>ABS(7.759*10^-3*Fsw^0.9458*(0.00787*Table2[[#This Row],[Ripple Current pk-pk]])^2.304)</f>
        <v>0.26287739575186025</v>
      </c>
      <c r="Z13" s="354">
        <f>Table2[[#This Row],[DCR    Loss]]+Table2[[#This Row],[Core Loss]]</f>
        <v>0.2672107524827117</v>
      </c>
      <c r="AA13" s="4">
        <f>IF(Table2[[#This Row],[Vin]]&gt;Vout, Table2[[#This Row],[Ripple Current pk-pk]]/SQRT(12), SQRT(Table2[[#This Row],[Duty Cycle BOOST Leg]]/(1-Table2[[#This Row],[Duty Cycle BOOST Leg]]))*SQRT(Table2[[#This Row],[Iout]]^2+(Table2[[#This Row],[Ripple Current pk-pk]]^2)/12))</f>
        <v>0.71865955359016609</v>
      </c>
      <c r="AB13" s="354">
        <f>RCoutEsr*Table2[[#This Row],[Irms Cout]]^2</f>
        <v>2.5823577698320839E-3</v>
      </c>
      <c r="AC13" s="354">
        <f>Table2[[#This Row],[Cout ESR Loss]]</f>
        <v>2.5823577698320839E-3</v>
      </c>
      <c r="AD13" s="4">
        <f>IF(Table2[[#This Row],[Vin]]&gt;Vout, SQRT(Table2[[#This Row],[Duty Cycle BUCK Leg]]*(1-Table2[[#This Row],[Duty Cycle BUCK Leg]]))*SQRT(Table2[[#This Row],[Iout]]^2+(Table2[[#This Row],[Ripple Current pk-pk]]^2)/12), Table2[[#This Row],[Ripple Current pk-pk]]/SQRT(12))</f>
        <v>0.38356266664484284</v>
      </c>
      <c r="AE13" s="354">
        <f>RCinEsr*Table2[[#This Row],[Irms Cin]]^2</f>
        <v>2.9424063848740566E-4</v>
      </c>
      <c r="AF13" s="549">
        <f>Table2[[#This Row],[Cin ESR Loss]]</f>
        <v>2.9424063848740566E-4</v>
      </c>
      <c r="AG13" s="354">
        <f>Table2[[#This Row],[Irms Lf]]</f>
        <v>0.8642173071435314</v>
      </c>
      <c r="AH13" s="354">
        <f>Rdson1*Table2[[#This Row],[Irms BuCtrl]]^2</f>
        <v>3.1368605266589517E-3</v>
      </c>
      <c r="AI13" s="354">
        <f>CHOOSE(Table2[[#This Row],[Mode Digit]], (Table2[[#This Row],[Vin]]*Table2[[#This Row],[Iout]]/2)*(Fsw)*(Tr_buck+Tf_buck), 0, (Table2[[#This Row],[Vin]]*Table2[[#This Row],[Avg IL]]/2)*(Fsw/1)*(Tr_buck+Tf_buck))</f>
        <v>9.5197122651040633E-2</v>
      </c>
      <c r="AJ13">
        <f>IF(Table2[[#This Row],[Vin]]&gt;Vout, IF(Table2[[#This Row],[Iout]]&gt;Table2[[#This Row],[Ripple Current pk-pk]]/2,0,ABS(Table2[[#This Row],[Iout]]-Table2[[#This Row],[Ripple Current pk-pk]]/2)*Vsd_Q1*Deadtime*Fsw),0)</f>
        <v>1.8397816921634058E-2</v>
      </c>
      <c r="AK13" s="354">
        <f>(Table2[[#This Row],[Dead Time Loss BuCtrl]]+Table2[[#This Row],[Transition Loss BuCtrl]]+Table2[[#This Row],[RDS(on) Loss BuCtrl]]*(1+RdsonTopTc*Ta-RdsonTopTc*25))/(1-Table2[[#This Row],[RDS(on) Loss BuCtrl]]*RdsonTopTc*ThetaJA_Q1)</f>
        <v>0.11681974744040888</v>
      </c>
      <c r="AL13" s="354">
        <f>Table2[[#This Row],[Irms Lf]]</f>
        <v>0.8642173071435314</v>
      </c>
      <c r="AM13" s="354">
        <f>Rdson2*Table2[[#This Row],[Irms BuSync]]^2</f>
        <v>3.1368605266589517E-3</v>
      </c>
      <c r="AN13"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4.1492674064491197E-2</v>
      </c>
      <c r="AO13" s="354">
        <f>(Table2[[#This Row],[Deadtime Loss BuSync]]+Table2[[#This Row],[RDS(on) Loss BuSync]]*(1+RdsonBotTc*Ta-RdsonBotTc*25))/(1-Table2[[#This Row],[RDS(on) Loss BuSync]]*RdsonBotTc*ThetaJA_Q2)</f>
        <v>4.4663159095333041E-2</v>
      </c>
      <c r="AP13" s="354">
        <f>Table2[[#This Row],[Irms Lf]]</f>
        <v>0.8642173071435314</v>
      </c>
      <c r="AQ13" s="354">
        <f>Rdson4*Table2[[#This Row],[Irms BoCtlr]]^2</f>
        <v>3.1368605266589517E-3</v>
      </c>
      <c r="AR13" s="354">
        <f>CHOOSE(Table2[[#This Row],[Mode Digit]], 0, (Vout*Table2[[#This Row],[Iin]]/2)*(Fsw)*(Tr_boost+Tf_boost), (Vout*Iout/2)*(Fsw/1)*(Tr_boost+Tf_boost))</f>
        <v>0</v>
      </c>
      <c r="AS13" s="354">
        <f>IF(Table2[[#This Row],[Vin]]&gt;Vout, 0, IF(Table2[[#This Row],[Iin]]&gt;Table2[[#This Row],[Ripple Current pk-pk]]/2,0,ABS(Table2[[#This Row],[Iin]]-Table2[[#This Row],[Ripple Current pk-pk]]/2)*Vsd_Q4*Deadtime*Fsw))</f>
        <v>0</v>
      </c>
      <c r="AT13" s="354">
        <f>(Table2[[#This Row],[Dead Time Loss BoCtlr]]+Table2[[#This Row],[Transition Loss BoCtlr]]+Table2[[#This Row],[RDS(on) Loss BoCtlr]]*(1+RdsonTopTc*Ta-RdsonTopTc*25))/(1-Table2[[#This Row],[RDS(on) Loss BoCtlr]]*RdsonTopTc*ThetaJA_Q4)</f>
        <v>3.1392238804529367E-3</v>
      </c>
      <c r="AU13" s="354">
        <f>Table2[[#This Row],[Irms Lf]]</f>
        <v>0.8642173071435314</v>
      </c>
      <c r="AV13" s="354">
        <f>Rdson3*Table2[[#This Row],[Irms BoSync]]^2</f>
        <v>3.1368605266589517E-3</v>
      </c>
      <c r="AW13"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3" s="354">
        <f>(Table2[[#This Row],[Deadtime Loss BoSync]]+Table2[[#This Row],[RDS(on) Loss BoSync]]*(1+RdsonBotTc*Ta-RdsonBotTc*25))/(1-Table2[[#This Row],[RDS(on) Loss BoSync]]*RdsonBotTc*ThetaJA_Q3)</f>
        <v>3.1392238804529367E-3</v>
      </c>
      <c r="AY13" s="354">
        <f>CHOOSE(Table2[[#This Row],[Mode Digit]], Rdson3*Table2[[#This Row],[Irms Lf]]^2, Rdson1*Table2[[#This Row],[Irms Lf]]^2, 0)</f>
        <v>3.1368605266589517E-3</v>
      </c>
      <c r="AZ13" s="354">
        <f>CHOOSE(Table2[[#This Row],[Mode Digit]], 2*Deadtime*Fsw*IF(VfdSky_Q2&gt;0,VfdSky_Q2,0)*Table2[[#This Row],[Iout]], 2*Deadtime*Fsw*IF(VfdSky_Q3&gt;0,VfdSky_Q3,0)*Table2[[#This Row],[Iin]], 2*Deadtime*Fsw*IF(VfdSky_Q2&gt;0,VfdSky_Q2,0)*Table2[[#This Row],[Iout]]+2*Deadtime*Fsw*IF(VfdSky_Q3&gt;0,VfdSky_Q3,0)*Table2[[#This Row],[Iin]])</f>
        <v>0</v>
      </c>
      <c r="BA1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9.5990323199999991E-3</v>
      </c>
      <c r="BB1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9.5990323199999991E-3</v>
      </c>
      <c r="BC13" s="354">
        <f>CHOOSE(Table2[[#This Row],[Mode Digit]], Rs*Table2[[#This Row],[Irms BuSync]]^2, Rs*Table2[[#This Row],[Irms BoCtlr]]^2, Rs*(Table2[[#This Row],[Irms BuSync]]^2+Table2[[#This Row],[Irms BoCtlr]]^2))</f>
        <v>1.8671788849160423E-3</v>
      </c>
      <c r="BD13" s="354">
        <f t="shared" si="1"/>
        <v>1.44</v>
      </c>
      <c r="BE13" s="354">
        <f>IF(Vout&gt;8, Iq*Vout, Iq*Table2[[#This Row],[Vin]])</f>
        <v>4.3799999999999999E-2</v>
      </c>
      <c r="BF13" s="354">
        <f>CHOOSE(Table2[[#This Row],[Mode Digit]], (Qg_Q1+Qg_Q2)*Fsw, (Qg_Q3+Qg_Q4)*Fsw, (Qg_Q1+Qg_Q2+Qg_Q3+Qg_Q4)*Fsw)*IF(Vout&gt;8, Vout, Table2[[#This Row],[Vin]])</f>
        <v>0.47303999999999996</v>
      </c>
      <c r="BG13" s="354">
        <f t="shared" si="4"/>
        <v>0.45605042016806729</v>
      </c>
      <c r="BH13" s="354">
        <f>Table2[[#This Row],[IQ Loss]]+Table2[[#This Row],[Switching Current Loss]]</f>
        <v>0.51683999999999997</v>
      </c>
      <c r="BI13"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2.4157539487125952</v>
      </c>
      <c r="BJ13">
        <f>Vout*Table2[[#This Row],[Iout]]</f>
        <v>7.008</v>
      </c>
      <c r="BK13" s="550">
        <f>Table2[[#This Row],[Pout]]/(Table2[[#This Row],[Pout]]+Table2[[#This Row],[Total Loss]])</f>
        <v>0.74365269277402801</v>
      </c>
      <c r="BL13" s="559">
        <f>IF(Table2[[#This Row],[Vin]]&gt;Vout,ThetaJA_Q1*(Table2[[#This Row],[Total Control Bu MOSFET Loss]]+Table2[[#This Row],[Reverse Recovery Loss MOSFET D BUCK]]),ThetaJA_Q4*(Table2[[#This Row],[Total Control Bo MOSFET Loss]]+Table2[[#This Row],[Reverse Recovery Loss MOSFET D BOOST]]))</f>
        <v>7.5851267856245332</v>
      </c>
      <c r="BM13" s="559">
        <f>IF(Table2[[#This Row],[Vin]]&gt;Vout, Table2[[#This Row],[Total Sync Bu MOSFET Loss]]*ThetaJA_Q2, ThetaJA_Q3*Table2[[#This Row],[Total Sync Bo MOSFET Loss]])</f>
        <v>2.6797895457199825</v>
      </c>
      <c r="BN13" s="9"/>
      <c r="BO13" s="4">
        <f>Table2[[#This Row],[EFF, h]]*100</f>
        <v>74.365269277402803</v>
      </c>
      <c r="BP13" s="354">
        <f>Table2[[#This Row],[Total Inductor Loss]]</f>
        <v>0.2672107524827117</v>
      </c>
      <c r="BQ13" s="354">
        <f>Table2[[#This Row],[Total Control Bu MOSFET Loss]]+Table2[[#This Row],[Total Sync Bu MOSFET Loss]]+Table2[[#This Row],[Total Control Bo MOSFET Loss]]+Table2[[#This Row],[Total Sync Bo MOSFET Loss]]+Table2[[#This Row],[Reverse Recovery Loss MOSFET D BUCK]]+Table2[[#This Row],[Reverse Recovery Loss MOSFET D BOOST]]</f>
        <v>0.1869594189366478</v>
      </c>
      <c r="BR13" s="354">
        <f xml:space="preserve"> Table2[[#This Row],[Total Control Bu MOSFET Loss]]+Table2[[#This Row],[Reverse Recovery Loss MOSFET D BUCK]]*0.66</f>
        <v>0.12315510877160887</v>
      </c>
      <c r="BS13" s="354">
        <f>Table2[[#This Row],[Total Sync Bu MOSFET Loss]]+Table2[[#This Row],[Reverse Recovery Loss MOSFET D BUCK]]*0.33</f>
        <v>4.7830839760933039E-2</v>
      </c>
      <c r="BT13" s="354">
        <f xml:space="preserve"> Table2[[#This Row],[Total Control Bo MOSFET Loss]]+Table2[[#This Row],[Reverse Recovery Loss MOSFET D BOOST]]*0.66</f>
        <v>9.4745852116529371E-3</v>
      </c>
      <c r="BU13" s="354">
        <f xml:space="preserve"> Table2[[#This Row],[Total Sync Bo MOSFET Loss]]+Table2[[#This Row],[Reverse Recovery Loss MOSFET D BOOST]]*0.33</f>
        <v>6.3069045460529367E-3</v>
      </c>
      <c r="BV13" s="354">
        <f>Table2[[#This Row],[Isense Shunt Loss]]</f>
        <v>1.8671788849160423E-3</v>
      </c>
      <c r="BZ13" t="s">
        <v>137</v>
      </c>
      <c r="CA13" s="18">
        <v>30</v>
      </c>
      <c r="CB13" s="18">
        <v>30</v>
      </c>
      <c r="CC13" s="18">
        <v>30</v>
      </c>
      <c r="CD13" s="19">
        <f>500000*(5-Vdd)*CC13/1000000000+((500000*CC9/1000000000*Vdd)*2.5/(2*4))</f>
        <v>4.4531250000000001E-2</v>
      </c>
      <c r="CE13">
        <f t="shared" si="2"/>
        <v>3.5625</v>
      </c>
      <c r="CF13">
        <f t="shared" si="2"/>
        <v>4.453125</v>
      </c>
      <c r="CG13">
        <f t="shared" si="2"/>
        <v>5.34375</v>
      </c>
      <c r="CH13">
        <f t="shared" si="2"/>
        <v>6.234375</v>
      </c>
      <c r="CI13">
        <f t="shared" si="2"/>
        <v>7.125</v>
      </c>
      <c r="CJ13">
        <f t="shared" si="2"/>
        <v>8.015625</v>
      </c>
      <c r="CK13">
        <f t="shared" si="2"/>
        <v>0.890625</v>
      </c>
      <c r="CL13">
        <f t="shared" si="2"/>
        <v>1.3359375</v>
      </c>
      <c r="CM13">
        <f t="shared" si="2"/>
        <v>1.78125</v>
      </c>
      <c r="CN13">
        <f t="shared" si="2"/>
        <v>2.2265625</v>
      </c>
    </row>
    <row r="14" spans="1:92" x14ac:dyDescent="0.2">
      <c r="A14" s="22" t="s">
        <v>6</v>
      </c>
      <c r="B14" s="5">
        <f>Iout</f>
        <v>12</v>
      </c>
      <c r="C14" s="440" t="s">
        <v>2</v>
      </c>
      <c r="D14" s="21" t="s">
        <v>97</v>
      </c>
      <c r="G14">
        <v>5</v>
      </c>
      <c r="H14" s="555">
        <f t="shared" si="0"/>
        <v>20</v>
      </c>
      <c r="I14" s="4" t="str">
        <f>IF(Mode = 2,IF(Table2[[#This Row],[Vin]]&gt;Vout, "BUCK","BOOST"),IF(Table2[[#This Row],[Vin]]&gt;VIN_BB_to_buck, "BUCK", IF(Table2[[#This Row],[Vin]]&lt;=VIN_boost_to_BB,"BOOST","BUCK-BST")))</f>
        <v>BUCK</v>
      </c>
      <c r="J14">
        <f>IF(Table2[[#This Row],[Mode]]="BOOST",2, IF(Table2[[#This Row],[Mode]]="BUCK", 1,3))</f>
        <v>1</v>
      </c>
      <c r="K14" s="354">
        <f t="shared" si="3"/>
        <v>0.6</v>
      </c>
      <c r="L14" s="4">
        <f>Vout*Table2[[#This Row],[Iout]]/(Table2[[#This Row],[Vin]]*Efficiency)</f>
        <v>0.46105263157894738</v>
      </c>
      <c r="M14" s="711">
        <f>MIN(1/Fsw,CHOOSE(Table2[[#This Row],[Mode Digit]],(Vout+(Rdson2+Rs+Rdcr)*Table2[[#This Row],[Iout]])/(Table2[[#This Row],[Vin]]+(Rs+Rdson2-Rdson1)*Table2[[#This Row],[Iout]])/Fsw,(Vout+(Rdson3+Rdcr)*Table2[[#This Row],[Iin]]-Table2[[#This Row],[Vin]])/(Vout+(Rdson3-Rdson4-Rs)*Table2[[#This Row],[Iin]])/Fsw,t1_Ph_II))</f>
        <v>1.2172003766384187E-6</v>
      </c>
      <c r="N14" s="602">
        <f>CHOOSE(Table2[[#This Row],[Mode Digit]],1/Fsw-Table2[[#This Row],[t1_Ph_II]],1/Fsw-Table2[[#This Row],[t1_Ph_II]],(Vout/Fsw-Table2[[#This Row],[Vin]]*t1_Ph_II)/(Table2[[#This Row],[Vin]]+Vout))</f>
        <v>4.4946629002824792E-7</v>
      </c>
      <c r="O14" s="602">
        <f>1/Fsw-(Table2[[#This Row],[t1_Ph_II]]+Table2[[#This Row],[t2_Ph_I]])</f>
        <v>0</v>
      </c>
      <c r="P14"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-0.64486402156201927</v>
      </c>
      <c r="Q14" s="4">
        <f>CHOOSE(Table2[[#This Row],[Mode Digit]],Table2[[#This Row],[I_0]]+1/Lf*(Table2[[#This Row],[Vin]]-Vout)*Table2[[#This Row],[t1_Ph_II]],Table2[[#This Row],[I_0]]+1/Lf*Table2[[#This Row],[Vin]]*Table2[[#This Row],[t1_Ph_II]],Table2[[#This Row],[I_0]]+(Table2[[#This Row],[Vin]]-Vout)/L*Table2[[#This Row],[t1_Ph_II]])</f>
        <v>1.8448640215620191</v>
      </c>
      <c r="R14" s="4">
        <f>CHOOSE(Table2[[#This Row],[Mode Digit]],0,0,Table2[[#This Row],[I_1]]+Table2[[#This Row],[Vin]]/L*Table2[[#This Row],[t2_Ph_I]])</f>
        <v>0</v>
      </c>
      <c r="S14" s="409">
        <f>Fsw*(Table2[[#This Row],[I_0]]*Table2[[#This Row],[t1_Ph_II]]+Table2[[#This Row],[I_1]]*Table2[[#This Row],[t2_Ph_I]]+Table2[[#This Row],[I_2]]*Table2[[#This Row],[t3_Ph_III]])</f>
        <v>2.6565274471331456E-2</v>
      </c>
      <c r="T14" s="354">
        <f>MIN(1,CHOOSE(Table2[[#This Row],[Mode Digit]],(Vout+(Rdson2+Rs+Rdcr)*Table2[[#This Row],[Iout]])/(Table2[[#This Row],[Vin]]+(Rs+Rdson2-Rdson1)*Table2[[#This Row],[Iout]]),1,Fsw*Table2[[#This Row],[t2_Ph_I]]+Table2[[#This Row],[t1_Ph_II]]))</f>
        <v>0.73032022598305124</v>
      </c>
      <c r="U14" s="354">
        <f>MIN(1,CHOOSE(Table2[[#This Row],[Mode Digit]],0,(Vout+(Rdson3+Rdcr)*Table2[[#This Row],[Iin]]-Table2[[#This Row],[Vin]])/(Vout+(Rdson3-Rdson4-Rs)*Table2[[#This Row],[Iin]]),Fsw*Table2[[#This Row],[t1_Ph_II]]+Table2[[#This Row],[t3_Ph_III]]))</f>
        <v>0</v>
      </c>
      <c r="V14" s="4">
        <f>MAX(Table2[[#This Row],[I_0]:[I_2]])-MIN(Table2[[#This Row],[I_0]:[I_1]])</f>
        <v>2.4897280431240385</v>
      </c>
      <c r="W14"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0.93624897546531649</v>
      </c>
      <c r="X14" s="354">
        <f>(Table2[[#This Row],[Irms Lf]]^2*Rdcr*(1+Ltc*Ta-Ltc*25))/(1-Table2[[#This Row],[Irms Lf]]^2*Rdcr*Ltc*ThetaCa)</f>
        <v>5.0861290905615097E-3</v>
      </c>
      <c r="Y14" s="354">
        <f>ABS(7.759*10^-3*Fsw^0.9458*(0.00787*Table2[[#This Row],[Ripple Current pk-pk]])^2.304)</f>
        <v>0.26293051425311209</v>
      </c>
      <c r="Z14" s="354">
        <f>Table2[[#This Row],[DCR    Loss]]+Table2[[#This Row],[Core Loss]]</f>
        <v>0.26801664334367359</v>
      </c>
      <c r="AA14" s="4">
        <f>IF(Table2[[#This Row],[Vin]]&gt;Vout, Table2[[#This Row],[Ripple Current pk-pk]]/SQRT(12), SQRT(Table2[[#This Row],[Duty Cycle BOOST Leg]]/(1-Table2[[#This Row],[Duty Cycle BOOST Leg]]))*SQRT(Table2[[#This Row],[Iout]]^2+(Table2[[#This Row],[Ripple Current pk-pk]]^2)/12))</f>
        <v>0.71872257795331196</v>
      </c>
      <c r="AB14" s="354">
        <f>RCoutEsr*Table2[[#This Row],[Irms Cout]]^2</f>
        <v>2.582810720299273E-3</v>
      </c>
      <c r="AC14" s="354">
        <f>Table2[[#This Row],[Cout ESR Loss]]</f>
        <v>2.582810720299273E-3</v>
      </c>
      <c r="AD14" s="4">
        <f>IF(Table2[[#This Row],[Vin]]&gt;Vout, SQRT(Table2[[#This Row],[Duty Cycle BUCK Leg]]*(1-Table2[[#This Row],[Duty Cycle BUCK Leg]]))*SQRT(Table2[[#This Row],[Iout]]^2+(Table2[[#This Row],[Ripple Current pk-pk]]^2)/12), Table2[[#This Row],[Ripple Current pk-pk]]/SQRT(12))</f>
        <v>0.41550112832487052</v>
      </c>
      <c r="AE14" s="354">
        <f>RCinEsr*Table2[[#This Row],[Irms Cin]]^2</f>
        <v>3.4528237527848107E-4</v>
      </c>
      <c r="AF14" s="549">
        <f>Table2[[#This Row],[Cin ESR Loss]]</f>
        <v>3.4528237527848107E-4</v>
      </c>
      <c r="AG14" s="354">
        <f>Table2[[#This Row],[Irms Lf]]</f>
        <v>0.93624897546531649</v>
      </c>
      <c r="AH14" s="354">
        <f>Rdson1*Table2[[#This Row],[Irms BuCtrl]]^2</f>
        <v>3.6815610050513906E-3</v>
      </c>
      <c r="AI14" s="354">
        <f>CHOOSE(Table2[[#This Row],[Mode Digit]], (Table2[[#This Row],[Vin]]*Table2[[#This Row],[Iout]]/2)*(Fsw)*(Tr_buck+Tf_buck), 0, (Table2[[#This Row],[Vin]]*Table2[[#This Row],[Avg IL]]/2)*(Fsw/1)*(Tr_buck+Tf_buck))</f>
        <v>0.11899640331380079</v>
      </c>
      <c r="AJ14">
        <f>IF(Table2[[#This Row],[Vin]]&gt;Vout, IF(Table2[[#This Row],[Iout]]&gt;Table2[[#This Row],[Ripple Current pk-pk]]/2,0,ABS(Table2[[#This Row],[Iout]]-Table2[[#This Row],[Ripple Current pk-pk]]/2)*Vsd_Q1*Deadtime*Fsw),0)</f>
        <v>1.5513585890149149E-2</v>
      </c>
      <c r="AK14" s="354">
        <f>(Table2[[#This Row],[Dead Time Loss BuCtrl]]+Table2[[#This Row],[Transition Loss BuCtrl]]+Table2[[#This Row],[RDS(on) Loss BuCtrl]]*(1+RdsonTopTc*Ta-RdsonTopTc*25))/(1-Table2[[#This Row],[RDS(on) Loss BuCtrl]]*RdsonTopTc*ThetaJA_Q1)</f>
        <v>0.13831376074052237</v>
      </c>
      <c r="AL14" s="354">
        <f>Table2[[#This Row],[Irms Lf]]</f>
        <v>0.93624897546531649</v>
      </c>
      <c r="AM14" s="354">
        <f>Rdson2*Table2[[#This Row],[Irms BuSync]]^2</f>
        <v>3.6815610050513906E-3</v>
      </c>
      <c r="AN14"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4.4382157318720576E-2</v>
      </c>
      <c r="AO14" s="354">
        <f>(Table2[[#This Row],[Deadtime Loss BuSync]]+Table2[[#This Row],[RDS(on) Loss BuSync]]*(1+RdsonBotTc*Ta-RdsonBotTc*25))/(1-Table2[[#This Row],[RDS(on) Loss BuSync]]*RdsonBotTc*ThetaJA_Q2)</f>
        <v>4.810622376317359E-2</v>
      </c>
      <c r="AP14" s="354">
        <f>Table2[[#This Row],[Irms Lf]]</f>
        <v>0.93624897546531649</v>
      </c>
      <c r="AQ14" s="354">
        <f>Rdson4*Table2[[#This Row],[Irms BoCtlr]]^2</f>
        <v>3.6815610050513906E-3</v>
      </c>
      <c r="AR14" s="354">
        <f>CHOOSE(Table2[[#This Row],[Mode Digit]], 0, (Vout*Table2[[#This Row],[Iin]]/2)*(Fsw)*(Tr_boost+Tf_boost), (Vout*Iout/2)*(Fsw/1)*(Tr_boost+Tf_boost))</f>
        <v>0</v>
      </c>
      <c r="AS14" s="354">
        <f>IF(Table2[[#This Row],[Vin]]&gt;Vout, 0, IF(Table2[[#This Row],[Iin]]&gt;Table2[[#This Row],[Ripple Current pk-pk]]/2,0,ABS(Table2[[#This Row],[Iin]]-Table2[[#This Row],[Ripple Current pk-pk]]/2)*Vsd_Q4*Deadtime*Fsw))</f>
        <v>0</v>
      </c>
      <c r="AT14" s="354">
        <f>(Table2[[#This Row],[Dead Time Loss BoCtlr]]+Table2[[#This Row],[Transition Loss BoCtlr]]+Table2[[#This Row],[RDS(on) Loss BoCtlr]]*(1+RdsonTopTc*Ta-RdsonTopTc*25))/(1-Table2[[#This Row],[RDS(on) Loss BoCtlr]]*RdsonTopTc*ThetaJA_Q4)</f>
        <v>3.6848168157472979E-3</v>
      </c>
      <c r="AU14" s="354">
        <f>Table2[[#This Row],[Irms Lf]]</f>
        <v>0.93624897546531649</v>
      </c>
      <c r="AV14" s="354">
        <f>Rdson3*Table2[[#This Row],[Irms BoSync]]^2</f>
        <v>3.6815610050513906E-3</v>
      </c>
      <c r="AW14"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4" s="354">
        <f>(Table2[[#This Row],[Deadtime Loss BoSync]]+Table2[[#This Row],[RDS(on) Loss BoSync]]*(1+RdsonBotTc*Ta-RdsonBotTc*25))/(1-Table2[[#This Row],[RDS(on) Loss BoSync]]*RdsonBotTc*ThetaJA_Q3)</f>
        <v>3.6848168157472979E-3</v>
      </c>
      <c r="AY14" s="354">
        <f>CHOOSE(Table2[[#This Row],[Mode Digit]], Rdson3*Table2[[#This Row],[Irms Lf]]^2, Rdson1*Table2[[#This Row],[Irms Lf]]^2, 0)</f>
        <v>3.6815610050513906E-3</v>
      </c>
      <c r="AZ14" s="354">
        <f>CHOOSE(Table2[[#This Row],[Mode Digit]], 2*Deadtime*Fsw*IF(VfdSky_Q2&gt;0,VfdSky_Q2,0)*Table2[[#This Row],[Iout]], 2*Deadtime*Fsw*IF(VfdSky_Q3&gt;0,VfdSky_Q3,0)*Table2[[#This Row],[Iin]], 2*Deadtime*Fsw*IF(VfdSky_Q2&gt;0,VfdSky_Q2,0)*Table2[[#This Row],[Iout]]+2*Deadtime*Fsw*IF(VfdSky_Q3&gt;0,VfdSky_Q3,0)*Table2[[#This Row],[Iin]])</f>
        <v>0</v>
      </c>
      <c r="BA1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1.1998488000000002E-2</v>
      </c>
      <c r="BB1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1.1998488000000002E-2</v>
      </c>
      <c r="BC14" s="354">
        <f>CHOOSE(Table2[[#This Row],[Mode Digit]], Rs*Table2[[#This Row],[Irms BuSync]]^2, Rs*Table2[[#This Row],[Irms BoCtlr]]^2, Rs*(Table2[[#This Row],[Irms BuSync]]^2+Table2[[#This Row],[Irms BoCtlr]]^2))</f>
        <v>2.1914053601496371E-3</v>
      </c>
      <c r="BD14" s="354">
        <f t="shared" si="1"/>
        <v>1.44</v>
      </c>
      <c r="BE14" s="354">
        <f>IF(Vout&gt;8, Iq*Vout, Iq*Table2[[#This Row],[Vin]])</f>
        <v>4.3799999999999999E-2</v>
      </c>
      <c r="BF14" s="354">
        <f>CHOOSE(Table2[[#This Row],[Mode Digit]], (Qg_Q1+Qg_Q2)*Fsw, (Qg_Q3+Qg_Q4)*Fsw, (Qg_Q1+Qg_Q2+Qg_Q3+Qg_Q4)*Fsw)*IF(Vout&gt;8, Vout, Table2[[#This Row],[Vin]])</f>
        <v>0.47303999999999996</v>
      </c>
      <c r="BG14" s="354">
        <f t="shared" si="4"/>
        <v>0.45605042016806729</v>
      </c>
      <c r="BH14" s="354">
        <f>Table2[[#This Row],[IQ Loss]]+Table2[[#This Row],[Switching Current Loss]]</f>
        <v>0.51683999999999997</v>
      </c>
      <c r="BI14"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2.4477627359345915</v>
      </c>
      <c r="BJ14">
        <f>Vout*Table2[[#This Row],[Iout]]</f>
        <v>8.76</v>
      </c>
      <c r="BK14" s="550">
        <f>Table2[[#This Row],[Pout]]/(Table2[[#This Row],[Pout]]+Table2[[#This Row],[Total Loss]])</f>
        <v>0.78160112828883177</v>
      </c>
      <c r="BL14" s="559">
        <f>IF(Table2[[#This Row],[Vin]]&gt;Vout,ThetaJA_Q1*(Table2[[#This Row],[Total Control Bu MOSFET Loss]]+Table2[[#This Row],[Reverse Recovery Loss MOSFET D BUCK]]),ThetaJA_Q4*(Table2[[#This Row],[Total Control Bo MOSFET Loss]]+Table2[[#This Row],[Reverse Recovery Loss MOSFET D BOOST]]))</f>
        <v>9.0187349244313424</v>
      </c>
      <c r="BM14" s="559">
        <f>IF(Table2[[#This Row],[Vin]]&gt;Vout, Table2[[#This Row],[Total Sync Bu MOSFET Loss]]*ThetaJA_Q2, ThetaJA_Q3*Table2[[#This Row],[Total Sync Bo MOSFET Loss]])</f>
        <v>2.8863734257904152</v>
      </c>
      <c r="BN14" s="9"/>
      <c r="BO14" s="4">
        <f>Table2[[#This Row],[EFF, h]]*100</f>
        <v>78.160112828883172</v>
      </c>
      <c r="BP14" s="354">
        <f>Table2[[#This Row],[Total Inductor Loss]]</f>
        <v>0.26801664334367359</v>
      </c>
      <c r="BQ14" s="354">
        <f>Table2[[#This Row],[Total Control Bu MOSFET Loss]]+Table2[[#This Row],[Total Sync Bu MOSFET Loss]]+Table2[[#This Row],[Total Control Bo MOSFET Loss]]+Table2[[#This Row],[Total Sync Bo MOSFET Loss]]+Table2[[#This Row],[Reverse Recovery Loss MOSFET D BUCK]]+Table2[[#This Row],[Reverse Recovery Loss MOSFET D BOOST]]</f>
        <v>0.21778659413519058</v>
      </c>
      <c r="BR14" s="354">
        <f xml:space="preserve"> Table2[[#This Row],[Total Control Bu MOSFET Loss]]+Table2[[#This Row],[Reverse Recovery Loss MOSFET D BUCK]]*0.66</f>
        <v>0.14623276282052239</v>
      </c>
      <c r="BS14" s="354">
        <f>Table2[[#This Row],[Total Sync Bu MOSFET Loss]]+Table2[[#This Row],[Reverse Recovery Loss MOSFET D BUCK]]*0.33</f>
        <v>5.2065724803173591E-2</v>
      </c>
      <c r="BT14" s="354">
        <f xml:space="preserve"> Table2[[#This Row],[Total Control Bo MOSFET Loss]]+Table2[[#This Row],[Reverse Recovery Loss MOSFET D BOOST]]*0.66</f>
        <v>1.1603818895747299E-2</v>
      </c>
      <c r="BU14" s="354">
        <f xml:space="preserve"> Table2[[#This Row],[Total Sync Bo MOSFET Loss]]+Table2[[#This Row],[Reverse Recovery Loss MOSFET D BOOST]]*0.33</f>
        <v>7.6443178557472988E-3</v>
      </c>
      <c r="BV14" s="354">
        <f>Table2[[#This Row],[Isense Shunt Loss]]</f>
        <v>2.1914053601496371E-3</v>
      </c>
      <c r="BZ14" t="s">
        <v>140</v>
      </c>
      <c r="CA14" s="18">
        <v>45</v>
      </c>
      <c r="CB14" s="18">
        <v>45</v>
      </c>
      <c r="CC14" s="18">
        <v>45</v>
      </c>
      <c r="CD14" s="19">
        <f>500000*(12-Vdd)*CC14/1000000000+((500000*CC9/1000000000*Vdd)*2.5/(2*4))</f>
        <v>0.18328125000000001</v>
      </c>
      <c r="CE14">
        <f t="shared" si="2"/>
        <v>14.662500000000001</v>
      </c>
      <c r="CF14">
        <f t="shared" si="2"/>
        <v>18.328125</v>
      </c>
      <c r="CG14">
        <f t="shared" si="2"/>
        <v>21.993750000000002</v>
      </c>
      <c r="CH14">
        <f t="shared" si="2"/>
        <v>25.659375000000001</v>
      </c>
      <c r="CI14">
        <f t="shared" si="2"/>
        <v>29.325000000000003</v>
      </c>
      <c r="CJ14">
        <f t="shared" si="2"/>
        <v>32.990625000000001</v>
      </c>
      <c r="CK14">
        <f t="shared" si="2"/>
        <v>3.6656250000000004</v>
      </c>
      <c r="CL14">
        <f t="shared" si="2"/>
        <v>5.4984375000000005</v>
      </c>
      <c r="CM14">
        <f t="shared" si="2"/>
        <v>7.3312500000000007</v>
      </c>
      <c r="CN14">
        <f t="shared" si="2"/>
        <v>9.1640625</v>
      </c>
    </row>
    <row r="15" spans="1:92" x14ac:dyDescent="0.2">
      <c r="A15" s="23" t="s">
        <v>87</v>
      </c>
      <c r="B15" s="5">
        <f>Ta</f>
        <v>25</v>
      </c>
      <c r="C15" s="440" t="s">
        <v>637</v>
      </c>
      <c r="D15" s="21" t="s">
        <v>98</v>
      </c>
      <c r="G15">
        <v>6</v>
      </c>
      <c r="H15" s="555">
        <f t="shared" si="0"/>
        <v>20</v>
      </c>
      <c r="I15" s="4" t="str">
        <f>IF(Mode = 2,IF(Table2[[#This Row],[Vin]]&gt;Vout, "BUCK","BOOST"),IF(Table2[[#This Row],[Vin]]&gt;VIN_BB_to_buck, "BUCK", IF(Table2[[#This Row],[Vin]]&lt;=VIN_boost_to_BB,"BOOST","BUCK-BST")))</f>
        <v>BUCK</v>
      </c>
      <c r="J15">
        <f>IF(Table2[[#This Row],[Mode]]="BOOST",2, IF(Table2[[#This Row],[Mode]]="BUCK", 1,3))</f>
        <v>1</v>
      </c>
      <c r="K15" s="354">
        <f t="shared" si="3"/>
        <v>0.72</v>
      </c>
      <c r="L15" s="4">
        <f>Vout*Table2[[#This Row],[Iout]]/(Table2[[#This Row],[Vin]]*Efficiency)</f>
        <v>0.55326315789473679</v>
      </c>
      <c r="M15" s="711">
        <f>MIN(1/Fsw,CHOOSE(Table2[[#This Row],[Mode Digit]],(Vout+(Rdson2+Rs+Rdcr)*Table2[[#This Row],[Iout]])/(Table2[[#This Row],[Vin]]+(Rs+Rdson2-Rdson1)*Table2[[#This Row],[Iout]])/Fsw,(Vout+(Rdson3+Rdcr)*Table2[[#This Row],[Iin]]-Table2[[#This Row],[Vin]])/(Vout+(Rdson3-Rdson4-Rs)*Table2[[#This Row],[Iin]])/Fsw,t1_Ph_II))</f>
        <v>1.2173071090268544E-6</v>
      </c>
      <c r="N15" s="602">
        <f>CHOOSE(Table2[[#This Row],[Mode Digit]],1/Fsw-Table2[[#This Row],[t1_Ph_II]],1/Fsw-Table2[[#This Row],[t1_Ph_II]],(Vout/Fsw-Table2[[#This Row],[Vin]]*t1_Ph_II)/(Table2[[#This Row],[Vin]]+Vout))</f>
        <v>4.493595576398123E-7</v>
      </c>
      <c r="O15" s="602">
        <f>1/Fsw-(Table2[[#This Row],[t1_Ph_II]]+Table2[[#This Row],[t2_Ph_I]])</f>
        <v>0</v>
      </c>
      <c r="P15"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-0.52497317968655577</v>
      </c>
      <c r="Q15" s="4">
        <f>CHOOSE(Table2[[#This Row],[Mode Digit]],Table2[[#This Row],[I_0]]+1/Lf*(Table2[[#This Row],[Vin]]-Vout)*Table2[[#This Row],[t1_Ph_II]],Table2[[#This Row],[I_0]]+1/Lf*Table2[[#This Row],[Vin]]*Table2[[#This Row],[t1_Ph_II]],Table2[[#This Row],[I_0]]+(Table2[[#This Row],[Vin]]-Vout)/L*Table2[[#This Row],[t1_Ph_II]])</f>
        <v>1.9649731796865557</v>
      </c>
      <c r="R15" s="4">
        <f>CHOOSE(Table2[[#This Row],[Mode Digit]],0,0,Table2[[#This Row],[I_1]]+Table2[[#This Row],[Vin]]/L*Table2[[#This Row],[t2_Ph_I]])</f>
        <v>0</v>
      </c>
      <c r="S15" s="409">
        <f>Fsw*(Table2[[#This Row],[I_0]]*Table2[[#This Row],[t1_Ph_II]]+Table2[[#This Row],[I_1]]*Table2[[#This Row],[t2_Ph_I]]+Table2[[#This Row],[I_2]]*Table2[[#This Row],[t3_Ph_III]])</f>
        <v>0.14635553707030174</v>
      </c>
      <c r="T15" s="354">
        <f>MIN(1,CHOOSE(Table2[[#This Row],[Mode Digit]],(Vout+(Rdson2+Rs+Rdcr)*Table2[[#This Row],[Iout]])/(Table2[[#This Row],[Vin]]+(Rs+Rdson2-Rdson1)*Table2[[#This Row],[Iout]]),1,Fsw*Table2[[#This Row],[t2_Ph_I]]+Table2[[#This Row],[t1_Ph_II]]))</f>
        <v>0.73038426541611257</v>
      </c>
      <c r="U15" s="354">
        <f>MIN(1,CHOOSE(Table2[[#This Row],[Mode Digit]],0,(Vout+(Rdson3+Rdcr)*Table2[[#This Row],[Iin]]-Table2[[#This Row],[Vin]])/(Vout+(Rdson3-Rdson4-Rs)*Table2[[#This Row],[Iin]]),Fsw*Table2[[#This Row],[t1_Ph_II]]+Table2[[#This Row],[t3_Ph_III]]))</f>
        <v>0</v>
      </c>
      <c r="V15" s="4">
        <f>MAX(Table2[[#This Row],[I_0]:[I_2]])-MIN(Table2[[#This Row],[I_0]:[I_1]])</f>
        <v>2.4899463593731115</v>
      </c>
      <c r="W15"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1.017375417129595</v>
      </c>
      <c r="X15" s="354">
        <f>(Table2[[#This Row],[Irms Lf]]^2*Rdcr*(1+Ltc*Ta-Ltc*25))/(1-Table2[[#This Row],[Irms Lf]]^2*Rdcr*Ltc*ThetaCa)</f>
        <v>6.0061904482805826E-3</v>
      </c>
      <c r="Y15" s="354">
        <f>ABS(7.759*10^-3*Fsw^0.9458*(0.00787*Table2[[#This Row],[Ripple Current pk-pk]])^2.304)</f>
        <v>0.26298363723496754</v>
      </c>
      <c r="Z15" s="354">
        <f>Table2[[#This Row],[DCR    Loss]]+Table2[[#This Row],[Core Loss]]</f>
        <v>0.26898982768324814</v>
      </c>
      <c r="AA15" s="4">
        <f>IF(Table2[[#This Row],[Vin]]&gt;Vout, Table2[[#This Row],[Ripple Current pk-pk]]/SQRT(12), SQRT(Table2[[#This Row],[Duty Cycle BOOST Leg]]/(1-Table2[[#This Row],[Duty Cycle BOOST Leg]]))*SQRT(Table2[[#This Row],[Iout]]^2+(Table2[[#This Row],[Ripple Current pk-pk]]^2)/12))</f>
        <v>0.71878560042589734</v>
      </c>
      <c r="AB15" s="354">
        <f>RCoutEsr*Table2[[#This Row],[Irms Cout]]^2</f>
        <v>2.5832636968980889E-3</v>
      </c>
      <c r="AC15" s="354">
        <f>Table2[[#This Row],[Cout ESR Loss]]</f>
        <v>2.5832636968980889E-3</v>
      </c>
      <c r="AD15" s="4">
        <f>IF(Table2[[#This Row],[Vin]]&gt;Vout, SQRT(Table2[[#This Row],[Duty Cycle BUCK Leg]]*(1-Table2[[#This Row],[Duty Cycle BUCK Leg]]))*SQRT(Table2[[#This Row],[Iout]]^2+(Table2[[#This Row],[Ripple Current pk-pk]]^2)/12), Table2[[#This Row],[Ripple Current pk-pk]]/SQRT(12))</f>
        <v>0.45147069008850843</v>
      </c>
      <c r="AE15" s="354">
        <f>RCinEsr*Table2[[#This Row],[Irms Cin]]^2</f>
        <v>4.0765156801798809E-4</v>
      </c>
      <c r="AF15" s="549">
        <f>Table2[[#This Row],[Cin ESR Loss]]</f>
        <v>4.0765156801798809E-4</v>
      </c>
      <c r="AG15" s="354">
        <f>Table2[[#This Row],[Irms Lf]]</f>
        <v>1.017375417129595</v>
      </c>
      <c r="AH15" s="354">
        <f>Rdson1*Table2[[#This Row],[Irms BuCtrl]]^2</f>
        <v>4.3472215053943939E-3</v>
      </c>
      <c r="AI15" s="354">
        <f>CHOOSE(Table2[[#This Row],[Mode Digit]], (Table2[[#This Row],[Vin]]*Table2[[#This Row],[Iout]]/2)*(Fsw)*(Tr_buck+Tf_buck), 0, (Table2[[#This Row],[Vin]]*Table2[[#This Row],[Avg IL]]/2)*(Fsw/1)*(Tr_buck+Tf_buck))</f>
        <v>0.14279568397656095</v>
      </c>
      <c r="AJ15">
        <f>IF(Table2[[#This Row],[Vin]]&gt;Vout, IF(Table2[[#This Row],[Iout]]&gt;Table2[[#This Row],[Ripple Current pk-pk]]/2,0,ABS(Table2[[#This Row],[Iout]]-Table2[[#This Row],[Ripple Current pk-pk]]/2)*Vsd_Q1*Deadtime*Fsw),0)</f>
        <v>1.2629354779887999E-2</v>
      </c>
      <c r="AK15" s="354">
        <f>(Table2[[#This Row],[Dead Time Loss BuCtrl]]+Table2[[#This Row],[Transition Loss BuCtrl]]+Table2[[#This Row],[RDS(on) Loss BuCtrl]]*(1+RdsonTopTc*Ta-RdsonTopTc*25))/(1-Table2[[#This Row],[RDS(on) Loss BuCtrl]]*RdsonTopTc*ThetaJA_Q1)</f>
        <v>0.15993913006002361</v>
      </c>
      <c r="AL15" s="354">
        <f>Table2[[#This Row],[Irms Lf]]</f>
        <v>1.017375417129595</v>
      </c>
      <c r="AM15" s="354">
        <f>Rdson2*Table2[[#This Row],[Irms BuSync]]^2</f>
        <v>4.3472215053943939E-3</v>
      </c>
      <c r="AN15"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4.7271640494173713E-2</v>
      </c>
      <c r="AO15" s="354">
        <f>(Table2[[#This Row],[Deadtime Loss BuSync]]+Table2[[#This Row],[RDS(on) Loss BuSync]]*(1+RdsonBotTc*Ta-RdsonBotTc*25))/(1-Table2[[#This Row],[RDS(on) Loss BuSync]]*RdsonBotTc*ThetaJA_Q2)</f>
        <v>5.1672773918132978E-2</v>
      </c>
      <c r="AP15" s="354">
        <f>Table2[[#This Row],[Irms Lf]]</f>
        <v>1.017375417129595</v>
      </c>
      <c r="AQ15" s="354">
        <f>Rdson4*Table2[[#This Row],[Irms BoCtlr]]^2</f>
        <v>4.3472215053943939E-3</v>
      </c>
      <c r="AR15" s="354">
        <f>CHOOSE(Table2[[#This Row],[Mode Digit]], 0, (Vout*Table2[[#This Row],[Iin]]/2)*(Fsw)*(Tr_boost+Tf_boost), (Vout*Iout/2)*(Fsw/1)*(Tr_boost+Tf_boost))</f>
        <v>0</v>
      </c>
      <c r="AS15" s="354">
        <f>IF(Table2[[#This Row],[Vin]]&gt;Vout, 0, IF(Table2[[#This Row],[Iin]]&gt;Table2[[#This Row],[Ripple Current pk-pk]]/2,0,ABS(Table2[[#This Row],[Iin]]-Table2[[#This Row],[Ripple Current pk-pk]]/2)*Vsd_Q4*Deadtime*Fsw))</f>
        <v>0</v>
      </c>
      <c r="AT15" s="354">
        <f>(Table2[[#This Row],[Dead Time Loss BoCtlr]]+Table2[[#This Row],[Transition Loss BoCtlr]]+Table2[[#This Row],[RDS(on) Loss BoCtlr]]*(1+RdsonTopTc*Ta-RdsonTopTc*25))/(1-Table2[[#This Row],[RDS(on) Loss BoCtlr]]*RdsonTopTc*ThetaJA_Q4)</f>
        <v>4.3517618428350804E-3</v>
      </c>
      <c r="AU15" s="354">
        <f>Table2[[#This Row],[Irms Lf]]</f>
        <v>1.017375417129595</v>
      </c>
      <c r="AV15" s="354">
        <f>Rdson3*Table2[[#This Row],[Irms BoSync]]^2</f>
        <v>4.3472215053943939E-3</v>
      </c>
      <c r="AW15"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5" s="354">
        <f>(Table2[[#This Row],[Deadtime Loss BoSync]]+Table2[[#This Row],[RDS(on) Loss BoSync]]*(1+RdsonBotTc*Ta-RdsonBotTc*25))/(1-Table2[[#This Row],[RDS(on) Loss BoSync]]*RdsonBotTc*ThetaJA_Q3)</f>
        <v>4.3517618428350804E-3</v>
      </c>
      <c r="AY15" s="354">
        <f>CHOOSE(Table2[[#This Row],[Mode Digit]], Rdson3*Table2[[#This Row],[Irms Lf]]^2, Rdson1*Table2[[#This Row],[Irms Lf]]^2, 0)</f>
        <v>4.3472215053943939E-3</v>
      </c>
      <c r="AZ15" s="354">
        <f>CHOOSE(Table2[[#This Row],[Mode Digit]], 2*Deadtime*Fsw*IF(VfdSky_Q2&gt;0,VfdSky_Q2,0)*Table2[[#This Row],[Iout]], 2*Deadtime*Fsw*IF(VfdSky_Q3&gt;0,VfdSky_Q3,0)*Table2[[#This Row],[Iin]], 2*Deadtime*Fsw*IF(VfdSky_Q2&gt;0,VfdSky_Q2,0)*Table2[[#This Row],[Iout]]+2*Deadtime*Fsw*IF(VfdSky_Q3&gt;0,VfdSky_Q3,0)*Table2[[#This Row],[Iin]])</f>
        <v>0</v>
      </c>
      <c r="BA1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1.4397822720000002E-2</v>
      </c>
      <c r="BB1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1.4397822720000002E-2</v>
      </c>
      <c r="BC15" s="354">
        <f>CHOOSE(Table2[[#This Row],[Mode Digit]], Rs*Table2[[#This Row],[Irms BuSync]]^2, Rs*Table2[[#This Row],[Irms BoCtlr]]^2, Rs*(Table2[[#This Row],[Irms BuSync]]^2+Table2[[#This Row],[Irms BoCtlr]]^2))</f>
        <v>2.5876318484490436E-3</v>
      </c>
      <c r="BD15" s="354">
        <f t="shared" si="1"/>
        <v>1.44</v>
      </c>
      <c r="BE15" s="354">
        <f>IF(Vout&gt;8, Iq*Vout, Iq*Table2[[#This Row],[Vin]])</f>
        <v>4.3799999999999999E-2</v>
      </c>
      <c r="BF15" s="354">
        <f>CHOOSE(Table2[[#This Row],[Mode Digit]], (Qg_Q1+Qg_Q2)*Fsw, (Qg_Q3+Qg_Q4)*Fsw, (Qg_Q1+Qg_Q2+Qg_Q3+Qg_Q4)*Fsw)*IF(Vout&gt;8, Vout, Table2[[#This Row],[Vin]])</f>
        <v>0.47303999999999996</v>
      </c>
      <c r="BG15" s="354">
        <f t="shared" si="4"/>
        <v>0.45605042016806729</v>
      </c>
      <c r="BH15" s="354">
        <f>Table2[[#This Row],[IQ Loss]]+Table2[[#This Row],[Switching Current Loss]]</f>
        <v>0.51683999999999997</v>
      </c>
      <c r="BI15"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2.4805194479004395</v>
      </c>
      <c r="BJ15">
        <f>Vout*Table2[[#This Row],[Iout]]</f>
        <v>10.511999999999999</v>
      </c>
      <c r="BK15" s="550">
        <f>Table2[[#This Row],[Pout]]/(Table2[[#This Row],[Pout]]+Table2[[#This Row],[Total Loss]])</f>
        <v>0.80908095170861682</v>
      </c>
      <c r="BL15" s="559">
        <f>IF(Table2[[#This Row],[Vin]]&gt;Vout,ThetaJA_Q1*(Table2[[#This Row],[Total Control Bu MOSFET Loss]]+Table2[[#This Row],[Reverse Recovery Loss MOSFET D BUCK]]),ThetaJA_Q4*(Table2[[#This Row],[Total Control Bo MOSFET Loss]]+Table2[[#This Row],[Reverse Recovery Loss MOSFET D BOOST]]))</f>
        <v>10.460217166801417</v>
      </c>
      <c r="BM15" s="559">
        <f>IF(Table2[[#This Row],[Vin]]&gt;Vout, Table2[[#This Row],[Total Sync Bu MOSFET Loss]]*ThetaJA_Q2, ThetaJA_Q3*Table2[[#This Row],[Total Sync Bo MOSFET Loss]])</f>
        <v>3.1003664350879787</v>
      </c>
      <c r="BN15" s="9"/>
      <c r="BO15" s="4">
        <f>Table2[[#This Row],[EFF, h]]*100</f>
        <v>80.908095170861685</v>
      </c>
      <c r="BP15" s="354">
        <f>Table2[[#This Row],[Total Inductor Loss]]</f>
        <v>0.26898982768324814</v>
      </c>
      <c r="BQ15" s="354">
        <f>Table2[[#This Row],[Total Control Bu MOSFET Loss]]+Table2[[#This Row],[Total Sync Bu MOSFET Loss]]+Table2[[#This Row],[Total Control Bo MOSFET Loss]]+Table2[[#This Row],[Total Sync Bo MOSFET Loss]]+Table2[[#This Row],[Reverse Recovery Loss MOSFET D BUCK]]+Table2[[#This Row],[Reverse Recovery Loss MOSFET D BOOST]]</f>
        <v>0.2491110731038268</v>
      </c>
      <c r="BR15" s="354">
        <f xml:space="preserve"> Table2[[#This Row],[Total Control Bu MOSFET Loss]]+Table2[[#This Row],[Reverse Recovery Loss MOSFET D BUCK]]*0.66</f>
        <v>0.16944169305522361</v>
      </c>
      <c r="BS15" s="354">
        <f>Table2[[#This Row],[Total Sync Bu MOSFET Loss]]+Table2[[#This Row],[Reverse Recovery Loss MOSFET D BUCK]]*0.33</f>
        <v>5.6424055415732977E-2</v>
      </c>
      <c r="BT15" s="354">
        <f xml:space="preserve"> Table2[[#This Row],[Total Control Bo MOSFET Loss]]+Table2[[#This Row],[Reverse Recovery Loss MOSFET D BOOST]]*0.66</f>
        <v>1.3854324838035082E-2</v>
      </c>
      <c r="BU15" s="354">
        <f xml:space="preserve"> Table2[[#This Row],[Total Sync Bo MOSFET Loss]]+Table2[[#This Row],[Reverse Recovery Loss MOSFET D BOOST]]*0.33</f>
        <v>9.1030433404350811E-3</v>
      </c>
      <c r="BV15" s="354">
        <f>Table2[[#This Row],[Isense Shunt Loss]]</f>
        <v>2.5876318484490436E-3</v>
      </c>
      <c r="BZ15" t="s">
        <v>138</v>
      </c>
      <c r="CA15" s="18">
        <v>20</v>
      </c>
      <c r="CB15" s="18">
        <v>20</v>
      </c>
      <c r="CC15" s="18">
        <v>20</v>
      </c>
      <c r="CD15" s="19">
        <f>1000000*(5-Vdd)*CC15/1000000000+((1000000*CC9/1000000000*Vdd)*2.5/(2*4))</f>
        <v>0.1140625</v>
      </c>
      <c r="CE15">
        <f t="shared" si="2"/>
        <v>9.125</v>
      </c>
      <c r="CF15">
        <f t="shared" si="2"/>
        <v>11.40625</v>
      </c>
      <c r="CG15">
        <f t="shared" si="2"/>
        <v>13.6875</v>
      </c>
      <c r="CH15">
        <f t="shared" si="2"/>
        <v>15.96875</v>
      </c>
      <c r="CI15">
        <f t="shared" si="2"/>
        <v>18.25</v>
      </c>
      <c r="CJ15">
        <f t="shared" si="2"/>
        <v>20.53125</v>
      </c>
      <c r="CK15">
        <f t="shared" si="2"/>
        <v>2.28125</v>
      </c>
      <c r="CL15">
        <f t="shared" si="2"/>
        <v>3.421875</v>
      </c>
      <c r="CM15">
        <f t="shared" si="2"/>
        <v>4.5625</v>
      </c>
      <c r="CN15">
        <f t="shared" si="2"/>
        <v>5.703125</v>
      </c>
    </row>
    <row r="16" spans="1:92" x14ac:dyDescent="0.2">
      <c r="A16" s="448" t="s">
        <v>648</v>
      </c>
      <c r="B16" s="5">
        <f>Vdd</f>
        <v>7.5</v>
      </c>
      <c r="C16" s="440" t="s">
        <v>0</v>
      </c>
      <c r="D16" s="440" t="s">
        <v>647</v>
      </c>
      <c r="G16">
        <v>7</v>
      </c>
      <c r="H16" s="555">
        <f t="shared" si="0"/>
        <v>20</v>
      </c>
      <c r="I16" s="4" t="str">
        <f>IF(Mode = 2,IF(Table2[[#This Row],[Vin]]&gt;Vout, "BUCK","BOOST"),IF(Table2[[#This Row],[Vin]]&gt;VIN_BB_to_buck, "BUCK", IF(Table2[[#This Row],[Vin]]&lt;=VIN_boost_to_BB,"BOOST","BUCK-BST")))</f>
        <v>BUCK</v>
      </c>
      <c r="J16">
        <f>IF(Table2[[#This Row],[Mode]]="BOOST",2, IF(Table2[[#This Row],[Mode]]="BUCK", 1,3))</f>
        <v>1</v>
      </c>
      <c r="K16" s="354">
        <f t="shared" si="3"/>
        <v>0.84</v>
      </c>
      <c r="L16" s="4">
        <f>Vout*Table2[[#This Row],[Iout]]/(Table2[[#This Row],[Vin]]*Efficiency)</f>
        <v>0.64547368421052631</v>
      </c>
      <c r="M16" s="711">
        <f>MIN(1/Fsw,CHOOSE(Table2[[#This Row],[Mode Digit]],(Vout+(Rdson2+Rs+Rdcr)*Table2[[#This Row],[Iout]])/(Table2[[#This Row],[Vin]]+(Rs+Rdson2-Rdson1)*Table2[[#This Row],[Iout]])/Fsw,(Vout+(Rdson3+Rdcr)*Table2[[#This Row],[Iin]]-Table2[[#This Row],[Vin]])/(Vout+(Rdson3-Rdson4-Rs)*Table2[[#This Row],[Iin]])/Fsw,t1_Ph_II))</f>
        <v>1.2174138382136543E-6</v>
      </c>
      <c r="N16" s="602">
        <f>CHOOSE(Table2[[#This Row],[Mode Digit]],1/Fsw-Table2[[#This Row],[t1_Ph_II]],1/Fsw-Table2[[#This Row],[t1_Ph_II]],(Vout/Fsw-Table2[[#This Row],[Vin]]*t1_Ph_II)/(Table2[[#This Row],[Vin]]+Vout))</f>
        <v>4.4925282845301235E-7</v>
      </c>
      <c r="O16" s="602">
        <f>1/Fsw-(Table2[[#This Row],[t1_Ph_II]]+Table2[[#This Row],[t2_Ph_I]])</f>
        <v>0</v>
      </c>
      <c r="P16"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-0.40508233453669196</v>
      </c>
      <c r="Q16" s="4">
        <f>CHOOSE(Table2[[#This Row],[Mode Digit]],Table2[[#This Row],[I_0]]+1/Lf*(Table2[[#This Row],[Vin]]-Vout)*Table2[[#This Row],[t1_Ph_II]],Table2[[#This Row],[I_0]]+1/Lf*Table2[[#This Row],[Vin]]*Table2[[#This Row],[t1_Ph_II]],Table2[[#This Row],[I_0]]+(Table2[[#This Row],[Vin]]-Vout)/L*Table2[[#This Row],[t1_Ph_II]])</f>
        <v>2.085082334536692</v>
      </c>
      <c r="R16" s="4">
        <f>CHOOSE(Table2[[#This Row],[Mode Digit]],0,0,Table2[[#This Row],[I_1]]+Table2[[#This Row],[Vin]]/L*Table2[[#This Row],[t2_Ph_I]])</f>
        <v>0</v>
      </c>
      <c r="S16" s="409">
        <f>Fsw*(Table2[[#This Row],[I_0]]*Table2[[#This Row],[t1_Ph_II]]+Table2[[#This Row],[I_1]]*Table2[[#This Row],[t2_Ph_I]]+Table2[[#This Row],[I_2]]*Table2[[#This Row],[t3_Ph_III]])</f>
        <v>0.26614577800029438</v>
      </c>
      <c r="T16" s="354">
        <f>MIN(1,CHOOSE(Table2[[#This Row],[Mode Digit]],(Vout+(Rdson2+Rs+Rdcr)*Table2[[#This Row],[Iout]])/(Table2[[#This Row],[Vin]]+(Rs+Rdson2-Rdson1)*Table2[[#This Row],[Iout]]),1,Fsw*Table2[[#This Row],[t2_Ph_I]]+Table2[[#This Row],[t1_Ph_II]]))</f>
        <v>0.73044830292819263</v>
      </c>
      <c r="U16" s="354">
        <f>MIN(1,CHOOSE(Table2[[#This Row],[Mode Digit]],0,(Vout+(Rdson3+Rdcr)*Table2[[#This Row],[Iin]]-Table2[[#This Row],[Vin]])/(Vout+(Rdson3-Rdson4-Rs)*Table2[[#This Row],[Iin]]),Fsw*Table2[[#This Row],[t1_Ph_II]]+Table2[[#This Row],[t3_Ph_III]]))</f>
        <v>0</v>
      </c>
      <c r="V16" s="4">
        <f>MAX(Table2[[#This Row],[I_0]:[I_2]])-MIN(Table2[[#This Row],[I_0]:[I_1]])</f>
        <v>2.4901646690733839</v>
      </c>
      <c r="W16"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1.1055963729703138</v>
      </c>
      <c r="X16" s="354">
        <f>(Table2[[#This Row],[Irms Lf]]^2*Rdcr*(1+Ltc*Ta-Ltc*25))/(1-Table2[[#This Row],[Irms Lf]]^2*Rdcr*Ltc*ThetaCa)</f>
        <v>7.0936146378960596E-3</v>
      </c>
      <c r="Y16" s="354">
        <f>ABS(7.759*10^-3*Fsw^0.9458*(0.00787*Table2[[#This Row],[Ripple Current pk-pk]])^2.304)</f>
        <v>0.26303676469711323</v>
      </c>
      <c r="Z16" s="354">
        <f>Table2[[#This Row],[DCR    Loss]]+Table2[[#This Row],[Core Loss]]</f>
        <v>0.27013037933500927</v>
      </c>
      <c r="AA16" s="4">
        <f>IF(Table2[[#This Row],[Vin]]&gt;Vout, Table2[[#This Row],[Ripple Current pk-pk]]/SQRT(12), SQRT(Table2[[#This Row],[Duty Cycle BOOST Leg]]/(1-Table2[[#This Row],[Duty Cycle BOOST Leg]]))*SQRT(Table2[[#This Row],[Iout]]^2+(Table2[[#This Row],[Ripple Current pk-pk]]^2)/12))</f>
        <v>0.71884862100800684</v>
      </c>
      <c r="AB16" s="354">
        <f>RCoutEsr*Table2[[#This Row],[Irms Cout]]^2</f>
        <v>2.5837166996255652E-3</v>
      </c>
      <c r="AC16" s="354">
        <f>Table2[[#This Row],[Cout ESR Loss]]</f>
        <v>2.5837166996255652E-3</v>
      </c>
      <c r="AD16" s="4">
        <f>IF(Table2[[#This Row],[Vin]]&gt;Vout, SQRT(Table2[[#This Row],[Duty Cycle BUCK Leg]]*(1-Table2[[#This Row],[Duty Cycle BUCK Leg]]))*SQRT(Table2[[#This Row],[Iout]]^2+(Table2[[#This Row],[Ripple Current pk-pk]]^2)/12), Table2[[#This Row],[Ripple Current pk-pk]]/SQRT(12))</f>
        <v>0.49058287352171831</v>
      </c>
      <c r="AE16" s="354">
        <f>RCinEsr*Table2[[#This Row],[Irms Cin]]^2</f>
        <v>4.8134311158565252E-4</v>
      </c>
      <c r="AF16" s="549">
        <f>Table2[[#This Row],[Cin ESR Loss]]</f>
        <v>4.8134311158565252E-4</v>
      </c>
      <c r="AG16" s="354">
        <f>Table2[[#This Row],[Irms Lf]]</f>
        <v>1.1055963729703138</v>
      </c>
      <c r="AH16" s="354">
        <f>Rdson1*Table2[[#This Row],[Irms BuCtrl]]^2</f>
        <v>5.1338420276854759E-3</v>
      </c>
      <c r="AI16" s="354">
        <f>CHOOSE(Table2[[#This Row],[Mode Digit]], (Table2[[#This Row],[Vin]]*Table2[[#This Row],[Iout]]/2)*(Fsw)*(Tr_buck+Tf_buck), 0, (Table2[[#This Row],[Vin]]*Table2[[#This Row],[Avg IL]]/2)*(Fsw/1)*(Tr_buck+Tf_buck))</f>
        <v>0.16659496463932111</v>
      </c>
      <c r="AJ16">
        <f>IF(Table2[[#This Row],[Vin]]&gt;Vout, IF(Table2[[#This Row],[Iout]]&gt;Table2[[#This Row],[Ripple Current pk-pk]]/2,0,ABS(Table2[[#This Row],[Iout]]-Table2[[#This Row],[Ripple Current pk-pk]]/2)*Vsd_Q1*Deadtime*Fsw),0)</f>
        <v>9.7451235908541309E-3</v>
      </c>
      <c r="AK16" s="354">
        <f>(Table2[[#This Row],[Dead Time Loss BuCtrl]]+Table2[[#This Row],[Transition Loss BuCtrl]]+Table2[[#This Row],[RDS(on) Loss BuCtrl]]*(1+RdsonTopTc*Ta-RdsonTopTc*25))/(1-Table2[[#This Row],[RDS(on) Loss BuCtrl]]*RdsonTopTc*ThetaJA_Q1)</f>
        <v>0.18169780413543077</v>
      </c>
      <c r="AL16" s="354">
        <f>Table2[[#This Row],[Irms Lf]]</f>
        <v>1.1055963729703138</v>
      </c>
      <c r="AM16" s="354">
        <f>Rdson2*Table2[[#This Row],[Irms BuSync]]^2</f>
        <v>5.1338420276854759E-3</v>
      </c>
      <c r="AN16"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5.0161123590854131E-2</v>
      </c>
      <c r="AO16" s="354">
        <f>(Table2[[#This Row],[Deadtime Loss BuSync]]+Table2[[#This Row],[RDS(on) Loss BuSync]]*(1+RdsonBotTc*Ta-RdsonBotTc*25))/(1-Table2[[#This Row],[RDS(on) Loss BuSync]]*RdsonBotTc*ThetaJA_Q2)</f>
        <v>5.5363179815176758E-2</v>
      </c>
      <c r="AP16" s="354">
        <f>Table2[[#This Row],[Irms Lf]]</f>
        <v>1.1055963729703138</v>
      </c>
      <c r="AQ16" s="354">
        <f>Rdson4*Table2[[#This Row],[Irms BoCtlr]]^2</f>
        <v>5.1338420276854759E-3</v>
      </c>
      <c r="AR16" s="354">
        <f>CHOOSE(Table2[[#This Row],[Mode Digit]], 0, (Vout*Table2[[#This Row],[Iin]]/2)*(Fsw)*(Tr_boost+Tf_boost), (Vout*Iout/2)*(Fsw/1)*(Tr_boost+Tf_boost))</f>
        <v>0</v>
      </c>
      <c r="AS16" s="354">
        <f>IF(Table2[[#This Row],[Vin]]&gt;Vout, 0, IF(Table2[[#This Row],[Iin]]&gt;Table2[[#This Row],[Ripple Current pk-pk]]/2,0,ABS(Table2[[#This Row],[Iin]]-Table2[[#This Row],[Ripple Current pk-pk]]/2)*Vsd_Q4*Deadtime*Fsw))</f>
        <v>0</v>
      </c>
      <c r="AT16" s="354">
        <f>(Table2[[#This Row],[Dead Time Loss BoCtlr]]+Table2[[#This Row],[Transition Loss BoCtlr]]+Table2[[#This Row],[RDS(on) Loss BoCtlr]]*(1+RdsonTopTc*Ta-RdsonTopTc*25))/(1-Table2[[#This Row],[RDS(on) Loss BoCtlr]]*RdsonTopTc*ThetaJA_Q4)</f>
        <v>5.1401753512649948E-3</v>
      </c>
      <c r="AU16" s="354">
        <f>Table2[[#This Row],[Irms Lf]]</f>
        <v>1.1055963729703138</v>
      </c>
      <c r="AV16" s="354">
        <f>Rdson3*Table2[[#This Row],[Irms BoSync]]^2</f>
        <v>5.1338420276854759E-3</v>
      </c>
      <c r="AW16"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6" s="354">
        <f>(Table2[[#This Row],[Deadtime Loss BoSync]]+Table2[[#This Row],[RDS(on) Loss BoSync]]*(1+RdsonBotTc*Ta-RdsonBotTc*25))/(1-Table2[[#This Row],[RDS(on) Loss BoSync]]*RdsonBotTc*ThetaJA_Q3)</f>
        <v>5.1401753512649948E-3</v>
      </c>
      <c r="AY16" s="354">
        <f>CHOOSE(Table2[[#This Row],[Mode Digit]], Rdson3*Table2[[#This Row],[Irms Lf]]^2, Rdson1*Table2[[#This Row],[Irms Lf]]^2, 0)</f>
        <v>5.1338420276854759E-3</v>
      </c>
      <c r="AZ16" s="354">
        <f>CHOOSE(Table2[[#This Row],[Mode Digit]], 2*Deadtime*Fsw*IF(VfdSky_Q2&gt;0,VfdSky_Q2,0)*Table2[[#This Row],[Iout]], 2*Deadtime*Fsw*IF(VfdSky_Q3&gt;0,VfdSky_Q3,0)*Table2[[#This Row],[Iin]], 2*Deadtime*Fsw*IF(VfdSky_Q2&gt;0,VfdSky_Q2,0)*Table2[[#This Row],[Iout]]+2*Deadtime*Fsw*IF(VfdSky_Q3&gt;0,VfdSky_Q3,0)*Table2[[#This Row],[Iin]])</f>
        <v>0</v>
      </c>
      <c r="BA1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1.6797036479999999E-2</v>
      </c>
      <c r="BB1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1.6797036479999999E-2</v>
      </c>
      <c r="BC16" s="354">
        <f>CHOOSE(Table2[[#This Row],[Mode Digit]], Rs*Table2[[#This Row],[Irms BuSync]]^2, Rs*Table2[[#This Row],[Irms BoCtlr]]^2, Rs*(Table2[[#This Row],[Irms BuSync]]^2+Table2[[#This Row],[Irms BoCtlr]]^2))</f>
        <v>3.0558583498127827E-3</v>
      </c>
      <c r="BD16" s="354">
        <f t="shared" si="1"/>
        <v>1.44</v>
      </c>
      <c r="BE16" s="354">
        <f>IF(Vout&gt;8, Iq*Vout, Iq*Table2[[#This Row],[Vin]])</f>
        <v>4.3799999999999999E-2</v>
      </c>
      <c r="BF16" s="354">
        <f>CHOOSE(Table2[[#This Row],[Mode Digit]], (Qg_Q1+Qg_Q2)*Fsw, (Qg_Q3+Qg_Q4)*Fsw, (Qg_Q1+Qg_Q2+Qg_Q3+Qg_Q4)*Fsw)*IF(Vout&gt;8, Vout, Table2[[#This Row],[Vin]])</f>
        <v>0.47303999999999996</v>
      </c>
      <c r="BG16" s="354">
        <f t="shared" si="4"/>
        <v>0.45605042016806729</v>
      </c>
      <c r="BH16" s="354">
        <f>Table2[[#This Row],[IQ Loss]]+Table2[[#This Row],[Switching Current Loss]]</f>
        <v>0.51683999999999997</v>
      </c>
      <c r="BI16"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2.5140267051091705</v>
      </c>
      <c r="BJ16">
        <f>Vout*Table2[[#This Row],[Iout]]</f>
        <v>12.263999999999999</v>
      </c>
      <c r="BK16" s="550">
        <f>Table2[[#This Row],[Pout]]/(Table2[[#This Row],[Pout]]+Table2[[#This Row],[Total Loss]])</f>
        <v>0.82988075774419856</v>
      </c>
      <c r="BL16" s="559">
        <f>IF(Table2[[#This Row],[Vin]]&gt;Vout,ThetaJA_Q1*(Table2[[#This Row],[Total Control Bu MOSFET Loss]]+Table2[[#This Row],[Reverse Recovery Loss MOSFET D BUCK]]),ThetaJA_Q4*(Table2[[#This Row],[Total Control Bo MOSFET Loss]]+Table2[[#This Row],[Reverse Recovery Loss MOSFET D BOOST]]))</f>
        <v>11.909690436925846</v>
      </c>
      <c r="BM16" s="559">
        <f>IF(Table2[[#This Row],[Vin]]&gt;Vout, Table2[[#This Row],[Total Sync Bu MOSFET Loss]]*ThetaJA_Q2, ThetaJA_Q3*Table2[[#This Row],[Total Sync Bo MOSFET Loss]])</f>
        <v>3.3217907889106053</v>
      </c>
      <c r="BN16" s="9"/>
      <c r="BO16" s="4">
        <f>Table2[[#This Row],[EFF, h]]*100</f>
        <v>82.988075774419855</v>
      </c>
      <c r="BP16" s="354">
        <f>Table2[[#This Row],[Total Inductor Loss]]</f>
        <v>0.27013037933500927</v>
      </c>
      <c r="BQ16" s="354">
        <f>Table2[[#This Row],[Total Control Bu MOSFET Loss]]+Table2[[#This Row],[Total Sync Bu MOSFET Loss]]+Table2[[#This Row],[Total Control Bo MOSFET Loss]]+Table2[[#This Row],[Total Sync Bo MOSFET Loss]]+Table2[[#This Row],[Reverse Recovery Loss MOSFET D BUCK]]+Table2[[#This Row],[Reverse Recovery Loss MOSFET D BOOST]]</f>
        <v>0.28093540761313751</v>
      </c>
      <c r="BR16" s="354">
        <f xml:space="preserve"> Table2[[#This Row],[Total Control Bu MOSFET Loss]]+Table2[[#This Row],[Reverse Recovery Loss MOSFET D BUCK]]*0.66</f>
        <v>0.19278384821223077</v>
      </c>
      <c r="BS16" s="354">
        <f>Table2[[#This Row],[Total Sync Bu MOSFET Loss]]+Table2[[#This Row],[Reverse Recovery Loss MOSFET D BUCK]]*0.33</f>
        <v>6.0906201853576758E-2</v>
      </c>
      <c r="BT16" s="354">
        <f xml:space="preserve"> Table2[[#This Row],[Total Control Bo MOSFET Loss]]+Table2[[#This Row],[Reverse Recovery Loss MOSFET D BOOST]]*0.66</f>
        <v>1.6226219428064993E-2</v>
      </c>
      <c r="BU16" s="354">
        <f xml:space="preserve"> Table2[[#This Row],[Total Sync Bo MOSFET Loss]]+Table2[[#This Row],[Reverse Recovery Loss MOSFET D BOOST]]*0.33</f>
        <v>1.0683197389664995E-2</v>
      </c>
      <c r="BV16" s="354">
        <f>Table2[[#This Row],[Isense Shunt Loss]]</f>
        <v>3.0558583498127827E-3</v>
      </c>
      <c r="BZ16" t="s">
        <v>139</v>
      </c>
      <c r="CA16" s="18">
        <v>25</v>
      </c>
      <c r="CB16" s="18">
        <v>25</v>
      </c>
      <c r="CC16" s="18">
        <v>25</v>
      </c>
      <c r="CD16" s="19">
        <f>1000000*(12-Vdd)*CC16/1000000000+((1000000*CC9/1000000000*Vdd)*2.5/(2*4))</f>
        <v>0.27656249999999999</v>
      </c>
      <c r="CE16">
        <f t="shared" si="2"/>
        <v>22.125</v>
      </c>
      <c r="CF16">
        <f t="shared" si="2"/>
        <v>27.65625</v>
      </c>
      <c r="CG16">
        <f t="shared" si="2"/>
        <v>33.1875</v>
      </c>
      <c r="CH16">
        <f t="shared" si="2"/>
        <v>38.71875</v>
      </c>
      <c r="CI16">
        <f t="shared" si="2"/>
        <v>44.25</v>
      </c>
      <c r="CJ16">
        <f t="shared" si="2"/>
        <v>49.78125</v>
      </c>
      <c r="CK16">
        <f t="shared" si="2"/>
        <v>5.53125</v>
      </c>
      <c r="CL16">
        <f t="shared" si="2"/>
        <v>8.296875</v>
      </c>
      <c r="CM16">
        <f t="shared" si="2"/>
        <v>11.0625</v>
      </c>
      <c r="CN16">
        <f t="shared" si="2"/>
        <v>13.828125</v>
      </c>
    </row>
    <row r="17" spans="1:92" x14ac:dyDescent="0.2">
      <c r="A17" s="24" t="s">
        <v>62</v>
      </c>
      <c r="B17" s="16" t="s">
        <v>113</v>
      </c>
      <c r="C17" s="24" t="s">
        <v>80</v>
      </c>
      <c r="D17" s="17" t="s">
        <v>109</v>
      </c>
      <c r="G17">
        <v>8</v>
      </c>
      <c r="H17" s="555">
        <f t="shared" si="0"/>
        <v>20</v>
      </c>
      <c r="I17" s="4" t="str">
        <f>IF(Mode = 2,IF(Table2[[#This Row],[Vin]]&gt;Vout, "BUCK","BOOST"),IF(Table2[[#This Row],[Vin]]&gt;VIN_BB_to_buck, "BUCK", IF(Table2[[#This Row],[Vin]]&lt;=VIN_boost_to_BB,"BOOST","BUCK-BST")))</f>
        <v>BUCK</v>
      </c>
      <c r="J17">
        <f>IF(Table2[[#This Row],[Mode]]="BOOST",2, IF(Table2[[#This Row],[Mode]]="BUCK", 1,3))</f>
        <v>1</v>
      </c>
      <c r="K17" s="354">
        <f t="shared" si="3"/>
        <v>0.96</v>
      </c>
      <c r="L17" s="4">
        <f>Vout*Table2[[#This Row],[Iout]]/(Table2[[#This Row],[Vin]]*Efficiency)</f>
        <v>0.73768421052631583</v>
      </c>
      <c r="M17" s="711">
        <f>MIN(1/Fsw,CHOOSE(Table2[[#This Row],[Mode Digit]],(Vout+(Rdson2+Rs+Rdcr)*Table2[[#This Row],[Iout]])/(Table2[[#This Row],[Vin]]+(Rs+Rdson2-Rdson1)*Table2[[#This Row],[Iout]])/Fsw,(Vout+(Rdson3+Rdcr)*Table2[[#This Row],[Iin]]-Table2[[#This Row],[Vin]])/(Vout+(Rdson3-Rdson4-Rs)*Table2[[#This Row],[Iin]])/Fsw,t1_Ph_II))</f>
        <v>1.2175205641989626E-6</v>
      </c>
      <c r="N17" s="602">
        <f>CHOOSE(Table2[[#This Row],[Mode Digit]],1/Fsw-Table2[[#This Row],[t1_Ph_II]],1/Fsw-Table2[[#This Row],[t1_Ph_II]],(Vout/Fsw-Table2[[#This Row],[Vin]]*t1_Ph_II)/(Table2[[#This Row],[Vin]]+Vout))</f>
        <v>4.4914610246770408E-7</v>
      </c>
      <c r="O17" s="602">
        <f>1/Fsw-(Table2[[#This Row],[t1_Ph_II]]+Table2[[#This Row],[t2_Ph_I]])</f>
        <v>0</v>
      </c>
      <c r="P17"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-0.2851914861125755</v>
      </c>
      <c r="Q17" s="4">
        <f>CHOOSE(Table2[[#This Row],[Mode Digit]],Table2[[#This Row],[I_0]]+1/Lf*(Table2[[#This Row],[Vin]]-Vout)*Table2[[#This Row],[t1_Ph_II]],Table2[[#This Row],[I_0]]+1/Lf*Table2[[#This Row],[Vin]]*Table2[[#This Row],[t1_Ph_II]],Table2[[#This Row],[I_0]]+(Table2[[#This Row],[Vin]]-Vout)/L*Table2[[#This Row],[t1_Ph_II]])</f>
        <v>2.2051914861125752</v>
      </c>
      <c r="R17" s="4">
        <f>CHOOSE(Table2[[#This Row],[Mode Digit]],0,0,Table2[[#This Row],[I_1]]+Table2[[#This Row],[Vin]]/L*Table2[[#This Row],[t2_Ph_I]])</f>
        <v>0</v>
      </c>
      <c r="S17" s="409">
        <f>Fsw*(Table2[[#This Row],[I_0]]*Table2[[#This Row],[t1_Ph_II]]+Table2[[#This Row],[I_1]]*Table2[[#This Row],[t2_Ph_I]]+Table2[[#This Row],[I_2]]*Table2[[#This Row],[t3_Ph_III]])</f>
        <v>0.38593599726354227</v>
      </c>
      <c r="T17" s="354">
        <f>MIN(1,CHOOSE(Table2[[#This Row],[Mode Digit]],(Vout+(Rdson2+Rs+Rdcr)*Table2[[#This Row],[Iout]])/(Table2[[#This Row],[Vin]]+(Rs+Rdson2-Rdson1)*Table2[[#This Row],[Iout]]),1,Fsw*Table2[[#This Row],[t2_Ph_I]]+Table2[[#This Row],[t1_Ph_II]]))</f>
        <v>0.73051233851937758</v>
      </c>
      <c r="U17" s="354">
        <f>MIN(1,CHOOSE(Table2[[#This Row],[Mode Digit]],0,(Vout+(Rdson3+Rdcr)*Table2[[#This Row],[Iin]]-Table2[[#This Row],[Vin]])/(Vout+(Rdson3-Rdson4-Rs)*Table2[[#This Row],[Iin]]),Fsw*Table2[[#This Row],[t1_Ph_II]]+Table2[[#This Row],[t3_Ph_III]]))</f>
        <v>0</v>
      </c>
      <c r="V17" s="4">
        <f>MAX(Table2[[#This Row],[I_0]:[I_2]])-MIN(Table2[[#This Row],[I_0]:[I_1]])</f>
        <v>2.4903829722251505</v>
      </c>
      <c r="W17"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1.1993472998659509</v>
      </c>
      <c r="X17" s="354">
        <f>(Table2[[#This Row],[Irms Lf]]^2*Rdcr*(1+Ltc*Ta-Ltc*25))/(1-Table2[[#This Row],[Irms Lf]]^2*Rdcr*Ltc*ThetaCa)</f>
        <v>8.3484889449860246E-3</v>
      </c>
      <c r="Y17" s="354">
        <f>ABS(7.759*10^-3*Fsw^0.9458*(0.00787*Table2[[#This Row],[Ripple Current pk-pk]])^2.304)</f>
        <v>0.26308989663923638</v>
      </c>
      <c r="Z17" s="354">
        <f>Table2[[#This Row],[DCR    Loss]]+Table2[[#This Row],[Core Loss]]</f>
        <v>0.2714383855842224</v>
      </c>
      <c r="AA17" s="4">
        <f>IF(Table2[[#This Row],[Vin]]&gt;Vout, Table2[[#This Row],[Ripple Current pk-pk]]/SQRT(12), SQRT(Table2[[#This Row],[Duty Cycle BOOST Leg]]/(1-Table2[[#This Row],[Duty Cycle BOOST Leg]]))*SQRT(Table2[[#This Row],[Iout]]^2+(Table2[[#This Row],[Ripple Current pk-pk]]^2)/12))</f>
        <v>0.71891163969972549</v>
      </c>
      <c r="AB17" s="354">
        <f>RCoutEsr*Table2[[#This Row],[Irms Cout]]^2</f>
        <v>2.5841697284787394E-3</v>
      </c>
      <c r="AC17" s="354">
        <f>Table2[[#This Row],[Cout ESR Loss]]</f>
        <v>2.5841697284787394E-3</v>
      </c>
      <c r="AD17" s="4">
        <f>IF(Table2[[#This Row],[Vin]]&gt;Vout, SQRT(Table2[[#This Row],[Duty Cycle BUCK Leg]]*(1-Table2[[#This Row],[Duty Cycle BUCK Leg]]))*SQRT(Table2[[#This Row],[Iout]]^2+(Table2[[#This Row],[Ripple Current pk-pk]]^2)/12), Table2[[#This Row],[Ripple Current pk-pk]]/SQRT(12))</f>
        <v>0.53214279020461486</v>
      </c>
      <c r="AE17" s="354">
        <f>RCinEsr*Table2[[#This Row],[Irms Cin]]^2</f>
        <v>5.6635189833350555E-4</v>
      </c>
      <c r="AF17" s="549">
        <f>Table2[[#This Row],[Cin ESR Loss]]</f>
        <v>5.6635189833350555E-4</v>
      </c>
      <c r="AG17" s="354">
        <f>Table2[[#This Row],[Irms Lf]]</f>
        <v>1.1993472998659509</v>
      </c>
      <c r="AH17" s="354">
        <f>Rdson1*Table2[[#This Row],[Irms BuCtrl]]^2</f>
        <v>6.0414225719221384E-3</v>
      </c>
      <c r="AI17" s="354">
        <f>CHOOSE(Table2[[#This Row],[Mode Digit]], (Table2[[#This Row],[Vin]]*Table2[[#This Row],[Iout]]/2)*(Fsw)*(Tr_buck+Tf_buck), 0, (Table2[[#This Row],[Vin]]*Table2[[#This Row],[Avg IL]]/2)*(Fsw/1)*(Tr_buck+Tf_buck))</f>
        <v>0.19039424530208127</v>
      </c>
      <c r="AJ17">
        <f>IF(Table2[[#This Row],[Vin]]&gt;Vout, IF(Table2[[#This Row],[Iout]]&gt;Table2[[#This Row],[Ripple Current pk-pk]]/2,0,ABS(Table2[[#This Row],[Iout]]-Table2[[#This Row],[Ripple Current pk-pk]]/2)*Vsd_Q1*Deadtime*Fsw),0)</f>
        <v>6.8608923230510967E-3</v>
      </c>
      <c r="AK17" s="354">
        <f>(Table2[[#This Row],[Dead Time Loss BuCtrl]]+Table2[[#This Row],[Transition Loss BuCtrl]]+Table2[[#This Row],[RDS(on) Loss BuCtrl]]*(1+RdsonTopTc*Ta-RdsonTopTc*25))/(1-Table2[[#This Row],[RDS(on) Loss BuCtrl]]*RdsonTopTc*ThetaJA_Q1)</f>
        <v>0.20359175631675114</v>
      </c>
      <c r="AL17" s="354">
        <f>Table2[[#This Row],[Irms Lf]]</f>
        <v>1.1993472998659509</v>
      </c>
      <c r="AM17" s="354">
        <f>Rdson2*Table2[[#This Row],[Irms BuSync]]^2</f>
        <v>6.0414225719221384E-3</v>
      </c>
      <c r="AN17"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5.3050606608765379E-2</v>
      </c>
      <c r="AO17" s="354">
        <f>(Table2[[#This Row],[Deadtime Loss BuSync]]+Table2[[#This Row],[RDS(on) Loss BuSync]]*(1+RdsonBotTc*Ta-RdsonBotTc*25))/(1-Table2[[#This Row],[RDS(on) Loss BuSync]]*RdsonBotTc*ThetaJA_Q2)</f>
        <v>5.9177833572568179E-2</v>
      </c>
      <c r="AP17" s="354">
        <f>Table2[[#This Row],[Irms Lf]]</f>
        <v>1.1993472998659509</v>
      </c>
      <c r="AQ17" s="354">
        <f>Rdson4*Table2[[#This Row],[Irms BoCtlr]]^2</f>
        <v>6.0414225719221384E-3</v>
      </c>
      <c r="AR17" s="354">
        <f>CHOOSE(Table2[[#This Row],[Mode Digit]], 0, (Vout*Table2[[#This Row],[Iin]]/2)*(Fsw)*(Tr_boost+Tf_boost), (Vout*Iout/2)*(Fsw/1)*(Tr_boost+Tf_boost))</f>
        <v>0</v>
      </c>
      <c r="AS17" s="354">
        <f>IF(Table2[[#This Row],[Vin]]&gt;Vout, 0, IF(Table2[[#This Row],[Iin]]&gt;Table2[[#This Row],[Ripple Current pk-pk]]/2,0,ABS(Table2[[#This Row],[Iin]]-Table2[[#This Row],[Ripple Current pk-pk]]/2)*Vsd_Q4*Deadtime*Fsw))</f>
        <v>0</v>
      </c>
      <c r="AT17" s="354">
        <f>(Table2[[#This Row],[Dead Time Loss BoCtlr]]+Table2[[#This Row],[Transition Loss BoCtlr]]+Table2[[#This Row],[RDS(on) Loss BoCtlr]]*(1+RdsonTopTc*Ta-RdsonTopTc*25))/(1-Table2[[#This Row],[RDS(on) Loss BoCtlr]]*RdsonTopTc*ThetaJA_Q4)</f>
        <v>6.0501950002354874E-3</v>
      </c>
      <c r="AU17" s="354">
        <f>Table2[[#This Row],[Irms Lf]]</f>
        <v>1.1993472998659509</v>
      </c>
      <c r="AV17" s="354">
        <f>Rdson3*Table2[[#This Row],[Irms BoSync]]^2</f>
        <v>6.0414225719221384E-3</v>
      </c>
      <c r="AW17"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7" s="354">
        <f>(Table2[[#This Row],[Deadtime Loss BoSync]]+Table2[[#This Row],[RDS(on) Loss BoSync]]*(1+RdsonBotTc*Ta-RdsonBotTc*25))/(1-Table2[[#This Row],[RDS(on) Loss BoSync]]*RdsonBotTc*ThetaJA_Q3)</f>
        <v>6.0501950002354874E-3</v>
      </c>
      <c r="AY17" s="354">
        <f>CHOOSE(Table2[[#This Row],[Mode Digit]], Rdson3*Table2[[#This Row],[Irms Lf]]^2, Rdson1*Table2[[#This Row],[Irms Lf]]^2, 0)</f>
        <v>6.0414225719221384E-3</v>
      </c>
      <c r="AZ17" s="354">
        <f>CHOOSE(Table2[[#This Row],[Mode Digit]], 2*Deadtime*Fsw*IF(VfdSky_Q2&gt;0,VfdSky_Q2,0)*Table2[[#This Row],[Iout]], 2*Deadtime*Fsw*IF(VfdSky_Q3&gt;0,VfdSky_Q3,0)*Table2[[#This Row],[Iin]], 2*Deadtime*Fsw*IF(VfdSky_Q2&gt;0,VfdSky_Q2,0)*Table2[[#This Row],[Iout]]+2*Deadtime*Fsw*IF(VfdSky_Q3&gt;0,VfdSky_Q3,0)*Table2[[#This Row],[Iin]])</f>
        <v>0</v>
      </c>
      <c r="BA1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1.9196129280000002E-2</v>
      </c>
      <c r="BB1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1.9196129280000002E-2</v>
      </c>
      <c r="BC17" s="354">
        <f>CHOOSE(Table2[[#This Row],[Mode Digit]], Rs*Table2[[#This Row],[Irms BuSync]]^2, Rs*Table2[[#This Row],[Irms BoCtlr]]^2, Rs*(Table2[[#This Row],[Irms BuSync]]^2+Table2[[#This Row],[Irms BoCtlr]]^2))</f>
        <v>3.5960848642393678E-3</v>
      </c>
      <c r="BD17" s="354">
        <f t="shared" si="1"/>
        <v>1.44</v>
      </c>
      <c r="BE17" s="354">
        <f>IF(Vout&gt;8, Iq*Vout, Iq*Table2[[#This Row],[Vin]])</f>
        <v>4.3799999999999999E-2</v>
      </c>
      <c r="BF17" s="354">
        <f>CHOOSE(Table2[[#This Row],[Mode Digit]], (Qg_Q1+Qg_Q2)*Fsw, (Qg_Q3+Qg_Q4)*Fsw, (Qg_Q1+Qg_Q2+Qg_Q3+Qg_Q4)*Fsw)*IF(Vout&gt;8, Vout, Table2[[#This Row],[Vin]])</f>
        <v>0.47303999999999996</v>
      </c>
      <c r="BG17" s="354">
        <f t="shared" si="4"/>
        <v>0.45605042016806729</v>
      </c>
      <c r="BH17" s="354">
        <f>Table2[[#This Row],[IQ Loss]]+Table2[[#This Row],[Switching Current Loss]]</f>
        <v>0.51683999999999997</v>
      </c>
      <c r="BI17"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2.5482872305250641</v>
      </c>
      <c r="BJ17">
        <f>Vout*Table2[[#This Row],[Iout]]</f>
        <v>14.016</v>
      </c>
      <c r="BK17" s="550">
        <f>Table2[[#This Row],[Pout]]/(Table2[[#This Row],[Pout]]+Table2[[#This Row],[Total Loss]])</f>
        <v>0.84615774919496567</v>
      </c>
      <c r="BL17" s="559">
        <f>IF(Table2[[#This Row],[Vin]]&gt;Vout,ThetaJA_Q1*(Table2[[#This Row],[Total Control Bu MOSFET Loss]]+Table2[[#This Row],[Reverse Recovery Loss MOSFET D BUCK]]),ThetaJA_Q4*(Table2[[#This Row],[Total Control Bo MOSFET Loss]]+Table2[[#This Row],[Reverse Recovery Loss MOSFET D BOOST]]))</f>
        <v>13.367273135805068</v>
      </c>
      <c r="BM17" s="559">
        <f>IF(Table2[[#This Row],[Vin]]&gt;Vout, Table2[[#This Row],[Total Sync Bu MOSFET Loss]]*ThetaJA_Q2, ThetaJA_Q3*Table2[[#This Row],[Total Sync Bo MOSFET Loss]])</f>
        <v>3.5506700143540906</v>
      </c>
      <c r="BN17" s="9"/>
      <c r="BO17" s="4">
        <f>Table2[[#This Row],[EFF, h]]*100</f>
        <v>84.615774919496573</v>
      </c>
      <c r="BP17" s="354">
        <f>Table2[[#This Row],[Total Inductor Loss]]</f>
        <v>0.2714383855842224</v>
      </c>
      <c r="BQ17" s="354">
        <f>Table2[[#This Row],[Total Control Bu MOSFET Loss]]+Table2[[#This Row],[Total Sync Bu MOSFET Loss]]+Table2[[#This Row],[Total Control Bo MOSFET Loss]]+Table2[[#This Row],[Total Sync Bo MOSFET Loss]]+Table2[[#This Row],[Reverse Recovery Loss MOSFET D BUCK]]+Table2[[#This Row],[Reverse Recovery Loss MOSFET D BOOST]]</f>
        <v>0.3132622384497904</v>
      </c>
      <c r="BR17" s="354">
        <f xml:space="preserve"> Table2[[#This Row],[Total Control Bu MOSFET Loss]]+Table2[[#This Row],[Reverse Recovery Loss MOSFET D BUCK]]*0.66</f>
        <v>0.21626120164155113</v>
      </c>
      <c r="BS17" s="354">
        <f>Table2[[#This Row],[Total Sync Bu MOSFET Loss]]+Table2[[#This Row],[Reverse Recovery Loss MOSFET D BUCK]]*0.33</f>
        <v>6.5512556234968183E-2</v>
      </c>
      <c r="BT17" s="354">
        <f xml:space="preserve"> Table2[[#This Row],[Total Control Bo MOSFET Loss]]+Table2[[#This Row],[Reverse Recovery Loss MOSFET D BOOST]]*0.66</f>
        <v>1.8719640325035491E-2</v>
      </c>
      <c r="BU17" s="354">
        <f xml:space="preserve"> Table2[[#This Row],[Total Sync Bo MOSFET Loss]]+Table2[[#This Row],[Reverse Recovery Loss MOSFET D BOOST]]*0.33</f>
        <v>1.2384917662635489E-2</v>
      </c>
      <c r="BV17" s="354">
        <f>Table2[[#This Row],[Isense Shunt Loss]]</f>
        <v>3.5960848642393678E-3</v>
      </c>
      <c r="BZ17" t="s">
        <v>142</v>
      </c>
      <c r="CA17" s="18">
        <v>50</v>
      </c>
      <c r="CB17" s="18">
        <v>50</v>
      </c>
      <c r="CC17" s="18">
        <v>50</v>
      </c>
      <c r="CD17" s="19">
        <f>500000*(18-Vdd)*CC17/1000000000+((500000*CC15/1000000000*Vdd)*2.5/(2*4))</f>
        <v>0.28593750000000001</v>
      </c>
      <c r="CE17">
        <f t="shared" si="2"/>
        <v>22.875</v>
      </c>
      <c r="CF17">
        <f t="shared" si="2"/>
        <v>28.59375</v>
      </c>
      <c r="CG17">
        <f t="shared" si="2"/>
        <v>34.3125</v>
      </c>
      <c r="CH17">
        <f t="shared" si="2"/>
        <v>40.03125</v>
      </c>
      <c r="CI17">
        <f t="shared" si="2"/>
        <v>45.75</v>
      </c>
      <c r="CJ17">
        <f t="shared" si="2"/>
        <v>51.46875</v>
      </c>
      <c r="CK17">
        <f t="shared" si="2"/>
        <v>5.71875</v>
      </c>
      <c r="CL17">
        <f t="shared" si="2"/>
        <v>8.578125</v>
      </c>
      <c r="CM17">
        <f t="shared" si="2"/>
        <v>11.4375</v>
      </c>
      <c r="CN17">
        <f t="shared" si="2"/>
        <v>14.296875</v>
      </c>
    </row>
    <row r="18" spans="1:92" x14ac:dyDescent="0.2">
      <c r="A18" s="35" t="s">
        <v>60</v>
      </c>
      <c r="B18" s="38">
        <f>Lf*1000000</f>
        <v>2.64</v>
      </c>
      <c r="C18" s="441" t="s">
        <v>11</v>
      </c>
      <c r="D18" s="440" t="s">
        <v>640</v>
      </c>
      <c r="G18">
        <v>9</v>
      </c>
      <c r="H18" s="555">
        <f t="shared" si="0"/>
        <v>20</v>
      </c>
      <c r="I18" s="4" t="str">
        <f>IF(Mode = 2,IF(Table2[[#This Row],[Vin]]&gt;Vout, "BUCK","BOOST"),IF(Table2[[#This Row],[Vin]]&gt;VIN_BB_to_buck, "BUCK", IF(Table2[[#This Row],[Vin]]&lt;=VIN_boost_to_BB,"BOOST","BUCK-BST")))</f>
        <v>BUCK</v>
      </c>
      <c r="J18">
        <f>IF(Table2[[#This Row],[Mode]]="BOOST",2, IF(Table2[[#This Row],[Mode]]="BUCK", 1,3))</f>
        <v>1</v>
      </c>
      <c r="K18" s="354">
        <f t="shared" si="3"/>
        <v>1.08</v>
      </c>
      <c r="L18" s="4">
        <f>Vout*Table2[[#This Row],[Iout]]/(Table2[[#This Row],[Vin]]*Efficiency)</f>
        <v>0.82989473684210535</v>
      </c>
      <c r="M18" s="711">
        <f>MIN(1/Fsw,CHOOSE(Table2[[#This Row],[Mode Digit]],(Vout+(Rdson2+Rs+Rdcr)*Table2[[#This Row],[Iout]])/(Table2[[#This Row],[Vin]]+(Rs+Rdson2-Rdson1)*Table2[[#This Row],[Iout]])/Fsw,(Vout+(Rdson3+Rdcr)*Table2[[#This Row],[Iin]]-Table2[[#This Row],[Vin]])/(Vout+(Rdson3-Rdson4-Rs)*Table2[[#This Row],[Iin]])/Fsw,t1_Ph_II))</f>
        <v>1.217627286982924E-6</v>
      </c>
      <c r="N18" s="602">
        <f>CHOOSE(Table2[[#This Row],[Mode Digit]],1/Fsw-Table2[[#This Row],[t1_Ph_II]],1/Fsw-Table2[[#This Row],[t1_Ph_II]],(Vout/Fsw-Table2[[#This Row],[Vin]]*t1_Ph_II)/(Table2[[#This Row],[Vin]]+Vout))</f>
        <v>4.4903937968374265E-7</v>
      </c>
      <c r="O18" s="602">
        <f>1/Fsw-(Table2[[#This Row],[t1_Ph_II]]+Table2[[#This Row],[t2_Ph_I]])</f>
        <v>0</v>
      </c>
      <c r="P18"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-0.16530063441435416</v>
      </c>
      <c r="Q18" s="4">
        <f>CHOOSE(Table2[[#This Row],[Mode Digit]],Table2[[#This Row],[I_0]]+1/Lf*(Table2[[#This Row],[Vin]]-Vout)*Table2[[#This Row],[t1_Ph_II]],Table2[[#This Row],[I_0]]+1/Lf*Table2[[#This Row],[Vin]]*Table2[[#This Row],[t1_Ph_II]],Table2[[#This Row],[I_0]]+(Table2[[#This Row],[Vin]]-Vout)/L*Table2[[#This Row],[t1_Ph_II]])</f>
        <v>2.3253006344143543</v>
      </c>
      <c r="R18" s="4">
        <f>CHOOSE(Table2[[#This Row],[Mode Digit]],0,0,Table2[[#This Row],[I_1]]+Table2[[#This Row],[Vin]]/L*Table2[[#This Row],[t2_Ph_I]])</f>
        <v>0</v>
      </c>
      <c r="S18" s="409">
        <f>Fsw*(Table2[[#This Row],[I_0]]*Table2[[#This Row],[t1_Ph_II]]+Table2[[#This Row],[I_1]]*Table2[[#This Row],[t2_Ph_I]]+Table2[[#This Row],[I_2]]*Table2[[#This Row],[t3_Ph_III]])</f>
        <v>0.5057261948622771</v>
      </c>
      <c r="T18" s="354">
        <f>MIN(1,CHOOSE(Table2[[#This Row],[Mode Digit]],(Vout+(Rdson2+Rs+Rdcr)*Table2[[#This Row],[Iout]])/(Table2[[#This Row],[Vin]]+(Rs+Rdson2-Rdson1)*Table2[[#This Row],[Iout]]),1,Fsw*Table2[[#This Row],[t2_Ph_I]]+Table2[[#This Row],[t1_Ph_II]]))</f>
        <v>0.73057637218975435</v>
      </c>
      <c r="U18" s="354">
        <f>MIN(1,CHOOSE(Table2[[#This Row],[Mode Digit]],0,(Vout+(Rdson3+Rdcr)*Table2[[#This Row],[Iin]]-Table2[[#This Row],[Vin]])/(Vout+(Rdson3-Rdson4-Rs)*Table2[[#This Row],[Iin]]),Fsw*Table2[[#This Row],[t1_Ph_II]]+Table2[[#This Row],[t3_Ph_III]]))</f>
        <v>0</v>
      </c>
      <c r="V18" s="4">
        <f>MAX(Table2[[#This Row],[I_0]:[I_2]])-MIN(Table2[[#This Row],[I_0]:[I_1]])</f>
        <v>2.4906012688287085</v>
      </c>
      <c r="W18"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1.2974299814213217</v>
      </c>
      <c r="X18" s="354">
        <f>(Table2[[#This Row],[Irms Lf]]^2*Rdcr*(1+Ltc*Ta-Ltc*25))/(1-Table2[[#This Row],[Irms Lf]]^2*Rdcr*Ltc*ThetaCa)</f>
        <v>9.7709141243420873E-3</v>
      </c>
      <c r="Y18" s="354">
        <f>ABS(7.759*10^-3*Fsw^0.9458*(0.00787*Table2[[#This Row],[Ripple Current pk-pk]])^2.304)</f>
        <v>0.26314303306102482</v>
      </c>
      <c r="Z18" s="354">
        <f>Table2[[#This Row],[DCR    Loss]]+Table2[[#This Row],[Core Loss]]</f>
        <v>0.27291394718536693</v>
      </c>
      <c r="AA18" s="4">
        <f>IF(Table2[[#This Row],[Vin]]&gt;Vout, Table2[[#This Row],[Ripple Current pk-pk]]/SQRT(12), SQRT(Table2[[#This Row],[Duty Cycle BOOST Leg]]/(1-Table2[[#This Row],[Duty Cycle BOOST Leg]]))*SQRT(Table2[[#This Row],[Iout]]^2+(Table2[[#This Row],[Ripple Current pk-pk]]^2)/12))</f>
        <v>0.71897465650113923</v>
      </c>
      <c r="AB18" s="354">
        <f>RCoutEsr*Table2[[#This Row],[Irms Cout]]^2</f>
        <v>2.5846227834546561E-3</v>
      </c>
      <c r="AC18" s="354">
        <f>Table2[[#This Row],[Cout ESR Loss]]</f>
        <v>2.5846227834546561E-3</v>
      </c>
      <c r="AD18" s="4">
        <f>IF(Table2[[#This Row],[Vin]]&gt;Vout, SQRT(Table2[[#This Row],[Duty Cycle BUCK Leg]]*(1-Table2[[#This Row],[Duty Cycle BUCK Leg]]))*SQRT(Table2[[#This Row],[Iout]]^2+(Table2[[#This Row],[Ripple Current pk-pk]]^2)/12), Table2[[#This Row],[Ripple Current pk-pk]]/SQRT(12))</f>
        <v>0.57561828414596361</v>
      </c>
      <c r="AE18" s="354">
        <f>RCinEsr*Table2[[#This Row],[Irms Cin]]^2</f>
        <v>6.6267281808628665E-4</v>
      </c>
      <c r="AF18" s="549">
        <f>Table2[[#This Row],[Cin ESR Loss]]</f>
        <v>6.6267281808628665E-4</v>
      </c>
      <c r="AG18" s="354">
        <f>Table2[[#This Row],[Irms Lf]]</f>
        <v>1.2974299814213217</v>
      </c>
      <c r="AH18" s="354">
        <f>Rdson1*Table2[[#This Row],[Irms BuCtrl]]^2</f>
        <v>7.0699631381019121E-3</v>
      </c>
      <c r="AI18" s="354">
        <f>CHOOSE(Table2[[#This Row],[Mode Digit]], (Table2[[#This Row],[Vin]]*Table2[[#This Row],[Iout]]/2)*(Fsw)*(Tr_buck+Tf_buck), 0, (Table2[[#This Row],[Vin]]*Table2[[#This Row],[Avg IL]]/2)*(Fsw/1)*(Tr_buck+Tf_buck))</f>
        <v>0.21419352596484142</v>
      </c>
      <c r="AJ18">
        <f>IF(Table2[[#This Row],[Vin]]&gt;Vout, IF(Table2[[#This Row],[Iout]]&gt;Table2[[#This Row],[Ripple Current pk-pk]]/2,0,ABS(Table2[[#This Row],[Iout]]-Table2[[#This Row],[Ripple Current pk-pk]]/2)*Vsd_Q1*Deadtime*Fsw),0)</f>
        <v>3.9766609764824625E-3</v>
      </c>
      <c r="AK18" s="354">
        <f>(Table2[[#This Row],[Dead Time Loss BuCtrl]]+Table2[[#This Row],[Transition Loss BuCtrl]]+Table2[[#This Row],[RDS(on) Loss BuCtrl]]*(1+RdsonTopTc*Ta-RdsonTopTc*25))/(1-Table2[[#This Row],[RDS(on) Loss BuCtrl]]*RdsonTopTc*ThetaJA_Q1)</f>
        <v>0.22562298516459914</v>
      </c>
      <c r="AL18" s="354">
        <f>Table2[[#This Row],[Irms Lf]]</f>
        <v>1.2974299814213217</v>
      </c>
      <c r="AM18" s="354">
        <f>Rdson2*Table2[[#This Row],[Irms BuSync]]^2</f>
        <v>7.0699631381019121E-3</v>
      </c>
      <c r="AN18"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5.5940089547911034E-2</v>
      </c>
      <c r="AO18" s="354">
        <f>(Table2[[#This Row],[Deadtime Loss BuSync]]+Table2[[#This Row],[RDS(on) Loss BuSync]]*(1+RdsonBotTc*Ta-RdsonBotTc*25))/(1-Table2[[#This Row],[RDS(on) Loss BuSync]]*RdsonBotTc*ThetaJA_Q2)</f>
        <v>6.3117149306568032E-2</v>
      </c>
      <c r="AP18" s="354">
        <f>Table2[[#This Row],[Irms Lf]]</f>
        <v>1.2974299814213217</v>
      </c>
      <c r="AQ18" s="354">
        <f>Rdson4*Table2[[#This Row],[Irms BoCtlr]]^2</f>
        <v>7.0699631381019121E-3</v>
      </c>
      <c r="AR18" s="354">
        <f>CHOOSE(Table2[[#This Row],[Mode Digit]], 0, (Vout*Table2[[#This Row],[Iin]]/2)*(Fsw)*(Tr_boost+Tf_boost), (Vout*Iout/2)*(Fsw/1)*(Tr_boost+Tf_boost))</f>
        <v>0</v>
      </c>
      <c r="AS18" s="354">
        <f>IF(Table2[[#This Row],[Vin]]&gt;Vout, 0, IF(Table2[[#This Row],[Iin]]&gt;Table2[[#This Row],[Ripple Current pk-pk]]/2,0,ABS(Table2[[#This Row],[Iin]]-Table2[[#This Row],[Ripple Current pk-pk]]/2)*Vsd_Q4*Deadtime*Fsw))</f>
        <v>0</v>
      </c>
      <c r="AT18" s="354">
        <f>(Table2[[#This Row],[Dead Time Loss BoCtlr]]+Table2[[#This Row],[Transition Loss BoCtlr]]+Table2[[#This Row],[RDS(on) Loss BoCtlr]]*(1+RdsonTopTc*Ta-RdsonTopTc*25))/(1-Table2[[#This Row],[RDS(on) Loss BoCtlr]]*RdsonTopTc*ThetaJA_Q4)</f>
        <v>7.0819797787372218E-3</v>
      </c>
      <c r="AU18" s="354">
        <f>Table2[[#This Row],[Irms Lf]]</f>
        <v>1.2974299814213217</v>
      </c>
      <c r="AV18" s="354">
        <f>Rdson3*Table2[[#This Row],[Irms BoSync]]^2</f>
        <v>7.0699631381019121E-3</v>
      </c>
      <c r="AW18"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8" s="354">
        <f>(Table2[[#This Row],[Deadtime Loss BoSync]]+Table2[[#This Row],[RDS(on) Loss BoSync]]*(1+RdsonBotTc*Ta-RdsonBotTc*25))/(1-Table2[[#This Row],[RDS(on) Loss BoSync]]*RdsonBotTc*ThetaJA_Q3)</f>
        <v>7.0819797787372218E-3</v>
      </c>
      <c r="AY18" s="354">
        <f>CHOOSE(Table2[[#This Row],[Mode Digit]], Rdson3*Table2[[#This Row],[Irms Lf]]^2, Rdson1*Table2[[#This Row],[Irms Lf]]^2, 0)</f>
        <v>7.0699631381019121E-3</v>
      </c>
      <c r="AZ18" s="354">
        <f>CHOOSE(Table2[[#This Row],[Mode Digit]], 2*Deadtime*Fsw*IF(VfdSky_Q2&gt;0,VfdSky_Q2,0)*Table2[[#This Row],[Iout]], 2*Deadtime*Fsw*IF(VfdSky_Q3&gt;0,VfdSky_Q3,0)*Table2[[#This Row],[Iin]], 2*Deadtime*Fsw*IF(VfdSky_Q2&gt;0,VfdSky_Q2,0)*Table2[[#This Row],[Iout]]+2*Deadtime*Fsw*IF(VfdSky_Q3&gt;0,VfdSky_Q3,0)*Table2[[#This Row],[Iin]])</f>
        <v>0</v>
      </c>
      <c r="BA1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2.1595101119999998E-2</v>
      </c>
      <c r="BB1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2.1595101119999998E-2</v>
      </c>
      <c r="BC18" s="354">
        <f>CHOOSE(Table2[[#This Row],[Mode Digit]], Rs*Table2[[#This Row],[Irms BuSync]]^2, Rs*Table2[[#This Row],[Irms BoCtlr]]^2, Rs*(Table2[[#This Row],[Irms BuSync]]^2+Table2[[#This Row],[Irms BoCtlr]]^2))</f>
        <v>4.2083113917273278E-3</v>
      </c>
      <c r="BD18" s="354">
        <f t="shared" si="1"/>
        <v>1.44</v>
      </c>
      <c r="BE18" s="354">
        <f>IF(Vout&gt;8, Iq*Vout, Iq*Table2[[#This Row],[Vin]])</f>
        <v>4.3799999999999999E-2</v>
      </c>
      <c r="BF18" s="354">
        <f>CHOOSE(Table2[[#This Row],[Mode Digit]], (Qg_Q1+Qg_Q2)*Fsw, (Qg_Q3+Qg_Q4)*Fsw, (Qg_Q1+Qg_Q2+Qg_Q3+Qg_Q4)*Fsw)*IF(Vout&gt;8, Vout, Table2[[#This Row],[Vin]])</f>
        <v>0.47303999999999996</v>
      </c>
      <c r="BG18" s="354">
        <f t="shared" si="4"/>
        <v>0.45605042016806729</v>
      </c>
      <c r="BH18" s="354">
        <f>Table2[[#This Row],[IQ Loss]]+Table2[[#This Row],[Switching Current Loss]]</f>
        <v>0.51683999999999997</v>
      </c>
      <c r="BI18"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2.583303850447277</v>
      </c>
      <c r="BJ18">
        <f>Vout*Table2[[#This Row],[Iout]]</f>
        <v>15.768000000000001</v>
      </c>
      <c r="BK18" s="550">
        <f>Table2[[#This Row],[Pout]]/(Table2[[#This Row],[Pout]]+Table2[[#This Row],[Total Loss]])</f>
        <v>0.85923050092245556</v>
      </c>
      <c r="BL18" s="559">
        <f>IF(Table2[[#This Row],[Vin]]&gt;Vout,ThetaJA_Q1*(Table2[[#This Row],[Total Control Bu MOSFET Loss]]+Table2[[#This Row],[Reverse Recovery Loss MOSFET D BUCK]]),ThetaJA_Q4*(Table2[[#This Row],[Total Control Bo MOSFET Loss]]+Table2[[#This Row],[Reverse Recovery Loss MOSFET D BOOST]]))</f>
        <v>14.833085177075947</v>
      </c>
      <c r="BM18" s="559">
        <f>IF(Table2[[#This Row],[Vin]]&gt;Vout, Table2[[#This Row],[Total Sync Bu MOSFET Loss]]*ThetaJA_Q2, ThetaJA_Q3*Table2[[#This Row],[Total Sync Bo MOSFET Loss]])</f>
        <v>3.7870289583940817</v>
      </c>
      <c r="BN18" s="9"/>
      <c r="BO18" s="4">
        <f>Table2[[#This Row],[EFF, h]]*100</f>
        <v>85.92305009224556</v>
      </c>
      <c r="BP18" s="354">
        <f>Table2[[#This Row],[Total Inductor Loss]]</f>
        <v>0.27291394718536693</v>
      </c>
      <c r="BQ18" s="354">
        <f>Table2[[#This Row],[Total Control Bu MOSFET Loss]]+Table2[[#This Row],[Total Sync Bu MOSFET Loss]]+Table2[[#This Row],[Total Control Bo MOSFET Loss]]+Table2[[#This Row],[Total Sync Bo MOSFET Loss]]+Table2[[#This Row],[Reverse Recovery Loss MOSFET D BUCK]]+Table2[[#This Row],[Reverse Recovery Loss MOSFET D BOOST]]</f>
        <v>0.34609429626864163</v>
      </c>
      <c r="BR18" s="354">
        <f xml:space="preserve"> Table2[[#This Row],[Total Control Bu MOSFET Loss]]+Table2[[#This Row],[Reverse Recovery Loss MOSFET D BUCK]]*0.66</f>
        <v>0.23987575190379914</v>
      </c>
      <c r="BS18" s="354">
        <f>Table2[[#This Row],[Total Sync Bu MOSFET Loss]]+Table2[[#This Row],[Reverse Recovery Loss MOSFET D BUCK]]*0.33</f>
        <v>7.0243532676168036E-2</v>
      </c>
      <c r="BT18" s="354">
        <f xml:space="preserve"> Table2[[#This Row],[Total Control Bo MOSFET Loss]]+Table2[[#This Row],[Reverse Recovery Loss MOSFET D BOOST]]*0.66</f>
        <v>2.1334746517937223E-2</v>
      </c>
      <c r="BU18" s="354">
        <f xml:space="preserve"> Table2[[#This Row],[Total Sync Bo MOSFET Loss]]+Table2[[#This Row],[Reverse Recovery Loss MOSFET D BOOST]]*0.33</f>
        <v>1.4208363148337223E-2</v>
      </c>
      <c r="BV18" s="354">
        <f>Table2[[#This Row],[Isense Shunt Loss]]</f>
        <v>4.2083113917273278E-3</v>
      </c>
      <c r="BZ18" t="s">
        <v>143</v>
      </c>
      <c r="CB18" s="18"/>
      <c r="CC18" s="19"/>
    </row>
    <row r="19" spans="1:92" x14ac:dyDescent="0.2">
      <c r="A19" s="35" t="s">
        <v>12</v>
      </c>
      <c r="B19" s="39">
        <f>Rdcr*1000</f>
        <v>5.8</v>
      </c>
      <c r="C19" s="442" t="s">
        <v>638</v>
      </c>
      <c r="D19" s="440" t="s">
        <v>641</v>
      </c>
      <c r="G19">
        <v>10</v>
      </c>
      <c r="H19" s="555">
        <f t="shared" si="0"/>
        <v>20</v>
      </c>
      <c r="I19" s="4" t="str">
        <f>IF(Mode = 2,IF(Table2[[#This Row],[Vin]]&gt;Vout, "BUCK","BOOST"),IF(Table2[[#This Row],[Vin]]&gt;VIN_BB_to_buck, "BUCK", IF(Table2[[#This Row],[Vin]]&lt;=VIN_boost_to_BB,"BOOST","BUCK-BST")))</f>
        <v>BUCK</v>
      </c>
      <c r="J19">
        <f>IF(Table2[[#This Row],[Mode]]="BOOST",2, IF(Table2[[#This Row],[Mode]]="BUCK", 1,3))</f>
        <v>1</v>
      </c>
      <c r="K19" s="354">
        <f t="shared" si="3"/>
        <v>1.2</v>
      </c>
      <c r="L19" s="4">
        <f>Vout*Table2[[#This Row],[Iout]]/(Table2[[#This Row],[Vin]]*Efficiency)</f>
        <v>0.92210526315789476</v>
      </c>
      <c r="M19" s="711">
        <f>MIN(1/Fsw,CHOOSE(Table2[[#This Row],[Mode Digit]],(Vout+(Rdson2+Rs+Rdcr)*Table2[[#This Row],[Iout]])/(Table2[[#This Row],[Vin]]+(Rs+Rdson2-Rdson1)*Table2[[#This Row],[Iout]])/Fsw,(Vout+(Rdson3+Rdcr)*Table2[[#This Row],[Iin]]-Table2[[#This Row],[Vin]])/(Vout+(Rdson3-Rdson4-Rs)*Table2[[#This Row],[Iin]])/Fsw,t1_Ph_II))</f>
        <v>1.2177340065656818E-6</v>
      </c>
      <c r="N19" s="602">
        <f>CHOOSE(Table2[[#This Row],[Mode Digit]],1/Fsw-Table2[[#This Row],[t1_Ph_II]],1/Fsw-Table2[[#This Row],[t1_Ph_II]],(Vout/Fsw-Table2[[#This Row],[Vin]]*t1_Ph_II)/(Table2[[#This Row],[Vin]]+Vout))</f>
        <v>4.4893266010098491E-7</v>
      </c>
      <c r="O19" s="602">
        <f>1/Fsw-(Table2[[#This Row],[t1_Ph_II]]+Table2[[#This Row],[t2_Ph_I]])</f>
        <v>0</v>
      </c>
      <c r="P19"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-4.5409779442174614E-2</v>
      </c>
      <c r="Q19" s="4">
        <f>CHOOSE(Table2[[#This Row],[Mode Digit]],Table2[[#This Row],[I_0]]+1/Lf*(Table2[[#This Row],[Vin]]-Vout)*Table2[[#This Row],[t1_Ph_II]],Table2[[#This Row],[I_0]]+1/Lf*Table2[[#This Row],[Vin]]*Table2[[#This Row],[t1_Ph_II]],Table2[[#This Row],[I_0]]+(Table2[[#This Row],[Vin]]-Vout)/L*Table2[[#This Row],[t1_Ph_II]])</f>
        <v>2.4454097794421745</v>
      </c>
      <c r="R19" s="4">
        <f>CHOOSE(Table2[[#This Row],[Mode Digit]],0,0,Table2[[#This Row],[I_1]]+Table2[[#This Row],[Vin]]/L*Table2[[#This Row],[t2_Ph_I]])</f>
        <v>0</v>
      </c>
      <c r="S19" s="409">
        <f>Fsw*(Table2[[#This Row],[I_0]]*Table2[[#This Row],[t1_Ph_II]]+Table2[[#This Row],[I_1]]*Table2[[#This Row],[t2_Ph_I]]+Table2[[#This Row],[I_2]]*Table2[[#This Row],[t3_Ph_III]])</f>
        <v>0.62551637079873301</v>
      </c>
      <c r="T19" s="354">
        <f>MIN(1,CHOOSE(Table2[[#This Row],[Mode Digit]],(Vout+(Rdson2+Rs+Rdcr)*Table2[[#This Row],[Iout]])/(Table2[[#This Row],[Vin]]+(Rs+Rdson2-Rdson1)*Table2[[#This Row],[Iout]]),1,Fsw*Table2[[#This Row],[t2_Ph_I]]+Table2[[#This Row],[t1_Ph_II]]))</f>
        <v>0.7306404039394091</v>
      </c>
      <c r="U19" s="354">
        <f>MIN(1,CHOOSE(Table2[[#This Row],[Mode Digit]],0,(Vout+(Rdson3+Rdcr)*Table2[[#This Row],[Iin]]-Table2[[#This Row],[Vin]])/(Vout+(Rdson3-Rdson4-Rs)*Table2[[#This Row],[Iin]]),Fsw*Table2[[#This Row],[t1_Ph_II]]+Table2[[#This Row],[t3_Ph_III]]))</f>
        <v>0</v>
      </c>
      <c r="V19" s="4">
        <f>MAX(Table2[[#This Row],[I_0]:[I_2]])-MIN(Table2[[#This Row],[I_0]:[I_1]])</f>
        <v>2.4908195588843491</v>
      </c>
      <c r="W19"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1.3989335841669068</v>
      </c>
      <c r="X19" s="354">
        <f>(Table2[[#This Row],[Irms Lf]]^2*Rdcr*(1+Ltc*Ta-Ltc*25))/(1-Table2[[#This Row],[Irms Lf]]^2*Rdcr*Ltc*ThetaCa)</f>
        <v>1.136100442020424E-2</v>
      </c>
      <c r="Y19" s="354">
        <f>ABS(7.759*10^-3*Fsw^0.9458*(0.00787*Table2[[#This Row],[Ripple Current pk-pk]])^2.304)</f>
        <v>0.26319617396216377</v>
      </c>
      <c r="Z19" s="354">
        <f>Table2[[#This Row],[DCR    Loss]]+Table2[[#This Row],[Core Loss]]</f>
        <v>0.27455717838236804</v>
      </c>
      <c r="AA19" s="4">
        <f>IF(Table2[[#This Row],[Vin]]&gt;Vout, Table2[[#This Row],[Ripple Current pk-pk]]/SQRT(12), SQRT(Table2[[#This Row],[Duty Cycle BOOST Leg]]/(1-Table2[[#This Row],[Duty Cycle BOOST Leg]]))*SQRT(Table2[[#This Row],[Iout]]^2+(Table2[[#This Row],[Ripple Current pk-pk]]^2)/12))</f>
        <v>0.71903767141233199</v>
      </c>
      <c r="AB19" s="354">
        <f>RCoutEsr*Table2[[#This Row],[Irms Cout]]^2</f>
        <v>2.5850758645503437E-3</v>
      </c>
      <c r="AC19" s="354">
        <f>Table2[[#This Row],[Cout ESR Loss]]</f>
        <v>2.5850758645503437E-3</v>
      </c>
      <c r="AD19" s="4">
        <f>IF(Table2[[#This Row],[Vin]]&gt;Vout, SQRT(Table2[[#This Row],[Duty Cycle BUCK Leg]]*(1-Table2[[#This Row],[Duty Cycle BUCK Leg]]))*SQRT(Table2[[#This Row],[Iout]]^2+(Table2[[#This Row],[Ripple Current pk-pk]]^2)/12), Table2[[#This Row],[Ripple Current pk-pk]]/SQRT(12))</f>
        <v>0.62060484937754201</v>
      </c>
      <c r="AE19" s="354">
        <f>RCinEsr*Table2[[#This Row],[Irms Cin]]^2</f>
        <v>7.7030075814184316E-4</v>
      </c>
      <c r="AF19" s="549">
        <f>Table2[[#This Row],[Cin ESR Loss]]</f>
        <v>7.7030075814184316E-4</v>
      </c>
      <c r="AG19" s="354">
        <f>Table2[[#This Row],[Irms Lf]]</f>
        <v>1.3989335841669068</v>
      </c>
      <c r="AH19" s="354">
        <f>Rdson1*Table2[[#This Row],[Irms BuCtrl]]^2</f>
        <v>8.2194637262222869E-3</v>
      </c>
      <c r="AI19" s="354">
        <f>CHOOSE(Table2[[#This Row],[Mode Digit]], (Table2[[#This Row],[Vin]]*Table2[[#This Row],[Iout]]/2)*(Fsw)*(Tr_buck+Tf_buck), 0, (Table2[[#This Row],[Vin]]*Table2[[#This Row],[Avg IL]]/2)*(Fsw/1)*(Tr_buck+Tf_buck))</f>
        <v>0.23799280662760158</v>
      </c>
      <c r="AJ19">
        <f>IF(Table2[[#This Row],[Vin]]&gt;Vout, IF(Table2[[#This Row],[Iout]]&gt;Table2[[#This Row],[Ripple Current pk-pk]]/2,0,ABS(Table2[[#This Row],[Iout]]-Table2[[#This Row],[Ripple Current pk-pk]]/2)*Vsd_Q1*Deadtime*Fsw),0)</f>
        <v>1.0924295511517436E-3</v>
      </c>
      <c r="AK19" s="354">
        <f>(Table2[[#This Row],[Dead Time Loss BuCtrl]]+Table2[[#This Row],[Transition Loss BuCtrl]]+Table2[[#This Row],[RDS(on) Loss BuCtrl]]*(1+RdsonTopTc*Ta-RdsonTopTc*25))/(1-Table2[[#This Row],[RDS(on) Loss BuCtrl]]*RdsonTopTc*ThetaJA_Q1)</f>
        <v>0.24779351505904462</v>
      </c>
      <c r="AL19" s="354">
        <f>Table2[[#This Row],[Irms Lf]]</f>
        <v>1.3989335841669068</v>
      </c>
      <c r="AM19" s="354">
        <f>Rdson2*Table2[[#This Row],[Irms BuSync]]^2</f>
        <v>8.2194637262222869E-3</v>
      </c>
      <c r="AN19"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5.8829572408294596E-2</v>
      </c>
      <c r="AO19" s="354">
        <f>(Table2[[#This Row],[Deadtime Loss BuSync]]+Table2[[#This Row],[RDS(on) Loss BuSync]]*(1+RdsonBotTc*Ta-RdsonBotTc*25))/(1-Table2[[#This Row],[RDS(on) Loss BuSync]]*RdsonBotTc*ThetaJA_Q2)</f>
        <v>6.7181563275896986E-2</v>
      </c>
      <c r="AP19" s="354">
        <f>Table2[[#This Row],[Irms Lf]]</f>
        <v>1.3989335841669068</v>
      </c>
      <c r="AQ19" s="354">
        <f>Rdson4*Table2[[#This Row],[Irms BoCtlr]]^2</f>
        <v>8.2194637262222869E-3</v>
      </c>
      <c r="AR19" s="354">
        <f>CHOOSE(Table2[[#This Row],[Mode Digit]], 0, (Vout*Table2[[#This Row],[Iin]]/2)*(Fsw)*(Tr_boost+Tf_boost), (Vout*Iout/2)*(Fsw/1)*(Tr_boost+Tf_boost))</f>
        <v>0</v>
      </c>
      <c r="AS19" s="354">
        <f>IF(Table2[[#This Row],[Vin]]&gt;Vout, 0, IF(Table2[[#This Row],[Iin]]&gt;Table2[[#This Row],[Ripple Current pk-pk]]/2,0,ABS(Table2[[#This Row],[Iin]]-Table2[[#This Row],[Ripple Current pk-pk]]/2)*Vsd_Q4*Deadtime*Fsw))</f>
        <v>0</v>
      </c>
      <c r="AT19" s="354">
        <f>(Table2[[#This Row],[Dead Time Loss BoCtlr]]+Table2[[#This Row],[Transition Loss BoCtlr]]+Table2[[#This Row],[RDS(on) Loss BoCtlr]]*(1+RdsonTopTc*Ta-RdsonTopTc*25))/(1-Table2[[#This Row],[RDS(on) Loss BoCtlr]]*RdsonTopTc*ThetaJA_Q4)</f>
        <v>8.2357100750755103E-3</v>
      </c>
      <c r="AU19" s="354">
        <f>Table2[[#This Row],[Irms Lf]]</f>
        <v>1.3989335841669068</v>
      </c>
      <c r="AV19" s="354">
        <f>Rdson3*Table2[[#This Row],[Irms BoSync]]^2</f>
        <v>8.2194637262222869E-3</v>
      </c>
      <c r="AW19"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9" s="354">
        <f>(Table2[[#This Row],[Deadtime Loss BoSync]]+Table2[[#This Row],[RDS(on) Loss BoSync]]*(1+RdsonBotTc*Ta-RdsonBotTc*25))/(1-Table2[[#This Row],[RDS(on) Loss BoSync]]*RdsonBotTc*ThetaJA_Q3)</f>
        <v>8.2357100750755103E-3</v>
      </c>
      <c r="AY19" s="354">
        <f>CHOOSE(Table2[[#This Row],[Mode Digit]], Rdson3*Table2[[#This Row],[Irms Lf]]^2, Rdson1*Table2[[#This Row],[Irms Lf]]^2, 0)</f>
        <v>8.2194637262222869E-3</v>
      </c>
      <c r="AZ19" s="354">
        <f>CHOOSE(Table2[[#This Row],[Mode Digit]], 2*Deadtime*Fsw*IF(VfdSky_Q2&gt;0,VfdSky_Q2,0)*Table2[[#This Row],[Iout]], 2*Deadtime*Fsw*IF(VfdSky_Q3&gt;0,VfdSky_Q3,0)*Table2[[#This Row],[Iin]], 2*Deadtime*Fsw*IF(VfdSky_Q2&gt;0,VfdSky_Q2,0)*Table2[[#This Row],[Iout]]+2*Deadtime*Fsw*IF(VfdSky_Q3&gt;0,VfdSky_Q3,0)*Table2[[#This Row],[Iin]])</f>
        <v>0</v>
      </c>
      <c r="BA1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2.3993952000000002E-2</v>
      </c>
      <c r="BB1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2.3993952000000002E-2</v>
      </c>
      <c r="BC19" s="354">
        <f>CHOOSE(Table2[[#This Row],[Mode Digit]], Rs*Table2[[#This Row],[Irms BuSync]]^2, Rs*Table2[[#This Row],[Irms BoCtlr]]^2, Rs*(Table2[[#This Row],[Irms BuSync]]^2+Table2[[#This Row],[Irms BoCtlr]]^2))</f>
        <v>4.8925379322751709E-3</v>
      </c>
      <c r="BD19" s="354">
        <f t="shared" si="1"/>
        <v>1.44</v>
      </c>
      <c r="BE19" s="354">
        <f>IF(Vout&gt;8, Iq*Vout, Iq*Table2[[#This Row],[Vin]])</f>
        <v>4.3799999999999999E-2</v>
      </c>
      <c r="BF19" s="354">
        <f>CHOOSE(Table2[[#This Row],[Mode Digit]], (Qg_Q1+Qg_Q2)*Fsw, (Qg_Q3+Qg_Q4)*Fsw, (Qg_Q1+Qg_Q2+Qg_Q3+Qg_Q4)*Fsw)*IF(Vout&gt;8, Vout, Table2[[#This Row],[Vin]])</f>
        <v>0.47303999999999996</v>
      </c>
      <c r="BG19" s="354">
        <f t="shared" si="4"/>
        <v>0.45605042016806729</v>
      </c>
      <c r="BH19" s="354">
        <f>Table2[[#This Row],[IQ Loss]]+Table2[[#This Row],[Switching Current Loss]]</f>
        <v>0.51683999999999997</v>
      </c>
      <c r="BI19"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2.6190794954224277</v>
      </c>
      <c r="BJ19">
        <f>Vout*Table2[[#This Row],[Iout]]</f>
        <v>17.52</v>
      </c>
      <c r="BK19" s="550">
        <f>Table2[[#This Row],[Pout]]/(Table2[[#This Row],[Pout]]+Table2[[#This Row],[Total Loss]])</f>
        <v>0.8699503869569738</v>
      </c>
      <c r="BL19" s="559">
        <f>IF(Table2[[#This Row],[Vin]]&gt;Vout,ThetaJA_Q1*(Table2[[#This Row],[Total Control Bu MOSFET Loss]]+Table2[[#This Row],[Reverse Recovery Loss MOSFET D BUCK]]),ThetaJA_Q4*(Table2[[#This Row],[Total Control Bo MOSFET Loss]]+Table2[[#This Row],[Reverse Recovery Loss MOSFET D BOOST]]))</f>
        <v>16.307248023542677</v>
      </c>
      <c r="BM19" s="559">
        <f>IF(Table2[[#This Row],[Vin]]&gt;Vout, Table2[[#This Row],[Total Sync Bu MOSFET Loss]]*ThetaJA_Q2, ThetaJA_Q3*Table2[[#This Row],[Total Sync Bo MOSFET Loss]])</f>
        <v>4.0308937965538192</v>
      </c>
      <c r="BN19" s="9"/>
      <c r="BO19" s="4">
        <f>Table2[[#This Row],[EFF, h]]*100</f>
        <v>86.995038695697374</v>
      </c>
      <c r="BP19" s="354">
        <f>Table2[[#This Row],[Total Inductor Loss]]</f>
        <v>0.27455717838236804</v>
      </c>
      <c r="BQ19" s="354">
        <f>Table2[[#This Row],[Total Control Bu MOSFET Loss]]+Table2[[#This Row],[Total Sync Bu MOSFET Loss]]+Table2[[#This Row],[Total Control Bo MOSFET Loss]]+Table2[[#This Row],[Total Sync Bo MOSFET Loss]]+Table2[[#This Row],[Reverse Recovery Loss MOSFET D BUCK]]+Table2[[#This Row],[Reverse Recovery Loss MOSFET D BOOST]]</f>
        <v>0.37943440248509258</v>
      </c>
      <c r="BR19" s="354">
        <f xml:space="preserve"> Table2[[#This Row],[Total Control Bu MOSFET Loss]]+Table2[[#This Row],[Reverse Recovery Loss MOSFET D BUCK]]*0.66</f>
        <v>0.26362952337904461</v>
      </c>
      <c r="BS19" s="354">
        <f>Table2[[#This Row],[Total Sync Bu MOSFET Loss]]+Table2[[#This Row],[Reverse Recovery Loss MOSFET D BUCK]]*0.33</f>
        <v>7.5099567435896991E-2</v>
      </c>
      <c r="BT19" s="354">
        <f xml:space="preserve"> Table2[[#This Row],[Total Control Bo MOSFET Loss]]+Table2[[#This Row],[Reverse Recovery Loss MOSFET D BOOST]]*0.66</f>
        <v>2.4071718395075513E-2</v>
      </c>
      <c r="BU19" s="354">
        <f xml:space="preserve"> Table2[[#This Row],[Total Sync Bo MOSFET Loss]]+Table2[[#This Row],[Reverse Recovery Loss MOSFET D BOOST]]*0.33</f>
        <v>1.6153714235075511E-2</v>
      </c>
      <c r="BV19" s="354">
        <f>Table2[[#This Row],[Isense Shunt Loss]]</f>
        <v>4.8925379322751709E-3</v>
      </c>
      <c r="BZ19" t="s">
        <v>144</v>
      </c>
      <c r="CB19" s="18"/>
      <c r="CC19" s="19"/>
    </row>
    <row r="20" spans="1:92" x14ac:dyDescent="0.2">
      <c r="A20" s="35" t="s">
        <v>86</v>
      </c>
      <c r="B20" s="39">
        <f>Ltc*1000000</f>
        <v>4000</v>
      </c>
      <c r="C20" s="441" t="s">
        <v>85</v>
      </c>
      <c r="D20" s="21" t="s">
        <v>99</v>
      </c>
      <c r="G20">
        <v>11</v>
      </c>
      <c r="H20" s="555">
        <f t="shared" si="0"/>
        <v>20</v>
      </c>
      <c r="I20" s="4" t="str">
        <f>IF(Mode = 2,IF(Table2[[#This Row],[Vin]]&gt;Vout, "BUCK","BOOST"),IF(Table2[[#This Row],[Vin]]&gt;VIN_BB_to_buck, "BUCK", IF(Table2[[#This Row],[Vin]]&lt;=VIN_boost_to_BB,"BOOST","BUCK-BST")))</f>
        <v>BUCK</v>
      </c>
      <c r="J20">
        <f>IF(Table2[[#This Row],[Mode]]="BOOST",2, IF(Table2[[#This Row],[Mode]]="BUCK", 1,3))</f>
        <v>1</v>
      </c>
      <c r="K20" s="354">
        <f t="shared" si="3"/>
        <v>1.32</v>
      </c>
      <c r="L20" s="4">
        <f>Vout*Table2[[#This Row],[Iout]]/(Table2[[#This Row],[Vin]]*Efficiency)</f>
        <v>1.0143157894736843</v>
      </c>
      <c r="M20" s="711">
        <f>MIN(1/Fsw,CHOOSE(Table2[[#This Row],[Mode Digit]],(Vout+(Rdson2+Rs+Rdcr)*Table2[[#This Row],[Iout]])/(Table2[[#This Row],[Vin]]+(Rs+Rdson2-Rdson1)*Table2[[#This Row],[Iout]])/Fsw,(Vout+(Rdson3+Rdcr)*Table2[[#This Row],[Iin]]-Table2[[#This Row],[Vin]])/(Vout+(Rdson3-Rdson4-Rs)*Table2[[#This Row],[Iin]])/Fsw,t1_Ph_II))</f>
        <v>1.2178407229473802E-6</v>
      </c>
      <c r="N20" s="602">
        <f>CHOOSE(Table2[[#This Row],[Mode Digit]],1/Fsw-Table2[[#This Row],[t1_Ph_II]],1/Fsw-Table2[[#This Row],[t1_Ph_II]],(Vout/Fsw-Table2[[#This Row],[Vin]]*t1_Ph_II)/(Table2[[#This Row],[Vin]]+Vout))</f>
        <v>4.4882594371928643E-7</v>
      </c>
      <c r="O20" s="602">
        <f>1/Fsw-(Table2[[#This Row],[t1_Ph_II]]+Table2[[#This Row],[t2_Ph_I]])</f>
        <v>0</v>
      </c>
      <c r="P20"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7.4481078803815715E-2</v>
      </c>
      <c r="Q20" s="4">
        <f>CHOOSE(Table2[[#This Row],[Mode Digit]],Table2[[#This Row],[I_0]]+1/Lf*(Table2[[#This Row],[Vin]]-Vout)*Table2[[#This Row],[t1_Ph_II]],Table2[[#This Row],[I_0]]+1/Lf*Table2[[#This Row],[Vin]]*Table2[[#This Row],[t1_Ph_II]],Table2[[#This Row],[I_0]]+(Table2[[#This Row],[Vin]]-Vout)/L*Table2[[#This Row],[t1_Ph_II]])</f>
        <v>2.5655189211961842</v>
      </c>
      <c r="R20" s="4">
        <f>CHOOSE(Table2[[#This Row],[Mode Digit]],0,0,Table2[[#This Row],[I_1]]+Table2[[#This Row],[Vin]]/L*Table2[[#This Row],[t2_Ph_I]])</f>
        <v>0</v>
      </c>
      <c r="S20" s="409">
        <f>Fsw*(Table2[[#This Row],[I_0]]*Table2[[#This Row],[t1_Ph_II]]+Table2[[#This Row],[I_1]]*Table2[[#This Row],[t2_Ph_I]]+Table2[[#This Row],[I_2]]*Table2[[#This Row],[t3_Ph_III]])</f>
        <v>0.74530652507514172</v>
      </c>
      <c r="T20" s="354">
        <f>MIN(1,CHOOSE(Table2[[#This Row],[Mode Digit]],(Vout+(Rdson2+Rs+Rdcr)*Table2[[#This Row],[Iout]])/(Table2[[#This Row],[Vin]]+(Rs+Rdson2-Rdson1)*Table2[[#This Row],[Iout]]),1,Fsw*Table2[[#This Row],[t2_Ph_I]]+Table2[[#This Row],[t1_Ph_II]]))</f>
        <v>0.7307044337684282</v>
      </c>
      <c r="U20" s="354">
        <f>MIN(1,CHOOSE(Table2[[#This Row],[Mode Digit]],0,(Vout+(Rdson3+Rdcr)*Table2[[#This Row],[Iin]]-Table2[[#This Row],[Vin]])/(Vout+(Rdson3-Rdson4-Rs)*Table2[[#This Row],[Iin]]),Fsw*Table2[[#This Row],[t1_Ph_II]]+Table2[[#This Row],[t3_Ph_III]]))</f>
        <v>0</v>
      </c>
      <c r="V20" s="4">
        <f>MAX(Table2[[#This Row],[I_0]:[I_2]])-MIN(Table2[[#This Row],[I_0]:[I_1]])</f>
        <v>2.4910378423923687</v>
      </c>
      <c r="W20"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1.5031652584970721</v>
      </c>
      <c r="X20" s="354">
        <f>(Table2[[#This Row],[Irms Lf]]^2*Rdcr*(1+Ltc*Ta-Ltc*25))/(1-Table2[[#This Row],[Irms Lf]]^2*Rdcr*Ltc*ThetaCa)</f>
        <v>1.311888758921571E-2</v>
      </c>
      <c r="Y20" s="354">
        <f>ABS(7.759*10^-3*Fsw^0.9458*(0.00787*Table2[[#This Row],[Ripple Current pk-pk]])^2.304)</f>
        <v>0.26324931934234191</v>
      </c>
      <c r="Z20" s="354">
        <f>Table2[[#This Row],[DCR    Loss]]+Table2[[#This Row],[Core Loss]]</f>
        <v>0.27636820693155761</v>
      </c>
      <c r="AA20" s="4">
        <f>IF(Table2[[#This Row],[Vin]]&gt;Vout, Table2[[#This Row],[Ripple Current pk-pk]]/SQRT(12), SQRT(Table2[[#This Row],[Duty Cycle BOOST Leg]]/(1-Table2[[#This Row],[Duty Cycle BOOST Leg]]))*SQRT(Table2[[#This Row],[Iout]]^2+(Table2[[#This Row],[Ripple Current pk-pk]]^2)/12))</f>
        <v>0.71910068443338937</v>
      </c>
      <c r="AB20" s="354">
        <f>RCoutEsr*Table2[[#This Row],[Irms Cout]]^2</f>
        <v>2.5855289717628457E-3</v>
      </c>
      <c r="AC20" s="354">
        <f>Table2[[#This Row],[Cout ESR Loss]]</f>
        <v>2.5855289717628457E-3</v>
      </c>
      <c r="AD20" s="4">
        <f>IF(Table2[[#This Row],[Vin]]&gt;Vout, SQRT(Table2[[#This Row],[Duty Cycle BUCK Leg]]*(1-Table2[[#This Row],[Duty Cycle BUCK Leg]]))*SQRT(Table2[[#This Row],[Iout]]^2+(Table2[[#This Row],[Ripple Current pk-pk]]^2)/12), Table2[[#This Row],[Ripple Current pk-pk]]/SQRT(12))</f>
        <v>0.66679479724707513</v>
      </c>
      <c r="AE20" s="354">
        <f>RCinEsr*Table2[[#This Row],[Irms Cin]]^2</f>
        <v>8.8923060327153599E-4</v>
      </c>
      <c r="AF20" s="549">
        <f>Table2[[#This Row],[Cin ESR Loss]]</f>
        <v>8.8923060327153599E-4</v>
      </c>
      <c r="AG20" s="354">
        <f>Table2[[#This Row],[Irms Lf]]</f>
        <v>1.5031652584970721</v>
      </c>
      <c r="AH20" s="354">
        <f>Rdson1*Table2[[#This Row],[Irms BuCtrl]]^2</f>
        <v>9.4899243362807934E-3</v>
      </c>
      <c r="AI20" s="354">
        <f>CHOOSE(Table2[[#This Row],[Mode Digit]], (Table2[[#This Row],[Vin]]*Table2[[#This Row],[Iout]]/2)*(Fsw)*(Tr_buck+Tf_buck), 0, (Table2[[#This Row],[Vin]]*Table2[[#This Row],[Avg IL]]/2)*(Fsw/1)*(Tr_buck+Tf_buck))</f>
        <v>0.26179208729036174</v>
      </c>
      <c r="AJ20">
        <f>IF(Table2[[#This Row],[Vin]]&gt;Vout, IF(Table2[[#This Row],[Iout]]&gt;Table2[[#This Row],[Ripple Current pk-pk]]/2,0,ABS(Table2[[#This Row],[Iout]]-Table2[[#This Row],[Ripple Current pk-pk]]/2)*Vsd_Q1*Deadtime*Fsw),0)</f>
        <v>0</v>
      </c>
      <c r="AK20" s="354">
        <f>(Table2[[#This Row],[Dead Time Loss BuCtrl]]+Table2[[#This Row],[Transition Loss BuCtrl]]+Table2[[#This Row],[RDS(on) Loss BuCtrl]]*(1+RdsonTopTc*Ta-RdsonTopTc*25))/(1-Table2[[#This Row],[RDS(on) Loss BuCtrl]]*RdsonTopTc*ThetaJA_Q1)</f>
        <v>0.2719012890650821</v>
      </c>
      <c r="AL20" s="354">
        <f>Table2[[#This Row],[Irms Lf]]</f>
        <v>1.5031652584970721</v>
      </c>
      <c r="AM20" s="354">
        <f>Rdson2*Table2[[#This Row],[Irms BuSync]]^2</f>
        <v>9.4899243362807934E-3</v>
      </c>
      <c r="AN20"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6.3510857142857147E-2</v>
      </c>
      <c r="AO20" s="354">
        <f>(Table2[[#This Row],[Deadtime Loss BuSync]]+Table2[[#This Row],[RDS(on) Loss BuSync]]*(1+RdsonBotTc*Ta-RdsonBotTc*25))/(1-Table2[[#This Row],[RDS(on) Loss BuSync]]*RdsonBotTc*ThetaJA_Q2)</f>
        <v>7.3167426280565856E-2</v>
      </c>
      <c r="AP20" s="354">
        <f>Table2[[#This Row],[Irms Lf]]</f>
        <v>1.5031652584970721</v>
      </c>
      <c r="AQ20" s="354">
        <f>Rdson4*Table2[[#This Row],[Irms BoCtlr]]^2</f>
        <v>9.4899243362807934E-3</v>
      </c>
      <c r="AR20" s="354">
        <f>CHOOSE(Table2[[#This Row],[Mode Digit]], 0, (Vout*Table2[[#This Row],[Iin]]/2)*(Fsw)*(Tr_boost+Tf_boost), (Vout*Iout/2)*(Fsw/1)*(Tr_boost+Tf_boost))</f>
        <v>0</v>
      </c>
      <c r="AS20" s="354">
        <f>IF(Table2[[#This Row],[Vin]]&gt;Vout, 0, IF(Table2[[#This Row],[Iin]]&gt;Table2[[#This Row],[Ripple Current pk-pk]]/2,0,ABS(Table2[[#This Row],[Iin]]-Table2[[#This Row],[Ripple Current pk-pk]]/2)*Vsd_Q4*Deadtime*Fsw))</f>
        <v>0</v>
      </c>
      <c r="AT20" s="354">
        <f>(Table2[[#This Row],[Dead Time Loss BoCtlr]]+Table2[[#This Row],[Transition Loss BoCtlr]]+Table2[[#This Row],[RDS(on) Loss BoCtlr]]*(1+RdsonTopTc*Ta-RdsonTopTc*25))/(1-Table2[[#This Row],[RDS(on) Loss BoCtlr]]*RdsonTopTc*ThetaJA_Q4)</f>
        <v>9.5115877558297653E-3</v>
      </c>
      <c r="AU20" s="354">
        <f>Table2[[#This Row],[Irms Lf]]</f>
        <v>1.5031652584970721</v>
      </c>
      <c r="AV20" s="354">
        <f>Rdson3*Table2[[#This Row],[Irms BoSync]]^2</f>
        <v>9.4899243362807934E-3</v>
      </c>
      <c r="AW20"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20" s="354">
        <f>(Table2[[#This Row],[Deadtime Loss BoSync]]+Table2[[#This Row],[RDS(on) Loss BoSync]]*(1+RdsonBotTc*Ta-RdsonBotTc*25))/(1-Table2[[#This Row],[RDS(on) Loss BoSync]]*RdsonBotTc*ThetaJA_Q3)</f>
        <v>9.5115877558297653E-3</v>
      </c>
      <c r="AY20" s="354">
        <f>CHOOSE(Table2[[#This Row],[Mode Digit]], Rdson3*Table2[[#This Row],[Irms Lf]]^2, Rdson1*Table2[[#This Row],[Irms Lf]]^2, 0)</f>
        <v>9.4899243362807934E-3</v>
      </c>
      <c r="AZ20" s="354">
        <f>CHOOSE(Table2[[#This Row],[Mode Digit]], 2*Deadtime*Fsw*IF(VfdSky_Q2&gt;0,VfdSky_Q2,0)*Table2[[#This Row],[Iout]], 2*Deadtime*Fsw*IF(VfdSky_Q3&gt;0,VfdSky_Q3,0)*Table2[[#This Row],[Iin]], 2*Deadtime*Fsw*IF(VfdSky_Q2&gt;0,VfdSky_Q2,0)*Table2[[#This Row],[Iout]]+2*Deadtime*Fsw*IF(VfdSky_Q3&gt;0,VfdSky_Q3,0)*Table2[[#This Row],[Iin]])</f>
        <v>0</v>
      </c>
      <c r="BA2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2.6392681920000004E-2</v>
      </c>
      <c r="BB2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2.6392681920000004E-2</v>
      </c>
      <c r="BC20" s="354">
        <f>CHOOSE(Table2[[#This Row],[Mode Digit]], Rs*Table2[[#This Row],[Irms BuSync]]^2, Rs*Table2[[#This Row],[Irms BoCtlr]]^2, Rs*(Table2[[#This Row],[Irms BuSync]]^2+Table2[[#This Row],[Irms BoCtlr]]^2))</f>
        <v>5.6487644858814233E-3</v>
      </c>
      <c r="BD20" s="354">
        <f t="shared" si="1"/>
        <v>1.44</v>
      </c>
      <c r="BE20" s="354">
        <f>IF(Vout&gt;8, Iq*Vout, Iq*Table2[[#This Row],[Vin]])</f>
        <v>4.3799999999999999E-2</v>
      </c>
      <c r="BF20" s="354">
        <f>CHOOSE(Table2[[#This Row],[Mode Digit]], (Qg_Q1+Qg_Q2)*Fsw, (Qg_Q3+Qg_Q4)*Fsw, (Qg_Q1+Qg_Q2+Qg_Q3+Qg_Q4)*Fsw)*IF(Vout&gt;8, Vout, Table2[[#This Row],[Vin]])</f>
        <v>0.47303999999999996</v>
      </c>
      <c r="BG20" s="354">
        <f t="shared" si="4"/>
        <v>0.45605042016806729</v>
      </c>
      <c r="BH20" s="354">
        <f>Table2[[#This Row],[IQ Loss]]+Table2[[#This Row],[Switching Current Loss]]</f>
        <v>0.51683999999999997</v>
      </c>
      <c r="BI20"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2.6592089856897809</v>
      </c>
      <c r="BJ20">
        <f>Vout*Table2[[#This Row],[Iout]]</f>
        <v>19.272000000000002</v>
      </c>
      <c r="BK20" s="550">
        <f>Table2[[#This Row],[Pout]]/(Table2[[#This Row],[Pout]]+Table2[[#This Row],[Total Loss]])</f>
        <v>0.87874772487805275</v>
      </c>
      <c r="BL20" s="559">
        <f>IF(Table2[[#This Row],[Vin]]&gt;Vout,ThetaJA_Q1*(Table2[[#This Row],[Total Control Bu MOSFET Loss]]+Table2[[#This Row],[Reverse Recovery Loss MOSFET D BUCK]]),ThetaJA_Q4*(Table2[[#This Row],[Total Control Bo MOSFET Loss]]+Table2[[#This Row],[Reverse Recovery Loss MOSFET D BOOST]]))</f>
        <v>17.897638259104927</v>
      </c>
      <c r="BM20" s="559">
        <f>IF(Table2[[#This Row],[Vin]]&gt;Vout, Table2[[#This Row],[Total Sync Bu MOSFET Loss]]*ThetaJA_Q2, ThetaJA_Q3*Table2[[#This Row],[Total Sync Bo MOSFET Loss]])</f>
        <v>4.390045576833951</v>
      </c>
      <c r="BN20" s="9"/>
      <c r="BO20" s="4">
        <f>Table2[[#This Row],[EFF, h]]*100</f>
        <v>87.874772487805274</v>
      </c>
      <c r="BP20" s="354">
        <f>Table2[[#This Row],[Total Inductor Loss]]</f>
        <v>0.27636820693155761</v>
      </c>
      <c r="BQ20" s="354">
        <f>Table2[[#This Row],[Total Control Bu MOSFET Loss]]+Table2[[#This Row],[Total Sync Bu MOSFET Loss]]+Table2[[#This Row],[Total Control Bo MOSFET Loss]]+Table2[[#This Row],[Total Sync Bo MOSFET Loss]]+Table2[[#This Row],[Reverse Recovery Loss MOSFET D BUCK]]+Table2[[#This Row],[Reverse Recovery Loss MOSFET D BOOST]]</f>
        <v>0.41687725469730752</v>
      </c>
      <c r="BR20" s="354">
        <f xml:space="preserve"> Table2[[#This Row],[Total Control Bu MOSFET Loss]]+Table2[[#This Row],[Reverse Recovery Loss MOSFET D BUCK]]*0.66</f>
        <v>0.2893204591322821</v>
      </c>
      <c r="BS20" s="354">
        <f>Table2[[#This Row],[Total Sync Bu MOSFET Loss]]+Table2[[#This Row],[Reverse Recovery Loss MOSFET D BUCK]]*0.33</f>
        <v>8.187701131416586E-2</v>
      </c>
      <c r="BT20" s="354">
        <f xml:space="preserve"> Table2[[#This Row],[Total Control Bo MOSFET Loss]]+Table2[[#This Row],[Reverse Recovery Loss MOSFET D BOOST]]*0.66</f>
        <v>2.6930757823029769E-2</v>
      </c>
      <c r="BU20" s="354">
        <f xml:space="preserve"> Table2[[#This Row],[Total Sync Bo MOSFET Loss]]+Table2[[#This Row],[Reverse Recovery Loss MOSFET D BOOST]]*0.33</f>
        <v>1.8221172789429765E-2</v>
      </c>
      <c r="BV20" s="354">
        <f>Table2[[#This Row],[Isense Shunt Loss]]</f>
        <v>5.6487644858814233E-3</v>
      </c>
      <c r="CB20" s="18"/>
      <c r="CC20" s="19"/>
    </row>
    <row r="21" spans="1:92" x14ac:dyDescent="0.2">
      <c r="A21" s="25" t="s">
        <v>157</v>
      </c>
      <c r="B21" s="39">
        <f>ThetaCa</f>
        <v>20</v>
      </c>
      <c r="C21" s="441" t="s">
        <v>237</v>
      </c>
      <c r="D21" s="26" t="s">
        <v>158</v>
      </c>
      <c r="G21">
        <v>12</v>
      </c>
      <c r="H21" s="555">
        <f t="shared" si="0"/>
        <v>20</v>
      </c>
      <c r="I21" s="4" t="str">
        <f>IF(Mode = 2,IF(Table2[[#This Row],[Vin]]&gt;Vout, "BUCK","BOOST"),IF(Table2[[#This Row],[Vin]]&gt;VIN_BB_to_buck, "BUCK", IF(Table2[[#This Row],[Vin]]&lt;=VIN_boost_to_BB,"BOOST","BUCK-BST")))</f>
        <v>BUCK</v>
      </c>
      <c r="J21">
        <f>IF(Table2[[#This Row],[Mode]]="BOOST",2, IF(Table2[[#This Row],[Mode]]="BUCK", 1,3))</f>
        <v>1</v>
      </c>
      <c r="K21" s="354">
        <f t="shared" si="3"/>
        <v>1.44</v>
      </c>
      <c r="L21" s="4">
        <f>Vout*Table2[[#This Row],[Iout]]/(Table2[[#This Row],[Vin]]*Efficiency)</f>
        <v>1.1065263157894736</v>
      </c>
      <c r="M21" s="711">
        <f>MIN(1/Fsw,CHOOSE(Table2[[#This Row],[Mode Digit]],(Vout+(Rdson2+Rs+Rdcr)*Table2[[#This Row],[Iout]])/(Table2[[#This Row],[Vin]]+(Rs+Rdson2-Rdson1)*Table2[[#This Row],[Iout]])/Fsw,(Vout+(Rdson3+Rdcr)*Table2[[#This Row],[Iin]]-Table2[[#This Row],[Vin]])/(Vout+(Rdson3-Rdson4-Rs)*Table2[[#This Row],[Iin]])/Fsw,t1_Ph_II))</f>
        <v>1.2179474361281636E-6</v>
      </c>
      <c r="N21" s="602">
        <f>CHOOSE(Table2[[#This Row],[Mode Digit]],1/Fsw-Table2[[#This Row],[t1_Ph_II]],1/Fsw-Table2[[#This Row],[t1_Ph_II]],(Vout/Fsw-Table2[[#This Row],[Vin]]*t1_Ph_II)/(Table2[[#This Row],[Vin]]+Vout))</f>
        <v>4.4871923053850302E-7</v>
      </c>
      <c r="O21" s="602">
        <f>1/Fsw-(Table2[[#This Row],[t1_Ph_II]]+Table2[[#This Row],[t2_Ph_I]])</f>
        <v>0</v>
      </c>
      <c r="P21"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0.19437194032346894</v>
      </c>
      <c r="Q21" s="4">
        <f>CHOOSE(Table2[[#This Row],[Mode Digit]],Table2[[#This Row],[I_0]]+1/Lf*(Table2[[#This Row],[Vin]]-Vout)*Table2[[#This Row],[t1_Ph_II]],Table2[[#This Row],[I_0]]+1/Lf*Table2[[#This Row],[Vin]]*Table2[[#This Row],[t1_Ph_II]],Table2[[#This Row],[I_0]]+(Table2[[#This Row],[Vin]]-Vout)/L*Table2[[#This Row],[t1_Ph_II]])</f>
        <v>2.6856280596765307</v>
      </c>
      <c r="R21" s="4">
        <f>CHOOSE(Table2[[#This Row],[Mode Digit]],0,0,Table2[[#This Row],[I_1]]+Table2[[#This Row],[Vin]]/L*Table2[[#This Row],[t2_Ph_I]])</f>
        <v>0</v>
      </c>
      <c r="S21" s="409">
        <f>Fsw*(Table2[[#This Row],[I_0]]*Table2[[#This Row],[t1_Ph_II]]+Table2[[#This Row],[I_1]]*Table2[[#This Row],[t2_Ph_I]]+Table2[[#This Row],[I_2]]*Table2[[#This Row],[t3_Ph_III]])</f>
        <v>0.86509665769373478</v>
      </c>
      <c r="T21" s="354">
        <f>MIN(1,CHOOSE(Table2[[#This Row],[Mode Digit]],(Vout+(Rdson2+Rs+Rdcr)*Table2[[#This Row],[Iout]])/(Table2[[#This Row],[Vin]]+(Rs+Rdson2-Rdson1)*Table2[[#This Row],[Iout]]),1,Fsw*Table2[[#This Row],[t2_Ph_I]]+Table2[[#This Row],[t1_Ph_II]]))</f>
        <v>0.73076846167689824</v>
      </c>
      <c r="U21" s="354">
        <f>MIN(1,CHOOSE(Table2[[#This Row],[Mode Digit]],0,(Vout+(Rdson3+Rdcr)*Table2[[#This Row],[Iin]]-Table2[[#This Row],[Vin]])/(Vout+(Rdson3-Rdson4-Rs)*Table2[[#This Row],[Iin]]),Fsw*Table2[[#This Row],[t1_Ph_II]]+Table2[[#This Row],[t3_Ph_III]]))</f>
        <v>0</v>
      </c>
      <c r="V21" s="4">
        <f>MAX(Table2[[#This Row],[I_0]:[I_2]])-MIN(Table2[[#This Row],[I_0]:[I_1]])</f>
        <v>2.4912561193530616</v>
      </c>
      <c r="W21"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1.6095951108952333</v>
      </c>
      <c r="X21" s="354">
        <f>(Table2[[#This Row],[Irms Lf]]^2*Rdcr*(1+Ltc*Ta-Ltc*25))/(1-Table2[[#This Row],[Irms Lf]]^2*Rdcr*Ltc*ThetaCa)</f>
        <v>1.5044704926105974E-2</v>
      </c>
      <c r="Y21" s="354">
        <f>ABS(7.759*10^-3*Fsw^0.9458*(0.00787*Table2[[#This Row],[Ripple Current pk-pk]])^2.304)</f>
        <v>0.26330246920124573</v>
      </c>
      <c r="Z21" s="354">
        <f>Table2[[#This Row],[DCR    Loss]]+Table2[[#This Row],[Core Loss]]</f>
        <v>0.27834717412735172</v>
      </c>
      <c r="AA21" s="4">
        <f>IF(Table2[[#This Row],[Vin]]&gt;Vout, Table2[[#This Row],[Ripple Current pk-pk]]/SQRT(12), SQRT(Table2[[#This Row],[Duty Cycle BOOST Leg]]/(1-Table2[[#This Row],[Duty Cycle BOOST Leg]]))*SQRT(Table2[[#This Row],[Iout]]^2+(Table2[[#This Row],[Ripple Current pk-pk]]^2)/12))</f>
        <v>0.7191636955643963</v>
      </c>
      <c r="AB21" s="354">
        <f>RCoutEsr*Table2[[#This Row],[Irms Cout]]^2</f>
        <v>2.5859821050891983E-3</v>
      </c>
      <c r="AC21" s="354">
        <f>Table2[[#This Row],[Cout ESR Loss]]</f>
        <v>2.5859821050891983E-3</v>
      </c>
      <c r="AD21" s="4">
        <f>IF(Table2[[#This Row],[Vin]]&gt;Vout, SQRT(Table2[[#This Row],[Duty Cycle BUCK Leg]]*(1-Table2[[#This Row],[Duty Cycle BUCK Leg]]))*SQRT(Table2[[#This Row],[Iout]]^2+(Table2[[#This Row],[Ripple Current pk-pk]]^2)/12), Table2[[#This Row],[Ripple Current pk-pk]]/SQRT(12))</f>
        <v>0.7139528120683597</v>
      </c>
      <c r="AE21" s="354">
        <f>RCinEsr*Table2[[#This Row],[Irms Cin]]^2</f>
        <v>1.0194572357206371E-3</v>
      </c>
      <c r="AF21" s="549">
        <f>Table2[[#This Row],[Cin ESR Loss]]</f>
        <v>1.0194572357206371E-3</v>
      </c>
      <c r="AG21" s="354">
        <f>Table2[[#This Row],[Irms Lf]]</f>
        <v>1.6095951108952333</v>
      </c>
      <c r="AH21" s="354">
        <f>Rdson1*Table2[[#This Row],[Irms BuCtrl]]^2</f>
        <v>1.0881344968274923E-2</v>
      </c>
      <c r="AI21" s="354">
        <f>CHOOSE(Table2[[#This Row],[Mode Digit]], (Table2[[#This Row],[Vin]]*Table2[[#This Row],[Iout]]/2)*(Fsw)*(Tr_buck+Tf_buck), 0, (Table2[[#This Row],[Vin]]*Table2[[#This Row],[Avg IL]]/2)*(Fsw/1)*(Tr_buck+Tf_buck))</f>
        <v>0.2855913679531219</v>
      </c>
      <c r="AJ21">
        <f>IF(Table2[[#This Row],[Vin]]&gt;Vout, IF(Table2[[#This Row],[Iout]]&gt;Table2[[#This Row],[Ripple Current pk-pk]]/2,0,ABS(Table2[[#This Row],[Iout]]-Table2[[#This Row],[Ripple Current pk-pk]]/2)*Vsd_Q1*Deadtime*Fsw),0)</f>
        <v>0</v>
      </c>
      <c r="AK21" s="354">
        <f>(Table2[[#This Row],[Dead Time Loss BuCtrl]]+Table2[[#This Row],[Transition Loss BuCtrl]]+Table2[[#This Row],[RDS(on) Loss BuCtrl]]*(1+RdsonTopTc*Ta-RdsonTopTc*25))/(1-Table2[[#This Row],[RDS(on) Loss BuCtrl]]*RdsonTopTc*ThetaJA_Q1)</f>
        <v>0.29724898542183958</v>
      </c>
      <c r="AL21" s="354">
        <f>Table2[[#This Row],[Irms Lf]]</f>
        <v>1.6095951108952333</v>
      </c>
      <c r="AM21" s="354">
        <f>Rdson2*Table2[[#This Row],[Irms BuSync]]^2</f>
        <v>1.0881344968274923E-2</v>
      </c>
      <c r="AN21"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6.9284571428571431E-2</v>
      </c>
      <c r="AO21" s="354">
        <f>(Table2[[#This Row],[Deadtime Loss BuSync]]+Table2[[#This Row],[RDS(on) Loss BuSync]]*(1+RdsonBotTc*Ta-RdsonBotTc*25))/(1-Table2[[#This Row],[RDS(on) Loss BuSync]]*RdsonBotTc*ThetaJA_Q2)</f>
        <v>8.0375819681902341E-2</v>
      </c>
      <c r="AP21" s="354">
        <f>Table2[[#This Row],[Irms Lf]]</f>
        <v>1.6095951108952333</v>
      </c>
      <c r="AQ21" s="354">
        <f>Rdson4*Table2[[#This Row],[Irms BoCtlr]]^2</f>
        <v>1.0881344968274923E-2</v>
      </c>
      <c r="AR21" s="354">
        <f>CHOOSE(Table2[[#This Row],[Mode Digit]], 0, (Vout*Table2[[#This Row],[Iin]]/2)*(Fsw)*(Tr_boost+Tf_boost), (Vout*Iout/2)*(Fsw/1)*(Tr_boost+Tf_boost))</f>
        <v>0</v>
      </c>
      <c r="AS21" s="354">
        <f>IF(Table2[[#This Row],[Vin]]&gt;Vout, 0, IF(Table2[[#This Row],[Iin]]&gt;Table2[[#This Row],[Ripple Current pk-pk]]/2,0,ABS(Table2[[#This Row],[Iin]]-Table2[[#This Row],[Ripple Current pk-pk]]/2)*Vsd_Q4*Deadtime*Fsw))</f>
        <v>0</v>
      </c>
      <c r="AT21" s="354">
        <f>(Table2[[#This Row],[Dead Time Loss BoCtlr]]+Table2[[#This Row],[Transition Loss BoCtlr]]+Table2[[#This Row],[RDS(on) Loss BoCtlr]]*(1+RdsonTopTc*Ta-RdsonTopTc*25))/(1-Table2[[#This Row],[RDS(on) Loss BoCtlr]]*RdsonTopTc*ThetaJA_Q4)</f>
        <v>1.0909836254314263E-2</v>
      </c>
      <c r="AU21" s="354">
        <f>Table2[[#This Row],[Irms Lf]]</f>
        <v>1.6095951108952333</v>
      </c>
      <c r="AV21" s="354">
        <f>Rdson3*Table2[[#This Row],[Irms BoSync]]^2</f>
        <v>1.0881344968274923E-2</v>
      </c>
      <c r="AW21"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21" s="354">
        <f>(Table2[[#This Row],[Deadtime Loss BoSync]]+Table2[[#This Row],[RDS(on) Loss BoSync]]*(1+RdsonBotTc*Ta-RdsonBotTc*25))/(1-Table2[[#This Row],[RDS(on) Loss BoSync]]*RdsonBotTc*ThetaJA_Q3)</f>
        <v>1.0909836254314263E-2</v>
      </c>
      <c r="AY21" s="354">
        <f>CHOOSE(Table2[[#This Row],[Mode Digit]], Rdson3*Table2[[#This Row],[Irms Lf]]^2, Rdson1*Table2[[#This Row],[Irms Lf]]^2, 0)</f>
        <v>1.0881344968274923E-2</v>
      </c>
      <c r="AZ21" s="354">
        <f>CHOOSE(Table2[[#This Row],[Mode Digit]], 2*Deadtime*Fsw*IF(VfdSky_Q2&gt;0,VfdSky_Q2,0)*Table2[[#This Row],[Iout]], 2*Deadtime*Fsw*IF(VfdSky_Q3&gt;0,VfdSky_Q3,0)*Table2[[#This Row],[Iin]], 2*Deadtime*Fsw*IF(VfdSky_Q2&gt;0,VfdSky_Q2,0)*Table2[[#This Row],[Iout]]+2*Deadtime*Fsw*IF(VfdSky_Q3&gt;0,VfdSky_Q3,0)*Table2[[#This Row],[Iin]])</f>
        <v>0</v>
      </c>
      <c r="BA2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2.8791290880000001E-2</v>
      </c>
      <c r="BB2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2.8791290880000001E-2</v>
      </c>
      <c r="BC21" s="354">
        <f>CHOOSE(Table2[[#This Row],[Mode Digit]], Rs*Table2[[#This Row],[Irms BuSync]]^2, Rs*Table2[[#This Row],[Irms BoCtlr]]^2, Rs*(Table2[[#This Row],[Irms BuSync]]^2+Table2[[#This Row],[Irms BoCtlr]]^2))</f>
        <v>6.4769910525445959E-3</v>
      </c>
      <c r="BD21" s="354">
        <f t="shared" si="1"/>
        <v>1.44</v>
      </c>
      <c r="BE21" s="354">
        <f>IF(Vout&gt;8, Iq*Vout, Iq*Table2[[#This Row],[Vin]])</f>
        <v>4.3799999999999999E-2</v>
      </c>
      <c r="BF21" s="354">
        <f>CHOOSE(Table2[[#This Row],[Mode Digit]], (Qg_Q1+Qg_Q2)*Fsw, (Qg_Q3+Qg_Q4)*Fsw, (Qg_Q1+Qg_Q2+Qg_Q3+Qg_Q4)*Fsw)*IF(Vout&gt;8, Vout, Table2[[#This Row],[Vin]])</f>
        <v>0.47303999999999996</v>
      </c>
      <c r="BG21" s="354">
        <f t="shared" si="4"/>
        <v>0.45605042016806729</v>
      </c>
      <c r="BH21" s="354">
        <f>Table2[[#This Row],[IQ Loss]]+Table2[[#This Row],[Switching Current Loss]]</f>
        <v>0.51683999999999997</v>
      </c>
      <c r="BI21"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2.7022966638930765</v>
      </c>
      <c r="BJ21">
        <f>Vout*Table2[[#This Row],[Iout]]</f>
        <v>21.023999999999997</v>
      </c>
      <c r="BK21" s="550">
        <f>Table2[[#This Row],[Pout]]/(Table2[[#This Row],[Pout]]+Table2[[#This Row],[Total Loss]])</f>
        <v>0.88610541703267753</v>
      </c>
      <c r="BL21" s="559">
        <f>IF(Table2[[#This Row],[Vin]]&gt;Vout,ThetaJA_Q1*(Table2[[#This Row],[Total Control Bu MOSFET Loss]]+Table2[[#This Row],[Reverse Recovery Loss MOSFET D BUCK]]),ThetaJA_Q4*(Table2[[#This Row],[Total Control Bo MOSFET Loss]]+Table2[[#This Row],[Reverse Recovery Loss MOSFET D BOOST]]))</f>
        <v>19.562416578110373</v>
      </c>
      <c r="BM21" s="559">
        <f>IF(Table2[[#This Row],[Vin]]&gt;Vout, Table2[[#This Row],[Total Sync Bu MOSFET Loss]]*ThetaJA_Q2, ThetaJA_Q3*Table2[[#This Row],[Total Sync Bo MOSFET Loss]])</f>
        <v>4.8225491809141401</v>
      </c>
      <c r="BN21" s="9"/>
      <c r="BO21" s="4">
        <f>Table2[[#This Row],[EFF, h]]*100</f>
        <v>88.610541703267756</v>
      </c>
      <c r="BP21" s="354">
        <f>Table2[[#This Row],[Total Inductor Loss]]</f>
        <v>0.27834717412735172</v>
      </c>
      <c r="BQ21" s="354">
        <f>Table2[[#This Row],[Total Control Bu MOSFET Loss]]+Table2[[#This Row],[Total Sync Bu MOSFET Loss]]+Table2[[#This Row],[Total Control Bo MOSFET Loss]]+Table2[[#This Row],[Total Sync Bo MOSFET Loss]]+Table2[[#This Row],[Reverse Recovery Loss MOSFET D BUCK]]+Table2[[#This Row],[Reverse Recovery Loss MOSFET D BOOST]]</f>
        <v>0.45702705937237037</v>
      </c>
      <c r="BR21" s="354">
        <f xml:space="preserve"> Table2[[#This Row],[Total Control Bu MOSFET Loss]]+Table2[[#This Row],[Reverse Recovery Loss MOSFET D BUCK]]*0.66</f>
        <v>0.31625123740263961</v>
      </c>
      <c r="BS21" s="354">
        <f>Table2[[#This Row],[Total Sync Bu MOSFET Loss]]+Table2[[#This Row],[Reverse Recovery Loss MOSFET D BUCK]]*0.33</f>
        <v>8.9876945672302339E-2</v>
      </c>
      <c r="BT21" s="354">
        <f xml:space="preserve"> Table2[[#This Row],[Total Control Bo MOSFET Loss]]+Table2[[#This Row],[Reverse Recovery Loss MOSFET D BOOST]]*0.66</f>
        <v>2.9912088235114265E-2</v>
      </c>
      <c r="BU21" s="354">
        <f xml:space="preserve"> Table2[[#This Row],[Total Sync Bo MOSFET Loss]]+Table2[[#This Row],[Reverse Recovery Loss MOSFET D BOOST]]*0.33</f>
        <v>2.0410962244714264E-2</v>
      </c>
      <c r="BV21" s="354">
        <f>Table2[[#This Row],[Isense Shunt Loss]]</f>
        <v>6.4769910525445959E-3</v>
      </c>
      <c r="CB21" s="18"/>
      <c r="CC21" s="19"/>
    </row>
    <row r="22" spans="1:92" x14ac:dyDescent="0.2">
      <c r="A22" s="36" t="s">
        <v>61</v>
      </c>
      <c r="B22" s="39">
        <f>Cin*1000000</f>
        <v>100</v>
      </c>
      <c r="C22" s="443" t="s">
        <v>639</v>
      </c>
      <c r="D22" s="440" t="s">
        <v>657</v>
      </c>
      <c r="G22">
        <v>13</v>
      </c>
      <c r="H22" s="555">
        <f t="shared" si="0"/>
        <v>20</v>
      </c>
      <c r="I22" s="4" t="str">
        <f>IF(Mode = 2,IF(Table2[[#This Row],[Vin]]&gt;Vout, "BUCK","BOOST"),IF(Table2[[#This Row],[Vin]]&gt;VIN_BB_to_buck, "BUCK", IF(Table2[[#This Row],[Vin]]&lt;=VIN_boost_to_BB,"BOOST","BUCK-BST")))</f>
        <v>BUCK</v>
      </c>
      <c r="J22">
        <f>IF(Table2[[#This Row],[Mode]]="BOOST",2, IF(Table2[[#This Row],[Mode]]="BUCK", 1,3))</f>
        <v>1</v>
      </c>
      <c r="K22" s="354">
        <f t="shared" si="3"/>
        <v>1.56</v>
      </c>
      <c r="L22" s="4">
        <f>Vout*Table2[[#This Row],[Iout]]/(Table2[[#This Row],[Vin]]*Efficiency)</f>
        <v>1.1987368421052631</v>
      </c>
      <c r="M22" s="711">
        <f>MIN(1/Fsw,CHOOSE(Table2[[#This Row],[Mode Digit]],(Vout+(Rdson2+Rs+Rdcr)*Table2[[#This Row],[Iout]])/(Table2[[#This Row],[Vin]]+(Rs+Rdson2-Rdson1)*Table2[[#This Row],[Iout]])/Fsw,(Vout+(Rdson3+Rdcr)*Table2[[#This Row],[Iin]]-Table2[[#This Row],[Vin]])/(Vout+(Rdson3-Rdson4-Rs)*Table2[[#This Row],[Iin]])/Fsw,t1_Ph_II))</f>
        <v>1.2180541461081754E-6</v>
      </c>
      <c r="N22" s="602">
        <f>CHOOSE(Table2[[#This Row],[Mode Digit]],1/Fsw-Table2[[#This Row],[t1_Ph_II]],1/Fsw-Table2[[#This Row],[t1_Ph_II]],(Vout/Fsw-Table2[[#This Row],[Vin]]*t1_Ph_II)/(Table2[[#This Row],[Vin]]+Vout))</f>
        <v>4.4861252055849131E-7</v>
      </c>
      <c r="O22" s="602">
        <f>1/Fsw-(Table2[[#This Row],[t1_Ph_II]]+Table2[[#This Row],[t2_Ph_I]])</f>
        <v>0</v>
      </c>
      <c r="P22"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0.31426280511663873</v>
      </c>
      <c r="Q22" s="4">
        <f>CHOOSE(Table2[[#This Row],[Mode Digit]],Table2[[#This Row],[I_0]]+1/Lf*(Table2[[#This Row],[Vin]]-Vout)*Table2[[#This Row],[t1_Ph_II]],Table2[[#This Row],[I_0]]+1/Lf*Table2[[#This Row],[Vin]]*Table2[[#This Row],[t1_Ph_II]],Table2[[#This Row],[I_0]]+(Table2[[#This Row],[Vin]]-Vout)/L*Table2[[#This Row],[t1_Ph_II]])</f>
        <v>2.8057371948833616</v>
      </c>
      <c r="R22" s="4">
        <f>CHOOSE(Table2[[#This Row],[Mode Digit]],0,0,Table2[[#This Row],[I_1]]+Table2[[#This Row],[Vin]]/L*Table2[[#This Row],[t2_Ph_I]])</f>
        <v>0</v>
      </c>
      <c r="S22" s="409">
        <f>Fsw*(Table2[[#This Row],[I_0]]*Table2[[#This Row],[t1_Ph_II]]+Table2[[#This Row],[I_1]]*Table2[[#This Row],[t2_Ph_I]]+Table2[[#This Row],[I_2]]*Table2[[#This Row],[t3_Ph_III]])</f>
        <v>0.98488676865674585</v>
      </c>
      <c r="T22" s="354">
        <f>MIN(1,CHOOSE(Table2[[#This Row],[Mode Digit]],(Vout+(Rdson2+Rs+Rdcr)*Table2[[#This Row],[Iout]])/(Table2[[#This Row],[Vin]]+(Rs+Rdson2-Rdson1)*Table2[[#This Row],[Iout]]),1,Fsw*Table2[[#This Row],[t2_Ph_I]]+Table2[[#This Row],[t1_Ph_II]]))</f>
        <v>0.73083248766490527</v>
      </c>
      <c r="U22" s="354">
        <f>MIN(1,CHOOSE(Table2[[#This Row],[Mode Digit]],0,(Vout+(Rdson3+Rdcr)*Table2[[#This Row],[Iin]]-Table2[[#This Row],[Vin]])/(Vout+(Rdson3-Rdson4-Rs)*Table2[[#This Row],[Iin]]),Fsw*Table2[[#This Row],[t1_Ph_II]]+Table2[[#This Row],[t3_Ph_III]]))</f>
        <v>0</v>
      </c>
      <c r="V22" s="4">
        <f>MAX(Table2[[#This Row],[I_0]:[I_2]])-MIN(Table2[[#This Row],[I_0]:[I_1]])</f>
        <v>2.4914743897667231</v>
      </c>
      <c r="W22"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1.7178146154068226</v>
      </c>
      <c r="X22" s="354">
        <f>(Table2[[#This Row],[Irms Lf]]^2*Rdcr*(1+Ltc*Ta-Ltc*25))/(1-Table2[[#This Row],[Irms Lf]]^2*Rdcr*Ltc*ThetaCa)</f>
        <v>1.7138611292112017E-2</v>
      </c>
      <c r="Y22" s="354">
        <f>ABS(7.759*10^-3*Fsw^0.9458*(0.00787*Table2[[#This Row],[Ripple Current pk-pk]])^2.304)</f>
        <v>0.26335562353856201</v>
      </c>
      <c r="Z22" s="354">
        <f>Table2[[#This Row],[DCR    Loss]]+Table2[[#This Row],[Core Loss]]</f>
        <v>0.28049423483067404</v>
      </c>
      <c r="AA22" s="4">
        <f>IF(Table2[[#This Row],[Vin]]&gt;Vout, Table2[[#This Row],[Ripple Current pk-pk]]/SQRT(12), SQRT(Table2[[#This Row],[Duty Cycle BOOST Leg]]/(1-Table2[[#This Row],[Duty Cycle BOOST Leg]]))*SQRT(Table2[[#This Row],[Iout]]^2+(Table2[[#This Row],[Ripple Current pk-pk]]^2)/12))</f>
        <v>0.71922670480543816</v>
      </c>
      <c r="AB22" s="354">
        <f>RCoutEsr*Table2[[#This Row],[Irms Cout]]^2</f>
        <v>2.5864352645264444E-3</v>
      </c>
      <c r="AC22" s="354">
        <f>Table2[[#This Row],[Cout ESR Loss]]</f>
        <v>2.5864352645264444E-3</v>
      </c>
      <c r="AD22" s="4">
        <f>IF(Table2[[#This Row],[Vin]]&gt;Vout, SQRT(Table2[[#This Row],[Duty Cycle BUCK Leg]]*(1-Table2[[#This Row],[Duty Cycle BUCK Leg]]))*SQRT(Table2[[#This Row],[Iout]]^2+(Table2[[#This Row],[Ripple Current pk-pk]]^2)/12), Table2[[#This Row],[Ripple Current pk-pk]]/SQRT(12))</f>
        <v>0.76189747840793431</v>
      </c>
      <c r="AE22" s="354">
        <f>RCinEsr*Table2[[#This Row],[Irms Cin]]^2</f>
        <v>1.1609755352087374E-3</v>
      </c>
      <c r="AF22" s="549">
        <f>Table2[[#This Row],[Cin ESR Loss]]</f>
        <v>1.1609755352087374E-3</v>
      </c>
      <c r="AG22" s="354">
        <f>Table2[[#This Row],[Irms Lf]]</f>
        <v>1.7178146154068226</v>
      </c>
      <c r="AH22" s="354">
        <f>Rdson1*Table2[[#This Row],[Irms BuCtrl]]^2</f>
        <v>1.2393725622202218E-2</v>
      </c>
      <c r="AI22" s="354">
        <f>CHOOSE(Table2[[#This Row],[Mode Digit]], (Table2[[#This Row],[Vin]]*Table2[[#This Row],[Iout]]/2)*(Fsw)*(Tr_buck+Tf_buck), 0, (Table2[[#This Row],[Vin]]*Table2[[#This Row],[Avg IL]]/2)*(Fsw/1)*(Tr_buck+Tf_buck))</f>
        <v>0.30939064861588206</v>
      </c>
      <c r="AJ22">
        <f>IF(Table2[[#This Row],[Vin]]&gt;Vout, IF(Table2[[#This Row],[Iout]]&gt;Table2[[#This Row],[Ripple Current pk-pk]]/2,0,ABS(Table2[[#This Row],[Iout]]-Table2[[#This Row],[Ripple Current pk-pk]]/2)*Vsd_Q1*Deadtime*Fsw),0)</f>
        <v>0</v>
      </c>
      <c r="AK22" s="354">
        <f>(Table2[[#This Row],[Dead Time Loss BuCtrl]]+Table2[[#This Row],[Transition Loss BuCtrl]]+Table2[[#This Row],[RDS(on) Loss BuCtrl]]*(1+RdsonTopTc*Ta-RdsonTopTc*25))/(1-Table2[[#This Row],[RDS(on) Loss BuCtrl]]*RdsonTopTc*ThetaJA_Q1)</f>
        <v>0.32274437549472201</v>
      </c>
      <c r="AL22" s="354">
        <f>Table2[[#This Row],[Irms Lf]]</f>
        <v>1.7178146154068226</v>
      </c>
      <c r="AM22" s="354">
        <f>Rdson2*Table2[[#This Row],[Irms BuSync]]^2</f>
        <v>1.2393725622202218E-2</v>
      </c>
      <c r="AN22"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7.5058285714285716E-2</v>
      </c>
      <c r="AO22" s="354">
        <f>(Table2[[#This Row],[Deadtime Loss BuSync]]+Table2[[#This Row],[RDS(on) Loss BuSync]]*(1+RdsonBotTc*Ta-RdsonBotTc*25))/(1-Table2[[#This Row],[RDS(on) Loss BuSync]]*RdsonBotTc*ThetaJA_Q2)</f>
        <v>8.7712912882678018E-2</v>
      </c>
      <c r="AP22" s="354">
        <f>Table2[[#This Row],[Irms Lf]]</f>
        <v>1.7178146154068226</v>
      </c>
      <c r="AQ22" s="354">
        <f>Rdson4*Table2[[#This Row],[Irms BoCtlr]]^2</f>
        <v>1.2393725622202218E-2</v>
      </c>
      <c r="AR22" s="354">
        <f>CHOOSE(Table2[[#This Row],[Mode Digit]], 0, (Vout*Table2[[#This Row],[Iin]]/2)*(Fsw)*(Tr_boost+Tf_boost), (Vout*Iout/2)*(Fsw/1)*(Tr_boost+Tf_boost))</f>
        <v>0</v>
      </c>
      <c r="AS22" s="354">
        <f>IF(Table2[[#This Row],[Vin]]&gt;Vout, 0, IF(Table2[[#This Row],[Iin]]&gt;Table2[[#This Row],[Ripple Current pk-pk]]/2,0,ABS(Table2[[#This Row],[Iin]]-Table2[[#This Row],[Ripple Current pk-pk]]/2)*Vsd_Q4*Deadtime*Fsw))</f>
        <v>0</v>
      </c>
      <c r="AT22" s="354">
        <f>(Table2[[#This Row],[Dead Time Loss BoCtlr]]+Table2[[#This Row],[Transition Loss BoCtlr]]+Table2[[#This Row],[RDS(on) Loss BoCtlr]]*(1+RdsonTopTc*Ta-RdsonTopTc*25))/(1-Table2[[#This Row],[RDS(on) Loss BoCtlr]]*RdsonTopTc*ThetaJA_Q4)</f>
        <v>1.2430700668613062E-2</v>
      </c>
      <c r="AU22" s="354">
        <f>Table2[[#This Row],[Irms Lf]]</f>
        <v>1.7178146154068226</v>
      </c>
      <c r="AV22" s="354">
        <f>Rdson3*Table2[[#This Row],[Irms BoSync]]^2</f>
        <v>1.2393725622202218E-2</v>
      </c>
      <c r="AW22"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22" s="354">
        <f>(Table2[[#This Row],[Deadtime Loss BoSync]]+Table2[[#This Row],[RDS(on) Loss BoSync]]*(1+RdsonBotTc*Ta-RdsonBotTc*25))/(1-Table2[[#This Row],[RDS(on) Loss BoSync]]*RdsonBotTc*ThetaJA_Q3)</f>
        <v>1.2430700668613062E-2</v>
      </c>
      <c r="AY22" s="354">
        <f>CHOOSE(Table2[[#This Row],[Mode Digit]], Rdson3*Table2[[#This Row],[Irms Lf]]^2, Rdson1*Table2[[#This Row],[Irms Lf]]^2, 0)</f>
        <v>1.2393725622202218E-2</v>
      </c>
      <c r="AZ22" s="354">
        <f>CHOOSE(Table2[[#This Row],[Mode Digit]], 2*Deadtime*Fsw*IF(VfdSky_Q2&gt;0,VfdSky_Q2,0)*Table2[[#This Row],[Iout]], 2*Deadtime*Fsw*IF(VfdSky_Q3&gt;0,VfdSky_Q3,0)*Table2[[#This Row],[Iin]], 2*Deadtime*Fsw*IF(VfdSky_Q2&gt;0,VfdSky_Q2,0)*Table2[[#This Row],[Iout]]+2*Deadtime*Fsw*IF(VfdSky_Q3&gt;0,VfdSky_Q3,0)*Table2[[#This Row],[Iin]])</f>
        <v>0</v>
      </c>
      <c r="BA2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3.1189778880000001E-2</v>
      </c>
      <c r="BB2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3.1189778880000001E-2</v>
      </c>
      <c r="BC22" s="354">
        <f>CHOOSE(Table2[[#This Row],[Mode Digit]], Rs*Table2[[#This Row],[Irms BuSync]]^2, Rs*Table2[[#This Row],[Irms BoCtlr]]^2, Rs*(Table2[[#This Row],[Irms BuSync]]^2+Table2[[#This Row],[Irms BoCtlr]]^2))</f>
        <v>7.3772176322632246E-3</v>
      </c>
      <c r="BD22" s="354">
        <f t="shared" si="1"/>
        <v>1.44</v>
      </c>
      <c r="BE22" s="354">
        <f>IF(Vout&gt;8, Iq*Vout, Iq*Table2[[#This Row],[Vin]])</f>
        <v>4.3799999999999999E-2</v>
      </c>
      <c r="BF22" s="354">
        <f>CHOOSE(Table2[[#This Row],[Mode Digit]], (Qg_Q1+Qg_Q2)*Fsw, (Qg_Q3+Qg_Q4)*Fsw, (Qg_Q1+Qg_Q2+Qg_Q3+Qg_Q4)*Fsw)*IF(Vout&gt;8, Vout, Table2[[#This Row],[Vin]])</f>
        <v>0.47303999999999996</v>
      </c>
      <c r="BG22" s="354">
        <f t="shared" si="4"/>
        <v>0.45605042016806729</v>
      </c>
      <c r="BH22" s="354">
        <f>Table2[[#This Row],[IQ Loss]]+Table2[[#This Row],[Switching Current Loss]]</f>
        <v>0.51683999999999997</v>
      </c>
      <c r="BI22"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2.7461571107372986</v>
      </c>
      <c r="BJ22">
        <f>Vout*Table2[[#This Row],[Iout]]</f>
        <v>22.776</v>
      </c>
      <c r="BK22" s="550">
        <f>Table2[[#This Row],[Pout]]/(Table2[[#This Row],[Pout]]+Table2[[#This Row],[Total Loss]])</f>
        <v>0.89240105768403188</v>
      </c>
      <c r="BL22" s="559">
        <f>IF(Table2[[#This Row],[Vin]]&gt;Vout,ThetaJA_Q1*(Table2[[#This Row],[Total Control Bu MOSFET Loss]]+Table2[[#This Row],[Reverse Recovery Loss MOSFET D BUCK]]),ThetaJA_Q4*(Table2[[#This Row],[Total Control Bo MOSFET Loss]]+Table2[[#This Row],[Reverse Recovery Loss MOSFET D BOOST]]))</f>
        <v>21.236049262483323</v>
      </c>
      <c r="BM22" s="559">
        <f>IF(Table2[[#This Row],[Vin]]&gt;Vout, Table2[[#This Row],[Total Sync Bu MOSFET Loss]]*ThetaJA_Q2, ThetaJA_Q3*Table2[[#This Row],[Total Sync Bo MOSFET Loss]])</f>
        <v>5.2627747729606806</v>
      </c>
      <c r="BN22" s="9"/>
      <c r="BO22" s="4">
        <f>Table2[[#This Row],[EFF, h]]*100</f>
        <v>89.240105768403183</v>
      </c>
      <c r="BP22" s="354">
        <f>Table2[[#This Row],[Total Inductor Loss]]</f>
        <v>0.28049423483067404</v>
      </c>
      <c r="BQ22" s="354">
        <f>Table2[[#This Row],[Total Control Bu MOSFET Loss]]+Table2[[#This Row],[Total Sync Bu MOSFET Loss]]+Table2[[#This Row],[Total Control Bo MOSFET Loss]]+Table2[[#This Row],[Total Sync Bo MOSFET Loss]]+Table2[[#This Row],[Reverse Recovery Loss MOSFET D BUCK]]+Table2[[#This Row],[Reverse Recovery Loss MOSFET D BOOST]]</f>
        <v>0.49769824747462621</v>
      </c>
      <c r="BR22" s="354">
        <f xml:space="preserve"> Table2[[#This Row],[Total Control Bu MOSFET Loss]]+Table2[[#This Row],[Reverse Recovery Loss MOSFET D BUCK]]*0.66</f>
        <v>0.34332962955552204</v>
      </c>
      <c r="BS22" s="354">
        <f>Table2[[#This Row],[Total Sync Bu MOSFET Loss]]+Table2[[#This Row],[Reverse Recovery Loss MOSFET D BUCK]]*0.33</f>
        <v>9.8005539913078019E-2</v>
      </c>
      <c r="BT22" s="354">
        <f xml:space="preserve"> Table2[[#This Row],[Total Control Bo MOSFET Loss]]+Table2[[#This Row],[Reverse Recovery Loss MOSFET D BOOST]]*0.66</f>
        <v>3.3015954729413065E-2</v>
      </c>
      <c r="BU22" s="354">
        <f xml:space="preserve"> Table2[[#This Row],[Total Sync Bo MOSFET Loss]]+Table2[[#This Row],[Reverse Recovery Loss MOSFET D BOOST]]*0.33</f>
        <v>2.2723327699013064E-2</v>
      </c>
      <c r="BV22" s="354">
        <f>Table2[[#This Row],[Isense Shunt Loss]]</f>
        <v>7.3772176322632246E-3</v>
      </c>
      <c r="CB22" s="18"/>
      <c r="CC22" s="19"/>
    </row>
    <row r="23" spans="1:92" x14ac:dyDescent="0.2">
      <c r="A23" s="36" t="s">
        <v>89</v>
      </c>
      <c r="B23" s="39">
        <f>RCinEsr*1000</f>
        <v>2</v>
      </c>
      <c r="C23" s="442" t="s">
        <v>638</v>
      </c>
      <c r="D23" s="440" t="s">
        <v>653</v>
      </c>
      <c r="G23">
        <v>14</v>
      </c>
      <c r="H23" s="555">
        <f t="shared" si="0"/>
        <v>20</v>
      </c>
      <c r="I23" s="4" t="str">
        <f>IF(Mode = 2,IF(Table2[[#This Row],[Vin]]&gt;Vout, "BUCK","BOOST"),IF(Table2[[#This Row],[Vin]]&gt;VIN_BB_to_buck, "BUCK", IF(Table2[[#This Row],[Vin]]&lt;=VIN_boost_to_BB,"BOOST","BUCK-BST")))</f>
        <v>BUCK</v>
      </c>
      <c r="J23">
        <f>IF(Table2[[#This Row],[Mode]]="BOOST",2, IF(Table2[[#This Row],[Mode]]="BUCK", 1,3))</f>
        <v>1</v>
      </c>
      <c r="K23" s="354">
        <f t="shared" si="3"/>
        <v>1.68</v>
      </c>
      <c r="L23" s="4">
        <f>Vout*Table2[[#This Row],[Iout]]/(Table2[[#This Row],[Vin]]*Efficiency)</f>
        <v>1.2909473684210526</v>
      </c>
      <c r="M23" s="711">
        <f>MIN(1/Fsw,CHOOSE(Table2[[#This Row],[Mode Digit]],(Vout+(Rdson2+Rs+Rdcr)*Table2[[#This Row],[Iout]])/(Table2[[#This Row],[Vin]]+(Rs+Rdson2-Rdson1)*Table2[[#This Row],[Iout]])/Fsw,(Vout+(Rdson3+Rdcr)*Table2[[#This Row],[Iin]]-Table2[[#This Row],[Vin]])/(Vout+(Rdson3-Rdson4-Rs)*Table2[[#This Row],[Iin]])/Fsw,t1_Ph_II))</f>
        <v>1.2181608528875602E-6</v>
      </c>
      <c r="N23" s="602">
        <f>CHOOSE(Table2[[#This Row],[Mode Digit]],1/Fsw-Table2[[#This Row],[t1_Ph_II]],1/Fsw-Table2[[#This Row],[t1_Ph_II]],(Vout/Fsw-Table2[[#This Row],[Vin]]*t1_Ph_II)/(Table2[[#This Row],[Vin]]+Vout))</f>
        <v>4.4850581377910645E-7</v>
      </c>
      <c r="O23" s="602">
        <f>1/Fsw-(Table2[[#This Row],[t1_Ph_II]]+Table2[[#This Row],[t2_Ph_I]])</f>
        <v>0</v>
      </c>
      <c r="P23"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0.43415367318317699</v>
      </c>
      <c r="Q23" s="4">
        <f>CHOOSE(Table2[[#This Row],[Mode Digit]],Table2[[#This Row],[I_0]]+1/Lf*(Table2[[#This Row],[Vin]]-Vout)*Table2[[#This Row],[t1_Ph_II]],Table2[[#This Row],[I_0]]+1/Lf*Table2[[#This Row],[Vin]]*Table2[[#This Row],[t1_Ph_II]],Table2[[#This Row],[I_0]]+(Table2[[#This Row],[Vin]]-Vout)/L*Table2[[#This Row],[t1_Ph_II]])</f>
        <v>2.9258463268168229</v>
      </c>
      <c r="R23" s="4">
        <f>CHOOSE(Table2[[#This Row],[Mode Digit]],0,0,Table2[[#This Row],[I_1]]+Table2[[#This Row],[Vin]]/L*Table2[[#This Row],[t2_Ph_I]])</f>
        <v>0</v>
      </c>
      <c r="S23" s="409">
        <f>Fsw*(Table2[[#This Row],[I_0]]*Table2[[#This Row],[t1_Ph_II]]+Table2[[#This Row],[I_1]]*Table2[[#This Row],[t2_Ph_I]]+Table2[[#This Row],[I_2]]*Table2[[#This Row],[t3_Ph_III]])</f>
        <v>1.1046768579664048</v>
      </c>
      <c r="T23" s="354">
        <f>MIN(1,CHOOSE(Table2[[#This Row],[Mode Digit]],(Vout+(Rdson2+Rs+Rdcr)*Table2[[#This Row],[Iout]])/(Table2[[#This Row],[Vin]]+(Rs+Rdson2-Rdson1)*Table2[[#This Row],[Iout]]),1,Fsw*Table2[[#This Row],[t2_Ph_I]]+Table2[[#This Row],[t1_Ph_II]]))</f>
        <v>0.73089651173253611</v>
      </c>
      <c r="U23" s="354">
        <f>MIN(1,CHOOSE(Table2[[#This Row],[Mode Digit]],0,(Vout+(Rdson3+Rdcr)*Table2[[#This Row],[Iin]]-Table2[[#This Row],[Vin]])/(Vout+(Rdson3-Rdson4-Rs)*Table2[[#This Row],[Iin]]),Fsw*Table2[[#This Row],[t1_Ph_II]]+Table2[[#This Row],[t3_Ph_III]]))</f>
        <v>0</v>
      </c>
      <c r="V23" s="4">
        <f>MAX(Table2[[#This Row],[I_0]:[I_2]])-MIN(Table2[[#This Row],[I_0]:[I_1]])</f>
        <v>2.4916926536336459</v>
      </c>
      <c r="W23"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1.8275058659315768</v>
      </c>
      <c r="X23" s="354">
        <f>(Table2[[#This Row],[Irms Lf]]^2*Rdcr*(1+Ltc*Ta-Ltc*25))/(1-Table2[[#This Row],[Irms Lf]]^2*Rdcr*Ltc*ThetaCa)</f>
        <v>1.9400775146148037E-2</v>
      </c>
      <c r="Y23" s="354">
        <f>ABS(7.759*10^-3*Fsw^0.9458*(0.00787*Table2[[#This Row],[Ripple Current pk-pk]])^2.304)</f>
        <v>0.26340878235397747</v>
      </c>
      <c r="Z23" s="354">
        <f>Table2[[#This Row],[DCR    Loss]]+Table2[[#This Row],[Core Loss]]</f>
        <v>0.28280955750012549</v>
      </c>
      <c r="AA23" s="4">
        <f>IF(Table2[[#This Row],[Vin]]&gt;Vout, Table2[[#This Row],[Ripple Current pk-pk]]/SQRT(12), SQRT(Table2[[#This Row],[Duty Cycle BOOST Leg]]/(1-Table2[[#This Row],[Duty Cycle BOOST Leg]]))*SQRT(Table2[[#This Row],[Iout]]^2+(Table2[[#This Row],[Ripple Current pk-pk]]^2)/12))</f>
        <v>0.7192897121565992</v>
      </c>
      <c r="AB23" s="354">
        <f>RCoutEsr*Table2[[#This Row],[Irms Cout]]^2</f>
        <v>2.5868884500716166E-3</v>
      </c>
      <c r="AC23" s="354">
        <f>Table2[[#This Row],[Cout ESR Loss]]</f>
        <v>2.5868884500716166E-3</v>
      </c>
      <c r="AD23" s="4">
        <f>IF(Table2[[#This Row],[Vin]]&gt;Vout, SQRT(Table2[[#This Row],[Duty Cycle BUCK Leg]]*(1-Table2[[#This Row],[Duty Cycle BUCK Leg]]))*SQRT(Table2[[#This Row],[Iout]]^2+(Table2[[#This Row],[Ripple Current pk-pk]]^2)/12), Table2[[#This Row],[Ripple Current pk-pk]]/SQRT(12))</f>
        <v>0.81048762449840661</v>
      </c>
      <c r="AE23" s="354">
        <f>RCinEsr*Table2[[#This Row],[Irms Cin]]^2</f>
        <v>1.3137803789301404E-3</v>
      </c>
      <c r="AF23" s="549">
        <f>Table2[[#This Row],[Cin ESR Loss]]</f>
        <v>1.3137803789301404E-3</v>
      </c>
      <c r="AG23" s="354">
        <f>Table2[[#This Row],[Irms Lf]]</f>
        <v>1.8275058659315768</v>
      </c>
      <c r="AH23" s="354">
        <f>Rdson1*Table2[[#This Row],[Irms BuCtrl]]^2</f>
        <v>1.4027066298060156E-2</v>
      </c>
      <c r="AI23" s="354">
        <f>CHOOSE(Table2[[#This Row],[Mode Digit]], (Table2[[#This Row],[Vin]]*Table2[[#This Row],[Iout]]/2)*(Fsw)*(Tr_buck+Tf_buck), 0, (Table2[[#This Row],[Vin]]*Table2[[#This Row],[Avg IL]]/2)*(Fsw/1)*(Tr_buck+Tf_buck))</f>
        <v>0.33318992927864222</v>
      </c>
      <c r="AJ23">
        <f>IF(Table2[[#This Row],[Vin]]&gt;Vout, IF(Table2[[#This Row],[Iout]]&gt;Table2[[#This Row],[Ripple Current pk-pk]]/2,0,ABS(Table2[[#This Row],[Iout]]-Table2[[#This Row],[Ripple Current pk-pk]]/2)*Vsd_Q1*Deadtime*Fsw),0)</f>
        <v>0</v>
      </c>
      <c r="AK23" s="354">
        <f>(Table2[[#This Row],[Dead Time Loss BuCtrl]]+Table2[[#This Row],[Transition Loss BuCtrl]]+Table2[[#This Row],[RDS(on) Loss BuCtrl]]*(1+RdsonTopTc*Ta-RdsonTopTc*25))/(1-Table2[[#This Row],[RDS(on) Loss BuCtrl]]*RdsonTopTc*ThetaJA_Q1)</f>
        <v>0.34838984857755884</v>
      </c>
      <c r="AL23" s="354">
        <f>Table2[[#This Row],[Irms Lf]]</f>
        <v>1.8275058659315768</v>
      </c>
      <c r="AM23" s="354">
        <f>Rdson2*Table2[[#This Row],[Irms BuSync]]^2</f>
        <v>1.4027066298060156E-2</v>
      </c>
      <c r="AN23"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8.0832000000000001E-2</v>
      </c>
      <c r="AO23" s="354">
        <f>(Table2[[#This Row],[Deadtime Loss BuSync]]+Table2[[#This Row],[RDS(on) Loss BuSync]]*(1+RdsonBotTc*Ta-RdsonBotTc*25))/(1-Table2[[#This Row],[RDS(on) Loss BuSync]]*RdsonBotTc*ThetaJA_Q2)</f>
        <v>9.5179487654109662E-2</v>
      </c>
      <c r="AP23" s="354">
        <f>Table2[[#This Row],[Irms Lf]]</f>
        <v>1.8275058659315768</v>
      </c>
      <c r="AQ23" s="354">
        <f>Rdson4*Table2[[#This Row],[Irms BoCtlr]]^2</f>
        <v>1.4027066298060156E-2</v>
      </c>
      <c r="AR23" s="354">
        <f>CHOOSE(Table2[[#This Row],[Mode Digit]], 0, (Vout*Table2[[#This Row],[Iin]]/2)*(Fsw)*(Tr_boost+Tf_boost), (Vout*Iout/2)*(Fsw/1)*(Tr_boost+Tf_boost))</f>
        <v>0</v>
      </c>
      <c r="AS23" s="354">
        <f>IF(Table2[[#This Row],[Vin]]&gt;Vout, 0, IF(Table2[[#This Row],[Iin]]&gt;Table2[[#This Row],[Ripple Current pk-pk]]/2,0,ABS(Table2[[#This Row],[Iin]]-Table2[[#This Row],[Ripple Current pk-pk]]/2)*Vsd_Q4*Deadtime*Fsw))</f>
        <v>0</v>
      </c>
      <c r="AT23" s="354">
        <f>(Table2[[#This Row],[Dead Time Loss BoCtlr]]+Table2[[#This Row],[Transition Loss BoCtlr]]+Table2[[#This Row],[RDS(on) Loss BoCtlr]]*(1+RdsonTopTc*Ta-RdsonTopTc*25))/(1-Table2[[#This Row],[RDS(on) Loss BoCtlr]]*RdsonTopTc*ThetaJA_Q4)</f>
        <v>1.4074447869269155E-2</v>
      </c>
      <c r="AU23" s="354">
        <f>Table2[[#This Row],[Irms Lf]]</f>
        <v>1.8275058659315768</v>
      </c>
      <c r="AV23" s="354">
        <f>Rdson3*Table2[[#This Row],[Irms BoSync]]^2</f>
        <v>1.4027066298060156E-2</v>
      </c>
      <c r="AW23"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23" s="354">
        <f>(Table2[[#This Row],[Deadtime Loss BoSync]]+Table2[[#This Row],[RDS(on) Loss BoSync]]*(1+RdsonBotTc*Ta-RdsonBotTc*25))/(1-Table2[[#This Row],[RDS(on) Loss BoSync]]*RdsonBotTc*ThetaJA_Q3)</f>
        <v>1.4074447869269155E-2</v>
      </c>
      <c r="AY23" s="354">
        <f>CHOOSE(Table2[[#This Row],[Mode Digit]], Rdson3*Table2[[#This Row],[Irms Lf]]^2, Rdson1*Table2[[#This Row],[Irms Lf]]^2, 0)</f>
        <v>1.4027066298060156E-2</v>
      </c>
      <c r="AZ23" s="354">
        <f>CHOOSE(Table2[[#This Row],[Mode Digit]], 2*Deadtime*Fsw*IF(VfdSky_Q2&gt;0,VfdSky_Q2,0)*Table2[[#This Row],[Iout]], 2*Deadtime*Fsw*IF(VfdSky_Q3&gt;0,VfdSky_Q3,0)*Table2[[#This Row],[Iin]], 2*Deadtime*Fsw*IF(VfdSky_Q2&gt;0,VfdSky_Q2,0)*Table2[[#This Row],[Iout]]+2*Deadtime*Fsw*IF(VfdSky_Q3&gt;0,VfdSky_Q3,0)*Table2[[#This Row],[Iin]])</f>
        <v>0</v>
      </c>
      <c r="BA2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3.358814592E-2</v>
      </c>
      <c r="BB2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3.358814592E-2</v>
      </c>
      <c r="BC23" s="354">
        <f>CHOOSE(Table2[[#This Row],[Mode Digit]], Rs*Table2[[#This Row],[Irms BuSync]]^2, Rs*Table2[[#This Row],[Irms BoCtlr]]^2, Rs*(Table2[[#This Row],[Irms BuSync]]^2+Table2[[#This Row],[Irms BoCtlr]]^2))</f>
        <v>8.3494442250358052E-3</v>
      </c>
      <c r="BD23" s="354">
        <f t="shared" si="1"/>
        <v>1.44</v>
      </c>
      <c r="BE23" s="354">
        <f>IF(Vout&gt;8, Iq*Vout, Iq*Table2[[#This Row],[Vin]])</f>
        <v>4.3799999999999999E-2</v>
      </c>
      <c r="BF23" s="354">
        <f>CHOOSE(Table2[[#This Row],[Mode Digit]], (Qg_Q1+Qg_Q2)*Fsw, (Qg_Q3+Qg_Q4)*Fsw, (Qg_Q1+Qg_Q2+Qg_Q3+Qg_Q4)*Fsw)*IF(Vout&gt;8, Vout, Table2[[#This Row],[Vin]])</f>
        <v>0.47303999999999996</v>
      </c>
      <c r="BG23" s="354">
        <f t="shared" si="4"/>
        <v>0.45605042016806729</v>
      </c>
      <c r="BH23" s="354">
        <f>Table2[[#This Row],[IQ Loss]]+Table2[[#This Row],[Switching Current Loss]]</f>
        <v>0.51683999999999997</v>
      </c>
      <c r="BI23"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2.7907941943643699</v>
      </c>
      <c r="BJ23">
        <f>Vout*Table2[[#This Row],[Iout]]</f>
        <v>24.527999999999999</v>
      </c>
      <c r="BK23" s="550">
        <f>Table2[[#This Row],[Pout]]/(Table2[[#This Row],[Pout]]+Table2[[#This Row],[Total Loss]])</f>
        <v>0.89784343428524793</v>
      </c>
      <c r="BL23" s="559">
        <f>IF(Table2[[#This Row],[Vin]]&gt;Vout,ThetaJA_Q1*(Table2[[#This Row],[Total Control Bu MOSFET Loss]]+Table2[[#This Row],[Reverse Recovery Loss MOSFET D BUCK]]),ThetaJA_Q4*(Table2[[#This Row],[Total Control Bo MOSFET Loss]]+Table2[[#This Row],[Reverse Recovery Loss MOSFET D BOOST]]))</f>
        <v>22.918679669853528</v>
      </c>
      <c r="BM23" s="559">
        <f>IF(Table2[[#This Row],[Vin]]&gt;Vout, Table2[[#This Row],[Total Sync Bu MOSFET Loss]]*ThetaJA_Q2, ThetaJA_Q3*Table2[[#This Row],[Total Sync Bo MOSFET Loss]])</f>
        <v>5.7107692592465797</v>
      </c>
      <c r="BN23" s="9"/>
      <c r="BO23" s="4">
        <f>Table2[[#This Row],[EFF, h]]*100</f>
        <v>89.784343428524792</v>
      </c>
      <c r="BP23" s="354">
        <f>Table2[[#This Row],[Total Inductor Loss]]</f>
        <v>0.28280955750012549</v>
      </c>
      <c r="BQ23" s="354">
        <f>Table2[[#This Row],[Total Control Bu MOSFET Loss]]+Table2[[#This Row],[Total Sync Bu MOSFET Loss]]+Table2[[#This Row],[Total Control Bo MOSFET Loss]]+Table2[[#This Row],[Total Sync Bo MOSFET Loss]]+Table2[[#This Row],[Reverse Recovery Loss MOSFET D BUCK]]+Table2[[#This Row],[Reverse Recovery Loss MOSFET D BOOST]]</f>
        <v>0.53889452381020686</v>
      </c>
      <c r="BR23" s="354">
        <f xml:space="preserve"> Table2[[#This Row],[Total Control Bu MOSFET Loss]]+Table2[[#This Row],[Reverse Recovery Loss MOSFET D BUCK]]*0.66</f>
        <v>0.37055802488475886</v>
      </c>
      <c r="BS23" s="354">
        <f>Table2[[#This Row],[Total Sync Bu MOSFET Loss]]+Table2[[#This Row],[Reverse Recovery Loss MOSFET D BUCK]]*0.33</f>
        <v>0.10626357580770966</v>
      </c>
      <c r="BT23" s="354">
        <f xml:space="preserve"> Table2[[#This Row],[Total Control Bo MOSFET Loss]]+Table2[[#This Row],[Reverse Recovery Loss MOSFET D BOOST]]*0.66</f>
        <v>3.6242624176469153E-2</v>
      </c>
      <c r="BU23" s="354">
        <f xml:space="preserve"> Table2[[#This Row],[Total Sync Bo MOSFET Loss]]+Table2[[#This Row],[Reverse Recovery Loss MOSFET D BOOST]]*0.33</f>
        <v>2.5158536022869153E-2</v>
      </c>
      <c r="BV23" s="354">
        <f>Table2[[#This Row],[Isense Shunt Loss]]</f>
        <v>8.3494442250358052E-3</v>
      </c>
      <c r="CB23" s="18"/>
      <c r="CC23" s="19"/>
    </row>
    <row r="24" spans="1:92" x14ac:dyDescent="0.2">
      <c r="A24" s="35" t="s">
        <v>27</v>
      </c>
      <c r="B24" s="39">
        <f>Cout*1000000</f>
        <v>100</v>
      </c>
      <c r="C24" s="441" t="s">
        <v>639</v>
      </c>
      <c r="D24" s="440" t="s">
        <v>656</v>
      </c>
      <c r="G24">
        <v>15</v>
      </c>
      <c r="H24" s="555">
        <f t="shared" si="0"/>
        <v>20</v>
      </c>
      <c r="I24" s="4" t="str">
        <f>IF(Mode = 2,IF(Table2[[#This Row],[Vin]]&gt;Vout, "BUCK","BOOST"),IF(Table2[[#This Row],[Vin]]&gt;VIN_BB_to_buck, "BUCK", IF(Table2[[#This Row],[Vin]]&lt;=VIN_boost_to_BB,"BOOST","BUCK-BST")))</f>
        <v>BUCK</v>
      </c>
      <c r="J24">
        <f>IF(Table2[[#This Row],[Mode]]="BOOST",2, IF(Table2[[#This Row],[Mode]]="BUCK", 1,3))</f>
        <v>1</v>
      </c>
      <c r="K24" s="354">
        <f t="shared" si="3"/>
        <v>1.8</v>
      </c>
      <c r="L24" s="4">
        <f>Vout*Table2[[#This Row],[Iout]]/(Table2[[#This Row],[Vin]]*Efficiency)</f>
        <v>1.3831578947368421</v>
      </c>
      <c r="M24" s="711">
        <f>MIN(1/Fsw,CHOOSE(Table2[[#This Row],[Mode Digit]],(Vout+(Rdson2+Rs+Rdcr)*Table2[[#This Row],[Iout]])/(Table2[[#This Row],[Vin]]+(Rs+Rdson2-Rdson1)*Table2[[#This Row],[Iout]])/Fsw,(Vout+(Rdson3+Rdcr)*Table2[[#This Row],[Iin]]-Table2[[#This Row],[Vin]])/(Vout+(Rdson3-Rdson4-Rs)*Table2[[#This Row],[Iin]])/Fsw,t1_Ph_II))</f>
        <v>1.2182675564664618E-6</v>
      </c>
      <c r="N24" s="602">
        <f>CHOOSE(Table2[[#This Row],[Mode Digit]],1/Fsw-Table2[[#This Row],[t1_Ph_II]],1/Fsw-Table2[[#This Row],[t1_Ph_II]],(Vout/Fsw-Table2[[#This Row],[Vin]]*t1_Ph_II)/(Table2[[#This Row],[Vin]]+Vout))</f>
        <v>4.4839911020020489E-7</v>
      </c>
      <c r="O24" s="602">
        <f>1/Fsw-(Table2[[#This Row],[t1_Ph_II]]+Table2[[#This Row],[t2_Ph_I]])</f>
        <v>0</v>
      </c>
      <c r="P24"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0.55404454452293672</v>
      </c>
      <c r="Q24" s="4">
        <f>CHOOSE(Table2[[#This Row],[Mode Digit]],Table2[[#This Row],[I_0]]+1/Lf*(Table2[[#This Row],[Vin]]-Vout)*Table2[[#This Row],[t1_Ph_II]],Table2[[#This Row],[I_0]]+1/Lf*Table2[[#This Row],[Vin]]*Table2[[#This Row],[t1_Ph_II]],Table2[[#This Row],[I_0]]+(Table2[[#This Row],[Vin]]-Vout)/L*Table2[[#This Row],[t1_Ph_II]])</f>
        <v>3.0459554554770634</v>
      </c>
      <c r="R24" s="4">
        <f>CHOOSE(Table2[[#This Row],[Mode Digit]],0,0,Table2[[#This Row],[I_1]]+Table2[[#This Row],[Vin]]/L*Table2[[#This Row],[t2_Ph_I]])</f>
        <v>0</v>
      </c>
      <c r="S24" s="409">
        <f>Fsw*(Table2[[#This Row],[I_0]]*Table2[[#This Row],[t1_Ph_II]]+Table2[[#This Row],[I_1]]*Table2[[#This Row],[t2_Ph_I]]+Table2[[#This Row],[I_2]]*Table2[[#This Row],[t3_Ph_III]])</f>
        <v>1.2244669256249443</v>
      </c>
      <c r="T24" s="354">
        <f>MIN(1,CHOOSE(Table2[[#This Row],[Mode Digit]],(Vout+(Rdson2+Rs+Rdcr)*Table2[[#This Row],[Iout]])/(Table2[[#This Row],[Vin]]+(Rs+Rdson2-Rdson1)*Table2[[#This Row],[Iout]]),1,Fsw*Table2[[#This Row],[t2_Ph_I]]+Table2[[#This Row],[t1_Ph_II]]))</f>
        <v>0.73096053387987703</v>
      </c>
      <c r="U24" s="354">
        <f>MIN(1,CHOOSE(Table2[[#This Row],[Mode Digit]],0,(Vout+(Rdson3+Rdcr)*Table2[[#This Row],[Iin]]-Table2[[#This Row],[Vin]])/(Vout+(Rdson3-Rdson4-Rs)*Table2[[#This Row],[Iin]]),Fsw*Table2[[#This Row],[t1_Ph_II]]+Table2[[#This Row],[t3_Ph_III]]))</f>
        <v>0</v>
      </c>
      <c r="V24" s="4">
        <f>MAX(Table2[[#This Row],[I_0]:[I_2]])-MIN(Table2[[#This Row],[I_0]:[I_1]])</f>
        <v>2.4919109109541266</v>
      </c>
      <c r="W24"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1.9384190290915821</v>
      </c>
      <c r="X24" s="354">
        <f>(Table2[[#This Row],[Irms Lf]]^2*Rdcr*(1+Ltc*Ta-Ltc*25))/(1-Table2[[#This Row],[Irms Lf]]^2*Rdcr*Ltc*ThetaCa)</f>
        <v>2.183137857873595E-2</v>
      </c>
      <c r="Y24" s="354">
        <f>ABS(7.759*10^-3*Fsw^0.9458*(0.00787*Table2[[#This Row],[Ripple Current pk-pk]])^2.304)</f>
        <v>0.26346194564718023</v>
      </c>
      <c r="Z24" s="354">
        <f>Table2[[#This Row],[DCR    Loss]]+Table2[[#This Row],[Core Loss]]</f>
        <v>0.28529332422591619</v>
      </c>
      <c r="AA24" s="4">
        <f>IF(Table2[[#This Row],[Vin]]&gt;Vout, Table2[[#This Row],[Ripple Current pk-pk]]/SQRT(12), SQRT(Table2[[#This Row],[Duty Cycle BOOST Leg]]/(1-Table2[[#This Row],[Duty Cycle BOOST Leg]]))*SQRT(Table2[[#This Row],[Iout]]^2+(Table2[[#This Row],[Ripple Current pk-pk]]^2)/12))</f>
        <v>0.71935271761796538</v>
      </c>
      <c r="AB24" s="354">
        <f>RCoutEsr*Table2[[#This Row],[Irms Cout]]^2</f>
        <v>2.5873416617217611E-3</v>
      </c>
      <c r="AC24" s="354">
        <f>Table2[[#This Row],[Cout ESR Loss]]</f>
        <v>2.5873416617217611E-3</v>
      </c>
      <c r="AD24" s="4">
        <f>IF(Table2[[#This Row],[Vin]]&gt;Vout, SQRT(Table2[[#This Row],[Duty Cycle BUCK Leg]]*(1-Table2[[#This Row],[Duty Cycle BUCK Leg]]))*SQRT(Table2[[#This Row],[Iout]]^2+(Table2[[#This Row],[Ripple Current pk-pk]]^2)/12), Table2[[#This Row],[Ripple Current pk-pk]]/SQRT(12))</f>
        <v>0.85961230841416847</v>
      </c>
      <c r="AE24" s="354">
        <f>RCinEsr*Table2[[#This Row],[Irms Cin]]^2</f>
        <v>1.4778666415542711E-3</v>
      </c>
      <c r="AF24" s="549">
        <f>Table2[[#This Row],[Cin ESR Loss]]</f>
        <v>1.4778666415542711E-3</v>
      </c>
      <c r="AG24" s="354">
        <f>Table2[[#This Row],[Irms Lf]]</f>
        <v>1.9384190290915821</v>
      </c>
      <c r="AH24" s="354">
        <f>Rdson1*Table2[[#This Row],[Irms BuCtrl]]^2</f>
        <v>1.5781366995846279E-2</v>
      </c>
      <c r="AI24" s="354">
        <f>CHOOSE(Table2[[#This Row],[Mode Digit]], (Table2[[#This Row],[Vin]]*Table2[[#This Row],[Iout]]/2)*(Fsw)*(Tr_buck+Tf_buck), 0, (Table2[[#This Row],[Vin]]*Table2[[#This Row],[Avg IL]]/2)*(Fsw/1)*(Tr_buck+Tf_buck))</f>
        <v>0.35698920994140237</v>
      </c>
      <c r="AJ24">
        <f>IF(Table2[[#This Row],[Vin]]&gt;Vout, IF(Table2[[#This Row],[Iout]]&gt;Table2[[#This Row],[Ripple Current pk-pk]]/2,0,ABS(Table2[[#This Row],[Iout]]-Table2[[#This Row],[Ripple Current pk-pk]]/2)*Vsd_Q1*Deadtime*Fsw),0)</f>
        <v>0</v>
      </c>
      <c r="AK24" s="354">
        <f>(Table2[[#This Row],[Dead Time Loss BuCtrl]]+Table2[[#This Row],[Transition Loss BuCtrl]]+Table2[[#This Row],[RDS(on) Loss BuCtrl]]*(1+RdsonTopTc*Ta-RdsonTopTc*25))/(1-Table2[[#This Row],[RDS(on) Loss BuCtrl]]*RdsonTopTc*ThetaJA_Q1)</f>
        <v>0.37418782382681376</v>
      </c>
      <c r="AL24" s="354">
        <f>Table2[[#This Row],[Irms Lf]]</f>
        <v>1.9384190290915821</v>
      </c>
      <c r="AM24" s="354">
        <f>Rdson2*Table2[[#This Row],[Irms BuSync]]^2</f>
        <v>1.5781366995846279E-2</v>
      </c>
      <c r="AN24"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8.6605714285714286E-2</v>
      </c>
      <c r="AO24" s="354">
        <f>(Table2[[#This Row],[Deadtime Loss BuSync]]+Table2[[#This Row],[RDS(on) Loss BuSync]]*(1+RdsonBotTc*Ta-RdsonBotTc*25))/(1-Table2[[#This Row],[RDS(on) Loss BuSync]]*RdsonBotTc*ThetaJA_Q2)</f>
        <v>0.1027763495914958</v>
      </c>
      <c r="AP24" s="354">
        <f>Table2[[#This Row],[Irms Lf]]</f>
        <v>1.9384190290915821</v>
      </c>
      <c r="AQ24" s="354">
        <f>Rdson4*Table2[[#This Row],[Irms BoCtlr]]^2</f>
        <v>1.5781366995846279E-2</v>
      </c>
      <c r="AR24" s="354">
        <f>CHOOSE(Table2[[#This Row],[Mode Digit]], 0, (Vout*Table2[[#This Row],[Iin]]/2)*(Fsw)*(Tr_boost+Tf_boost), (Vout*Iout/2)*(Fsw/1)*(Tr_boost+Tf_boost))</f>
        <v>0</v>
      </c>
      <c r="AS24" s="354">
        <f>IF(Table2[[#This Row],[Vin]]&gt;Vout, 0, IF(Table2[[#This Row],[Iin]]&gt;Table2[[#This Row],[Ripple Current pk-pk]]/2,0,ABS(Table2[[#This Row],[Iin]]-Table2[[#This Row],[Ripple Current pk-pk]]/2)*Vsd_Q4*Deadtime*Fsw))</f>
        <v>0</v>
      </c>
      <c r="AT24" s="354">
        <f>(Table2[[#This Row],[Dead Time Loss BoCtlr]]+Table2[[#This Row],[Transition Loss BoCtlr]]+Table2[[#This Row],[RDS(on) Loss BoCtlr]]*(1+RdsonTopTc*Ta-RdsonTopTc*25))/(1-Table2[[#This Row],[RDS(on) Loss BoCtlr]]*RdsonTopTc*ThetaJA_Q4)</f>
        <v>1.5841366616716875E-2</v>
      </c>
      <c r="AU24" s="354">
        <f>Table2[[#This Row],[Irms Lf]]</f>
        <v>1.9384190290915821</v>
      </c>
      <c r="AV24" s="354">
        <f>Rdson3*Table2[[#This Row],[Irms BoSync]]^2</f>
        <v>1.5781366995846279E-2</v>
      </c>
      <c r="AW24"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24" s="354">
        <f>(Table2[[#This Row],[Deadtime Loss BoSync]]+Table2[[#This Row],[RDS(on) Loss BoSync]]*(1+RdsonBotTc*Ta-RdsonBotTc*25))/(1-Table2[[#This Row],[RDS(on) Loss BoSync]]*RdsonBotTc*ThetaJA_Q3)</f>
        <v>1.5841366616716875E-2</v>
      </c>
      <c r="AY24" s="354">
        <f>CHOOSE(Table2[[#This Row],[Mode Digit]], Rdson3*Table2[[#This Row],[Irms Lf]]^2, Rdson1*Table2[[#This Row],[Irms Lf]]^2, 0)</f>
        <v>1.5781366995846279E-2</v>
      </c>
      <c r="AZ24" s="354">
        <f>CHOOSE(Table2[[#This Row],[Mode Digit]], 2*Deadtime*Fsw*IF(VfdSky_Q2&gt;0,VfdSky_Q2,0)*Table2[[#This Row],[Iout]], 2*Deadtime*Fsw*IF(VfdSky_Q3&gt;0,VfdSky_Q3,0)*Table2[[#This Row],[Iin]], 2*Deadtime*Fsw*IF(VfdSky_Q2&gt;0,VfdSky_Q2,0)*Table2[[#This Row],[Iout]]+2*Deadtime*Fsw*IF(VfdSky_Q3&gt;0,VfdSky_Q3,0)*Table2[[#This Row],[Iin]])</f>
        <v>0</v>
      </c>
      <c r="BA2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3.5986391999999999E-2</v>
      </c>
      <c r="BB2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3.5986391999999999E-2</v>
      </c>
      <c r="BC24" s="354">
        <f>CHOOSE(Table2[[#This Row],[Mode Digit]], Rs*Table2[[#This Row],[Irms BuSync]]^2, Rs*Table2[[#This Row],[Irms BoCtlr]]^2, Rs*(Table2[[#This Row],[Irms BuSync]]^2+Table2[[#This Row],[Irms BoCtlr]]^2))</f>
        <v>9.3936708308608799E-3</v>
      </c>
      <c r="BD24" s="354">
        <f t="shared" si="1"/>
        <v>1.44</v>
      </c>
      <c r="BE24" s="354">
        <f>IF(Vout&gt;8, Iq*Vout, Iq*Table2[[#This Row],[Vin]])</f>
        <v>4.3799999999999999E-2</v>
      </c>
      <c r="BF24" s="354">
        <f>CHOOSE(Table2[[#This Row],[Mode Digit]], (Qg_Q1+Qg_Q2)*Fsw, (Qg_Q3+Qg_Q4)*Fsw, (Qg_Q1+Qg_Q2+Qg_Q3+Qg_Q4)*Fsw)*IF(Vout&gt;8, Vout, Table2[[#This Row],[Vin]])</f>
        <v>0.47303999999999996</v>
      </c>
      <c r="BG24" s="354">
        <f t="shared" si="4"/>
        <v>0.45605042016806729</v>
      </c>
      <c r="BH24" s="354">
        <f>Table2[[#This Row],[IQ Loss]]+Table2[[#This Row],[Switching Current Loss]]</f>
        <v>0.51683999999999997</v>
      </c>
      <c r="BI24"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2.8362118940117962</v>
      </c>
      <c r="BJ24">
        <f>Vout*Table2[[#This Row],[Iout]]</f>
        <v>26.28</v>
      </c>
      <c r="BK24" s="550">
        <f>Table2[[#This Row],[Pout]]/(Table2[[#This Row],[Pout]]+Table2[[#This Row],[Total Loss]])</f>
        <v>0.90258994183940844</v>
      </c>
      <c r="BL24" s="559">
        <f>IF(Table2[[#This Row],[Vin]]&gt;Vout,ThetaJA_Q1*(Table2[[#This Row],[Total Control Bu MOSFET Loss]]+Table2[[#This Row],[Reverse Recovery Loss MOSFET D BUCK]]),ThetaJA_Q4*(Table2[[#This Row],[Total Control Bo MOSFET Loss]]+Table2[[#This Row],[Reverse Recovery Loss MOSFET D BOOST]]))</f>
        <v>24.610452949608824</v>
      </c>
      <c r="BM24" s="559">
        <f>IF(Table2[[#This Row],[Vin]]&gt;Vout, Table2[[#This Row],[Total Sync Bu MOSFET Loss]]*ThetaJA_Q2, ThetaJA_Q3*Table2[[#This Row],[Total Sync Bo MOSFET Loss]])</f>
        <v>6.1665809754897483</v>
      </c>
      <c r="BN24" s="9"/>
      <c r="BO24" s="4">
        <f>Table2[[#This Row],[EFF, h]]*100</f>
        <v>90.258994183940843</v>
      </c>
      <c r="BP24" s="354">
        <f>Table2[[#This Row],[Total Inductor Loss]]</f>
        <v>0.28529332422591619</v>
      </c>
      <c r="BQ24" s="354">
        <f>Table2[[#This Row],[Total Control Bu MOSFET Loss]]+Table2[[#This Row],[Total Sync Bu MOSFET Loss]]+Table2[[#This Row],[Total Control Bo MOSFET Loss]]+Table2[[#This Row],[Total Sync Bo MOSFET Loss]]+Table2[[#This Row],[Reverse Recovery Loss MOSFET D BUCK]]+Table2[[#This Row],[Reverse Recovery Loss MOSFET D BOOST]]</f>
        <v>0.58061969065174324</v>
      </c>
      <c r="BR24" s="354">
        <f xml:space="preserve"> Table2[[#This Row],[Total Control Bu MOSFET Loss]]+Table2[[#This Row],[Reverse Recovery Loss MOSFET D BUCK]]*0.66</f>
        <v>0.39793884254681378</v>
      </c>
      <c r="BS24" s="354">
        <f>Table2[[#This Row],[Total Sync Bu MOSFET Loss]]+Table2[[#This Row],[Reverse Recovery Loss MOSFET D BUCK]]*0.33</f>
        <v>0.11465185895149579</v>
      </c>
      <c r="BT24" s="354">
        <f xml:space="preserve"> Table2[[#This Row],[Total Control Bo MOSFET Loss]]+Table2[[#This Row],[Reverse Recovery Loss MOSFET D BOOST]]*0.66</f>
        <v>3.959238533671687E-2</v>
      </c>
      <c r="BU24" s="354">
        <f xml:space="preserve"> Table2[[#This Row],[Total Sync Bo MOSFET Loss]]+Table2[[#This Row],[Reverse Recovery Loss MOSFET D BOOST]]*0.33</f>
        <v>2.7716875976716876E-2</v>
      </c>
      <c r="BV24" s="354">
        <f>Table2[[#This Row],[Isense Shunt Loss]]</f>
        <v>9.3936708308608799E-3</v>
      </c>
      <c r="CB24" s="18"/>
      <c r="CC24" s="19"/>
    </row>
    <row r="25" spans="1:92" x14ac:dyDescent="0.2">
      <c r="A25" s="35" t="s">
        <v>88</v>
      </c>
      <c r="B25" s="40">
        <f>CoutEsr*1000</f>
        <v>5</v>
      </c>
      <c r="C25" s="442" t="s">
        <v>638</v>
      </c>
      <c r="D25" s="440" t="s">
        <v>655</v>
      </c>
      <c r="G25">
        <v>16</v>
      </c>
      <c r="H25" s="555">
        <f t="shared" si="0"/>
        <v>20</v>
      </c>
      <c r="I25" s="4" t="str">
        <f>IF(Mode = 2,IF(Table2[[#This Row],[Vin]]&gt;Vout, "BUCK","BOOST"),IF(Table2[[#This Row],[Vin]]&gt;VIN_BB_to_buck, "BUCK", IF(Table2[[#This Row],[Vin]]&lt;=VIN_boost_to_BB,"BOOST","BUCK-BST")))</f>
        <v>BUCK</v>
      </c>
      <c r="J25">
        <f>IF(Table2[[#This Row],[Mode]]="BOOST",2, IF(Table2[[#This Row],[Mode]]="BUCK", 1,3))</f>
        <v>1</v>
      </c>
      <c r="K25" s="354">
        <f t="shared" si="3"/>
        <v>1.92</v>
      </c>
      <c r="L25" s="4">
        <f>Vout*Table2[[#This Row],[Iout]]/(Table2[[#This Row],[Vin]]*Efficiency)</f>
        <v>1.4753684210526317</v>
      </c>
      <c r="M25" s="711">
        <f>MIN(1/Fsw,CHOOSE(Table2[[#This Row],[Mode Digit]],(Vout+(Rdson2+Rs+Rdcr)*Table2[[#This Row],[Iout]])/(Table2[[#This Row],[Vin]]+(Rs+Rdson2-Rdson1)*Table2[[#This Row],[Iout]])/Fsw,(Vout+(Rdson3+Rdcr)*Table2[[#This Row],[Iin]]-Table2[[#This Row],[Vin]])/(Vout+(Rdson3-Rdson4-Rs)*Table2[[#This Row],[Iin]])/Fsw,t1_Ph_II))</f>
        <v>1.2183742568450238E-6</v>
      </c>
      <c r="N25" s="602">
        <f>CHOOSE(Table2[[#This Row],[Mode Digit]],1/Fsw-Table2[[#This Row],[t1_Ph_II]],1/Fsw-Table2[[#This Row],[t1_Ph_II]],(Vout/Fsw-Table2[[#This Row],[Vin]]*t1_Ph_II)/(Table2[[#This Row],[Vin]]+Vout))</f>
        <v>4.4829240982164282E-7</v>
      </c>
      <c r="O25" s="602">
        <f>1/Fsw-(Table2[[#This Row],[t1_Ph_II]]+Table2[[#This Row],[t2_Ph_I]])</f>
        <v>0</v>
      </c>
      <c r="P25"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0.67393541913577093</v>
      </c>
      <c r="Q25" s="4">
        <f>CHOOSE(Table2[[#This Row],[Mode Digit]],Table2[[#This Row],[I_0]]+1/Lf*(Table2[[#This Row],[Vin]]-Vout)*Table2[[#This Row],[t1_Ph_II]],Table2[[#This Row],[I_0]]+1/Lf*Table2[[#This Row],[Vin]]*Table2[[#This Row],[t1_Ph_II]],Table2[[#This Row],[I_0]]+(Table2[[#This Row],[Vin]]-Vout)/L*Table2[[#This Row],[t1_Ph_II]])</f>
        <v>3.1660645808642291</v>
      </c>
      <c r="R25" s="4">
        <f>CHOOSE(Table2[[#This Row],[Mode Digit]],0,0,Table2[[#This Row],[I_1]]+Table2[[#This Row],[Vin]]/L*Table2[[#This Row],[t2_Ph_I]])</f>
        <v>0</v>
      </c>
      <c r="S25" s="409">
        <f>Fsw*(Table2[[#This Row],[I_0]]*Table2[[#This Row],[t1_Ph_II]]+Table2[[#This Row],[I_1]]*Table2[[#This Row],[t2_Ph_I]]+Table2[[#This Row],[I_2]]*Table2[[#This Row],[t3_Ph_III]])</f>
        <v>1.3442569716345956</v>
      </c>
      <c r="T25" s="354">
        <f>MIN(1,CHOOSE(Table2[[#This Row],[Mode Digit]],(Vout+(Rdson2+Rs+Rdcr)*Table2[[#This Row],[Iout]])/(Table2[[#This Row],[Vin]]+(Rs+Rdson2-Rdson1)*Table2[[#This Row],[Iout]]),1,Fsw*Table2[[#This Row],[t2_Ph_I]]+Table2[[#This Row],[t1_Ph_II]]))</f>
        <v>0.73102455410701428</v>
      </c>
      <c r="U25" s="354">
        <f>MIN(1,CHOOSE(Table2[[#This Row],[Mode Digit]],0,(Vout+(Rdson3+Rdcr)*Table2[[#This Row],[Iin]]-Table2[[#This Row],[Vin]])/(Vout+(Rdson3-Rdson4-Rs)*Table2[[#This Row],[Iin]]),Fsw*Table2[[#This Row],[t1_Ph_II]]+Table2[[#This Row],[t3_Ph_III]]))</f>
        <v>0</v>
      </c>
      <c r="V25" s="4">
        <f>MAX(Table2[[#This Row],[I_0]:[I_2]])-MIN(Table2[[#This Row],[I_0]:[I_1]])</f>
        <v>2.4921291617284584</v>
      </c>
      <c r="W25"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2.050355817875225</v>
      </c>
      <c r="X25" s="354">
        <f>(Table2[[#This Row],[Irms Lf]]^2*Rdcr*(1+Ltc*Ta-Ltc*25))/(1-Table2[[#This Row],[Irms Lf]]^2*Rdcr*Ltc*ThetaCa)</f>
        <v>2.443061734870873E-2</v>
      </c>
      <c r="Y25" s="354">
        <f>ABS(7.759*10^-3*Fsw^0.9458*(0.00787*Table2[[#This Row],[Ripple Current pk-pk]])^2.304)</f>
        <v>0.26351511341785694</v>
      </c>
      <c r="Z25" s="354">
        <f>Table2[[#This Row],[DCR    Loss]]+Table2[[#This Row],[Core Loss]]</f>
        <v>0.28794573076656566</v>
      </c>
      <c r="AA25" s="4">
        <f>IF(Table2[[#This Row],[Vin]]&gt;Vout, Table2[[#This Row],[Ripple Current pk-pk]]/SQRT(12), SQRT(Table2[[#This Row],[Duty Cycle BOOST Leg]]/(1-Table2[[#This Row],[Duty Cycle BOOST Leg]]))*SQRT(Table2[[#This Row],[Iout]]^2+(Table2[[#This Row],[Ripple Current pk-pk]]^2)/12))</f>
        <v>0.71941572118962094</v>
      </c>
      <c r="AB25" s="354">
        <f>RCoutEsr*Table2[[#This Row],[Irms Cout]]^2</f>
        <v>2.5877948994739121E-3</v>
      </c>
      <c r="AC25" s="354">
        <f>Table2[[#This Row],[Cout ESR Loss]]</f>
        <v>2.5877948994739121E-3</v>
      </c>
      <c r="AD25" s="4">
        <f>IF(Table2[[#This Row],[Vin]]&gt;Vout, SQRT(Table2[[#This Row],[Duty Cycle BUCK Leg]]*(1-Table2[[#This Row],[Duty Cycle BUCK Leg]]))*SQRT(Table2[[#This Row],[Iout]]^2+(Table2[[#This Row],[Ripple Current pk-pk]]^2)/12), Table2[[#This Row],[Ripple Current pk-pk]]/SQRT(12))</f>
        <v>0.90918347851962078</v>
      </c>
      <c r="AE25" s="354">
        <f>RCinEsr*Table2[[#This Row],[Irms Cin]]^2</f>
        <v>1.6532291952260755E-3</v>
      </c>
      <c r="AF25" s="549">
        <f>Table2[[#This Row],[Cin ESR Loss]]</f>
        <v>1.6532291952260755E-3</v>
      </c>
      <c r="AG25" s="354">
        <f>Table2[[#This Row],[Irms Lf]]</f>
        <v>2.050355817875225</v>
      </c>
      <c r="AH25" s="354">
        <f>Rdson1*Table2[[#This Row],[Irms BuCtrl]]^2</f>
        <v>1.7656627715558093E-2</v>
      </c>
      <c r="AI25" s="354">
        <f>CHOOSE(Table2[[#This Row],[Mode Digit]], (Table2[[#This Row],[Vin]]*Table2[[#This Row],[Iout]]/2)*(Fsw)*(Tr_buck+Tf_buck), 0, (Table2[[#This Row],[Vin]]*Table2[[#This Row],[Avg IL]]/2)*(Fsw/1)*(Tr_buck+Tf_buck))</f>
        <v>0.38078849060416253</v>
      </c>
      <c r="AJ25">
        <f>IF(Table2[[#This Row],[Vin]]&gt;Vout, IF(Table2[[#This Row],[Iout]]&gt;Table2[[#This Row],[Ripple Current pk-pk]]/2,0,ABS(Table2[[#This Row],[Iout]]-Table2[[#This Row],[Ripple Current pk-pk]]/2)*Vsd_Q1*Deadtime*Fsw),0)</f>
        <v>0</v>
      </c>
      <c r="AK25" s="354">
        <f>(Table2[[#This Row],[Dead Time Loss BuCtrl]]+Table2[[#This Row],[Transition Loss BuCtrl]]+Table2[[#This Row],[RDS(on) Loss BuCtrl]]*(1+RdsonTopTc*Ta-RdsonTopTc*25))/(1-Table2[[#This Row],[RDS(on) Loss BuCtrl]]*RdsonTopTc*ThetaJA_Q1)</f>
        <v>0.40014075102564467</v>
      </c>
      <c r="AL25" s="354">
        <f>Table2[[#This Row],[Irms Lf]]</f>
        <v>2.050355817875225</v>
      </c>
      <c r="AM25" s="354">
        <f>Rdson2*Table2[[#This Row],[Irms BuSync]]^2</f>
        <v>1.7656627715558093E-2</v>
      </c>
      <c r="AN25"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9.2379428571428571E-2</v>
      </c>
      <c r="AO25" s="354">
        <f>(Table2[[#This Row],[Deadtime Loss BuSync]]+Table2[[#This Row],[RDS(on) Loss BuSync]]*(1+RdsonBotTc*Ta-RdsonBotTc*25))/(1-Table2[[#This Row],[RDS(on) Loss BuSync]]*RdsonBotTc*ThetaJA_Q2)</f>
        <v>0.11050432839597357</v>
      </c>
      <c r="AP25" s="354">
        <f>Table2[[#This Row],[Irms Lf]]</f>
        <v>2.050355817875225</v>
      </c>
      <c r="AQ25" s="354">
        <f>Rdson4*Table2[[#This Row],[Irms BoCtlr]]^2</f>
        <v>1.7656627715558093E-2</v>
      </c>
      <c r="AR25" s="354">
        <f>CHOOSE(Table2[[#This Row],[Mode Digit]], 0, (Vout*Table2[[#This Row],[Iin]]/2)*(Fsw)*(Tr_boost+Tf_boost), (Vout*Iout/2)*(Fsw/1)*(Tr_boost+Tf_boost))</f>
        <v>0</v>
      </c>
      <c r="AS25" s="354">
        <f>IF(Table2[[#This Row],[Vin]]&gt;Vout, 0, IF(Table2[[#This Row],[Iin]]&gt;Table2[[#This Row],[Ripple Current pk-pk]]/2,0,ABS(Table2[[#This Row],[Iin]]-Table2[[#This Row],[Ripple Current pk-pk]]/2)*Vsd_Q4*Deadtime*Fsw))</f>
        <v>0</v>
      </c>
      <c r="AT25" s="354">
        <f>(Table2[[#This Row],[Dead Time Loss BoCtlr]]+Table2[[#This Row],[Transition Loss BoCtlr]]+Table2[[#This Row],[RDS(on) Loss BoCtlr]]*(1+RdsonTopTc*Ta-RdsonTopTc*25))/(1-Table2[[#This Row],[RDS(on) Loss BoCtlr]]*RdsonTopTc*ThetaJA_Q4)</f>
        <v>1.7731767688553828E-2</v>
      </c>
      <c r="AU25" s="354">
        <f>Table2[[#This Row],[Irms Lf]]</f>
        <v>2.050355817875225</v>
      </c>
      <c r="AV25" s="354">
        <f>Rdson3*Table2[[#This Row],[Irms BoSync]]^2</f>
        <v>1.7656627715558093E-2</v>
      </c>
      <c r="AW25"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25" s="354">
        <f>(Table2[[#This Row],[Deadtime Loss BoSync]]+Table2[[#This Row],[RDS(on) Loss BoSync]]*(1+RdsonBotTc*Ta-RdsonBotTc*25))/(1-Table2[[#This Row],[RDS(on) Loss BoSync]]*RdsonBotTc*ThetaJA_Q3)</f>
        <v>1.7731767688553828E-2</v>
      </c>
      <c r="AY25" s="354">
        <f>CHOOSE(Table2[[#This Row],[Mode Digit]], Rdson3*Table2[[#This Row],[Irms Lf]]^2, Rdson1*Table2[[#This Row],[Irms Lf]]^2, 0)</f>
        <v>1.7656627715558093E-2</v>
      </c>
      <c r="AZ25" s="354">
        <f>CHOOSE(Table2[[#This Row],[Mode Digit]], 2*Deadtime*Fsw*IF(VfdSky_Q2&gt;0,VfdSky_Q2,0)*Table2[[#This Row],[Iout]], 2*Deadtime*Fsw*IF(VfdSky_Q3&gt;0,VfdSky_Q3,0)*Table2[[#This Row],[Iin]], 2*Deadtime*Fsw*IF(VfdSky_Q2&gt;0,VfdSky_Q2,0)*Table2[[#This Row],[Iout]]+2*Deadtime*Fsw*IF(VfdSky_Q3&gt;0,VfdSky_Q3,0)*Table2[[#This Row],[Iin]])</f>
        <v>0</v>
      </c>
      <c r="BA2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3.8384517119999996E-2</v>
      </c>
      <c r="BB2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3.8384517119999996E-2</v>
      </c>
      <c r="BC25" s="354">
        <f>CHOOSE(Table2[[#This Row],[Mode Digit]], Rs*Table2[[#This Row],[Irms BuSync]]^2, Rs*Table2[[#This Row],[Irms BoCtlr]]^2, Rs*(Table2[[#This Row],[Irms BuSync]]^2+Table2[[#This Row],[Irms BoCtlr]]^2))</f>
        <v>1.0509897449736958E-2</v>
      </c>
      <c r="BD25" s="354">
        <f t="shared" si="1"/>
        <v>1.44</v>
      </c>
      <c r="BE25" s="354">
        <f>IF(Vout&gt;8, Iq*Vout, Iq*Table2[[#This Row],[Vin]])</f>
        <v>4.3799999999999999E-2</v>
      </c>
      <c r="BF25" s="354">
        <f>CHOOSE(Table2[[#This Row],[Mode Digit]], (Qg_Q1+Qg_Q2)*Fsw, (Qg_Q3+Qg_Q4)*Fsw, (Qg_Q1+Qg_Q2+Qg_Q3+Qg_Q4)*Fsw)*IF(Vout&gt;8, Vout, Table2[[#This Row],[Vin]])</f>
        <v>0.47303999999999996</v>
      </c>
      <c r="BG25" s="354">
        <f t="shared" si="4"/>
        <v>0.45605042016806729</v>
      </c>
      <c r="BH25" s="354">
        <f>Table2[[#This Row],[IQ Loss]]+Table2[[#This Row],[Switching Current Loss]]</f>
        <v>0.51683999999999997</v>
      </c>
      <c r="BI25"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2.8824143013497281</v>
      </c>
      <c r="BJ25">
        <f>Vout*Table2[[#This Row],[Iout]]</f>
        <v>28.032</v>
      </c>
      <c r="BK25" s="550">
        <f>Table2[[#This Row],[Pout]]/(Table2[[#This Row],[Pout]]+Table2[[#This Row],[Total Loss]])</f>
        <v>0.90676147789014128</v>
      </c>
      <c r="BL25" s="559">
        <f>IF(Table2[[#This Row],[Vin]]&gt;Vout,ThetaJA_Q1*(Table2[[#This Row],[Total Control Bu MOSFET Loss]]+Table2[[#This Row],[Reverse Recovery Loss MOSFET D BUCK]]),ThetaJA_Q4*(Table2[[#This Row],[Total Control Bo MOSFET Loss]]+Table2[[#This Row],[Reverse Recovery Loss MOSFET D BOOST]]))</f>
        <v>26.311516088738681</v>
      </c>
      <c r="BM25" s="559">
        <f>IF(Table2[[#This Row],[Vin]]&gt;Vout, Table2[[#This Row],[Total Sync Bu MOSFET Loss]]*ThetaJA_Q2, ThetaJA_Q3*Table2[[#This Row],[Total Sync Bo MOSFET Loss]])</f>
        <v>6.6302597037584139</v>
      </c>
      <c r="BN25" s="9"/>
      <c r="BO25" s="4">
        <f>Table2[[#This Row],[EFF, h]]*100</f>
        <v>90.676147789014124</v>
      </c>
      <c r="BP25" s="354">
        <f>Table2[[#This Row],[Total Inductor Loss]]</f>
        <v>0.28794573076656566</v>
      </c>
      <c r="BQ25" s="354">
        <f>Table2[[#This Row],[Total Control Bu MOSFET Loss]]+Table2[[#This Row],[Total Sync Bu MOSFET Loss]]+Table2[[#This Row],[Total Control Bo MOSFET Loss]]+Table2[[#This Row],[Total Sync Bo MOSFET Loss]]+Table2[[#This Row],[Reverse Recovery Loss MOSFET D BUCK]]+Table2[[#This Row],[Reverse Recovery Loss MOSFET D BOOST]]</f>
        <v>0.62287764903872578</v>
      </c>
      <c r="BR25" s="354">
        <f xml:space="preserve"> Table2[[#This Row],[Total Control Bu MOSFET Loss]]+Table2[[#This Row],[Reverse Recovery Loss MOSFET D BUCK]]*0.66</f>
        <v>0.42547453232484467</v>
      </c>
      <c r="BS25" s="354">
        <f>Table2[[#This Row],[Total Sync Bu MOSFET Loss]]+Table2[[#This Row],[Reverse Recovery Loss MOSFET D BUCK]]*0.33</f>
        <v>0.12317121904557357</v>
      </c>
      <c r="BT25" s="354">
        <f xml:space="preserve"> Table2[[#This Row],[Total Control Bo MOSFET Loss]]+Table2[[#This Row],[Reverse Recovery Loss MOSFET D BOOST]]*0.66</f>
        <v>4.3065548987753825E-2</v>
      </c>
      <c r="BU25" s="354">
        <f xml:space="preserve"> Table2[[#This Row],[Total Sync Bo MOSFET Loss]]+Table2[[#This Row],[Reverse Recovery Loss MOSFET D BOOST]]*0.33</f>
        <v>3.0398658338153826E-2</v>
      </c>
      <c r="BV25" s="354">
        <f>Table2[[#This Row],[Isense Shunt Loss]]</f>
        <v>1.0509897449736958E-2</v>
      </c>
      <c r="BZ25" t="s">
        <v>149</v>
      </c>
      <c r="CA25" t="s">
        <v>4</v>
      </c>
      <c r="CB25" t="s">
        <v>6</v>
      </c>
      <c r="CC25" t="s">
        <v>5</v>
      </c>
      <c r="CD25" t="s">
        <v>150</v>
      </c>
      <c r="CE25" t="s">
        <v>151</v>
      </c>
    </row>
    <row r="26" spans="1:92" x14ac:dyDescent="0.2">
      <c r="A26" s="24" t="s">
        <v>114</v>
      </c>
      <c r="B26" s="37" t="s">
        <v>113</v>
      </c>
      <c r="C26" s="24" t="s">
        <v>80</v>
      </c>
      <c r="D26" s="17" t="s">
        <v>109</v>
      </c>
      <c r="G26">
        <v>17</v>
      </c>
      <c r="H26" s="555">
        <f t="shared" si="0"/>
        <v>20</v>
      </c>
      <c r="I26" s="4" t="str">
        <f>IF(Mode = 2,IF(Table2[[#This Row],[Vin]]&gt;Vout, "BUCK","BOOST"),IF(Table2[[#This Row],[Vin]]&gt;VIN_BB_to_buck, "BUCK", IF(Table2[[#This Row],[Vin]]&lt;=VIN_boost_to_BB,"BOOST","BUCK-BST")))</f>
        <v>BUCK</v>
      </c>
      <c r="J26">
        <f>IF(Table2[[#This Row],[Mode]]="BOOST",2, IF(Table2[[#This Row],[Mode]]="BUCK", 1,3))</f>
        <v>1</v>
      </c>
      <c r="K26" s="354">
        <f t="shared" si="3"/>
        <v>2.04</v>
      </c>
      <c r="L26" s="4">
        <f>Vout*Table2[[#This Row],[Iout]]/(Table2[[#This Row],[Vin]]*Efficiency)</f>
        <v>1.567578947368421</v>
      </c>
      <c r="M26" s="711">
        <f>MIN(1/Fsw,CHOOSE(Table2[[#This Row],[Mode Digit]],(Vout+(Rdson2+Rs+Rdcr)*Table2[[#This Row],[Iout]])/(Table2[[#This Row],[Vin]]+(Rs+Rdson2-Rdson1)*Table2[[#This Row],[Iout]])/Fsw,(Vout+(Rdson3+Rdcr)*Table2[[#This Row],[Iin]]-Table2[[#This Row],[Vin]])/(Vout+(Rdson3-Rdson4-Rs)*Table2[[#This Row],[Iin]])/Fsw,t1_Ph_II))</f>
        <v>1.2184809540233906E-6</v>
      </c>
      <c r="N26" s="602">
        <f>CHOOSE(Table2[[#This Row],[Mode Digit]],1/Fsw-Table2[[#This Row],[t1_Ph_II]],1/Fsw-Table2[[#This Row],[t1_Ph_II]],(Vout/Fsw-Table2[[#This Row],[Vin]]*t1_Ph_II)/(Table2[[#This Row],[Vin]]+Vout))</f>
        <v>4.4818571264327605E-7</v>
      </c>
      <c r="O26" s="602">
        <f>1/Fsw-(Table2[[#This Row],[t1_Ph_II]]+Table2[[#This Row],[t2_Ph_I]])</f>
        <v>0</v>
      </c>
      <c r="P26"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0.79382629702153218</v>
      </c>
      <c r="Q26" s="4">
        <f>CHOOSE(Table2[[#This Row],[Mode Digit]],Table2[[#This Row],[I_0]]+1/Lf*(Table2[[#This Row],[Vin]]-Vout)*Table2[[#This Row],[t1_Ph_II]],Table2[[#This Row],[I_0]]+1/Lf*Table2[[#This Row],[Vin]]*Table2[[#This Row],[t1_Ph_II]],Table2[[#This Row],[I_0]]+(Table2[[#This Row],[Vin]]-Vout)/L*Table2[[#This Row],[t1_Ph_II]])</f>
        <v>3.2861737029784681</v>
      </c>
      <c r="R26" s="4">
        <f>CHOOSE(Table2[[#This Row],[Mode Digit]],0,0,Table2[[#This Row],[I_1]]+Table2[[#This Row],[Vin]]/L*Table2[[#This Row],[t2_Ph_I]])</f>
        <v>0</v>
      </c>
      <c r="S26" s="409">
        <f>Fsw*(Table2[[#This Row],[I_0]]*Table2[[#This Row],[t1_Ph_II]]+Table2[[#This Row],[I_1]]*Table2[[#This Row],[t2_Ph_I]]+Table2[[#This Row],[I_2]]*Table2[[#This Row],[t3_Ph_III]])</f>
        <v>1.4640469959975901</v>
      </c>
      <c r="T26" s="354">
        <f>MIN(1,CHOOSE(Table2[[#This Row],[Mode Digit]],(Vout+(Rdson2+Rs+Rdcr)*Table2[[#This Row],[Iout]])/(Table2[[#This Row],[Vin]]+(Rs+Rdson2-Rdson1)*Table2[[#This Row],[Iout]]),1,Fsw*Table2[[#This Row],[t2_Ph_I]]+Table2[[#This Row],[t1_Ph_II]]))</f>
        <v>0.73108857241403435</v>
      </c>
      <c r="U26" s="354">
        <f>MIN(1,CHOOSE(Table2[[#This Row],[Mode Digit]],0,(Vout+(Rdson3+Rdcr)*Table2[[#This Row],[Iin]]-Table2[[#This Row],[Vin]])/(Vout+(Rdson3-Rdson4-Rs)*Table2[[#This Row],[Iin]]),Fsw*Table2[[#This Row],[t1_Ph_II]]+Table2[[#This Row],[t3_Ph_III]]))</f>
        <v>0</v>
      </c>
      <c r="V26" s="4">
        <f>MAX(Table2[[#This Row],[I_0]:[I_2]])-MIN(Table2[[#This Row],[I_0]:[I_1]])</f>
        <v>2.4923474059569362</v>
      </c>
      <c r="W26"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2.1631573296145206</v>
      </c>
      <c r="X26" s="354">
        <f>(Table2[[#This Row],[Irms Lf]]^2*Rdcr*(1+Ltc*Ta-Ltc*25))/(1-Table2[[#This Row],[Irms Lf]]^2*Rdcr*Ltc*ThetaCa)</f>
        <v>2.7198700922701043E-2</v>
      </c>
      <c r="Y26" s="354">
        <f>ABS(7.759*10^-3*Fsw^0.9458*(0.00787*Table2[[#This Row],[Ripple Current pk-pk]])^2.304)</f>
        <v>0.26356828566569362</v>
      </c>
      <c r="Z26" s="354">
        <f>Table2[[#This Row],[DCR    Loss]]+Table2[[#This Row],[Core Loss]]</f>
        <v>0.29076698658839467</v>
      </c>
      <c r="AA26" s="4">
        <f>IF(Table2[[#This Row],[Vin]]&gt;Vout, Table2[[#This Row],[Ripple Current pk-pk]]/SQRT(12), SQRT(Table2[[#This Row],[Duty Cycle BOOST Leg]]/(1-Table2[[#This Row],[Duty Cycle BOOST Leg]]))*SQRT(Table2[[#This Row],[Iout]]^2+(Table2[[#This Row],[Ripple Current pk-pk]]^2)/12))</f>
        <v>0.71947872287165138</v>
      </c>
      <c r="AB26" s="354">
        <f>RCoutEsr*Table2[[#This Row],[Irms Cout]]^2</f>
        <v>2.5882481633251126E-3</v>
      </c>
      <c r="AC26" s="354">
        <f>Table2[[#This Row],[Cout ESR Loss]]</f>
        <v>2.5882481633251126E-3</v>
      </c>
      <c r="AD26" s="4">
        <f>IF(Table2[[#This Row],[Vin]]&gt;Vout, SQRT(Table2[[#This Row],[Duty Cycle BUCK Leg]]*(1-Table2[[#This Row],[Duty Cycle BUCK Leg]]))*SQRT(Table2[[#This Row],[Iout]]^2+(Table2[[#This Row],[Ripple Current pk-pk]]^2)/12), Table2[[#This Row],[Ripple Current pk-pk]]/SQRT(12))</f>
        <v>0.95913057233267718</v>
      </c>
      <c r="AE26" s="354">
        <f>RCinEsr*Table2[[#This Row],[Irms Cin]]^2</f>
        <v>1.8398629095664179E-3</v>
      </c>
      <c r="AF26" s="549">
        <f>Table2[[#This Row],[Cin ESR Loss]]</f>
        <v>1.8398629095664179E-3</v>
      </c>
      <c r="AG26" s="354">
        <f>Table2[[#This Row],[Irms Lf]]</f>
        <v>2.1631573296145206</v>
      </c>
      <c r="AH26" s="354">
        <f>Rdson1*Table2[[#This Row],[Irms BuCtrl]]^2</f>
        <v>1.9652848457193103E-2</v>
      </c>
      <c r="AI26" s="354">
        <f>CHOOSE(Table2[[#This Row],[Mode Digit]], (Table2[[#This Row],[Vin]]*Table2[[#This Row],[Iout]]/2)*(Fsw)*(Tr_buck+Tf_buck), 0, (Table2[[#This Row],[Vin]]*Table2[[#This Row],[Avg IL]]/2)*(Fsw/1)*(Tr_buck+Tf_buck))</f>
        <v>0.40458777126692269</v>
      </c>
      <c r="AJ26">
        <f>IF(Table2[[#This Row],[Vin]]&gt;Vout, IF(Table2[[#This Row],[Iout]]&gt;Table2[[#This Row],[Ripple Current pk-pk]]/2,0,ABS(Table2[[#This Row],[Iout]]-Table2[[#This Row],[Ripple Current pk-pk]]/2)*Vsd_Q1*Deadtime*Fsw),0)</f>
        <v>0</v>
      </c>
      <c r="AK26" s="354">
        <f>(Table2[[#This Row],[Dead Time Loss BuCtrl]]+Table2[[#This Row],[Transition Loss BuCtrl]]+Table2[[#This Row],[RDS(on) Loss BuCtrl]]*(1+RdsonTopTc*Ta-RdsonTopTc*25))/(1-Table2[[#This Row],[RDS(on) Loss BuCtrl]]*RdsonTopTc*ThetaJA_Q1)</f>
        <v>0.42625111136323546</v>
      </c>
      <c r="AL26" s="354">
        <f>Table2[[#This Row],[Irms Lf]]</f>
        <v>2.1631573296145206</v>
      </c>
      <c r="AM26" s="354">
        <f>Rdson2*Table2[[#This Row],[Irms BuSync]]^2</f>
        <v>1.9652848457193103E-2</v>
      </c>
      <c r="AN26"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9.8153142857142855E-2</v>
      </c>
      <c r="AO26" s="354">
        <f>(Table2[[#This Row],[Deadtime Loss BuSync]]+Table2[[#This Row],[RDS(on) Loss BuSync]]*(1+RdsonBotTc*Ta-RdsonBotTc*25))/(1-Table2[[#This Row],[RDS(on) Loss BuSync]]*RdsonBotTc*ThetaJA_Q2)</f>
        <v>0.11836427816751303</v>
      </c>
      <c r="AP26" s="354">
        <f>Table2[[#This Row],[Irms Lf]]</f>
        <v>2.1631573296145206</v>
      </c>
      <c r="AQ26" s="354">
        <f>Rdson4*Table2[[#This Row],[Irms BoCtlr]]^2</f>
        <v>1.9652848457193103E-2</v>
      </c>
      <c r="AR26" s="354">
        <f>CHOOSE(Table2[[#This Row],[Mode Digit]], 0, (Vout*Table2[[#This Row],[Iin]]/2)*(Fsw)*(Tr_boost+Tf_boost), (Vout*Iout/2)*(Fsw/1)*(Tr_boost+Tf_boost))</f>
        <v>0</v>
      </c>
      <c r="AS26" s="354">
        <f>IF(Table2[[#This Row],[Vin]]&gt;Vout, 0, IF(Table2[[#This Row],[Iin]]&gt;Table2[[#This Row],[Ripple Current pk-pk]]/2,0,ABS(Table2[[#This Row],[Iin]]-Table2[[#This Row],[Ripple Current pk-pk]]/2)*Vsd_Q4*Deadtime*Fsw))</f>
        <v>0</v>
      </c>
      <c r="AT26" s="354">
        <f>(Table2[[#This Row],[Dead Time Loss BoCtlr]]+Table2[[#This Row],[Transition Loss BoCtlr]]+Table2[[#This Row],[RDS(on) Loss BoCtlr]]*(1+RdsonTopTc*Ta-RdsonTopTc*25))/(1-Table2[[#This Row],[RDS(on) Loss BoCtlr]]*RdsonTopTc*ThetaJA_Q4)</f>
        <v>1.9745984016757784E-2</v>
      </c>
      <c r="AU26" s="354">
        <f>Table2[[#This Row],[Irms Lf]]</f>
        <v>2.1631573296145206</v>
      </c>
      <c r="AV26" s="354">
        <f>Rdson3*Table2[[#This Row],[Irms BoSync]]^2</f>
        <v>1.9652848457193103E-2</v>
      </c>
      <c r="AW26"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26" s="354">
        <f>(Table2[[#This Row],[Deadtime Loss BoSync]]+Table2[[#This Row],[RDS(on) Loss BoSync]]*(1+RdsonBotTc*Ta-RdsonBotTc*25))/(1-Table2[[#This Row],[RDS(on) Loss BoSync]]*RdsonBotTc*ThetaJA_Q3)</f>
        <v>1.9745984016757784E-2</v>
      </c>
      <c r="AY26" s="354">
        <f>CHOOSE(Table2[[#This Row],[Mode Digit]], Rdson3*Table2[[#This Row],[Irms Lf]]^2, Rdson1*Table2[[#This Row],[Irms Lf]]^2, 0)</f>
        <v>1.9652848457193103E-2</v>
      </c>
      <c r="AZ26" s="354">
        <f>CHOOSE(Table2[[#This Row],[Mode Digit]], 2*Deadtime*Fsw*IF(VfdSky_Q2&gt;0,VfdSky_Q2,0)*Table2[[#This Row],[Iout]], 2*Deadtime*Fsw*IF(VfdSky_Q3&gt;0,VfdSky_Q3,0)*Table2[[#This Row],[Iin]], 2*Deadtime*Fsw*IF(VfdSky_Q2&gt;0,VfdSky_Q2,0)*Table2[[#This Row],[Iout]]+2*Deadtime*Fsw*IF(VfdSky_Q3&gt;0,VfdSky_Q3,0)*Table2[[#This Row],[Iin]])</f>
        <v>0</v>
      </c>
      <c r="BA2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4.0782521280000004E-2</v>
      </c>
      <c r="BB2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4.0782521280000004E-2</v>
      </c>
      <c r="BC26" s="354">
        <f>CHOOSE(Table2[[#This Row],[Mode Digit]], Rs*Table2[[#This Row],[Irms BuSync]]^2, Rs*Table2[[#This Row],[Irms BoCtlr]]^2, Rs*(Table2[[#This Row],[Irms BuSync]]^2+Table2[[#This Row],[Irms BoCtlr]]^2))</f>
        <v>1.1698124081662559E-2</v>
      </c>
      <c r="BD26" s="354">
        <f t="shared" si="1"/>
        <v>1.44</v>
      </c>
      <c r="BE26" s="354">
        <f>IF(Vout&gt;8, Iq*Vout, Iq*Table2[[#This Row],[Vin]])</f>
        <v>4.3799999999999999E-2</v>
      </c>
      <c r="BF26" s="354">
        <f>CHOOSE(Table2[[#This Row],[Mode Digit]], (Qg_Q1+Qg_Q2)*Fsw, (Qg_Q3+Qg_Q4)*Fsw, (Qg_Q1+Qg_Q2+Qg_Q3+Qg_Q4)*Fsw)*IF(Vout&gt;8, Vout, Table2[[#This Row],[Vin]])</f>
        <v>0.47303999999999996</v>
      </c>
      <c r="BG26" s="354">
        <f t="shared" si="4"/>
        <v>0.45605042016806729</v>
      </c>
      <c r="BH26" s="354">
        <f>Table2[[#This Row],[IQ Loss]]+Table2[[#This Row],[Switching Current Loss]]</f>
        <v>0.51683999999999997</v>
      </c>
      <c r="BI26"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2.9294056218672129</v>
      </c>
      <c r="BJ26">
        <f>Vout*Table2[[#This Row],[Iout]]</f>
        <v>29.783999999999999</v>
      </c>
      <c r="BK26" s="550">
        <f>Table2[[#This Row],[Pout]]/(Table2[[#This Row],[Pout]]+Table2[[#This Row],[Total Loss]])</f>
        <v>0.91045244094338329</v>
      </c>
      <c r="BL26" s="559">
        <f>IF(Table2[[#This Row],[Vin]]&gt;Vout,ThetaJA_Q1*(Table2[[#This Row],[Total Control Bu MOSFET Loss]]+Table2[[#This Row],[Reverse Recovery Loss MOSFET D BUCK]]),ThetaJA_Q4*(Table2[[#This Row],[Total Control Bo MOSFET Loss]]+Table2[[#This Row],[Reverse Recovery Loss MOSFET D BOOST]]))</f>
        <v>28.022017958594127</v>
      </c>
      <c r="BM26" s="559">
        <f>IF(Table2[[#This Row],[Vin]]&gt;Vout, Table2[[#This Row],[Total Sync Bu MOSFET Loss]]*ThetaJA_Q2, ThetaJA_Q3*Table2[[#This Row],[Total Sync Bo MOSFET Loss]])</f>
        <v>7.1018566900507825</v>
      </c>
      <c r="BN26" s="9"/>
      <c r="BO26" s="4">
        <f>Table2[[#This Row],[EFF, h]]*100</f>
        <v>91.045244094338329</v>
      </c>
      <c r="BP26" s="354">
        <f>Table2[[#This Row],[Total Inductor Loss]]</f>
        <v>0.29076698658839467</v>
      </c>
      <c r="BQ26" s="354">
        <f>Table2[[#This Row],[Total Control Bu MOSFET Loss]]+Table2[[#This Row],[Total Sync Bu MOSFET Loss]]+Table2[[#This Row],[Total Control Bo MOSFET Loss]]+Table2[[#This Row],[Total Sync Bo MOSFET Loss]]+Table2[[#This Row],[Reverse Recovery Loss MOSFET D BUCK]]+Table2[[#This Row],[Reverse Recovery Loss MOSFET D BOOST]]</f>
        <v>0.6656724001242641</v>
      </c>
      <c r="BR26" s="354">
        <f xml:space="preserve"> Table2[[#This Row],[Total Control Bu MOSFET Loss]]+Table2[[#This Row],[Reverse Recovery Loss MOSFET D BUCK]]*0.66</f>
        <v>0.45316757540803548</v>
      </c>
      <c r="BS26" s="354">
        <f>Table2[[#This Row],[Total Sync Bu MOSFET Loss]]+Table2[[#This Row],[Reverse Recovery Loss MOSFET D BUCK]]*0.33</f>
        <v>0.13182251018991303</v>
      </c>
      <c r="BT26" s="354">
        <f xml:space="preserve"> Table2[[#This Row],[Total Control Bo MOSFET Loss]]+Table2[[#This Row],[Reverse Recovery Loss MOSFET D BOOST]]*0.66</f>
        <v>4.6662448061557789E-2</v>
      </c>
      <c r="BU26" s="354">
        <f xml:space="preserve"> Table2[[#This Row],[Total Sync Bo MOSFET Loss]]+Table2[[#This Row],[Reverse Recovery Loss MOSFET D BOOST]]*0.33</f>
        <v>3.3204216039157783E-2</v>
      </c>
      <c r="BV26" s="354">
        <f>Table2[[#This Row],[Isense Shunt Loss]]</f>
        <v>1.1698124081662559E-2</v>
      </c>
      <c r="BZ26" t="s">
        <v>152</v>
      </c>
      <c r="CA26">
        <v>9.9989640000000009</v>
      </c>
      <c r="CB26">
        <v>0.1027</v>
      </c>
      <c r="CC26">
        <v>5.1211359999999999</v>
      </c>
      <c r="CD26">
        <v>61.870683235325004</v>
      </c>
      <c r="CE26">
        <v>324.12365701136014</v>
      </c>
    </row>
    <row r="27" spans="1:92" x14ac:dyDescent="0.2">
      <c r="A27" s="22" t="s">
        <v>65</v>
      </c>
      <c r="B27" s="5">
        <f>RdsonDRT</f>
        <v>1.5</v>
      </c>
      <c r="C27" s="444" t="s">
        <v>118</v>
      </c>
      <c r="D27" s="440" t="s">
        <v>680</v>
      </c>
      <c r="G27">
        <v>18</v>
      </c>
      <c r="H27" s="555">
        <f t="shared" si="0"/>
        <v>20</v>
      </c>
      <c r="I27" s="4" t="str">
        <f>IF(Mode = 2,IF(Table2[[#This Row],[Vin]]&gt;Vout, "BUCK","BOOST"),IF(Table2[[#This Row],[Vin]]&gt;VIN_BB_to_buck, "BUCK", IF(Table2[[#This Row],[Vin]]&lt;=VIN_boost_to_BB,"BOOST","BUCK-BST")))</f>
        <v>BUCK</v>
      </c>
      <c r="J27">
        <f>IF(Table2[[#This Row],[Mode]]="BOOST",2, IF(Table2[[#This Row],[Mode]]="BUCK", 1,3))</f>
        <v>1</v>
      </c>
      <c r="K27" s="354">
        <f t="shared" si="3"/>
        <v>2.16</v>
      </c>
      <c r="L27" s="4">
        <f>Vout*Table2[[#This Row],[Iout]]/(Table2[[#This Row],[Vin]]*Efficiency)</f>
        <v>1.6597894736842107</v>
      </c>
      <c r="M27" s="711">
        <f>MIN(1/Fsw,CHOOSE(Table2[[#This Row],[Mode Digit]],(Vout+(Rdson2+Rs+Rdcr)*Table2[[#This Row],[Iout]])/(Table2[[#This Row],[Vin]]+(Rs+Rdson2-Rdson1)*Table2[[#This Row],[Iout]])/Fsw,(Vout+(Rdson3+Rdcr)*Table2[[#This Row],[Iin]]-Table2[[#This Row],[Vin]])/(Vout+(Rdson3-Rdson4-Rs)*Table2[[#This Row],[Iin]])/Fsw,t1_Ph_II))</f>
        <v>1.2185876480017061E-6</v>
      </c>
      <c r="N27" s="602">
        <f>CHOOSE(Table2[[#This Row],[Mode Digit]],1/Fsw-Table2[[#This Row],[t1_Ph_II]],1/Fsw-Table2[[#This Row],[t1_Ph_II]],(Vout/Fsw-Table2[[#This Row],[Vin]]*t1_Ph_II)/(Table2[[#This Row],[Vin]]+Vout))</f>
        <v>4.4807901866496058E-7</v>
      </c>
      <c r="O27" s="602">
        <f>1/Fsw-(Table2[[#This Row],[t1_Ph_II]]+Table2[[#This Row],[t2_Ph_I]])</f>
        <v>0</v>
      </c>
      <c r="P27"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0.91371717818007325</v>
      </c>
      <c r="Q27" s="4">
        <f>CHOOSE(Table2[[#This Row],[Mode Digit]],Table2[[#This Row],[I_0]]+1/Lf*(Table2[[#This Row],[Vin]]-Vout)*Table2[[#This Row],[t1_Ph_II]],Table2[[#This Row],[I_0]]+1/Lf*Table2[[#This Row],[Vin]]*Table2[[#This Row],[t1_Ph_II]],Table2[[#This Row],[I_0]]+(Table2[[#This Row],[Vin]]-Vout)/L*Table2[[#This Row],[t1_Ph_II]])</f>
        <v>3.4062828218199268</v>
      </c>
      <c r="R27" s="4">
        <f>CHOOSE(Table2[[#This Row],[Mode Digit]],0,0,Table2[[#This Row],[I_1]]+Table2[[#This Row],[Vin]]/L*Table2[[#This Row],[t2_Ph_I]])</f>
        <v>0</v>
      </c>
      <c r="S27" s="409">
        <f>Fsw*(Table2[[#This Row],[I_0]]*Table2[[#This Row],[t1_Ph_II]]+Table2[[#This Row],[I_1]]*Table2[[#This Row],[t2_Ph_I]]+Table2[[#This Row],[I_2]]*Table2[[#This Row],[t3_Ph_III]])</f>
        <v>1.583836998716158</v>
      </c>
      <c r="T27" s="354">
        <f>MIN(1,CHOOSE(Table2[[#This Row],[Mode Digit]],(Vout+(Rdson2+Rs+Rdcr)*Table2[[#This Row],[Iout]])/(Table2[[#This Row],[Vin]]+(Rs+Rdson2-Rdson1)*Table2[[#This Row],[Iout]]),1,Fsw*Table2[[#This Row],[t2_Ph_I]]+Table2[[#This Row],[t1_Ph_II]]))</f>
        <v>0.73115258880102363</v>
      </c>
      <c r="U27" s="354">
        <f>MIN(1,CHOOSE(Table2[[#This Row],[Mode Digit]],0,(Vout+(Rdson3+Rdcr)*Table2[[#This Row],[Iin]]-Table2[[#This Row],[Vin]])/(Vout+(Rdson3-Rdson4-Rs)*Table2[[#This Row],[Iin]]),Fsw*Table2[[#This Row],[t1_Ph_II]]+Table2[[#This Row],[t3_Ph_III]]))</f>
        <v>0</v>
      </c>
      <c r="V27" s="4">
        <f>MAX(Table2[[#This Row],[I_0]:[I_2]])-MIN(Table2[[#This Row],[I_0]:[I_1]])</f>
        <v>2.4925656436398533</v>
      </c>
      <c r="W27"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2.2766950368142149</v>
      </c>
      <c r="X27" s="354">
        <f>(Table2[[#This Row],[Irms Lf]]^2*Rdcr*(1+Ltc*Ta-Ltc*25))/(1-Table2[[#This Row],[Irms Lf]]^2*Rdcr*Ltc*ThetaCa)</f>
        <v>3.013585251744173E-2</v>
      </c>
      <c r="Y27" s="354">
        <f>ABS(7.759*10^-3*Fsw^0.9458*(0.00787*Table2[[#This Row],[Ripple Current pk-pk]])^2.304)</f>
        <v>0.26362146239037826</v>
      </c>
      <c r="Z27" s="354">
        <f>Table2[[#This Row],[DCR    Loss]]+Table2[[#This Row],[Core Loss]]</f>
        <v>0.29375731490781998</v>
      </c>
      <c r="AA27" s="4">
        <f>IF(Table2[[#This Row],[Vin]]&gt;Vout, Table2[[#This Row],[Ripple Current pk-pk]]/SQRT(12), SQRT(Table2[[#This Row],[Duty Cycle BOOST Leg]]/(1-Table2[[#This Row],[Duty Cycle BOOST Leg]]))*SQRT(Table2[[#This Row],[Iout]]^2+(Table2[[#This Row],[Ripple Current pk-pk]]^2)/12))</f>
        <v>0.71954172266414107</v>
      </c>
      <c r="AB27" s="354">
        <f>RCoutEsr*Table2[[#This Row],[Irms Cout]]^2</f>
        <v>2.5887014532723985E-3</v>
      </c>
      <c r="AC27" s="354">
        <f>Table2[[#This Row],[Cout ESR Loss]]</f>
        <v>2.5887014532723985E-3</v>
      </c>
      <c r="AD27" s="4">
        <f>IF(Table2[[#This Row],[Vin]]&gt;Vout, SQRT(Table2[[#This Row],[Duty Cycle BUCK Leg]]*(1-Table2[[#This Row],[Duty Cycle BUCK Leg]]))*SQRT(Table2[[#This Row],[Iout]]^2+(Table2[[#This Row],[Ripple Current pk-pk]]^2)/12), Table2[[#This Row],[Ripple Current pk-pk]]/SQRT(12))</f>
        <v>1.0093965156648033</v>
      </c>
      <c r="AE27" s="354">
        <f>RCinEsr*Table2[[#This Row],[Irms Cin]]^2</f>
        <v>2.037762651672491E-3</v>
      </c>
      <c r="AF27" s="549">
        <f>Table2[[#This Row],[Cin ESR Loss]]</f>
        <v>2.037762651672491E-3</v>
      </c>
      <c r="AG27" s="354">
        <f>Table2[[#This Row],[Irms Lf]]</f>
        <v>2.2766950368142149</v>
      </c>
      <c r="AH27" s="354">
        <f>Rdson1*Table2[[#This Row],[Irms BuCtrl]]^2</f>
        <v>2.1770029220748818E-2</v>
      </c>
      <c r="AI27" s="354">
        <f>CHOOSE(Table2[[#This Row],[Mode Digit]], (Table2[[#This Row],[Vin]]*Table2[[#This Row],[Iout]]/2)*(Fsw)*(Tr_buck+Tf_buck), 0, (Table2[[#This Row],[Vin]]*Table2[[#This Row],[Avg IL]]/2)*(Fsw/1)*(Tr_buck+Tf_buck))</f>
        <v>0.42838705192968285</v>
      </c>
      <c r="AJ27">
        <f>IF(Table2[[#This Row],[Vin]]&gt;Vout, IF(Table2[[#This Row],[Iout]]&gt;Table2[[#This Row],[Ripple Current pk-pk]]/2,0,ABS(Table2[[#This Row],[Iout]]-Table2[[#This Row],[Ripple Current pk-pk]]/2)*Vsd_Q1*Deadtime*Fsw),0)</f>
        <v>0</v>
      </c>
      <c r="AK27" s="354">
        <f>(Table2[[#This Row],[Dead Time Loss BuCtrl]]+Table2[[#This Row],[Transition Loss BuCtrl]]+Table2[[#This Row],[RDS(on) Loss BuCtrl]]*(1+RdsonTopTc*Ta-RdsonTopTc*25))/(1-Table2[[#This Row],[RDS(on) Loss BuCtrl]]*RdsonTopTc*ThetaJA_Q1)</f>
        <v>0.45252141822992287</v>
      </c>
      <c r="AL27" s="354">
        <f>Table2[[#This Row],[Irms Lf]]</f>
        <v>2.2766950368142149</v>
      </c>
      <c r="AM27" s="354">
        <f>Rdson2*Table2[[#This Row],[Irms BuSync]]^2</f>
        <v>2.1770029220748818E-2</v>
      </c>
      <c r="AN27"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0.10392685714285715</v>
      </c>
      <c r="AO27" s="354">
        <f>(Table2[[#This Row],[Deadtime Loss BuSync]]+Table2[[#This Row],[RDS(on) Loss BuSync]]*(1+RdsonBotTc*Ta-RdsonBotTc*25))/(1-Table2[[#This Row],[RDS(on) Loss BuSync]]*RdsonBotTc*ThetaJA_Q2)</f>
        <v>0.12635707770936147</v>
      </c>
      <c r="AP27" s="354">
        <f>Table2[[#This Row],[Irms Lf]]</f>
        <v>2.2766950368142149</v>
      </c>
      <c r="AQ27" s="354">
        <f>Rdson4*Table2[[#This Row],[Irms BoCtlr]]^2</f>
        <v>2.1770029220748818E-2</v>
      </c>
      <c r="AR27" s="354">
        <f>CHOOSE(Table2[[#This Row],[Mode Digit]], 0, (Vout*Table2[[#This Row],[Iin]]/2)*(Fsw)*(Tr_boost+Tf_boost), (Vout*Iout/2)*(Fsw/1)*(Tr_boost+Tf_boost))</f>
        <v>0</v>
      </c>
      <c r="AS27" s="354">
        <f>IF(Table2[[#This Row],[Vin]]&gt;Vout, 0, IF(Table2[[#This Row],[Iin]]&gt;Table2[[#This Row],[Ripple Current pk-pk]]/2,0,ABS(Table2[[#This Row],[Iin]]-Table2[[#This Row],[Ripple Current pk-pk]]/2)*Vsd_Q4*Deadtime*Fsw))</f>
        <v>0</v>
      </c>
      <c r="AT27" s="354">
        <f>(Table2[[#This Row],[Dead Time Loss BoCtlr]]+Table2[[#This Row],[Transition Loss BoCtlr]]+Table2[[#This Row],[RDS(on) Loss BoCtlr]]*(1+RdsonTopTc*Ta-RdsonTopTc*25))/(1-Table2[[#This Row],[RDS(on) Loss BoCtlr]]*RdsonTopTc*ThetaJA_Q4)</f>
        <v>2.1884370834961975E-2</v>
      </c>
      <c r="AU27" s="354">
        <f>Table2[[#This Row],[Irms Lf]]</f>
        <v>2.2766950368142149</v>
      </c>
      <c r="AV27" s="354">
        <f>Rdson3*Table2[[#This Row],[Irms BoSync]]^2</f>
        <v>2.1770029220748818E-2</v>
      </c>
      <c r="AW27"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27" s="354">
        <f>(Table2[[#This Row],[Deadtime Loss BoSync]]+Table2[[#This Row],[RDS(on) Loss BoSync]]*(1+RdsonBotTc*Ta-RdsonBotTc*25))/(1-Table2[[#This Row],[RDS(on) Loss BoSync]]*RdsonBotTc*ThetaJA_Q3)</f>
        <v>2.1884370834961975E-2</v>
      </c>
      <c r="AY27" s="354">
        <f>CHOOSE(Table2[[#This Row],[Mode Digit]], Rdson3*Table2[[#This Row],[Irms Lf]]^2, Rdson1*Table2[[#This Row],[Irms Lf]]^2, 0)</f>
        <v>2.1770029220748818E-2</v>
      </c>
      <c r="AZ27" s="354">
        <f>CHOOSE(Table2[[#This Row],[Mode Digit]], 2*Deadtime*Fsw*IF(VfdSky_Q2&gt;0,VfdSky_Q2,0)*Table2[[#This Row],[Iout]], 2*Deadtime*Fsw*IF(VfdSky_Q3&gt;0,VfdSky_Q3,0)*Table2[[#This Row],[Iin]], 2*Deadtime*Fsw*IF(VfdSky_Q2&gt;0,VfdSky_Q2,0)*Table2[[#This Row],[Iout]]+2*Deadtime*Fsw*IF(VfdSky_Q3&gt;0,VfdSky_Q3,0)*Table2[[#This Row],[Iin]])</f>
        <v>0</v>
      </c>
      <c r="BA2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4.3180404480000004E-2</v>
      </c>
      <c r="BB2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4.3180404480000004E-2</v>
      </c>
      <c r="BC27" s="354">
        <f>CHOOSE(Table2[[#This Row],[Mode Digit]], Rs*Table2[[#This Row],[Irms BuSync]]^2, Rs*Table2[[#This Row],[Irms BoCtlr]]^2, Rs*(Table2[[#This Row],[Irms BuSync]]^2+Table2[[#This Row],[Irms BoCtlr]]^2))</f>
        <v>1.29583507266362E-2</v>
      </c>
      <c r="BD27" s="354">
        <f t="shared" si="1"/>
        <v>1.44</v>
      </c>
      <c r="BE27" s="354">
        <f>IF(Vout&gt;8, Iq*Vout, Iq*Table2[[#This Row],[Vin]])</f>
        <v>4.3799999999999999E-2</v>
      </c>
      <c r="BF27" s="354">
        <f>CHOOSE(Table2[[#This Row],[Mode Digit]], (Qg_Q1+Qg_Q2)*Fsw, (Qg_Q3+Qg_Q4)*Fsw, (Qg_Q1+Qg_Q2+Qg_Q3+Qg_Q4)*Fsw)*IF(Vout&gt;8, Vout, Table2[[#This Row],[Vin]])</f>
        <v>0.47303999999999996</v>
      </c>
      <c r="BG27" s="354">
        <f t="shared" si="4"/>
        <v>0.45605042016806729</v>
      </c>
      <c r="BH27" s="354">
        <f>Table2[[#This Row],[IQ Loss]]+Table2[[#This Row],[Switching Current Loss]]</f>
        <v>0.51683999999999997</v>
      </c>
      <c r="BI27"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2.9771901763086093</v>
      </c>
      <c r="BJ27">
        <f>Vout*Table2[[#This Row],[Iout]]</f>
        <v>31.536000000000001</v>
      </c>
      <c r="BK27" s="550">
        <f>Table2[[#This Row],[Pout]]/(Table2[[#This Row],[Pout]]+Table2[[#This Row],[Total Loss]])</f>
        <v>0.91373761274747978</v>
      </c>
      <c r="BL27" s="559">
        <f>IF(Table2[[#This Row],[Vin]]&gt;Vout,ThetaJA_Q1*(Table2[[#This Row],[Total Control Bu MOSFET Loss]]+Table2[[#This Row],[Reverse Recovery Loss MOSFET D BUCK]]),ThetaJA_Q4*(Table2[[#This Row],[Total Control Bo MOSFET Loss]]+Table2[[#This Row],[Reverse Recovery Loss MOSFET D BOOST]]))</f>
        <v>29.742109362595372</v>
      </c>
      <c r="BM27" s="559">
        <f>IF(Table2[[#This Row],[Vin]]&gt;Vout, Table2[[#This Row],[Total Sync Bu MOSFET Loss]]*ThetaJA_Q2, ThetaJA_Q3*Table2[[#This Row],[Total Sync Bo MOSFET Loss]])</f>
        <v>7.5814246625616883</v>
      </c>
      <c r="BN27" s="9"/>
      <c r="BO27" s="4">
        <f>Table2[[#This Row],[EFF, h]]*100</f>
        <v>91.373761274747977</v>
      </c>
      <c r="BP27" s="354">
        <f>Table2[[#This Row],[Total Inductor Loss]]</f>
        <v>0.29375731490781998</v>
      </c>
      <c r="BQ27" s="354">
        <f>Table2[[#This Row],[Total Control Bu MOSFET Loss]]+Table2[[#This Row],[Total Sync Bu MOSFET Loss]]+Table2[[#This Row],[Total Control Bo MOSFET Loss]]+Table2[[#This Row],[Total Sync Bo MOSFET Loss]]+Table2[[#This Row],[Reverse Recovery Loss MOSFET D BUCK]]+Table2[[#This Row],[Reverse Recovery Loss MOSFET D BOOST]]</f>
        <v>0.70900804656920835</v>
      </c>
      <c r="BR27" s="354">
        <f xml:space="preserve"> Table2[[#This Row],[Total Control Bu MOSFET Loss]]+Table2[[#This Row],[Reverse Recovery Loss MOSFET D BUCK]]*0.66</f>
        <v>0.48102048518672286</v>
      </c>
      <c r="BS27" s="354">
        <f>Table2[[#This Row],[Total Sync Bu MOSFET Loss]]+Table2[[#This Row],[Reverse Recovery Loss MOSFET D BUCK]]*0.33</f>
        <v>0.14060661118776147</v>
      </c>
      <c r="BT27" s="354">
        <f xml:space="preserve"> Table2[[#This Row],[Total Control Bo MOSFET Loss]]+Table2[[#This Row],[Reverse Recovery Loss MOSFET D BOOST]]*0.66</f>
        <v>5.0383437791761979E-2</v>
      </c>
      <c r="BU27" s="354">
        <f xml:space="preserve"> Table2[[#This Row],[Total Sync Bo MOSFET Loss]]+Table2[[#This Row],[Reverse Recovery Loss MOSFET D BOOST]]*0.33</f>
        <v>3.6133904313361977E-2</v>
      </c>
      <c r="BV27" s="354">
        <f>Table2[[#This Row],[Isense Shunt Loss]]</f>
        <v>1.29583507266362E-2</v>
      </c>
      <c r="BZ27" t="s">
        <v>153</v>
      </c>
      <c r="CA27">
        <v>9.9986669999999993</v>
      </c>
      <c r="CB27">
        <v>0.1166</v>
      </c>
      <c r="CC27">
        <v>5.1212980000000003</v>
      </c>
      <c r="CD27">
        <v>64.729420570558148</v>
      </c>
      <c r="CE27">
        <v>325.37886459483997</v>
      </c>
    </row>
    <row r="28" spans="1:92" x14ac:dyDescent="0.2">
      <c r="A28" s="22" t="s">
        <v>148</v>
      </c>
      <c r="B28" s="5">
        <f>RdsonDRT2</f>
        <v>1</v>
      </c>
      <c r="C28" s="444" t="s">
        <v>118</v>
      </c>
      <c r="D28" s="440" t="s">
        <v>679</v>
      </c>
      <c r="G28">
        <v>19</v>
      </c>
      <c r="H28" s="555">
        <f t="shared" si="0"/>
        <v>20</v>
      </c>
      <c r="I28" s="4" t="str">
        <f>IF(Mode = 2,IF(Table2[[#This Row],[Vin]]&gt;Vout, "BUCK","BOOST"),IF(Table2[[#This Row],[Vin]]&gt;VIN_BB_to_buck, "BUCK", IF(Table2[[#This Row],[Vin]]&lt;=VIN_boost_to_BB,"BOOST","BUCK-BST")))</f>
        <v>BUCK</v>
      </c>
      <c r="J28">
        <f>IF(Table2[[#This Row],[Mode]]="BOOST",2, IF(Table2[[#This Row],[Mode]]="BUCK", 1,3))</f>
        <v>1</v>
      </c>
      <c r="K28" s="354">
        <f t="shared" si="3"/>
        <v>2.2799999999999998</v>
      </c>
      <c r="L28" s="4">
        <f>Vout*Table2[[#This Row],[Iout]]/(Table2[[#This Row],[Vin]]*Efficiency)</f>
        <v>1.7519999999999998</v>
      </c>
      <c r="M28" s="711">
        <f>MIN(1/Fsw,CHOOSE(Table2[[#This Row],[Mode Digit]],(Vout+(Rdson2+Rs+Rdcr)*Table2[[#This Row],[Iout]])/(Table2[[#This Row],[Vin]]+(Rs+Rdson2-Rdson1)*Table2[[#This Row],[Iout]])/Fsw,(Vout+(Rdson3+Rdcr)*Table2[[#This Row],[Iin]]-Table2[[#This Row],[Vin]])/(Vout+(Rdson3-Rdson4-Rs)*Table2[[#This Row],[Iin]])/Fsw,t1_Ph_II))</f>
        <v>1.218694338780114E-6</v>
      </c>
      <c r="N28" s="602">
        <f>CHOOSE(Table2[[#This Row],[Mode Digit]],1/Fsw-Table2[[#This Row],[t1_Ph_II]],1/Fsw-Table2[[#This Row],[t1_Ph_II]],(Vout/Fsw-Table2[[#This Row],[Vin]]*t1_Ph_II)/(Table2[[#This Row],[Vin]]+Vout))</f>
        <v>4.4797232788655262E-7</v>
      </c>
      <c r="O28" s="602">
        <f>1/Fsw-(Table2[[#This Row],[t1_Ph_II]]+Table2[[#This Row],[t2_Ph_I]])</f>
        <v>0</v>
      </c>
      <c r="P28"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1.0336080626112467</v>
      </c>
      <c r="Q28" s="4">
        <f>CHOOSE(Table2[[#This Row],[Mode Digit]],Table2[[#This Row],[I_0]]+1/Lf*(Table2[[#This Row],[Vin]]-Vout)*Table2[[#This Row],[t1_Ph_II]],Table2[[#This Row],[I_0]]+1/Lf*Table2[[#This Row],[Vin]]*Table2[[#This Row],[t1_Ph_II]],Table2[[#This Row],[I_0]]+(Table2[[#This Row],[Vin]]-Vout)/L*Table2[[#This Row],[t1_Ph_II]])</f>
        <v>3.5263919373887527</v>
      </c>
      <c r="R28" s="4">
        <f>CHOOSE(Table2[[#This Row],[Mode Digit]],0,0,Table2[[#This Row],[I_1]]+Table2[[#This Row],[Vin]]/L*Table2[[#This Row],[t2_Ph_I]])</f>
        <v>0</v>
      </c>
      <c r="S28" s="409">
        <f>Fsw*(Table2[[#This Row],[I_0]]*Table2[[#This Row],[t1_Ph_II]]+Table2[[#This Row],[I_1]]*Table2[[#This Row],[t2_Ph_I]]+Table2[[#This Row],[I_2]]*Table2[[#This Row],[t3_Ph_III]])</f>
        <v>1.7036269797925307</v>
      </c>
      <c r="T28" s="354">
        <f>MIN(1,CHOOSE(Table2[[#This Row],[Mode Digit]],(Vout+(Rdson2+Rs+Rdcr)*Table2[[#This Row],[Iout]])/(Table2[[#This Row],[Vin]]+(Rs+Rdson2-Rdson1)*Table2[[#This Row],[Iout]]),1,Fsw*Table2[[#This Row],[t2_Ph_I]]+Table2[[#This Row],[t1_Ph_II]]))</f>
        <v>0.73121660326806848</v>
      </c>
      <c r="U28" s="354">
        <f>MIN(1,CHOOSE(Table2[[#This Row],[Mode Digit]],0,(Vout+(Rdson3+Rdcr)*Table2[[#This Row],[Iin]]-Table2[[#This Row],[Vin]])/(Vout+(Rdson3-Rdson4-Rs)*Table2[[#This Row],[Iin]]),Fsw*Table2[[#This Row],[t1_Ph_II]]+Table2[[#This Row],[t3_Ph_III]]))</f>
        <v>0</v>
      </c>
      <c r="V28" s="4">
        <f>MAX(Table2[[#This Row],[I_0]:[I_2]])-MIN(Table2[[#This Row],[I_0]:[I_1]])</f>
        <v>2.4927838747775057</v>
      </c>
      <c r="W28"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2.3908640600968014</v>
      </c>
      <c r="X28" s="354">
        <f>(Table2[[#This Row],[Irms Lf]]^2*Rdcr*(1+Ltc*Ta-Ltc*25))/(1-Table2[[#This Row],[Irms Lf]]^2*Rdcr*Ltc*ThetaCa)</f>
        <v>3.3242309144864306E-2</v>
      </c>
      <c r="Y28" s="354">
        <f>ABS(7.759*10^-3*Fsw^0.9458*(0.00787*Table2[[#This Row],[Ripple Current pk-pk]])^2.304)</f>
        <v>0.26367464359159826</v>
      </c>
      <c r="Z28" s="354">
        <f>Table2[[#This Row],[DCR    Loss]]+Table2[[#This Row],[Core Loss]]</f>
        <v>0.29691695273646257</v>
      </c>
      <c r="AA28" s="4">
        <f>IF(Table2[[#This Row],[Vin]]&gt;Vout, Table2[[#This Row],[Ripple Current pk-pk]]/SQRT(12), SQRT(Table2[[#This Row],[Duty Cycle BOOST Leg]]/(1-Table2[[#This Row],[Duty Cycle BOOST Leg]]))*SQRT(Table2[[#This Row],[Iout]]^2+(Table2[[#This Row],[Ripple Current pk-pk]]^2)/12))</f>
        <v>0.71960472056717573</v>
      </c>
      <c r="AB28" s="354">
        <f>RCoutEsr*Table2[[#This Row],[Irms Cout]]^2</f>
        <v>2.5891547693128155E-3</v>
      </c>
      <c r="AC28" s="354">
        <f>Table2[[#This Row],[Cout ESR Loss]]</f>
        <v>2.5891547693128155E-3</v>
      </c>
      <c r="AD28" s="4">
        <f>IF(Table2[[#This Row],[Vin]]&gt;Vout, SQRT(Table2[[#This Row],[Duty Cycle BUCK Leg]]*(1-Table2[[#This Row],[Duty Cycle BUCK Leg]]))*SQRT(Table2[[#This Row],[Iout]]^2+(Table2[[#This Row],[Ripple Current pk-pk]]^2)/12), Table2[[#This Row],[Ripple Current pk-pk]]/SQRT(12))</f>
        <v>1.0599347352828405</v>
      </c>
      <c r="AE28" s="354">
        <f>RCinEsr*Table2[[#This Row],[Irms Cin]]^2</f>
        <v>2.2469232861182108E-3</v>
      </c>
      <c r="AF28" s="549">
        <f>Table2[[#This Row],[Cin ESR Loss]]</f>
        <v>2.2469232861182108E-3</v>
      </c>
      <c r="AG28" s="354">
        <f>Table2[[#This Row],[Irms Lf]]</f>
        <v>2.3908640600968014</v>
      </c>
      <c r="AH28" s="354">
        <f>Rdson1*Table2[[#This Row],[Irms BuCtrl]]^2</f>
        <v>2.4008170006222764E-2</v>
      </c>
      <c r="AI28" s="354">
        <f>CHOOSE(Table2[[#This Row],[Mode Digit]], (Table2[[#This Row],[Vin]]*Table2[[#This Row],[Iout]]/2)*(Fsw)*(Tr_buck+Tf_buck), 0, (Table2[[#This Row],[Vin]]*Table2[[#This Row],[Avg IL]]/2)*(Fsw/1)*(Tr_buck+Tf_buck))</f>
        <v>0.45218633259244295</v>
      </c>
      <c r="AJ28">
        <f>IF(Table2[[#This Row],[Vin]]&gt;Vout, IF(Table2[[#This Row],[Iout]]&gt;Table2[[#This Row],[Ripple Current pk-pk]]/2,0,ABS(Table2[[#This Row],[Iout]]-Table2[[#This Row],[Ripple Current pk-pk]]/2)*Vsd_Q1*Deadtime*Fsw),0)</f>
        <v>0</v>
      </c>
      <c r="AK28" s="354">
        <f>(Table2[[#This Row],[Dead Time Loss BuCtrl]]+Table2[[#This Row],[Transition Loss BuCtrl]]+Table2[[#This Row],[RDS(on) Loss BuCtrl]]*(1+RdsonTopTc*Ta-RdsonTopTc*25))/(1-Table2[[#This Row],[RDS(on) Loss BuCtrl]]*RdsonTopTc*ThetaJA_Q1)</f>
        <v>0.47895421802865679</v>
      </c>
      <c r="AL28" s="354">
        <f>Table2[[#This Row],[Irms Lf]]</f>
        <v>2.3908640600968014</v>
      </c>
      <c r="AM28" s="354">
        <f>Rdson2*Table2[[#This Row],[Irms BuSync]]^2</f>
        <v>2.4008170006222764E-2</v>
      </c>
      <c r="AN28"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0.10970057142857141</v>
      </c>
      <c r="AO28" s="354">
        <f>(Table2[[#This Row],[Deadtime Loss BuSync]]+Table2[[#This Row],[RDS(on) Loss BuSync]]*(1+RdsonBotTc*Ta-RdsonBotTc*25))/(1-Table2[[#This Row],[RDS(on) Loss BuSync]]*RdsonBotTc*ThetaJA_Q2)</f>
        <v>0.13448363084416073</v>
      </c>
      <c r="AP28" s="354">
        <f>Table2[[#This Row],[Irms Lf]]</f>
        <v>2.3908640600968014</v>
      </c>
      <c r="AQ28" s="354">
        <f>Rdson4*Table2[[#This Row],[Irms BoCtlr]]^2</f>
        <v>2.4008170006222764E-2</v>
      </c>
      <c r="AR28" s="354">
        <f>CHOOSE(Table2[[#This Row],[Mode Digit]], 0, (Vout*Table2[[#This Row],[Iin]]/2)*(Fsw)*(Tr_boost+Tf_boost), (Vout*Iout/2)*(Fsw/1)*(Tr_boost+Tf_boost))</f>
        <v>0</v>
      </c>
      <c r="AS28" s="354">
        <f>IF(Table2[[#This Row],[Vin]]&gt;Vout, 0, IF(Table2[[#This Row],[Iin]]&gt;Table2[[#This Row],[Ripple Current pk-pk]]/2,0,ABS(Table2[[#This Row],[Iin]]-Table2[[#This Row],[Ripple Current pk-pk]]/2)*Vsd_Q4*Deadtime*Fsw))</f>
        <v>0</v>
      </c>
      <c r="AT28" s="354">
        <f>(Table2[[#This Row],[Dead Time Loss BoCtlr]]+Table2[[#This Row],[Transition Loss BoCtlr]]+Table2[[#This Row],[RDS(on) Loss BoCtlr]]*(1+RdsonTopTc*Ta-RdsonTopTc*25))/(1-Table2[[#This Row],[RDS(on) Loss BoCtlr]]*RdsonTopTc*ThetaJA_Q4)</f>
        <v>2.4147305835910959E-2</v>
      </c>
      <c r="AU28" s="354">
        <f>Table2[[#This Row],[Irms Lf]]</f>
        <v>2.3908640600968014</v>
      </c>
      <c r="AV28" s="354">
        <f>Rdson3*Table2[[#This Row],[Irms BoSync]]^2</f>
        <v>2.4008170006222764E-2</v>
      </c>
      <c r="AW28"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28" s="354">
        <f>(Table2[[#This Row],[Deadtime Loss BoSync]]+Table2[[#This Row],[RDS(on) Loss BoSync]]*(1+RdsonBotTc*Ta-RdsonBotTc*25))/(1-Table2[[#This Row],[RDS(on) Loss BoSync]]*RdsonBotTc*ThetaJA_Q3)</f>
        <v>2.4147305835910959E-2</v>
      </c>
      <c r="AY28" s="354">
        <f>CHOOSE(Table2[[#This Row],[Mode Digit]], Rdson3*Table2[[#This Row],[Irms Lf]]^2, Rdson1*Table2[[#This Row],[Irms Lf]]^2, 0)</f>
        <v>2.4008170006222764E-2</v>
      </c>
      <c r="AZ28" s="354">
        <f>CHOOSE(Table2[[#This Row],[Mode Digit]], 2*Deadtime*Fsw*IF(VfdSky_Q2&gt;0,VfdSky_Q2,0)*Table2[[#This Row],[Iout]], 2*Deadtime*Fsw*IF(VfdSky_Q3&gt;0,VfdSky_Q3,0)*Table2[[#This Row],[Iin]], 2*Deadtime*Fsw*IF(VfdSky_Q2&gt;0,VfdSky_Q2,0)*Table2[[#This Row],[Iout]]+2*Deadtime*Fsw*IF(VfdSky_Q3&gt;0,VfdSky_Q3,0)*Table2[[#This Row],[Iin]])</f>
        <v>0</v>
      </c>
      <c r="BA2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4.557816672E-2</v>
      </c>
      <c r="BB2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4.557816672E-2</v>
      </c>
      <c r="BC28" s="354">
        <f>CHOOSE(Table2[[#This Row],[Mode Digit]], Rs*Table2[[#This Row],[Irms BuSync]]^2, Rs*Table2[[#This Row],[Irms BoCtlr]]^2, Rs*(Table2[[#This Row],[Irms BuSync]]^2+Table2[[#This Row],[Irms BoCtlr]]^2))</f>
        <v>1.4290577384656404E-2</v>
      </c>
      <c r="BD28" s="354">
        <f t="shared" si="1"/>
        <v>1.44</v>
      </c>
      <c r="BE28" s="354">
        <f>IF(Vout&gt;8, Iq*Vout, Iq*Table2[[#This Row],[Vin]])</f>
        <v>4.3799999999999999E-2</v>
      </c>
      <c r="BF28" s="354">
        <f>CHOOSE(Table2[[#This Row],[Mode Digit]], (Qg_Q1+Qg_Q2)*Fsw, (Qg_Q3+Qg_Q4)*Fsw, (Qg_Q1+Qg_Q2+Qg_Q3+Qg_Q4)*Fsw)*IF(Vout&gt;8, Vout, Table2[[#This Row],[Vin]])</f>
        <v>0.47303999999999996</v>
      </c>
      <c r="BG28" s="354">
        <f t="shared" si="4"/>
        <v>0.45605042016806729</v>
      </c>
      <c r="BH28" s="354">
        <f>Table2[[#This Row],[IQ Loss]]+Table2[[#This Row],[Switching Current Loss]]</f>
        <v>0.51683999999999997</v>
      </c>
      <c r="BI28"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3.0257724021611896</v>
      </c>
      <c r="BJ28">
        <f>Vout*Table2[[#This Row],[Iout]]</f>
        <v>33.287999999999997</v>
      </c>
      <c r="BK28" s="550">
        <f>Table2[[#This Row],[Pout]]/(Table2[[#This Row],[Pout]]+Table2[[#This Row],[Total Loss]])</f>
        <v>0.91667700153396592</v>
      </c>
      <c r="BL28" s="559">
        <f>IF(Table2[[#This Row],[Vin]]&gt;Vout,ThetaJA_Q1*(Table2[[#This Row],[Total Control Bu MOSFET Loss]]+Table2[[#This Row],[Reverse Recovery Loss MOSFET D BUCK]]),ThetaJA_Q4*(Table2[[#This Row],[Total Control Bo MOSFET Loss]]+Table2[[#This Row],[Reverse Recovery Loss MOSFET D BOOST]]))</f>
        <v>31.47194308491941</v>
      </c>
      <c r="BM28" s="559">
        <f>IF(Table2[[#This Row],[Vin]]&gt;Vout, Table2[[#This Row],[Total Sync Bu MOSFET Loss]]*ThetaJA_Q2, ThetaJA_Q3*Table2[[#This Row],[Total Sync Bo MOSFET Loss]])</f>
        <v>8.0690178506496437</v>
      </c>
      <c r="BN28" s="9"/>
      <c r="BO28" s="4">
        <f>Table2[[#This Row],[EFF, h]]*100</f>
        <v>91.667700153396595</v>
      </c>
      <c r="BP28" s="354">
        <f>Table2[[#This Row],[Total Inductor Loss]]</f>
        <v>0.29691695273646257</v>
      </c>
      <c r="BQ28" s="354">
        <f>Table2[[#This Row],[Total Control Bu MOSFET Loss]]+Table2[[#This Row],[Total Sync Bu MOSFET Loss]]+Table2[[#This Row],[Total Control Bo MOSFET Loss]]+Table2[[#This Row],[Total Sync Bo MOSFET Loss]]+Table2[[#This Row],[Reverse Recovery Loss MOSFET D BUCK]]+Table2[[#This Row],[Reverse Recovery Loss MOSFET D BOOST]]</f>
        <v>0.75288879398463948</v>
      </c>
      <c r="BR28" s="354">
        <f xml:space="preserve"> Table2[[#This Row],[Total Control Bu MOSFET Loss]]+Table2[[#This Row],[Reverse Recovery Loss MOSFET D BUCK]]*0.66</f>
        <v>0.50903580806385684</v>
      </c>
      <c r="BS28" s="354">
        <f>Table2[[#This Row],[Total Sync Bu MOSFET Loss]]+Table2[[#This Row],[Reverse Recovery Loss MOSFET D BUCK]]*0.33</f>
        <v>0.14952442586176073</v>
      </c>
      <c r="BT28" s="354">
        <f xml:space="preserve"> Table2[[#This Row],[Total Control Bo MOSFET Loss]]+Table2[[#This Row],[Reverse Recovery Loss MOSFET D BOOST]]*0.66</f>
        <v>5.422889587111096E-2</v>
      </c>
      <c r="BU28" s="354">
        <f xml:space="preserve"> Table2[[#This Row],[Total Sync Bo MOSFET Loss]]+Table2[[#This Row],[Reverse Recovery Loss MOSFET D BOOST]]*0.33</f>
        <v>3.918810085351096E-2</v>
      </c>
      <c r="BV28" s="354">
        <f>Table2[[#This Row],[Isense Shunt Loss]]</f>
        <v>1.4290577384656404E-2</v>
      </c>
      <c r="BZ28" t="s">
        <v>154</v>
      </c>
      <c r="CA28">
        <v>9.9987659999999998</v>
      </c>
      <c r="CB28">
        <v>0.14660000000000001</v>
      </c>
      <c r="CC28">
        <v>5.1213230000000003</v>
      </c>
      <c r="CD28">
        <v>69.885376918691776</v>
      </c>
      <c r="CE28">
        <v>323.52446193379996</v>
      </c>
    </row>
    <row r="29" spans="1:92" x14ac:dyDescent="0.2">
      <c r="A29" s="24" t="s">
        <v>115</v>
      </c>
      <c r="B29" s="15" t="s">
        <v>113</v>
      </c>
      <c r="C29" s="24" t="s">
        <v>80</v>
      </c>
      <c r="D29" s="17" t="s">
        <v>109</v>
      </c>
      <c r="G29">
        <v>20</v>
      </c>
      <c r="H29" s="555">
        <f t="shared" si="0"/>
        <v>20</v>
      </c>
      <c r="I29" s="4" t="str">
        <f>IF(Mode = 2,IF(Table2[[#This Row],[Vin]]&gt;Vout, "BUCK","BOOST"),IF(Table2[[#This Row],[Vin]]&gt;VIN_BB_to_buck, "BUCK", IF(Table2[[#This Row],[Vin]]&lt;=VIN_boost_to_BB,"BOOST","BUCK-BST")))</f>
        <v>BUCK</v>
      </c>
      <c r="J29">
        <f>IF(Table2[[#This Row],[Mode]]="BOOST",2, IF(Table2[[#This Row],[Mode]]="BUCK", 1,3))</f>
        <v>1</v>
      </c>
      <c r="K29" s="354">
        <f t="shared" si="3"/>
        <v>2.4</v>
      </c>
      <c r="L29" s="4">
        <f>Vout*Table2[[#This Row],[Iout]]/(Table2[[#This Row],[Vin]]*Efficiency)</f>
        <v>1.8442105263157895</v>
      </c>
      <c r="M29" s="711">
        <f>MIN(1/Fsw,CHOOSE(Table2[[#This Row],[Mode Digit]],(Vout+(Rdson2+Rs+Rdcr)*Table2[[#This Row],[Iout]])/(Table2[[#This Row],[Vin]]+(Rs+Rdson2-Rdson1)*Table2[[#This Row],[Iout]])/Fsw,(Vout+(Rdson3+Rdcr)*Table2[[#This Row],[Iin]]-Table2[[#This Row],[Vin]])/(Vout+(Rdson3-Rdson4-Rs)*Table2[[#This Row],[Iin]])/Fsw,t1_Ph_II))</f>
        <v>1.2188010263587589E-6</v>
      </c>
      <c r="N29" s="602">
        <f>CHOOSE(Table2[[#This Row],[Mode Digit]],1/Fsw-Table2[[#This Row],[t1_Ph_II]],1/Fsw-Table2[[#This Row],[t1_Ph_II]],(Vout/Fsw-Table2[[#This Row],[Vin]]*t1_Ph_II)/(Table2[[#This Row],[Vin]]+Vout))</f>
        <v>4.4786564030790777E-7</v>
      </c>
      <c r="O29" s="602">
        <f>1/Fsw-(Table2[[#This Row],[t1_Ph_II]]+Table2[[#This Row],[t2_Ph_I]])</f>
        <v>0</v>
      </c>
      <c r="P29"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1.1534989503149056</v>
      </c>
      <c r="Q29" s="4">
        <f>CHOOSE(Table2[[#This Row],[Mode Digit]],Table2[[#This Row],[I_0]]+1/Lf*(Table2[[#This Row],[Vin]]-Vout)*Table2[[#This Row],[t1_Ph_II]],Table2[[#This Row],[I_0]]+1/Lf*Table2[[#This Row],[Vin]]*Table2[[#This Row],[t1_Ph_II]],Table2[[#This Row],[I_0]]+(Table2[[#This Row],[Vin]]-Vout)/L*Table2[[#This Row],[t1_Ph_II]])</f>
        <v>3.646501049685094</v>
      </c>
      <c r="R29" s="4">
        <f>CHOOSE(Table2[[#This Row],[Mode Digit]],0,0,Table2[[#This Row],[I_1]]+Table2[[#This Row],[Vin]]/L*Table2[[#This Row],[t2_Ph_I]])</f>
        <v>0</v>
      </c>
      <c r="S29" s="409">
        <f>Fsw*(Table2[[#This Row],[I_0]]*Table2[[#This Row],[t1_Ph_II]]+Table2[[#This Row],[I_1]]*Table2[[#This Row],[t2_Ph_I]]+Table2[[#This Row],[I_2]]*Table2[[#This Row],[t3_Ph_III]])</f>
        <v>1.8234169392289381</v>
      </c>
      <c r="T29" s="354">
        <f>MIN(1,CHOOSE(Table2[[#This Row],[Mode Digit]],(Vout+(Rdson2+Rs+Rdcr)*Table2[[#This Row],[Iout]])/(Table2[[#This Row],[Vin]]+(Rs+Rdson2-Rdson1)*Table2[[#This Row],[Iout]]),1,Fsw*Table2[[#This Row],[t2_Ph_I]]+Table2[[#This Row],[t1_Ph_II]]))</f>
        <v>0.73128061581525539</v>
      </c>
      <c r="U29" s="354">
        <f>MIN(1,CHOOSE(Table2[[#This Row],[Mode Digit]],0,(Vout+(Rdson3+Rdcr)*Table2[[#This Row],[Iin]]-Table2[[#This Row],[Vin]])/(Vout+(Rdson3-Rdson4-Rs)*Table2[[#This Row],[Iin]]),Fsw*Table2[[#This Row],[t1_Ph_II]]+Table2[[#This Row],[t3_Ph_III]]))</f>
        <v>0</v>
      </c>
      <c r="V29" s="4">
        <f>MAX(Table2[[#This Row],[I_0]:[I_2]])-MIN(Table2[[#This Row],[I_0]:[I_1]])</f>
        <v>2.4930020993701882</v>
      </c>
      <c r="W29"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2.5055781014146574</v>
      </c>
      <c r="X29" s="354">
        <f>(Table2[[#This Row],[Irms Lf]]^2*Rdcr*(1+Ltc*Ta-Ltc*25))/(1-Table2[[#This Row],[Irms Lf]]^2*Rdcr*Ltc*ThetaCa)</f>
        <v>3.6518321660052269E-2</v>
      </c>
      <c r="Y29" s="354">
        <f>ABS(7.759*10^-3*Fsw^0.9458*(0.00787*Table2[[#This Row],[Ripple Current pk-pk]])^2.304)</f>
        <v>0.26372782926903998</v>
      </c>
      <c r="Z29" s="354">
        <f>Table2[[#This Row],[DCR    Loss]]+Table2[[#This Row],[Core Loss]]</f>
        <v>0.30024615092909224</v>
      </c>
      <c r="AA29" s="4">
        <f>IF(Table2[[#This Row],[Vin]]&gt;Vout, Table2[[#This Row],[Ripple Current pk-pk]]/SQRT(12), SQRT(Table2[[#This Row],[Duty Cycle BOOST Leg]]/(1-Table2[[#This Row],[Duty Cycle BOOST Leg]]))*SQRT(Table2[[#This Row],[Iout]]^2+(Table2[[#This Row],[Ripple Current pk-pk]]^2)/12))</f>
        <v>0.71966771658084017</v>
      </c>
      <c r="AB29" s="354">
        <f>RCoutEsr*Table2[[#This Row],[Irms Cout]]^2</f>
        <v>2.5896081114434024E-3</v>
      </c>
      <c r="AC29" s="354">
        <f>Table2[[#This Row],[Cout ESR Loss]]</f>
        <v>2.5896081114434024E-3</v>
      </c>
      <c r="AD29" s="4">
        <f>IF(Table2[[#This Row],[Vin]]&gt;Vout, SQRT(Table2[[#This Row],[Duty Cycle BUCK Leg]]*(1-Table2[[#This Row],[Duty Cycle BUCK Leg]]))*SQRT(Table2[[#This Row],[Iout]]^2+(Table2[[#This Row],[Ripple Current pk-pk]]^2)/12), Table2[[#This Row],[Ripple Current pk-pk]]/SQRT(12))</f>
        <v>1.1107069088996022</v>
      </c>
      <c r="AE29" s="354">
        <f>RCinEsr*Table2[[#This Row],[Irms Cin]]^2</f>
        <v>2.4673396749546185E-3</v>
      </c>
      <c r="AF29" s="549">
        <f>Table2[[#This Row],[Cin ESR Loss]]</f>
        <v>2.4673396749546185E-3</v>
      </c>
      <c r="AG29" s="354">
        <f>Table2[[#This Row],[Irms Lf]]</f>
        <v>2.5055781014146574</v>
      </c>
      <c r="AH29" s="354">
        <f>Rdson1*Table2[[#This Row],[Irms BuCtrl]]^2</f>
        <v>2.6367270813612457E-2</v>
      </c>
      <c r="AI29" s="354">
        <f>CHOOSE(Table2[[#This Row],[Mode Digit]], (Table2[[#This Row],[Vin]]*Table2[[#This Row],[Iout]]/2)*(Fsw)*(Tr_buck+Tf_buck), 0, (Table2[[#This Row],[Vin]]*Table2[[#This Row],[Avg IL]]/2)*(Fsw/1)*(Tr_buck+Tf_buck))</f>
        <v>0.47598561325520317</v>
      </c>
      <c r="AJ29">
        <f>IF(Table2[[#This Row],[Vin]]&gt;Vout, IF(Table2[[#This Row],[Iout]]&gt;Table2[[#This Row],[Ripple Current pk-pk]]/2,0,ABS(Table2[[#This Row],[Iout]]-Table2[[#This Row],[Ripple Current pk-pk]]/2)*Vsd_Q1*Deadtime*Fsw),0)</f>
        <v>0</v>
      </c>
      <c r="AK29" s="354">
        <f>(Table2[[#This Row],[Dead Time Loss BuCtrl]]+Table2[[#This Row],[Transition Loss BuCtrl]]+Table2[[#This Row],[RDS(on) Loss BuCtrl]]*(1+RdsonTopTc*Ta-RdsonTopTc*25))/(1-Table2[[#This Row],[RDS(on) Loss BuCtrl]]*RdsonTopTc*ThetaJA_Q1)</f>
        <v>0.50555209100334519</v>
      </c>
      <c r="AL29" s="354">
        <f>Table2[[#This Row],[Irms Lf]]</f>
        <v>2.5055781014146574</v>
      </c>
      <c r="AM29" s="354">
        <f>Rdson2*Table2[[#This Row],[Irms BuSync]]^2</f>
        <v>2.6367270813612457E-2</v>
      </c>
      <c r="AN29"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0.11547428571428571</v>
      </c>
      <c r="AO29" s="354">
        <f>(Table2[[#This Row],[Deadtime Loss BuSync]]+Table2[[#This Row],[RDS(on) Loss BuSync]]*(1+RdsonBotTc*Ta-RdsonBotTc*25))/(1-Table2[[#This Row],[RDS(on) Loss BuSync]]*RdsonBotTc*ThetaJA_Q2)</f>
        <v>0.14274486674197145</v>
      </c>
      <c r="AP29" s="354">
        <f>Table2[[#This Row],[Irms Lf]]</f>
        <v>2.5055781014146574</v>
      </c>
      <c r="AQ29" s="354">
        <f>Rdson4*Table2[[#This Row],[Irms BoCtlr]]^2</f>
        <v>2.6367270813612457E-2</v>
      </c>
      <c r="AR29" s="354">
        <f>CHOOSE(Table2[[#This Row],[Mode Digit]], 0, (Vout*Table2[[#This Row],[Iin]]/2)*(Fsw)*(Tr_boost+Tf_boost), (Vout*Iout/2)*(Fsw/1)*(Tr_boost+Tf_boost))</f>
        <v>0</v>
      </c>
      <c r="AS29" s="354">
        <f>IF(Table2[[#This Row],[Vin]]&gt;Vout, 0, IF(Table2[[#This Row],[Iin]]&gt;Table2[[#This Row],[Ripple Current pk-pk]]/2,0,ABS(Table2[[#This Row],[Iin]]-Table2[[#This Row],[Ripple Current pk-pk]]/2)*Vsd_Q4*Deadtime*Fsw))</f>
        <v>0</v>
      </c>
      <c r="AT29" s="354">
        <f>(Table2[[#This Row],[Dead Time Loss BoCtlr]]+Table2[[#This Row],[Transition Loss BoCtlr]]+Table2[[#This Row],[RDS(on) Loss BoCtlr]]*(1+RdsonTopTc*Ta-RdsonTopTc*25))/(1-Table2[[#This Row],[RDS(on) Loss BoCtlr]]*RdsonTopTc*ThetaJA_Q4)</f>
        <v>2.6535189339227955E-2</v>
      </c>
      <c r="AU29" s="354">
        <f>Table2[[#This Row],[Irms Lf]]</f>
        <v>2.5055781014146574</v>
      </c>
      <c r="AV29" s="354">
        <f>Rdson3*Table2[[#This Row],[Irms BoSync]]^2</f>
        <v>2.6367270813612457E-2</v>
      </c>
      <c r="AW29"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29" s="354">
        <f>(Table2[[#This Row],[Deadtime Loss BoSync]]+Table2[[#This Row],[RDS(on) Loss BoSync]]*(1+RdsonBotTc*Ta-RdsonBotTc*25))/(1-Table2[[#This Row],[RDS(on) Loss BoSync]]*RdsonBotTc*ThetaJA_Q3)</f>
        <v>2.6535189339227955E-2</v>
      </c>
      <c r="AY29" s="354">
        <f>CHOOSE(Table2[[#This Row],[Mode Digit]], Rdson3*Table2[[#This Row],[Irms Lf]]^2, Rdson1*Table2[[#This Row],[Irms Lf]]^2, 0)</f>
        <v>2.6367270813612457E-2</v>
      </c>
      <c r="AZ29" s="354">
        <f>CHOOSE(Table2[[#This Row],[Mode Digit]], 2*Deadtime*Fsw*IF(VfdSky_Q2&gt;0,VfdSky_Q2,0)*Table2[[#This Row],[Iout]], 2*Deadtime*Fsw*IF(VfdSky_Q3&gt;0,VfdSky_Q3,0)*Table2[[#This Row],[Iin]], 2*Deadtime*Fsw*IF(VfdSky_Q2&gt;0,VfdSky_Q2,0)*Table2[[#This Row],[Iout]]+2*Deadtime*Fsw*IF(VfdSky_Q3&gt;0,VfdSky_Q3,0)*Table2[[#This Row],[Iin]])</f>
        <v>0</v>
      </c>
      <c r="BA2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4.7975808000000009E-2</v>
      </c>
      <c r="BB2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4.7975808000000009E-2</v>
      </c>
      <c r="BC29" s="354">
        <f>CHOOSE(Table2[[#This Row],[Mode Digit]], Rs*Table2[[#This Row],[Irms BuSync]]^2, Rs*Table2[[#This Row],[Irms BoCtlr]]^2, Rs*(Table2[[#This Row],[Irms BuSync]]^2+Table2[[#This Row],[Irms BoCtlr]]^2))</f>
        <v>1.5694804055721698E-2</v>
      </c>
      <c r="BD29" s="354">
        <f t="shared" si="1"/>
        <v>1.44</v>
      </c>
      <c r="BE29" s="354">
        <f>IF(Vout&gt;8, Iq*Vout, Iq*Table2[[#This Row],[Vin]])</f>
        <v>4.3799999999999999E-2</v>
      </c>
      <c r="BF29" s="354">
        <f>CHOOSE(Table2[[#This Row],[Mode Digit]], (Qg_Q1+Qg_Q2)*Fsw, (Qg_Q3+Qg_Q4)*Fsw, (Qg_Q1+Qg_Q2+Qg_Q3+Qg_Q4)*Fsw)*IF(Vout&gt;8, Vout, Table2[[#This Row],[Vin]])</f>
        <v>0.47303999999999996</v>
      </c>
      <c r="BG29" s="354">
        <f t="shared" si="4"/>
        <v>0.45605042016806729</v>
      </c>
      <c r="BH29" s="354">
        <f>Table2[[#This Row],[IQ Loss]]+Table2[[#This Row],[Switching Current Loss]]</f>
        <v>0.51683999999999997</v>
      </c>
      <c r="BI29"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3.0751568551949844</v>
      </c>
      <c r="BJ29">
        <f>Vout*Table2[[#This Row],[Iout]]</f>
        <v>35.04</v>
      </c>
      <c r="BK29" s="550">
        <f>Table2[[#This Row],[Pout]]/(Table2[[#This Row],[Pout]]+Table2[[#This Row],[Total Loss]])</f>
        <v>0.91931931785357857</v>
      </c>
      <c r="BL29" s="559">
        <f>IF(Table2[[#This Row],[Vin]]&gt;Vout,ThetaJA_Q1*(Table2[[#This Row],[Total Control Bu MOSFET Loss]]+Table2[[#This Row],[Reverse Recovery Loss MOSFET D BUCK]]),ThetaJA_Q4*(Table2[[#This Row],[Total Control Bo MOSFET Loss]]+Table2[[#This Row],[Reverse Recovery Loss MOSFET D BOOST]]))</f>
        <v>33.211673940200711</v>
      </c>
      <c r="BM29" s="559">
        <f>IF(Table2[[#This Row],[Vin]]&gt;Vout, Table2[[#This Row],[Total Sync Bu MOSFET Loss]]*ThetaJA_Q2, ThetaJA_Q3*Table2[[#This Row],[Total Sync Bo MOSFET Loss]])</f>
        <v>8.564692004518287</v>
      </c>
      <c r="BN29" s="9"/>
      <c r="BO29" s="4">
        <f>Table2[[#This Row],[EFF, h]]*100</f>
        <v>91.931931785357861</v>
      </c>
      <c r="BP29" s="354">
        <f>Table2[[#This Row],[Total Inductor Loss]]</f>
        <v>0.30024615092909224</v>
      </c>
      <c r="BQ29" s="354">
        <f>Table2[[#This Row],[Total Control Bu MOSFET Loss]]+Table2[[#This Row],[Total Sync Bu MOSFET Loss]]+Table2[[#This Row],[Total Control Bo MOSFET Loss]]+Table2[[#This Row],[Total Sync Bo MOSFET Loss]]+Table2[[#This Row],[Reverse Recovery Loss MOSFET D BUCK]]+Table2[[#This Row],[Reverse Recovery Loss MOSFET D BOOST]]</f>
        <v>0.79731895242377249</v>
      </c>
      <c r="BR29" s="354">
        <f xml:space="preserve"> Table2[[#This Row],[Total Control Bu MOSFET Loss]]+Table2[[#This Row],[Reverse Recovery Loss MOSFET D BUCK]]*0.66</f>
        <v>0.5372161242833452</v>
      </c>
      <c r="BS29" s="354">
        <f>Table2[[#This Row],[Total Sync Bu MOSFET Loss]]+Table2[[#This Row],[Reverse Recovery Loss MOSFET D BUCK]]*0.33</f>
        <v>0.15857688338197146</v>
      </c>
      <c r="BT29" s="354">
        <f xml:space="preserve"> Table2[[#This Row],[Total Control Bo MOSFET Loss]]+Table2[[#This Row],[Reverse Recovery Loss MOSFET D BOOST]]*0.66</f>
        <v>5.8199222619227969E-2</v>
      </c>
      <c r="BU29" s="354">
        <f xml:space="preserve"> Table2[[#This Row],[Total Sync Bo MOSFET Loss]]+Table2[[#This Row],[Reverse Recovery Loss MOSFET D BOOST]]*0.33</f>
        <v>4.2367205979227961E-2</v>
      </c>
      <c r="BV29" s="354">
        <f>Table2[[#This Row],[Isense Shunt Loss]]</f>
        <v>1.5694804055721698E-2</v>
      </c>
      <c r="BZ29" t="s">
        <v>155</v>
      </c>
      <c r="CA29">
        <v>9.9987899999999996</v>
      </c>
      <c r="CB29">
        <v>0.1958</v>
      </c>
      <c r="CC29">
        <v>5.1217600000000001</v>
      </c>
      <c r="CD29">
        <v>75.662516566515876</v>
      </c>
      <c r="CE29">
        <v>322.57199766699983</v>
      </c>
    </row>
    <row r="30" spans="1:92" x14ac:dyDescent="0.2">
      <c r="A30" s="22" t="s">
        <v>64</v>
      </c>
      <c r="B30" s="27">
        <f>RdsonDRB</f>
        <v>1.5</v>
      </c>
      <c r="C30" s="444" t="s">
        <v>118</v>
      </c>
      <c r="D30" s="440" t="s">
        <v>678</v>
      </c>
      <c r="G30">
        <v>21</v>
      </c>
      <c r="H30" s="555">
        <f t="shared" si="0"/>
        <v>20</v>
      </c>
      <c r="I30" s="4" t="str">
        <f>IF(Mode = 2,IF(Table2[[#This Row],[Vin]]&gt;Vout, "BUCK","BOOST"),IF(Table2[[#This Row],[Vin]]&gt;VIN_BB_to_buck, "BUCK", IF(Table2[[#This Row],[Vin]]&lt;=VIN_boost_to_BB,"BOOST","BUCK-BST")))</f>
        <v>BUCK</v>
      </c>
      <c r="J30">
        <f>IF(Table2[[#This Row],[Mode]]="BOOST",2, IF(Table2[[#This Row],[Mode]]="BUCK", 1,3))</f>
        <v>1</v>
      </c>
      <c r="K30" s="354">
        <f t="shared" si="3"/>
        <v>2.52</v>
      </c>
      <c r="L30" s="4">
        <f>Vout*Table2[[#This Row],[Iout]]/(Table2[[#This Row],[Vin]]*Efficiency)</f>
        <v>1.936421052631579</v>
      </c>
      <c r="M30" s="711">
        <f>MIN(1/Fsw,CHOOSE(Table2[[#This Row],[Mode Digit]],(Vout+(Rdson2+Rs+Rdcr)*Table2[[#This Row],[Iout]])/(Table2[[#This Row],[Vin]]+(Rs+Rdson2-Rdson1)*Table2[[#This Row],[Iout]])/Fsw,(Vout+(Rdson3+Rdcr)*Table2[[#This Row],[Iin]]-Table2[[#This Row],[Vin]])/(Vout+(Rdson3-Rdson4-Rs)*Table2[[#This Row],[Iin]])/Fsw,t1_Ph_II))</f>
        <v>1.2189077107377842E-6</v>
      </c>
      <c r="N30" s="602">
        <f>CHOOSE(Table2[[#This Row],[Mode Digit]],1/Fsw-Table2[[#This Row],[t1_Ph_II]],1/Fsw-Table2[[#This Row],[t1_Ph_II]],(Vout/Fsw-Table2[[#This Row],[Vin]]*t1_Ph_II)/(Table2[[#This Row],[Vin]]+Vout))</f>
        <v>4.4775895592888243E-7</v>
      </c>
      <c r="O30" s="602">
        <f>1/Fsw-(Table2[[#This Row],[t1_Ph_II]]+Table2[[#This Row],[t2_Ph_I]])</f>
        <v>0</v>
      </c>
      <c r="P30"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1.2733898412909024</v>
      </c>
      <c r="Q30" s="4">
        <f>CHOOSE(Table2[[#This Row],[Mode Digit]],Table2[[#This Row],[I_0]]+1/Lf*(Table2[[#This Row],[Vin]]-Vout)*Table2[[#This Row],[t1_Ph_II]],Table2[[#This Row],[I_0]]+1/Lf*Table2[[#This Row],[Vin]]*Table2[[#This Row],[t1_Ph_II]],Table2[[#This Row],[I_0]]+(Table2[[#This Row],[Vin]]-Vout)/L*Table2[[#This Row],[t1_Ph_II]])</f>
        <v>3.7666101587090974</v>
      </c>
      <c r="R30" s="4">
        <f>CHOOSE(Table2[[#This Row],[Mode Digit]],0,0,Table2[[#This Row],[I_1]]+Table2[[#This Row],[Vin]]/L*Table2[[#This Row],[t2_Ph_I]])</f>
        <v>0</v>
      </c>
      <c r="S30" s="409">
        <f>Fsw*(Table2[[#This Row],[I_0]]*Table2[[#This Row],[t1_Ph_II]]+Table2[[#This Row],[I_1]]*Table2[[#This Row],[t2_Ph_I]]+Table2[[#This Row],[I_2]]*Table2[[#This Row],[t3_Ph_III]])</f>
        <v>1.943206877027611</v>
      </c>
      <c r="T30" s="354">
        <f>MIN(1,CHOOSE(Table2[[#This Row],[Mode Digit]],(Vout+(Rdson2+Rs+Rdcr)*Table2[[#This Row],[Iout]])/(Table2[[#This Row],[Vin]]+(Rs+Rdson2-Rdson1)*Table2[[#This Row],[Iout]]),1,Fsw*Table2[[#This Row],[t2_Ph_I]]+Table2[[#This Row],[t1_Ph_II]]))</f>
        <v>0.73134462644267051</v>
      </c>
      <c r="U30" s="354">
        <f>MIN(1,CHOOSE(Table2[[#This Row],[Mode Digit]],0,(Vout+(Rdson3+Rdcr)*Table2[[#This Row],[Iin]]-Table2[[#This Row],[Vin]])/(Vout+(Rdson3-Rdson4-Rs)*Table2[[#This Row],[Iin]]),Fsw*Table2[[#This Row],[t1_Ph_II]]+Table2[[#This Row],[t3_Ph_III]]))</f>
        <v>0</v>
      </c>
      <c r="V30" s="4">
        <f>MAX(Table2[[#This Row],[I_0]:[I_2]])-MIN(Table2[[#This Row],[I_0]:[I_1]])</f>
        <v>2.4932203174181948</v>
      </c>
      <c r="W30"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2.6207655934730676</v>
      </c>
      <c r="X30" s="354">
        <f>(Table2[[#This Row],[Irms Lf]]^2*Rdcr*(1+Ltc*Ta-Ltc*25))/(1-Table2[[#This Row],[Irms Lf]]^2*Rdcr*Ltc*ThetaCa)</f>
        <v>3.9964154812037682E-2</v>
      </c>
      <c r="Y30" s="354">
        <f>ABS(7.759*10^-3*Fsw^0.9458*(0.00787*Table2[[#This Row],[Ripple Current pk-pk]])^2.304)</f>
        <v>0.26378101942239063</v>
      </c>
      <c r="Z30" s="354">
        <f>Table2[[#This Row],[DCR    Loss]]+Table2[[#This Row],[Core Loss]]</f>
        <v>0.30374517423442832</v>
      </c>
      <c r="AA30" s="4">
        <f>IF(Table2[[#This Row],[Vin]]&gt;Vout, Table2[[#This Row],[Ripple Current pk-pk]]/SQRT(12), SQRT(Table2[[#This Row],[Duty Cycle BOOST Leg]]/(1-Table2[[#This Row],[Duty Cycle BOOST Leg]]))*SQRT(Table2[[#This Row],[Iout]]^2+(Table2[[#This Row],[Ripple Current pk-pk]]^2)/12))</f>
        <v>0.71973071070521955</v>
      </c>
      <c r="AB30" s="354">
        <f>RCoutEsr*Table2[[#This Row],[Irms Cout]]^2</f>
        <v>2.5900614796612021E-3</v>
      </c>
      <c r="AC30" s="354">
        <f>Table2[[#This Row],[Cout ESR Loss]]</f>
        <v>2.5900614796612021E-3</v>
      </c>
      <c r="AD30" s="4">
        <f>IF(Table2[[#This Row],[Vin]]&gt;Vout, SQRT(Table2[[#This Row],[Duty Cycle BUCK Leg]]*(1-Table2[[#This Row],[Duty Cycle BUCK Leg]]))*SQRT(Table2[[#This Row],[Iout]]^2+(Table2[[#This Row],[Ripple Current pk-pk]]^2)/12), Table2[[#This Row],[Ripple Current pk-pk]]/SQRT(12))</f>
        <v>1.1616812552740716</v>
      </c>
      <c r="AE30" s="354">
        <f>RCinEsr*Table2[[#This Row],[Irms Cin]]^2</f>
        <v>2.6990066777102853E-3</v>
      </c>
      <c r="AF30" s="549">
        <f>Table2[[#This Row],[Cin ESR Loss]]</f>
        <v>2.6990066777102853E-3</v>
      </c>
      <c r="AG30" s="354">
        <f>Table2[[#This Row],[Irms Lf]]</f>
        <v>2.6207655934730676</v>
      </c>
      <c r="AH30" s="354">
        <f>Rdson1*Table2[[#This Row],[Irms BuCtrl]]^2</f>
        <v>2.8847331642915412E-2</v>
      </c>
      <c r="AI30" s="354">
        <f>CHOOSE(Table2[[#This Row],[Mode Digit]], (Table2[[#This Row],[Vin]]*Table2[[#This Row],[Iout]]/2)*(Fsw)*(Tr_buck+Tf_buck), 0, (Table2[[#This Row],[Vin]]*Table2[[#This Row],[Avg IL]]/2)*(Fsw/1)*(Tr_buck+Tf_buck))</f>
        <v>0.49978489391796332</v>
      </c>
      <c r="AJ30">
        <f>IF(Table2[[#This Row],[Vin]]&gt;Vout, IF(Table2[[#This Row],[Iout]]&gt;Table2[[#This Row],[Ripple Current pk-pk]]/2,0,ABS(Table2[[#This Row],[Iout]]-Table2[[#This Row],[Ripple Current pk-pk]]/2)*Vsd_Q1*Deadtime*Fsw),0)</f>
        <v>0</v>
      </c>
      <c r="AK30" s="354">
        <f>(Table2[[#This Row],[Dead Time Loss BuCtrl]]+Table2[[#This Row],[Transition Loss BuCtrl]]+Table2[[#This Row],[RDS(on) Loss BuCtrl]]*(1+RdsonTopTc*Ta-RdsonTopTc*25))/(1-Table2[[#This Row],[RDS(on) Loss BuCtrl]]*RdsonTopTc*ThetaJA_Q1)</f>
        <v>0.53231765208465409</v>
      </c>
      <c r="AL30" s="354">
        <f>Table2[[#This Row],[Irms Lf]]</f>
        <v>2.6207655934730676</v>
      </c>
      <c r="AM30" s="354">
        <f>Rdson2*Table2[[#This Row],[Irms BuSync]]^2</f>
        <v>2.8847331642915412E-2</v>
      </c>
      <c r="AN30"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0.12124799999999999</v>
      </c>
      <c r="AO30" s="354">
        <f>(Table2[[#This Row],[Deadtime Loss BuSync]]+Table2[[#This Row],[RDS(on) Loss BuSync]]*(1+RdsonBotTc*Ta-RdsonBotTc*25))/(1-Table2[[#This Row],[RDS(on) Loss BuSync]]*RdsonBotTc*ThetaJA_Q2)</f>
        <v>0.15114174026044672</v>
      </c>
      <c r="AP30" s="354">
        <f>Table2[[#This Row],[Irms Lf]]</f>
        <v>2.6207655934730676</v>
      </c>
      <c r="AQ30" s="354">
        <f>Rdson4*Table2[[#This Row],[Irms BoCtlr]]^2</f>
        <v>2.8847331642915412E-2</v>
      </c>
      <c r="AR30" s="354">
        <f>CHOOSE(Table2[[#This Row],[Mode Digit]], 0, (Vout*Table2[[#This Row],[Iin]]/2)*(Fsw)*(Tr_boost+Tf_boost), (Vout*Iout/2)*(Fsw/1)*(Tr_boost+Tf_boost))</f>
        <v>0</v>
      </c>
      <c r="AS30" s="354">
        <f>IF(Table2[[#This Row],[Vin]]&gt;Vout, 0, IF(Table2[[#This Row],[Iin]]&gt;Table2[[#This Row],[Ripple Current pk-pk]]/2,0,ABS(Table2[[#This Row],[Iin]]-Table2[[#This Row],[Ripple Current pk-pk]]/2)*Vsd_Q4*Deadtime*Fsw))</f>
        <v>0</v>
      </c>
      <c r="AT30" s="354">
        <f>(Table2[[#This Row],[Dead Time Loss BoCtlr]]+Table2[[#This Row],[Transition Loss BoCtlr]]+Table2[[#This Row],[RDS(on) Loss BoCtlr]]*(1+RdsonTopTc*Ta-RdsonTopTc*25))/(1-Table2[[#This Row],[RDS(on) Loss BoCtlr]]*RdsonTopTc*ThetaJA_Q4)</f>
        <v>2.9048444469633731E-2</v>
      </c>
      <c r="AU30" s="354">
        <f>Table2[[#This Row],[Irms Lf]]</f>
        <v>2.6207655934730676</v>
      </c>
      <c r="AV30" s="354">
        <f>Rdson3*Table2[[#This Row],[Irms BoSync]]^2</f>
        <v>2.8847331642915412E-2</v>
      </c>
      <c r="AW30"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30" s="354">
        <f>(Table2[[#This Row],[Deadtime Loss BoSync]]+Table2[[#This Row],[RDS(on) Loss BoSync]]*(1+RdsonBotTc*Ta-RdsonBotTc*25))/(1-Table2[[#This Row],[RDS(on) Loss BoSync]]*RdsonBotTc*ThetaJA_Q3)</f>
        <v>2.9048444469633731E-2</v>
      </c>
      <c r="AY30" s="354">
        <f>CHOOSE(Table2[[#This Row],[Mode Digit]], Rdson3*Table2[[#This Row],[Irms Lf]]^2, Rdson1*Table2[[#This Row],[Irms Lf]]^2, 0)</f>
        <v>2.8847331642915412E-2</v>
      </c>
      <c r="AZ30" s="354">
        <f>CHOOSE(Table2[[#This Row],[Mode Digit]], 2*Deadtime*Fsw*IF(VfdSky_Q2&gt;0,VfdSky_Q2,0)*Table2[[#This Row],[Iout]], 2*Deadtime*Fsw*IF(VfdSky_Q3&gt;0,VfdSky_Q3,0)*Table2[[#This Row],[Iin]], 2*Deadtime*Fsw*IF(VfdSky_Q2&gt;0,VfdSky_Q2,0)*Table2[[#This Row],[Iout]]+2*Deadtime*Fsw*IF(VfdSky_Q3&gt;0,VfdSky_Q3,0)*Table2[[#This Row],[Iin]])</f>
        <v>0</v>
      </c>
      <c r="BA3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5.0373328320000001E-2</v>
      </c>
      <c r="BB3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5.0373328320000001E-2</v>
      </c>
      <c r="BC30" s="354">
        <f>CHOOSE(Table2[[#This Row],[Mode Digit]], Rs*Table2[[#This Row],[Irms BuSync]]^2, Rs*Table2[[#This Row],[Irms BoCtlr]]^2, Rs*(Table2[[#This Row],[Irms BuSync]]^2+Table2[[#This Row],[Irms BoCtlr]]^2))</f>
        <v>1.71710307398306E-2</v>
      </c>
      <c r="BD30" s="354">
        <f t="shared" si="1"/>
        <v>1.44</v>
      </c>
      <c r="BE30" s="354">
        <f>IF(Vout&gt;8, Iq*Vout, Iq*Table2[[#This Row],[Vin]])</f>
        <v>4.3799999999999999E-2</v>
      </c>
      <c r="BF30" s="354">
        <f>CHOOSE(Table2[[#This Row],[Mode Digit]], (Qg_Q1+Qg_Q2)*Fsw, (Qg_Q3+Qg_Q4)*Fsw, (Qg_Q1+Qg_Q2+Qg_Q3+Qg_Q4)*Fsw)*IF(Vout&gt;8, Vout, Table2[[#This Row],[Vin]])</f>
        <v>0.47303999999999996</v>
      </c>
      <c r="BG30" s="354">
        <f t="shared" si="4"/>
        <v>0.45605042016806729</v>
      </c>
      <c r="BH30" s="354">
        <f>Table2[[#This Row],[IQ Loss]]+Table2[[#This Row],[Switching Current Loss]]</f>
        <v>0.51683999999999997</v>
      </c>
      <c r="BI30"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3.1253482110559987</v>
      </c>
      <c r="BJ30">
        <f>Vout*Table2[[#This Row],[Iout]]</f>
        <v>36.792000000000002</v>
      </c>
      <c r="BK30" s="550">
        <f>Table2[[#This Row],[Pout]]/(Table2[[#This Row],[Pout]]+Table2[[#This Row],[Total Loss]])</f>
        <v>0.92170451317228619</v>
      </c>
      <c r="BL30" s="559">
        <f>IF(Table2[[#This Row],[Vin]]&gt;Vout,ThetaJA_Q1*(Table2[[#This Row],[Total Control Bu MOSFET Loss]]+Table2[[#This Row],[Reverse Recovery Loss MOSFET D BUCK]]),ThetaJA_Q4*(Table2[[#This Row],[Total Control Bo MOSFET Loss]]+Table2[[#This Row],[Reverse Recovery Loss MOSFET D BOOST]]))</f>
        <v>34.961458824279241</v>
      </c>
      <c r="BM30" s="559">
        <f>IF(Table2[[#This Row],[Vin]]&gt;Vout, Table2[[#This Row],[Total Sync Bu MOSFET Loss]]*ThetaJA_Q2, ThetaJA_Q3*Table2[[#This Row],[Total Sync Bo MOSFET Loss]])</f>
        <v>9.0685044156268031</v>
      </c>
      <c r="BN30" s="9"/>
      <c r="BO30" s="4">
        <f>Table2[[#This Row],[EFF, h]]*100</f>
        <v>92.170451317228625</v>
      </c>
      <c r="BP30" s="354">
        <f>Table2[[#This Row],[Total Inductor Loss]]</f>
        <v>0.30374517423442832</v>
      </c>
      <c r="BQ30" s="354">
        <f>Table2[[#This Row],[Total Control Bu MOSFET Loss]]+Table2[[#This Row],[Total Sync Bu MOSFET Loss]]+Table2[[#This Row],[Total Control Bo MOSFET Loss]]+Table2[[#This Row],[Total Sync Bo MOSFET Loss]]+Table2[[#This Row],[Reverse Recovery Loss MOSFET D BUCK]]+Table2[[#This Row],[Reverse Recovery Loss MOSFET D BOOST]]</f>
        <v>0.84230293792436817</v>
      </c>
      <c r="BR30" s="354">
        <f xml:space="preserve"> Table2[[#This Row],[Total Control Bu MOSFET Loss]]+Table2[[#This Row],[Reverse Recovery Loss MOSFET D BUCK]]*0.66</f>
        <v>0.56556404877585409</v>
      </c>
      <c r="BS30" s="354">
        <f>Table2[[#This Row],[Total Sync Bu MOSFET Loss]]+Table2[[#This Row],[Reverse Recovery Loss MOSFET D BUCK]]*0.33</f>
        <v>0.16776493860604672</v>
      </c>
      <c r="BT30" s="354">
        <f xml:space="preserve"> Table2[[#This Row],[Total Control Bo MOSFET Loss]]+Table2[[#This Row],[Reverse Recovery Loss MOSFET D BOOST]]*0.66</f>
        <v>6.2294841160833739E-2</v>
      </c>
      <c r="BU30" s="354">
        <f xml:space="preserve"> Table2[[#This Row],[Total Sync Bo MOSFET Loss]]+Table2[[#This Row],[Reverse Recovery Loss MOSFET D BOOST]]*0.33</f>
        <v>4.5671642815233733E-2</v>
      </c>
      <c r="BV30" s="354">
        <f>Table2[[#This Row],[Isense Shunt Loss]]</f>
        <v>1.71710307398306E-2</v>
      </c>
      <c r="CA30">
        <v>9.9987659999999998</v>
      </c>
      <c r="CB30">
        <v>0.2681</v>
      </c>
      <c r="CC30">
        <v>5.1224080000000001</v>
      </c>
      <c r="CD30">
        <v>80.957553445887683</v>
      </c>
      <c r="CE30">
        <v>323.02506068319997</v>
      </c>
    </row>
    <row r="31" spans="1:92" x14ac:dyDescent="0.2">
      <c r="A31" s="22" t="s">
        <v>147</v>
      </c>
      <c r="B31" s="27">
        <v>1</v>
      </c>
      <c r="C31" s="444" t="s">
        <v>118</v>
      </c>
      <c r="D31" s="440" t="s">
        <v>677</v>
      </c>
      <c r="G31">
        <v>22</v>
      </c>
      <c r="H31" s="555">
        <f t="shared" si="0"/>
        <v>20</v>
      </c>
      <c r="I31" s="4" t="str">
        <f>IF(Mode = 2,IF(Table2[[#This Row],[Vin]]&gt;Vout, "BUCK","BOOST"),IF(Table2[[#This Row],[Vin]]&gt;VIN_BB_to_buck, "BUCK", IF(Table2[[#This Row],[Vin]]&lt;=VIN_boost_to_BB,"BOOST","BUCK-BST")))</f>
        <v>BUCK</v>
      </c>
      <c r="J31">
        <f>IF(Table2[[#This Row],[Mode]]="BOOST",2, IF(Table2[[#This Row],[Mode]]="BUCK", 1,3))</f>
        <v>1</v>
      </c>
      <c r="K31" s="354">
        <f t="shared" si="3"/>
        <v>2.64</v>
      </c>
      <c r="L31" s="4">
        <f>Vout*Table2[[#This Row],[Iout]]/(Table2[[#This Row],[Vin]]*Efficiency)</f>
        <v>2.0286315789473686</v>
      </c>
      <c r="M31" s="711">
        <f>MIN(1/Fsw,CHOOSE(Table2[[#This Row],[Mode Digit]],(Vout+(Rdson2+Rs+Rdcr)*Table2[[#This Row],[Iout]])/(Table2[[#This Row],[Vin]]+(Rs+Rdson2-Rdson1)*Table2[[#This Row],[Iout]])/Fsw,(Vout+(Rdson3+Rdcr)*Table2[[#This Row],[Iin]]-Table2[[#This Row],[Vin]])/(Vout+(Rdson3-Rdson4-Rs)*Table2[[#This Row],[Iin]])/Fsw,t1_Ph_II))</f>
        <v>1.2190143919173338E-6</v>
      </c>
      <c r="N31" s="602">
        <f>CHOOSE(Table2[[#This Row],[Mode Digit]],1/Fsw-Table2[[#This Row],[t1_Ph_II]],1/Fsw-Table2[[#This Row],[t1_Ph_II]],(Vout/Fsw-Table2[[#This Row],[Vin]]*t1_Ph_II)/(Table2[[#This Row],[Vin]]+Vout))</f>
        <v>4.4765227474933284E-7</v>
      </c>
      <c r="O31" s="602">
        <f>1/Fsw-(Table2[[#This Row],[t1_Ph_II]]+Table2[[#This Row],[t2_Ph_I]])</f>
        <v>0</v>
      </c>
      <c r="P31"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1.3932807355390904</v>
      </c>
      <c r="Q31" s="4">
        <f>CHOOSE(Table2[[#This Row],[Mode Digit]],Table2[[#This Row],[I_0]]+1/Lf*(Table2[[#This Row],[Vin]]-Vout)*Table2[[#This Row],[t1_Ph_II]],Table2[[#This Row],[I_0]]+1/Lf*Table2[[#This Row],[Vin]]*Table2[[#This Row],[t1_Ph_II]],Table2[[#This Row],[I_0]]+(Table2[[#This Row],[Vin]]-Vout)/L*Table2[[#This Row],[t1_Ph_II]])</f>
        <v>3.8867192644609099</v>
      </c>
      <c r="R31" s="4">
        <f>CHOOSE(Table2[[#This Row],[Mode Digit]],0,0,Table2[[#This Row],[I_1]]+Table2[[#This Row],[Vin]]/L*Table2[[#This Row],[t2_Ph_I]])</f>
        <v>0</v>
      </c>
      <c r="S31" s="409">
        <f>Fsw*(Table2[[#This Row],[I_0]]*Table2[[#This Row],[t1_Ph_II]]+Table2[[#This Row],[I_1]]*Table2[[#This Row],[t2_Ph_I]]+Table2[[#This Row],[I_2]]*Table2[[#This Row],[t3_Ph_III]])</f>
        <v>2.0629967931907798</v>
      </c>
      <c r="T31" s="354">
        <f>MIN(1,CHOOSE(Table2[[#This Row],[Mode Digit]],(Vout+(Rdson2+Rs+Rdcr)*Table2[[#This Row],[Iout]])/(Table2[[#This Row],[Vin]]+(Rs+Rdson2-Rdson1)*Table2[[#This Row],[Iout]]),1,Fsw*Table2[[#This Row],[t2_Ph_I]]+Table2[[#This Row],[t1_Ph_II]]))</f>
        <v>0.73140863515040033</v>
      </c>
      <c r="U31" s="354">
        <f>MIN(1,CHOOSE(Table2[[#This Row],[Mode Digit]],0,(Vout+(Rdson3+Rdcr)*Table2[[#This Row],[Iin]]-Table2[[#This Row],[Vin]])/(Vout+(Rdson3-Rdson4-Rs)*Table2[[#This Row],[Iin]]),Fsw*Table2[[#This Row],[t1_Ph_II]]+Table2[[#This Row],[t3_Ph_III]]))</f>
        <v>0</v>
      </c>
      <c r="V31" s="4">
        <f>MAX(Table2[[#This Row],[I_0]:[I_2]])-MIN(Table2[[#This Row],[I_0]:[I_1]])</f>
        <v>2.4934385289218195</v>
      </c>
      <c r="W31"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2.7363667471288733</v>
      </c>
      <c r="X31" s="354">
        <f>(Table2[[#This Row],[Irms Lf]]^2*Rdcr*(1+Ltc*Ta-Ltc*25))/(1-Table2[[#This Row],[Irms Lf]]^2*Rdcr*Ltc*ThetaCa)</f>
        <v>4.3580087297472113E-2</v>
      </c>
      <c r="Y31" s="354">
        <f>ABS(7.759*10^-3*Fsw^0.9458*(0.00787*Table2[[#This Row],[Ripple Current pk-pk]])^2.304)</f>
        <v>0.263834214051338</v>
      </c>
      <c r="Z31" s="354">
        <f>Table2[[#This Row],[DCR    Loss]]+Table2[[#This Row],[Core Loss]]</f>
        <v>0.30741430134881009</v>
      </c>
      <c r="AA31" s="4">
        <f>IF(Table2[[#This Row],[Vin]]&gt;Vout, Table2[[#This Row],[Ripple Current pk-pk]]/SQRT(12), SQRT(Table2[[#This Row],[Duty Cycle BOOST Leg]]/(1-Table2[[#This Row],[Duty Cycle BOOST Leg]]))*SQRT(Table2[[#This Row],[Iout]]^2+(Table2[[#This Row],[Ripple Current pk-pk]]^2)/12))</f>
        <v>0.71979370294039857</v>
      </c>
      <c r="AB31" s="354">
        <f>RCoutEsr*Table2[[#This Row],[Irms Cout]]^2</f>
        <v>2.5905148739632541E-3</v>
      </c>
      <c r="AC31" s="354">
        <f>Table2[[#This Row],[Cout ESR Loss]]</f>
        <v>2.5905148739632541E-3</v>
      </c>
      <c r="AD31" s="4">
        <f>IF(Table2[[#This Row],[Vin]]&gt;Vout, SQRT(Table2[[#This Row],[Duty Cycle BUCK Leg]]*(1-Table2[[#This Row],[Duty Cycle BUCK Leg]]))*SQRT(Table2[[#This Row],[Iout]]^2+(Table2[[#This Row],[Ripple Current pk-pk]]^2)/12), Table2[[#This Row],[Ripple Current pk-pk]]/SQRT(12))</f>
        <v>1.2128312230874729</v>
      </c>
      <c r="AE31" s="354">
        <f>RCinEsr*Table2[[#This Row],[Irms Cin]]^2</f>
        <v>2.9419191513917111E-3</v>
      </c>
      <c r="AF31" s="549">
        <f>Table2[[#This Row],[Cin ESR Loss]]</f>
        <v>2.9419191513917111E-3</v>
      </c>
      <c r="AG31" s="354">
        <f>Table2[[#This Row],[Irms Lf]]</f>
        <v>2.7363667471288733</v>
      </c>
      <c r="AH31" s="354">
        <f>Rdson1*Table2[[#This Row],[Irms BuCtrl]]^2</f>
        <v>3.1448352494129139E-2</v>
      </c>
      <c r="AI31" s="354">
        <f>CHOOSE(Table2[[#This Row],[Mode Digit]], (Table2[[#This Row],[Vin]]*Table2[[#This Row],[Iout]]/2)*(Fsw)*(Tr_buck+Tf_buck), 0, (Table2[[#This Row],[Vin]]*Table2[[#This Row],[Avg IL]]/2)*(Fsw/1)*(Tr_buck+Tf_buck))</f>
        <v>0.52358417458072348</v>
      </c>
      <c r="AJ31">
        <f>IF(Table2[[#This Row],[Vin]]&gt;Vout, IF(Table2[[#This Row],[Iout]]&gt;Table2[[#This Row],[Ripple Current pk-pk]]/2,0,ABS(Table2[[#This Row],[Iout]]-Table2[[#This Row],[Ripple Current pk-pk]]/2)*Vsd_Q1*Deadtime*Fsw),0)</f>
        <v>0</v>
      </c>
      <c r="AK31" s="354">
        <f>(Table2[[#This Row],[Dead Time Loss BuCtrl]]+Table2[[#This Row],[Transition Loss BuCtrl]]+Table2[[#This Row],[RDS(on) Loss BuCtrl]]*(1+RdsonTopTc*Ta-RdsonTopTc*25))/(1-Table2[[#This Row],[RDS(on) Loss BuCtrl]]*RdsonTopTc*ThetaJA_Q1)</f>
        <v>0.55925355175384828</v>
      </c>
      <c r="AL31" s="354">
        <f>Table2[[#This Row],[Irms Lf]]</f>
        <v>2.7363667471288733</v>
      </c>
      <c r="AM31" s="354">
        <f>Rdson2*Table2[[#This Row],[Irms BuSync]]^2</f>
        <v>3.1448352494129139E-2</v>
      </c>
      <c r="AN31"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0.12702171428571429</v>
      </c>
      <c r="AO31" s="354">
        <f>(Table2[[#This Row],[Deadtime Loss BuSync]]+Table2[[#This Row],[RDS(on) Loss BuSync]]*(1+RdsonBotTc*Ta-RdsonBotTc*25))/(1-Table2[[#This Row],[RDS(on) Loss BuSync]]*RdsonBotTc*ThetaJA_Q2)</f>
        <v>0.15967523229741246</v>
      </c>
      <c r="AP31" s="354">
        <f>Table2[[#This Row],[Irms Lf]]</f>
        <v>2.7363667471288733</v>
      </c>
      <c r="AQ31" s="354">
        <f>Rdson4*Table2[[#This Row],[Irms BoCtlr]]^2</f>
        <v>3.1448352494129139E-2</v>
      </c>
      <c r="AR31" s="354">
        <f>CHOOSE(Table2[[#This Row],[Mode Digit]], 0, (Vout*Table2[[#This Row],[Iin]]/2)*(Fsw)*(Tr_boost+Tf_boost), (Vout*Iout/2)*(Fsw/1)*(Tr_boost+Tf_boost))</f>
        <v>0</v>
      </c>
      <c r="AS31" s="354">
        <f>IF(Table2[[#This Row],[Vin]]&gt;Vout, 0, IF(Table2[[#This Row],[Iin]]&gt;Table2[[#This Row],[Ripple Current pk-pk]]/2,0,ABS(Table2[[#This Row],[Iin]]-Table2[[#This Row],[Ripple Current pk-pk]]/2)*Vsd_Q4*Deadtime*Fsw))</f>
        <v>0</v>
      </c>
      <c r="AT31" s="354">
        <f>(Table2[[#This Row],[Dead Time Loss BoCtlr]]+Table2[[#This Row],[Transition Loss BoCtlr]]+Table2[[#This Row],[RDS(on) Loss BoCtlr]]*(1+RdsonTopTc*Ta-RdsonTopTc*25))/(1-Table2[[#This Row],[RDS(on) Loss BoCtlr]]*RdsonTopTc*ThetaJA_Q4)</f>
        <v>3.168751734576597E-2</v>
      </c>
      <c r="AU31" s="354">
        <f>Table2[[#This Row],[Irms Lf]]</f>
        <v>2.7363667471288733</v>
      </c>
      <c r="AV31" s="354">
        <f>Rdson3*Table2[[#This Row],[Irms BoSync]]^2</f>
        <v>3.1448352494129139E-2</v>
      </c>
      <c r="AW31"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31" s="354">
        <f>(Table2[[#This Row],[Deadtime Loss BoSync]]+Table2[[#This Row],[RDS(on) Loss BoSync]]*(1+RdsonBotTc*Ta-RdsonBotTc*25))/(1-Table2[[#This Row],[RDS(on) Loss BoSync]]*RdsonBotTc*ThetaJA_Q3)</f>
        <v>3.168751734576597E-2</v>
      </c>
      <c r="AY31" s="354">
        <f>CHOOSE(Table2[[#This Row],[Mode Digit]], Rdson3*Table2[[#This Row],[Irms Lf]]^2, Rdson1*Table2[[#This Row],[Irms Lf]]^2, 0)</f>
        <v>3.1448352494129139E-2</v>
      </c>
      <c r="AZ31" s="354">
        <f>CHOOSE(Table2[[#This Row],[Mode Digit]], 2*Deadtime*Fsw*IF(VfdSky_Q2&gt;0,VfdSky_Q2,0)*Table2[[#This Row],[Iout]], 2*Deadtime*Fsw*IF(VfdSky_Q3&gt;0,VfdSky_Q3,0)*Table2[[#This Row],[Iin]], 2*Deadtime*Fsw*IF(VfdSky_Q2&gt;0,VfdSky_Q2,0)*Table2[[#This Row],[Iout]]+2*Deadtime*Fsw*IF(VfdSky_Q3&gt;0,VfdSky_Q3,0)*Table2[[#This Row],[Iin]])</f>
        <v>0</v>
      </c>
      <c r="BA3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5.2770727680000004E-2</v>
      </c>
      <c r="BB3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5.2770727680000004E-2</v>
      </c>
      <c r="BC31" s="354">
        <f>CHOOSE(Table2[[#This Row],[Mode Digit]], Rs*Table2[[#This Row],[Irms BuSync]]^2, Rs*Table2[[#This Row],[Irms BoCtlr]]^2, Rs*(Table2[[#This Row],[Irms BuSync]]^2+Table2[[#This Row],[Irms BoCtlr]]^2))</f>
        <v>1.8719257436981631E-2</v>
      </c>
      <c r="BD31" s="354">
        <f t="shared" si="1"/>
        <v>1.44</v>
      </c>
      <c r="BE31" s="354">
        <f>IF(Vout&gt;8, Iq*Vout, Iq*Table2[[#This Row],[Vin]])</f>
        <v>4.3799999999999999E-2</v>
      </c>
      <c r="BF31" s="354">
        <f>CHOOSE(Table2[[#This Row],[Mode Digit]], (Qg_Q1+Qg_Q2)*Fsw, (Qg_Q3+Qg_Q4)*Fsw, (Qg_Q1+Qg_Q2+Qg_Q3+Qg_Q4)*Fsw)*IF(Vout&gt;8, Vout, Table2[[#This Row],[Vin]])</f>
        <v>0.47303999999999996</v>
      </c>
      <c r="BG31" s="354">
        <f t="shared" si="4"/>
        <v>0.45605042016806729</v>
      </c>
      <c r="BH31" s="354">
        <f>Table2[[#This Row],[IQ Loss]]+Table2[[#This Row],[Switching Current Loss]]</f>
        <v>0.51683999999999997</v>
      </c>
      <c r="BI31"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3.1763512669139393</v>
      </c>
      <c r="BJ31">
        <f>Vout*Table2[[#This Row],[Iout]]</f>
        <v>38.544000000000004</v>
      </c>
      <c r="BK31" s="550">
        <f>Table2[[#This Row],[Pout]]/(Table2[[#This Row],[Pout]]+Table2[[#This Row],[Total Loss]])</f>
        <v>0.92386566338829157</v>
      </c>
      <c r="BL31" s="559">
        <f>IF(Table2[[#This Row],[Vin]]&gt;Vout,ThetaJA_Q1*(Table2[[#This Row],[Total Control Bu MOSFET Loss]]+Table2[[#This Row],[Reverse Recovery Loss MOSFET D BUCK]]),ThetaJA_Q4*(Table2[[#This Row],[Total Control Bo MOSFET Loss]]+Table2[[#This Row],[Reverse Recovery Loss MOSFET D BOOST]]))</f>
        <v>36.721456766030897</v>
      </c>
      <c r="BM31" s="559">
        <f>IF(Table2[[#This Row],[Vin]]&gt;Vout, Table2[[#This Row],[Total Sync Bu MOSFET Loss]]*ThetaJA_Q2, ThetaJA_Q3*Table2[[#This Row],[Total Sync Bo MOSFET Loss]])</f>
        <v>9.5805139378447475</v>
      </c>
      <c r="BN31" s="9"/>
      <c r="BO31" s="4">
        <f>Table2[[#This Row],[EFF, h]]*100</f>
        <v>92.386566338829155</v>
      </c>
      <c r="BP31" s="354">
        <f>Table2[[#This Row],[Total Inductor Loss]]</f>
        <v>0.30741430134881009</v>
      </c>
      <c r="BQ31" s="354">
        <f>Table2[[#This Row],[Total Control Bu MOSFET Loss]]+Table2[[#This Row],[Total Sync Bu MOSFET Loss]]+Table2[[#This Row],[Total Control Bo MOSFET Loss]]+Table2[[#This Row],[Total Sync Bo MOSFET Loss]]+Table2[[#This Row],[Reverse Recovery Loss MOSFET D BUCK]]+Table2[[#This Row],[Reverse Recovery Loss MOSFET D BOOST]]</f>
        <v>0.88784527410279268</v>
      </c>
      <c r="BR31" s="354">
        <f xml:space="preserve"> Table2[[#This Row],[Total Control Bu MOSFET Loss]]+Table2[[#This Row],[Reverse Recovery Loss MOSFET D BUCK]]*0.66</f>
        <v>0.59408223202264832</v>
      </c>
      <c r="BS31" s="354">
        <f>Table2[[#This Row],[Total Sync Bu MOSFET Loss]]+Table2[[#This Row],[Reverse Recovery Loss MOSFET D BUCK]]*0.33</f>
        <v>0.17708957243181245</v>
      </c>
      <c r="BT31" s="354">
        <f xml:space="preserve"> Table2[[#This Row],[Total Control Bo MOSFET Loss]]+Table2[[#This Row],[Reverse Recovery Loss MOSFET D BOOST]]*0.66</f>
        <v>6.6516197614565981E-2</v>
      </c>
      <c r="BU31" s="354">
        <f xml:space="preserve"> Table2[[#This Row],[Total Sync Bo MOSFET Loss]]+Table2[[#This Row],[Reverse Recovery Loss MOSFET D BOOST]]*0.33</f>
        <v>4.9101857480165975E-2</v>
      </c>
      <c r="BV31" s="354">
        <f>Table2[[#This Row],[Isense Shunt Loss]]</f>
        <v>1.8719257436981631E-2</v>
      </c>
      <c r="CA31">
        <v>9.998704</v>
      </c>
      <c r="CB31">
        <v>0.36549999999999999</v>
      </c>
      <c r="CC31">
        <v>5.123094</v>
      </c>
      <c r="CD31">
        <v>85.419022273213088</v>
      </c>
      <c r="CE31">
        <v>319.63300692320018</v>
      </c>
    </row>
    <row r="32" spans="1:92" x14ac:dyDescent="0.2">
      <c r="A32" s="24" t="s">
        <v>66</v>
      </c>
      <c r="B32" s="15" t="s">
        <v>113</v>
      </c>
      <c r="C32" s="24" t="s">
        <v>80</v>
      </c>
      <c r="D32" s="17" t="s">
        <v>109</v>
      </c>
      <c r="G32">
        <v>23</v>
      </c>
      <c r="H32" s="555">
        <f t="shared" si="0"/>
        <v>20</v>
      </c>
      <c r="I32" s="4" t="str">
        <f>IF(Mode = 2,IF(Table2[[#This Row],[Vin]]&gt;Vout, "BUCK","BOOST"),IF(Table2[[#This Row],[Vin]]&gt;VIN_BB_to_buck, "BUCK", IF(Table2[[#This Row],[Vin]]&lt;=VIN_boost_to_BB,"BOOST","BUCK-BST")))</f>
        <v>BUCK</v>
      </c>
      <c r="J32">
        <f>IF(Table2[[#This Row],[Mode]]="BOOST",2, IF(Table2[[#This Row],[Mode]]="BUCK", 1,3))</f>
        <v>1</v>
      </c>
      <c r="K32" s="354">
        <f t="shared" si="3"/>
        <v>2.76</v>
      </c>
      <c r="L32" s="4">
        <f>Vout*Table2[[#This Row],[Iout]]/(Table2[[#This Row],[Vin]]*Efficiency)</f>
        <v>2.1208421052631579</v>
      </c>
      <c r="M32" s="711">
        <f>MIN(1/Fsw,CHOOSE(Table2[[#This Row],[Mode Digit]],(Vout+(Rdson2+Rs+Rdcr)*Table2[[#This Row],[Iout]])/(Table2[[#This Row],[Vin]]+(Rs+Rdson2-Rdson1)*Table2[[#This Row],[Iout]])/Fsw,(Vout+(Rdson3+Rdcr)*Table2[[#This Row],[Iin]]-Table2[[#This Row],[Vin]])/(Vout+(Rdson3-Rdson4-Rs)*Table2[[#This Row],[Iin]])/Fsw,t1_Ph_II))</f>
        <v>1.2191210698975519E-6</v>
      </c>
      <c r="N32" s="602">
        <f>CHOOSE(Table2[[#This Row],[Mode Digit]],1/Fsw-Table2[[#This Row],[t1_Ph_II]],1/Fsw-Table2[[#This Row],[t1_Ph_II]],(Vout/Fsw-Table2[[#This Row],[Vin]]*t1_Ph_II)/(Table2[[#This Row],[Vin]]+Vout))</f>
        <v>4.4754559676911478E-7</v>
      </c>
      <c r="O32" s="602">
        <f>1/Fsw-(Table2[[#This Row],[t1_Ph_II]]+Table2[[#This Row],[t2_Ph_I]])</f>
        <v>0</v>
      </c>
      <c r="P32"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1.5131716330593217</v>
      </c>
      <c r="Q32" s="4">
        <f>CHOOSE(Table2[[#This Row],[Mode Digit]],Table2[[#This Row],[I_0]]+1/Lf*(Table2[[#This Row],[Vin]]-Vout)*Table2[[#This Row],[t1_Ph_II]],Table2[[#This Row],[I_0]]+1/Lf*Table2[[#This Row],[Vin]]*Table2[[#This Row],[t1_Ph_II]],Table2[[#This Row],[I_0]]+(Table2[[#This Row],[Vin]]-Vout)/L*Table2[[#This Row],[t1_Ph_II]])</f>
        <v>4.0068283669406775</v>
      </c>
      <c r="R32" s="4">
        <f>CHOOSE(Table2[[#This Row],[Mode Digit]],0,0,Table2[[#This Row],[I_1]]+Table2[[#This Row],[Vin]]/L*Table2[[#This Row],[t2_Ph_I]])</f>
        <v>0</v>
      </c>
      <c r="S32" s="409">
        <f>Fsw*(Table2[[#This Row],[I_0]]*Table2[[#This Row],[t1_Ph_II]]+Table2[[#This Row],[I_1]]*Table2[[#This Row],[t2_Ph_I]]+Table2[[#This Row],[I_2]]*Table2[[#This Row],[t3_Ph_III]])</f>
        <v>2.1827866877206734</v>
      </c>
      <c r="T32" s="354">
        <f>MIN(1,CHOOSE(Table2[[#This Row],[Mode Digit]],(Vout+(Rdson2+Rs+Rdcr)*Table2[[#This Row],[Iout]])/(Table2[[#This Row],[Vin]]+(Rs+Rdson2-Rdson1)*Table2[[#This Row],[Iout]]),1,Fsw*Table2[[#This Row],[t2_Ph_I]]+Table2[[#This Row],[t1_Ph_II]]))</f>
        <v>0.73147264193853112</v>
      </c>
      <c r="U32" s="354">
        <f>MIN(1,CHOOSE(Table2[[#This Row],[Mode Digit]],0,(Vout+(Rdson3+Rdcr)*Table2[[#This Row],[Iin]]-Table2[[#This Row],[Vin]])/(Vout+(Rdson3-Rdson4-Rs)*Table2[[#This Row],[Iin]]),Fsw*Table2[[#This Row],[t1_Ph_II]]+Table2[[#This Row],[t3_Ph_III]]))</f>
        <v>0</v>
      </c>
      <c r="V32" s="4">
        <f>MAX(Table2[[#This Row],[I_0]:[I_2]])-MIN(Table2[[#This Row],[I_0]:[I_1]])</f>
        <v>2.4936567338813558</v>
      </c>
      <c r="W32"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2.8523312673792498</v>
      </c>
      <c r="X32" s="354">
        <f>(Table2[[#This Row],[Irms Lf]]^2*Rdcr*(1+Ltc*Ta-Ltc*25))/(1-Table2[[#This Row],[Irms Lf]]^2*Rdcr*Ltc*ThetaCa)</f>
        <v>4.7366411817190278E-2</v>
      </c>
      <c r="Y32" s="354">
        <f>ABS(7.759*10^-3*Fsw^0.9458*(0.00787*Table2[[#This Row],[Ripple Current pk-pk]])^2.304)</f>
        <v>0.26388741315556824</v>
      </c>
      <c r="Z32" s="354">
        <f>Table2[[#This Row],[DCR    Loss]]+Table2[[#This Row],[Core Loss]]</f>
        <v>0.3112538249727585</v>
      </c>
      <c r="AA32" s="4">
        <f>IF(Table2[[#This Row],[Vin]]&gt;Vout, Table2[[#This Row],[Ripple Current pk-pk]]/SQRT(12), SQRT(Table2[[#This Row],[Duty Cycle BOOST Leg]]/(1-Table2[[#This Row],[Duty Cycle BOOST Leg]]))*SQRT(Table2[[#This Row],[Iout]]^2+(Table2[[#This Row],[Ripple Current pk-pk]]^2)/12))</f>
        <v>0.71985669328646196</v>
      </c>
      <c r="AB32" s="354">
        <f>RCoutEsr*Table2[[#This Row],[Irms Cout]]^2</f>
        <v>2.5909682943465969E-3</v>
      </c>
      <c r="AC32" s="354">
        <f>Table2[[#This Row],[Cout ESR Loss]]</f>
        <v>2.5909682943465969E-3</v>
      </c>
      <c r="AD32" s="4">
        <f>IF(Table2[[#This Row],[Vin]]&gt;Vout, SQRT(Table2[[#This Row],[Duty Cycle BUCK Leg]]*(1-Table2[[#This Row],[Duty Cycle BUCK Leg]]))*SQRT(Table2[[#This Row],[Iout]]^2+(Table2[[#This Row],[Ripple Current pk-pk]]^2)/12), Table2[[#This Row],[Ripple Current pk-pk]]/SQRT(12))</f>
        <v>1.2641344767238423</v>
      </c>
      <c r="AE32" s="354">
        <f>RCinEsr*Table2[[#This Row],[Irms Cin]]^2</f>
        <v>3.1960719504837251E-3</v>
      </c>
      <c r="AF32" s="549">
        <f>Table2[[#This Row],[Cin ESR Loss]]</f>
        <v>3.1960719504837251E-3</v>
      </c>
      <c r="AG32" s="354">
        <f>Table2[[#This Row],[Irms Lf]]</f>
        <v>2.8523312673792498</v>
      </c>
      <c r="AH32" s="354">
        <f>Rdson1*Table2[[#This Row],[Irms BuCtrl]]^2</f>
        <v>3.4170333367251136E-2</v>
      </c>
      <c r="AI32" s="354">
        <f>CHOOSE(Table2[[#This Row],[Mode Digit]], (Table2[[#This Row],[Vin]]*Table2[[#This Row],[Iout]]/2)*(Fsw)*(Tr_buck+Tf_buck), 0, (Table2[[#This Row],[Vin]]*Table2[[#This Row],[Avg IL]]/2)*(Fsw/1)*(Tr_buck+Tf_buck))</f>
        <v>0.54738345524348353</v>
      </c>
      <c r="AJ32">
        <f>IF(Table2[[#This Row],[Vin]]&gt;Vout, IF(Table2[[#This Row],[Iout]]&gt;Table2[[#This Row],[Ripple Current pk-pk]]/2,0,ABS(Table2[[#This Row],[Iout]]-Table2[[#This Row],[Ripple Current pk-pk]]/2)*Vsd_Q1*Deadtime*Fsw),0)</f>
        <v>0</v>
      </c>
      <c r="AK32" s="354">
        <f>(Table2[[#This Row],[Dead Time Loss BuCtrl]]+Table2[[#This Row],[Transition Loss BuCtrl]]+Table2[[#This Row],[RDS(on) Loss BuCtrl]]*(1+RdsonTopTc*Ta-RdsonTopTc*25))/(1-Table2[[#This Row],[RDS(on) Loss BuCtrl]]*RdsonTopTc*ThetaJA_Q1)</f>
        <v>0.58636247692527477</v>
      </c>
      <c r="AL32" s="354">
        <f>Table2[[#This Row],[Irms Lf]]</f>
        <v>2.8523312673792498</v>
      </c>
      <c r="AM32" s="354">
        <f>Rdson2*Table2[[#This Row],[Irms BuSync]]^2</f>
        <v>3.4170333367251136E-2</v>
      </c>
      <c r="AN32"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0.13279542857142856</v>
      </c>
      <c r="AO32" s="354">
        <f>(Table2[[#This Row],[Deadtime Loss BuSync]]+Table2[[#This Row],[RDS(on) Loss BuSync]]*(1+RdsonBotTc*Ta-RdsonBotTc*25))/(1-Table2[[#This Row],[RDS(on) Loss BuSync]]*RdsonBotTc*ThetaJA_Q2)</f>
        <v>0.1683463501561184</v>
      </c>
      <c r="AP32" s="354">
        <f>Table2[[#This Row],[Irms Lf]]</f>
        <v>2.8523312673792498</v>
      </c>
      <c r="AQ32" s="354">
        <f>Rdson4*Table2[[#This Row],[Irms BoCtlr]]^2</f>
        <v>3.4170333367251136E-2</v>
      </c>
      <c r="AR32" s="354">
        <f>CHOOSE(Table2[[#This Row],[Mode Digit]], 0, (Vout*Table2[[#This Row],[Iin]]/2)*(Fsw)*(Tr_boost+Tf_boost), (Vout*Iout/2)*(Fsw/1)*(Tr_boost+Tf_boost))</f>
        <v>0</v>
      </c>
      <c r="AS32" s="354">
        <f>IF(Table2[[#This Row],[Vin]]&gt;Vout, 0, IF(Table2[[#This Row],[Iin]]&gt;Table2[[#This Row],[Ripple Current pk-pk]]/2,0,ABS(Table2[[#This Row],[Iin]]-Table2[[#This Row],[Ripple Current pk-pk]]/2)*Vsd_Q4*Deadtime*Fsw))</f>
        <v>0</v>
      </c>
      <c r="AT32" s="354">
        <f>(Table2[[#This Row],[Dead Time Loss BoCtlr]]+Table2[[#This Row],[Transition Loss BoCtlr]]+Table2[[#This Row],[RDS(on) Loss BoCtlr]]*(1+RdsonTopTc*Ta-RdsonTopTc*25))/(1-Table2[[#This Row],[RDS(on) Loss BoCtlr]]*RdsonTopTc*ThetaJA_Q4)</f>
        <v>3.4452877279757613E-2</v>
      </c>
      <c r="AU32" s="354">
        <f>Table2[[#This Row],[Irms Lf]]</f>
        <v>2.8523312673792498</v>
      </c>
      <c r="AV32" s="354">
        <f>Rdson3*Table2[[#This Row],[Irms BoSync]]^2</f>
        <v>3.4170333367251136E-2</v>
      </c>
      <c r="AW32"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32" s="354">
        <f>(Table2[[#This Row],[Deadtime Loss BoSync]]+Table2[[#This Row],[RDS(on) Loss BoSync]]*(1+RdsonBotTc*Ta-RdsonBotTc*25))/(1-Table2[[#This Row],[RDS(on) Loss BoSync]]*RdsonBotTc*ThetaJA_Q3)</f>
        <v>3.4452877279757613E-2</v>
      </c>
      <c r="AY32" s="354">
        <f>CHOOSE(Table2[[#This Row],[Mode Digit]], Rdson3*Table2[[#This Row],[Irms Lf]]^2, Rdson1*Table2[[#This Row],[Irms Lf]]^2, 0)</f>
        <v>3.4170333367251136E-2</v>
      </c>
      <c r="AZ32" s="354">
        <f>CHOOSE(Table2[[#This Row],[Mode Digit]], 2*Deadtime*Fsw*IF(VfdSky_Q2&gt;0,VfdSky_Q2,0)*Table2[[#This Row],[Iout]], 2*Deadtime*Fsw*IF(VfdSky_Q3&gt;0,VfdSky_Q3,0)*Table2[[#This Row],[Iin]], 2*Deadtime*Fsw*IF(VfdSky_Q2&gt;0,VfdSky_Q2,0)*Table2[[#This Row],[Iout]]+2*Deadtime*Fsw*IF(VfdSky_Q3&gt;0,VfdSky_Q3,0)*Table2[[#This Row],[Iin]])</f>
        <v>0</v>
      </c>
      <c r="BA3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5.5168006079999998E-2</v>
      </c>
      <c r="BB3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5.5168006079999998E-2</v>
      </c>
      <c r="BC32" s="354">
        <f>CHOOSE(Table2[[#This Row],[Mode Digit]], Rs*Table2[[#This Row],[Irms BuSync]]^2, Rs*Table2[[#This Row],[Irms BoCtlr]]^2, Rs*(Table2[[#This Row],[Irms BuSync]]^2+Table2[[#This Row],[Irms BoCtlr]]^2))</f>
        <v>2.0339484147173296E-2</v>
      </c>
      <c r="BD32" s="354">
        <f t="shared" si="1"/>
        <v>1.44</v>
      </c>
      <c r="BE32" s="354">
        <f>IF(Vout&gt;8, Iq*Vout, Iq*Table2[[#This Row],[Vin]])</f>
        <v>4.3799999999999999E-2</v>
      </c>
      <c r="BF32" s="354">
        <f>CHOOSE(Table2[[#This Row],[Mode Digit]], (Qg_Q1+Qg_Q2)*Fsw, (Qg_Q3+Qg_Q4)*Fsw, (Qg_Q1+Qg_Q2+Qg_Q3+Qg_Q4)*Fsw)*IF(Vout&gt;8, Vout, Table2[[#This Row],[Vin]])</f>
        <v>0.47303999999999996</v>
      </c>
      <c r="BG32" s="354">
        <f t="shared" si="4"/>
        <v>0.45605042016806729</v>
      </c>
      <c r="BH32" s="354">
        <f>Table2[[#This Row],[IQ Loss]]+Table2[[#This Row],[Switching Current Loss]]</f>
        <v>0.51683999999999997</v>
      </c>
      <c r="BI32"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3.2281709431656704</v>
      </c>
      <c r="BJ32">
        <f>Vout*Table2[[#This Row],[Iout]]</f>
        <v>40.295999999999999</v>
      </c>
      <c r="BK32" s="550">
        <f>Table2[[#This Row],[Pout]]/(Table2[[#This Row],[Pout]]+Table2[[#This Row],[Total Loss]])</f>
        <v>0.92583038635288306</v>
      </c>
      <c r="BL32" s="559">
        <f>IF(Table2[[#This Row],[Vin]]&gt;Vout,ThetaJA_Q1*(Table2[[#This Row],[Total Control Bu MOSFET Loss]]+Table2[[#This Row],[Reverse Recovery Loss MOSFET D BUCK]]),ThetaJA_Q4*(Table2[[#This Row],[Total Control Bo MOSFET Loss]]+Table2[[#This Row],[Reverse Recovery Loss MOSFET D BOOST]]))</f>
        <v>38.491828980316491</v>
      </c>
      <c r="BM32" s="559">
        <f>IF(Table2[[#This Row],[Vin]]&gt;Vout, Table2[[#This Row],[Total Sync Bu MOSFET Loss]]*ThetaJA_Q2, ThetaJA_Q3*Table2[[#This Row],[Total Sync Bo MOSFET Loss]])</f>
        <v>10.100781009367104</v>
      </c>
      <c r="BN32" s="9"/>
      <c r="BO32" s="4">
        <f>Table2[[#This Row],[EFF, h]]*100</f>
        <v>92.583038635288304</v>
      </c>
      <c r="BP32" s="354">
        <f>Table2[[#This Row],[Total Inductor Loss]]</f>
        <v>0.3112538249727585</v>
      </c>
      <c r="BQ32" s="354">
        <f>Table2[[#This Row],[Total Control Bu MOSFET Loss]]+Table2[[#This Row],[Total Sync Bu MOSFET Loss]]+Table2[[#This Row],[Total Control Bo MOSFET Loss]]+Table2[[#This Row],[Total Sync Bo MOSFET Loss]]+Table2[[#This Row],[Reverse Recovery Loss MOSFET D BUCK]]+Table2[[#This Row],[Reverse Recovery Loss MOSFET D BOOST]]</f>
        <v>0.9339505938009085</v>
      </c>
      <c r="BR32" s="354">
        <f xml:space="preserve"> Table2[[#This Row],[Total Control Bu MOSFET Loss]]+Table2[[#This Row],[Reverse Recovery Loss MOSFET D BUCK]]*0.66</f>
        <v>0.62277336093807478</v>
      </c>
      <c r="BS32" s="354">
        <f>Table2[[#This Row],[Total Sync Bu MOSFET Loss]]+Table2[[#This Row],[Reverse Recovery Loss MOSFET D BUCK]]*0.33</f>
        <v>0.18655179216251841</v>
      </c>
      <c r="BT32" s="354">
        <f xml:space="preserve"> Table2[[#This Row],[Total Control Bo MOSFET Loss]]+Table2[[#This Row],[Reverse Recovery Loss MOSFET D BOOST]]*0.66</f>
        <v>7.0863761292557614E-2</v>
      </c>
      <c r="BU32" s="354">
        <f xml:space="preserve"> Table2[[#This Row],[Total Sync Bo MOSFET Loss]]+Table2[[#This Row],[Reverse Recovery Loss MOSFET D BOOST]]*0.33</f>
        <v>5.2658319286157614E-2</v>
      </c>
      <c r="BV32" s="354">
        <f>Table2[[#This Row],[Isense Shunt Loss]]</f>
        <v>2.0339484147173296E-2</v>
      </c>
      <c r="CA32">
        <v>9.9987290000000009</v>
      </c>
      <c r="CB32">
        <v>0.49059999999999998</v>
      </c>
      <c r="CC32">
        <v>5.1238169999999998</v>
      </c>
      <c r="CD32">
        <v>88.551850267052174</v>
      </c>
      <c r="CE32">
        <v>324.98153184230057</v>
      </c>
    </row>
    <row r="33" spans="1:83" x14ac:dyDescent="0.2">
      <c r="A33" s="22" t="s">
        <v>66</v>
      </c>
      <c r="B33" s="5">
        <f>Deadtime*1000000000</f>
        <v>40.095238095238095</v>
      </c>
      <c r="C33" s="440" t="s">
        <v>79</v>
      </c>
      <c r="D33" s="21" t="s">
        <v>100</v>
      </c>
      <c r="G33">
        <v>24</v>
      </c>
      <c r="H33" s="555">
        <f t="shared" si="0"/>
        <v>20</v>
      </c>
      <c r="I33" s="4" t="str">
        <f>IF(Mode = 2,IF(Table2[[#This Row],[Vin]]&gt;Vout, "BUCK","BOOST"),IF(Table2[[#This Row],[Vin]]&gt;VIN_BB_to_buck, "BUCK", IF(Table2[[#This Row],[Vin]]&lt;=VIN_boost_to_BB,"BOOST","BUCK-BST")))</f>
        <v>BUCK</v>
      </c>
      <c r="J33">
        <f>IF(Table2[[#This Row],[Mode]]="BOOST",2, IF(Table2[[#This Row],[Mode]]="BUCK", 1,3))</f>
        <v>1</v>
      </c>
      <c r="K33" s="354">
        <f t="shared" si="3"/>
        <v>2.88</v>
      </c>
      <c r="L33" s="4">
        <f>Vout*Table2[[#This Row],[Iout]]/(Table2[[#This Row],[Vin]]*Efficiency)</f>
        <v>2.2130526315789472</v>
      </c>
      <c r="M33" s="711">
        <f>MIN(1/Fsw,CHOOSE(Table2[[#This Row],[Mode Digit]],(Vout+(Rdson2+Rs+Rdcr)*Table2[[#This Row],[Iout]])/(Table2[[#This Row],[Vin]]+(Rs+Rdson2-Rdson1)*Table2[[#This Row],[Iout]])/Fsw,(Vout+(Rdson3+Rdcr)*Table2[[#This Row],[Iin]]-Table2[[#This Row],[Vin]])/(Vout+(Rdson3-Rdson4-Rs)*Table2[[#This Row],[Iin]])/Fsw,t1_Ph_II))</f>
        <v>1.2192277446785822E-6</v>
      </c>
      <c r="N33" s="602">
        <f>CHOOSE(Table2[[#This Row],[Mode Digit]],1/Fsw-Table2[[#This Row],[t1_Ph_II]],1/Fsw-Table2[[#This Row],[t1_Ph_II]],(Vout/Fsw-Table2[[#This Row],[Vin]]*t1_Ph_II)/(Table2[[#This Row],[Vin]]+Vout))</f>
        <v>4.4743892198808447E-7</v>
      </c>
      <c r="O33" s="602">
        <f>1/Fsw-(Table2[[#This Row],[t1_Ph_II]]+Table2[[#This Row],[t2_Ph_I]])</f>
        <v>0</v>
      </c>
      <c r="P33"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1.6330625338514497</v>
      </c>
      <c r="Q33" s="4">
        <f>CHOOSE(Table2[[#This Row],[Mode Digit]],Table2[[#This Row],[I_0]]+1/Lf*(Table2[[#This Row],[Vin]]-Vout)*Table2[[#This Row],[t1_Ph_II]],Table2[[#This Row],[I_0]]+1/Lf*Table2[[#This Row],[Vin]]*Table2[[#This Row],[t1_Ph_II]],Table2[[#This Row],[I_0]]+(Table2[[#This Row],[Vin]]-Vout)/L*Table2[[#This Row],[t1_Ph_II]])</f>
        <v>4.1269374661485498</v>
      </c>
      <c r="R33" s="4">
        <f>CHOOSE(Table2[[#This Row],[Mode Digit]],0,0,Table2[[#This Row],[I_1]]+Table2[[#This Row],[Vin]]/L*Table2[[#This Row],[t2_Ph_I]])</f>
        <v>0</v>
      </c>
      <c r="S33" s="409">
        <f>Fsw*(Table2[[#This Row],[I_0]]*Table2[[#This Row],[t1_Ph_II]]+Table2[[#This Row],[I_1]]*Table2[[#This Row],[t2_Ph_I]]+Table2[[#This Row],[I_2]]*Table2[[#This Row],[t3_Ph_III]])</f>
        <v>2.3025765606195225</v>
      </c>
      <c r="T33" s="354">
        <f>MIN(1,CHOOSE(Table2[[#This Row],[Mode Digit]],(Vout+(Rdson2+Rs+Rdcr)*Table2[[#This Row],[Iout]])/(Table2[[#This Row],[Vin]]+(Rs+Rdson2-Rdson1)*Table2[[#This Row],[Iout]]),1,Fsw*Table2[[#This Row],[t2_Ph_I]]+Table2[[#This Row],[t1_Ph_II]]))</f>
        <v>0.73153664680714936</v>
      </c>
      <c r="U33" s="354">
        <f>MIN(1,CHOOSE(Table2[[#This Row],[Mode Digit]],0,(Vout+(Rdson3+Rdcr)*Table2[[#This Row],[Iin]]-Table2[[#This Row],[Vin]])/(Vout+(Rdson3-Rdson4-Rs)*Table2[[#This Row],[Iin]]),Fsw*Table2[[#This Row],[t1_Ph_II]]+Table2[[#This Row],[t3_Ph_III]]))</f>
        <v>0</v>
      </c>
      <c r="V33" s="4">
        <f>MAX(Table2[[#This Row],[I_0]:[I_2]])-MIN(Table2[[#This Row],[I_0]:[I_1]])</f>
        <v>2.4938749322970999</v>
      </c>
      <c r="W33"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2.9686165714287949</v>
      </c>
      <c r="X33" s="354">
        <f>(Table2[[#This Row],[Irms Lf]]^2*Rdcr*(1+Ltc*Ta-Ltc*25))/(1-Table2[[#This Row],[Irms Lf]]^2*Rdcr*Ltc*ThetaCa)</f>
        <v>5.1323435135688163E-2</v>
      </c>
      <c r="Y33" s="354">
        <f>ABS(7.759*10^-3*Fsw^0.9458*(0.00787*Table2[[#This Row],[Ripple Current pk-pk]])^2.304)</f>
        <v>0.26394061673476887</v>
      </c>
      <c r="Z33" s="354">
        <f>Table2[[#This Row],[DCR    Loss]]+Table2[[#This Row],[Core Loss]]</f>
        <v>0.31526405187045703</v>
      </c>
      <c r="AA33" s="4">
        <f>IF(Table2[[#This Row],[Vin]]&gt;Vout, Table2[[#This Row],[Ripple Current pk-pk]]/SQRT(12), SQRT(Table2[[#This Row],[Duty Cycle BOOST Leg]]/(1-Table2[[#This Row],[Duty Cycle BOOST Leg]]))*SQRT(Table2[[#This Row],[Iout]]^2+(Table2[[#This Row],[Ripple Current pk-pk]]^2)/12))</f>
        <v>0.71991968174349519</v>
      </c>
      <c r="AB33" s="354">
        <f>RCoutEsr*Table2[[#This Row],[Irms Cout]]^2</f>
        <v>2.5914217408082767E-3</v>
      </c>
      <c r="AC33" s="354">
        <f>Table2[[#This Row],[Cout ESR Loss]]</f>
        <v>2.5914217408082767E-3</v>
      </c>
      <c r="AD33" s="4">
        <f>IF(Table2[[#This Row],[Vin]]&gt;Vout, SQRT(Table2[[#This Row],[Duty Cycle BUCK Leg]]*(1-Table2[[#This Row],[Duty Cycle BUCK Leg]]))*SQRT(Table2[[#This Row],[Iout]]^2+(Table2[[#This Row],[Ripple Current pk-pk]]^2)/12), Table2[[#This Row],[Ripple Current pk-pk]]/SQRT(12))</f>
        <v>1.315572105007911</v>
      </c>
      <c r="AE33" s="354">
        <f>RCinEsr*Table2[[#This Row],[Irms Cin]]^2</f>
        <v>3.4614599269498919E-3</v>
      </c>
      <c r="AF33" s="549">
        <f>Table2[[#This Row],[Cin ESR Loss]]</f>
        <v>3.4614599269498919E-3</v>
      </c>
      <c r="AG33" s="354">
        <f>Table2[[#This Row],[Irms Lf]]</f>
        <v>2.9686165714287949</v>
      </c>
      <c r="AH33" s="354">
        <f>Rdson1*Table2[[#This Row],[Irms BuCtrl]]^2</f>
        <v>3.7013274262278947E-2</v>
      </c>
      <c r="AI33" s="354">
        <f>CHOOSE(Table2[[#This Row],[Mode Digit]], (Table2[[#This Row],[Vin]]*Table2[[#This Row],[Iout]]/2)*(Fsw)*(Tr_buck+Tf_buck), 0, (Table2[[#This Row],[Vin]]*Table2[[#This Row],[Avg IL]]/2)*(Fsw/1)*(Tr_buck+Tf_buck))</f>
        <v>0.5711827359062438</v>
      </c>
      <c r="AJ33">
        <f>IF(Table2[[#This Row],[Vin]]&gt;Vout, IF(Table2[[#This Row],[Iout]]&gt;Table2[[#This Row],[Ripple Current pk-pk]]/2,0,ABS(Table2[[#This Row],[Iout]]-Table2[[#This Row],[Ripple Current pk-pk]]/2)*Vsd_Q1*Deadtime*Fsw),0)</f>
        <v>0</v>
      </c>
      <c r="AK33" s="354">
        <f>(Table2[[#This Row],[Dead Time Loss BuCtrl]]+Table2[[#This Row],[Transition Loss BuCtrl]]+Table2[[#This Row],[RDS(on) Loss BuCtrl]]*(1+RdsonTopTc*Ta-RdsonTopTc*25))/(1-Table2[[#This Row],[RDS(on) Loss BuCtrl]]*RdsonTopTc*ThetaJA_Q1)</f>
        <v>0.61364715184811169</v>
      </c>
      <c r="AL33" s="354">
        <f>Table2[[#This Row],[Irms Lf]]</f>
        <v>2.9686165714287949</v>
      </c>
      <c r="AM33" s="354">
        <f>Rdson2*Table2[[#This Row],[Irms BuSync]]^2</f>
        <v>3.7013274262278947E-2</v>
      </c>
      <c r="AN33"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0.13856914285714286</v>
      </c>
      <c r="AO33" s="354">
        <f>(Table2[[#This Row],[Deadtime Loss BuSync]]+Table2[[#This Row],[RDS(on) Loss BuSync]]*(1+RdsonBotTc*Ta-RdsonBotTc*25))/(1-Table2[[#This Row],[RDS(on) Loss BuSync]]*RdsonBotTc*ThetaJA_Q2)</f>
        <v>0.17715612792343949</v>
      </c>
      <c r="AP33" s="354">
        <f>Table2[[#This Row],[Irms Lf]]</f>
        <v>2.9686165714287949</v>
      </c>
      <c r="AQ33" s="354">
        <f>Rdson4*Table2[[#This Row],[Irms BoCtlr]]^2</f>
        <v>3.7013274262278947E-2</v>
      </c>
      <c r="AR33" s="354">
        <f>CHOOSE(Table2[[#This Row],[Mode Digit]], 0, (Vout*Table2[[#This Row],[Iin]]/2)*(Fsw)*(Tr_boost+Tf_boost), (Vout*Iout/2)*(Fsw/1)*(Tr_boost+Tf_boost))</f>
        <v>0</v>
      </c>
      <c r="AS33" s="354">
        <f>IF(Table2[[#This Row],[Vin]]&gt;Vout, 0, IF(Table2[[#This Row],[Iin]]&gt;Table2[[#This Row],[Ripple Current pk-pk]]/2,0,ABS(Table2[[#This Row],[Iin]]-Table2[[#This Row],[Ripple Current pk-pk]]/2)*Vsd_Q4*Deadtime*Fsw))</f>
        <v>0</v>
      </c>
      <c r="AT33" s="354">
        <f>(Table2[[#This Row],[Dead Time Loss BoCtlr]]+Table2[[#This Row],[Transition Loss BoCtlr]]+Table2[[#This Row],[RDS(on) Loss BoCtlr]]*(1+RdsonTopTc*Ta-RdsonTopTc*25))/(1-Table2[[#This Row],[RDS(on) Loss BoCtlr]]*RdsonTopTc*ThetaJA_Q4)</f>
        <v>3.7345016987742174E-2</v>
      </c>
      <c r="AU33" s="354">
        <f>Table2[[#This Row],[Irms Lf]]</f>
        <v>2.9686165714287949</v>
      </c>
      <c r="AV33" s="354">
        <f>Rdson3*Table2[[#This Row],[Irms BoSync]]^2</f>
        <v>3.7013274262278947E-2</v>
      </c>
      <c r="AW33"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33" s="354">
        <f>(Table2[[#This Row],[Deadtime Loss BoSync]]+Table2[[#This Row],[RDS(on) Loss BoSync]]*(1+RdsonBotTc*Ta-RdsonBotTc*25))/(1-Table2[[#This Row],[RDS(on) Loss BoSync]]*RdsonBotTc*ThetaJA_Q3)</f>
        <v>3.7345016987742174E-2</v>
      </c>
      <c r="AY33" s="354">
        <f>CHOOSE(Table2[[#This Row],[Mode Digit]], Rdson3*Table2[[#This Row],[Irms Lf]]^2, Rdson1*Table2[[#This Row],[Irms Lf]]^2, 0)</f>
        <v>3.7013274262278947E-2</v>
      </c>
      <c r="AZ33" s="354">
        <f>CHOOSE(Table2[[#This Row],[Mode Digit]], 2*Deadtime*Fsw*IF(VfdSky_Q2&gt;0,VfdSky_Q2,0)*Table2[[#This Row],[Iout]], 2*Deadtime*Fsw*IF(VfdSky_Q3&gt;0,VfdSky_Q3,0)*Table2[[#This Row],[Iin]], 2*Deadtime*Fsw*IF(VfdSky_Q2&gt;0,VfdSky_Q2,0)*Table2[[#This Row],[Iout]]+2*Deadtime*Fsw*IF(VfdSky_Q3&gt;0,VfdSky_Q3,0)*Table2[[#This Row],[Iin]])</f>
        <v>0</v>
      </c>
      <c r="BA3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5.7565163520000004E-2</v>
      </c>
      <c r="BB3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5.7565163520000004E-2</v>
      </c>
      <c r="BC33" s="354">
        <f>CHOOSE(Table2[[#This Row],[Mode Digit]], Rs*Table2[[#This Row],[Irms BuSync]]^2, Rs*Table2[[#This Row],[Irms BoCtlr]]^2, Rs*(Table2[[#This Row],[Irms BuSync]]^2+Table2[[#This Row],[Irms BoCtlr]]^2))</f>
        <v>2.2031710870404134E-2</v>
      </c>
      <c r="BD33" s="354">
        <f t="shared" si="1"/>
        <v>1.44</v>
      </c>
      <c r="BE33" s="354">
        <f>IF(Vout&gt;8, Iq*Vout, Iq*Table2[[#This Row],[Vin]])</f>
        <v>4.3799999999999999E-2</v>
      </c>
      <c r="BF33" s="354">
        <f>CHOOSE(Table2[[#This Row],[Mode Digit]], (Qg_Q1+Qg_Q2)*Fsw, (Qg_Q3+Qg_Q4)*Fsw, (Qg_Q1+Qg_Q2+Qg_Q3+Qg_Q4)*Fsw)*IF(Vout&gt;8, Vout, Table2[[#This Row],[Vin]])</f>
        <v>0.47303999999999996</v>
      </c>
      <c r="BG33" s="354">
        <f t="shared" si="4"/>
        <v>0.45605042016806729</v>
      </c>
      <c r="BH33" s="354">
        <f>Table2[[#This Row],[IQ Loss]]+Table2[[#This Row],[Switching Current Loss]]</f>
        <v>0.51683999999999997</v>
      </c>
      <c r="BI33"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3.2808122851956547</v>
      </c>
      <c r="BJ33">
        <f>Vout*Table2[[#This Row],[Iout]]</f>
        <v>42.047999999999995</v>
      </c>
      <c r="BK33" s="550">
        <f>Table2[[#This Row],[Pout]]/(Table2[[#This Row],[Pout]]+Table2[[#This Row],[Total Loss]])</f>
        <v>0.92762192257423948</v>
      </c>
      <c r="BL33" s="559">
        <f>IF(Table2[[#This Row],[Vin]]&gt;Vout,ThetaJA_Q1*(Table2[[#This Row],[Total Control Bu MOSFET Loss]]+Table2[[#This Row],[Reverse Recovery Loss MOSFET D BUCK]]),ThetaJA_Q4*(Table2[[#This Row],[Total Control Bo MOSFET Loss]]+Table2[[#This Row],[Reverse Recovery Loss MOSFET D BOOST]]))</f>
        <v>40.272738922086702</v>
      </c>
      <c r="BM33" s="559">
        <f>IF(Table2[[#This Row],[Vin]]&gt;Vout, Table2[[#This Row],[Total Sync Bu MOSFET Loss]]*ThetaJA_Q2, ThetaJA_Q3*Table2[[#This Row],[Total Sync Bo MOSFET Loss]])</f>
        <v>10.629367675406369</v>
      </c>
      <c r="BN33" s="9"/>
      <c r="BO33" s="4">
        <f>Table2[[#This Row],[EFF, h]]*100</f>
        <v>92.762192257423948</v>
      </c>
      <c r="BP33" s="354">
        <f>Table2[[#This Row],[Total Inductor Loss]]</f>
        <v>0.31526405187045703</v>
      </c>
      <c r="BQ33" s="354">
        <f>Table2[[#This Row],[Total Control Bu MOSFET Loss]]+Table2[[#This Row],[Total Sync Bu MOSFET Loss]]+Table2[[#This Row],[Total Control Bo MOSFET Loss]]+Table2[[#This Row],[Total Sync Bo MOSFET Loss]]+Table2[[#This Row],[Reverse Recovery Loss MOSFET D BUCK]]+Table2[[#This Row],[Reverse Recovery Loss MOSFET D BOOST]]</f>
        <v>0.98062364078703546</v>
      </c>
      <c r="BR33" s="354">
        <f xml:space="preserve"> Table2[[#This Row],[Total Control Bu MOSFET Loss]]+Table2[[#This Row],[Reverse Recovery Loss MOSFET D BUCK]]*0.66</f>
        <v>0.65164015977131173</v>
      </c>
      <c r="BS33" s="354">
        <f>Table2[[#This Row],[Total Sync Bu MOSFET Loss]]+Table2[[#This Row],[Reverse Recovery Loss MOSFET D BUCK]]*0.33</f>
        <v>0.19615263188503948</v>
      </c>
      <c r="BT33" s="354">
        <f xml:space="preserve"> Table2[[#This Row],[Total Control Bo MOSFET Loss]]+Table2[[#This Row],[Reverse Recovery Loss MOSFET D BOOST]]*0.66</f>
        <v>7.5338024910942186E-2</v>
      </c>
      <c r="BU33" s="354">
        <f xml:space="preserve"> Table2[[#This Row],[Total Sync Bo MOSFET Loss]]+Table2[[#This Row],[Reverse Recovery Loss MOSFET D BOOST]]*0.33</f>
        <v>5.634152094934218E-2</v>
      </c>
      <c r="BV33" s="354">
        <f>Table2[[#This Row],[Isense Shunt Loss]]</f>
        <v>2.2031710870404134E-2</v>
      </c>
      <c r="CA33">
        <v>9.9986420000000003</v>
      </c>
      <c r="CB33">
        <v>0.64549999999999996</v>
      </c>
      <c r="CC33">
        <v>5.1237300000000001</v>
      </c>
      <c r="CD33">
        <v>90.41893857119905</v>
      </c>
      <c r="CE33">
        <v>350.45848473660021</v>
      </c>
    </row>
    <row r="34" spans="1:83" x14ac:dyDescent="0.2">
      <c r="A34" s="24" t="s">
        <v>56</v>
      </c>
      <c r="B34" s="15" t="s">
        <v>113</v>
      </c>
      <c r="C34" s="24" t="s">
        <v>80</v>
      </c>
      <c r="D34" s="17" t="s">
        <v>109</v>
      </c>
      <c r="G34">
        <v>25</v>
      </c>
      <c r="H34" s="555">
        <f t="shared" si="0"/>
        <v>20</v>
      </c>
      <c r="I34" s="4" t="str">
        <f>IF(Mode = 2,IF(Table2[[#This Row],[Vin]]&gt;Vout, "BUCK","BOOST"),IF(Table2[[#This Row],[Vin]]&gt;VIN_BB_to_buck, "BUCK", IF(Table2[[#This Row],[Vin]]&lt;=VIN_boost_to_BB,"BOOST","BUCK-BST")))</f>
        <v>BUCK</v>
      </c>
      <c r="J34">
        <f>IF(Table2[[#This Row],[Mode]]="BOOST",2, IF(Table2[[#This Row],[Mode]]="BUCK", 1,3))</f>
        <v>1</v>
      </c>
      <c r="K34" s="354">
        <f t="shared" si="3"/>
        <v>3</v>
      </c>
      <c r="L34" s="4">
        <f>Vout*Table2[[#This Row],[Iout]]/(Table2[[#This Row],[Vin]]*Efficiency)</f>
        <v>2.3052631578947369</v>
      </c>
      <c r="M34" s="711">
        <f>MIN(1/Fsw,CHOOSE(Table2[[#This Row],[Mode Digit]],(Vout+(Rdson2+Rs+Rdcr)*Table2[[#This Row],[Iout]])/(Table2[[#This Row],[Vin]]+(Rs+Rdson2-Rdson1)*Table2[[#This Row],[Iout]])/Fsw,(Vout+(Rdson3+Rdcr)*Table2[[#This Row],[Iin]]-Table2[[#This Row],[Vin]])/(Vout+(Rdson3-Rdson4-Rs)*Table2[[#This Row],[Iin]])/Fsw,t1_Ph_II))</f>
        <v>1.2193344162605688E-6</v>
      </c>
      <c r="N34" s="602">
        <f>CHOOSE(Table2[[#This Row],[Mode Digit]],1/Fsw-Table2[[#This Row],[t1_Ph_II]],1/Fsw-Table2[[#This Row],[t1_Ph_II]],(Vout/Fsw-Table2[[#This Row],[Vin]]*t1_Ph_II)/(Table2[[#This Row],[Vin]]+Vout))</f>
        <v>4.4733225040609791E-7</v>
      </c>
      <c r="O34" s="602">
        <f>1/Fsw-(Table2[[#This Row],[t1_Ph_II]]+Table2[[#This Row],[t2_Ph_I]])</f>
        <v>0</v>
      </c>
      <c r="P34"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1.7529534379153273</v>
      </c>
      <c r="Q34" s="4">
        <f>CHOOSE(Table2[[#This Row],[Mode Digit]],Table2[[#This Row],[I_0]]+1/Lf*(Table2[[#This Row],[Vin]]-Vout)*Table2[[#This Row],[t1_Ph_II]],Table2[[#This Row],[I_0]]+1/Lf*Table2[[#This Row],[Vin]]*Table2[[#This Row],[t1_Ph_II]],Table2[[#This Row],[I_0]]+(Table2[[#This Row],[Vin]]-Vout)/L*Table2[[#This Row],[t1_Ph_II]])</f>
        <v>4.2470465620846731</v>
      </c>
      <c r="R34" s="4">
        <f>CHOOSE(Table2[[#This Row],[Mode Digit]],0,0,Table2[[#This Row],[I_1]]+Table2[[#This Row],[Vin]]/L*Table2[[#This Row],[t2_Ph_I]])</f>
        <v>0</v>
      </c>
      <c r="S34" s="409">
        <f>Fsw*(Table2[[#This Row],[I_0]]*Table2[[#This Row],[t1_Ph_II]]+Table2[[#This Row],[I_1]]*Table2[[#This Row],[t2_Ph_I]]+Table2[[#This Row],[I_2]]*Table2[[#This Row],[t3_Ph_III]])</f>
        <v>2.4223664118895569</v>
      </c>
      <c r="T34" s="354">
        <f>MIN(1,CHOOSE(Table2[[#This Row],[Mode Digit]],(Vout+(Rdson2+Rs+Rdcr)*Table2[[#This Row],[Iout]])/(Table2[[#This Row],[Vin]]+(Rs+Rdson2-Rdson1)*Table2[[#This Row],[Iout]]),1,Fsw*Table2[[#This Row],[t2_Ph_I]]+Table2[[#This Row],[t1_Ph_II]]))</f>
        <v>0.73160064975634131</v>
      </c>
      <c r="U34" s="354">
        <f>MIN(1,CHOOSE(Table2[[#This Row],[Mode Digit]],0,(Vout+(Rdson3+Rdcr)*Table2[[#This Row],[Iin]]-Table2[[#This Row],[Vin]])/(Vout+(Rdson3-Rdson4-Rs)*Table2[[#This Row],[Iin]]),Fsw*Table2[[#This Row],[t1_Ph_II]]+Table2[[#This Row],[t3_Ph_III]]))</f>
        <v>0</v>
      </c>
      <c r="V34" s="4">
        <f>MAX(Table2[[#This Row],[I_0]:[I_2]])-MIN(Table2[[#This Row],[I_0]:[I_1]])</f>
        <v>2.4940931241693458</v>
      </c>
      <c r="W34"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3.0851863870225196</v>
      </c>
      <c r="X34" s="354">
        <f>(Table2[[#This Row],[Irms Lf]]^2*Rdcr*(1+Ltc*Ta-Ltc*25))/(1-Table2[[#This Row],[Irms Lf]]^2*Rdcr*Ltc*ThetaCa)</f>
        <v>5.5451478143537805E-2</v>
      </c>
      <c r="Y34" s="354">
        <f>ABS(7.759*10^-3*Fsw^0.9458*(0.00787*Table2[[#This Row],[Ripple Current pk-pk]])^2.304)</f>
        <v>0.26399382478862704</v>
      </c>
      <c r="Z34" s="354">
        <f>Table2[[#This Row],[DCR    Loss]]+Table2[[#This Row],[Core Loss]]</f>
        <v>0.31944530293216483</v>
      </c>
      <c r="AA34" s="4">
        <f>IF(Table2[[#This Row],[Vin]]&gt;Vout, Table2[[#This Row],[Ripple Current pk-pk]]/SQRT(12), SQRT(Table2[[#This Row],[Duty Cycle BOOST Leg]]/(1-Table2[[#This Row],[Duty Cycle BOOST Leg]]))*SQRT(Table2[[#This Row],[Iout]]^2+(Table2[[#This Row],[Ripple Current pk-pk]]^2)/12))</f>
        <v>0.71998266831158331</v>
      </c>
      <c r="AB34" s="354">
        <f>RCoutEsr*Table2[[#This Row],[Irms Cout]]^2</f>
        <v>2.5918752133453371E-3</v>
      </c>
      <c r="AC34" s="354">
        <f>Table2[[#This Row],[Cout ESR Loss]]</f>
        <v>2.5918752133453371E-3</v>
      </c>
      <c r="AD34" s="4">
        <f>IF(Table2[[#This Row],[Vin]]&gt;Vout, SQRT(Table2[[#This Row],[Duty Cycle BUCK Leg]]*(1-Table2[[#This Row],[Duty Cycle BUCK Leg]]))*SQRT(Table2[[#This Row],[Iout]]^2+(Table2[[#This Row],[Ripple Current pk-pk]]^2)/12), Table2[[#This Row],[Ripple Current pk-pk]]/SQRT(12))</f>
        <v>1.3671279988049592</v>
      </c>
      <c r="AE34" s="354">
        <f>RCinEsr*Table2[[#This Row],[Irms Cin]]^2</f>
        <v>3.7380779302329053E-3</v>
      </c>
      <c r="AF34" s="549">
        <f>Table2[[#This Row],[Cin ESR Loss]]</f>
        <v>3.7380779302329053E-3</v>
      </c>
      <c r="AG34" s="354">
        <f>Table2[[#This Row],[Irms Lf]]</f>
        <v>3.0851863870225196</v>
      </c>
      <c r="AH34" s="354">
        <f>Rdson1*Table2[[#This Row],[Irms BuCtrl]]^2</f>
        <v>3.9977175179210088E-2</v>
      </c>
      <c r="AI34" s="354">
        <f>CHOOSE(Table2[[#This Row],[Mode Digit]], (Table2[[#This Row],[Vin]]*Table2[[#This Row],[Iout]]/2)*(Fsw)*(Tr_buck+Tf_buck), 0, (Table2[[#This Row],[Vin]]*Table2[[#This Row],[Avg IL]]/2)*(Fsw/1)*(Tr_buck+Tf_buck))</f>
        <v>0.59498201656900396</v>
      </c>
      <c r="AJ34">
        <f>IF(Table2[[#This Row],[Vin]]&gt;Vout, IF(Table2[[#This Row],[Iout]]&gt;Table2[[#This Row],[Ripple Current pk-pk]]/2,0,ABS(Table2[[#This Row],[Iout]]-Table2[[#This Row],[Ripple Current pk-pk]]/2)*Vsd_Q1*Deadtime*Fsw),0)</f>
        <v>0</v>
      </c>
      <c r="AK34" s="354">
        <f>(Table2[[#This Row],[Dead Time Loss BuCtrl]]+Table2[[#This Row],[Transition Loss BuCtrl]]+Table2[[#This Row],[RDS(on) Loss BuCtrl]]*(1+RdsonTopTc*Ta-RdsonTopTc*25))/(1-Table2[[#This Row],[RDS(on) Loss BuCtrl]]*RdsonTopTc*ThetaJA_Q1)</f>
        <v>0.64111033902802017</v>
      </c>
      <c r="AL34" s="354">
        <f>Table2[[#This Row],[Irms Lf]]</f>
        <v>3.0851863870225196</v>
      </c>
      <c r="AM34" s="354">
        <f>Rdson2*Table2[[#This Row],[Irms BuSync]]^2</f>
        <v>3.9977175179210088E-2</v>
      </c>
      <c r="AN34"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0.14434285714285713</v>
      </c>
      <c r="AO34" s="354">
        <f>(Table2[[#This Row],[Deadtime Loss BuSync]]+Table2[[#This Row],[RDS(on) Loss BuSync]]*(1+RdsonBotTc*Ta-RdsonBotTc*25))/(1-Table2[[#This Row],[RDS(on) Loss BuSync]]*RdsonBotTc*ThetaJA_Q2)</f>
        <v>0.1861056268613164</v>
      </c>
      <c r="AP34" s="354">
        <f>Table2[[#This Row],[Irms Lf]]</f>
        <v>3.0851863870225196</v>
      </c>
      <c r="AQ34" s="354">
        <f>Rdson4*Table2[[#This Row],[Irms BoCtlr]]^2</f>
        <v>3.9977175179210088E-2</v>
      </c>
      <c r="AR34" s="354">
        <f>CHOOSE(Table2[[#This Row],[Mode Digit]], 0, (Vout*Table2[[#This Row],[Iin]]/2)*(Fsw)*(Tr_boost+Tf_boost), (Vout*Iout/2)*(Fsw/1)*(Tr_boost+Tf_boost))</f>
        <v>0</v>
      </c>
      <c r="AS34" s="354">
        <f>IF(Table2[[#This Row],[Vin]]&gt;Vout, 0, IF(Table2[[#This Row],[Iin]]&gt;Table2[[#This Row],[Ripple Current pk-pk]]/2,0,ABS(Table2[[#This Row],[Iin]]-Table2[[#This Row],[Ripple Current pk-pk]]/2)*Vsd_Q4*Deadtime*Fsw))</f>
        <v>0</v>
      </c>
      <c r="AT34" s="354">
        <f>(Table2[[#This Row],[Dead Time Loss BoCtlr]]+Table2[[#This Row],[Transition Loss BoCtlr]]+Table2[[#This Row],[RDS(on) Loss BoCtlr]]*(1+RdsonTopTc*Ta-RdsonTopTc*25))/(1-Table2[[#This Row],[RDS(on) Loss BoCtlr]]*RdsonTopTc*ThetaJA_Q4)</f>
        <v>4.0364452811463732E-2</v>
      </c>
      <c r="AU34" s="354">
        <f>Table2[[#This Row],[Irms Lf]]</f>
        <v>3.0851863870225196</v>
      </c>
      <c r="AV34" s="354">
        <f>Rdson3*Table2[[#This Row],[Irms BoSync]]^2</f>
        <v>3.9977175179210088E-2</v>
      </c>
      <c r="AW34"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34" s="354">
        <f>(Table2[[#This Row],[Deadtime Loss BoSync]]+Table2[[#This Row],[RDS(on) Loss BoSync]]*(1+RdsonBotTc*Ta-RdsonBotTc*25))/(1-Table2[[#This Row],[RDS(on) Loss BoSync]]*RdsonBotTc*ThetaJA_Q3)</f>
        <v>4.0364452811463732E-2</v>
      </c>
      <c r="AY34" s="354">
        <f>CHOOSE(Table2[[#This Row],[Mode Digit]], Rdson3*Table2[[#This Row],[Irms Lf]]^2, Rdson1*Table2[[#This Row],[Irms Lf]]^2, 0)</f>
        <v>3.9977175179210088E-2</v>
      </c>
      <c r="AZ34" s="354">
        <f>CHOOSE(Table2[[#This Row],[Mode Digit]], 2*Deadtime*Fsw*IF(VfdSky_Q2&gt;0,VfdSky_Q2,0)*Table2[[#This Row],[Iout]], 2*Deadtime*Fsw*IF(VfdSky_Q3&gt;0,VfdSky_Q3,0)*Table2[[#This Row],[Iin]], 2*Deadtime*Fsw*IF(VfdSky_Q2&gt;0,VfdSky_Q2,0)*Table2[[#This Row],[Iout]]+2*Deadtime*Fsw*IF(VfdSky_Q3&gt;0,VfdSky_Q3,0)*Table2[[#This Row],[Iin]])</f>
        <v>0</v>
      </c>
      <c r="BA3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5.9962200000000014E-2</v>
      </c>
      <c r="BB3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5.9962200000000014E-2</v>
      </c>
      <c r="BC34" s="354">
        <f>CHOOSE(Table2[[#This Row],[Mode Digit]], Rs*Table2[[#This Row],[Irms BuSync]]^2, Rs*Table2[[#This Row],[Irms BoCtlr]]^2, Rs*(Table2[[#This Row],[Irms BuSync]]^2+Table2[[#This Row],[Irms BoCtlr]]^2))</f>
        <v>2.379593760667267E-2</v>
      </c>
      <c r="BD34" s="354">
        <f t="shared" si="1"/>
        <v>1.44</v>
      </c>
      <c r="BE34" s="354">
        <f>IF(Vout&gt;8, Iq*Vout, Iq*Table2[[#This Row],[Vin]])</f>
        <v>4.3799999999999999E-2</v>
      </c>
      <c r="BF34" s="354">
        <f>CHOOSE(Table2[[#This Row],[Mode Digit]], (Qg_Q1+Qg_Q2)*Fsw, (Qg_Q3+Qg_Q4)*Fsw, (Qg_Q1+Qg_Q2+Qg_Q3+Qg_Q4)*Fsw)*IF(Vout&gt;8, Vout, Table2[[#This Row],[Vin]])</f>
        <v>0.47303999999999996</v>
      </c>
      <c r="BG34" s="354">
        <f t="shared" si="4"/>
        <v>0.45605042016806729</v>
      </c>
      <c r="BH34" s="354">
        <f>Table2[[#This Row],[IQ Loss]]+Table2[[#This Row],[Switching Current Loss]]</f>
        <v>0.51683999999999997</v>
      </c>
      <c r="BI34"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3.3342804651946798</v>
      </c>
      <c r="BJ34">
        <f>Vout*Table2[[#This Row],[Iout]]</f>
        <v>43.8</v>
      </c>
      <c r="BK34" s="550">
        <f>Table2[[#This Row],[Pout]]/(Table2[[#This Row],[Pout]]+Table2[[#This Row],[Total Loss]])</f>
        <v>0.929259968916746</v>
      </c>
      <c r="BL34" s="559">
        <f>IF(Table2[[#This Row],[Vin]]&gt;Vout,ThetaJA_Q1*(Table2[[#This Row],[Total Control Bu MOSFET Loss]]+Table2[[#This Row],[Reverse Recovery Loss MOSFET D BUCK]]),ThetaJA_Q4*(Table2[[#This Row],[Total Control Bo MOSFET Loss]]+Table2[[#This Row],[Reverse Recovery Loss MOSFET D BOOST]]))</f>
        <v>42.064352341681207</v>
      </c>
      <c r="BM34" s="559">
        <f>IF(Table2[[#This Row],[Vin]]&gt;Vout, Table2[[#This Row],[Total Sync Bu MOSFET Loss]]*ThetaJA_Q2, ThetaJA_Q3*Table2[[#This Row],[Total Sync Bo MOSFET Loss]])</f>
        <v>11.166337611678983</v>
      </c>
      <c r="BN34" s="9"/>
      <c r="BO34" s="4">
        <f>Table2[[#This Row],[EFF, h]]*100</f>
        <v>92.9259968916746</v>
      </c>
      <c r="BP34" s="354">
        <f>Table2[[#This Row],[Total Inductor Loss]]</f>
        <v>0.31944530293216483</v>
      </c>
      <c r="BQ34" s="354">
        <f>Table2[[#This Row],[Total Control Bu MOSFET Loss]]+Table2[[#This Row],[Total Sync Bu MOSFET Loss]]+Table2[[#This Row],[Total Control Bo MOSFET Loss]]+Table2[[#This Row],[Total Sync Bo MOSFET Loss]]+Table2[[#This Row],[Reverse Recovery Loss MOSFET D BUCK]]+Table2[[#This Row],[Reverse Recovery Loss MOSFET D BOOST]]</f>
        <v>1.0278692715122639</v>
      </c>
      <c r="BR34" s="354">
        <f xml:space="preserve"> Table2[[#This Row],[Total Control Bu MOSFET Loss]]+Table2[[#This Row],[Reverse Recovery Loss MOSFET D BUCK]]*0.66</f>
        <v>0.68068539102802017</v>
      </c>
      <c r="BS34" s="354">
        <f>Table2[[#This Row],[Total Sync Bu MOSFET Loss]]+Table2[[#This Row],[Reverse Recovery Loss MOSFET D BUCK]]*0.33</f>
        <v>0.2058931528613164</v>
      </c>
      <c r="BT34" s="354">
        <f xml:space="preserve"> Table2[[#This Row],[Total Control Bo MOSFET Loss]]+Table2[[#This Row],[Reverse Recovery Loss MOSFET D BOOST]]*0.66</f>
        <v>7.9939504811463752E-2</v>
      </c>
      <c r="BU34" s="354">
        <f xml:space="preserve"> Table2[[#This Row],[Total Sync Bo MOSFET Loss]]+Table2[[#This Row],[Reverse Recovery Loss MOSFET D BOOST]]*0.33</f>
        <v>6.0151978811463738E-2</v>
      </c>
      <c r="BV34" s="354">
        <f>Table2[[#This Row],[Isense Shunt Loss]]</f>
        <v>2.379593760667267E-2</v>
      </c>
      <c r="CA34">
        <v>9.9986049999999995</v>
      </c>
      <c r="CB34">
        <v>0.83240000000000003</v>
      </c>
      <c r="CC34">
        <v>5.1231559999999998</v>
      </c>
      <c r="CD34">
        <v>91.678946361105133</v>
      </c>
      <c r="CE34">
        <v>387.05996035199956</v>
      </c>
    </row>
    <row r="35" spans="1:83" x14ac:dyDescent="0.2">
      <c r="A35" s="22" t="s">
        <v>156</v>
      </c>
      <c r="B35" s="5">
        <f>Iq*1000</f>
        <v>3</v>
      </c>
      <c r="C35" s="440" t="s">
        <v>68</v>
      </c>
      <c r="D35" s="21" t="s">
        <v>159</v>
      </c>
      <c r="G35">
        <v>26</v>
      </c>
      <c r="H35" s="555">
        <f t="shared" si="0"/>
        <v>20</v>
      </c>
      <c r="I35" s="4" t="str">
        <f>IF(Mode = 2,IF(Table2[[#This Row],[Vin]]&gt;Vout, "BUCK","BOOST"),IF(Table2[[#This Row],[Vin]]&gt;VIN_BB_to_buck, "BUCK", IF(Table2[[#This Row],[Vin]]&lt;=VIN_boost_to_BB,"BOOST","BUCK-BST")))</f>
        <v>BUCK</v>
      </c>
      <c r="J35">
        <f>IF(Table2[[#This Row],[Mode]]="BOOST",2, IF(Table2[[#This Row],[Mode]]="BUCK", 1,3))</f>
        <v>1</v>
      </c>
      <c r="K35" s="354">
        <f t="shared" si="3"/>
        <v>3.12</v>
      </c>
      <c r="L35" s="4">
        <f>Vout*Table2[[#This Row],[Iout]]/(Table2[[#This Row],[Vin]]*Efficiency)</f>
        <v>2.3974736842105262</v>
      </c>
      <c r="M35" s="711">
        <f>MIN(1/Fsw,CHOOSE(Table2[[#This Row],[Mode Digit]],(Vout+(Rdson2+Rs+Rdcr)*Table2[[#This Row],[Iout]])/(Table2[[#This Row],[Vin]]+(Rs+Rdson2-Rdson1)*Table2[[#This Row],[Iout]])/Fsw,(Vout+(Rdson3+Rdcr)*Table2[[#This Row],[Iin]]-Table2[[#This Row],[Vin]])/(Vout+(Rdson3-Rdson4-Rs)*Table2[[#This Row],[Iin]])/Fsw,t1_Ph_II))</f>
        <v>1.2194410846436556E-6</v>
      </c>
      <c r="N35" s="602">
        <f>CHOOSE(Table2[[#This Row],[Mode Digit]],1/Fsw-Table2[[#This Row],[t1_Ph_II]],1/Fsw-Table2[[#This Row],[t1_Ph_II]],(Vout/Fsw-Table2[[#This Row],[Vin]]*t1_Ph_II)/(Table2[[#This Row],[Vin]]+Vout))</f>
        <v>4.4722558202301111E-7</v>
      </c>
      <c r="O35" s="602">
        <f>1/Fsw-(Table2[[#This Row],[t1_Ph_II]]+Table2[[#This Row],[t2_Ph_I]])</f>
        <v>0</v>
      </c>
      <c r="P35"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1.8728443452508068</v>
      </c>
      <c r="Q35" s="4">
        <f>CHOOSE(Table2[[#This Row],[Mode Digit]],Table2[[#This Row],[I_0]]+1/Lf*(Table2[[#This Row],[Vin]]-Vout)*Table2[[#This Row],[t1_Ph_II]],Table2[[#This Row],[I_0]]+1/Lf*Table2[[#This Row],[Vin]]*Table2[[#This Row],[t1_Ph_II]],Table2[[#This Row],[I_0]]+(Table2[[#This Row],[Vin]]-Vout)/L*Table2[[#This Row],[t1_Ph_II]])</f>
        <v>4.3671556547491939</v>
      </c>
      <c r="R35" s="4">
        <f>CHOOSE(Table2[[#This Row],[Mode Digit]],0,0,Table2[[#This Row],[I_1]]+Table2[[#This Row],[Vin]]/L*Table2[[#This Row],[t2_Ph_I]])</f>
        <v>0</v>
      </c>
      <c r="S35" s="409">
        <f>Fsw*(Table2[[#This Row],[I_0]]*Table2[[#This Row],[t1_Ph_II]]+Table2[[#This Row],[I_1]]*Table2[[#This Row],[t2_Ph_I]]+Table2[[#This Row],[I_2]]*Table2[[#This Row],[t3_Ph_III]])</f>
        <v>2.5421562415330037</v>
      </c>
      <c r="T35" s="354">
        <f>MIN(1,CHOOSE(Table2[[#This Row],[Mode Digit]],(Vout+(Rdson2+Rs+Rdcr)*Table2[[#This Row],[Iout]])/(Table2[[#This Row],[Vin]]+(Rs+Rdson2-Rdson1)*Table2[[#This Row],[Iout]]),1,Fsw*Table2[[#This Row],[t2_Ph_I]]+Table2[[#This Row],[t1_Ph_II]]))</f>
        <v>0.73166465078619336</v>
      </c>
      <c r="U35" s="354">
        <f>MIN(1,CHOOSE(Table2[[#This Row],[Mode Digit]],0,(Vout+(Rdson3+Rdcr)*Table2[[#This Row],[Iin]]-Table2[[#This Row],[Vin]])/(Vout+(Rdson3-Rdson4-Rs)*Table2[[#This Row],[Iin]]),Fsw*Table2[[#This Row],[t1_Ph_II]]+Table2[[#This Row],[t3_Ph_III]]))</f>
        <v>0</v>
      </c>
      <c r="V35" s="4">
        <f>MAX(Table2[[#This Row],[I_0]:[I_2]])-MIN(Table2[[#This Row],[I_0]:[I_1]])</f>
        <v>2.4943113094983871</v>
      </c>
      <c r="W35"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3.2020096412083094</v>
      </c>
      <c r="X35" s="354">
        <f>(Table2[[#This Row],[Irms Lf]]^2*Rdcr*(1+Ltc*Ta-Ltc*25))/(1-Table2[[#This Row],[Irms Lf]]^2*Rdcr*Ltc*ThetaCa)</f>
        <v>5.9750875922763028E-2</v>
      </c>
      <c r="Y35" s="354">
        <f>ABS(7.759*10^-3*Fsw^0.9458*(0.00787*Table2[[#This Row],[Ripple Current pk-pk]])^2.304)</f>
        <v>0.2640470373168296</v>
      </c>
      <c r="Z35" s="354">
        <f>Table2[[#This Row],[DCR    Loss]]+Table2[[#This Row],[Core Loss]]</f>
        <v>0.32379791323959262</v>
      </c>
      <c r="AA35" s="4">
        <f>IF(Table2[[#This Row],[Vin]]&gt;Vout, Table2[[#This Row],[Ripple Current pk-pk]]/SQRT(12), SQRT(Table2[[#This Row],[Duty Cycle BOOST Leg]]/(1-Table2[[#This Row],[Duty Cycle BOOST Leg]]))*SQRT(Table2[[#This Row],[Iout]]^2+(Table2[[#This Row],[Ripple Current pk-pk]]^2)/12))</f>
        <v>0.72004565299081091</v>
      </c>
      <c r="AB35" s="354">
        <f>RCoutEsr*Table2[[#This Row],[Irms Cout]]^2</f>
        <v>2.5923287119548168E-3</v>
      </c>
      <c r="AC35" s="354">
        <f>Table2[[#This Row],[Cout ESR Loss]]</f>
        <v>2.5923287119548168E-3</v>
      </c>
      <c r="AD35" s="4">
        <f>IF(Table2[[#This Row],[Vin]]&gt;Vout, SQRT(Table2[[#This Row],[Duty Cycle BUCK Leg]]*(1-Table2[[#This Row],[Duty Cycle BUCK Leg]]))*SQRT(Table2[[#This Row],[Iout]]^2+(Table2[[#This Row],[Ripple Current pk-pk]]^2)/12), Table2[[#This Row],[Ripple Current pk-pk]]/SQRT(12))</f>
        <v>1.4187883575880857</v>
      </c>
      <c r="AE35" s="354">
        <f>RCinEsr*Table2[[#This Row],[Irms Cin]]^2</f>
        <v>4.0259208072549952E-3</v>
      </c>
      <c r="AF35" s="549">
        <f>Table2[[#This Row],[Cin ESR Loss]]</f>
        <v>4.0259208072549952E-3</v>
      </c>
      <c r="AG35" s="354">
        <f>Table2[[#This Row],[Irms Lf]]</f>
        <v>3.2020096412083094</v>
      </c>
      <c r="AH35" s="354">
        <f>Rdson1*Table2[[#This Row],[Irms BuCtrl]]^2</f>
        <v>4.3062036118042067E-2</v>
      </c>
      <c r="AI35" s="354">
        <f>CHOOSE(Table2[[#This Row],[Mode Digit]], (Table2[[#This Row],[Vin]]*Table2[[#This Row],[Iout]]/2)*(Fsw)*(Tr_buck+Tf_buck), 0, (Table2[[#This Row],[Vin]]*Table2[[#This Row],[Avg IL]]/2)*(Fsw/1)*(Tr_buck+Tf_buck))</f>
        <v>0.61878129723176412</v>
      </c>
      <c r="AJ35">
        <f>IF(Table2[[#This Row],[Vin]]&gt;Vout, IF(Table2[[#This Row],[Iout]]&gt;Table2[[#This Row],[Ripple Current pk-pk]]/2,0,ABS(Table2[[#This Row],[Iout]]-Table2[[#This Row],[Ripple Current pk-pk]]/2)*Vsd_Q1*Deadtime*Fsw),0)</f>
        <v>0</v>
      </c>
      <c r="AK35" s="354">
        <f>(Table2[[#This Row],[Dead Time Loss BuCtrl]]+Table2[[#This Row],[Transition Loss BuCtrl]]+Table2[[#This Row],[RDS(on) Loss BuCtrl]]*(1+RdsonTopTc*Ta-RdsonTopTc*25))/(1-Table2[[#This Row],[RDS(on) Loss BuCtrl]]*RdsonTopTc*ThetaJA_Q1)</f>
        <v>0.66875484016936337</v>
      </c>
      <c r="AL35" s="354">
        <f>Table2[[#This Row],[Irms Lf]]</f>
        <v>3.2020096412083094</v>
      </c>
      <c r="AM35" s="354">
        <f>Rdson2*Table2[[#This Row],[Irms BuSync]]^2</f>
        <v>4.3062036118042067E-2</v>
      </c>
      <c r="AN35"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0.15011657142857143</v>
      </c>
      <c r="AO35" s="354">
        <f>(Table2[[#This Row],[Deadtime Loss BuSync]]+Table2[[#This Row],[RDS(on) Loss BuSync]]*(1+RdsonBotTc*Ta-RdsonBotTc*25))/(1-Table2[[#This Row],[RDS(on) Loss BuSync]]*RdsonBotTc*ThetaJA_Q2)</f>
        <v>0.19519593581173833</v>
      </c>
      <c r="AP35" s="354">
        <f>Table2[[#This Row],[Irms Lf]]</f>
        <v>3.2020096412083094</v>
      </c>
      <c r="AQ35" s="354">
        <f>Rdson4*Table2[[#This Row],[Irms BoCtlr]]^2</f>
        <v>4.3062036118042067E-2</v>
      </c>
      <c r="AR35" s="354">
        <f>CHOOSE(Table2[[#This Row],[Mode Digit]], 0, (Vout*Table2[[#This Row],[Iin]]/2)*(Fsw)*(Tr_boost+Tf_boost), (Vout*Iout/2)*(Fsw/1)*(Tr_boost+Tf_boost))</f>
        <v>0</v>
      </c>
      <c r="AS35" s="354">
        <f>IF(Table2[[#This Row],[Vin]]&gt;Vout, 0, IF(Table2[[#This Row],[Iin]]&gt;Table2[[#This Row],[Ripple Current pk-pk]]/2,0,ABS(Table2[[#This Row],[Iin]]-Table2[[#This Row],[Ripple Current pk-pk]]/2)*Vsd_Q4*Deadtime*Fsw))</f>
        <v>0</v>
      </c>
      <c r="AT35" s="354">
        <f>(Table2[[#This Row],[Dead Time Loss BoCtlr]]+Table2[[#This Row],[Transition Loss BoCtlr]]+Table2[[#This Row],[RDS(on) Loss BoCtlr]]*(1+RdsonTopTc*Ta-RdsonTopTc*25))/(1-Table2[[#This Row],[RDS(on) Loss BoCtlr]]*RdsonTopTc*ThetaJA_Q4)</f>
        <v>4.3511724951179512E-2</v>
      </c>
      <c r="AU35" s="354">
        <f>Table2[[#This Row],[Irms Lf]]</f>
        <v>3.2020096412083094</v>
      </c>
      <c r="AV35" s="354">
        <f>Rdson3*Table2[[#This Row],[Irms BoSync]]^2</f>
        <v>4.3062036118042067E-2</v>
      </c>
      <c r="AW35"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35" s="354">
        <f>(Table2[[#This Row],[Deadtime Loss BoSync]]+Table2[[#This Row],[RDS(on) Loss BoSync]]*(1+RdsonBotTc*Ta-RdsonBotTc*25))/(1-Table2[[#This Row],[RDS(on) Loss BoSync]]*RdsonBotTc*ThetaJA_Q3)</f>
        <v>4.3511724951179512E-2</v>
      </c>
      <c r="AY35" s="354">
        <f>CHOOSE(Table2[[#This Row],[Mode Digit]], Rdson3*Table2[[#This Row],[Irms Lf]]^2, Rdson1*Table2[[#This Row],[Irms Lf]]^2, 0)</f>
        <v>4.3062036118042067E-2</v>
      </c>
      <c r="AZ35" s="354">
        <f>CHOOSE(Table2[[#This Row],[Mode Digit]], 2*Deadtime*Fsw*IF(VfdSky_Q2&gt;0,VfdSky_Q2,0)*Table2[[#This Row],[Iout]], 2*Deadtime*Fsw*IF(VfdSky_Q3&gt;0,VfdSky_Q3,0)*Table2[[#This Row],[Iin]], 2*Deadtime*Fsw*IF(VfdSky_Q2&gt;0,VfdSky_Q2,0)*Table2[[#This Row],[Iout]]+2*Deadtime*Fsw*IF(VfdSky_Q3&gt;0,VfdSky_Q3,0)*Table2[[#This Row],[Iin]])</f>
        <v>0</v>
      </c>
      <c r="BA3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6.2359115520000001E-2</v>
      </c>
      <c r="BB3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6.2359115520000001E-2</v>
      </c>
      <c r="BC35" s="354">
        <f>CHOOSE(Table2[[#This Row],[Mode Digit]], Rs*Table2[[#This Row],[Irms BuSync]]^2, Rs*Table2[[#This Row],[Irms BoCtlr]]^2, Rs*(Table2[[#This Row],[Irms BuSync]]^2+Table2[[#This Row],[Irms BoCtlr]]^2))</f>
        <v>2.5632164355977417E-2</v>
      </c>
      <c r="BD35" s="354">
        <f t="shared" si="1"/>
        <v>1.44</v>
      </c>
      <c r="BE35" s="354">
        <f>IF(Vout&gt;8, Iq*Vout, Iq*Table2[[#This Row],[Vin]])</f>
        <v>4.3799999999999999E-2</v>
      </c>
      <c r="BF35" s="354">
        <f>CHOOSE(Table2[[#This Row],[Mode Digit]], (Qg_Q1+Qg_Q2)*Fsw, (Qg_Q3+Qg_Q4)*Fsw, (Qg_Q1+Qg_Q2+Qg_Q3+Qg_Q4)*Fsw)*IF(Vout&gt;8, Vout, Table2[[#This Row],[Vin]])</f>
        <v>0.47303999999999996</v>
      </c>
      <c r="BG35" s="354">
        <f t="shared" si="4"/>
        <v>0.45605042016806729</v>
      </c>
      <c r="BH35" s="354">
        <f>Table2[[#This Row],[IQ Loss]]+Table2[[#This Row],[Switching Current Loss]]</f>
        <v>0.51683999999999997</v>
      </c>
      <c r="BI35"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3.3885807840382407</v>
      </c>
      <c r="BJ35">
        <f>Vout*Table2[[#This Row],[Iout]]</f>
        <v>45.552</v>
      </c>
      <c r="BK35" s="550">
        <f>Table2[[#This Row],[Pout]]/(Table2[[#This Row],[Pout]]+Table2[[#This Row],[Total Loss]])</f>
        <v>0.93076132874288631</v>
      </c>
      <c r="BL35" s="559">
        <f>IF(Table2[[#This Row],[Vin]]&gt;Vout,ThetaJA_Q1*(Table2[[#This Row],[Total Control Bu MOSFET Loss]]+Table2[[#This Row],[Reverse Recovery Loss MOSFET D BUCK]]),ThetaJA_Q4*(Table2[[#This Row],[Total Control Bo MOSFET Loss]]+Table2[[#This Row],[Reverse Recovery Loss MOSFET D BOOST]]))</f>
        <v>43.866837341361801</v>
      </c>
      <c r="BM35" s="559">
        <f>IF(Table2[[#This Row],[Vin]]&gt;Vout, Table2[[#This Row],[Total Sync Bu MOSFET Loss]]*ThetaJA_Q2, ThetaJA_Q3*Table2[[#This Row],[Total Sync Bo MOSFET Loss]])</f>
        <v>11.7117561487043</v>
      </c>
      <c r="BN35" s="9"/>
      <c r="BO35" s="4">
        <f>Table2[[#This Row],[EFF, h]]*100</f>
        <v>93.076132874288632</v>
      </c>
      <c r="BP35" s="354">
        <f>Table2[[#This Row],[Total Inductor Loss]]</f>
        <v>0.32379791323959262</v>
      </c>
      <c r="BQ35" s="354">
        <f>Table2[[#This Row],[Total Control Bu MOSFET Loss]]+Table2[[#This Row],[Total Sync Bu MOSFET Loss]]+Table2[[#This Row],[Total Control Bo MOSFET Loss]]+Table2[[#This Row],[Total Sync Bo MOSFET Loss]]+Table2[[#This Row],[Reverse Recovery Loss MOSFET D BUCK]]+Table2[[#This Row],[Reverse Recovery Loss MOSFET D BOOST]]</f>
        <v>1.0756924569234607</v>
      </c>
      <c r="BR35" s="354">
        <f xml:space="preserve"> Table2[[#This Row],[Total Control Bu MOSFET Loss]]+Table2[[#This Row],[Reverse Recovery Loss MOSFET D BUCK]]*0.66</f>
        <v>0.70991185641256338</v>
      </c>
      <c r="BS35" s="354">
        <f>Table2[[#This Row],[Total Sync Bu MOSFET Loss]]+Table2[[#This Row],[Reverse Recovery Loss MOSFET D BUCK]]*0.33</f>
        <v>0.21577444393333833</v>
      </c>
      <c r="BT35" s="354">
        <f xml:space="preserve"> Table2[[#This Row],[Total Control Bo MOSFET Loss]]+Table2[[#This Row],[Reverse Recovery Loss MOSFET D BOOST]]*0.66</f>
        <v>8.4668741194379504E-2</v>
      </c>
      <c r="BU35" s="354">
        <f xml:space="preserve"> Table2[[#This Row],[Total Sync Bo MOSFET Loss]]+Table2[[#This Row],[Reverse Recovery Loss MOSFET D BOOST]]*0.33</f>
        <v>6.4090233072779515E-2</v>
      </c>
      <c r="BV35" s="354">
        <f>Table2[[#This Row],[Isense Shunt Loss]]</f>
        <v>2.5632164355977417E-2</v>
      </c>
      <c r="CA35">
        <v>9.9986049999999995</v>
      </c>
      <c r="CB35">
        <v>1.0528999999999999</v>
      </c>
      <c r="CC35">
        <v>5.1218219999999999</v>
      </c>
      <c r="CD35">
        <v>92.889938966292178</v>
      </c>
      <c r="CE35">
        <v>412.77762981700039</v>
      </c>
    </row>
    <row r="36" spans="1:83" x14ac:dyDescent="0.2">
      <c r="A36" s="24" t="s">
        <v>725</v>
      </c>
      <c r="B36" s="15" t="s">
        <v>113</v>
      </c>
      <c r="C36" s="24" t="s">
        <v>80</v>
      </c>
      <c r="D36" s="17" t="s">
        <v>109</v>
      </c>
      <c r="G36">
        <v>27</v>
      </c>
      <c r="H36" s="555">
        <f t="shared" si="0"/>
        <v>20</v>
      </c>
      <c r="I36" s="4" t="str">
        <f>IF(Mode = 2,IF(Table2[[#This Row],[Vin]]&gt;Vout, "BUCK","BOOST"),IF(Table2[[#This Row],[Vin]]&gt;VIN_BB_to_buck, "BUCK", IF(Table2[[#This Row],[Vin]]&lt;=VIN_boost_to_BB,"BOOST","BUCK-BST")))</f>
        <v>BUCK</v>
      </c>
      <c r="J36">
        <f>IF(Table2[[#This Row],[Mode]]="BOOST",2, IF(Table2[[#This Row],[Mode]]="BUCK", 1,3))</f>
        <v>1</v>
      </c>
      <c r="K36" s="354">
        <f t="shared" si="3"/>
        <v>3.24</v>
      </c>
      <c r="L36" s="4">
        <f>Vout*Table2[[#This Row],[Iout]]/(Table2[[#This Row],[Vin]]*Efficiency)</f>
        <v>2.4896842105263159</v>
      </c>
      <c r="M36" s="711">
        <f>MIN(1/Fsw,CHOOSE(Table2[[#This Row],[Mode Digit]],(Vout+(Rdson2+Rs+Rdcr)*Table2[[#This Row],[Iout]])/(Table2[[#This Row],[Vin]]+(Rs+Rdson2-Rdson1)*Table2[[#This Row],[Iout]])/Fsw,(Vout+(Rdson3+Rdcr)*Table2[[#This Row],[Iin]]-Table2[[#This Row],[Vin]])/(Vout+(Rdson3-Rdson4-Rs)*Table2[[#This Row],[Iin]])/Fsw,t1_Ph_II))</f>
        <v>1.2195477498279862E-6</v>
      </c>
      <c r="N36" s="602">
        <f>CHOOSE(Table2[[#This Row],[Mode Digit]],1/Fsw-Table2[[#This Row],[t1_Ph_II]],1/Fsw-Table2[[#This Row],[t1_Ph_II]],(Vout/Fsw-Table2[[#This Row],[Vin]]*t1_Ph_II)/(Table2[[#This Row],[Vin]]+Vout))</f>
        <v>4.471189168386805E-7</v>
      </c>
      <c r="O36" s="602">
        <f>1/Fsw-(Table2[[#This Row],[t1_Ph_II]]+Table2[[#This Row],[t2_Ph_I]])</f>
        <v>0</v>
      </c>
      <c r="P36"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1.9927352558577416</v>
      </c>
      <c r="Q36" s="4">
        <f>CHOOSE(Table2[[#This Row],[Mode Digit]],Table2[[#This Row],[I_0]]+1/Lf*(Table2[[#This Row],[Vin]]-Vout)*Table2[[#This Row],[t1_Ph_II]],Table2[[#This Row],[I_0]]+1/Lf*Table2[[#This Row],[Vin]]*Table2[[#This Row],[t1_Ph_II]],Table2[[#This Row],[I_0]]+(Table2[[#This Row],[Vin]]-Vout)/L*Table2[[#This Row],[t1_Ph_II]])</f>
        <v>4.4872647441422586</v>
      </c>
      <c r="R36" s="4">
        <f>CHOOSE(Table2[[#This Row],[Mode Digit]],0,0,Table2[[#This Row],[I_1]]+Table2[[#This Row],[Vin]]/L*Table2[[#This Row],[t2_Ph_I]])</f>
        <v>0</v>
      </c>
      <c r="S36" s="409">
        <f>Fsw*(Table2[[#This Row],[I_0]]*Table2[[#This Row],[t1_Ph_II]]+Table2[[#This Row],[I_1]]*Table2[[#This Row],[t2_Ph_I]]+Table2[[#This Row],[I_2]]*Table2[[#This Row],[t3_Ph_III]])</f>
        <v>2.6619460495520939</v>
      </c>
      <c r="T36" s="354">
        <f>MIN(1,CHOOSE(Table2[[#This Row],[Mode Digit]],(Vout+(Rdson2+Rs+Rdcr)*Table2[[#This Row],[Iout]])/(Table2[[#This Row],[Vin]]+(Rs+Rdson2-Rdson1)*Table2[[#This Row],[Iout]]),1,Fsw*Table2[[#This Row],[t2_Ph_I]]+Table2[[#This Row],[t1_Ph_II]]))</f>
        <v>0.73172864989679176</v>
      </c>
      <c r="U36" s="354">
        <f>MIN(1,CHOOSE(Table2[[#This Row],[Mode Digit]],0,(Vout+(Rdson3+Rdcr)*Table2[[#This Row],[Iin]]-Table2[[#This Row],[Vin]])/(Vout+(Rdson3-Rdson4-Rs)*Table2[[#This Row],[Iin]]),Fsw*Table2[[#This Row],[t1_Ph_II]]+Table2[[#This Row],[t3_Ph_III]]))</f>
        <v>0</v>
      </c>
      <c r="V36" s="4">
        <f>MAX(Table2[[#This Row],[I_0]:[I_2]])-MIN(Table2[[#This Row],[I_0]:[I_1]])</f>
        <v>2.4945294882845168</v>
      </c>
      <c r="W36"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3.3190595727294125</v>
      </c>
      <c r="X36" s="354">
        <f>(Table2[[#This Row],[Irms Lf]]^2*Rdcr*(1+Ltc*Ta-Ltc*25))/(1-Table2[[#This Row],[Irms Lf]]^2*Rdcr*Ltc*ThetaCa)</f>
        <v>6.4221977815200768E-2</v>
      </c>
      <c r="Y36" s="354">
        <f>ABS(7.759*10^-3*Fsw^0.9458*(0.00787*Table2[[#This Row],[Ripple Current pk-pk]])^2.304)</f>
        <v>0.26410025431906348</v>
      </c>
      <c r="Z36" s="354">
        <f>Table2[[#This Row],[DCR    Loss]]+Table2[[#This Row],[Core Loss]]</f>
        <v>0.32832223213426426</v>
      </c>
      <c r="AA36" s="4">
        <f>IF(Table2[[#This Row],[Vin]]&gt;Vout, Table2[[#This Row],[Ripple Current pk-pk]]/SQRT(12), SQRT(Table2[[#This Row],[Duty Cycle BOOST Leg]]/(1-Table2[[#This Row],[Duty Cycle BOOST Leg]]))*SQRT(Table2[[#This Row],[Iout]]^2+(Table2[[#This Row],[Ripple Current pk-pk]]^2)/12))</f>
        <v>0.72010863578126261</v>
      </c>
      <c r="AB36" s="354">
        <f>RCoutEsr*Table2[[#This Row],[Irms Cout]]^2</f>
        <v>2.5927822366337556E-3</v>
      </c>
      <c r="AC36" s="354">
        <f>Table2[[#This Row],[Cout ESR Loss]]</f>
        <v>2.5927822366337556E-3</v>
      </c>
      <c r="AD36" s="4">
        <f>IF(Table2[[#This Row],[Vin]]&gt;Vout, SQRT(Table2[[#This Row],[Duty Cycle BUCK Leg]]*(1-Table2[[#This Row],[Duty Cycle BUCK Leg]]))*SQRT(Table2[[#This Row],[Iout]]^2+(Table2[[#This Row],[Ripple Current pk-pk]]^2)/12), Table2[[#This Row],[Ripple Current pk-pk]]/SQRT(12))</f>
        <v>1.4705412953090315</v>
      </c>
      <c r="AE36" s="354">
        <f>RCinEsr*Table2[[#This Row],[Irms Cin]]^2</f>
        <v>4.3249834024183288E-3</v>
      </c>
      <c r="AF36" s="549">
        <f>Table2[[#This Row],[Cin ESR Loss]]</f>
        <v>4.3249834024183288E-3</v>
      </c>
      <c r="AG36" s="354">
        <f>Table2[[#This Row],[Irms Lf]]</f>
        <v>3.3190595727294125</v>
      </c>
      <c r="AH36" s="354">
        <f>Rdson1*Table2[[#This Row],[Irms BuCtrl]]^2</f>
        <v>4.6267857078772359E-2</v>
      </c>
      <c r="AI36" s="354">
        <f>CHOOSE(Table2[[#This Row],[Mode Digit]], (Table2[[#This Row],[Vin]]*Table2[[#This Row],[Iout]]/2)*(Fsw)*(Tr_buck+Tf_buck), 0, (Table2[[#This Row],[Vin]]*Table2[[#This Row],[Avg IL]]/2)*(Fsw/1)*(Tr_buck+Tf_buck))</f>
        <v>0.64258057789452439</v>
      </c>
      <c r="AJ36">
        <f>IF(Table2[[#This Row],[Vin]]&gt;Vout, IF(Table2[[#This Row],[Iout]]&gt;Table2[[#This Row],[Ripple Current pk-pk]]/2,0,ABS(Table2[[#This Row],[Iout]]-Table2[[#This Row],[Ripple Current pk-pk]]/2)*Vsd_Q1*Deadtime*Fsw),0)</f>
        <v>0</v>
      </c>
      <c r="AK36" s="354">
        <f>(Table2[[#This Row],[Dead Time Loss BuCtrl]]+Table2[[#This Row],[Transition Loss BuCtrl]]+Table2[[#This Row],[RDS(on) Loss BuCtrl]]*(1+RdsonTopTc*Ta-RdsonTopTc*25))/(1-Table2[[#This Row],[RDS(on) Loss BuCtrl]]*RdsonTopTc*ThetaJA_Q1)</f>
        <v>0.69658349713866707</v>
      </c>
      <c r="AL36" s="354">
        <f>Table2[[#This Row],[Irms Lf]]</f>
        <v>3.3190595727294125</v>
      </c>
      <c r="AM36" s="354">
        <f>Rdson2*Table2[[#This Row],[Irms BuSync]]^2</f>
        <v>4.6267857078772359E-2</v>
      </c>
      <c r="AN36"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0.15589028571428573</v>
      </c>
      <c r="AO36" s="354">
        <f>(Table2[[#This Row],[Deadtime Loss BuSync]]+Table2[[#This Row],[RDS(on) Loss BuSync]]*(1+RdsonBotTc*Ta-RdsonBotTc*25))/(1-Table2[[#This Row],[RDS(on) Loss BuSync]]*RdsonBotTc*ThetaJA_Q2)</f>
        <v>0.20442817161558238</v>
      </c>
      <c r="AP36" s="354">
        <f>Table2[[#This Row],[Irms Lf]]</f>
        <v>3.3190595727294125</v>
      </c>
      <c r="AQ36" s="354">
        <f>Rdson4*Table2[[#This Row],[Irms BoCtlr]]^2</f>
        <v>4.6267857078772359E-2</v>
      </c>
      <c r="AR36" s="354">
        <f>CHOOSE(Table2[[#This Row],[Mode Digit]], 0, (Vout*Table2[[#This Row],[Iin]]/2)*(Fsw)*(Tr_boost+Tf_boost), (Vout*Iout/2)*(Fsw/1)*(Tr_boost+Tf_boost))</f>
        <v>0</v>
      </c>
      <c r="AS36" s="354">
        <f>IF(Table2[[#This Row],[Vin]]&gt;Vout, 0, IF(Table2[[#This Row],[Iin]]&gt;Table2[[#This Row],[Ripple Current pk-pk]]/2,0,ABS(Table2[[#This Row],[Iin]]-Table2[[#This Row],[Ripple Current pk-pk]]/2)*Vsd_Q4*Deadtime*Fsw))</f>
        <v>0</v>
      </c>
      <c r="AT36" s="354">
        <f>(Table2[[#This Row],[Dead Time Loss BoCtlr]]+Table2[[#This Row],[Transition Loss BoCtlr]]+Table2[[#This Row],[RDS(on) Loss BoCtlr]]*(1+RdsonTopTc*Ta-RdsonTopTc*25))/(1-Table2[[#This Row],[RDS(on) Loss BoCtlr]]*RdsonTopTc*ThetaJA_Q4)</f>
        <v>4.6787397710053094E-2</v>
      </c>
      <c r="AU36" s="354">
        <f>Table2[[#This Row],[Irms Lf]]</f>
        <v>3.3190595727294125</v>
      </c>
      <c r="AV36" s="354">
        <f>Rdson3*Table2[[#This Row],[Irms BoSync]]^2</f>
        <v>4.6267857078772359E-2</v>
      </c>
      <c r="AW36"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36" s="354">
        <f>(Table2[[#This Row],[Deadtime Loss BoSync]]+Table2[[#This Row],[RDS(on) Loss BoSync]]*(1+RdsonBotTc*Ta-RdsonBotTc*25))/(1-Table2[[#This Row],[RDS(on) Loss BoSync]]*RdsonBotTc*ThetaJA_Q3)</f>
        <v>4.6787397710053094E-2</v>
      </c>
      <c r="AY36" s="354">
        <f>CHOOSE(Table2[[#This Row],[Mode Digit]], Rdson3*Table2[[#This Row],[Irms Lf]]^2, Rdson1*Table2[[#This Row],[Irms Lf]]^2, 0)</f>
        <v>4.6267857078772359E-2</v>
      </c>
      <c r="AZ36" s="354">
        <f>CHOOSE(Table2[[#This Row],[Mode Digit]], 2*Deadtime*Fsw*IF(VfdSky_Q2&gt;0,VfdSky_Q2,0)*Table2[[#This Row],[Iout]], 2*Deadtime*Fsw*IF(VfdSky_Q3&gt;0,VfdSky_Q3,0)*Table2[[#This Row],[Iin]], 2*Deadtime*Fsw*IF(VfdSky_Q2&gt;0,VfdSky_Q2,0)*Table2[[#This Row],[Iout]]+2*Deadtime*Fsw*IF(VfdSky_Q3&gt;0,VfdSky_Q3,0)*Table2[[#This Row],[Iin]])</f>
        <v>0</v>
      </c>
      <c r="BA3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6.4755910080000006E-2</v>
      </c>
      <c r="BB3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6.4755910080000006E-2</v>
      </c>
      <c r="BC36" s="354">
        <f>CHOOSE(Table2[[#This Row],[Mode Digit]], Rs*Table2[[#This Row],[Irms BuSync]]^2, Rs*Table2[[#This Row],[Irms BoCtlr]]^2, Rs*(Table2[[#This Row],[Irms BuSync]]^2+Table2[[#This Row],[Irms BoCtlr]]^2))</f>
        <v>2.7540391118316878E-2</v>
      </c>
      <c r="BD36" s="354">
        <f t="shared" si="1"/>
        <v>1.44</v>
      </c>
      <c r="BE36" s="354">
        <f>IF(Vout&gt;8, Iq*Vout, Iq*Table2[[#This Row],[Vin]])</f>
        <v>4.3799999999999999E-2</v>
      </c>
      <c r="BF36" s="354">
        <f>CHOOSE(Table2[[#This Row],[Mode Digit]], (Qg_Q1+Qg_Q2)*Fsw, (Qg_Q3+Qg_Q4)*Fsw, (Qg_Q1+Qg_Q2+Qg_Q3+Qg_Q4)*Fsw)*IF(Vout&gt;8, Vout, Table2[[#This Row],[Vin]])</f>
        <v>0.47303999999999996</v>
      </c>
      <c r="BG36" s="354">
        <f t="shared" si="4"/>
        <v>0.45605042016806729</v>
      </c>
      <c r="BH36" s="354">
        <f>Table2[[#This Row],[IQ Loss]]+Table2[[#This Row],[Switching Current Loss]]</f>
        <v>0.51683999999999997</v>
      </c>
      <c r="BI36"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3.4437186732259883</v>
      </c>
      <c r="BJ36">
        <f>Vout*Table2[[#This Row],[Iout]]</f>
        <v>47.304000000000002</v>
      </c>
      <c r="BK36" s="550">
        <f>Table2[[#This Row],[Pout]]/(Table2[[#This Row],[Pout]]+Table2[[#This Row],[Total Loss]])</f>
        <v>0.93214042397845043</v>
      </c>
      <c r="BL36" s="559">
        <f>IF(Table2[[#This Row],[Vin]]&gt;Vout,ThetaJA_Q1*(Table2[[#This Row],[Total Control Bu MOSFET Loss]]+Table2[[#This Row],[Reverse Recovery Loss MOSFET D BUCK]]),ThetaJA_Q4*(Table2[[#This Row],[Total Control Bo MOSFET Loss]]+Table2[[#This Row],[Reverse Recovery Loss MOSFET D BOOST]]))</f>
        <v>45.680364433120026</v>
      </c>
      <c r="BM36" s="559">
        <f>IF(Table2[[#This Row],[Vin]]&gt;Vout, Table2[[#This Row],[Total Sync Bu MOSFET Loss]]*ThetaJA_Q2, ThetaJA_Q3*Table2[[#This Row],[Total Sync Bo MOSFET Loss]])</f>
        <v>12.265690296934944</v>
      </c>
      <c r="BN36" s="9"/>
      <c r="BO36" s="4">
        <f>Table2[[#This Row],[EFF, h]]*100</f>
        <v>93.214042397845049</v>
      </c>
      <c r="BP36" s="354">
        <f>Table2[[#This Row],[Total Inductor Loss]]</f>
        <v>0.32832223213426426</v>
      </c>
      <c r="BQ36" s="354">
        <f>Table2[[#This Row],[Total Control Bu MOSFET Loss]]+Table2[[#This Row],[Total Sync Bu MOSFET Loss]]+Table2[[#This Row],[Total Control Bo MOSFET Loss]]+Table2[[#This Row],[Total Sync Bo MOSFET Loss]]+Table2[[#This Row],[Reverse Recovery Loss MOSFET D BUCK]]+Table2[[#This Row],[Reverse Recovery Loss MOSFET D BOOST]]</f>
        <v>1.1240982843343557</v>
      </c>
      <c r="BR36" s="354">
        <f xml:space="preserve"> Table2[[#This Row],[Total Control Bu MOSFET Loss]]+Table2[[#This Row],[Reverse Recovery Loss MOSFET D BUCK]]*0.66</f>
        <v>0.73932239779146713</v>
      </c>
      <c r="BS36" s="354">
        <f>Table2[[#This Row],[Total Sync Bu MOSFET Loss]]+Table2[[#This Row],[Reverse Recovery Loss MOSFET D BUCK]]*0.33</f>
        <v>0.22579762194198238</v>
      </c>
      <c r="BT36" s="354">
        <f xml:space="preserve"> Table2[[#This Row],[Total Control Bo MOSFET Loss]]+Table2[[#This Row],[Reverse Recovery Loss MOSFET D BOOST]]*0.66</f>
        <v>8.9526298362853099E-2</v>
      </c>
      <c r="BU36" s="354">
        <f xml:space="preserve"> Table2[[#This Row],[Total Sync Bo MOSFET Loss]]+Table2[[#This Row],[Reverse Recovery Loss MOSFET D BOOST]]*0.33</f>
        <v>6.8156848036453097E-2</v>
      </c>
      <c r="BV36" s="354">
        <f>Table2[[#This Row],[Isense Shunt Loss]]</f>
        <v>2.7540391118316878E-2</v>
      </c>
      <c r="CA36">
        <v>9.9986669999999993</v>
      </c>
      <c r="CB36">
        <v>1.3092999999999999</v>
      </c>
      <c r="CC36">
        <v>5.1195649999999997</v>
      </c>
      <c r="CD36">
        <v>93.690364214923264</v>
      </c>
      <c r="CE36">
        <v>451.42072788069993</v>
      </c>
    </row>
    <row r="37" spans="1:83" x14ac:dyDescent="0.2">
      <c r="A37" s="23" t="s">
        <v>75</v>
      </c>
      <c r="B37" s="5">
        <f>Rdson1*1000</f>
        <v>4.2</v>
      </c>
      <c r="C37" s="442" t="s">
        <v>638</v>
      </c>
      <c r="D37" s="440" t="s">
        <v>728</v>
      </c>
      <c r="G37">
        <v>28</v>
      </c>
      <c r="H37" s="555">
        <f t="shared" si="0"/>
        <v>20</v>
      </c>
      <c r="I37" s="4" t="str">
        <f>IF(Mode = 2,IF(Table2[[#This Row],[Vin]]&gt;Vout, "BUCK","BOOST"),IF(Table2[[#This Row],[Vin]]&gt;VIN_BB_to_buck, "BUCK", IF(Table2[[#This Row],[Vin]]&lt;=VIN_boost_to_BB,"BOOST","BUCK-BST")))</f>
        <v>BUCK</v>
      </c>
      <c r="J37">
        <f>IF(Table2[[#This Row],[Mode]]="BOOST",2, IF(Table2[[#This Row],[Mode]]="BUCK", 1,3))</f>
        <v>1</v>
      </c>
      <c r="K37" s="354">
        <f t="shared" si="3"/>
        <v>3.36</v>
      </c>
      <c r="L37" s="4">
        <f>Vout*Table2[[#This Row],[Iout]]/(Table2[[#This Row],[Vin]]*Efficiency)</f>
        <v>2.5818947368421052</v>
      </c>
      <c r="M37" s="711">
        <f>MIN(1/Fsw,CHOOSE(Table2[[#This Row],[Mode Digit]],(Vout+(Rdson2+Rs+Rdcr)*Table2[[#This Row],[Iout]])/(Table2[[#This Row],[Vin]]+(Rs+Rdson2-Rdson1)*Table2[[#This Row],[Iout]])/Fsw,(Vout+(Rdson3+Rdcr)*Table2[[#This Row],[Iin]]-Table2[[#This Row],[Vin]])/(Vout+(Rdson3-Rdson4-Rs)*Table2[[#This Row],[Iin]])/Fsw,t1_Ph_II))</f>
        <v>1.2196544118137048E-6</v>
      </c>
      <c r="N37" s="602">
        <f>CHOOSE(Table2[[#This Row],[Mode Digit]],1/Fsw-Table2[[#This Row],[t1_Ph_II]],1/Fsw-Table2[[#This Row],[t1_Ph_II]],(Vout/Fsw-Table2[[#This Row],[Vin]]*t1_Ph_II)/(Table2[[#This Row],[Vin]]+Vout))</f>
        <v>4.4701225485296186E-7</v>
      </c>
      <c r="O37" s="602">
        <f>1/Fsw-(Table2[[#This Row],[t1_Ph_II]]+Table2[[#This Row],[t2_Ph_I]])</f>
        <v>0</v>
      </c>
      <c r="P37"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2.1126261697359832</v>
      </c>
      <c r="Q37" s="4">
        <f>CHOOSE(Table2[[#This Row],[Mode Digit]],Table2[[#This Row],[I_0]]+1/Lf*(Table2[[#This Row],[Vin]]-Vout)*Table2[[#This Row],[t1_Ph_II]],Table2[[#This Row],[I_0]]+1/Lf*Table2[[#This Row],[Vin]]*Table2[[#This Row],[t1_Ph_II]],Table2[[#This Row],[I_0]]+(Table2[[#This Row],[Vin]]-Vout)/L*Table2[[#This Row],[t1_Ph_II]])</f>
        <v>4.6073738302640166</v>
      </c>
      <c r="R37" s="4">
        <f>CHOOSE(Table2[[#This Row],[Mode Digit]],0,0,Table2[[#This Row],[I_1]]+Table2[[#This Row],[Vin]]/L*Table2[[#This Row],[t2_Ph_I]])</f>
        <v>0</v>
      </c>
      <c r="S37" s="409">
        <f>Fsw*(Table2[[#This Row],[I_0]]*Table2[[#This Row],[t1_Ph_II]]+Table2[[#This Row],[I_1]]*Table2[[#This Row],[t2_Ph_I]]+Table2[[#This Row],[I_2]]*Table2[[#This Row],[t3_Ph_III]])</f>
        <v>2.781735835949056</v>
      </c>
      <c r="T37" s="354">
        <f>MIN(1,CHOOSE(Table2[[#This Row],[Mode Digit]],(Vout+(Rdson2+Rs+Rdcr)*Table2[[#This Row],[Iout]])/(Table2[[#This Row],[Vin]]+(Rs+Rdson2-Rdson1)*Table2[[#This Row],[Iout]]),1,Fsw*Table2[[#This Row],[t2_Ph_I]]+Table2[[#This Row],[t1_Ph_II]]))</f>
        <v>0.73179264708822289</v>
      </c>
      <c r="U37" s="354">
        <f>MIN(1,CHOOSE(Table2[[#This Row],[Mode Digit]],0,(Vout+(Rdson3+Rdcr)*Table2[[#This Row],[Iin]]-Table2[[#This Row],[Vin]])/(Vout+(Rdson3-Rdson4-Rs)*Table2[[#This Row],[Iin]]),Fsw*Table2[[#This Row],[t1_Ph_II]]+Table2[[#This Row],[t3_Ph_III]]))</f>
        <v>0</v>
      </c>
      <c r="V37" s="4">
        <f>MAX(Table2[[#This Row],[I_0]:[I_2]])-MIN(Table2[[#This Row],[I_0]:[I_1]])</f>
        <v>2.4947476605280334</v>
      </c>
      <c r="W37"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3.4363130179708365</v>
      </c>
      <c r="X37" s="354">
        <f>(Table2[[#This Row],[Irms Lf]]^2*Rdcr*(1+Ltc*Ta-Ltc*25))/(1-Table2[[#This Row],[Irms Lf]]^2*Rdcr*Ltc*ThetaCa)</f>
        <v>6.8865147493874526E-2</v>
      </c>
      <c r="Y37" s="354">
        <f>ABS(7.759*10^-3*Fsw^0.9458*(0.00787*Table2[[#This Row],[Ripple Current pk-pk]])^2.304)</f>
        <v>0.26415347579501697</v>
      </c>
      <c r="Z37" s="354">
        <f>Table2[[#This Row],[DCR    Loss]]+Table2[[#This Row],[Core Loss]]</f>
        <v>0.33301862328889148</v>
      </c>
      <c r="AA37" s="4">
        <f>IF(Table2[[#This Row],[Vin]]&gt;Vout, Table2[[#This Row],[Ripple Current pk-pk]]/SQRT(12), SQRT(Table2[[#This Row],[Duty Cycle BOOST Leg]]/(1-Table2[[#This Row],[Duty Cycle BOOST Leg]]))*SQRT(Table2[[#This Row],[Iout]]^2+(Table2[[#This Row],[Ripple Current pk-pk]]^2)/12))</f>
        <v>0.72017161668302465</v>
      </c>
      <c r="AB37" s="354">
        <f>RCoutEsr*Table2[[#This Row],[Irms Cout]]^2</f>
        <v>2.5932357873792067E-3</v>
      </c>
      <c r="AC37" s="354">
        <f>Table2[[#This Row],[Cout ESR Loss]]</f>
        <v>2.5932357873792067E-3</v>
      </c>
      <c r="AD37" s="4">
        <f>IF(Table2[[#This Row],[Vin]]&gt;Vout, SQRT(Table2[[#This Row],[Duty Cycle BUCK Leg]]*(1-Table2[[#This Row],[Duty Cycle BUCK Leg]]))*SQRT(Table2[[#This Row],[Iout]]^2+(Table2[[#This Row],[Ripple Current pk-pk]]^2)/12), Table2[[#This Row],[Ripple Current pk-pk]]/SQRT(12))</f>
        <v>1.5223765233353743</v>
      </c>
      <c r="AE37" s="354">
        <f>RCinEsr*Table2[[#This Row],[Irms Cin]]^2</f>
        <v>4.6352605576054032E-3</v>
      </c>
      <c r="AF37" s="549">
        <f>Table2[[#This Row],[Cin ESR Loss]]</f>
        <v>4.6352605576054032E-3</v>
      </c>
      <c r="AG37" s="354">
        <f>Table2[[#This Row],[Irms Lf]]</f>
        <v>3.4363130179708365</v>
      </c>
      <c r="AH37" s="354">
        <f>Rdson1*Table2[[#This Row],[Irms BuCtrl]]^2</f>
        <v>4.9594638061398529E-2</v>
      </c>
      <c r="AI37" s="354">
        <f>CHOOSE(Table2[[#This Row],[Mode Digit]], (Table2[[#This Row],[Vin]]*Table2[[#This Row],[Iout]]/2)*(Fsw)*(Tr_buck+Tf_buck), 0, (Table2[[#This Row],[Vin]]*Table2[[#This Row],[Avg IL]]/2)*(Fsw/1)*(Tr_buck+Tf_buck))</f>
        <v>0.66637985855728443</v>
      </c>
      <c r="AJ37">
        <f>IF(Table2[[#This Row],[Vin]]&gt;Vout, IF(Table2[[#This Row],[Iout]]&gt;Table2[[#This Row],[Ripple Current pk-pk]]/2,0,ABS(Table2[[#This Row],[Iout]]-Table2[[#This Row],[Ripple Current pk-pk]]/2)*Vsd_Q1*Deadtime*Fsw),0)</f>
        <v>0</v>
      </c>
      <c r="AK37" s="354">
        <f>(Table2[[#This Row],[Dead Time Loss BuCtrl]]+Table2[[#This Row],[Transition Loss BuCtrl]]+Table2[[#This Row],[RDS(on) Loss BuCtrl]]*(1+RdsonTopTc*Ta-RdsonTopTc*25))/(1-Table2[[#This Row],[RDS(on) Loss BuCtrl]]*RdsonTopTc*ThetaJA_Q1)</f>
        <v>0.72459919295002817</v>
      </c>
      <c r="AL37" s="354">
        <f>Table2[[#This Row],[Irms Lf]]</f>
        <v>3.4363130179708365</v>
      </c>
      <c r="AM37" s="354">
        <f>Rdson2*Table2[[#This Row],[Irms BuSync]]^2</f>
        <v>4.9594638061398529E-2</v>
      </c>
      <c r="AN37"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0.161664</v>
      </c>
      <c r="AO37" s="354">
        <f>(Table2[[#This Row],[Deadtime Loss BuSync]]+Table2[[#This Row],[RDS(on) Loss BuSync]]*(1+RdsonBotTc*Ta-RdsonBotTc*25))/(1-Table2[[#This Row],[RDS(on) Loss BuSync]]*RdsonBotTc*ThetaJA_Q2)</f>
        <v>0.21380347954563858</v>
      </c>
      <c r="AP37" s="354">
        <f>Table2[[#This Row],[Irms Lf]]</f>
        <v>3.4363130179708365</v>
      </c>
      <c r="AQ37" s="354">
        <f>Rdson4*Table2[[#This Row],[Irms BoCtlr]]^2</f>
        <v>4.9594638061398529E-2</v>
      </c>
      <c r="AR37" s="354">
        <f>CHOOSE(Table2[[#This Row],[Mode Digit]], 0, (Vout*Table2[[#This Row],[Iin]]/2)*(Fsw)*(Tr_boost+Tf_boost), (Vout*Iout/2)*(Fsw/1)*(Tr_boost+Tf_boost))</f>
        <v>0</v>
      </c>
      <c r="AS37" s="354">
        <f>IF(Table2[[#This Row],[Vin]]&gt;Vout, 0, IF(Table2[[#This Row],[Iin]]&gt;Table2[[#This Row],[Ripple Current pk-pk]]/2,0,ABS(Table2[[#This Row],[Iin]]-Table2[[#This Row],[Ripple Current pk-pk]]/2)*Vsd_Q4*Deadtime*Fsw))</f>
        <v>0</v>
      </c>
      <c r="AT37" s="354">
        <f>(Table2[[#This Row],[Dead Time Loss BoCtlr]]+Table2[[#This Row],[Transition Loss BoCtlr]]+Table2[[#This Row],[RDS(on) Loss BoCtlr]]*(1+RdsonTopTc*Ta-RdsonTopTc*25))/(1-Table2[[#This Row],[RDS(on) Loss BoCtlr]]*RdsonTopTc*ThetaJA_Q4)</f>
        <v>5.0192059750247237E-2</v>
      </c>
      <c r="AU37" s="354">
        <f>Table2[[#This Row],[Irms Lf]]</f>
        <v>3.4363130179708365</v>
      </c>
      <c r="AV37" s="354">
        <f>Rdson3*Table2[[#This Row],[Irms BoSync]]^2</f>
        <v>4.9594638061398529E-2</v>
      </c>
      <c r="AW37"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37" s="354">
        <f>(Table2[[#This Row],[Deadtime Loss BoSync]]+Table2[[#This Row],[RDS(on) Loss BoSync]]*(1+RdsonBotTc*Ta-RdsonBotTc*25))/(1-Table2[[#This Row],[RDS(on) Loss BoSync]]*RdsonBotTc*ThetaJA_Q3)</f>
        <v>5.0192059750247237E-2</v>
      </c>
      <c r="AY37" s="354">
        <f>CHOOSE(Table2[[#This Row],[Mode Digit]], Rdson3*Table2[[#This Row],[Irms Lf]]^2, Rdson1*Table2[[#This Row],[Irms Lf]]^2, 0)</f>
        <v>4.9594638061398529E-2</v>
      </c>
      <c r="AZ37" s="354">
        <f>CHOOSE(Table2[[#This Row],[Mode Digit]], 2*Deadtime*Fsw*IF(VfdSky_Q2&gt;0,VfdSky_Q2,0)*Table2[[#This Row],[Iout]], 2*Deadtime*Fsw*IF(VfdSky_Q3&gt;0,VfdSky_Q3,0)*Table2[[#This Row],[Iin]], 2*Deadtime*Fsw*IF(VfdSky_Q2&gt;0,VfdSky_Q2,0)*Table2[[#This Row],[Iout]]+2*Deadtime*Fsw*IF(VfdSky_Q3&gt;0,VfdSky_Q3,0)*Table2[[#This Row],[Iin]])</f>
        <v>0</v>
      </c>
      <c r="BA3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6.7152583679999989E-2</v>
      </c>
      <c r="BB3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6.7152583679999989E-2</v>
      </c>
      <c r="BC37" s="354">
        <f>CHOOSE(Table2[[#This Row],[Mode Digit]], Rs*Table2[[#This Row],[Irms BuSync]]^2, Rs*Table2[[#This Row],[Irms BoCtlr]]^2, Rs*(Table2[[#This Row],[Irms BuSync]]^2+Table2[[#This Row],[Irms BoCtlr]]^2))</f>
        <v>2.9520617893689597E-2</v>
      </c>
      <c r="BD37" s="354">
        <f t="shared" si="1"/>
        <v>1.44</v>
      </c>
      <c r="BE37" s="354">
        <f>IF(Vout&gt;8, Iq*Vout, Iq*Table2[[#This Row],[Vin]])</f>
        <v>4.3799999999999999E-2</v>
      </c>
      <c r="BF37" s="354">
        <f>CHOOSE(Table2[[#This Row],[Mode Digit]], (Qg_Q1+Qg_Q2)*Fsw, (Qg_Q3+Qg_Q4)*Fsw, (Qg_Q1+Qg_Q2+Qg_Q3+Qg_Q4)*Fsw)*IF(Vout&gt;8, Vout, Table2[[#This Row],[Vin]])</f>
        <v>0.47303999999999996</v>
      </c>
      <c r="BG37" s="354">
        <f t="shared" si="4"/>
        <v>0.45605042016806729</v>
      </c>
      <c r="BH37" s="354">
        <f>Table2[[#This Row],[IQ Loss]]+Table2[[#This Row],[Switching Current Loss]]</f>
        <v>0.51683999999999997</v>
      </c>
      <c r="BI37"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3.4996996968837268</v>
      </c>
      <c r="BJ37">
        <f>Vout*Table2[[#This Row],[Iout]]</f>
        <v>49.055999999999997</v>
      </c>
      <c r="BK37" s="550">
        <f>Table2[[#This Row],[Pout]]/(Table2[[#This Row],[Pout]]+Table2[[#This Row],[Total Loss]])</f>
        <v>0.93340970214328178</v>
      </c>
      <c r="BL37" s="559">
        <f>IF(Table2[[#This Row],[Vin]]&gt;Vout,ThetaJA_Q1*(Table2[[#This Row],[Total Control Bu MOSFET Loss]]+Table2[[#This Row],[Reverse Recovery Loss MOSFET D BUCK]]),ThetaJA_Q4*(Table2[[#This Row],[Total Control Bo MOSFET Loss]]+Table2[[#This Row],[Reverse Recovery Loss MOSFET D BOOST]]))</f>
        <v>47.505106597801692</v>
      </c>
      <c r="BM37" s="559">
        <f>IF(Table2[[#This Row],[Vin]]&gt;Vout, Table2[[#This Row],[Total Sync Bu MOSFET Loss]]*ThetaJA_Q2, ThetaJA_Q3*Table2[[#This Row],[Total Sync Bo MOSFET Loss]])</f>
        <v>12.828208772738314</v>
      </c>
      <c r="BN37" s="9"/>
      <c r="BO37" s="4">
        <f>Table2[[#This Row],[EFF, h]]*100</f>
        <v>93.340970214328181</v>
      </c>
      <c r="BP37" s="354">
        <f>Table2[[#This Row],[Total Inductor Loss]]</f>
        <v>0.33301862328889148</v>
      </c>
      <c r="BQ37" s="354">
        <f>Table2[[#This Row],[Total Control Bu MOSFET Loss]]+Table2[[#This Row],[Total Sync Bu MOSFET Loss]]+Table2[[#This Row],[Total Control Bo MOSFET Loss]]+Table2[[#This Row],[Total Sync Bo MOSFET Loss]]+Table2[[#This Row],[Reverse Recovery Loss MOSFET D BUCK]]+Table2[[#This Row],[Reverse Recovery Loss MOSFET D BOOST]]</f>
        <v>1.1730919593561613</v>
      </c>
      <c r="BR37" s="354">
        <f xml:space="preserve"> Table2[[#This Row],[Total Control Bu MOSFET Loss]]+Table2[[#This Row],[Reverse Recovery Loss MOSFET D BUCK]]*0.66</f>
        <v>0.76891989817882811</v>
      </c>
      <c r="BS37" s="354">
        <f>Table2[[#This Row],[Total Sync Bu MOSFET Loss]]+Table2[[#This Row],[Reverse Recovery Loss MOSFET D BUCK]]*0.33</f>
        <v>0.23596383216003858</v>
      </c>
      <c r="BT37" s="354">
        <f xml:space="preserve"> Table2[[#This Row],[Total Control Bo MOSFET Loss]]+Table2[[#This Row],[Reverse Recovery Loss MOSFET D BOOST]]*0.66</f>
        <v>9.4512764979047231E-2</v>
      </c>
      <c r="BU37" s="354">
        <f xml:space="preserve"> Table2[[#This Row],[Total Sync Bo MOSFET Loss]]+Table2[[#This Row],[Reverse Recovery Loss MOSFET D BOOST]]*0.33</f>
        <v>7.2352412364647234E-2</v>
      </c>
      <c r="BV37" s="354">
        <f>Table2[[#This Row],[Isense Shunt Loss]]</f>
        <v>2.9520617893689597E-2</v>
      </c>
      <c r="CA37">
        <v>9.9985429999999997</v>
      </c>
      <c r="CB37">
        <v>1.6020000000000001</v>
      </c>
      <c r="CC37">
        <v>5.1182809999999996</v>
      </c>
      <c r="CD37">
        <v>93.864473327748414</v>
      </c>
      <c r="CE37">
        <v>535.96589716749952</v>
      </c>
    </row>
    <row r="38" spans="1:83" x14ac:dyDescent="0.2">
      <c r="A38" s="22" t="s">
        <v>83</v>
      </c>
      <c r="B38" s="5">
        <f>RdsonTopTc*1000000</f>
        <v>4000</v>
      </c>
      <c r="C38" s="440" t="s">
        <v>85</v>
      </c>
      <c r="D38" s="21" t="s">
        <v>111</v>
      </c>
      <c r="G38">
        <v>29</v>
      </c>
      <c r="H38" s="555">
        <f t="shared" si="0"/>
        <v>20</v>
      </c>
      <c r="I38" s="4" t="str">
        <f>IF(Mode = 2,IF(Table2[[#This Row],[Vin]]&gt;Vout, "BUCK","BOOST"),IF(Table2[[#This Row],[Vin]]&gt;VIN_BB_to_buck, "BUCK", IF(Table2[[#This Row],[Vin]]&lt;=VIN_boost_to_BB,"BOOST","BUCK-BST")))</f>
        <v>BUCK</v>
      </c>
      <c r="J38">
        <f>IF(Table2[[#This Row],[Mode]]="BOOST",2, IF(Table2[[#This Row],[Mode]]="BUCK", 1,3))</f>
        <v>1</v>
      </c>
      <c r="K38" s="354">
        <f t="shared" si="3"/>
        <v>3.48</v>
      </c>
      <c r="L38" s="4">
        <f>Vout*Table2[[#This Row],[Iout]]/(Table2[[#This Row],[Vin]]*Efficiency)</f>
        <v>2.6741052631578945</v>
      </c>
      <c r="M38" s="711">
        <f>MIN(1/Fsw,CHOOSE(Table2[[#This Row],[Mode Digit]],(Vout+(Rdson2+Rs+Rdcr)*Table2[[#This Row],[Iout]])/(Table2[[#This Row],[Vin]]+(Rs+Rdson2-Rdson1)*Table2[[#This Row],[Iout]])/Fsw,(Vout+(Rdson3+Rdcr)*Table2[[#This Row],[Iin]]-Table2[[#This Row],[Vin]])/(Vout+(Rdson3-Rdson4-Rs)*Table2[[#This Row],[Iin]])/Fsw,t1_Ph_II))</f>
        <v>1.2197610706009552E-6</v>
      </c>
      <c r="N38" s="602">
        <f>CHOOSE(Table2[[#This Row],[Mode Digit]],1/Fsw-Table2[[#This Row],[t1_Ph_II]],1/Fsw-Table2[[#This Row],[t1_Ph_II]],(Vout/Fsw-Table2[[#This Row],[Vin]]*t1_Ph_II)/(Table2[[#This Row],[Vin]]+Vout))</f>
        <v>4.4690559606571142E-7</v>
      </c>
      <c r="O38" s="602">
        <f>1/Fsw-(Table2[[#This Row],[t1_Ph_II]]+Table2[[#This Row],[t2_Ph_I]])</f>
        <v>0</v>
      </c>
      <c r="P38"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2.2325170868853865</v>
      </c>
      <c r="Q38" s="4">
        <f>CHOOSE(Table2[[#This Row],[Mode Digit]],Table2[[#This Row],[I_0]]+1/Lf*(Table2[[#This Row],[Vin]]-Vout)*Table2[[#This Row],[t1_Ph_II]],Table2[[#This Row],[I_0]]+1/Lf*Table2[[#This Row],[Vin]]*Table2[[#This Row],[t1_Ph_II]],Table2[[#This Row],[I_0]]+(Table2[[#This Row],[Vin]]-Vout)/L*Table2[[#This Row],[t1_Ph_II]])</f>
        <v>4.7274829131146134</v>
      </c>
      <c r="R38" s="4">
        <f>CHOOSE(Table2[[#This Row],[Mode Digit]],0,0,Table2[[#This Row],[I_1]]+Table2[[#This Row],[Vin]]/L*Table2[[#This Row],[t2_Ph_I]])</f>
        <v>0</v>
      </c>
      <c r="S38" s="409">
        <f>Fsw*(Table2[[#This Row],[I_0]]*Table2[[#This Row],[t1_Ph_II]]+Table2[[#This Row],[I_1]]*Table2[[#This Row],[t2_Ph_I]]+Table2[[#This Row],[I_2]]*Table2[[#This Row],[t3_Ph_III]])</f>
        <v>2.9015256007261181</v>
      </c>
      <c r="T38" s="354">
        <f>MIN(1,CHOOSE(Table2[[#This Row],[Mode Digit]],(Vout+(Rdson2+Rs+Rdcr)*Table2[[#This Row],[Iout]])/(Table2[[#This Row],[Vin]]+(Rs+Rdson2-Rdson1)*Table2[[#This Row],[Iout]]),1,Fsw*Table2[[#This Row],[t2_Ph_I]]+Table2[[#This Row],[t1_Ph_II]]))</f>
        <v>0.73185664236057313</v>
      </c>
      <c r="U38" s="354">
        <f>MIN(1,CHOOSE(Table2[[#This Row],[Mode Digit]],0,(Vout+(Rdson3+Rdcr)*Table2[[#This Row],[Iin]]-Table2[[#This Row],[Vin]])/(Vout+(Rdson3-Rdson4-Rs)*Table2[[#This Row],[Iin]]),Fsw*Table2[[#This Row],[t1_Ph_II]]+Table2[[#This Row],[t3_Ph_III]]))</f>
        <v>0</v>
      </c>
      <c r="V38" s="4">
        <f>MAX(Table2[[#This Row],[I_0]:[I_2]])-MIN(Table2[[#This Row],[I_0]:[I_1]])</f>
        <v>2.4949658262292269</v>
      </c>
      <c r="W38"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3.5537498326187285</v>
      </c>
      <c r="X38" s="354">
        <f>(Table2[[#This Row],[Irms Lf]]^2*Rdcr*(1+Ltc*Ta-Ltc*25))/(1-Table2[[#This Row],[Irms Lf]]^2*Rdcr*Ltc*ThetaCa)</f>
        <v>7.3680763037406838E-2</v>
      </c>
      <c r="Y38" s="354">
        <f>ABS(7.759*10^-3*Fsw^0.9458*(0.00787*Table2[[#This Row],[Ripple Current pk-pk]])^2.304)</f>
        <v>0.26420670174437588</v>
      </c>
      <c r="Z38" s="354">
        <f>Table2[[#This Row],[DCR    Loss]]+Table2[[#This Row],[Core Loss]]</f>
        <v>0.33788746478178272</v>
      </c>
      <c r="AA38" s="4">
        <f>IF(Table2[[#This Row],[Vin]]&gt;Vout, Table2[[#This Row],[Ripple Current pk-pk]]/SQRT(12), SQRT(Table2[[#This Row],[Duty Cycle BOOST Leg]]/(1-Table2[[#This Row],[Duty Cycle BOOST Leg]]))*SQRT(Table2[[#This Row],[Iout]]^2+(Table2[[#This Row],[Ripple Current pk-pk]]^2)/12))</f>
        <v>0.72023459569618065</v>
      </c>
      <c r="AB38" s="354">
        <f>RCoutEsr*Table2[[#This Row],[Irms Cout]]^2</f>
        <v>2.5936893641882041E-3</v>
      </c>
      <c r="AC38" s="354">
        <f>Table2[[#This Row],[Cout ESR Loss]]</f>
        <v>2.5936893641882041E-3</v>
      </c>
      <c r="AD38" s="4">
        <f>IF(Table2[[#This Row],[Vin]]&gt;Vout, SQRT(Table2[[#This Row],[Duty Cycle BUCK Leg]]*(1-Table2[[#This Row],[Duty Cycle BUCK Leg]]))*SQRT(Table2[[#This Row],[Iout]]^2+(Table2[[#This Row],[Ripple Current pk-pk]]^2)/12), Table2[[#This Row],[Ripple Current pk-pk]]/SQRT(12))</f>
        <v>1.5742850936503625</v>
      </c>
      <c r="AE38" s="354">
        <f>RCinEsr*Table2[[#This Row],[Irms Cin]]^2</f>
        <v>4.9567471121794611E-3</v>
      </c>
      <c r="AF38" s="549">
        <f>Table2[[#This Row],[Cin ESR Loss]]</f>
        <v>4.9567471121794611E-3</v>
      </c>
      <c r="AG38" s="354">
        <f>Table2[[#This Row],[Irms Lf]]</f>
        <v>3.5537498326187285</v>
      </c>
      <c r="AH38" s="354">
        <f>Rdson1*Table2[[#This Row],[Irms BuCtrl]]^2</f>
        <v>5.3042379065918098E-2</v>
      </c>
      <c r="AI38" s="354">
        <f>CHOOSE(Table2[[#This Row],[Mode Digit]], (Table2[[#This Row],[Vin]]*Table2[[#This Row],[Iout]]/2)*(Fsw)*(Tr_buck+Tf_buck), 0, (Table2[[#This Row],[Vin]]*Table2[[#This Row],[Avg IL]]/2)*(Fsw/1)*(Tr_buck+Tf_buck))</f>
        <v>0.69017913922004459</v>
      </c>
      <c r="AJ38">
        <f>IF(Table2[[#This Row],[Vin]]&gt;Vout, IF(Table2[[#This Row],[Iout]]&gt;Table2[[#This Row],[Ripple Current pk-pk]]/2,0,ABS(Table2[[#This Row],[Iout]]-Table2[[#This Row],[Ripple Current pk-pk]]/2)*Vsd_Q1*Deadtime*Fsw),0)</f>
        <v>0</v>
      </c>
      <c r="AK38" s="354">
        <f>(Table2[[#This Row],[Dead Time Loss BuCtrl]]+Table2[[#This Row],[Transition Loss BuCtrl]]+Table2[[#This Row],[RDS(on) Loss BuCtrl]]*(1+RdsonTopTc*Ta-RdsonTopTc*25))/(1-Table2[[#This Row],[RDS(on) Loss BuCtrl]]*RdsonTopTc*ThetaJA_Q1)</f>
        <v>0.75280485277319265</v>
      </c>
      <c r="AL38" s="354">
        <f>Table2[[#This Row],[Irms Lf]]</f>
        <v>3.5537498326187285</v>
      </c>
      <c r="AM38" s="354">
        <f>Rdson2*Table2[[#This Row],[Irms BuSync]]^2</f>
        <v>5.3042379065918098E-2</v>
      </c>
      <c r="AN38"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0.16743771428571427</v>
      </c>
      <c r="AO38" s="354">
        <f>(Table2[[#This Row],[Deadtime Loss BuSync]]+Table2[[#This Row],[RDS(on) Loss BuSync]]*(1+RdsonBotTc*Ta-RdsonBotTc*25))/(1-Table2[[#This Row],[RDS(on) Loss BuSync]]*RdsonBotTc*ThetaJA_Q2)</f>
        <v>0.22332303375416174</v>
      </c>
      <c r="AP38" s="354">
        <f>Table2[[#This Row],[Irms Lf]]</f>
        <v>3.5537498326187285</v>
      </c>
      <c r="AQ38" s="354">
        <f>Rdson4*Table2[[#This Row],[Irms BoCtlr]]^2</f>
        <v>5.3042379065918098E-2</v>
      </c>
      <c r="AR38" s="354">
        <f>CHOOSE(Table2[[#This Row],[Mode Digit]], 0, (Vout*Table2[[#This Row],[Iin]]/2)*(Fsw)*(Tr_boost+Tf_boost), (Vout*Iout/2)*(Fsw/1)*(Tr_boost+Tf_boost))</f>
        <v>0</v>
      </c>
      <c r="AS38" s="354">
        <f>IF(Table2[[#This Row],[Vin]]&gt;Vout, 0, IF(Table2[[#This Row],[Iin]]&gt;Table2[[#This Row],[Ripple Current pk-pk]]/2,0,ABS(Table2[[#This Row],[Iin]]-Table2[[#This Row],[Ripple Current pk-pk]]/2)*Vsd_Q4*Deadtime*Fsw))</f>
        <v>0</v>
      </c>
      <c r="AT38" s="354">
        <f>(Table2[[#This Row],[Dead Time Loss BoCtlr]]+Table2[[#This Row],[Transition Loss BoCtlr]]+Table2[[#This Row],[RDS(on) Loss BoCtlr]]*(1+RdsonTopTc*Ta-RdsonTopTc*25))/(1-Table2[[#This Row],[RDS(on) Loss BoCtlr]]*RdsonTopTc*ThetaJA_Q4)</f>
        <v>5.3726324360935183E-2</v>
      </c>
      <c r="AU38" s="354">
        <f>Table2[[#This Row],[Irms Lf]]</f>
        <v>3.5537498326187285</v>
      </c>
      <c r="AV38" s="354">
        <f>Rdson3*Table2[[#This Row],[Irms BoSync]]^2</f>
        <v>5.3042379065918098E-2</v>
      </c>
      <c r="AW38"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38" s="354">
        <f>(Table2[[#This Row],[Deadtime Loss BoSync]]+Table2[[#This Row],[RDS(on) Loss BoSync]]*(1+RdsonBotTc*Ta-RdsonBotTc*25))/(1-Table2[[#This Row],[RDS(on) Loss BoSync]]*RdsonBotTc*ThetaJA_Q3)</f>
        <v>5.3726324360935183E-2</v>
      </c>
      <c r="AY38" s="354">
        <f>CHOOSE(Table2[[#This Row],[Mode Digit]], Rdson3*Table2[[#This Row],[Irms Lf]]^2, Rdson1*Table2[[#This Row],[Irms Lf]]^2, 0)</f>
        <v>5.3042379065918098E-2</v>
      </c>
      <c r="AZ38" s="354">
        <f>CHOOSE(Table2[[#This Row],[Mode Digit]], 2*Deadtime*Fsw*IF(VfdSky_Q2&gt;0,VfdSky_Q2,0)*Table2[[#This Row],[Iout]], 2*Deadtime*Fsw*IF(VfdSky_Q3&gt;0,VfdSky_Q3,0)*Table2[[#This Row],[Iin]], 2*Deadtime*Fsw*IF(VfdSky_Q2&gt;0,VfdSky_Q2,0)*Table2[[#This Row],[Iout]]+2*Deadtime*Fsw*IF(VfdSky_Q3&gt;0,VfdSky_Q3,0)*Table2[[#This Row],[Iin]])</f>
        <v>0</v>
      </c>
      <c r="BA3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6.9549136319999996E-2</v>
      </c>
      <c r="BB3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6.9549136319999996E-2</v>
      </c>
      <c r="BC38" s="354">
        <f>CHOOSE(Table2[[#This Row],[Mode Digit]], Rs*Table2[[#This Row],[Irms BuSync]]^2, Rs*Table2[[#This Row],[Irms BoCtlr]]^2, Rs*(Table2[[#This Row],[Irms BuSync]]^2+Table2[[#This Row],[Irms BoCtlr]]^2))</f>
        <v>3.1572844682094099E-2</v>
      </c>
      <c r="BD38" s="354">
        <f t="shared" si="1"/>
        <v>1.44</v>
      </c>
      <c r="BE38" s="354">
        <f>IF(Vout&gt;8, Iq*Vout, Iq*Table2[[#This Row],[Vin]])</f>
        <v>4.3799999999999999E-2</v>
      </c>
      <c r="BF38" s="354">
        <f>CHOOSE(Table2[[#This Row],[Mode Digit]], (Qg_Q1+Qg_Q2)*Fsw, (Qg_Q3+Qg_Q4)*Fsw, (Qg_Q1+Qg_Q2+Qg_Q3+Qg_Q4)*Fsw)*IF(Vout&gt;8, Vout, Table2[[#This Row],[Vin]])</f>
        <v>0.47303999999999996</v>
      </c>
      <c r="BG38" s="354">
        <f t="shared" si="4"/>
        <v>0.45605042016806729</v>
      </c>
      <c r="BH38" s="354">
        <f>Table2[[#This Row],[IQ Loss]]+Table2[[#This Row],[Switching Current Loss]]</f>
        <v>0.51683999999999997</v>
      </c>
      <c r="BI38"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3.5565295538294697</v>
      </c>
      <c r="BJ38">
        <f>Vout*Table2[[#This Row],[Iout]]</f>
        <v>50.808</v>
      </c>
      <c r="BK38" s="550">
        <f>Table2[[#This Row],[Pout]]/(Table2[[#This Row],[Pout]]+Table2[[#This Row],[Total Loss]])</f>
        <v>0.93457996265178855</v>
      </c>
      <c r="BL38" s="559">
        <f>IF(Table2[[#This Row],[Vin]]&gt;Vout,ThetaJA_Q1*(Table2[[#This Row],[Total Control Bu MOSFET Loss]]+Table2[[#This Row],[Reverse Recovery Loss MOSFET D BUCK]]),ThetaJA_Q4*(Table2[[#This Row],[Total Control Bo MOSFET Loss]]+Table2[[#This Row],[Reverse Recovery Loss MOSFET D BOOST]]))</f>
        <v>49.341239345591561</v>
      </c>
      <c r="BM38" s="559">
        <f>IF(Table2[[#This Row],[Vin]]&gt;Vout, Table2[[#This Row],[Total Sync Bu MOSFET Loss]]*ThetaJA_Q2, ThetaJA_Q3*Table2[[#This Row],[Total Sync Bo MOSFET Loss]])</f>
        <v>13.399382025249704</v>
      </c>
      <c r="BN38" s="9"/>
      <c r="BO38" s="4">
        <f>Table2[[#This Row],[EFF, h]]*100</f>
        <v>93.457996265178849</v>
      </c>
      <c r="BP38" s="354">
        <f>Table2[[#This Row],[Total Inductor Loss]]</f>
        <v>0.33788746478178272</v>
      </c>
      <c r="BQ38" s="354">
        <f>Table2[[#This Row],[Total Control Bu MOSFET Loss]]+Table2[[#This Row],[Total Sync Bu MOSFET Loss]]+Table2[[#This Row],[Total Control Bo MOSFET Loss]]+Table2[[#This Row],[Total Sync Bo MOSFET Loss]]+Table2[[#This Row],[Reverse Recovery Loss MOSFET D BUCK]]+Table2[[#This Row],[Reverse Recovery Loss MOSFET D BOOST]]</f>
        <v>1.2226788078892248</v>
      </c>
      <c r="BR38" s="354">
        <f xml:space="preserve"> Table2[[#This Row],[Total Control Bu MOSFET Loss]]+Table2[[#This Row],[Reverse Recovery Loss MOSFET D BUCK]]*0.66</f>
        <v>0.79870728274439262</v>
      </c>
      <c r="BS38" s="354">
        <f>Table2[[#This Row],[Total Sync Bu MOSFET Loss]]+Table2[[#This Row],[Reverse Recovery Loss MOSFET D BUCK]]*0.33</f>
        <v>0.24627424873976173</v>
      </c>
      <c r="BT38" s="354">
        <f xml:space="preserve"> Table2[[#This Row],[Total Control Bo MOSFET Loss]]+Table2[[#This Row],[Reverse Recovery Loss MOSFET D BOOST]]*0.66</f>
        <v>9.962875433213518E-2</v>
      </c>
      <c r="BU38" s="354">
        <f xml:space="preserve"> Table2[[#This Row],[Total Sync Bo MOSFET Loss]]+Table2[[#This Row],[Reverse Recovery Loss MOSFET D BOOST]]*0.33</f>
        <v>7.6677539346535178E-2</v>
      </c>
      <c r="BV38" s="354">
        <f>Table2[[#This Row],[Isense Shunt Loss]]</f>
        <v>3.1572844682094099E-2</v>
      </c>
      <c r="CA38">
        <v>9.9985429999999997</v>
      </c>
      <c r="CB38">
        <v>1.9350000000000001</v>
      </c>
      <c r="CC38">
        <v>5.117146</v>
      </c>
      <c r="CD38">
        <v>94.224527198076927</v>
      </c>
      <c r="CE38">
        <v>606.92116405899924</v>
      </c>
    </row>
    <row r="39" spans="1:83" x14ac:dyDescent="0.2">
      <c r="A39" s="23" t="s">
        <v>74</v>
      </c>
      <c r="B39" s="5">
        <f>Qg_Q1*1000000000</f>
        <v>27</v>
      </c>
      <c r="C39" s="440" t="s">
        <v>69</v>
      </c>
      <c r="D39" s="21" t="s">
        <v>101</v>
      </c>
      <c r="G39">
        <v>30</v>
      </c>
      <c r="H39" s="555">
        <f t="shared" si="0"/>
        <v>20</v>
      </c>
      <c r="I39" s="4" t="str">
        <f>IF(Mode = 2,IF(Table2[[#This Row],[Vin]]&gt;Vout, "BUCK","BOOST"),IF(Table2[[#This Row],[Vin]]&gt;VIN_BB_to_buck, "BUCK", IF(Table2[[#This Row],[Vin]]&lt;=VIN_boost_to_BB,"BOOST","BUCK-BST")))</f>
        <v>BUCK</v>
      </c>
      <c r="J39">
        <f>IF(Table2[[#This Row],[Mode]]="BOOST",2, IF(Table2[[#This Row],[Mode]]="BUCK", 1,3))</f>
        <v>1</v>
      </c>
      <c r="K39" s="354">
        <f t="shared" si="3"/>
        <v>3.6</v>
      </c>
      <c r="L39" s="4">
        <f>Vout*Table2[[#This Row],[Iout]]/(Table2[[#This Row],[Vin]]*Efficiency)</f>
        <v>2.7663157894736843</v>
      </c>
      <c r="M39" s="711">
        <f>MIN(1/Fsw,CHOOSE(Table2[[#This Row],[Mode Digit]],(Vout+(Rdson2+Rs+Rdcr)*Table2[[#This Row],[Iout]])/(Table2[[#This Row],[Vin]]+(Rs+Rdson2-Rdson1)*Table2[[#This Row],[Iout]])/Fsw,(Vout+(Rdson3+Rdcr)*Table2[[#This Row],[Iin]]-Table2[[#This Row],[Vin]])/(Vout+(Rdson3-Rdson4-Rs)*Table2[[#This Row],[Iin]])/Fsw,t1_Ph_II))</f>
        <v>1.2198677261898813E-6</v>
      </c>
      <c r="N39" s="602">
        <f>CHOOSE(Table2[[#This Row],[Mode Digit]],1/Fsw-Table2[[#This Row],[t1_Ph_II]],1/Fsw-Table2[[#This Row],[t1_Ph_II]],(Vout/Fsw-Table2[[#This Row],[Vin]]*t1_Ph_II)/(Table2[[#This Row],[Vin]]+Vout))</f>
        <v>4.4679894047678539E-7</v>
      </c>
      <c r="O39" s="602">
        <f>1/Fsw-(Table2[[#This Row],[t1_Ph_II]]+Table2[[#This Row],[t2_Ph_I]])</f>
        <v>0</v>
      </c>
      <c r="P39"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2.3524080073058031</v>
      </c>
      <c r="Q39" s="4">
        <f>CHOOSE(Table2[[#This Row],[Mode Digit]],Table2[[#This Row],[I_0]]+1/Lf*(Table2[[#This Row],[Vin]]-Vout)*Table2[[#This Row],[t1_Ph_II]],Table2[[#This Row],[I_0]]+1/Lf*Table2[[#This Row],[Vin]]*Table2[[#This Row],[t1_Ph_II]],Table2[[#This Row],[I_0]]+(Table2[[#This Row],[Vin]]-Vout)/L*Table2[[#This Row],[t1_Ph_II]])</f>
        <v>4.8475919926941966</v>
      </c>
      <c r="R39" s="4">
        <f>CHOOSE(Table2[[#This Row],[Mode Digit]],0,0,Table2[[#This Row],[I_1]]+Table2[[#This Row],[Vin]]/L*Table2[[#This Row],[t2_Ph_I]])</f>
        <v>0</v>
      </c>
      <c r="S39" s="409">
        <f>Fsw*(Table2[[#This Row],[I_0]]*Table2[[#This Row],[t1_Ph_II]]+Table2[[#This Row],[I_1]]*Table2[[#This Row],[t2_Ph_I]]+Table2[[#This Row],[I_2]]*Table2[[#This Row],[t3_Ph_III]])</f>
        <v>3.0213153438855094</v>
      </c>
      <c r="T39" s="354">
        <f>MIN(1,CHOOSE(Table2[[#This Row],[Mode Digit]],(Vout+(Rdson2+Rs+Rdcr)*Table2[[#This Row],[Iout]])/(Table2[[#This Row],[Vin]]+(Rs+Rdson2-Rdson1)*Table2[[#This Row],[Iout]]),1,Fsw*Table2[[#This Row],[t2_Ph_I]]+Table2[[#This Row],[t1_Ph_II]]))</f>
        <v>0.73192063571392874</v>
      </c>
      <c r="U39" s="354">
        <f>MIN(1,CHOOSE(Table2[[#This Row],[Mode Digit]],0,(Vout+(Rdson3+Rdcr)*Table2[[#This Row],[Iin]]-Table2[[#This Row],[Vin]])/(Vout+(Rdson3-Rdson4-Rs)*Table2[[#This Row],[Iin]]),Fsw*Table2[[#This Row],[t1_Ph_II]]+Table2[[#This Row],[t3_Ph_III]]))</f>
        <v>0</v>
      </c>
      <c r="V39" s="4">
        <f>MAX(Table2[[#This Row],[I_0]:[I_2]])-MIN(Table2[[#This Row],[I_0]:[I_1]])</f>
        <v>2.4951839853883935</v>
      </c>
      <c r="W39"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3.6713524202140491</v>
      </c>
      <c r="X39" s="354">
        <f>(Table2[[#This Row],[Irms Lf]]^2*Rdcr*(1+Ltc*Ta-Ltc*25))/(1-Table2[[#This Row],[Irms Lf]]^2*Rdcr*Ltc*ThetaCa)</f>
        <v>7.8669217007499612E-2</v>
      </c>
      <c r="Y39" s="354">
        <f>ABS(7.759*10^-3*Fsw^0.9458*(0.00787*Table2[[#This Row],[Ripple Current pk-pk]])^2.304)</f>
        <v>0.26425993216682747</v>
      </c>
      <c r="Z39" s="354">
        <f>Table2[[#This Row],[DCR    Loss]]+Table2[[#This Row],[Core Loss]]</f>
        <v>0.3429291491743271</v>
      </c>
      <c r="AA39" s="4">
        <f>IF(Table2[[#This Row],[Vin]]&gt;Vout, Table2[[#This Row],[Ripple Current pk-pk]]/SQRT(12), SQRT(Table2[[#This Row],[Duty Cycle BOOST Leg]]/(1-Table2[[#This Row],[Duty Cycle BOOST Leg]]))*SQRT(Table2[[#This Row],[Iout]]^2+(Table2[[#This Row],[Ripple Current pk-pk]]^2)/12))</f>
        <v>0.72029757282081619</v>
      </c>
      <c r="AB39" s="354">
        <f>RCoutEsr*Table2[[#This Row],[Irms Cout]]^2</f>
        <v>2.5941429670577948E-3</v>
      </c>
      <c r="AC39" s="354">
        <f>Table2[[#This Row],[Cout ESR Loss]]</f>
        <v>2.5941429670577948E-3</v>
      </c>
      <c r="AD39" s="4">
        <f>IF(Table2[[#This Row],[Vin]]&gt;Vout, SQRT(Table2[[#This Row],[Duty Cycle BUCK Leg]]*(1-Table2[[#This Row],[Duty Cycle BUCK Leg]]))*SQRT(Table2[[#This Row],[Iout]]^2+(Table2[[#This Row],[Ripple Current pk-pk]]^2)/12), Table2[[#This Row],[Ripple Current pk-pk]]/SQRT(12))</f>
        <v>1.6262591895182141</v>
      </c>
      <c r="AE39" s="354">
        <f>RCinEsr*Table2[[#This Row],[Irms Cin]]^2</f>
        <v>5.289437902984878E-3</v>
      </c>
      <c r="AF39" s="549">
        <f>Table2[[#This Row],[Cin ESR Loss]]</f>
        <v>5.289437902984878E-3</v>
      </c>
      <c r="AG39" s="354">
        <f>Table2[[#This Row],[Irms Lf]]</f>
        <v>3.6713524202140491</v>
      </c>
      <c r="AH39" s="354">
        <f>Rdson1*Table2[[#This Row],[Irms BuCtrl]]^2</f>
        <v>5.6611080092328535E-2</v>
      </c>
      <c r="AI39" s="354">
        <f>CHOOSE(Table2[[#This Row],[Mode Digit]], (Table2[[#This Row],[Vin]]*Table2[[#This Row],[Iout]]/2)*(Fsw)*(Tr_buck+Tf_buck), 0, (Table2[[#This Row],[Vin]]*Table2[[#This Row],[Avg IL]]/2)*(Fsw/1)*(Tr_buck+Tf_buck))</f>
        <v>0.71397841988280475</v>
      </c>
      <c r="AJ39">
        <f>IF(Table2[[#This Row],[Vin]]&gt;Vout, IF(Table2[[#This Row],[Iout]]&gt;Table2[[#This Row],[Ripple Current pk-pk]]/2,0,ABS(Table2[[#This Row],[Iout]]-Table2[[#This Row],[Ripple Current pk-pk]]/2)*Vsd_Q1*Deadtime*Fsw),0)</f>
        <v>0</v>
      </c>
      <c r="AK39" s="354">
        <f>(Table2[[#This Row],[Dead Time Loss BuCtrl]]+Table2[[#This Row],[Transition Loss BuCtrl]]+Table2[[#This Row],[RDS(on) Loss BuCtrl]]*(1+RdsonTopTc*Ta-RdsonTopTc*25))/(1-Table2[[#This Row],[RDS(on) Loss BuCtrl]]*RdsonTopTc*ThetaJA_Q1)</f>
        <v>0.7812034449650499</v>
      </c>
      <c r="AL39" s="354">
        <f>Table2[[#This Row],[Irms Lf]]</f>
        <v>3.6713524202140491</v>
      </c>
      <c r="AM39" s="354">
        <f>Rdson2*Table2[[#This Row],[Irms BuSync]]^2</f>
        <v>5.6611080092328535E-2</v>
      </c>
      <c r="AN39"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0.17321142857142857</v>
      </c>
      <c r="AO39" s="354">
        <f>(Table2[[#This Row],[Deadtime Loss BuSync]]+Table2[[#This Row],[RDS(on) Loss BuSync]]*(1+RdsonBotTc*Ta-RdsonBotTc*25))/(1-Table2[[#This Row],[RDS(on) Loss BuSync]]*RdsonBotTc*ThetaJA_Q2)</f>
        <v>0.23298803773530621</v>
      </c>
      <c r="AP39" s="354">
        <f>Table2[[#This Row],[Irms Lf]]</f>
        <v>3.6713524202140491</v>
      </c>
      <c r="AQ39" s="354">
        <f>Rdson4*Table2[[#This Row],[Irms BoCtlr]]^2</f>
        <v>5.6611080092328535E-2</v>
      </c>
      <c r="AR39" s="354">
        <f>CHOOSE(Table2[[#This Row],[Mode Digit]], 0, (Vout*Table2[[#This Row],[Iin]]/2)*(Fsw)*(Tr_boost+Tf_boost), (Vout*Iout/2)*(Fsw/1)*(Tr_boost+Tf_boost))</f>
        <v>0</v>
      </c>
      <c r="AS39" s="354">
        <f>IF(Table2[[#This Row],[Vin]]&gt;Vout, 0, IF(Table2[[#This Row],[Iin]]&gt;Table2[[#This Row],[Ripple Current pk-pk]]/2,0,ABS(Table2[[#This Row],[Iin]]-Table2[[#This Row],[Ripple Current pk-pk]]/2)*Vsd_Q4*Deadtime*Fsw))</f>
        <v>0</v>
      </c>
      <c r="AT39" s="354">
        <f>(Table2[[#This Row],[Dead Time Loss BoCtlr]]+Table2[[#This Row],[Transition Loss BoCtlr]]+Table2[[#This Row],[RDS(on) Loss BoCtlr]]*(1+RdsonTopTc*Ta-RdsonTopTc*25))/(1-Table2[[#This Row],[RDS(on) Loss BoCtlr]]*RdsonTopTc*ThetaJA_Q4)</f>
        <v>5.7390829738461956E-2</v>
      </c>
      <c r="AU39" s="354">
        <f>Table2[[#This Row],[Irms Lf]]</f>
        <v>3.6713524202140491</v>
      </c>
      <c r="AV39" s="354">
        <f>Rdson3*Table2[[#This Row],[Irms BoSync]]^2</f>
        <v>5.6611080092328535E-2</v>
      </c>
      <c r="AW39"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39" s="354">
        <f>(Table2[[#This Row],[Deadtime Loss BoSync]]+Table2[[#This Row],[RDS(on) Loss BoSync]]*(1+RdsonBotTc*Ta-RdsonBotTc*25))/(1-Table2[[#This Row],[RDS(on) Loss BoSync]]*RdsonBotTc*ThetaJA_Q3)</f>
        <v>5.7390829738461956E-2</v>
      </c>
      <c r="AY39" s="354">
        <f>CHOOSE(Table2[[#This Row],[Mode Digit]], Rdson3*Table2[[#This Row],[Irms Lf]]^2, Rdson1*Table2[[#This Row],[Irms Lf]]^2, 0)</f>
        <v>5.6611080092328535E-2</v>
      </c>
      <c r="AZ39" s="354">
        <f>CHOOSE(Table2[[#This Row],[Mode Digit]], 2*Deadtime*Fsw*IF(VfdSky_Q2&gt;0,VfdSky_Q2,0)*Table2[[#This Row],[Iout]], 2*Deadtime*Fsw*IF(VfdSky_Q3&gt;0,VfdSky_Q3,0)*Table2[[#This Row],[Iin]], 2*Deadtime*Fsw*IF(VfdSky_Q2&gt;0,VfdSky_Q2,0)*Table2[[#This Row],[Iout]]+2*Deadtime*Fsw*IF(VfdSky_Q3&gt;0,VfdSky_Q3,0)*Table2[[#This Row],[Iin]])</f>
        <v>0</v>
      </c>
      <c r="BA3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7.1945568000000001E-2</v>
      </c>
      <c r="BB3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7.1945568000000001E-2</v>
      </c>
      <c r="BC39" s="354">
        <f>CHOOSE(Table2[[#This Row],[Mode Digit]], Rs*Table2[[#This Row],[Irms BuSync]]^2, Rs*Table2[[#This Row],[Irms BoCtlr]]^2, Rs*(Table2[[#This Row],[Irms BuSync]]^2+Table2[[#This Row],[Irms BoCtlr]]^2))</f>
        <v>3.3697071483528886E-2</v>
      </c>
      <c r="BD39" s="354">
        <f t="shared" si="1"/>
        <v>1.44</v>
      </c>
      <c r="BE39" s="354">
        <f>IF(Vout&gt;8, Iq*Vout, Iq*Table2[[#This Row],[Vin]])</f>
        <v>4.3799999999999999E-2</v>
      </c>
      <c r="BF39" s="354">
        <f>CHOOSE(Table2[[#This Row],[Mode Digit]], (Qg_Q1+Qg_Q2)*Fsw, (Qg_Q3+Qg_Q4)*Fsw, (Qg_Q1+Qg_Q2+Qg_Q3+Qg_Q4)*Fsw)*IF(Vout&gt;8, Vout, Table2[[#This Row],[Vin]])</f>
        <v>0.47303999999999996</v>
      </c>
      <c r="BG39" s="354">
        <f t="shared" si="4"/>
        <v>0.45605042016806729</v>
      </c>
      <c r="BH39" s="354">
        <f>Table2[[#This Row],[IQ Loss]]+Table2[[#This Row],[Switching Current Loss]]</f>
        <v>0.51683999999999997</v>
      </c>
      <c r="BI39"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3.6142140797051789</v>
      </c>
      <c r="BJ39">
        <f>Vout*Table2[[#This Row],[Iout]]</f>
        <v>52.56</v>
      </c>
      <c r="BK39" s="550">
        <f>Table2[[#This Row],[Pout]]/(Table2[[#This Row],[Pout]]+Table2[[#This Row],[Total Loss]])</f>
        <v>0.93566062046587783</v>
      </c>
      <c r="BL39" s="559">
        <f>IF(Table2[[#This Row],[Vin]]&gt;Vout,ThetaJA_Q1*(Table2[[#This Row],[Total Control Bu MOSFET Loss]]+Table2[[#This Row],[Reverse Recovery Loss MOSFET D BUCK]]),ThetaJA_Q4*(Table2[[#This Row],[Total Control Bo MOSFET Loss]]+Table2[[#This Row],[Reverse Recovery Loss MOSFET D BOOST]]))</f>
        <v>51.188940777902992</v>
      </c>
      <c r="BM39" s="559">
        <f>IF(Table2[[#This Row],[Vin]]&gt;Vout, Table2[[#This Row],[Total Sync Bu MOSFET Loss]]*ThetaJA_Q2, ThetaJA_Q3*Table2[[#This Row],[Total Sync Bo MOSFET Loss]])</f>
        <v>13.979282264118373</v>
      </c>
      <c r="BN39" s="9"/>
      <c r="BO39" s="4">
        <f>Table2[[#This Row],[EFF, h]]*100</f>
        <v>93.566062046587788</v>
      </c>
      <c r="BP39" s="354">
        <f>Table2[[#This Row],[Total Inductor Loss]]</f>
        <v>0.3429291491743271</v>
      </c>
      <c r="BQ39" s="354">
        <f>Table2[[#This Row],[Total Control Bu MOSFET Loss]]+Table2[[#This Row],[Total Sync Bu MOSFET Loss]]+Table2[[#This Row],[Total Control Bo MOSFET Loss]]+Table2[[#This Row],[Total Sync Bo MOSFET Loss]]+Table2[[#This Row],[Reverse Recovery Loss MOSFET D BUCK]]+Table2[[#This Row],[Reverse Recovery Loss MOSFET D BOOST]]</f>
        <v>1.2728642781772803</v>
      </c>
      <c r="BR39" s="354">
        <f xml:space="preserve"> Table2[[#This Row],[Total Control Bu MOSFET Loss]]+Table2[[#This Row],[Reverse Recovery Loss MOSFET D BUCK]]*0.66</f>
        <v>0.82868751984504985</v>
      </c>
      <c r="BS39" s="354">
        <f>Table2[[#This Row],[Total Sync Bu MOSFET Loss]]+Table2[[#This Row],[Reverse Recovery Loss MOSFET D BUCK]]*0.33</f>
        <v>0.25673007517530622</v>
      </c>
      <c r="BT39" s="354">
        <f xml:space="preserve"> Table2[[#This Row],[Total Control Bo MOSFET Loss]]+Table2[[#This Row],[Reverse Recovery Loss MOSFET D BOOST]]*0.66</f>
        <v>0.10487490461846197</v>
      </c>
      <c r="BU39" s="354">
        <f xml:space="preserve"> Table2[[#This Row],[Total Sync Bo MOSFET Loss]]+Table2[[#This Row],[Reverse Recovery Loss MOSFET D BOOST]]*0.33</f>
        <v>8.1132867178461965E-2</v>
      </c>
      <c r="BV39" s="354">
        <f>Table2[[#This Row],[Isense Shunt Loss]]</f>
        <v>3.3697071483528886E-2</v>
      </c>
      <c r="CA39">
        <v>9.9985060000000008</v>
      </c>
      <c r="CB39">
        <v>2.31</v>
      </c>
      <c r="CC39">
        <v>5.1166349999999996</v>
      </c>
      <c r="CD39">
        <v>94.492663502717292</v>
      </c>
      <c r="CE39">
        <v>688.87413060200208</v>
      </c>
    </row>
    <row r="40" spans="1:83" x14ac:dyDescent="0.2">
      <c r="A40" s="23" t="s">
        <v>128</v>
      </c>
      <c r="B40" s="5">
        <f>Qgd_Q1*1000000000</f>
        <v>6.2</v>
      </c>
      <c r="C40" s="440" t="s">
        <v>69</v>
      </c>
      <c r="D40" s="21" t="s">
        <v>129</v>
      </c>
      <c r="G40">
        <v>31</v>
      </c>
      <c r="H40" s="555">
        <f t="shared" si="0"/>
        <v>20</v>
      </c>
      <c r="I40" s="4" t="str">
        <f>IF(Mode = 2,IF(Table2[[#This Row],[Vin]]&gt;Vout, "BUCK","BOOST"),IF(Table2[[#This Row],[Vin]]&gt;VIN_BB_to_buck, "BUCK", IF(Table2[[#This Row],[Vin]]&lt;=VIN_boost_to_BB,"BOOST","BUCK-BST")))</f>
        <v>BUCK</v>
      </c>
      <c r="J40">
        <f>IF(Table2[[#This Row],[Mode]]="BOOST",2, IF(Table2[[#This Row],[Mode]]="BUCK", 1,3))</f>
        <v>1</v>
      </c>
      <c r="K40" s="354">
        <f t="shared" si="3"/>
        <v>3.72</v>
      </c>
      <c r="L40" s="4">
        <f>Vout*Table2[[#This Row],[Iout]]/(Table2[[#This Row],[Vin]]*Efficiency)</f>
        <v>2.858526315789474</v>
      </c>
      <c r="M40" s="711">
        <f>MIN(1/Fsw,CHOOSE(Table2[[#This Row],[Mode Digit]],(Vout+(Rdson2+Rs+Rdcr)*Table2[[#This Row],[Iout]])/(Table2[[#This Row],[Vin]]+(Rs+Rdson2-Rdson1)*Table2[[#This Row],[Iout]])/Fsw,(Vout+(Rdson3+Rdcr)*Table2[[#This Row],[Iin]]-Table2[[#This Row],[Vin]])/(Vout+(Rdson3-Rdson4-Rs)*Table2[[#This Row],[Iin]])/Fsw,t1_Ph_II))</f>
        <v>1.2199743785806267E-6</v>
      </c>
      <c r="N40" s="602">
        <f>CHOOSE(Table2[[#This Row],[Mode Digit]],1/Fsw-Table2[[#This Row],[t1_Ph_II]],1/Fsw-Table2[[#This Row],[t1_Ph_II]],(Vout/Fsw-Table2[[#This Row],[Vin]]*t1_Ph_II)/(Table2[[#This Row],[Vin]]+Vout))</f>
        <v>4.4669228808603999E-7</v>
      </c>
      <c r="O40" s="602">
        <f>1/Fsw-(Table2[[#This Row],[t1_Ph_II]]+Table2[[#This Row],[t2_Ph_I]])</f>
        <v>0</v>
      </c>
      <c r="P40"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2.4722989309970864</v>
      </c>
      <c r="Q40" s="4">
        <f>CHOOSE(Table2[[#This Row],[Mode Digit]],Table2[[#This Row],[I_0]]+1/Lf*(Table2[[#This Row],[Vin]]-Vout)*Table2[[#This Row],[t1_Ph_II]],Table2[[#This Row],[I_0]]+1/Lf*Table2[[#This Row],[Vin]]*Table2[[#This Row],[t1_Ph_II]],Table2[[#This Row],[I_0]]+(Table2[[#This Row],[Vin]]-Vout)/L*Table2[[#This Row],[t1_Ph_II]])</f>
        <v>4.9677010690029135</v>
      </c>
      <c r="R40" s="4">
        <f>CHOOSE(Table2[[#This Row],[Mode Digit]],0,0,Table2[[#This Row],[I_1]]+Table2[[#This Row],[Vin]]/L*Table2[[#This Row],[t2_Ph_I]])</f>
        <v>0</v>
      </c>
      <c r="S40" s="409">
        <f>Fsw*(Table2[[#This Row],[I_0]]*Table2[[#This Row],[t1_Ph_II]]+Table2[[#This Row],[I_1]]*Table2[[#This Row],[t2_Ph_I]]+Table2[[#This Row],[I_2]]*Table2[[#This Row],[t3_Ph_III]])</f>
        <v>3.1411050654294579</v>
      </c>
      <c r="T40" s="354">
        <f>MIN(1,CHOOSE(Table2[[#This Row],[Mode Digit]],(Vout+(Rdson2+Rs+Rdcr)*Table2[[#This Row],[Iout]])/(Table2[[#This Row],[Vin]]+(Rs+Rdson2-Rdson1)*Table2[[#This Row],[Iout]]),1,Fsw*Table2[[#This Row],[t2_Ph_I]]+Table2[[#This Row],[t1_Ph_II]]))</f>
        <v>0.73198462714837598</v>
      </c>
      <c r="U40" s="354">
        <f>MIN(1,CHOOSE(Table2[[#This Row],[Mode Digit]],0,(Vout+(Rdson3+Rdcr)*Table2[[#This Row],[Iin]]-Table2[[#This Row],[Vin]])/(Vout+(Rdson3-Rdson4-Rs)*Table2[[#This Row],[Iin]]),Fsw*Table2[[#This Row],[t1_Ph_II]]+Table2[[#This Row],[t3_Ph_III]]))</f>
        <v>0</v>
      </c>
      <c r="V40" s="4">
        <f>MAX(Table2[[#This Row],[I_0]:[I_2]])-MIN(Table2[[#This Row],[I_0]:[I_1]])</f>
        <v>2.4954021380058271</v>
      </c>
      <c r="W40"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3.7891053454868477</v>
      </c>
      <c r="X40" s="354">
        <f>(Table2[[#This Row],[Irms Lf]]^2*Rdcr*(1+Ltc*Ta-Ltc*25))/(1-Table2[[#This Row],[Irms Lf]]^2*Rdcr*Ltc*ThetaCa)</f>
        <v>8.3830916529512522E-2</v>
      </c>
      <c r="Y40" s="354">
        <f>ABS(7.759*10^-3*Fsw^0.9458*(0.00787*Table2[[#This Row],[Ripple Current pk-pk]])^2.304)</f>
        <v>0.26431316706205971</v>
      </c>
      <c r="Z40" s="354">
        <f>Table2[[#This Row],[DCR    Loss]]+Table2[[#This Row],[Core Loss]]</f>
        <v>0.34814408359157223</v>
      </c>
      <c r="AA40" s="4">
        <f>IF(Table2[[#This Row],[Vin]]&gt;Vout, Table2[[#This Row],[Ripple Current pk-pk]]/SQRT(12), SQRT(Table2[[#This Row],[Duty Cycle BOOST Leg]]/(1-Table2[[#This Row],[Duty Cycle BOOST Leg]]))*SQRT(Table2[[#This Row],[Iout]]^2+(Table2[[#This Row],[Ripple Current pk-pk]]^2)/12))</f>
        <v>0.72036054805701599</v>
      </c>
      <c r="AB40" s="354">
        <f>RCoutEsr*Table2[[#This Row],[Irms Cout]]^2</f>
        <v>2.594596595985022E-3</v>
      </c>
      <c r="AC40" s="354">
        <f>Table2[[#This Row],[Cout ESR Loss]]</f>
        <v>2.594596595985022E-3</v>
      </c>
      <c r="AD40" s="4">
        <f>IF(Table2[[#This Row],[Vin]]&gt;Vout, SQRT(Table2[[#This Row],[Duty Cycle BUCK Leg]]*(1-Table2[[#This Row],[Duty Cycle BUCK Leg]]))*SQRT(Table2[[#This Row],[Iout]]^2+(Table2[[#This Row],[Ripple Current pk-pk]]^2)/12), Table2[[#This Row],[Ripple Current pk-pk]]/SQRT(12))</f>
        <v>1.6782919537952223</v>
      </c>
      <c r="AE40" s="354">
        <f>RCinEsr*Table2[[#This Row],[Irms Cin]]^2</f>
        <v>5.6333277643475701E-3</v>
      </c>
      <c r="AF40" s="549">
        <f>Table2[[#This Row],[Cin ESR Loss]]</f>
        <v>5.6333277643475701E-3</v>
      </c>
      <c r="AG40" s="354">
        <f>Table2[[#This Row],[Irms Lf]]</f>
        <v>3.7891053454868477</v>
      </c>
      <c r="AH40" s="354">
        <f>Rdson1*Table2[[#This Row],[Irms BuCtrl]]^2</f>
        <v>6.0300741140627424E-2</v>
      </c>
      <c r="AI40" s="354">
        <f>CHOOSE(Table2[[#This Row],[Mode Digit]], (Table2[[#This Row],[Vin]]*Table2[[#This Row],[Iout]]/2)*(Fsw)*(Tr_buck+Tf_buck), 0, (Table2[[#This Row],[Vin]]*Table2[[#This Row],[Avg IL]]/2)*(Fsw/1)*(Tr_buck+Tf_buck))</f>
        <v>0.73777770054556491</v>
      </c>
      <c r="AJ40">
        <f>IF(Table2[[#This Row],[Vin]]&gt;Vout, IF(Table2[[#This Row],[Iout]]&gt;Table2[[#This Row],[Ripple Current pk-pk]]/2,0,ABS(Table2[[#This Row],[Iout]]-Table2[[#This Row],[Ripple Current pk-pk]]/2)*Vsd_Q1*Deadtime*Fsw),0)</f>
        <v>0</v>
      </c>
      <c r="AK40" s="354">
        <f>(Table2[[#This Row],[Dead Time Loss BuCtrl]]+Table2[[#This Row],[Transition Loss BuCtrl]]+Table2[[#This Row],[RDS(on) Loss BuCtrl]]*(1+RdsonTopTc*Ta-RdsonTopTc*25))/(1-Table2[[#This Row],[RDS(on) Loss BuCtrl]]*RdsonTopTc*ThetaJA_Q1)</f>
        <v>0.80979798212531418</v>
      </c>
      <c r="AL40" s="354">
        <f>Table2[[#This Row],[Irms Lf]]</f>
        <v>3.7891053454868477</v>
      </c>
      <c r="AM40" s="354">
        <f>Rdson2*Table2[[#This Row],[Irms BuSync]]^2</f>
        <v>6.0300741140627424E-2</v>
      </c>
      <c r="AN40"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0.17898514285714287</v>
      </c>
      <c r="AO40" s="354">
        <f>(Table2[[#This Row],[Deadtime Loss BuSync]]+Table2[[#This Row],[RDS(on) Loss BuSync]]*(1+RdsonBotTc*Ta-RdsonBotTc*25))/(1-Table2[[#This Row],[RDS(on) Loss BuSync]]*RdsonBotTc*ThetaJA_Q2)</f>
        <v>0.24279972480281431</v>
      </c>
      <c r="AP40" s="354">
        <f>Table2[[#This Row],[Irms Lf]]</f>
        <v>3.7891053454868477</v>
      </c>
      <c r="AQ40" s="354">
        <f>Rdson4*Table2[[#This Row],[Irms BoCtlr]]^2</f>
        <v>6.0300741140627424E-2</v>
      </c>
      <c r="AR40" s="354">
        <f>CHOOSE(Table2[[#This Row],[Mode Digit]], 0, (Vout*Table2[[#This Row],[Iin]]/2)*(Fsw)*(Tr_boost+Tf_boost), (Vout*Iout/2)*(Fsw/1)*(Tr_boost+Tf_boost))</f>
        <v>0</v>
      </c>
      <c r="AS40" s="354">
        <f>IF(Table2[[#This Row],[Vin]]&gt;Vout, 0, IF(Table2[[#This Row],[Iin]]&gt;Table2[[#This Row],[Ripple Current pk-pk]]/2,0,ABS(Table2[[#This Row],[Iin]]-Table2[[#This Row],[Ripple Current pk-pk]]/2)*Vsd_Q4*Deadtime*Fsw))</f>
        <v>0</v>
      </c>
      <c r="AT40" s="354">
        <f>(Table2[[#This Row],[Dead Time Loss BoCtlr]]+Table2[[#This Row],[Transition Loss BoCtlr]]+Table2[[#This Row],[RDS(on) Loss BoCtlr]]*(1+RdsonTopTc*Ta-RdsonTopTc*25))/(1-Table2[[#This Row],[RDS(on) Loss BoCtlr]]*RdsonTopTc*ThetaJA_Q4)</f>
        <v>6.1186239278897492E-2</v>
      </c>
      <c r="AU40" s="354">
        <f>Table2[[#This Row],[Irms Lf]]</f>
        <v>3.7891053454868477</v>
      </c>
      <c r="AV40" s="354">
        <f>Rdson3*Table2[[#This Row],[Irms BoSync]]^2</f>
        <v>6.0300741140627424E-2</v>
      </c>
      <c r="AW40"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40" s="354">
        <f>(Table2[[#This Row],[Deadtime Loss BoSync]]+Table2[[#This Row],[RDS(on) Loss BoSync]]*(1+RdsonBotTc*Ta-RdsonBotTc*25))/(1-Table2[[#This Row],[RDS(on) Loss BoSync]]*RdsonBotTc*ThetaJA_Q3)</f>
        <v>6.1186239278897492E-2</v>
      </c>
      <c r="AY40" s="354">
        <f>CHOOSE(Table2[[#This Row],[Mode Digit]], Rdson3*Table2[[#This Row],[Irms Lf]]^2, Rdson1*Table2[[#This Row],[Irms Lf]]^2, 0)</f>
        <v>6.0300741140627424E-2</v>
      </c>
      <c r="AZ40" s="354">
        <f>CHOOSE(Table2[[#This Row],[Mode Digit]], 2*Deadtime*Fsw*IF(VfdSky_Q2&gt;0,VfdSky_Q2,0)*Table2[[#This Row],[Iout]], 2*Deadtime*Fsw*IF(VfdSky_Q3&gt;0,VfdSky_Q3,0)*Table2[[#This Row],[Iin]], 2*Deadtime*Fsw*IF(VfdSky_Q2&gt;0,VfdSky_Q2,0)*Table2[[#This Row],[Iout]]+2*Deadtime*Fsw*IF(VfdSky_Q3&gt;0,VfdSky_Q3,0)*Table2[[#This Row],[Iin]])</f>
        <v>0</v>
      </c>
      <c r="BA4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7.4341878720000004E-2</v>
      </c>
      <c r="BB4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7.4341878720000004E-2</v>
      </c>
      <c r="BC40" s="354">
        <f>CHOOSE(Table2[[#This Row],[Mode Digit]], Rs*Table2[[#This Row],[Irms BuSync]]^2, Rs*Table2[[#This Row],[Irms BoCtlr]]^2, Rs*(Table2[[#This Row],[Irms BuSync]]^2+Table2[[#This Row],[Irms BoCtlr]]^2))</f>
        <v>3.589329829799251E-2</v>
      </c>
      <c r="BD40" s="354">
        <f t="shared" si="1"/>
        <v>1.44</v>
      </c>
      <c r="BE40" s="354">
        <f>IF(Vout&gt;8, Iq*Vout, Iq*Table2[[#This Row],[Vin]])</f>
        <v>4.3799999999999999E-2</v>
      </c>
      <c r="BF40" s="354">
        <f>CHOOSE(Table2[[#This Row],[Mode Digit]], (Qg_Q1+Qg_Q2)*Fsw, (Qg_Q3+Qg_Q4)*Fsw, (Qg_Q1+Qg_Q2+Qg_Q3+Qg_Q4)*Fsw)*IF(Vout&gt;8, Vout, Table2[[#This Row],[Vin]])</f>
        <v>0.47303999999999996</v>
      </c>
      <c r="BG40" s="354">
        <f t="shared" si="4"/>
        <v>0.45605042016806729</v>
      </c>
      <c r="BH40" s="354">
        <f>Table2[[#This Row],[IQ Loss]]+Table2[[#This Row],[Switching Current Loss]]</f>
        <v>0.51683999999999997</v>
      </c>
      <c r="BI40"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3.6727592491758214</v>
      </c>
      <c r="BJ40">
        <f>Vout*Table2[[#This Row],[Iout]]</f>
        <v>54.312000000000005</v>
      </c>
      <c r="BK40" s="550">
        <f>Table2[[#This Row],[Pout]]/(Table2[[#This Row],[Pout]]+Table2[[#This Row],[Total Loss]])</f>
        <v>0.93665992069755777</v>
      </c>
      <c r="BL40" s="559">
        <f>IF(Table2[[#This Row],[Vin]]&gt;Vout,ThetaJA_Q1*(Table2[[#This Row],[Total Control Bu MOSFET Loss]]+Table2[[#This Row],[Reverse Recovery Loss MOSFET D BUCK]]),ThetaJA_Q4*(Table2[[#This Row],[Total Control Bo MOSFET Loss]]+Table2[[#This Row],[Reverse Recovery Loss MOSFET D BOOST]]))</f>
        <v>53.048391650718848</v>
      </c>
      <c r="BM40" s="559">
        <f>IF(Table2[[#This Row],[Vin]]&gt;Vout, Table2[[#This Row],[Total Sync Bu MOSFET Loss]]*ThetaJA_Q2, ThetaJA_Q3*Table2[[#This Row],[Total Sync Bo MOSFET Loss]])</f>
        <v>14.567983488168858</v>
      </c>
      <c r="BN40" s="9"/>
      <c r="BO40" s="4">
        <f>Table2[[#This Row],[EFF, h]]*100</f>
        <v>93.665992069755774</v>
      </c>
      <c r="BP40" s="354">
        <f>Table2[[#This Row],[Total Inductor Loss]]</f>
        <v>0.34814408359157223</v>
      </c>
      <c r="BQ40" s="354">
        <f>Table2[[#This Row],[Total Control Bu MOSFET Loss]]+Table2[[#This Row],[Total Sync Bu MOSFET Loss]]+Table2[[#This Row],[Total Control Bo MOSFET Loss]]+Table2[[#This Row],[Total Sync Bo MOSFET Loss]]+Table2[[#This Row],[Reverse Recovery Loss MOSFET D BUCK]]+Table2[[#This Row],[Reverse Recovery Loss MOSFET D BOOST]]</f>
        <v>1.3236539429259238</v>
      </c>
      <c r="BR40" s="354">
        <f xml:space="preserve"> Table2[[#This Row],[Total Control Bu MOSFET Loss]]+Table2[[#This Row],[Reverse Recovery Loss MOSFET D BUCK]]*0.66</f>
        <v>0.85886362208051414</v>
      </c>
      <c r="BS40" s="354">
        <f>Table2[[#This Row],[Total Sync Bu MOSFET Loss]]+Table2[[#This Row],[Reverse Recovery Loss MOSFET D BUCK]]*0.33</f>
        <v>0.26733254478041429</v>
      </c>
      <c r="BT40" s="354">
        <f xml:space="preserve"> Table2[[#This Row],[Total Control Bo MOSFET Loss]]+Table2[[#This Row],[Reverse Recovery Loss MOSFET D BOOST]]*0.66</f>
        <v>0.11025187923409749</v>
      </c>
      <c r="BU40" s="354">
        <f xml:space="preserve"> Table2[[#This Row],[Total Sync Bo MOSFET Loss]]+Table2[[#This Row],[Reverse Recovery Loss MOSFET D BOOST]]*0.33</f>
        <v>8.571905925649749E-2</v>
      </c>
      <c r="BV40" s="354">
        <f>Table2[[#This Row],[Isense Shunt Loss]]</f>
        <v>3.589329829799251E-2</v>
      </c>
      <c r="CA40">
        <v>9.9984319999999993</v>
      </c>
      <c r="CB40">
        <v>2.7269999999999999</v>
      </c>
      <c r="CC40">
        <v>5.115812</v>
      </c>
      <c r="CD40">
        <v>94.558770424517263</v>
      </c>
      <c r="CE40">
        <v>802.77694931200062</v>
      </c>
    </row>
    <row r="41" spans="1:83" x14ac:dyDescent="0.2">
      <c r="A41" s="23" t="s">
        <v>146</v>
      </c>
      <c r="B41" s="5">
        <f>Qgs_Q1*1000000000</f>
        <v>6.2</v>
      </c>
      <c r="C41" s="440" t="s">
        <v>69</v>
      </c>
      <c r="D41" s="21"/>
      <c r="G41">
        <v>32</v>
      </c>
      <c r="H41" s="555">
        <f t="shared" ref="H41:H72" si="5">Vin</f>
        <v>20</v>
      </c>
      <c r="I41" s="4" t="str">
        <f>IF(Mode = 2,IF(Table2[[#This Row],[Vin]]&gt;Vout, "BUCK","BOOST"),IF(Table2[[#This Row],[Vin]]&gt;VIN_BB_to_buck, "BUCK", IF(Table2[[#This Row],[Vin]]&lt;=VIN_boost_to_BB,"BOOST","BUCK-BST")))</f>
        <v>BUCK</v>
      </c>
      <c r="J41">
        <f>IF(Table2[[#This Row],[Mode]]="BOOST",2, IF(Table2[[#This Row],[Mode]]="BUCK", 1,3))</f>
        <v>1</v>
      </c>
      <c r="K41" s="354">
        <f t="shared" si="3"/>
        <v>3.84</v>
      </c>
      <c r="L41" s="4">
        <f>Vout*Table2[[#This Row],[Iout]]/(Table2[[#This Row],[Vin]]*Efficiency)</f>
        <v>2.9507368421052633</v>
      </c>
      <c r="M41" s="711">
        <f>MIN(1/Fsw,CHOOSE(Table2[[#This Row],[Mode Digit]],(Vout+(Rdson2+Rs+Rdcr)*Table2[[#This Row],[Iout]])/(Table2[[#This Row],[Vin]]+(Rs+Rdson2-Rdson1)*Table2[[#This Row],[Iout]])/Fsw,(Vout+(Rdson3+Rdcr)*Table2[[#This Row],[Iin]]-Table2[[#This Row],[Vin]])/(Vout+(Rdson3-Rdson4-Rs)*Table2[[#This Row],[Iin]])/Fsw,t1_Ph_II))</f>
        <v>1.2200810277733357E-6</v>
      </c>
      <c r="N41" s="602">
        <f>CHOOSE(Table2[[#This Row],[Mode Digit]],1/Fsw-Table2[[#This Row],[t1_Ph_II]],1/Fsw-Table2[[#This Row],[t1_Ph_II]],(Vout/Fsw-Table2[[#This Row],[Vin]]*t1_Ph_II)/(Table2[[#This Row],[Vin]]+Vout))</f>
        <v>4.4658563889333101E-7</v>
      </c>
      <c r="O41" s="602">
        <f>1/Fsw-(Table2[[#This Row],[t1_Ph_II]]+Table2[[#This Row],[t2_Ph_I]])</f>
        <v>0</v>
      </c>
      <c r="P41"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2.5921898579590881</v>
      </c>
      <c r="Q41" s="4">
        <f>CHOOSE(Table2[[#This Row],[Mode Digit]],Table2[[#This Row],[I_0]]+1/Lf*(Table2[[#This Row],[Vin]]-Vout)*Table2[[#This Row],[t1_Ph_II]],Table2[[#This Row],[I_0]]+1/Lf*Table2[[#This Row],[Vin]]*Table2[[#This Row],[t1_Ph_II]],Table2[[#This Row],[I_0]]+(Table2[[#This Row],[Vin]]-Vout)/L*Table2[[#This Row],[t1_Ph_II]])</f>
        <v>5.0878101420409116</v>
      </c>
      <c r="R41" s="4">
        <f>CHOOSE(Table2[[#This Row],[Mode Digit]],0,0,Table2[[#This Row],[I_1]]+Table2[[#This Row],[Vin]]/L*Table2[[#This Row],[t2_Ph_I]])</f>
        <v>0</v>
      </c>
      <c r="S41" s="409">
        <f>Fsw*(Table2[[#This Row],[I_0]]*Table2[[#This Row],[t1_Ph_II]]+Table2[[#This Row],[I_1]]*Table2[[#This Row],[t2_Ph_I]]+Table2[[#This Row],[I_2]]*Table2[[#This Row],[t3_Ph_III]])</f>
        <v>3.2608947653601907</v>
      </c>
      <c r="T41" s="354">
        <f>MIN(1,CHOOSE(Table2[[#This Row],[Mode Digit]],(Vout+(Rdson2+Rs+Rdcr)*Table2[[#This Row],[Iout]])/(Table2[[#This Row],[Vin]]+(Rs+Rdson2-Rdson1)*Table2[[#This Row],[Iout]]),1,Fsw*Table2[[#This Row],[t2_Ph_I]]+Table2[[#This Row],[t1_Ph_II]]))</f>
        <v>0.73204861666400134</v>
      </c>
      <c r="U41" s="354">
        <f>MIN(1,CHOOSE(Table2[[#This Row],[Mode Digit]],0,(Vout+(Rdson3+Rdcr)*Table2[[#This Row],[Iin]]-Table2[[#This Row],[Vin]])/(Vout+(Rdson3-Rdson4-Rs)*Table2[[#This Row],[Iin]]),Fsw*Table2[[#This Row],[t1_Ph_II]]+Table2[[#This Row],[t3_Ph_III]]))</f>
        <v>0</v>
      </c>
      <c r="V41" s="4">
        <f>MAX(Table2[[#This Row],[I_0]:[I_2]])-MIN(Table2[[#This Row],[I_0]:[I_1]])</f>
        <v>2.4956202840818236</v>
      </c>
      <c r="W41"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3.9069950153786204</v>
      </c>
      <c r="X41" s="354">
        <f>(Table2[[#This Row],[Irms Lf]]^2*Rdcr*(1+Ltc*Ta-Ltc*25))/(1-Table2[[#This Row],[Irms Lf]]^2*Rdcr*Ltc*ThetaCa)</f>
        <v>8.9166283376169733E-2</v>
      </c>
      <c r="Y41" s="354">
        <f>ABS(7.759*10^-3*Fsw^0.9458*(0.00787*Table2[[#This Row],[Ripple Current pk-pk]])^2.304)</f>
        <v>0.26436640642975928</v>
      </c>
      <c r="Z41" s="354">
        <f>Table2[[#This Row],[DCR    Loss]]+Table2[[#This Row],[Core Loss]]</f>
        <v>0.353532689805929</v>
      </c>
      <c r="AA41" s="4">
        <f>IF(Table2[[#This Row],[Vin]]&gt;Vout, Table2[[#This Row],[Ripple Current pk-pk]]/SQRT(12), SQRT(Table2[[#This Row],[Duty Cycle BOOST Leg]]/(1-Table2[[#This Row],[Duty Cycle BOOST Leg]]))*SQRT(Table2[[#This Row],[Iout]]^2+(Table2[[#This Row],[Ripple Current pk-pk]]^2)/12))</f>
        <v>0.72042352140486565</v>
      </c>
      <c r="AB41" s="354">
        <f>RCoutEsr*Table2[[#This Row],[Irms Cout]]^2</f>
        <v>2.595050250966935E-3</v>
      </c>
      <c r="AC41" s="354">
        <f>Table2[[#This Row],[Cout ESR Loss]]</f>
        <v>2.595050250966935E-3</v>
      </c>
      <c r="AD41" s="4">
        <f>IF(Table2[[#This Row],[Vin]]&gt;Vout, SQRT(Table2[[#This Row],[Duty Cycle BUCK Leg]]*(1-Table2[[#This Row],[Duty Cycle BUCK Leg]]))*SQRT(Table2[[#This Row],[Iout]]^2+(Table2[[#This Row],[Ripple Current pk-pk]]^2)/12), Table2[[#This Row],[Ripple Current pk-pk]]/SQRT(12))</f>
        <v>1.7303773472967376</v>
      </c>
      <c r="AE41" s="354">
        <f>RCinEsr*Table2[[#This Row],[Irms Cin]]^2</f>
        <v>5.9884115280753889E-3</v>
      </c>
      <c r="AF41" s="549">
        <f>Table2[[#This Row],[Cin ESR Loss]]</f>
        <v>5.9884115280753889E-3</v>
      </c>
      <c r="AG41" s="354">
        <f>Table2[[#This Row],[Irms Lf]]</f>
        <v>3.9069950153786204</v>
      </c>
      <c r="AH41" s="354">
        <f>Rdson1*Table2[[#This Row],[Irms BuCtrl]]^2</f>
        <v>6.4111362210812234E-2</v>
      </c>
      <c r="AI41" s="354">
        <f>CHOOSE(Table2[[#This Row],[Mode Digit]], (Table2[[#This Row],[Vin]]*Table2[[#This Row],[Iout]]/2)*(Fsw)*(Tr_buck+Tf_buck), 0, (Table2[[#This Row],[Vin]]*Table2[[#This Row],[Avg IL]]/2)*(Fsw/1)*(Tr_buck+Tf_buck))</f>
        <v>0.76157698120832507</v>
      </c>
      <c r="AJ41">
        <f>IF(Table2[[#This Row],[Vin]]&gt;Vout, IF(Table2[[#This Row],[Iout]]&gt;Table2[[#This Row],[Ripple Current pk-pk]]/2,0,ABS(Table2[[#This Row],[Iout]]-Table2[[#This Row],[Ripple Current pk-pk]]/2)*Vsd_Q1*Deadtime*Fsw),0)</f>
        <v>0</v>
      </c>
      <c r="AK41" s="354">
        <f>(Table2[[#This Row],[Dead Time Loss BuCtrl]]+Table2[[#This Row],[Transition Loss BuCtrl]]+Table2[[#This Row],[RDS(on) Loss BuCtrl]]*(1+RdsonTopTc*Ta-RdsonTopTc*25))/(1-Table2[[#This Row],[RDS(on) Loss BuCtrl]]*RdsonTopTc*ThetaJA_Q1)</f>
        <v>0.83859152217718969</v>
      </c>
      <c r="AL41" s="354">
        <f>Table2[[#This Row],[Irms Lf]]</f>
        <v>3.9069950153786204</v>
      </c>
      <c r="AM41" s="354">
        <f>Rdson2*Table2[[#This Row],[Irms BuSync]]^2</f>
        <v>6.4111362210812234E-2</v>
      </c>
      <c r="AN41"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0.18475885714285714</v>
      </c>
      <c r="AO41" s="354">
        <f>(Table2[[#This Row],[Deadtime Loss BuSync]]+Table2[[#This Row],[RDS(on) Loss BuSync]]*(1+RdsonBotTc*Ta-RdsonBotTc*25))/(1-Table2[[#This Row],[RDS(on) Loss BuSync]]*RdsonBotTc*ThetaJA_Q2)</f>
        <v>0.25275935858334364</v>
      </c>
      <c r="AP41" s="354">
        <f>Table2[[#This Row],[Irms Lf]]</f>
        <v>3.9069950153786204</v>
      </c>
      <c r="AQ41" s="354">
        <f>Rdson4*Table2[[#This Row],[Irms BoCtlr]]^2</f>
        <v>6.4111362210812234E-2</v>
      </c>
      <c r="AR41" s="354">
        <f>CHOOSE(Table2[[#This Row],[Mode Digit]], 0, (Vout*Table2[[#This Row],[Iin]]/2)*(Fsw)*(Tr_boost+Tf_boost), (Vout*Iout/2)*(Fsw/1)*(Tr_boost+Tf_boost))</f>
        <v>0</v>
      </c>
      <c r="AS41" s="354">
        <f>IF(Table2[[#This Row],[Vin]]&gt;Vout, 0, IF(Table2[[#This Row],[Iin]]&gt;Table2[[#This Row],[Ripple Current pk-pk]]/2,0,ABS(Table2[[#This Row],[Iin]]-Table2[[#This Row],[Ripple Current pk-pk]]/2)*Vsd_Q4*Deadtime*Fsw))</f>
        <v>0</v>
      </c>
      <c r="AT41" s="354">
        <f>(Table2[[#This Row],[Dead Time Loss BoCtlr]]+Table2[[#This Row],[Transition Loss BoCtlr]]+Table2[[#This Row],[RDS(on) Loss BoCtlr]]*(1+RdsonTopTc*Ta-RdsonTopTc*25))/(1-Table2[[#This Row],[RDS(on) Loss BoCtlr]]*RdsonTopTc*ThetaJA_Q4)</f>
        <v>6.5113241883235348E-2</v>
      </c>
      <c r="AU41" s="354">
        <f>Table2[[#This Row],[Irms Lf]]</f>
        <v>3.9069950153786204</v>
      </c>
      <c r="AV41" s="354">
        <f>Rdson3*Table2[[#This Row],[Irms BoSync]]^2</f>
        <v>6.4111362210812234E-2</v>
      </c>
      <c r="AW41"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41" s="354">
        <f>(Table2[[#This Row],[Deadtime Loss BoSync]]+Table2[[#This Row],[RDS(on) Loss BoSync]]*(1+RdsonBotTc*Ta-RdsonBotTc*25))/(1-Table2[[#This Row],[RDS(on) Loss BoSync]]*RdsonBotTc*ThetaJA_Q3)</f>
        <v>6.5113241883235348E-2</v>
      </c>
      <c r="AY41" s="354">
        <f>CHOOSE(Table2[[#This Row],[Mode Digit]], Rdson3*Table2[[#This Row],[Irms Lf]]^2, Rdson1*Table2[[#This Row],[Irms Lf]]^2, 0)</f>
        <v>6.4111362210812234E-2</v>
      </c>
      <c r="AZ41" s="354">
        <f>CHOOSE(Table2[[#This Row],[Mode Digit]], 2*Deadtime*Fsw*IF(VfdSky_Q2&gt;0,VfdSky_Q2,0)*Table2[[#This Row],[Iout]], 2*Deadtime*Fsw*IF(VfdSky_Q3&gt;0,VfdSky_Q3,0)*Table2[[#This Row],[Iin]], 2*Deadtime*Fsw*IF(VfdSky_Q2&gt;0,VfdSky_Q2,0)*Table2[[#This Row],[Iout]]+2*Deadtime*Fsw*IF(VfdSky_Q3&gt;0,VfdSky_Q3,0)*Table2[[#This Row],[Iin]])</f>
        <v>0</v>
      </c>
      <c r="BA4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7.6738068480000005E-2</v>
      </c>
      <c r="BB4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7.6738068480000005E-2</v>
      </c>
      <c r="BC41" s="354">
        <f>CHOOSE(Table2[[#This Row],[Mode Digit]], Rs*Table2[[#This Row],[Irms BuSync]]^2, Rs*Table2[[#This Row],[Irms BoCtlr]]^2, Rs*(Table2[[#This Row],[Irms BuSync]]^2+Table2[[#This Row],[Irms BoCtlr]]^2))</f>
        <v>3.8161525125483466E-2</v>
      </c>
      <c r="BD41" s="354">
        <f t="shared" ref="BD41:BD72" si="6">Rshunt/1000*Iout^2</f>
        <v>1.44</v>
      </c>
      <c r="BE41" s="354">
        <f>IF(Vout&gt;8, Iq*Vout, Iq*Table2[[#This Row],[Vin]])</f>
        <v>4.3799999999999999E-2</v>
      </c>
      <c r="BF41" s="354">
        <f>CHOOSE(Table2[[#This Row],[Mode Digit]], (Qg_Q1+Qg_Q2)*Fsw, (Qg_Q3+Qg_Q4)*Fsw, (Qg_Q1+Qg_Q2+Qg_Q3+Qg_Q4)*Fsw)*IF(Vout&gt;8, Vout, Table2[[#This Row],[Vin]])</f>
        <v>0.47303999999999996</v>
      </c>
      <c r="BG41" s="354">
        <f t="shared" si="4"/>
        <v>0.45605042016806729</v>
      </c>
      <c r="BH41" s="354">
        <f>Table2[[#This Row],[IQ Loss]]+Table2[[#This Row],[Switching Current Loss]]</f>
        <v>0.51683999999999997</v>
      </c>
      <c r="BI41"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3.7321711781974596</v>
      </c>
      <c r="BJ41">
        <f>Vout*Table2[[#This Row],[Iout]]</f>
        <v>56.064</v>
      </c>
      <c r="BK41" s="550">
        <f>Table2[[#This Row],[Pout]]/(Table2[[#This Row],[Pout]]+Table2[[#This Row],[Total Loss]])</f>
        <v>0.9375851144870917</v>
      </c>
      <c r="BL41" s="559">
        <f>IF(Table2[[#This Row],[Vin]]&gt;Vout,ThetaJA_Q1*(Table2[[#This Row],[Total Control Bu MOSFET Loss]]+Table2[[#This Row],[Reverse Recovery Loss MOSFET D BUCK]]),ThetaJA_Q4*(Table2[[#This Row],[Total Control Bo MOSFET Loss]]+Table2[[#This Row],[Reverse Recovery Loss MOSFET D BOOST]]))</f>
        <v>54.919775439431376</v>
      </c>
      <c r="BM41" s="559">
        <f>IF(Table2[[#This Row],[Vin]]&gt;Vout, Table2[[#This Row],[Total Sync Bu MOSFET Loss]]*ThetaJA_Q2, ThetaJA_Q3*Table2[[#This Row],[Total Sync Bo MOSFET Loss]])</f>
        <v>15.165561515000618</v>
      </c>
      <c r="BN41" s="9"/>
      <c r="BO41" s="4">
        <f>Table2[[#This Row],[EFF, h]]*100</f>
        <v>93.758511448709172</v>
      </c>
      <c r="BP41" s="354">
        <f>Table2[[#This Row],[Total Inductor Loss]]</f>
        <v>0.353532689805929</v>
      </c>
      <c r="BQ41" s="354">
        <f>Table2[[#This Row],[Total Control Bu MOSFET Loss]]+Table2[[#This Row],[Total Sync Bu MOSFET Loss]]+Table2[[#This Row],[Total Control Bo MOSFET Loss]]+Table2[[#This Row],[Total Sync Bo MOSFET Loss]]+Table2[[#This Row],[Reverse Recovery Loss MOSFET D BUCK]]+Table2[[#This Row],[Reverse Recovery Loss MOSFET D BOOST]]</f>
        <v>1.3750535014870042</v>
      </c>
      <c r="BR41" s="354">
        <f xml:space="preserve"> Table2[[#This Row],[Total Control Bu MOSFET Loss]]+Table2[[#This Row],[Reverse Recovery Loss MOSFET D BUCK]]*0.66</f>
        <v>0.88923864737398972</v>
      </c>
      <c r="BS41" s="354">
        <f>Table2[[#This Row],[Total Sync Bu MOSFET Loss]]+Table2[[#This Row],[Reverse Recovery Loss MOSFET D BUCK]]*0.33</f>
        <v>0.27808292118174366</v>
      </c>
      <c r="BT41" s="354">
        <f xml:space="preserve"> Table2[[#This Row],[Total Control Bo MOSFET Loss]]+Table2[[#This Row],[Reverse Recovery Loss MOSFET D BOOST]]*0.66</f>
        <v>0.11576036708003536</v>
      </c>
      <c r="BU41" s="354">
        <f xml:space="preserve"> Table2[[#This Row],[Total Sync Bo MOSFET Loss]]+Table2[[#This Row],[Reverse Recovery Loss MOSFET D BOOST]]*0.33</f>
        <v>9.0436804481635352E-2</v>
      </c>
      <c r="BV41" s="354">
        <f>Table2[[#This Row],[Isense Shunt Loss]]</f>
        <v>3.8161525125483466E-2</v>
      </c>
      <c r="CA41">
        <v>9.9985180000000007</v>
      </c>
      <c r="CB41">
        <v>3.1859999999999999</v>
      </c>
      <c r="CC41">
        <v>5.1148889999999998</v>
      </c>
      <c r="CD41">
        <v>94.58411932633652</v>
      </c>
      <c r="CE41">
        <v>933.10990806000302</v>
      </c>
    </row>
    <row r="42" spans="1:83" x14ac:dyDescent="0.2">
      <c r="A42" s="23" t="s">
        <v>93</v>
      </c>
      <c r="B42" s="5">
        <f>Rgate1</f>
        <v>4.7</v>
      </c>
      <c r="C42" s="444" t="s">
        <v>118</v>
      </c>
      <c r="D42" s="21" t="s">
        <v>102</v>
      </c>
      <c r="G42">
        <v>33</v>
      </c>
      <c r="H42" s="555">
        <f t="shared" si="5"/>
        <v>20</v>
      </c>
      <c r="I42" s="4" t="str">
        <f>IF(Mode = 2,IF(Table2[[#This Row],[Vin]]&gt;Vout, "BUCK","BOOST"),IF(Table2[[#This Row],[Vin]]&gt;VIN_BB_to_buck, "BUCK", IF(Table2[[#This Row],[Vin]]&lt;=VIN_boost_to_BB,"BOOST","BUCK-BST")))</f>
        <v>BUCK</v>
      </c>
      <c r="J42">
        <f>IF(Table2[[#This Row],[Mode]]="BOOST",2, IF(Table2[[#This Row],[Mode]]="BUCK", 1,3))</f>
        <v>1</v>
      </c>
      <c r="K42" s="354">
        <f t="shared" ref="K42:K73" si="7">Iout*G42/100</f>
        <v>3.96</v>
      </c>
      <c r="L42" s="4">
        <f>Vout*Table2[[#This Row],[Iout]]/(Table2[[#This Row],[Vin]]*Efficiency)</f>
        <v>3.0429473684210522</v>
      </c>
      <c r="M42" s="711">
        <f>MIN(1/Fsw,CHOOSE(Table2[[#This Row],[Mode Digit]],(Vout+(Rdson2+Rs+Rdcr)*Table2[[#This Row],[Iout]])/(Table2[[#This Row],[Vin]]+(Rs+Rdson2-Rdson1)*Table2[[#This Row],[Iout]])/Fsw,(Vout+(Rdson3+Rdcr)*Table2[[#This Row],[Iin]]-Table2[[#This Row],[Vin]])/(Vout+(Rdson3-Rdson4-Rs)*Table2[[#This Row],[Iin]])/Fsw,t1_Ph_II))</f>
        <v>1.2201876737681514E-6</v>
      </c>
      <c r="N42" s="602">
        <f>CHOOSE(Table2[[#This Row],[Mode Digit]],1/Fsw-Table2[[#This Row],[t1_Ph_II]],1/Fsw-Table2[[#This Row],[t1_Ph_II]],(Vout/Fsw-Table2[[#This Row],[Vin]]*t1_Ph_II)/(Table2[[#This Row],[Vin]]+Vout))</f>
        <v>4.464789928985153E-7</v>
      </c>
      <c r="O42" s="602">
        <f>1/Fsw-(Table2[[#This Row],[t1_Ph_II]]+Table2[[#This Row],[t2_Ph_I]])</f>
        <v>0</v>
      </c>
      <c r="P42"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2.7120807881916633</v>
      </c>
      <c r="Q42" s="4">
        <f>CHOOSE(Table2[[#This Row],[Mode Digit]],Table2[[#This Row],[I_0]]+1/Lf*(Table2[[#This Row],[Vin]]-Vout)*Table2[[#This Row],[t1_Ph_II]],Table2[[#This Row],[I_0]]+1/Lf*Table2[[#This Row],[Vin]]*Table2[[#This Row],[t1_Ph_II]],Table2[[#This Row],[I_0]]+(Table2[[#This Row],[Vin]]-Vout)/L*Table2[[#This Row],[t1_Ph_II]])</f>
        <v>5.2079192118083366</v>
      </c>
      <c r="R42" s="4">
        <f>CHOOSE(Table2[[#This Row],[Mode Digit]],0,0,Table2[[#This Row],[I_1]]+Table2[[#This Row],[Vin]]/L*Table2[[#This Row],[t2_Ph_I]])</f>
        <v>0</v>
      </c>
      <c r="S42" s="409">
        <f>Fsw*(Table2[[#This Row],[I_0]]*Table2[[#This Row],[t1_Ph_II]]+Table2[[#This Row],[I_1]]*Table2[[#This Row],[t2_Ph_I]]+Table2[[#This Row],[I_2]]*Table2[[#This Row],[t3_Ph_III]])</f>
        <v>3.3806844436799373</v>
      </c>
      <c r="T42" s="354">
        <f>MIN(1,CHOOSE(Table2[[#This Row],[Mode Digit]],(Vout+(Rdson2+Rs+Rdcr)*Table2[[#This Row],[Iout]])/(Table2[[#This Row],[Vin]]+(Rs+Rdson2-Rdson1)*Table2[[#This Row],[Iout]]),1,Fsw*Table2[[#This Row],[t2_Ph_I]]+Table2[[#This Row],[t1_Ph_II]]))</f>
        <v>0.73211260426089086</v>
      </c>
      <c r="U42" s="354">
        <f>MIN(1,CHOOSE(Table2[[#This Row],[Mode Digit]],0,(Vout+(Rdson3+Rdcr)*Table2[[#This Row],[Iin]]-Table2[[#This Row],[Vin]])/(Vout+(Rdson3-Rdson4-Rs)*Table2[[#This Row],[Iin]]),Fsw*Table2[[#This Row],[t1_Ph_II]]+Table2[[#This Row],[t3_Ph_III]]))</f>
        <v>0</v>
      </c>
      <c r="V42" s="4">
        <f>MAX(Table2[[#This Row],[I_0]:[I_2]])-MIN(Table2[[#This Row],[I_0]:[I_1]])</f>
        <v>2.4958384236166733</v>
      </c>
      <c r="W42"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4.0250094144486308</v>
      </c>
      <c r="X42" s="354">
        <f>(Table2[[#This Row],[Irms Lf]]^2*Rdcr*(1+Ltc*Ta-Ltc*25))/(1-Table2[[#This Row],[Irms Lf]]^2*Rdcr*Ltc*ThetaCa)</f>
        <v>9.4675754054428074E-2</v>
      </c>
      <c r="Y42" s="354">
        <f>ABS(7.759*10^-3*Fsw^0.9458*(0.00787*Table2[[#This Row],[Ripple Current pk-pk]])^2.304)</f>
        <v>0.26441965026961317</v>
      </c>
      <c r="Z42" s="354">
        <f>Table2[[#This Row],[DCR    Loss]]+Table2[[#This Row],[Core Loss]]</f>
        <v>0.35909540432404125</v>
      </c>
      <c r="AA42" s="4">
        <f>IF(Table2[[#This Row],[Vin]]&gt;Vout, Table2[[#This Row],[Ripple Current pk-pk]]/SQRT(12), SQRT(Table2[[#This Row],[Duty Cycle BOOST Leg]]/(1-Table2[[#This Row],[Duty Cycle BOOST Leg]]))*SQRT(Table2[[#This Row],[Iout]]^2+(Table2[[#This Row],[Ripple Current pk-pk]]^2)/12))</f>
        <v>0.72048649286444877</v>
      </c>
      <c r="AB42" s="354">
        <f>RCoutEsr*Table2[[#This Row],[Irms Cout]]^2</f>
        <v>2.5955039320005669E-3</v>
      </c>
      <c r="AC42" s="354">
        <f>Table2[[#This Row],[Cout ESR Loss]]</f>
        <v>2.5955039320005669E-3</v>
      </c>
      <c r="AD42" s="4">
        <f>IF(Table2[[#This Row],[Vin]]&gt;Vout, SQRT(Table2[[#This Row],[Duty Cycle BUCK Leg]]*(1-Table2[[#This Row],[Duty Cycle BUCK Leg]]))*SQRT(Table2[[#This Row],[Iout]]^2+(Table2[[#This Row],[Ripple Current pk-pk]]^2)/12), Table2[[#This Row],[Ripple Current pk-pk]]/SQRT(12))</f>
        <v>1.7825100313123821</v>
      </c>
      <c r="AE42" s="354">
        <f>RCinEsr*Table2[[#This Row],[Irms Cin]]^2</f>
        <v>6.3546840234585391E-3</v>
      </c>
      <c r="AF42" s="549">
        <f>Table2[[#This Row],[Cin ESR Loss]]</f>
        <v>6.3546840234585391E-3</v>
      </c>
      <c r="AG42" s="354">
        <f>Table2[[#This Row],[Irms Lf]]</f>
        <v>4.0250094144486308</v>
      </c>
      <c r="AH42" s="354">
        <f>Rdson1*Table2[[#This Row],[Irms BuCtrl]]^2</f>
        <v>6.8042943302880465E-2</v>
      </c>
      <c r="AI42" s="354">
        <f>CHOOSE(Table2[[#This Row],[Mode Digit]], (Table2[[#This Row],[Vin]]*Table2[[#This Row],[Iout]]/2)*(Fsw)*(Tr_buck+Tf_buck), 0, (Table2[[#This Row],[Vin]]*Table2[[#This Row],[Avg IL]]/2)*(Fsw/1)*(Tr_buck+Tf_buck))</f>
        <v>0.78537626187108522</v>
      </c>
      <c r="AJ42">
        <f>IF(Table2[[#This Row],[Vin]]&gt;Vout, IF(Table2[[#This Row],[Iout]]&gt;Table2[[#This Row],[Ripple Current pk-pk]]/2,0,ABS(Table2[[#This Row],[Iout]]-Table2[[#This Row],[Ripple Current pk-pk]]/2)*Vsd_Q1*Deadtime*Fsw),0)</f>
        <v>0</v>
      </c>
      <c r="AK42" s="354">
        <f>(Table2[[#This Row],[Dead Time Loss BuCtrl]]+Table2[[#This Row],[Transition Loss BuCtrl]]+Table2[[#This Row],[RDS(on) Loss BuCtrl]]*(1+RdsonTopTc*Ta-RdsonTopTc*25))/(1-Table2[[#This Row],[RDS(on) Loss BuCtrl]]*RdsonTopTc*ThetaJA_Q1)</f>
        <v>0.8675871694738414</v>
      </c>
      <c r="AL42" s="354">
        <f>Table2[[#This Row],[Irms Lf]]</f>
        <v>4.0250094144486308</v>
      </c>
      <c r="AM42" s="354">
        <f>Rdson2*Table2[[#This Row],[Irms BuSync]]^2</f>
        <v>6.8042943302880465E-2</v>
      </c>
      <c r="AN42"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0.19053257142857141</v>
      </c>
      <c r="AO42" s="354">
        <f>(Table2[[#This Row],[Deadtime Loss BuSync]]+Table2[[#This Row],[RDS(on) Loss BuSync]]*(1+RdsonBotTc*Ta-RdsonBotTc*25))/(1-Table2[[#This Row],[RDS(on) Loss BuSync]]*RdsonBotTc*ThetaJA_Q2)</f>
        <v>0.26286823352583433</v>
      </c>
      <c r="AP42" s="354">
        <f>Table2[[#This Row],[Irms Lf]]</f>
        <v>4.0250094144486308</v>
      </c>
      <c r="AQ42" s="354">
        <f>Rdson4*Table2[[#This Row],[Irms BoCtlr]]^2</f>
        <v>6.8042943302880465E-2</v>
      </c>
      <c r="AR42" s="354">
        <f>CHOOSE(Table2[[#This Row],[Mode Digit]], 0, (Vout*Table2[[#This Row],[Iin]]/2)*(Fsw)*(Tr_boost+Tf_boost), (Vout*Iout/2)*(Fsw/1)*(Tr_boost+Tf_boost))</f>
        <v>0</v>
      </c>
      <c r="AS42" s="354">
        <f>IF(Table2[[#This Row],[Vin]]&gt;Vout, 0, IF(Table2[[#This Row],[Iin]]&gt;Table2[[#This Row],[Ripple Current pk-pk]]/2,0,ABS(Table2[[#This Row],[Iin]]-Table2[[#This Row],[Ripple Current pk-pk]]/2)*Vsd_Q4*Deadtime*Fsw))</f>
        <v>0</v>
      </c>
      <c r="AT42" s="354">
        <f>(Table2[[#This Row],[Dead Time Loss BoCtlr]]+Table2[[#This Row],[Transition Loss BoCtlr]]+Table2[[#This Row],[RDS(on) Loss BoCtlr]]*(1+RdsonTopTc*Ta-RdsonTopTc*25))/(1-Table2[[#This Row],[RDS(on) Loss BoCtlr]]*RdsonTopTc*ThetaJA_Q4)</f>
        <v>6.9172552275503896E-2</v>
      </c>
      <c r="AU42" s="354">
        <f>Table2[[#This Row],[Irms Lf]]</f>
        <v>4.0250094144486308</v>
      </c>
      <c r="AV42" s="354">
        <f>Rdson3*Table2[[#This Row],[Irms BoSync]]^2</f>
        <v>6.8042943302880465E-2</v>
      </c>
      <c r="AW42"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42" s="354">
        <f>(Table2[[#This Row],[Deadtime Loss BoSync]]+Table2[[#This Row],[RDS(on) Loss BoSync]]*(1+RdsonBotTc*Ta-RdsonBotTc*25))/(1-Table2[[#This Row],[RDS(on) Loss BoSync]]*RdsonBotTc*ThetaJA_Q3)</f>
        <v>6.9172552275503896E-2</v>
      </c>
      <c r="AY42" s="354">
        <f>CHOOSE(Table2[[#This Row],[Mode Digit]], Rdson3*Table2[[#This Row],[Irms Lf]]^2, Rdson1*Table2[[#This Row],[Irms Lf]]^2, 0)</f>
        <v>6.8042943302880465E-2</v>
      </c>
      <c r="AZ42" s="354">
        <f>CHOOSE(Table2[[#This Row],[Mode Digit]], 2*Deadtime*Fsw*IF(VfdSky_Q2&gt;0,VfdSky_Q2,0)*Table2[[#This Row],[Iout]], 2*Deadtime*Fsw*IF(VfdSky_Q3&gt;0,VfdSky_Q3,0)*Table2[[#This Row],[Iin]], 2*Deadtime*Fsw*IF(VfdSky_Q2&gt;0,VfdSky_Q2,0)*Table2[[#This Row],[Iout]]+2*Deadtime*Fsw*IF(VfdSky_Q3&gt;0,VfdSky_Q3,0)*Table2[[#This Row],[Iin]])</f>
        <v>0</v>
      </c>
      <c r="BA4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7.9134137279999989E-2</v>
      </c>
      <c r="BB4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7.9134137279999989E-2</v>
      </c>
      <c r="BC42" s="354">
        <f>CHOOSE(Table2[[#This Row],[Mode Digit]], Rs*Table2[[#This Row],[Irms BuSync]]^2, Rs*Table2[[#This Row],[Irms BoCtlr]]^2, Rs*(Table2[[#This Row],[Irms BuSync]]^2+Table2[[#This Row],[Irms BoCtlr]]^2))</f>
        <v>4.0501751966000275E-2</v>
      </c>
      <c r="BD42" s="354">
        <f t="shared" si="6"/>
        <v>1.44</v>
      </c>
      <c r="BE42" s="354">
        <f>IF(Vout&gt;8, Iq*Vout, Iq*Table2[[#This Row],[Vin]])</f>
        <v>4.3799999999999999E-2</v>
      </c>
      <c r="BF42" s="354">
        <f>CHOOSE(Table2[[#This Row],[Mode Digit]], (Qg_Q1+Qg_Q2)*Fsw, (Qg_Q3+Qg_Q4)*Fsw, (Qg_Q1+Qg_Q2+Qg_Q3+Qg_Q4)*Fsw)*IF(Vout&gt;8, Vout, Table2[[#This Row],[Vin]])</f>
        <v>0.47303999999999996</v>
      </c>
      <c r="BG42" s="354">
        <f t="shared" si="4"/>
        <v>0.45605042016806729</v>
      </c>
      <c r="BH42" s="354">
        <f>Table2[[#This Row],[IQ Loss]]+Table2[[#This Row],[Switching Current Loss]]</f>
        <v>0.51683999999999997</v>
      </c>
      <c r="BI42"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3.7924561263561842</v>
      </c>
      <c r="BJ42">
        <f>Vout*Table2[[#This Row],[Iout]]</f>
        <v>57.815999999999995</v>
      </c>
      <c r="BK42" s="550">
        <f>Table2[[#This Row],[Pout]]/(Table2[[#This Row],[Pout]]+Table2[[#This Row],[Total Loss]])</f>
        <v>0.93844260407081082</v>
      </c>
      <c r="BL42" s="559">
        <f>IF(Table2[[#This Row],[Vin]]&gt;Vout,ThetaJA_Q1*(Table2[[#This Row],[Total Control Bu MOSFET Loss]]+Table2[[#This Row],[Reverse Recovery Loss MOSFET D BUCK]]),ThetaJA_Q4*(Table2[[#This Row],[Total Control Bo MOSFET Loss]]+Table2[[#This Row],[Reverse Recovery Loss MOSFET D BOOST]]))</f>
        <v>56.803278405230479</v>
      </c>
      <c r="BM42" s="559">
        <f>IF(Table2[[#This Row],[Vin]]&gt;Vout, Table2[[#This Row],[Total Sync Bu MOSFET Loss]]*ThetaJA_Q2, ThetaJA_Q3*Table2[[#This Row],[Total Sync Bo MOSFET Loss]])</f>
        <v>15.77209401155006</v>
      </c>
      <c r="BN42" s="9"/>
      <c r="BO42" s="4">
        <f>Table2[[#This Row],[EFF, h]]*100</f>
        <v>93.84426040708108</v>
      </c>
      <c r="BP42" s="354">
        <f>Table2[[#This Row],[Total Inductor Loss]]</f>
        <v>0.35909540432404125</v>
      </c>
      <c r="BQ42" s="354">
        <f>Table2[[#This Row],[Total Control Bu MOSFET Loss]]+Table2[[#This Row],[Total Sync Bu MOSFET Loss]]+Table2[[#This Row],[Total Control Bo MOSFET Loss]]+Table2[[#This Row],[Total Sync Bo MOSFET Loss]]+Table2[[#This Row],[Reverse Recovery Loss MOSFET D BUCK]]+Table2[[#This Row],[Reverse Recovery Loss MOSFET D BOOST]]</f>
        <v>1.427068782110684</v>
      </c>
      <c r="BR42" s="354">
        <f xml:space="preserve"> Table2[[#This Row],[Total Control Bu MOSFET Loss]]+Table2[[#This Row],[Reverse Recovery Loss MOSFET D BUCK]]*0.66</f>
        <v>0.91981570007864144</v>
      </c>
      <c r="BS42" s="354">
        <f>Table2[[#This Row],[Total Sync Bu MOSFET Loss]]+Table2[[#This Row],[Reverse Recovery Loss MOSFET D BUCK]]*0.33</f>
        <v>0.28898249882823435</v>
      </c>
      <c r="BT42" s="354">
        <f xml:space="preserve"> Table2[[#This Row],[Total Control Bo MOSFET Loss]]+Table2[[#This Row],[Reverse Recovery Loss MOSFET D BOOST]]*0.66</f>
        <v>0.12140108288030389</v>
      </c>
      <c r="BU42" s="354">
        <f xml:space="preserve"> Table2[[#This Row],[Total Sync Bo MOSFET Loss]]+Table2[[#This Row],[Reverse Recovery Loss MOSFET D BOOST]]*0.33</f>
        <v>9.5286817577903887E-2</v>
      </c>
      <c r="BV42" s="354">
        <f>Table2[[#This Row],[Isense Shunt Loss]]</f>
        <v>4.0501751966000275E-2</v>
      </c>
      <c r="CA42">
        <v>9.9984190000000002</v>
      </c>
      <c r="CB42">
        <v>3.6920000000000002</v>
      </c>
      <c r="CC42">
        <v>5.1137540000000001</v>
      </c>
      <c r="CD42">
        <v>94.441363374789603</v>
      </c>
      <c r="CE42">
        <v>1111.2391205219994</v>
      </c>
    </row>
    <row r="43" spans="1:83" x14ac:dyDescent="0.2">
      <c r="A43" s="23" t="s">
        <v>73</v>
      </c>
      <c r="B43" s="5">
        <f>Gfs_Q1</f>
        <v>80</v>
      </c>
      <c r="C43" s="440" t="s">
        <v>70</v>
      </c>
      <c r="D43" s="21" t="s">
        <v>103</v>
      </c>
      <c r="G43">
        <v>34</v>
      </c>
      <c r="H43" s="555">
        <f t="shared" si="5"/>
        <v>20</v>
      </c>
      <c r="I43" s="4" t="str">
        <f>IF(Mode = 2,IF(Table2[[#This Row],[Vin]]&gt;Vout, "BUCK","BOOST"),IF(Table2[[#This Row],[Vin]]&gt;VIN_BB_to_buck, "BUCK", IF(Table2[[#This Row],[Vin]]&lt;=VIN_boost_to_BB,"BOOST","BUCK-BST")))</f>
        <v>BUCK</v>
      </c>
      <c r="J43">
        <f>IF(Table2[[#This Row],[Mode]]="BOOST",2, IF(Table2[[#This Row],[Mode]]="BUCK", 1,3))</f>
        <v>1</v>
      </c>
      <c r="K43" s="354">
        <f t="shared" si="7"/>
        <v>4.08</v>
      </c>
      <c r="L43" s="4">
        <f>Vout*Table2[[#This Row],[Iout]]/(Table2[[#This Row],[Vin]]*Efficiency)</f>
        <v>3.1351578947368419</v>
      </c>
      <c r="M43" s="711">
        <f>MIN(1/Fsw,CHOOSE(Table2[[#This Row],[Mode Digit]],(Vout+(Rdson2+Rs+Rdcr)*Table2[[#This Row],[Iout]])/(Table2[[#This Row],[Vin]]+(Rs+Rdson2-Rdson1)*Table2[[#This Row],[Iout]])/Fsw,(Vout+(Rdson3+Rdcr)*Table2[[#This Row],[Iin]]-Table2[[#This Row],[Vin]])/(Vout+(Rdson3-Rdson4-Rs)*Table2[[#This Row],[Iin]])/Fsw,t1_Ph_II))</f>
        <v>1.2202943165652184E-6</v>
      </c>
      <c r="N43" s="602">
        <f>CHOOSE(Table2[[#This Row],[Mode Digit]],1/Fsw-Table2[[#This Row],[t1_Ph_II]],1/Fsw-Table2[[#This Row],[t1_Ph_II]],(Vout/Fsw-Table2[[#This Row],[Vin]]*t1_Ph_II)/(Table2[[#This Row],[Vin]]+Vout))</f>
        <v>4.4637235010144823E-7</v>
      </c>
      <c r="O43" s="602">
        <f>1/Fsw-(Table2[[#This Row],[t1_Ph_II]]+Table2[[#This Row],[t2_Ph_I]])</f>
        <v>0</v>
      </c>
      <c r="P43"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2.8319717216946629</v>
      </c>
      <c r="Q43" s="4">
        <f>CHOOSE(Table2[[#This Row],[Mode Digit]],Table2[[#This Row],[I_0]]+1/Lf*(Table2[[#This Row],[Vin]]-Vout)*Table2[[#This Row],[t1_Ph_II]],Table2[[#This Row],[I_0]]+1/Lf*Table2[[#This Row],[Vin]]*Table2[[#This Row],[t1_Ph_II]],Table2[[#This Row],[I_0]]+(Table2[[#This Row],[Vin]]-Vout)/L*Table2[[#This Row],[t1_Ph_II]])</f>
        <v>5.3280282783053377</v>
      </c>
      <c r="R43" s="4">
        <f>CHOOSE(Table2[[#This Row],[Mode Digit]],0,0,Table2[[#This Row],[I_1]]+Table2[[#This Row],[Vin]]/L*Table2[[#This Row],[t2_Ph_I]])</f>
        <v>0</v>
      </c>
      <c r="S43" s="409">
        <f>Fsw*(Table2[[#This Row],[I_0]]*Table2[[#This Row],[t1_Ph_II]]+Table2[[#This Row],[I_1]]*Table2[[#This Row],[t2_Ph_I]]+Table2[[#This Row],[I_2]]*Table2[[#This Row],[t3_Ph_III]])</f>
        <v>3.5004741003909241</v>
      </c>
      <c r="T43" s="354">
        <f>MIN(1,CHOOSE(Table2[[#This Row],[Mode Digit]],(Vout+(Rdson2+Rs+Rdcr)*Table2[[#This Row],[Iout]])/(Table2[[#This Row],[Vin]]+(Rs+Rdson2-Rdson1)*Table2[[#This Row],[Iout]]),1,Fsw*Table2[[#This Row],[t2_Ph_I]]+Table2[[#This Row],[t1_Ph_II]]))</f>
        <v>0.73217658993913104</v>
      </c>
      <c r="U43" s="354">
        <f>MIN(1,CHOOSE(Table2[[#This Row],[Mode Digit]],0,(Vout+(Rdson3+Rdcr)*Table2[[#This Row],[Iin]]-Table2[[#This Row],[Vin]])/(Vout+(Rdson3-Rdson4-Rs)*Table2[[#This Row],[Iin]]),Fsw*Table2[[#This Row],[t1_Ph_II]]+Table2[[#This Row],[t3_Ph_III]]))</f>
        <v>0</v>
      </c>
      <c r="V43" s="4">
        <f>MAX(Table2[[#This Row],[I_0]:[I_2]])-MIN(Table2[[#This Row],[I_0]:[I_1]])</f>
        <v>2.4960565566106747</v>
      </c>
      <c r="W43"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4.1431378842390219</v>
      </c>
      <c r="X43" s="354">
        <f>(Table2[[#This Row],[Irms Lf]]^2*Rdcr*(1+Ltc*Ta-Ltc*25))/(1-Table2[[#This Row],[Irms Lf]]^2*Rdcr*Ltc*ThetaCa)</f>
        <v>0.10035977989554017</v>
      </c>
      <c r="Y43" s="354">
        <f>ABS(7.759*10^-3*Fsw^0.9458*(0.00787*Table2[[#This Row],[Ripple Current pk-pk]])^2.304)</f>
        <v>0.26447289858130879</v>
      </c>
      <c r="Z43" s="354">
        <f>Table2[[#This Row],[DCR    Loss]]+Table2[[#This Row],[Core Loss]]</f>
        <v>0.36483267847684897</v>
      </c>
      <c r="AA43" s="4">
        <f>IF(Table2[[#This Row],[Vin]]&gt;Vout, Table2[[#This Row],[Ripple Current pk-pk]]/SQRT(12), SQRT(Table2[[#This Row],[Duty Cycle BOOST Leg]]/(1-Table2[[#This Row],[Duty Cycle BOOST Leg]]))*SQRT(Table2[[#This Row],[Iout]]^2+(Table2[[#This Row],[Ripple Current pk-pk]]^2)/12))</f>
        <v>0.72054946243585172</v>
      </c>
      <c r="AB43" s="354">
        <f>RCoutEsr*Table2[[#This Row],[Irms Cout]]^2</f>
        <v>2.5959576390829743E-3</v>
      </c>
      <c r="AC43" s="354">
        <f>Table2[[#This Row],[Cout ESR Loss]]</f>
        <v>2.5959576390829743E-3</v>
      </c>
      <c r="AD43" s="4">
        <f>IF(Table2[[#This Row],[Vin]]&gt;Vout, SQRT(Table2[[#This Row],[Duty Cycle BUCK Leg]]*(1-Table2[[#This Row],[Duty Cycle BUCK Leg]]))*SQRT(Table2[[#This Row],[Iout]]^2+(Table2[[#This Row],[Ripple Current pk-pk]]^2)/12), Table2[[#This Row],[Ripple Current pk-pk]]/SQRT(12))</f>
        <v>1.8346852696402662</v>
      </c>
      <c r="AE43" s="354">
        <f>RCinEsr*Table2[[#This Row],[Irms Cin]]^2</f>
        <v>6.7321400772699528E-3</v>
      </c>
      <c r="AF43" s="549">
        <f>Table2[[#This Row],[Cin ESR Loss]]</f>
        <v>6.7321400772699528E-3</v>
      </c>
      <c r="AG43" s="354">
        <f>Table2[[#This Row],[Irms Lf]]</f>
        <v>4.1431378842390219</v>
      </c>
      <c r="AH43" s="354">
        <f>Rdson1*Table2[[#This Row],[Irms BuCtrl]]^2</f>
        <v>7.2095484416829725E-2</v>
      </c>
      <c r="AI43" s="354">
        <f>CHOOSE(Table2[[#This Row],[Mode Digit]], (Table2[[#This Row],[Vin]]*Table2[[#This Row],[Iout]]/2)*(Fsw)*(Tr_buck+Tf_buck), 0, (Table2[[#This Row],[Vin]]*Table2[[#This Row],[Avg IL]]/2)*(Fsw/1)*(Tr_buck+Tf_buck))</f>
        <v>0.80917554253384538</v>
      </c>
      <c r="AJ43">
        <f>IF(Table2[[#This Row],[Vin]]&gt;Vout, IF(Table2[[#This Row],[Iout]]&gt;Table2[[#This Row],[Ripple Current pk-pk]]/2,0,ABS(Table2[[#This Row],[Iout]]-Table2[[#This Row],[Ripple Current pk-pk]]/2)*Vsd_Q1*Deadtime*Fsw),0)</f>
        <v>0</v>
      </c>
      <c r="AK43" s="354">
        <f>(Table2[[#This Row],[Dead Time Loss BuCtrl]]+Table2[[#This Row],[Transition Loss BuCtrl]]+Table2[[#This Row],[RDS(on) Loss BuCtrl]]*(1+RdsonTopTc*Ta-RdsonTopTc*25))/(1-Table2[[#This Row],[RDS(on) Loss BuCtrl]]*RdsonTopTc*ThetaJA_Q1)</f>
        <v>0.89678807593151988</v>
      </c>
      <c r="AL43" s="354">
        <f>Table2[[#This Row],[Irms Lf]]</f>
        <v>4.1431378842390219</v>
      </c>
      <c r="AM43" s="354">
        <f>Rdson2*Table2[[#This Row],[Irms BuSync]]^2</f>
        <v>7.2095484416829725E-2</v>
      </c>
      <c r="AN43"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0.19630628571428571</v>
      </c>
      <c r="AO43" s="354">
        <f>(Table2[[#This Row],[Deadtime Loss BuSync]]+Table2[[#This Row],[RDS(on) Loss BuSync]]*(1+RdsonBotTc*Ta-RdsonBotTc*25))/(1-Table2[[#This Row],[RDS(on) Loss BuSync]]*RdsonBotTc*ThetaJA_Q2)</f>
        <v>0.27312767542733374</v>
      </c>
      <c r="AP43" s="354">
        <f>Table2[[#This Row],[Irms Lf]]</f>
        <v>4.1431378842390219</v>
      </c>
      <c r="AQ43" s="354">
        <f>Rdson4*Table2[[#This Row],[Irms BoCtlr]]^2</f>
        <v>7.2095484416829725E-2</v>
      </c>
      <c r="AR43" s="354">
        <f>CHOOSE(Table2[[#This Row],[Mode Digit]], 0, (Vout*Table2[[#This Row],[Iin]]/2)*(Fsw)*(Tr_boost+Tf_boost), (Vout*Iout/2)*(Fsw/1)*(Tr_boost+Tf_boost))</f>
        <v>0</v>
      </c>
      <c r="AS43" s="354">
        <f>IF(Table2[[#This Row],[Vin]]&gt;Vout, 0, IF(Table2[[#This Row],[Iin]]&gt;Table2[[#This Row],[Ripple Current pk-pk]]/2,0,ABS(Table2[[#This Row],[Iin]]-Table2[[#This Row],[Ripple Current pk-pk]]/2)*Vsd_Q4*Deadtime*Fsw))</f>
        <v>0</v>
      </c>
      <c r="AT43" s="354">
        <f>(Table2[[#This Row],[Dead Time Loss BoCtlr]]+Table2[[#This Row],[Transition Loss BoCtlr]]+Table2[[#This Row],[RDS(on) Loss BoCtlr]]*(1+RdsonTopTc*Ta-RdsonTopTc*25))/(1-Table2[[#This Row],[RDS(on) Loss BoCtlr]]*RdsonTopTc*ThetaJA_Q4)</f>
        <v>7.3364911334068306E-2</v>
      </c>
      <c r="AU43" s="354">
        <f>Table2[[#This Row],[Irms Lf]]</f>
        <v>4.1431378842390219</v>
      </c>
      <c r="AV43" s="354">
        <f>Rdson3*Table2[[#This Row],[Irms BoSync]]^2</f>
        <v>7.2095484416829725E-2</v>
      </c>
      <c r="AW43"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43" s="354">
        <f>(Table2[[#This Row],[Deadtime Loss BoSync]]+Table2[[#This Row],[RDS(on) Loss BoSync]]*(1+RdsonBotTc*Ta-RdsonBotTc*25))/(1-Table2[[#This Row],[RDS(on) Loss BoSync]]*RdsonBotTc*ThetaJA_Q3)</f>
        <v>7.3364911334068306E-2</v>
      </c>
      <c r="AY43" s="354">
        <f>CHOOSE(Table2[[#This Row],[Mode Digit]], Rdson3*Table2[[#This Row],[Irms Lf]]^2, Rdson1*Table2[[#This Row],[Irms Lf]]^2, 0)</f>
        <v>7.2095484416829725E-2</v>
      </c>
      <c r="AZ43" s="354">
        <f>CHOOSE(Table2[[#This Row],[Mode Digit]], 2*Deadtime*Fsw*IF(VfdSky_Q2&gt;0,VfdSky_Q2,0)*Table2[[#This Row],[Iout]], 2*Deadtime*Fsw*IF(VfdSky_Q3&gt;0,VfdSky_Q3,0)*Table2[[#This Row],[Iin]], 2*Deadtime*Fsw*IF(VfdSky_Q2&gt;0,VfdSky_Q2,0)*Table2[[#This Row],[Iout]]+2*Deadtime*Fsw*IF(VfdSky_Q3&gt;0,VfdSky_Q3,0)*Table2[[#This Row],[Iin]])</f>
        <v>0</v>
      </c>
      <c r="BA4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8.1530085119999998E-2</v>
      </c>
      <c r="BB4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8.1530085119999998E-2</v>
      </c>
      <c r="BC43" s="354">
        <f>CHOOSE(Table2[[#This Row],[Mode Digit]], Rs*Table2[[#This Row],[Irms BuSync]]^2, Rs*Table2[[#This Row],[Irms BoCtlr]]^2, Rs*(Table2[[#This Row],[Irms BuSync]]^2+Table2[[#This Row],[Irms BoCtlr]]^2))</f>
        <v>4.2913978819541496E-2</v>
      </c>
      <c r="BD43" s="354">
        <f t="shared" si="6"/>
        <v>1.44</v>
      </c>
      <c r="BE43" s="354">
        <f>IF(Vout&gt;8, Iq*Vout, Iq*Table2[[#This Row],[Vin]])</f>
        <v>4.3799999999999999E-2</v>
      </c>
      <c r="BF43" s="354">
        <f>CHOOSE(Table2[[#This Row],[Mode Digit]], (Qg_Q1+Qg_Q2)*Fsw, (Qg_Q3+Qg_Q4)*Fsw, (Qg_Q1+Qg_Q2+Qg_Q3+Qg_Q4)*Fsw)*IF(Vout&gt;8, Vout, Table2[[#This Row],[Vin]])</f>
        <v>0.47303999999999996</v>
      </c>
      <c r="BG43" s="354">
        <f t="shared" si="4"/>
        <v>0.45605042016806729</v>
      </c>
      <c r="BH43" s="354">
        <f>Table2[[#This Row],[IQ Loss]]+Table2[[#This Row],[Switching Current Loss]]</f>
        <v>0.51683999999999997</v>
      </c>
      <c r="BI43"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3.8536204992797338</v>
      </c>
      <c r="BJ43">
        <f>Vout*Table2[[#This Row],[Iout]]</f>
        <v>59.567999999999998</v>
      </c>
      <c r="BK43" s="550">
        <f>Table2[[#This Row],[Pout]]/(Table2[[#This Row],[Pout]]+Table2[[#This Row],[Total Loss]])</f>
        <v>0.93923806315665648</v>
      </c>
      <c r="BL43" s="559">
        <f>IF(Table2[[#This Row],[Vin]]&gt;Vout,ThetaJA_Q1*(Table2[[#This Row],[Total Control Bu MOSFET Loss]]+Table2[[#This Row],[Reverse Recovery Loss MOSFET D BUCK]]),ThetaJA_Q4*(Table2[[#This Row],[Total Control Bo MOSFET Loss]]+Table2[[#This Row],[Reverse Recovery Loss MOSFET D BOOST]]))</f>
        <v>58.699089663091193</v>
      </c>
      <c r="BM43" s="559">
        <f>IF(Table2[[#This Row],[Vin]]&gt;Vout, Table2[[#This Row],[Total Sync Bu MOSFET Loss]]*ThetaJA_Q2, ThetaJA_Q3*Table2[[#This Row],[Total Sync Bo MOSFET Loss]])</f>
        <v>16.387660525640023</v>
      </c>
      <c r="BN43" s="9"/>
      <c r="BO43" s="4">
        <f>Table2[[#This Row],[EFF, h]]*100</f>
        <v>93.923806315665644</v>
      </c>
      <c r="BP43" s="354">
        <f>Table2[[#This Row],[Total Inductor Loss]]</f>
        <v>0.36483267847684897</v>
      </c>
      <c r="BQ43" s="354">
        <f>Table2[[#This Row],[Total Control Bu MOSFET Loss]]+Table2[[#This Row],[Total Sync Bu MOSFET Loss]]+Table2[[#This Row],[Total Control Bo MOSFET Loss]]+Table2[[#This Row],[Total Sync Bo MOSFET Loss]]+Table2[[#This Row],[Reverse Recovery Loss MOSFET D BUCK]]+Table2[[#This Row],[Reverse Recovery Loss MOSFET D BOOST]]</f>
        <v>1.4797057442669903</v>
      </c>
      <c r="BR43" s="354">
        <f xml:space="preserve"> Table2[[#This Row],[Total Control Bu MOSFET Loss]]+Table2[[#This Row],[Reverse Recovery Loss MOSFET D BUCK]]*0.66</f>
        <v>0.95059793211071986</v>
      </c>
      <c r="BS43" s="354">
        <f>Table2[[#This Row],[Total Sync Bu MOSFET Loss]]+Table2[[#This Row],[Reverse Recovery Loss MOSFET D BUCK]]*0.33</f>
        <v>0.30003260351693373</v>
      </c>
      <c r="BT43" s="354">
        <f xml:space="preserve"> Table2[[#This Row],[Total Control Bo MOSFET Loss]]+Table2[[#This Row],[Reverse Recovery Loss MOSFET D BOOST]]*0.66</f>
        <v>0.12717476751326831</v>
      </c>
      <c r="BU43" s="354">
        <f xml:space="preserve"> Table2[[#This Row],[Total Sync Bo MOSFET Loss]]+Table2[[#This Row],[Reverse Recovery Loss MOSFET D BOOST]]*0.33</f>
        <v>0.10026983942366831</v>
      </c>
      <c r="BV43" s="354">
        <f>Table2[[#This Row],[Isense Shunt Loss]]</f>
        <v>4.2913978819541496E-2</v>
      </c>
      <c r="CA43">
        <v>9.998246</v>
      </c>
      <c r="CB43">
        <v>4.2430000000000003</v>
      </c>
      <c r="CC43">
        <v>5.1120590000000004</v>
      </c>
      <c r="CD43">
        <v>94.267178615859891</v>
      </c>
      <c r="CE43">
        <v>1319.0970775599953</v>
      </c>
    </row>
    <row r="44" spans="1:83" x14ac:dyDescent="0.2">
      <c r="A44" s="23" t="s">
        <v>95</v>
      </c>
      <c r="B44" s="5">
        <f>Vth_Q1</f>
        <v>2.2999999999999998</v>
      </c>
      <c r="C44" s="440" t="s">
        <v>0</v>
      </c>
      <c r="D44" s="21" t="s">
        <v>104</v>
      </c>
      <c r="G44">
        <v>35</v>
      </c>
      <c r="H44" s="555">
        <f t="shared" si="5"/>
        <v>20</v>
      </c>
      <c r="I44" s="4" t="str">
        <f>IF(Mode = 2,IF(Table2[[#This Row],[Vin]]&gt;Vout, "BUCK","BOOST"),IF(Table2[[#This Row],[Vin]]&gt;VIN_BB_to_buck, "BUCK", IF(Table2[[#This Row],[Vin]]&lt;=VIN_boost_to_BB,"BOOST","BUCK-BST")))</f>
        <v>BUCK</v>
      </c>
      <c r="J44">
        <f>IF(Table2[[#This Row],[Mode]]="BOOST",2, IF(Table2[[#This Row],[Mode]]="BUCK", 1,3))</f>
        <v>1</v>
      </c>
      <c r="K44" s="354">
        <f t="shared" si="7"/>
        <v>4.2</v>
      </c>
      <c r="L44" s="4">
        <f>Vout*Table2[[#This Row],[Iout]]/(Table2[[#This Row],[Vin]]*Efficiency)</f>
        <v>3.2273684210526317</v>
      </c>
      <c r="M44" s="711">
        <f>MIN(1/Fsw,CHOOSE(Table2[[#This Row],[Mode Digit]],(Vout+(Rdson2+Rs+Rdcr)*Table2[[#This Row],[Iout]])/(Table2[[#This Row],[Vin]]+(Rs+Rdson2-Rdson1)*Table2[[#This Row],[Iout]])/Fsw,(Vout+(Rdson3+Rdcr)*Table2[[#This Row],[Iin]]-Table2[[#This Row],[Vin]])/(Vout+(Rdson3-Rdson4-Rs)*Table2[[#This Row],[Iin]])/Fsw,t1_Ph_II))</f>
        <v>1.2204009561646802E-6</v>
      </c>
      <c r="N44" s="602">
        <f>CHOOSE(Table2[[#This Row],[Mode Digit]],1/Fsw-Table2[[#This Row],[t1_Ph_II]],1/Fsw-Table2[[#This Row],[t1_Ph_II]],(Vout/Fsw-Table2[[#This Row],[Vin]]*t1_Ph_II)/(Table2[[#This Row],[Vin]]+Vout))</f>
        <v>4.4626571050198644E-7</v>
      </c>
      <c r="O44" s="602">
        <f>1/Fsw-(Table2[[#This Row],[t1_Ph_II]]+Table2[[#This Row],[t2_Ph_I]])</f>
        <v>0</v>
      </c>
      <c r="P44"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2.9518626584679408</v>
      </c>
      <c r="Q44" s="4">
        <f>CHOOSE(Table2[[#This Row],[Mode Digit]],Table2[[#This Row],[I_0]]+1/Lf*(Table2[[#This Row],[Vin]]-Vout)*Table2[[#This Row],[t1_Ph_II]],Table2[[#This Row],[I_0]]+1/Lf*Table2[[#This Row],[Vin]]*Table2[[#This Row],[t1_Ph_II]],Table2[[#This Row],[I_0]]+(Table2[[#This Row],[Vin]]-Vout)/L*Table2[[#This Row],[t1_Ph_II]])</f>
        <v>5.4481373415320595</v>
      </c>
      <c r="R44" s="4">
        <f>CHOOSE(Table2[[#This Row],[Mode Digit]],0,0,Table2[[#This Row],[I_1]]+Table2[[#This Row],[Vin]]/L*Table2[[#This Row],[t2_Ph_I]])</f>
        <v>0</v>
      </c>
      <c r="S44" s="409">
        <f>Fsw*(Table2[[#This Row],[I_0]]*Table2[[#This Row],[t1_Ph_II]]+Table2[[#This Row],[I_1]]*Table2[[#This Row],[t2_Ph_I]]+Table2[[#This Row],[I_2]]*Table2[[#This Row],[t3_Ph_III]])</f>
        <v>3.6202637354953788</v>
      </c>
      <c r="T44" s="354">
        <f>MIN(1,CHOOSE(Table2[[#This Row],[Mode Digit]],(Vout+(Rdson2+Rs+Rdcr)*Table2[[#This Row],[Iout]])/(Table2[[#This Row],[Vin]]+(Rs+Rdson2-Rdson1)*Table2[[#This Row],[Iout]]),1,Fsw*Table2[[#This Row],[t2_Ph_I]]+Table2[[#This Row],[t1_Ph_II]]))</f>
        <v>0.73224057369880813</v>
      </c>
      <c r="U44" s="354">
        <f>MIN(1,CHOOSE(Table2[[#This Row],[Mode Digit]],0,(Vout+(Rdson3+Rdcr)*Table2[[#This Row],[Iin]]-Table2[[#This Row],[Vin]])/(Vout+(Rdson3-Rdson4-Rs)*Table2[[#This Row],[Iin]]),Fsw*Table2[[#This Row],[t1_Ph_II]]+Table2[[#This Row],[t3_Ph_III]]))</f>
        <v>0</v>
      </c>
      <c r="V44" s="4">
        <f>MAX(Table2[[#This Row],[I_0]:[I_2]])-MIN(Table2[[#This Row],[I_0]:[I_1]])</f>
        <v>2.4962746830641187</v>
      </c>
      <c r="W44"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4.2613709383767846</v>
      </c>
      <c r="X44" s="354">
        <f>(Table2[[#This Row],[Irms Lf]]^2*Rdcr*(1+Ltc*Ta-Ltc*25))/(1-Table2[[#This Row],[Irms Lf]]^2*Rdcr*Ltc*ThetaCa)</f>
        <v>0.10621882714834678</v>
      </c>
      <c r="Y44" s="354">
        <f>ABS(7.759*10^-3*Fsw^0.9458*(0.00787*Table2[[#This Row],[Ripple Current pk-pk]])^2.304)</f>
        <v>0.264526151364533</v>
      </c>
      <c r="Z44" s="354">
        <f>Table2[[#This Row],[DCR    Loss]]+Table2[[#This Row],[Core Loss]]</f>
        <v>0.3707449785128798</v>
      </c>
      <c r="AA44" s="4">
        <f>IF(Table2[[#This Row],[Vin]]&gt;Vout, Table2[[#This Row],[Ripple Current pk-pk]]/SQRT(12), SQRT(Table2[[#This Row],[Duty Cycle BOOST Leg]]/(1-Table2[[#This Row],[Duty Cycle BOOST Leg]]))*SQRT(Table2[[#This Row],[Iout]]^2+(Table2[[#This Row],[Ripple Current pk-pk]]^2)/12))</f>
        <v>0.72061243011915843</v>
      </c>
      <c r="AB44" s="354">
        <f>RCoutEsr*Table2[[#This Row],[Irms Cout]]^2</f>
        <v>2.5964113722111949E-3</v>
      </c>
      <c r="AC44" s="354">
        <f>Table2[[#This Row],[Cout ESR Loss]]</f>
        <v>2.5964113722111949E-3</v>
      </c>
      <c r="AD44" s="4">
        <f>IF(Table2[[#This Row],[Vin]]&gt;Vout, SQRT(Table2[[#This Row],[Duty Cycle BUCK Leg]]*(1-Table2[[#This Row],[Duty Cycle BUCK Leg]]))*SQRT(Table2[[#This Row],[Iout]]^2+(Table2[[#This Row],[Ripple Current pk-pk]]^2)/12), Table2[[#This Row],[Ripple Current pk-pk]]/SQRT(12))</f>
        <v>1.8868988464893537</v>
      </c>
      <c r="AE44" s="354">
        <f>RCinEsr*Table2[[#This Row],[Irms Cin]]^2</f>
        <v>7.1207745137657078E-3</v>
      </c>
      <c r="AF44" s="549">
        <f>Table2[[#This Row],[Cin ESR Loss]]</f>
        <v>7.1207745137657078E-3</v>
      </c>
      <c r="AG44" s="354">
        <f>Table2[[#This Row],[Irms Lf]]</f>
        <v>4.2613709383767846</v>
      </c>
      <c r="AH44" s="354">
        <f>Rdson1*Table2[[#This Row],[Irms BuCtrl]]^2</f>
        <v>7.6268985552657403E-2</v>
      </c>
      <c r="AI44" s="354">
        <f>CHOOSE(Table2[[#This Row],[Mode Digit]], (Table2[[#This Row],[Vin]]*Table2[[#This Row],[Iout]]/2)*(Fsw)*(Tr_buck+Tf_buck), 0, (Table2[[#This Row],[Vin]]*Table2[[#This Row],[Avg IL]]/2)*(Fsw/1)*(Tr_buck+Tf_buck))</f>
        <v>0.83297482319660554</v>
      </c>
      <c r="AJ44">
        <f>IF(Table2[[#This Row],[Vin]]&gt;Vout, IF(Table2[[#This Row],[Iout]]&gt;Table2[[#This Row],[Ripple Current pk-pk]]/2,0,ABS(Table2[[#This Row],[Iout]]-Table2[[#This Row],[Ripple Current pk-pk]]/2)*Vsd_Q1*Deadtime*Fsw),0)</f>
        <v>0</v>
      </c>
      <c r="AK44" s="354">
        <f>(Table2[[#This Row],[Dead Time Loss BuCtrl]]+Table2[[#This Row],[Transition Loss BuCtrl]]+Table2[[#This Row],[RDS(on) Loss BuCtrl]]*(1+RdsonTopTc*Ta-RdsonTopTc*25))/(1-Table2[[#This Row],[RDS(on) Loss BuCtrl]]*RdsonTopTc*ThetaJA_Q1)</f>
        <v>0.92619744219021827</v>
      </c>
      <c r="AL44" s="354">
        <f>Table2[[#This Row],[Irms Lf]]</f>
        <v>4.2613709383767846</v>
      </c>
      <c r="AM44" s="354">
        <f>Rdson2*Table2[[#This Row],[Irms BuSync]]^2</f>
        <v>7.6268985552657403E-2</v>
      </c>
      <c r="AN44"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0.20208000000000001</v>
      </c>
      <c r="AO44" s="354">
        <f>(Table2[[#This Row],[Deadtime Loss BuSync]]+Table2[[#This Row],[RDS(on) Loss BuSync]]*(1+RdsonBotTc*Ta-RdsonBotTc*25))/(1-Table2[[#This Row],[RDS(on) Loss BuSync]]*RdsonBotTc*ThetaJA_Q2)</f>
        <v>0.28353904197571178</v>
      </c>
      <c r="AP44" s="354">
        <f>Table2[[#This Row],[Irms Lf]]</f>
        <v>4.2613709383767846</v>
      </c>
      <c r="AQ44" s="354">
        <f>Rdson4*Table2[[#This Row],[Irms BoCtlr]]^2</f>
        <v>7.6268985552657403E-2</v>
      </c>
      <c r="AR44" s="354">
        <f>CHOOSE(Table2[[#This Row],[Mode Digit]], 0, (Vout*Table2[[#This Row],[Iin]]/2)*(Fsw)*(Tr_boost+Tf_boost), (Vout*Iout/2)*(Fsw/1)*(Tr_boost+Tf_boost))</f>
        <v>0</v>
      </c>
      <c r="AS44" s="354">
        <f>IF(Table2[[#This Row],[Vin]]&gt;Vout, 0, IF(Table2[[#This Row],[Iin]]&gt;Table2[[#This Row],[Ripple Current pk-pk]]/2,0,ABS(Table2[[#This Row],[Iin]]-Table2[[#This Row],[Ripple Current pk-pk]]/2)*Vsd_Q4*Deadtime*Fsw))</f>
        <v>0</v>
      </c>
      <c r="AT44" s="354">
        <f>(Table2[[#This Row],[Dead Time Loss BoCtlr]]+Table2[[#This Row],[Transition Loss BoCtlr]]+Table2[[#This Row],[RDS(on) Loss BoCtlr]]*(1+RdsonTopTc*Ta-RdsonTopTc*25))/(1-Table2[[#This Row],[RDS(on) Loss BoCtlr]]*RdsonTopTc*ThetaJA_Q4)</f>
        <v>7.76910864364148E-2</v>
      </c>
      <c r="AU44" s="354">
        <f>Table2[[#This Row],[Irms Lf]]</f>
        <v>4.2613709383767846</v>
      </c>
      <c r="AV44" s="354">
        <f>Rdson3*Table2[[#This Row],[Irms BoSync]]^2</f>
        <v>7.6268985552657403E-2</v>
      </c>
      <c r="AW44"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44" s="354">
        <f>(Table2[[#This Row],[Deadtime Loss BoSync]]+Table2[[#This Row],[RDS(on) Loss BoSync]]*(1+RdsonBotTc*Ta-RdsonBotTc*25))/(1-Table2[[#This Row],[RDS(on) Loss BoSync]]*RdsonBotTc*ThetaJA_Q3)</f>
        <v>7.76910864364148E-2</v>
      </c>
      <c r="AY44" s="354">
        <f>CHOOSE(Table2[[#This Row],[Mode Digit]], Rdson3*Table2[[#This Row],[Irms Lf]]^2, Rdson1*Table2[[#This Row],[Irms Lf]]^2, 0)</f>
        <v>7.6268985552657403E-2</v>
      </c>
      <c r="AZ44" s="354">
        <f>CHOOSE(Table2[[#This Row],[Mode Digit]], 2*Deadtime*Fsw*IF(VfdSky_Q2&gt;0,VfdSky_Q2,0)*Table2[[#This Row],[Iout]], 2*Deadtime*Fsw*IF(VfdSky_Q3&gt;0,VfdSky_Q3,0)*Table2[[#This Row],[Iin]], 2*Deadtime*Fsw*IF(VfdSky_Q2&gt;0,VfdSky_Q2,0)*Table2[[#This Row],[Iout]]+2*Deadtime*Fsw*IF(VfdSky_Q3&gt;0,VfdSky_Q3,0)*Table2[[#This Row],[Iin]])</f>
        <v>0</v>
      </c>
      <c r="BA4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8.3925912000000005E-2</v>
      </c>
      <c r="BB4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8.3925912000000005E-2</v>
      </c>
      <c r="BC44" s="354">
        <f>CHOOSE(Table2[[#This Row],[Mode Digit]], Rs*Table2[[#This Row],[Irms BuSync]]^2, Rs*Table2[[#This Row],[Irms BoCtlr]]^2, Rs*(Table2[[#This Row],[Irms BuSync]]^2+Table2[[#This Row],[Irms BoCtlr]]^2))</f>
        <v>4.5398205686105593E-2</v>
      </c>
      <c r="BD44" s="354">
        <f t="shared" si="6"/>
        <v>1.44</v>
      </c>
      <c r="BE44" s="354">
        <f>IF(Vout&gt;8, Iq*Vout, Iq*Table2[[#This Row],[Vin]])</f>
        <v>4.3799999999999999E-2</v>
      </c>
      <c r="BF44" s="354">
        <f>CHOOSE(Table2[[#This Row],[Mode Digit]], (Qg_Q1+Qg_Q2)*Fsw, (Qg_Q3+Qg_Q4)*Fsw, (Qg_Q1+Qg_Q2+Qg_Q3+Qg_Q4)*Fsw)*IF(Vout&gt;8, Vout, Table2[[#This Row],[Vin]])</f>
        <v>0.47303999999999996</v>
      </c>
      <c r="BG44" s="354">
        <f t="shared" si="4"/>
        <v>0.45605042016806729</v>
      </c>
      <c r="BH44" s="354">
        <f>Table2[[#This Row],[IQ Loss]]+Table2[[#This Row],[Switching Current Loss]]</f>
        <v>0.51683999999999997</v>
      </c>
      <c r="BI44"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3.9156708511237222</v>
      </c>
      <c r="BJ44">
        <f>Vout*Table2[[#This Row],[Iout]]</f>
        <v>61.32</v>
      </c>
      <c r="BK44" s="550">
        <f>Table2[[#This Row],[Pout]]/(Table2[[#This Row],[Pout]]+Table2[[#This Row],[Total Loss]])</f>
        <v>0.93997653737539089</v>
      </c>
      <c r="BL44" s="559">
        <f>IF(Table2[[#This Row],[Vin]]&gt;Vout,ThetaJA_Q1*(Table2[[#This Row],[Total Control Bu MOSFET Loss]]+Table2[[#This Row],[Reverse Recovery Loss MOSFET D BUCK]]),ThetaJA_Q4*(Table2[[#This Row],[Total Control Bo MOSFET Loss]]+Table2[[#This Row],[Reverse Recovery Loss MOSFET D BOOST]]))</f>
        <v>60.607401251413101</v>
      </c>
      <c r="BM44" s="559">
        <f>IF(Table2[[#This Row],[Vin]]&gt;Vout, Table2[[#This Row],[Total Sync Bu MOSFET Loss]]*ThetaJA_Q2, ThetaJA_Q3*Table2[[#This Row],[Total Sync Bo MOSFET Loss]])</f>
        <v>17.012342518542706</v>
      </c>
      <c r="BN44" s="9"/>
      <c r="BO44" s="4">
        <f>Table2[[#This Row],[EFF, h]]*100</f>
        <v>93.997653737539082</v>
      </c>
      <c r="BP44" s="354">
        <f>Table2[[#This Row],[Total Inductor Loss]]</f>
        <v>0.3707449785128798</v>
      </c>
      <c r="BQ44" s="354">
        <f>Table2[[#This Row],[Total Control Bu MOSFET Loss]]+Table2[[#This Row],[Total Sync Bu MOSFET Loss]]+Table2[[#This Row],[Total Control Bo MOSFET Loss]]+Table2[[#This Row],[Total Sync Bo MOSFET Loss]]+Table2[[#This Row],[Reverse Recovery Loss MOSFET D BUCK]]+Table2[[#This Row],[Reverse Recovery Loss MOSFET D BOOST]]</f>
        <v>1.5329704810387597</v>
      </c>
      <c r="BR44" s="354">
        <f xml:space="preserve"> Table2[[#This Row],[Total Control Bu MOSFET Loss]]+Table2[[#This Row],[Reverse Recovery Loss MOSFET D BUCK]]*0.66</f>
        <v>0.98158854411021823</v>
      </c>
      <c r="BS44" s="354">
        <f>Table2[[#This Row],[Total Sync Bu MOSFET Loss]]+Table2[[#This Row],[Reverse Recovery Loss MOSFET D BUCK]]*0.33</f>
        <v>0.31123459293571176</v>
      </c>
      <c r="BT44" s="354">
        <f xml:space="preserve"> Table2[[#This Row],[Total Control Bo MOSFET Loss]]+Table2[[#This Row],[Reverse Recovery Loss MOSFET D BOOST]]*0.66</f>
        <v>0.1330821883564148</v>
      </c>
      <c r="BU44" s="354">
        <f xml:space="preserve"> Table2[[#This Row],[Total Sync Bo MOSFET Loss]]+Table2[[#This Row],[Reverse Recovery Loss MOSFET D BOOST]]*0.33</f>
        <v>0.1053866373964148</v>
      </c>
      <c r="BV44" s="354">
        <f>Table2[[#This Row],[Isense Shunt Loss]]</f>
        <v>4.5398205686105593E-2</v>
      </c>
      <c r="CA44">
        <v>9.9981469999999995</v>
      </c>
      <c r="CB44">
        <v>4.8490000000000002</v>
      </c>
      <c r="CC44">
        <v>5.1107740000000002</v>
      </c>
      <c r="CD44">
        <v>93.953815994681278</v>
      </c>
      <c r="CE44">
        <v>1594.7983209009985</v>
      </c>
    </row>
    <row r="45" spans="1:83" x14ac:dyDescent="0.2">
      <c r="A45" s="28" t="s">
        <v>145</v>
      </c>
      <c r="B45" s="447">
        <f>Vsp_Q1</f>
        <v>2.4499999999999997</v>
      </c>
      <c r="C45" s="445" t="s">
        <v>0</v>
      </c>
      <c r="G45">
        <v>36</v>
      </c>
      <c r="H45" s="555">
        <f t="shared" si="5"/>
        <v>20</v>
      </c>
      <c r="I45" s="4" t="str">
        <f>IF(Mode = 2,IF(Table2[[#This Row],[Vin]]&gt;Vout, "BUCK","BOOST"),IF(Table2[[#This Row],[Vin]]&gt;VIN_BB_to_buck, "BUCK", IF(Table2[[#This Row],[Vin]]&lt;=VIN_boost_to_BB,"BOOST","BUCK-BST")))</f>
        <v>BUCK</v>
      </c>
      <c r="J45">
        <f>IF(Table2[[#This Row],[Mode]]="BOOST",2, IF(Table2[[#This Row],[Mode]]="BUCK", 1,3))</f>
        <v>1</v>
      </c>
      <c r="K45" s="354">
        <f t="shared" si="7"/>
        <v>4.32</v>
      </c>
      <c r="L45" s="4">
        <f>Vout*Table2[[#This Row],[Iout]]/(Table2[[#This Row],[Vin]]*Efficiency)</f>
        <v>3.3195789473684214</v>
      </c>
      <c r="M45" s="711">
        <f>MIN(1/Fsw,CHOOSE(Table2[[#This Row],[Mode Digit]],(Vout+(Rdson2+Rs+Rdcr)*Table2[[#This Row],[Iout]])/(Table2[[#This Row],[Vin]]+(Rs+Rdson2-Rdson1)*Table2[[#This Row],[Iout]])/Fsw,(Vout+(Rdson3+Rdcr)*Table2[[#This Row],[Iin]]-Table2[[#This Row],[Vin]])/(Vout+(Rdson3-Rdson4-Rs)*Table2[[#This Row],[Iin]])/Fsw,t1_Ph_II))</f>
        <v>1.2205075925666807E-6</v>
      </c>
      <c r="N45" s="602">
        <f>CHOOSE(Table2[[#This Row],[Mode Digit]],1/Fsw-Table2[[#This Row],[t1_Ph_II]],1/Fsw-Table2[[#This Row],[t1_Ph_II]],(Vout/Fsw-Table2[[#This Row],[Vin]]*t1_Ph_II)/(Table2[[#This Row],[Vin]]+Vout))</f>
        <v>4.4615907409998594E-7</v>
      </c>
      <c r="O45" s="602">
        <f>1/Fsw-(Table2[[#This Row],[t1_Ph_II]]+Table2[[#This Row],[t2_Ph_I]])</f>
        <v>0</v>
      </c>
      <c r="P45"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3.0717535985113491</v>
      </c>
      <c r="Q45" s="4">
        <f>CHOOSE(Table2[[#This Row],[Mode Digit]],Table2[[#This Row],[I_0]]+1/Lf*(Table2[[#This Row],[Vin]]-Vout)*Table2[[#This Row],[t1_Ph_II]],Table2[[#This Row],[I_0]]+1/Lf*Table2[[#This Row],[Vin]]*Table2[[#This Row],[t1_Ph_II]],Table2[[#This Row],[I_0]]+(Table2[[#This Row],[Vin]]-Vout)/L*Table2[[#This Row],[t1_Ph_II]])</f>
        <v>5.5682464014886506</v>
      </c>
      <c r="R45" s="4">
        <f>CHOOSE(Table2[[#This Row],[Mode Digit]],0,0,Table2[[#This Row],[I_1]]+Table2[[#This Row],[Vin]]/L*Table2[[#This Row],[t2_Ph_I]])</f>
        <v>0</v>
      </c>
      <c r="S45" s="409">
        <f>Fsw*(Table2[[#This Row],[I_0]]*Table2[[#This Row],[t1_Ph_II]]+Table2[[#This Row],[I_1]]*Table2[[#This Row],[t2_Ph_I]]+Table2[[#This Row],[I_2]]*Table2[[#This Row],[t3_Ph_III]])</f>
        <v>3.7400533489955277</v>
      </c>
      <c r="T45" s="354">
        <f>MIN(1,CHOOSE(Table2[[#This Row],[Mode Digit]],(Vout+(Rdson2+Rs+Rdcr)*Table2[[#This Row],[Iout]])/(Table2[[#This Row],[Vin]]+(Rs+Rdson2-Rdson1)*Table2[[#This Row],[Iout]]),1,Fsw*Table2[[#This Row],[t2_Ph_I]]+Table2[[#This Row],[t1_Ph_II]]))</f>
        <v>0.7323045555400084</v>
      </c>
      <c r="U45" s="354">
        <f>MIN(1,CHOOSE(Table2[[#This Row],[Mode Digit]],0,(Vout+(Rdson3+Rdcr)*Table2[[#This Row],[Iin]]-Table2[[#This Row],[Vin]])/(Vout+(Rdson3-Rdson4-Rs)*Table2[[#This Row],[Iin]]),Fsw*Table2[[#This Row],[t1_Ph_II]]+Table2[[#This Row],[t3_Ph_III]]))</f>
        <v>0</v>
      </c>
      <c r="V45" s="4">
        <f>MAX(Table2[[#This Row],[I_0]:[I_2]])-MIN(Table2[[#This Row],[I_0]:[I_1]])</f>
        <v>2.4964928029773015</v>
      </c>
      <c r="W45"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4.379700106888194</v>
      </c>
      <c r="X45" s="354">
        <f>(Table2[[#This Row],[Irms Lf]]^2*Rdcr*(1+Ltc*Ta-Ltc*25))/(1-Table2[[#This Row],[Irms Lf]]^2*Rdcr*Ltc*ThetaCa)</f>
        <v>0.11225337707583623</v>
      </c>
      <c r="Y45" s="354">
        <f>ABS(7.759*10^-3*Fsw^0.9458*(0.00787*Table2[[#This Row],[Ripple Current pk-pk]])^2.304)</f>
        <v>0.26457940861897311</v>
      </c>
      <c r="Z45" s="354">
        <f>Table2[[#This Row],[DCR    Loss]]+Table2[[#This Row],[Core Loss]]</f>
        <v>0.37683278569480932</v>
      </c>
      <c r="AA45" s="4">
        <f>IF(Table2[[#This Row],[Vin]]&gt;Vout, Table2[[#This Row],[Ripple Current pk-pk]]/SQRT(12), SQRT(Table2[[#This Row],[Duty Cycle BOOST Leg]]/(1-Table2[[#This Row],[Duty Cycle BOOST Leg]]))*SQRT(Table2[[#This Row],[Iout]]^2+(Table2[[#This Row],[Ripple Current pk-pk]]^2)/12))</f>
        <v>0.72067539591445418</v>
      </c>
      <c r="AB45" s="354">
        <f>RCoutEsr*Table2[[#This Row],[Irms Cout]]^2</f>
        <v>2.5968651313822764E-3</v>
      </c>
      <c r="AC45" s="354">
        <f>Table2[[#This Row],[Cout ESR Loss]]</f>
        <v>2.5968651313822764E-3</v>
      </c>
      <c r="AD45" s="4">
        <f>IF(Table2[[#This Row],[Vin]]&gt;Vout, SQRT(Table2[[#This Row],[Duty Cycle BUCK Leg]]*(1-Table2[[#This Row],[Duty Cycle BUCK Leg]]))*SQRT(Table2[[#This Row],[Iout]]^2+(Table2[[#This Row],[Ripple Current pk-pk]]^2)/12), Table2[[#This Row],[Ripple Current pk-pk]]/SQRT(12))</f>
        <v>1.9391469973528865</v>
      </c>
      <c r="AE45" s="354">
        <f>RCinEsr*Table2[[#This Row],[Irms Cin]]^2</f>
        <v>7.5205821546854316E-3</v>
      </c>
      <c r="AF45" s="549">
        <f>Table2[[#This Row],[Cin ESR Loss]]</f>
        <v>7.5205821546854316E-3</v>
      </c>
      <c r="AG45" s="354">
        <f>Table2[[#This Row],[Irms Lf]]</f>
        <v>4.379700106888194</v>
      </c>
      <c r="AH45" s="354">
        <f>Rdson1*Table2[[#This Row],[Irms BuCtrl]]^2</f>
        <v>8.0563446710361128E-2</v>
      </c>
      <c r="AI45" s="354">
        <f>CHOOSE(Table2[[#This Row],[Mode Digit]], (Table2[[#This Row],[Vin]]*Table2[[#This Row],[Iout]]/2)*(Fsw)*(Tr_buck+Tf_buck), 0, (Table2[[#This Row],[Vin]]*Table2[[#This Row],[Avg IL]]/2)*(Fsw/1)*(Tr_buck+Tf_buck))</f>
        <v>0.8567741038593657</v>
      </c>
      <c r="AJ45">
        <f>IF(Table2[[#This Row],[Vin]]&gt;Vout, IF(Table2[[#This Row],[Iout]]&gt;Table2[[#This Row],[Ripple Current pk-pk]]/2,0,ABS(Table2[[#This Row],[Iout]]-Table2[[#This Row],[Ripple Current pk-pk]]/2)*Vsd_Q1*Deadtime*Fsw),0)</f>
        <v>0</v>
      </c>
      <c r="AK45" s="354">
        <f>(Table2[[#This Row],[Dead Time Loss BuCtrl]]+Table2[[#This Row],[Transition Loss BuCtrl]]+Table2[[#This Row],[RDS(on) Loss BuCtrl]]*(1+RdsonTopTc*Ta-RdsonTopTc*25))/(1-Table2[[#This Row],[RDS(on) Loss BuCtrl]]*RdsonTopTc*ThetaJA_Q1)</f>
        <v>0.95581851880276913</v>
      </c>
      <c r="AL45" s="354">
        <f>Table2[[#This Row],[Irms Lf]]</f>
        <v>4.379700106888194</v>
      </c>
      <c r="AM45" s="354">
        <f>Rdson2*Table2[[#This Row],[Irms BuSync]]^2</f>
        <v>8.0563446710361128E-2</v>
      </c>
      <c r="AN45"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0.20785371428571431</v>
      </c>
      <c r="AO45" s="354">
        <f>(Table2[[#This Row],[Deadtime Loss BuSync]]+Table2[[#This Row],[RDS(on) Loss BuSync]]*(1+RdsonBotTc*Ta-RdsonBotTc*25))/(1-Table2[[#This Row],[RDS(on) Loss BuSync]]*RdsonBotTc*ThetaJA_Q2)</f>
        <v>0.29410372330971896</v>
      </c>
      <c r="AP45" s="354">
        <f>Table2[[#This Row],[Irms Lf]]</f>
        <v>4.379700106888194</v>
      </c>
      <c r="AQ45" s="354">
        <f>Rdson4*Table2[[#This Row],[Irms BoCtlr]]^2</f>
        <v>8.0563446710361128E-2</v>
      </c>
      <c r="AR45" s="354">
        <f>CHOOSE(Table2[[#This Row],[Mode Digit]], 0, (Vout*Table2[[#This Row],[Iin]]/2)*(Fsw)*(Tr_boost+Tf_boost), (Vout*Iout/2)*(Fsw/1)*(Tr_boost+Tf_boost))</f>
        <v>0</v>
      </c>
      <c r="AS45" s="354">
        <f>IF(Table2[[#This Row],[Vin]]&gt;Vout, 0, IF(Table2[[#This Row],[Iin]]&gt;Table2[[#This Row],[Ripple Current pk-pk]]/2,0,ABS(Table2[[#This Row],[Iin]]-Table2[[#This Row],[Ripple Current pk-pk]]/2)*Vsd_Q4*Deadtime*Fsw))</f>
        <v>0</v>
      </c>
      <c r="AT45" s="354">
        <f>(Table2[[#This Row],[Dead Time Loss BoCtlr]]+Table2[[#This Row],[Transition Loss BoCtlr]]+Table2[[#This Row],[RDS(on) Loss BoCtlr]]*(1+RdsonTopTc*Ta-RdsonTopTc*25))/(1-Table2[[#This Row],[RDS(on) Loss BoCtlr]]*RdsonTopTc*ThetaJA_Q4)</f>
        <v>8.2151871817723585E-2</v>
      </c>
      <c r="AU45" s="354">
        <f>Table2[[#This Row],[Irms Lf]]</f>
        <v>4.379700106888194</v>
      </c>
      <c r="AV45" s="354">
        <f>Rdson3*Table2[[#This Row],[Irms BoSync]]^2</f>
        <v>8.0563446710361128E-2</v>
      </c>
      <c r="AW45"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45" s="354">
        <f>(Table2[[#This Row],[Deadtime Loss BoSync]]+Table2[[#This Row],[RDS(on) Loss BoSync]]*(1+RdsonBotTc*Ta-RdsonBotTc*25))/(1-Table2[[#This Row],[RDS(on) Loss BoSync]]*RdsonBotTc*ThetaJA_Q3)</f>
        <v>8.2151871817723585E-2</v>
      </c>
      <c r="AY45" s="354">
        <f>CHOOSE(Table2[[#This Row],[Mode Digit]], Rdson3*Table2[[#This Row],[Irms Lf]]^2, Rdson1*Table2[[#This Row],[Irms Lf]]^2, 0)</f>
        <v>8.0563446710361128E-2</v>
      </c>
      <c r="AZ45" s="354">
        <f>CHOOSE(Table2[[#This Row],[Mode Digit]], 2*Deadtime*Fsw*IF(VfdSky_Q2&gt;0,VfdSky_Q2,0)*Table2[[#This Row],[Iout]], 2*Deadtime*Fsw*IF(VfdSky_Q3&gt;0,VfdSky_Q3,0)*Table2[[#This Row],[Iin]], 2*Deadtime*Fsw*IF(VfdSky_Q2&gt;0,VfdSky_Q2,0)*Table2[[#This Row],[Iout]]+2*Deadtime*Fsw*IF(VfdSky_Q3&gt;0,VfdSky_Q3,0)*Table2[[#This Row],[Iin]])</f>
        <v>0</v>
      </c>
      <c r="BA4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8.632161792000001E-2</v>
      </c>
      <c r="BB4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8.632161792000001E-2</v>
      </c>
      <c r="BC45" s="354">
        <f>CHOOSE(Table2[[#This Row],[Mode Digit]], Rs*Table2[[#This Row],[Irms BuSync]]^2, Rs*Table2[[#This Row],[Irms BoCtlr]]^2, Rs*(Table2[[#This Row],[Irms BuSync]]^2+Table2[[#This Row],[Irms BoCtlr]]^2))</f>
        <v>4.7954432565691145E-2</v>
      </c>
      <c r="BD45" s="354">
        <f t="shared" si="6"/>
        <v>1.44</v>
      </c>
      <c r="BE45" s="354">
        <f>IF(Vout&gt;8, Iq*Vout, Iq*Table2[[#This Row],[Vin]])</f>
        <v>4.3799999999999999E-2</v>
      </c>
      <c r="BF45" s="354">
        <f>CHOOSE(Table2[[#This Row],[Mode Digit]], (Qg_Q1+Qg_Q2)*Fsw, (Qg_Q3+Qg_Q4)*Fsw, (Qg_Q1+Qg_Q2+Qg_Q3+Qg_Q4)*Fsw)*IF(Vout&gt;8, Vout, Table2[[#This Row],[Vin]])</f>
        <v>0.47303999999999996</v>
      </c>
      <c r="BG45" s="354">
        <f t="shared" si="4"/>
        <v>0.45605042016806729</v>
      </c>
      <c r="BH45" s="354">
        <f>Table2[[#This Row],[IQ Loss]]+Table2[[#This Row],[Switching Current Loss]]</f>
        <v>0.51683999999999997</v>
      </c>
      <c r="BI45"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3.9786138871345034</v>
      </c>
      <c r="BJ45">
        <f>Vout*Table2[[#This Row],[Iout]]</f>
        <v>63.072000000000003</v>
      </c>
      <c r="BK45" s="550">
        <f>Table2[[#This Row],[Pout]]/(Table2[[#This Row],[Pout]]+Table2[[#This Row],[Total Loss]])</f>
        <v>0.94066252855146626</v>
      </c>
      <c r="BL45" s="559">
        <f>IF(Table2[[#This Row],[Vin]]&gt;Vout,ThetaJA_Q1*(Table2[[#This Row],[Total Control Bu MOSFET Loss]]+Table2[[#This Row],[Reverse Recovery Loss MOSFET D BUCK]]),ThetaJA_Q4*(Table2[[#This Row],[Total Control Bo MOSFET Loss]]+Table2[[#This Row],[Reverse Recovery Loss MOSFET D BOOST]]))</f>
        <v>62.528408203366148</v>
      </c>
      <c r="BM45" s="559">
        <f>IF(Table2[[#This Row],[Vin]]&gt;Vout, Table2[[#This Row],[Total Sync Bu MOSFET Loss]]*ThetaJA_Q2, ThetaJA_Q3*Table2[[#This Row],[Total Sync Bo MOSFET Loss]])</f>
        <v>17.646223398583139</v>
      </c>
      <c r="BN45" s="9"/>
      <c r="BO45" s="4">
        <f>Table2[[#This Row],[EFF, h]]*100</f>
        <v>94.066252855146629</v>
      </c>
      <c r="BP45" s="354">
        <f>Table2[[#This Row],[Total Inductor Loss]]</f>
        <v>0.37683278569480932</v>
      </c>
      <c r="BQ45" s="354">
        <f>Table2[[#This Row],[Total Control Bu MOSFET Loss]]+Table2[[#This Row],[Total Sync Bu MOSFET Loss]]+Table2[[#This Row],[Total Control Bo MOSFET Loss]]+Table2[[#This Row],[Total Sync Bo MOSFET Loss]]+Table2[[#This Row],[Reverse Recovery Loss MOSFET D BUCK]]+Table2[[#This Row],[Reverse Recovery Loss MOSFET D BOOST]]</f>
        <v>1.5868692215879352</v>
      </c>
      <c r="BR45" s="354">
        <f xml:space="preserve"> Table2[[#This Row],[Total Control Bu MOSFET Loss]]+Table2[[#This Row],[Reverse Recovery Loss MOSFET D BUCK]]*0.66</f>
        <v>1.0127907866299692</v>
      </c>
      <c r="BS45" s="354">
        <f>Table2[[#This Row],[Total Sync Bu MOSFET Loss]]+Table2[[#This Row],[Reverse Recovery Loss MOSFET D BUCK]]*0.33</f>
        <v>0.32258985722331895</v>
      </c>
      <c r="BT45" s="354">
        <f xml:space="preserve"> Table2[[#This Row],[Total Control Bo MOSFET Loss]]+Table2[[#This Row],[Reverse Recovery Loss MOSFET D BOOST]]*0.66</f>
        <v>0.13912413964492359</v>
      </c>
      <c r="BU45" s="354">
        <f xml:space="preserve"> Table2[[#This Row],[Total Sync Bo MOSFET Loss]]+Table2[[#This Row],[Reverse Recovery Loss MOSFET D BOOST]]*0.33</f>
        <v>0.1106380057313236</v>
      </c>
      <c r="BV45" s="354">
        <f>Table2[[#This Row],[Isense Shunt Loss]]</f>
        <v>4.7954432565691145E-2</v>
      </c>
      <c r="CA45">
        <v>9.9979859999999992</v>
      </c>
      <c r="CB45">
        <v>5.4960000000000004</v>
      </c>
      <c r="CC45">
        <v>5.1097890000000001</v>
      </c>
      <c r="CD45">
        <v>93.599771362833366</v>
      </c>
      <c r="CE45">
        <v>1920.3056923499939</v>
      </c>
    </row>
    <row r="46" spans="1:83" x14ac:dyDescent="0.2">
      <c r="A46" s="75" t="s">
        <v>235</v>
      </c>
      <c r="B46" s="5">
        <f>Vsd_Q1</f>
        <v>1</v>
      </c>
      <c r="C46" s="445" t="s">
        <v>0</v>
      </c>
      <c r="G46">
        <v>37</v>
      </c>
      <c r="H46" s="555">
        <f t="shared" si="5"/>
        <v>20</v>
      </c>
      <c r="I46" s="4" t="str">
        <f>IF(Mode = 2,IF(Table2[[#This Row],[Vin]]&gt;Vout, "BUCK","BOOST"),IF(Table2[[#This Row],[Vin]]&gt;VIN_BB_to_buck, "BUCK", IF(Table2[[#This Row],[Vin]]&lt;=VIN_boost_to_BB,"BOOST","BUCK-BST")))</f>
        <v>BUCK</v>
      </c>
      <c r="J46">
        <f>IF(Table2[[#This Row],[Mode]]="BOOST",2, IF(Table2[[#This Row],[Mode]]="BUCK", 1,3))</f>
        <v>1</v>
      </c>
      <c r="K46" s="354">
        <f t="shared" si="7"/>
        <v>4.4400000000000004</v>
      </c>
      <c r="L46" s="4">
        <f>Vout*Table2[[#This Row],[Iout]]/(Table2[[#This Row],[Vin]]*Efficiency)</f>
        <v>3.4117894736842103</v>
      </c>
      <c r="M46" s="711">
        <f>MIN(1/Fsw,CHOOSE(Table2[[#This Row],[Mode Digit]],(Vout+(Rdson2+Rs+Rdcr)*Table2[[#This Row],[Iout]])/(Table2[[#This Row],[Vin]]+(Rs+Rdson2-Rdson1)*Table2[[#This Row],[Iout]])/Fsw,(Vout+(Rdson3+Rdcr)*Table2[[#This Row],[Iin]]-Table2[[#This Row],[Vin]])/(Vout+(Rdson3-Rdson4-Rs)*Table2[[#This Row],[Iin]])/Fsw,t1_Ph_II))</f>
        <v>1.2206142257713637E-6</v>
      </c>
      <c r="N46" s="602">
        <f>CHOOSE(Table2[[#This Row],[Mode Digit]],1/Fsw-Table2[[#This Row],[t1_Ph_II]],1/Fsw-Table2[[#This Row],[t1_Ph_II]],(Vout/Fsw-Table2[[#This Row],[Vin]]*t1_Ph_II)/(Table2[[#This Row],[Vin]]+Vout))</f>
        <v>4.4605244089530293E-7</v>
      </c>
      <c r="O46" s="602">
        <f>1/Fsw-(Table2[[#This Row],[t1_Ph_II]]+Table2[[#This Row],[t2_Ph_I]])</f>
        <v>0</v>
      </c>
      <c r="P46"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3.1916445418247417</v>
      </c>
      <c r="Q46" s="4">
        <f>CHOOSE(Table2[[#This Row],[Mode Digit]],Table2[[#This Row],[I_0]]+1/Lf*(Table2[[#This Row],[Vin]]-Vout)*Table2[[#This Row],[t1_Ph_II]],Table2[[#This Row],[I_0]]+1/Lf*Table2[[#This Row],[Vin]]*Table2[[#This Row],[t1_Ph_II]],Table2[[#This Row],[I_0]]+(Table2[[#This Row],[Vin]]-Vout)/L*Table2[[#This Row],[t1_Ph_II]])</f>
        <v>5.6883554581752591</v>
      </c>
      <c r="R46" s="4">
        <f>CHOOSE(Table2[[#This Row],[Mode Digit]],0,0,Table2[[#This Row],[I_1]]+Table2[[#This Row],[Vin]]/L*Table2[[#This Row],[t2_Ph_I]])</f>
        <v>0</v>
      </c>
      <c r="S46" s="409">
        <f>Fsw*(Table2[[#This Row],[I_0]]*Table2[[#This Row],[t1_Ph_II]]+Table2[[#This Row],[I_1]]*Table2[[#This Row],[t2_Ph_I]]+Table2[[#This Row],[I_2]]*Table2[[#This Row],[t3_Ph_III]])</f>
        <v>3.8598429408935995</v>
      </c>
      <c r="T46" s="354">
        <f>MIN(1,CHOOSE(Table2[[#This Row],[Mode Digit]],(Vout+(Rdson2+Rs+Rdcr)*Table2[[#This Row],[Iout]])/(Table2[[#This Row],[Vin]]+(Rs+Rdson2-Rdson1)*Table2[[#This Row],[Iout]]),1,Fsw*Table2[[#This Row],[t2_Ph_I]]+Table2[[#This Row],[t1_Ph_II]]))</f>
        <v>0.73236853546281822</v>
      </c>
      <c r="U46" s="354">
        <f>MIN(1,CHOOSE(Table2[[#This Row],[Mode Digit]],0,(Vout+(Rdson3+Rdcr)*Table2[[#This Row],[Iin]]-Table2[[#This Row],[Vin]])/(Vout+(Rdson3-Rdson4-Rs)*Table2[[#This Row],[Iin]]),Fsw*Table2[[#This Row],[t1_Ph_II]]+Table2[[#This Row],[t3_Ph_III]]))</f>
        <v>0</v>
      </c>
      <c r="V46" s="4">
        <f>MAX(Table2[[#This Row],[I_0]:[I_2]])-MIN(Table2[[#This Row],[I_0]:[I_1]])</f>
        <v>2.4967109163505175</v>
      </c>
      <c r="W46"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4.4981178045176469</v>
      </c>
      <c r="X46" s="354">
        <f>(Table2[[#This Row],[Irms Lf]]^2*Rdcr*(1+Ltc*Ta-Ltc*25))/(1-Table2[[#This Row],[Irms Lf]]^2*Rdcr*Ltc*ThetaCa)</f>
        <v>0.11846392605500669</v>
      </c>
      <c r="Y46" s="354">
        <f>ABS(7.759*10^-3*Fsw^0.9458*(0.00787*Table2[[#This Row],[Ripple Current pk-pk]])^2.304)</f>
        <v>0.26463267034431681</v>
      </c>
      <c r="Z46" s="354">
        <f>Table2[[#This Row],[DCR    Loss]]+Table2[[#This Row],[Core Loss]]</f>
        <v>0.38309659639932347</v>
      </c>
      <c r="AA46" s="4">
        <f>IF(Table2[[#This Row],[Vin]]&gt;Vout, Table2[[#This Row],[Ripple Current pk-pk]]/SQRT(12), SQRT(Table2[[#This Row],[Duty Cycle BOOST Leg]]/(1-Table2[[#This Row],[Duty Cycle BOOST Leg]]))*SQRT(Table2[[#This Row],[Iout]]^2+(Table2[[#This Row],[Ripple Current pk-pk]]^2)/12))</f>
        <v>0.72073835982182433</v>
      </c>
      <c r="AB46" s="354">
        <f>RCoutEsr*Table2[[#This Row],[Irms Cout]]^2</f>
        <v>2.5973189165932674E-3</v>
      </c>
      <c r="AC46" s="354">
        <f>Table2[[#This Row],[Cout ESR Loss]]</f>
        <v>2.5973189165932674E-3</v>
      </c>
      <c r="AD46" s="4">
        <f>IF(Table2[[#This Row],[Vin]]&gt;Vout, SQRT(Table2[[#This Row],[Duty Cycle BUCK Leg]]*(1-Table2[[#This Row],[Duty Cycle BUCK Leg]]))*SQRT(Table2[[#This Row],[Iout]]^2+(Table2[[#This Row],[Ripple Current pk-pk]]^2)/12), Table2[[#This Row],[Ripple Current pk-pk]]/SQRT(12))</f>
        <v>1.9914263505403207</v>
      </c>
      <c r="AE46" s="354">
        <f>RCinEsr*Table2[[#This Row],[Irms Cin]]^2</f>
        <v>7.9315578192526801E-3</v>
      </c>
      <c r="AF46" s="549">
        <f>Table2[[#This Row],[Cin ESR Loss]]</f>
        <v>7.9315578192526801E-3</v>
      </c>
      <c r="AG46" s="354">
        <f>Table2[[#This Row],[Irms Lf]]</f>
        <v>4.4981178045176469</v>
      </c>
      <c r="AH46" s="354">
        <f>Rdson1*Table2[[#This Row],[Irms BuCtrl]]^2</f>
        <v>8.4978867889938373E-2</v>
      </c>
      <c r="AI46" s="354">
        <f>CHOOSE(Table2[[#This Row],[Mode Digit]], (Table2[[#This Row],[Vin]]*Table2[[#This Row],[Iout]]/2)*(Fsw)*(Tr_buck+Tf_buck), 0, (Table2[[#This Row],[Vin]]*Table2[[#This Row],[Avg IL]]/2)*(Fsw/1)*(Tr_buck+Tf_buck))</f>
        <v>0.88057338452212597</v>
      </c>
      <c r="AJ46">
        <f>IF(Table2[[#This Row],[Vin]]&gt;Vout, IF(Table2[[#This Row],[Iout]]&gt;Table2[[#This Row],[Ripple Current pk-pk]]/2,0,ABS(Table2[[#This Row],[Iout]]-Table2[[#This Row],[Ripple Current pk-pk]]/2)*Vsd_Q1*Deadtime*Fsw),0)</f>
        <v>0</v>
      </c>
      <c r="AK46" s="354">
        <f>(Table2[[#This Row],[Dead Time Loss BuCtrl]]+Table2[[#This Row],[Transition Loss BuCtrl]]+Table2[[#This Row],[RDS(on) Loss BuCtrl]]*(1+RdsonTopTc*Ta-RdsonTopTc*25))/(1-Table2[[#This Row],[RDS(on) Loss BuCtrl]]*RdsonTopTc*ThetaJA_Q1)</f>
        <v>0.98565460745331668</v>
      </c>
      <c r="AL46" s="354">
        <f>Table2[[#This Row],[Irms Lf]]</f>
        <v>4.4981178045176469</v>
      </c>
      <c r="AM46" s="354">
        <f>Rdson2*Table2[[#This Row],[Irms BuSync]]^2</f>
        <v>8.4978867889938373E-2</v>
      </c>
      <c r="AN46"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0.21362742857142858</v>
      </c>
      <c r="AO46" s="354">
        <f>(Table2[[#This Row],[Deadtime Loss BuSync]]+Table2[[#This Row],[RDS(on) Loss BuSync]]*(1+RdsonBotTc*Ta-RdsonBotTc*25))/(1-Table2[[#This Row],[RDS(on) Loss BuSync]]*RdsonBotTc*ThetaJA_Q2)</f>
        <v>0.30482314259685511</v>
      </c>
      <c r="AP46" s="354">
        <f>Table2[[#This Row],[Irms Lf]]</f>
        <v>4.4981178045176469</v>
      </c>
      <c r="AQ46" s="354">
        <f>Rdson4*Table2[[#This Row],[Irms BoCtlr]]^2</f>
        <v>8.4978867889938373E-2</v>
      </c>
      <c r="AR46" s="354">
        <f>CHOOSE(Table2[[#This Row],[Mode Digit]], 0, (Vout*Table2[[#This Row],[Iin]]/2)*(Fsw)*(Tr_boost+Tf_boost), (Vout*Iout/2)*(Fsw/1)*(Tr_boost+Tf_boost))</f>
        <v>0</v>
      </c>
      <c r="AS46" s="354">
        <f>IF(Table2[[#This Row],[Vin]]&gt;Vout, 0, IF(Table2[[#This Row],[Iin]]&gt;Table2[[#This Row],[Ripple Current pk-pk]]/2,0,ABS(Table2[[#This Row],[Iin]]-Table2[[#This Row],[Ripple Current pk-pk]]/2)*Vsd_Q4*Deadtime*Fsw))</f>
        <v>0</v>
      </c>
      <c r="AT46" s="354">
        <f>(Table2[[#This Row],[Dead Time Loss BoCtlr]]+Table2[[#This Row],[Transition Loss BoCtlr]]+Table2[[#This Row],[RDS(on) Loss BoCtlr]]*(1+RdsonTopTc*Ta-RdsonTopTc*25))/(1-Table2[[#This Row],[RDS(on) Loss BoCtlr]]*RdsonTopTc*ThetaJA_Q4)</f>
        <v>8.6748088943547574E-2</v>
      </c>
      <c r="AU46" s="354">
        <f>Table2[[#This Row],[Irms Lf]]</f>
        <v>4.4981178045176469</v>
      </c>
      <c r="AV46" s="354">
        <f>Rdson3*Table2[[#This Row],[Irms BoSync]]^2</f>
        <v>8.4978867889938373E-2</v>
      </c>
      <c r="AW46"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46" s="354">
        <f>(Table2[[#This Row],[Deadtime Loss BoSync]]+Table2[[#This Row],[RDS(on) Loss BoSync]]*(1+RdsonBotTc*Ta-RdsonBotTc*25))/(1-Table2[[#This Row],[RDS(on) Loss BoSync]]*RdsonBotTc*ThetaJA_Q3)</f>
        <v>8.6748088943547574E-2</v>
      </c>
      <c r="AY46" s="354">
        <f>CHOOSE(Table2[[#This Row],[Mode Digit]], Rdson3*Table2[[#This Row],[Irms Lf]]^2, Rdson1*Table2[[#This Row],[Irms Lf]]^2, 0)</f>
        <v>8.4978867889938373E-2</v>
      </c>
      <c r="AZ46" s="354">
        <f>CHOOSE(Table2[[#This Row],[Mode Digit]], 2*Deadtime*Fsw*IF(VfdSky_Q2&gt;0,VfdSky_Q2,0)*Table2[[#This Row],[Iout]], 2*Deadtime*Fsw*IF(VfdSky_Q3&gt;0,VfdSky_Q3,0)*Table2[[#This Row],[Iin]], 2*Deadtime*Fsw*IF(VfdSky_Q2&gt;0,VfdSky_Q2,0)*Table2[[#This Row],[Iout]]+2*Deadtime*Fsw*IF(VfdSky_Q3&gt;0,VfdSky_Q3,0)*Table2[[#This Row],[Iin]])</f>
        <v>0</v>
      </c>
      <c r="BA4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8.8717202880000012E-2</v>
      </c>
      <c r="BB4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8.8717202880000012E-2</v>
      </c>
      <c r="BC46" s="354">
        <f>CHOOSE(Table2[[#This Row],[Mode Digit]], Rs*Table2[[#This Row],[Irms BuSync]]^2, Rs*Table2[[#This Row],[Irms BoCtlr]]^2, Rs*(Table2[[#This Row],[Irms BuSync]]^2+Table2[[#This Row],[Irms BoCtlr]]^2))</f>
        <v>5.0582659458296639E-2</v>
      </c>
      <c r="BD46" s="354">
        <f t="shared" si="6"/>
        <v>1.44</v>
      </c>
      <c r="BE46" s="354">
        <f>IF(Vout&gt;8, Iq*Vout, Iq*Table2[[#This Row],[Vin]])</f>
        <v>4.3799999999999999E-2</v>
      </c>
      <c r="BF46" s="354">
        <f>CHOOSE(Table2[[#This Row],[Mode Digit]], (Qg_Q1+Qg_Q2)*Fsw, (Qg_Q3+Qg_Q4)*Fsw, (Qg_Q1+Qg_Q2+Qg_Q3+Qg_Q4)*Fsw)*IF(Vout&gt;8, Vout, Table2[[#This Row],[Vin]])</f>
        <v>0.47303999999999996</v>
      </c>
      <c r="BG46" s="354">
        <f t="shared" si="4"/>
        <v>0.45605042016806729</v>
      </c>
      <c r="BH46" s="354">
        <f>Table2[[#This Row],[IQ Loss]]+Table2[[#This Row],[Switching Current Loss]]</f>
        <v>0.51683999999999997</v>
      </c>
      <c r="BI46"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4.0424564662907336</v>
      </c>
      <c r="BJ46">
        <f>Vout*Table2[[#This Row],[Iout]]</f>
        <v>64.823999999999998</v>
      </c>
      <c r="BK46" s="550">
        <f>Table2[[#This Row],[Pout]]/(Table2[[#This Row],[Pout]]+Table2[[#This Row],[Total Loss]])</f>
        <v>0.9413000657545163</v>
      </c>
      <c r="BL46" s="559">
        <f>IF(Table2[[#This Row],[Vin]]&gt;Vout,ThetaJA_Q1*(Table2[[#This Row],[Total Control Bu MOSFET Loss]]+Table2[[#This Row],[Reverse Recovery Loss MOSFET D BUCK]]),ThetaJA_Q4*(Table2[[#This Row],[Total Control Bo MOSFET Loss]]+Table2[[#This Row],[Reverse Recovery Loss MOSFET D BOOST]]))</f>
        <v>64.462308619998993</v>
      </c>
      <c r="BM46" s="559">
        <f>IF(Table2[[#This Row],[Vin]]&gt;Vout, Table2[[#This Row],[Total Sync Bu MOSFET Loss]]*ThetaJA_Q2, ThetaJA_Q3*Table2[[#This Row],[Total Sync Bo MOSFET Loss]])</f>
        <v>18.289388555811307</v>
      </c>
      <c r="BN46" s="9"/>
      <c r="BO46" s="4">
        <f>Table2[[#This Row],[EFF, h]]*100</f>
        <v>94.130006575451631</v>
      </c>
      <c r="BP46" s="354">
        <f>Table2[[#This Row],[Total Inductor Loss]]</f>
        <v>0.38309659639932347</v>
      </c>
      <c r="BQ46" s="354">
        <f>Table2[[#This Row],[Total Control Bu MOSFET Loss]]+Table2[[#This Row],[Total Sync Bu MOSFET Loss]]+Table2[[#This Row],[Total Control Bo MOSFET Loss]]+Table2[[#This Row],[Total Sync Bo MOSFET Loss]]+Table2[[#This Row],[Reverse Recovery Loss MOSFET D BUCK]]+Table2[[#This Row],[Reverse Recovery Loss MOSFET D BOOST]]</f>
        <v>1.6414083336972674</v>
      </c>
      <c r="BR46" s="354">
        <f xml:space="preserve"> Table2[[#This Row],[Total Control Bu MOSFET Loss]]+Table2[[#This Row],[Reverse Recovery Loss MOSFET D BUCK]]*0.66</f>
        <v>1.0442079613541166</v>
      </c>
      <c r="BS46" s="354">
        <f>Table2[[#This Row],[Total Sync Bu MOSFET Loss]]+Table2[[#This Row],[Reverse Recovery Loss MOSFET D BUCK]]*0.33</f>
        <v>0.33409981954725509</v>
      </c>
      <c r="BT46" s="354">
        <f xml:space="preserve"> Table2[[#This Row],[Total Control Bo MOSFET Loss]]+Table2[[#This Row],[Reverse Recovery Loss MOSFET D BOOST]]*0.66</f>
        <v>0.14530144284434759</v>
      </c>
      <c r="BU46" s="354">
        <f xml:space="preserve"> Table2[[#This Row],[Total Sync Bo MOSFET Loss]]+Table2[[#This Row],[Reverse Recovery Loss MOSFET D BOOST]]*0.33</f>
        <v>0.11602476589394758</v>
      </c>
      <c r="BV46" s="354">
        <f>Table2[[#This Row],[Isense Shunt Loss]]</f>
        <v>5.0582659458296639E-2</v>
      </c>
      <c r="CA46">
        <v>9.9978999999999996</v>
      </c>
      <c r="CB46">
        <v>6.1950000000000003</v>
      </c>
      <c r="CC46">
        <v>5.109191</v>
      </c>
      <c r="CD46">
        <v>93.156651672159526</v>
      </c>
      <c r="CE46">
        <v>2325.1351758999972</v>
      </c>
    </row>
    <row r="47" spans="1:83" ht="15.75" x14ac:dyDescent="0.3">
      <c r="A47" s="446" t="s">
        <v>644</v>
      </c>
      <c r="B47" s="5">
        <f>ThetaJA_Q1</f>
        <v>60</v>
      </c>
      <c r="C47" s="441" t="s">
        <v>237</v>
      </c>
      <c r="D47" s="21" t="s">
        <v>105</v>
      </c>
      <c r="G47">
        <v>38</v>
      </c>
      <c r="H47" s="555">
        <f t="shared" si="5"/>
        <v>20</v>
      </c>
      <c r="I47" s="4" t="str">
        <f>IF(Mode = 2,IF(Table2[[#This Row],[Vin]]&gt;Vout, "BUCK","BOOST"),IF(Table2[[#This Row],[Vin]]&gt;VIN_BB_to_buck, "BUCK", IF(Table2[[#This Row],[Vin]]&lt;=VIN_boost_to_BB,"BOOST","BUCK-BST")))</f>
        <v>BUCK</v>
      </c>
      <c r="J47">
        <f>IF(Table2[[#This Row],[Mode]]="BOOST",2, IF(Table2[[#This Row],[Mode]]="BUCK", 1,3))</f>
        <v>1</v>
      </c>
      <c r="K47" s="354">
        <f t="shared" si="7"/>
        <v>4.5599999999999996</v>
      </c>
      <c r="L47" s="4">
        <f>Vout*Table2[[#This Row],[Iout]]/(Table2[[#This Row],[Vin]]*Efficiency)</f>
        <v>3.5039999999999996</v>
      </c>
      <c r="M47" s="711">
        <f>MIN(1/Fsw,CHOOSE(Table2[[#This Row],[Mode Digit]],(Vout+(Rdson2+Rs+Rdcr)*Table2[[#This Row],[Iout]])/(Table2[[#This Row],[Vin]]+(Rs+Rdson2-Rdson1)*Table2[[#This Row],[Iout]])/Fsw,(Vout+(Rdson3+Rdcr)*Table2[[#This Row],[Iin]]-Table2[[#This Row],[Vin]])/(Vout+(Rdson3-Rdson4-Rs)*Table2[[#This Row],[Iin]])/Fsw,t1_Ph_II))</f>
        <v>1.2207208557788728E-6</v>
      </c>
      <c r="N47" s="602">
        <f>CHOOSE(Table2[[#This Row],[Mode Digit]],1/Fsw-Table2[[#This Row],[t1_Ph_II]],1/Fsw-Table2[[#This Row],[t1_Ph_II]],(Vout/Fsw-Table2[[#This Row],[Vin]]*t1_Ph_II)/(Table2[[#This Row],[Vin]]+Vout))</f>
        <v>4.4594581088779385E-7</v>
      </c>
      <c r="O47" s="602">
        <f>1/Fsw-(Table2[[#This Row],[t1_Ph_II]]+Table2[[#This Row],[t2_Ph_I]])</f>
        <v>0</v>
      </c>
      <c r="P47"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3.3115354884079702</v>
      </c>
      <c r="Q47" s="4">
        <f>CHOOSE(Table2[[#This Row],[Mode Digit]],Table2[[#This Row],[I_0]]+1/Lf*(Table2[[#This Row],[Vin]]-Vout)*Table2[[#This Row],[t1_Ph_II]],Table2[[#This Row],[I_0]]+1/Lf*Table2[[#This Row],[Vin]]*Table2[[#This Row],[t1_Ph_II]],Table2[[#This Row],[I_0]]+(Table2[[#This Row],[Vin]]-Vout)/L*Table2[[#This Row],[t1_Ph_II]])</f>
        <v>5.8084645115920281</v>
      </c>
      <c r="R47" s="4">
        <f>CHOOSE(Table2[[#This Row],[Mode Digit]],0,0,Table2[[#This Row],[I_1]]+Table2[[#This Row],[Vin]]/L*Table2[[#This Row],[t2_Ph_I]])</f>
        <v>0</v>
      </c>
      <c r="S47" s="409">
        <f>Fsw*(Table2[[#This Row],[I_0]]*Table2[[#This Row],[t1_Ph_II]]+Table2[[#This Row],[I_1]]*Table2[[#This Row],[t2_Ph_I]]+Table2[[#This Row],[I_2]]*Table2[[#This Row],[t3_Ph_III]])</f>
        <v>3.9796325111918192</v>
      </c>
      <c r="T47" s="354">
        <f>MIN(1,CHOOSE(Table2[[#This Row],[Mode Digit]],(Vout+(Rdson2+Rs+Rdcr)*Table2[[#This Row],[Iout]])/(Table2[[#This Row],[Vin]]+(Rs+Rdson2-Rdson1)*Table2[[#This Row],[Iout]]),1,Fsw*Table2[[#This Row],[t2_Ph_I]]+Table2[[#This Row],[t1_Ph_II]]))</f>
        <v>0.73243251346732374</v>
      </c>
      <c r="U47" s="354">
        <f>MIN(1,CHOOSE(Table2[[#This Row],[Mode Digit]],0,(Vout+(Rdson3+Rdcr)*Table2[[#This Row],[Iin]]-Table2[[#This Row],[Vin]])/(Vout+(Rdson3-Rdson4-Rs)*Table2[[#This Row],[Iin]]),Fsw*Table2[[#This Row],[t1_Ph_II]]+Table2[[#This Row],[t3_Ph_III]]))</f>
        <v>0</v>
      </c>
      <c r="V47" s="4">
        <f>MAX(Table2[[#This Row],[I_0]:[I_2]])-MIN(Table2[[#This Row],[I_0]:[I_1]])</f>
        <v>2.496929023184058</v>
      </c>
      <c r="W47"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4.6166172188701369</v>
      </c>
      <c r="X47" s="354">
        <f>(Table2[[#This Row],[Irms Lf]]^2*Rdcr*(1+Ltc*Ta-Ltc*25))/(1-Table2[[#This Row],[Irms Lf]]^2*Rdcr*Ltc*ThetaCa)</f>
        <v>0.12485098568007195</v>
      </c>
      <c r="Y47" s="354">
        <f>ABS(7.759*10^-3*Fsw^0.9458*(0.00787*Table2[[#This Row],[Ripple Current pk-pk]])^2.304)</f>
        <v>0.26468593654025035</v>
      </c>
      <c r="Z47" s="354">
        <f>Table2[[#This Row],[DCR    Loss]]+Table2[[#This Row],[Core Loss]]</f>
        <v>0.38953692222032232</v>
      </c>
      <c r="AA47" s="4">
        <f>IF(Table2[[#This Row],[Vin]]&gt;Vout, Table2[[#This Row],[Ripple Current pk-pk]]/SQRT(12), SQRT(Table2[[#This Row],[Duty Cycle BOOST Leg]]/(1-Table2[[#This Row],[Duty Cycle BOOST Leg]]))*SQRT(Table2[[#This Row],[Iout]]^2+(Table2[[#This Row],[Ripple Current pk-pk]]^2)/12))</f>
        <v>0.72080132184135259</v>
      </c>
      <c r="AB47" s="354">
        <f>RCoutEsr*Table2[[#This Row],[Irms Cout]]^2</f>
        <v>2.5977727278412061E-3</v>
      </c>
      <c r="AC47" s="354">
        <f>Table2[[#This Row],[Cout ESR Loss]]</f>
        <v>2.5977727278412061E-3</v>
      </c>
      <c r="AD47" s="4">
        <f>IF(Table2[[#This Row],[Vin]]&gt;Vout, SQRT(Table2[[#This Row],[Duty Cycle BUCK Leg]]*(1-Table2[[#This Row],[Duty Cycle BUCK Leg]]))*SQRT(Table2[[#This Row],[Iout]]^2+(Table2[[#This Row],[Ripple Current pk-pk]]^2)/12), Table2[[#This Row],[Ripple Current pk-pk]]/SQRT(12))</f>
        <v>2.043733877511376</v>
      </c>
      <c r="AE47" s="354">
        <f>RCinEsr*Table2[[#This Row],[Irms Cin]]^2</f>
        <v>8.3536963241753696E-3</v>
      </c>
      <c r="AF47" s="549">
        <f>Table2[[#This Row],[Cin ESR Loss]]</f>
        <v>8.3536963241753696E-3</v>
      </c>
      <c r="AG47" s="354">
        <f>Table2[[#This Row],[Irms Lf]]</f>
        <v>4.6166172188701369</v>
      </c>
      <c r="AH47" s="354">
        <f>Rdson1*Table2[[#This Row],[Irms BuCtrl]]^2</f>
        <v>8.9515249091386612E-2</v>
      </c>
      <c r="AI47" s="354">
        <f>CHOOSE(Table2[[#This Row],[Mode Digit]], (Table2[[#This Row],[Vin]]*Table2[[#This Row],[Iout]]/2)*(Fsw)*(Tr_buck+Tf_buck), 0, (Table2[[#This Row],[Vin]]*Table2[[#This Row],[Avg IL]]/2)*(Fsw/1)*(Tr_buck+Tf_buck))</f>
        <v>0.9043726651848859</v>
      </c>
      <c r="AJ47">
        <f>IF(Table2[[#This Row],[Vin]]&gt;Vout, IF(Table2[[#This Row],[Iout]]&gt;Table2[[#This Row],[Ripple Current pk-pk]]/2,0,ABS(Table2[[#This Row],[Iout]]-Table2[[#This Row],[Ripple Current pk-pk]]/2)*Vsd_Q1*Deadtime*Fsw),0)</f>
        <v>0</v>
      </c>
      <c r="AK47" s="354">
        <f>(Table2[[#This Row],[Dead Time Loss BuCtrl]]+Table2[[#This Row],[Transition Loss BuCtrl]]+Table2[[#This Row],[RDS(on) Loss BuCtrl]]*(1+RdsonTopTc*Ta-RdsonTopTc*25))/(1-Table2[[#This Row],[RDS(on) Loss BuCtrl]]*RdsonTopTc*ThetaJA_Q1)</f>
        <v>1.0157090622061351</v>
      </c>
      <c r="AL47" s="354">
        <f>Table2[[#This Row],[Irms Lf]]</f>
        <v>4.6166172188701369</v>
      </c>
      <c r="AM47" s="354">
        <f>Rdson2*Table2[[#This Row],[Irms BuSync]]^2</f>
        <v>8.9515249091386612E-2</v>
      </c>
      <c r="AN47"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0.21940114285714282</v>
      </c>
      <c r="AO47" s="354">
        <f>(Table2[[#This Row],[Deadtime Loss BuSync]]+Table2[[#This Row],[RDS(on) Loss BuSync]]*(1+RdsonBotTc*Ta-RdsonBotTc*25))/(1-Table2[[#This Row],[RDS(on) Loss BuSync]]*RdsonBotTc*ThetaJA_Q2)</f>
        <v>0.31569875662953761</v>
      </c>
      <c r="AP47" s="354">
        <f>Table2[[#This Row],[Irms Lf]]</f>
        <v>4.6166172188701369</v>
      </c>
      <c r="AQ47" s="354">
        <f>Rdson4*Table2[[#This Row],[Irms BoCtlr]]^2</f>
        <v>8.9515249091386612E-2</v>
      </c>
      <c r="AR47" s="354">
        <f>CHOOSE(Table2[[#This Row],[Mode Digit]], 0, (Vout*Table2[[#This Row],[Iin]]/2)*(Fsw)*(Tr_boost+Tf_boost), (Vout*Iout/2)*(Fsw/1)*(Tr_boost+Tf_boost))</f>
        <v>0</v>
      </c>
      <c r="AS47" s="354">
        <f>IF(Table2[[#This Row],[Vin]]&gt;Vout, 0, IF(Table2[[#This Row],[Iin]]&gt;Table2[[#This Row],[Ripple Current pk-pk]]/2,0,ABS(Table2[[#This Row],[Iin]]-Table2[[#This Row],[Ripple Current pk-pk]]/2)*Vsd_Q4*Deadtime*Fsw))</f>
        <v>0</v>
      </c>
      <c r="AT47" s="354">
        <f>(Table2[[#This Row],[Dead Time Loss BoCtlr]]+Table2[[#This Row],[Transition Loss BoCtlr]]+Table2[[#This Row],[RDS(on) Loss BoCtlr]]*(1+RdsonTopTc*Ta-RdsonTopTc*25))/(1-Table2[[#This Row],[RDS(on) Loss BoCtlr]]*RdsonTopTc*ThetaJA_Q4)</f>
        <v>9.1480586896931837E-2</v>
      </c>
      <c r="AU47" s="354">
        <f>Table2[[#This Row],[Irms Lf]]</f>
        <v>4.6166172188701369</v>
      </c>
      <c r="AV47" s="354">
        <f>Rdson3*Table2[[#This Row],[Irms BoSync]]^2</f>
        <v>8.9515249091386612E-2</v>
      </c>
      <c r="AW47"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47" s="354">
        <f>(Table2[[#This Row],[Deadtime Loss BoSync]]+Table2[[#This Row],[RDS(on) Loss BoSync]]*(1+RdsonBotTc*Ta-RdsonBotTc*25))/(1-Table2[[#This Row],[RDS(on) Loss BoSync]]*RdsonBotTc*ThetaJA_Q3)</f>
        <v>9.1480586896931837E-2</v>
      </c>
      <c r="AY47" s="354">
        <f>CHOOSE(Table2[[#This Row],[Mode Digit]], Rdson3*Table2[[#This Row],[Irms Lf]]^2, Rdson1*Table2[[#This Row],[Irms Lf]]^2, 0)</f>
        <v>8.9515249091386612E-2</v>
      </c>
      <c r="AZ47" s="354">
        <f>CHOOSE(Table2[[#This Row],[Mode Digit]], 2*Deadtime*Fsw*IF(VfdSky_Q2&gt;0,VfdSky_Q2,0)*Table2[[#This Row],[Iout]], 2*Deadtime*Fsw*IF(VfdSky_Q3&gt;0,VfdSky_Q3,0)*Table2[[#This Row],[Iin]], 2*Deadtime*Fsw*IF(VfdSky_Q2&gt;0,VfdSky_Q2,0)*Table2[[#This Row],[Iout]]+2*Deadtime*Fsw*IF(VfdSky_Q3&gt;0,VfdSky_Q3,0)*Table2[[#This Row],[Iin]])</f>
        <v>0</v>
      </c>
      <c r="BA4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9.1112666879999998E-2</v>
      </c>
      <c r="BB4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9.1112666879999998E-2</v>
      </c>
      <c r="BC47" s="354">
        <f>CHOOSE(Table2[[#This Row],[Mode Digit]], Rs*Table2[[#This Row],[Irms BuSync]]^2, Rs*Table2[[#This Row],[Irms BoCtlr]]^2, Rs*(Table2[[#This Row],[Irms BuSync]]^2+Table2[[#This Row],[Irms BoCtlr]]^2))</f>
        <v>5.3282886363920597E-2</v>
      </c>
      <c r="BD47" s="354">
        <f t="shared" si="6"/>
        <v>1.44</v>
      </c>
      <c r="BE47" s="354">
        <f>IF(Vout&gt;8, Iq*Vout, Iq*Table2[[#This Row],[Vin]])</f>
        <v>4.3799999999999999E-2</v>
      </c>
      <c r="BF47" s="354">
        <f>CHOOSE(Table2[[#This Row],[Mode Digit]], (Qg_Q1+Qg_Q2)*Fsw, (Qg_Q3+Qg_Q4)*Fsw, (Qg_Q1+Qg_Q2+Qg_Q3+Qg_Q4)*Fsw)*IF(Vout&gt;8, Vout, Table2[[#This Row],[Vin]])</f>
        <v>0.47303999999999996</v>
      </c>
      <c r="BG47" s="354">
        <f t="shared" si="4"/>
        <v>0.45605042016806729</v>
      </c>
      <c r="BH47" s="354">
        <f>Table2[[#This Row],[IQ Loss]]+Table2[[#This Row],[Switching Current Loss]]</f>
        <v>0.51683999999999997</v>
      </c>
      <c r="BI47"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4.107205604025796</v>
      </c>
      <c r="BJ47">
        <f>Vout*Table2[[#This Row],[Iout]]</f>
        <v>66.575999999999993</v>
      </c>
      <c r="BK47" s="550">
        <f>Table2[[#This Row],[Pout]]/(Table2[[#This Row],[Pout]]+Table2[[#This Row],[Total Loss]])</f>
        <v>0.9418927654889514</v>
      </c>
      <c r="BL47" s="559">
        <f>IF(Table2[[#This Row],[Vin]]&gt;Vout,ThetaJA_Q1*(Table2[[#This Row],[Total Control Bu MOSFET Loss]]+Table2[[#This Row],[Reverse Recovery Loss MOSFET D BUCK]]),ThetaJA_Q4*(Table2[[#This Row],[Total Control Bo MOSFET Loss]]+Table2[[#This Row],[Reverse Recovery Loss MOSFET D BOOST]]))</f>
        <v>66.409303745168103</v>
      </c>
      <c r="BM47" s="559">
        <f>IF(Table2[[#This Row],[Vin]]&gt;Vout, Table2[[#This Row],[Total Sync Bu MOSFET Loss]]*ThetaJA_Q2, ThetaJA_Q3*Table2[[#This Row],[Total Sync Bo MOSFET Loss]])</f>
        <v>18.941925397772255</v>
      </c>
      <c r="BN47" s="9"/>
      <c r="BO47" s="4">
        <f>Table2[[#This Row],[EFF, h]]*100</f>
        <v>94.189276548895137</v>
      </c>
      <c r="BP47" s="354">
        <f>Table2[[#This Row],[Total Inductor Loss]]</f>
        <v>0.38953692222032232</v>
      </c>
      <c r="BQ47" s="354">
        <f>Table2[[#This Row],[Total Control Bu MOSFET Loss]]+Table2[[#This Row],[Total Sync Bu MOSFET Loss]]+Table2[[#This Row],[Total Control Bo MOSFET Loss]]+Table2[[#This Row],[Total Sync Bo MOSFET Loss]]+Table2[[#This Row],[Reverse Recovery Loss MOSFET D BUCK]]+Table2[[#This Row],[Reverse Recovery Loss MOSFET D BOOST]]</f>
        <v>1.696594326389536</v>
      </c>
      <c r="BR47" s="354">
        <f xml:space="preserve"> Table2[[#This Row],[Total Control Bu MOSFET Loss]]+Table2[[#This Row],[Reverse Recovery Loss MOSFET D BUCK]]*0.66</f>
        <v>1.0758434223469351</v>
      </c>
      <c r="BS47" s="354">
        <f>Table2[[#This Row],[Total Sync Bu MOSFET Loss]]+Table2[[#This Row],[Reverse Recovery Loss MOSFET D BUCK]]*0.33</f>
        <v>0.3457659366999376</v>
      </c>
      <c r="BT47" s="354">
        <f xml:space="preserve"> Table2[[#This Row],[Total Control Bo MOSFET Loss]]+Table2[[#This Row],[Reverse Recovery Loss MOSFET D BOOST]]*0.66</f>
        <v>0.15161494703773185</v>
      </c>
      <c r="BU47" s="354">
        <f xml:space="preserve"> Table2[[#This Row],[Total Sync Bo MOSFET Loss]]+Table2[[#This Row],[Reverse Recovery Loss MOSFET D BOOST]]*0.33</f>
        <v>0.12154776696733184</v>
      </c>
      <c r="BV47" s="354">
        <f>Table2[[#This Row],[Isense Shunt Loss]]</f>
        <v>5.3282886363920597E-2</v>
      </c>
      <c r="CA47">
        <v>9.9976269999999996</v>
      </c>
      <c r="CB47">
        <v>6.9470000000000001</v>
      </c>
      <c r="CC47">
        <v>5.1086669999999996</v>
      </c>
      <c r="CD47">
        <v>92.656807634751772</v>
      </c>
      <c r="CE47">
        <v>2812.6290012010018</v>
      </c>
    </row>
    <row r="48" spans="1:83" x14ac:dyDescent="0.2">
      <c r="A48" s="24" t="s">
        <v>726</v>
      </c>
      <c r="B48" s="15" t="s">
        <v>113</v>
      </c>
      <c r="C48" s="24" t="s">
        <v>80</v>
      </c>
      <c r="D48" s="17" t="s">
        <v>109</v>
      </c>
      <c r="G48">
        <v>39</v>
      </c>
      <c r="H48" s="555">
        <f t="shared" si="5"/>
        <v>20</v>
      </c>
      <c r="I48" s="4" t="str">
        <f>IF(Mode = 2,IF(Table2[[#This Row],[Vin]]&gt;Vout, "BUCK","BOOST"),IF(Table2[[#This Row],[Vin]]&gt;VIN_BB_to_buck, "BUCK", IF(Table2[[#This Row],[Vin]]&lt;=VIN_boost_to_BB,"BOOST","BUCK-BST")))</f>
        <v>BUCK</v>
      </c>
      <c r="J48">
        <f>IF(Table2[[#This Row],[Mode]]="BOOST",2, IF(Table2[[#This Row],[Mode]]="BUCK", 1,3))</f>
        <v>1</v>
      </c>
      <c r="K48" s="354">
        <f t="shared" si="7"/>
        <v>4.68</v>
      </c>
      <c r="L48" s="4">
        <f>Vout*Table2[[#This Row],[Iout]]/(Table2[[#This Row],[Vin]]*Efficiency)</f>
        <v>3.5962105263157889</v>
      </c>
      <c r="M48" s="711">
        <f>MIN(1/Fsw,CHOOSE(Table2[[#This Row],[Mode Digit]],(Vout+(Rdson2+Rs+Rdcr)*Table2[[#This Row],[Iout]])/(Table2[[#This Row],[Vin]]+(Rs+Rdson2-Rdson1)*Table2[[#This Row],[Iout]])/Fsw,(Vout+(Rdson3+Rdcr)*Table2[[#This Row],[Iin]]-Table2[[#This Row],[Vin]])/(Vout+(Rdson3-Rdson4-Rs)*Table2[[#This Row],[Iin]])/Fsw,t1_Ph_II))</f>
        <v>1.220827482589352E-6</v>
      </c>
      <c r="N48" s="602">
        <f>CHOOSE(Table2[[#This Row],[Mode Digit]],1/Fsw-Table2[[#This Row],[t1_Ph_II]],1/Fsw-Table2[[#This Row],[t1_Ph_II]],(Vout/Fsw-Table2[[#This Row],[Vin]]*t1_Ph_II)/(Table2[[#This Row],[Vin]]+Vout))</f>
        <v>4.4583918407731471E-7</v>
      </c>
      <c r="O48" s="602">
        <f>1/Fsw-(Table2[[#This Row],[t1_Ph_II]]+Table2[[#This Row],[t2_Ph_I]])</f>
        <v>0</v>
      </c>
      <c r="P48"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3.4314264382608899</v>
      </c>
      <c r="Q48" s="4">
        <f>CHOOSE(Table2[[#This Row],[Mode Digit]],Table2[[#This Row],[I_0]]+1/Lf*(Table2[[#This Row],[Vin]]-Vout)*Table2[[#This Row],[t1_Ph_II]],Table2[[#This Row],[I_0]]+1/Lf*Table2[[#This Row],[Vin]]*Table2[[#This Row],[t1_Ph_II]],Table2[[#This Row],[I_0]]+(Table2[[#This Row],[Vin]]-Vout)/L*Table2[[#This Row],[t1_Ph_II]])</f>
        <v>5.9285735617391104</v>
      </c>
      <c r="R48" s="4">
        <f>CHOOSE(Table2[[#This Row],[Mode Digit]],0,0,Table2[[#This Row],[I_1]]+Table2[[#This Row],[Vin]]/L*Table2[[#This Row],[t2_Ph_I]])</f>
        <v>0</v>
      </c>
      <c r="S48" s="409">
        <f>Fsw*(Table2[[#This Row],[I_0]]*Table2[[#This Row],[t1_Ph_II]]+Table2[[#This Row],[I_1]]*Table2[[#This Row],[t2_Ph_I]]+Table2[[#This Row],[I_2]]*Table2[[#This Row],[t3_Ph_III]])</f>
        <v>4.099422059892416</v>
      </c>
      <c r="T48" s="354">
        <f>MIN(1,CHOOSE(Table2[[#This Row],[Mode Digit]],(Vout+(Rdson2+Rs+Rdcr)*Table2[[#This Row],[Iout]])/(Table2[[#This Row],[Vin]]+(Rs+Rdson2-Rdson1)*Table2[[#This Row],[Iout]]),1,Fsw*Table2[[#This Row],[t2_Ph_I]]+Table2[[#This Row],[t1_Ph_II]]))</f>
        <v>0.73249648955361113</v>
      </c>
      <c r="U48" s="354">
        <f>MIN(1,CHOOSE(Table2[[#This Row],[Mode Digit]],0,(Vout+(Rdson3+Rdcr)*Table2[[#This Row],[Iin]]-Table2[[#This Row],[Vin]])/(Vout+(Rdson3-Rdson4-Rs)*Table2[[#This Row],[Iin]]),Fsw*Table2[[#This Row],[t1_Ph_II]]+Table2[[#This Row],[t3_Ph_III]]))</f>
        <v>0</v>
      </c>
      <c r="V48" s="4">
        <f>MAX(Table2[[#This Row],[I_0]:[I_2]])-MIN(Table2[[#This Row],[I_0]:[I_1]])</f>
        <v>2.4971471234782205</v>
      </c>
      <c r="W48"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4.7351922150029591</v>
      </c>
      <c r="X48" s="354">
        <f>(Table2[[#This Row],[Irms Lf]]^2*Rdcr*(1+Ltc*Ta-Ltc*25))/(1-Table2[[#This Row],[Irms Lf]]^2*Rdcr*Ltc*ThetaCa)</f>
        <v>0.13141508286905063</v>
      </c>
      <c r="Y48" s="354">
        <f>ABS(7.759*10^-3*Fsw^0.9458*(0.00787*Table2[[#This Row],[Ripple Current pk-pk]])^2.304)</f>
        <v>0.26473920720646132</v>
      </c>
      <c r="Z48" s="354">
        <f>Table2[[#This Row],[DCR    Loss]]+Table2[[#This Row],[Core Loss]]</f>
        <v>0.39615429007551195</v>
      </c>
      <c r="AA48" s="4">
        <f>IF(Table2[[#This Row],[Vin]]&gt;Vout, Table2[[#This Row],[Ripple Current pk-pk]]/SQRT(12), SQRT(Table2[[#This Row],[Duty Cycle BOOST Leg]]/(1-Table2[[#This Row],[Duty Cycle BOOST Leg]]))*SQRT(Table2[[#This Row],[Iout]]^2+(Table2[[#This Row],[Ripple Current pk-pk]]^2)/12))</f>
        <v>0.72086428197312513</v>
      </c>
      <c r="AB48" s="354">
        <f>RCoutEsr*Table2[[#This Row],[Irms Cout]]^2</f>
        <v>2.5982265651231461E-3</v>
      </c>
      <c r="AC48" s="354">
        <f>Table2[[#This Row],[Cout ESR Loss]]</f>
        <v>2.5982265651231461E-3</v>
      </c>
      <c r="AD48" s="4">
        <f>IF(Table2[[#This Row],[Vin]]&gt;Vout, SQRT(Table2[[#This Row],[Duty Cycle BUCK Leg]]*(1-Table2[[#This Row],[Duty Cycle BUCK Leg]]))*SQRT(Table2[[#This Row],[Iout]]^2+(Table2[[#This Row],[Ripple Current pk-pk]]^2)/12), Table2[[#This Row],[Ripple Current pk-pk]]/SQRT(12))</f>
        <v>2.0960668505138562</v>
      </c>
      <c r="AE48" s="354">
        <f>RCinEsr*Table2[[#This Row],[Irms Cin]]^2</f>
        <v>8.7869924836461531E-3</v>
      </c>
      <c r="AF48" s="549">
        <f>Table2[[#This Row],[Cin ESR Loss]]</f>
        <v>8.7869924836461531E-3</v>
      </c>
      <c r="AG48" s="354">
        <f>Table2[[#This Row],[Irms Lf]]</f>
        <v>4.7351922150029591</v>
      </c>
      <c r="AH48" s="354">
        <f>Rdson1*Table2[[#This Row],[Irms BuCtrl]]^2</f>
        <v>9.4172590314703458E-2</v>
      </c>
      <c r="AI48" s="354">
        <f>CHOOSE(Table2[[#This Row],[Mode Digit]], (Table2[[#This Row],[Vin]]*Table2[[#This Row],[Iout]]/2)*(Fsw)*(Tr_buck+Tf_buck), 0, (Table2[[#This Row],[Vin]]*Table2[[#This Row],[Avg IL]]/2)*(Fsw/1)*(Tr_buck+Tf_buck))</f>
        <v>0.92817194584764617</v>
      </c>
      <c r="AJ48">
        <f>IF(Table2[[#This Row],[Vin]]&gt;Vout, IF(Table2[[#This Row],[Iout]]&gt;Table2[[#This Row],[Ripple Current pk-pk]]/2,0,ABS(Table2[[#This Row],[Iout]]-Table2[[#This Row],[Ripple Current pk-pk]]/2)*Vsd_Q1*Deadtime*Fsw),0)</f>
        <v>0</v>
      </c>
      <c r="AK48" s="354">
        <f>(Table2[[#This Row],[Dead Time Loss BuCtrl]]+Table2[[#This Row],[Transition Loss BuCtrl]]+Table2[[#This Row],[RDS(on) Loss BuCtrl]]*(1+RdsonTopTc*Ta-RdsonTopTc*25))/(1-Table2[[#This Row],[RDS(on) Loss BuCtrl]]*RdsonTopTc*ThetaJA_Q1)</f>
        <v>1.0459852907858</v>
      </c>
      <c r="AL48" s="354">
        <f>Table2[[#This Row],[Irms Lf]]</f>
        <v>4.7351922150029591</v>
      </c>
      <c r="AM48" s="354">
        <f>Rdson2*Table2[[#This Row],[Irms BuSync]]^2</f>
        <v>9.4172590314703458E-2</v>
      </c>
      <c r="AN48"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0.22517485714285712</v>
      </c>
      <c r="AO48" s="354">
        <f>(Table2[[#This Row],[Deadtime Loss BuSync]]+Table2[[#This Row],[RDS(on) Loss BuSync]]*(1+RdsonBotTc*Ta-RdsonBotTc*25))/(1-Table2[[#This Row],[RDS(on) Loss BuSync]]*RdsonBotTc*ThetaJA_Q2)</f>
        <v>0.32673205644007541</v>
      </c>
      <c r="AP48" s="354">
        <f>Table2[[#This Row],[Irms Lf]]</f>
        <v>4.7351922150029591</v>
      </c>
      <c r="AQ48" s="354">
        <f>Rdson4*Table2[[#This Row],[Irms BoCtlr]]^2</f>
        <v>9.4172590314703458E-2</v>
      </c>
      <c r="AR48" s="354">
        <f>CHOOSE(Table2[[#This Row],[Mode Digit]], 0, (Vout*Table2[[#This Row],[Iin]]/2)*(Fsw)*(Tr_boost+Tf_boost), (Vout*Iout/2)*(Fsw/1)*(Tr_boost+Tf_boost))</f>
        <v>0</v>
      </c>
      <c r="AS48" s="354">
        <f>IF(Table2[[#This Row],[Vin]]&gt;Vout, 0, IF(Table2[[#This Row],[Iin]]&gt;Table2[[#This Row],[Ripple Current pk-pk]]/2,0,ABS(Table2[[#This Row],[Iin]]-Table2[[#This Row],[Ripple Current pk-pk]]/2)*Vsd_Q4*Deadtime*Fsw))</f>
        <v>0</v>
      </c>
      <c r="AT48" s="354">
        <f>(Table2[[#This Row],[Dead Time Loss BoCtlr]]+Table2[[#This Row],[Transition Loss BoCtlr]]+Table2[[#This Row],[RDS(on) Loss BoCtlr]]*(1+RdsonTopTc*Ta-RdsonTopTc*25))/(1-Table2[[#This Row],[RDS(on) Loss BoCtlr]]*RdsonTopTc*ThetaJA_Q4)</f>
        <v>9.6350242780321074E-2</v>
      </c>
      <c r="AU48" s="354">
        <f>Table2[[#This Row],[Irms Lf]]</f>
        <v>4.7351922150029591</v>
      </c>
      <c r="AV48" s="354">
        <f>Rdson3*Table2[[#This Row],[Irms BoSync]]^2</f>
        <v>9.4172590314703458E-2</v>
      </c>
      <c r="AW48"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48" s="354">
        <f>(Table2[[#This Row],[Deadtime Loss BoSync]]+Table2[[#This Row],[RDS(on) Loss BoSync]]*(1+RdsonBotTc*Ta-RdsonBotTc*25))/(1-Table2[[#This Row],[RDS(on) Loss BoSync]]*RdsonBotTc*ThetaJA_Q3)</f>
        <v>9.6350242780321074E-2</v>
      </c>
      <c r="AY48" s="354">
        <f>CHOOSE(Table2[[#This Row],[Mode Digit]], Rdson3*Table2[[#This Row],[Irms Lf]]^2, Rdson1*Table2[[#This Row],[Irms Lf]]^2, 0)</f>
        <v>9.4172590314703458E-2</v>
      </c>
      <c r="AZ48" s="354">
        <f>CHOOSE(Table2[[#This Row],[Mode Digit]], 2*Deadtime*Fsw*IF(VfdSky_Q2&gt;0,VfdSky_Q2,0)*Table2[[#This Row],[Iout]], 2*Deadtime*Fsw*IF(VfdSky_Q3&gt;0,VfdSky_Q3,0)*Table2[[#This Row],[Iin]], 2*Deadtime*Fsw*IF(VfdSky_Q2&gt;0,VfdSky_Q2,0)*Table2[[#This Row],[Iout]]+2*Deadtime*Fsw*IF(VfdSky_Q3&gt;0,VfdSky_Q3,0)*Table2[[#This Row],[Iin]])</f>
        <v>0</v>
      </c>
      <c r="BA4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9.3508009919999982E-2</v>
      </c>
      <c r="BB4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9.3508009919999982E-2</v>
      </c>
      <c r="BC48" s="354">
        <f>CHOOSE(Table2[[#This Row],[Mode Digit]], Rs*Table2[[#This Row],[Irms BuSync]]^2, Rs*Table2[[#This Row],[Irms BoCtlr]]^2, Rs*(Table2[[#This Row],[Irms BuSync]]^2+Table2[[#This Row],[Irms BoCtlr]]^2))</f>
        <v>5.6055113282561575E-2</v>
      </c>
      <c r="BD48" s="354">
        <f t="shared" si="6"/>
        <v>1.44</v>
      </c>
      <c r="BE48" s="354">
        <f>IF(Vout&gt;8, Iq*Vout, Iq*Table2[[#This Row],[Vin]])</f>
        <v>4.3799999999999999E-2</v>
      </c>
      <c r="BF48" s="354">
        <f>CHOOSE(Table2[[#This Row],[Mode Digit]], (Qg_Q1+Qg_Q2)*Fsw, (Qg_Q3+Qg_Q4)*Fsw, (Qg_Q1+Qg_Q2+Qg_Q3+Qg_Q4)*Fsw)*IF(Vout&gt;8, Vout, Table2[[#This Row],[Vin]])</f>
        <v>0.47303999999999996</v>
      </c>
      <c r="BG48" s="354">
        <f t="shared" si="4"/>
        <v>0.45605042016806729</v>
      </c>
      <c r="BH48" s="354">
        <f>Table2[[#This Row],[IQ Loss]]+Table2[[#This Row],[Switching Current Loss]]</f>
        <v>0.51683999999999997</v>
      </c>
      <c r="BI48"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4.1728684750333596</v>
      </c>
      <c r="BJ48">
        <f>Vout*Table2[[#This Row],[Iout]]</f>
        <v>68.327999999999989</v>
      </c>
      <c r="BK48" s="550">
        <f>Table2[[#This Row],[Pout]]/(Table2[[#This Row],[Pout]]+Table2[[#This Row],[Total Loss]])</f>
        <v>0.94244388291058423</v>
      </c>
      <c r="BL48" s="559">
        <f>IF(Table2[[#This Row],[Vin]]&gt;Vout,ThetaJA_Q1*(Table2[[#This Row],[Total Control Bu MOSFET Loss]]+Table2[[#This Row],[Reverse Recovery Loss MOSFET D BUCK]]),ThetaJA_Q4*(Table2[[#This Row],[Total Control Bo MOSFET Loss]]+Table2[[#This Row],[Reverse Recovery Loss MOSFET D BOOST]]))</f>
        <v>68.369598042348002</v>
      </c>
      <c r="BM48" s="559">
        <f>IF(Table2[[#This Row],[Vin]]&gt;Vout, Table2[[#This Row],[Total Sync Bu MOSFET Loss]]*ThetaJA_Q2, ThetaJA_Q3*Table2[[#This Row],[Total Sync Bo MOSFET Loss]])</f>
        <v>19.603923386404524</v>
      </c>
      <c r="BN48" s="9"/>
      <c r="BO48" s="4">
        <f>Table2[[#This Row],[EFF, h]]*100</f>
        <v>94.244388291058428</v>
      </c>
      <c r="BP48" s="354">
        <f>Table2[[#This Row],[Total Inductor Loss]]</f>
        <v>0.39615429007551195</v>
      </c>
      <c r="BQ48" s="354">
        <f>Table2[[#This Row],[Total Control Bu MOSFET Loss]]+Table2[[#This Row],[Total Sync Bu MOSFET Loss]]+Table2[[#This Row],[Total Control Bo MOSFET Loss]]+Table2[[#This Row],[Total Sync Bo MOSFET Loss]]+Table2[[#This Row],[Reverse Recovery Loss MOSFET D BUCK]]+Table2[[#This Row],[Reverse Recovery Loss MOSFET D BOOST]]</f>
        <v>1.7524338526265177</v>
      </c>
      <c r="BR48" s="354">
        <f xml:space="preserve"> Table2[[#This Row],[Total Control Bu MOSFET Loss]]+Table2[[#This Row],[Reverse Recovery Loss MOSFET D BUCK]]*0.66</f>
        <v>1.107700577333</v>
      </c>
      <c r="BS48" s="354">
        <f>Table2[[#This Row],[Total Sync Bu MOSFET Loss]]+Table2[[#This Row],[Reverse Recovery Loss MOSFET D BUCK]]*0.33</f>
        <v>0.35758969971367538</v>
      </c>
      <c r="BT48" s="354">
        <f xml:space="preserve"> Table2[[#This Row],[Total Control Bo MOSFET Loss]]+Table2[[#This Row],[Reverse Recovery Loss MOSFET D BOOST]]*0.66</f>
        <v>0.15806552932752105</v>
      </c>
      <c r="BU48" s="354">
        <f xml:space="preserve"> Table2[[#This Row],[Total Sync Bo MOSFET Loss]]+Table2[[#This Row],[Reverse Recovery Loss MOSFET D BOOST]]*0.33</f>
        <v>0.12720788605392108</v>
      </c>
      <c r="BV48" s="354">
        <f>Table2[[#This Row],[Isense Shunt Loss]]</f>
        <v>5.6055113282561575E-2</v>
      </c>
      <c r="CA48">
        <v>9.9975280000000009</v>
      </c>
      <c r="CB48">
        <v>7.7530000000000001</v>
      </c>
      <c r="CC48">
        <v>5.10853</v>
      </c>
      <c r="CD48">
        <v>92.034336419785248</v>
      </c>
      <c r="CE48">
        <v>3427.976173640001</v>
      </c>
    </row>
    <row r="49" spans="1:83" x14ac:dyDescent="0.2">
      <c r="A49" s="23" t="s">
        <v>72</v>
      </c>
      <c r="B49" s="5">
        <f>Rdson2*1000</f>
        <v>4.2</v>
      </c>
      <c r="C49" s="442" t="s">
        <v>638</v>
      </c>
      <c r="D49" s="440" t="s">
        <v>727</v>
      </c>
      <c r="G49">
        <v>40</v>
      </c>
      <c r="H49" s="555">
        <f t="shared" si="5"/>
        <v>20</v>
      </c>
      <c r="I49" s="4" t="str">
        <f>IF(Mode = 2,IF(Table2[[#This Row],[Vin]]&gt;Vout, "BUCK","BOOST"),IF(Table2[[#This Row],[Vin]]&gt;VIN_BB_to_buck, "BUCK", IF(Table2[[#This Row],[Vin]]&lt;=VIN_boost_to_BB,"BOOST","BUCK-BST")))</f>
        <v>BUCK</v>
      </c>
      <c r="J49">
        <f>IF(Table2[[#This Row],[Mode]]="BOOST",2, IF(Table2[[#This Row],[Mode]]="BUCK", 1,3))</f>
        <v>1</v>
      </c>
      <c r="K49" s="354">
        <f t="shared" si="7"/>
        <v>4.8</v>
      </c>
      <c r="L49" s="4">
        <f>Vout*Table2[[#This Row],[Iout]]/(Table2[[#This Row],[Vin]]*Efficiency)</f>
        <v>3.688421052631579</v>
      </c>
      <c r="M49" s="711">
        <f>MIN(1/Fsw,CHOOSE(Table2[[#This Row],[Mode Digit]],(Vout+(Rdson2+Rs+Rdcr)*Table2[[#This Row],[Iout]])/(Table2[[#This Row],[Vin]]+(Rs+Rdson2-Rdson1)*Table2[[#This Row],[Iout]])/Fsw,(Vout+(Rdson3+Rdcr)*Table2[[#This Row],[Iin]]-Table2[[#This Row],[Vin]])/(Vout+(Rdson3-Rdson4-Rs)*Table2[[#This Row],[Iin]])/Fsw,t1_Ph_II))</f>
        <v>1.2209341062029449E-6</v>
      </c>
      <c r="N49" s="602">
        <f>CHOOSE(Table2[[#This Row],[Mode Digit]],1/Fsw-Table2[[#This Row],[t1_Ph_II]],1/Fsw-Table2[[#This Row],[t1_Ph_II]],(Vout/Fsw-Table2[[#This Row],[Vin]]*t1_Ph_II)/(Table2[[#This Row],[Vin]]+Vout))</f>
        <v>4.4573256046372172E-7</v>
      </c>
      <c r="O49" s="602">
        <f>1/Fsw-(Table2[[#This Row],[t1_Ph_II]]+Table2[[#This Row],[t2_Ph_I]])</f>
        <v>0</v>
      </c>
      <c r="P49"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3.5513173913833516</v>
      </c>
      <c r="Q49" s="4">
        <f>CHOOSE(Table2[[#This Row],[Mode Digit]],Table2[[#This Row],[I_0]]+1/Lf*(Table2[[#This Row],[Vin]]-Vout)*Table2[[#This Row],[t1_Ph_II]],Table2[[#This Row],[I_0]]+1/Lf*Table2[[#This Row],[Vin]]*Table2[[#This Row],[t1_Ph_II]],Table2[[#This Row],[I_0]]+(Table2[[#This Row],[Vin]]-Vout)/L*Table2[[#This Row],[t1_Ph_II]])</f>
        <v>6.0486826086166481</v>
      </c>
      <c r="R49" s="4">
        <f>CHOOSE(Table2[[#This Row],[Mode Digit]],0,0,Table2[[#This Row],[I_1]]+Table2[[#This Row],[Vin]]/L*Table2[[#This Row],[t2_Ph_I]])</f>
        <v>0</v>
      </c>
      <c r="S49" s="409">
        <f>Fsw*(Table2[[#This Row],[I_0]]*Table2[[#This Row],[t1_Ph_II]]+Table2[[#This Row],[I_1]]*Table2[[#This Row],[t2_Ph_I]]+Table2[[#This Row],[I_2]]*Table2[[#This Row],[t3_Ph_III]])</f>
        <v>4.2192115869976128</v>
      </c>
      <c r="T49" s="354">
        <f>MIN(1,CHOOSE(Table2[[#This Row],[Mode Digit]],(Vout+(Rdson2+Rs+Rdcr)*Table2[[#This Row],[Iout]])/(Table2[[#This Row],[Vin]]+(Rs+Rdson2-Rdson1)*Table2[[#This Row],[Iout]]),1,Fsw*Table2[[#This Row],[t2_Ph_I]]+Table2[[#This Row],[t1_Ph_II]]))</f>
        <v>0.73256046372176697</v>
      </c>
      <c r="U49" s="354">
        <f>MIN(1,CHOOSE(Table2[[#This Row],[Mode Digit]],0,(Vout+(Rdson3+Rdcr)*Table2[[#This Row],[Iin]]-Table2[[#This Row],[Vin]])/(Vout+(Rdson3-Rdson4-Rs)*Table2[[#This Row],[Iin]]),Fsw*Table2[[#This Row],[t1_Ph_II]]+Table2[[#This Row],[t3_Ph_III]]))</f>
        <v>0</v>
      </c>
      <c r="V49" s="4">
        <f>MAX(Table2[[#This Row],[I_0]:[I_2]])-MIN(Table2[[#This Row],[I_0]:[I_1]])</f>
        <v>2.4973652172332965</v>
      </c>
      <c r="W49"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4.8538372537289742</v>
      </c>
      <c r="X49" s="354">
        <f>(Table2[[#This Row],[Irms Lf]]^2*Rdcr*(1+Ltc*Ta-Ltc*25))/(1-Table2[[#This Row],[Irms Lf]]^2*Rdcr*Ltc*ThetaCa)</f>
        <v>0.13815675997378019</v>
      </c>
      <c r="Y49" s="354">
        <f>ABS(7.759*10^-3*Fsw^0.9458*(0.00787*Table2[[#This Row],[Ripple Current pk-pk]])^2.304)</f>
        <v>0.26479248234263719</v>
      </c>
      <c r="Z49" s="354">
        <f>Table2[[#This Row],[DCR    Loss]]+Table2[[#This Row],[Core Loss]]</f>
        <v>0.40294924231641738</v>
      </c>
      <c r="AA49" s="4">
        <f>IF(Table2[[#This Row],[Vin]]&gt;Vout, Table2[[#This Row],[Ripple Current pk-pk]]/SQRT(12), SQRT(Table2[[#This Row],[Duty Cycle BOOST Leg]]/(1-Table2[[#This Row],[Duty Cycle BOOST Leg]]))*SQRT(Table2[[#This Row],[Iout]]^2+(Table2[[#This Row],[Ripple Current pk-pk]]^2)/12))</f>
        <v>0.72092724021722598</v>
      </c>
      <c r="AB49" s="354">
        <f>RCoutEsr*Table2[[#This Row],[Irms Cout]]^2</f>
        <v>2.5986804284361294E-3</v>
      </c>
      <c r="AC49" s="354">
        <f>Table2[[#This Row],[Cout ESR Loss]]</f>
        <v>2.5986804284361294E-3</v>
      </c>
      <c r="AD49" s="4">
        <f>IF(Table2[[#This Row],[Vin]]&gt;Vout, SQRT(Table2[[#This Row],[Duty Cycle BUCK Leg]]*(1-Table2[[#This Row],[Duty Cycle BUCK Leg]]))*SQRT(Table2[[#This Row],[Iout]]^2+(Table2[[#This Row],[Ripple Current pk-pk]]^2)/12), Table2[[#This Row],[Ripple Current pk-pk]]/SQRT(12))</f>
        <v>2.1484228063096449</v>
      </c>
      <c r="AE49" s="354">
        <f>RCinEsr*Table2[[#This Row],[Irms Cin]]^2</f>
        <v>9.2314411093428195E-3</v>
      </c>
      <c r="AF49" s="549">
        <f>Table2[[#This Row],[Cin ESR Loss]]</f>
        <v>9.2314411093428195E-3</v>
      </c>
      <c r="AG49" s="354">
        <f>Table2[[#This Row],[Irms Lf]]</f>
        <v>4.8538372537289742</v>
      </c>
      <c r="AH49" s="354">
        <f>Rdson1*Table2[[#This Row],[Irms BuCtrl]]^2</f>
        <v>9.8950891559886386E-2</v>
      </c>
      <c r="AI49" s="354">
        <f>CHOOSE(Table2[[#This Row],[Mode Digit]], (Table2[[#This Row],[Vin]]*Table2[[#This Row],[Iout]]/2)*(Fsw)*(Tr_buck+Tf_buck), 0, (Table2[[#This Row],[Vin]]*Table2[[#This Row],[Avg IL]]/2)*(Fsw/1)*(Tr_buck+Tf_buck))</f>
        <v>0.95197122651040633</v>
      </c>
      <c r="AJ49">
        <f>IF(Table2[[#This Row],[Vin]]&gt;Vout, IF(Table2[[#This Row],[Iout]]&gt;Table2[[#This Row],[Ripple Current pk-pk]]/2,0,ABS(Table2[[#This Row],[Iout]]-Table2[[#This Row],[Ripple Current pk-pk]]/2)*Vsd_Q1*Deadtime*Fsw),0)</f>
        <v>0</v>
      </c>
      <c r="AK49" s="354">
        <f>(Table2[[#This Row],[Dead Time Loss BuCtrl]]+Table2[[#This Row],[Transition Loss BuCtrl]]+Table2[[#This Row],[RDS(on) Loss BuCtrl]]*(1+RdsonTopTc*Ta-RdsonTopTc*25))/(1-Table2[[#This Row],[RDS(on) Loss BuCtrl]]*RdsonTopTc*ThetaJA_Q1)</f>
        <v>1.0764867558897406</v>
      </c>
      <c r="AL49" s="354">
        <f>Table2[[#This Row],[Irms Lf]]</f>
        <v>4.8538372537289742</v>
      </c>
      <c r="AM49" s="354">
        <f>Rdson2*Table2[[#This Row],[Irms BuSync]]^2</f>
        <v>9.8950891559886386E-2</v>
      </c>
      <c r="AN49"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0.23094857142857142</v>
      </c>
      <c r="AO49" s="354">
        <f>(Table2[[#This Row],[Deadtime Loss BuSync]]+Table2[[#This Row],[RDS(on) Loss BuSync]]*(1+RdsonBotTc*Ta-RdsonBotTc*25))/(1-Table2[[#This Row],[RDS(on) Loss BuSync]]*RdsonBotTc*ThetaJA_Q2)</f>
        <v>0.33792456793497505</v>
      </c>
      <c r="AP49" s="354">
        <f>Table2[[#This Row],[Irms Lf]]</f>
        <v>4.8538372537289742</v>
      </c>
      <c r="AQ49" s="354">
        <f>Rdson4*Table2[[#This Row],[Irms BoCtlr]]^2</f>
        <v>9.8950891559886386E-2</v>
      </c>
      <c r="AR49" s="354">
        <f>CHOOSE(Table2[[#This Row],[Mode Digit]], 0, (Vout*Table2[[#This Row],[Iin]]/2)*(Fsw)*(Tr_boost+Tf_boost), (Vout*Iout/2)*(Fsw/1)*(Tr_boost+Tf_boost))</f>
        <v>0</v>
      </c>
      <c r="AS49" s="354">
        <f>IF(Table2[[#This Row],[Vin]]&gt;Vout, 0, IF(Table2[[#This Row],[Iin]]&gt;Table2[[#This Row],[Ripple Current pk-pk]]/2,0,ABS(Table2[[#This Row],[Iin]]-Table2[[#This Row],[Ripple Current pk-pk]]/2)*Vsd_Q4*Deadtime*Fsw))</f>
        <v>0</v>
      </c>
      <c r="AT49" s="354">
        <f>(Table2[[#This Row],[Dead Time Loss BoCtlr]]+Table2[[#This Row],[Transition Loss BoCtlr]]+Table2[[#This Row],[RDS(on) Loss BoCtlr]]*(1+RdsonTopTc*Ta-RdsonTopTc*25))/(1-Table2[[#This Row],[RDS(on) Loss BoCtlr]]*RdsonTopTc*ThetaJA_Q4)</f>
        <v>0.10135796213261818</v>
      </c>
      <c r="AU49" s="354">
        <f>Table2[[#This Row],[Irms Lf]]</f>
        <v>4.8538372537289742</v>
      </c>
      <c r="AV49" s="354">
        <f>Rdson3*Table2[[#This Row],[Irms BoSync]]^2</f>
        <v>9.8950891559886386E-2</v>
      </c>
      <c r="AW49"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49" s="354">
        <f>(Table2[[#This Row],[Deadtime Loss BoSync]]+Table2[[#This Row],[RDS(on) Loss BoSync]]*(1+RdsonBotTc*Ta-RdsonBotTc*25))/(1-Table2[[#This Row],[RDS(on) Loss BoSync]]*RdsonBotTc*ThetaJA_Q3)</f>
        <v>0.10135796213261818</v>
      </c>
      <c r="AY49" s="354">
        <f>CHOOSE(Table2[[#This Row],[Mode Digit]], Rdson3*Table2[[#This Row],[Irms Lf]]^2, Rdson1*Table2[[#This Row],[Irms Lf]]^2, 0)</f>
        <v>9.8950891559886386E-2</v>
      </c>
      <c r="AZ49" s="354">
        <f>CHOOSE(Table2[[#This Row],[Mode Digit]], 2*Deadtime*Fsw*IF(VfdSky_Q2&gt;0,VfdSky_Q2,0)*Table2[[#This Row],[Iout]], 2*Deadtime*Fsw*IF(VfdSky_Q3&gt;0,VfdSky_Q3,0)*Table2[[#This Row],[Iin]], 2*Deadtime*Fsw*IF(VfdSky_Q2&gt;0,VfdSky_Q2,0)*Table2[[#This Row],[Iout]]+2*Deadtime*Fsw*IF(VfdSky_Q3&gt;0,VfdSky_Q3,0)*Table2[[#This Row],[Iin]])</f>
        <v>0</v>
      </c>
      <c r="BA4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9.5903232000000005E-2</v>
      </c>
      <c r="BB4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9.5903232000000005E-2</v>
      </c>
      <c r="BC49" s="354">
        <f>CHOOSE(Table2[[#This Row],[Mode Digit]], Rs*Table2[[#This Row],[Irms BuSync]]^2, Rs*Table2[[#This Row],[Irms BoCtlr]]^2, Rs*(Table2[[#This Row],[Irms BuSync]]^2+Table2[[#This Row],[Irms BoCtlr]]^2))</f>
        <v>5.8899340214218075E-2</v>
      </c>
      <c r="BD49" s="354">
        <f t="shared" si="6"/>
        <v>1.44</v>
      </c>
      <c r="BE49" s="354">
        <f>IF(Vout&gt;8, Iq*Vout, Iq*Table2[[#This Row],[Vin]])</f>
        <v>4.3799999999999999E-2</v>
      </c>
      <c r="BF49" s="354">
        <f>CHOOSE(Table2[[#This Row],[Mode Digit]], (Qg_Q1+Qg_Q2)*Fsw, (Qg_Q3+Qg_Q4)*Fsw, (Qg_Q1+Qg_Q2+Qg_Q3+Qg_Q4)*Fsw)*IF(Vout&gt;8, Vout, Table2[[#This Row],[Vin]])</f>
        <v>0.47303999999999996</v>
      </c>
      <c r="BG49" s="354">
        <f t="shared" si="4"/>
        <v>0.45605042016806729</v>
      </c>
      <c r="BH49" s="354">
        <f>Table2[[#This Row],[IQ Loss]]+Table2[[#This Row],[Switching Current Loss]]</f>
        <v>0.51683999999999997</v>
      </c>
      <c r="BI49"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4.2394524161583664</v>
      </c>
      <c r="BJ49">
        <f>Vout*Table2[[#This Row],[Iout]]</f>
        <v>70.08</v>
      </c>
      <c r="BK49" s="550">
        <f>Table2[[#This Row],[Pout]]/(Table2[[#This Row],[Pout]]+Table2[[#This Row],[Total Loss]])</f>
        <v>0.94295635559289137</v>
      </c>
      <c r="BL49" s="559">
        <f>IF(Table2[[#This Row],[Vin]]&gt;Vout,ThetaJA_Q1*(Table2[[#This Row],[Total Control Bu MOSFET Loss]]+Table2[[#This Row],[Reverse Recovery Loss MOSFET D BUCK]]),ThetaJA_Q4*(Table2[[#This Row],[Total Control Bo MOSFET Loss]]+Table2[[#This Row],[Reverse Recovery Loss MOSFET D BOOST]]))</f>
        <v>70.343399273384435</v>
      </c>
      <c r="BM49" s="559">
        <f>IF(Table2[[#This Row],[Vin]]&gt;Vout, Table2[[#This Row],[Total Sync Bu MOSFET Loss]]*ThetaJA_Q2, ThetaJA_Q3*Table2[[#This Row],[Total Sync Bo MOSFET Loss]])</f>
        <v>20.275474076098504</v>
      </c>
      <c r="BN49" s="9"/>
      <c r="BO49" s="4">
        <f>Table2[[#This Row],[EFF, h]]*100</f>
        <v>94.295635559289138</v>
      </c>
      <c r="BP49" s="354">
        <f>Table2[[#This Row],[Total Inductor Loss]]</f>
        <v>0.40294924231641738</v>
      </c>
      <c r="BQ49" s="354">
        <f>Table2[[#This Row],[Total Control Bu MOSFET Loss]]+Table2[[#This Row],[Total Sync Bu MOSFET Loss]]+Table2[[#This Row],[Total Control Bo MOSFET Loss]]+Table2[[#This Row],[Total Sync Bo MOSFET Loss]]+Table2[[#This Row],[Reverse Recovery Loss MOSFET D BUCK]]+Table2[[#This Row],[Reverse Recovery Loss MOSFET D BOOST]]</f>
        <v>1.808933712089952</v>
      </c>
      <c r="BR49" s="354">
        <f xml:space="preserve"> Table2[[#This Row],[Total Control Bu MOSFET Loss]]+Table2[[#This Row],[Reverse Recovery Loss MOSFET D BUCK]]*0.66</f>
        <v>1.1397828890097406</v>
      </c>
      <c r="BS49" s="354">
        <f>Table2[[#This Row],[Total Sync Bu MOSFET Loss]]+Table2[[#This Row],[Reverse Recovery Loss MOSFET D BUCK]]*0.33</f>
        <v>0.36957263449497507</v>
      </c>
      <c r="BT49" s="354">
        <f xml:space="preserve"> Table2[[#This Row],[Total Control Bo MOSFET Loss]]+Table2[[#This Row],[Reverse Recovery Loss MOSFET D BOOST]]*0.66</f>
        <v>0.16465409525261818</v>
      </c>
      <c r="BU49" s="354">
        <f xml:space="preserve"> Table2[[#This Row],[Total Sync Bo MOSFET Loss]]+Table2[[#This Row],[Reverse Recovery Loss MOSFET D BOOST]]*0.33</f>
        <v>0.13300602869261818</v>
      </c>
      <c r="BV49" s="354">
        <f>Table2[[#This Row],[Isense Shunt Loss]]</f>
        <v>5.8899340214218075E-2</v>
      </c>
      <c r="CA49">
        <v>9.9970090000000003</v>
      </c>
      <c r="CB49">
        <v>8.6120000000000001</v>
      </c>
      <c r="CC49">
        <v>5.1085419999999999</v>
      </c>
      <c r="CD49">
        <v>91.346378256658895</v>
      </c>
      <c r="CE49">
        <v>4167.8065612820019</v>
      </c>
    </row>
    <row r="50" spans="1:83" x14ac:dyDescent="0.2">
      <c r="A50" s="23" t="s">
        <v>84</v>
      </c>
      <c r="B50" s="5">
        <f>RdsonBotTc*1000000</f>
        <v>4000</v>
      </c>
      <c r="C50" s="440" t="s">
        <v>85</v>
      </c>
      <c r="D50" s="21" t="s">
        <v>106</v>
      </c>
      <c r="G50">
        <v>41</v>
      </c>
      <c r="H50" s="555">
        <f t="shared" si="5"/>
        <v>20</v>
      </c>
      <c r="I50" s="4" t="str">
        <f>IF(Mode = 2,IF(Table2[[#This Row],[Vin]]&gt;Vout, "BUCK","BOOST"),IF(Table2[[#This Row],[Vin]]&gt;VIN_BB_to_buck, "BUCK", IF(Table2[[#This Row],[Vin]]&lt;=VIN_boost_to_BB,"BOOST","BUCK-BST")))</f>
        <v>BUCK</v>
      </c>
      <c r="J50">
        <f>IF(Table2[[#This Row],[Mode]]="BOOST",2, IF(Table2[[#This Row],[Mode]]="BUCK", 1,3))</f>
        <v>1</v>
      </c>
      <c r="K50" s="354">
        <f t="shared" si="7"/>
        <v>4.92</v>
      </c>
      <c r="L50" s="4">
        <f>Vout*Table2[[#This Row],[Iout]]/(Table2[[#This Row],[Vin]]*Efficiency)</f>
        <v>3.7806315789473679</v>
      </c>
      <c r="M50" s="711">
        <f>MIN(1/Fsw,CHOOSE(Table2[[#This Row],[Mode Digit]],(Vout+(Rdson2+Rs+Rdcr)*Table2[[#This Row],[Iout]])/(Table2[[#This Row],[Vin]]+(Rs+Rdson2-Rdson1)*Table2[[#This Row],[Iout]])/Fsw,(Vout+(Rdson3+Rdcr)*Table2[[#This Row],[Iin]]-Table2[[#This Row],[Vin]])/(Vout+(Rdson3-Rdson4-Rs)*Table2[[#This Row],[Iin]])/Fsw,t1_Ph_II))</f>
        <v>1.2210407266197956E-6</v>
      </c>
      <c r="N50" s="602">
        <f>CHOOSE(Table2[[#This Row],[Mode Digit]],1/Fsw-Table2[[#This Row],[t1_Ph_II]],1/Fsw-Table2[[#This Row],[t1_Ph_II]],(Vout/Fsw-Table2[[#This Row],[Vin]]*t1_Ph_II)/(Table2[[#This Row],[Vin]]+Vout))</f>
        <v>4.4562594004687109E-7</v>
      </c>
      <c r="O50" s="602">
        <f>1/Fsw-(Table2[[#This Row],[t1_Ph_II]]+Table2[[#This Row],[t2_Ph_I]])</f>
        <v>0</v>
      </c>
      <c r="P50"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3.6712083477752087</v>
      </c>
      <c r="Q50" s="4">
        <f>CHOOSE(Table2[[#This Row],[Mode Digit]],Table2[[#This Row],[I_0]]+1/Lf*(Table2[[#This Row],[Vin]]-Vout)*Table2[[#This Row],[t1_Ph_II]],Table2[[#This Row],[I_0]]+1/Lf*Table2[[#This Row],[Vin]]*Table2[[#This Row],[t1_Ph_II]],Table2[[#This Row],[I_0]]+(Table2[[#This Row],[Vin]]-Vout)/L*Table2[[#This Row],[t1_Ph_II]])</f>
        <v>6.1687916522247903</v>
      </c>
      <c r="R50" s="4">
        <f>CHOOSE(Table2[[#This Row],[Mode Digit]],0,0,Table2[[#This Row],[I_1]]+Table2[[#This Row],[Vin]]/L*Table2[[#This Row],[t2_Ph_I]])</f>
        <v>0</v>
      </c>
      <c r="S50" s="409">
        <f>Fsw*(Table2[[#This Row],[I_0]]*Table2[[#This Row],[t1_Ph_II]]+Table2[[#This Row],[I_1]]*Table2[[#This Row],[t2_Ph_I]]+Table2[[#This Row],[I_2]]*Table2[[#This Row],[t3_Ph_III]])</f>
        <v>4.3390010925096378</v>
      </c>
      <c r="T50" s="354">
        <f>MIN(1,CHOOSE(Table2[[#This Row],[Mode Digit]],(Vout+(Rdson2+Rs+Rdcr)*Table2[[#This Row],[Iout]])/(Table2[[#This Row],[Vin]]+(Rs+Rdson2-Rdson1)*Table2[[#This Row],[Iout]]),1,Fsw*Table2[[#This Row],[t2_Ph_I]]+Table2[[#This Row],[t1_Ph_II]]))</f>
        <v>0.73262443597187732</v>
      </c>
      <c r="U50" s="354">
        <f>MIN(1,CHOOSE(Table2[[#This Row],[Mode Digit]],0,(Vout+(Rdson3+Rdcr)*Table2[[#This Row],[Iin]]-Table2[[#This Row],[Vin]])/(Vout+(Rdson3-Rdson4-Rs)*Table2[[#This Row],[Iin]]),Fsw*Table2[[#This Row],[t1_Ph_II]]+Table2[[#This Row],[t3_Ph_III]]))</f>
        <v>0</v>
      </c>
      <c r="V50" s="4">
        <f>MAX(Table2[[#This Row],[I_0]:[I_2]])-MIN(Table2[[#This Row],[I_0]:[I_1]])</f>
        <v>2.4975833044495817</v>
      </c>
      <c r="W50"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4.9725473213993086</v>
      </c>
      <c r="X50" s="354">
        <f>(Table2[[#This Row],[Irms Lf]]^2*Rdcr*(1+Ltc*Ta-Ltc*25))/(1-Table2[[#This Row],[Irms Lf]]^2*Rdcr*Ltc*ThetaCa)</f>
        <v>0.14507657489339998</v>
      </c>
      <c r="Y50" s="354">
        <f>ABS(7.759*10^-3*Fsw^0.9458*(0.00787*Table2[[#This Row],[Ripple Current pk-pk]])^2.304)</f>
        <v>0.26484576194846493</v>
      </c>
      <c r="Z50" s="354">
        <f>Table2[[#This Row],[DCR    Loss]]+Table2[[#This Row],[Core Loss]]</f>
        <v>0.40992233684186491</v>
      </c>
      <c r="AA50" s="4">
        <f>IF(Table2[[#This Row],[Vin]]&gt;Vout, Table2[[#This Row],[Ripple Current pk-pk]]/SQRT(12), SQRT(Table2[[#This Row],[Duty Cycle BOOST Leg]]/(1-Table2[[#This Row],[Duty Cycle BOOST Leg]]))*SQRT(Table2[[#This Row],[Iout]]^2+(Table2[[#This Row],[Ripple Current pk-pk]]^2)/12))</f>
        <v>0.72099019657374053</v>
      </c>
      <c r="AB50" s="354">
        <f>RCoutEsr*Table2[[#This Row],[Irms Cout]]^2</f>
        <v>2.5991343177772055E-3</v>
      </c>
      <c r="AC50" s="354">
        <f>Table2[[#This Row],[Cout ESR Loss]]</f>
        <v>2.5991343177772055E-3</v>
      </c>
      <c r="AD50" s="4">
        <f>IF(Table2[[#This Row],[Vin]]&gt;Vout, SQRT(Table2[[#This Row],[Duty Cycle BUCK Leg]]*(1-Table2[[#This Row],[Duty Cycle BUCK Leg]]))*SQRT(Table2[[#This Row],[Iout]]^2+(Table2[[#This Row],[Ripple Current pk-pk]]^2)/12), Table2[[#This Row],[Ripple Current pk-pk]]/SQRT(12))</f>
        <v>2.2007995149977564</v>
      </c>
      <c r="AE50" s="354">
        <f>RCinEsr*Table2[[#This Row],[Irms Cin]]^2</f>
        <v>9.6870370104287194E-3</v>
      </c>
      <c r="AF50" s="549">
        <f>Table2[[#This Row],[Cin ESR Loss]]</f>
        <v>9.6870370104287194E-3</v>
      </c>
      <c r="AG50" s="354">
        <f>Table2[[#This Row],[Irms Lf]]</f>
        <v>4.9725473213993086</v>
      </c>
      <c r="AH50" s="354">
        <f>Rdson1*Table2[[#This Row],[Irms BuCtrl]]^2</f>
        <v>0.10385015282693286</v>
      </c>
      <c r="AI50" s="354">
        <f>CHOOSE(Table2[[#This Row],[Mode Digit]], (Table2[[#This Row],[Vin]]*Table2[[#This Row],[Iout]]/2)*(Fsw)*(Tr_buck+Tf_buck), 0, (Table2[[#This Row],[Vin]]*Table2[[#This Row],[Avg IL]]/2)*(Fsw/1)*(Tr_buck+Tf_buck))</f>
        <v>0.97577050717316649</v>
      </c>
      <c r="AJ50">
        <f>IF(Table2[[#This Row],[Vin]]&gt;Vout, IF(Table2[[#This Row],[Iout]]&gt;Table2[[#This Row],[Ripple Current pk-pk]]/2,0,ABS(Table2[[#This Row],[Iout]]-Table2[[#This Row],[Ripple Current pk-pk]]/2)*Vsd_Q1*Deadtime*Fsw),0)</f>
        <v>0</v>
      </c>
      <c r="AK50" s="354">
        <f>(Table2[[#This Row],[Dead Time Loss BuCtrl]]+Table2[[#This Row],[Transition Loss BuCtrl]]+Table2[[#This Row],[RDS(on) Loss BuCtrl]]*(1+RdsonTopTc*Ta-RdsonTopTc*25))/(1-Table2[[#This Row],[RDS(on) Loss BuCtrl]]*RdsonTopTc*ThetaJA_Q1)</f>
        <v>1.107216976534257</v>
      </c>
      <c r="AL50" s="354">
        <f>Table2[[#This Row],[Irms Lf]]</f>
        <v>4.9725473213993086</v>
      </c>
      <c r="AM50" s="354">
        <f>Rdson2*Table2[[#This Row],[Irms BuSync]]^2</f>
        <v>0.10385015282693286</v>
      </c>
      <c r="AN50"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0.23672228571428572</v>
      </c>
      <c r="AO50" s="354">
        <f>(Table2[[#This Row],[Deadtime Loss BuSync]]+Table2[[#This Row],[RDS(on) Loss BuSync]]*(1+RdsonBotTc*Ta-RdsonBotTc*25))/(1-Table2[[#This Row],[RDS(on) Loss BuSync]]*RdsonBotTc*ThetaJA_Q2)</f>
        <v>0.34927785254912813</v>
      </c>
      <c r="AP50" s="354">
        <f>Table2[[#This Row],[Irms Lf]]</f>
        <v>4.9725473213993086</v>
      </c>
      <c r="AQ50" s="354">
        <f>Rdson4*Table2[[#This Row],[Irms BoCtlr]]^2</f>
        <v>0.10385015282693286</v>
      </c>
      <c r="AR50" s="354">
        <f>CHOOSE(Table2[[#This Row],[Mode Digit]], 0, (Vout*Table2[[#This Row],[Iin]]/2)*(Fsw)*(Tr_boost+Tf_boost), (Vout*Iout/2)*(Fsw/1)*(Tr_boost+Tf_boost))</f>
        <v>0</v>
      </c>
      <c r="AS50" s="354">
        <f>IF(Table2[[#This Row],[Vin]]&gt;Vout, 0, IF(Table2[[#This Row],[Iin]]&gt;Table2[[#This Row],[Ripple Current pk-pk]]/2,0,ABS(Table2[[#This Row],[Iin]]-Table2[[#This Row],[Ripple Current pk-pk]]/2)*Vsd_Q4*Deadtime*Fsw))</f>
        <v>0</v>
      </c>
      <c r="AT50" s="354">
        <f>(Table2[[#This Row],[Dead Time Loss BoCtlr]]+Table2[[#This Row],[Transition Loss BoCtlr]]+Table2[[#This Row],[RDS(on) Loss BoCtlr]]*(1+RdsonTopTc*Ta-RdsonTopTc*25))/(1-Table2[[#This Row],[RDS(on) Loss BoCtlr]]*RdsonTopTc*ThetaJA_Q4)</f>
        <v>0.10650467936177374</v>
      </c>
      <c r="AU50" s="354">
        <f>Table2[[#This Row],[Irms Lf]]</f>
        <v>4.9725473213993086</v>
      </c>
      <c r="AV50" s="354">
        <f>Rdson3*Table2[[#This Row],[Irms BoSync]]^2</f>
        <v>0.10385015282693286</v>
      </c>
      <c r="AW50"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50" s="354">
        <f>(Table2[[#This Row],[Deadtime Loss BoSync]]+Table2[[#This Row],[RDS(on) Loss BoSync]]*(1+RdsonBotTc*Ta-RdsonBotTc*25))/(1-Table2[[#This Row],[RDS(on) Loss BoSync]]*RdsonBotTc*ThetaJA_Q3)</f>
        <v>0.10650467936177374</v>
      </c>
      <c r="AY50" s="354">
        <f>CHOOSE(Table2[[#This Row],[Mode Digit]], Rdson3*Table2[[#This Row],[Irms Lf]]^2, Rdson1*Table2[[#This Row],[Irms Lf]]^2, 0)</f>
        <v>0.10385015282693286</v>
      </c>
      <c r="AZ50" s="354">
        <f>CHOOSE(Table2[[#This Row],[Mode Digit]], 2*Deadtime*Fsw*IF(VfdSky_Q2&gt;0,VfdSky_Q2,0)*Table2[[#This Row],[Iout]], 2*Deadtime*Fsw*IF(VfdSky_Q3&gt;0,VfdSky_Q3,0)*Table2[[#This Row],[Iin]], 2*Deadtime*Fsw*IF(VfdSky_Q2&gt;0,VfdSky_Q2,0)*Table2[[#This Row],[Iout]]+2*Deadtime*Fsw*IF(VfdSky_Q3&gt;0,VfdSky_Q3,0)*Table2[[#This Row],[Iin]])</f>
        <v>0</v>
      </c>
      <c r="BA5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9.8298333119999984E-2</v>
      </c>
      <c r="BB5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9.8298333119999984E-2</v>
      </c>
      <c r="BC50" s="354">
        <f>CHOOSE(Table2[[#This Row],[Mode Digit]], Rs*Table2[[#This Row],[Irms BuSync]]^2, Rs*Table2[[#This Row],[Irms BoCtlr]]^2, Rs*(Table2[[#This Row],[Irms BuSync]]^2+Table2[[#This Row],[Irms BoCtlr]]^2))</f>
        <v>6.1815567158888599E-2</v>
      </c>
      <c r="BD50" s="354">
        <f t="shared" si="6"/>
        <v>1.44</v>
      </c>
      <c r="BE50" s="354">
        <f>IF(Vout&gt;8, Iq*Vout, Iq*Table2[[#This Row],[Vin]])</f>
        <v>4.3799999999999999E-2</v>
      </c>
      <c r="BF50" s="354">
        <f>CHOOSE(Table2[[#This Row],[Mode Digit]], (Qg_Q1+Qg_Q2)*Fsw, (Qg_Q3+Qg_Q4)*Fsw, (Qg_Q1+Qg_Q2+Qg_Q3+Qg_Q4)*Fsw)*IF(Vout&gt;8, Vout, Table2[[#This Row],[Vin]])</f>
        <v>0.47303999999999996</v>
      </c>
      <c r="BG50" s="354">
        <f t="shared" si="4"/>
        <v>0.45605042016806729</v>
      </c>
      <c r="BH50" s="354">
        <f>Table2[[#This Row],[IQ Loss]]+Table2[[#This Row],[Switching Current Loss]]</f>
        <v>0.51683999999999997</v>
      </c>
      <c r="BI50"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4.3069649293758916</v>
      </c>
      <c r="BJ50">
        <f>Vout*Table2[[#This Row],[Iout]]</f>
        <v>71.831999999999994</v>
      </c>
      <c r="BK50" s="550">
        <f>Table2[[#This Row],[Pout]]/(Table2[[#This Row],[Pout]]+Table2[[#This Row],[Total Loss]])</f>
        <v>0.94343284107722114</v>
      </c>
      <c r="BL50" s="559">
        <f>IF(Table2[[#This Row],[Vin]]&gt;Vout,ThetaJA_Q1*(Table2[[#This Row],[Total Control Bu MOSFET Loss]]+Table2[[#This Row],[Reverse Recovery Loss MOSFET D BUCK]]),ThetaJA_Q4*(Table2[[#This Row],[Total Control Bo MOSFET Loss]]+Table2[[#This Row],[Reverse Recovery Loss MOSFET D BOOST]]))</f>
        <v>72.330918579255425</v>
      </c>
      <c r="BM50" s="559">
        <f>IF(Table2[[#This Row],[Vin]]&gt;Vout, Table2[[#This Row],[Total Sync Bu MOSFET Loss]]*ThetaJA_Q2, ThetaJA_Q3*Table2[[#This Row],[Total Sync Bo MOSFET Loss]])</f>
        <v>20.956671152947688</v>
      </c>
      <c r="BN50" s="9"/>
      <c r="BO50" s="4">
        <f>Table2[[#This Row],[EFF, h]]*100</f>
        <v>94.343284107722113</v>
      </c>
      <c r="BP50" s="354">
        <f>Table2[[#This Row],[Total Inductor Loss]]</f>
        <v>0.40992233684186491</v>
      </c>
      <c r="BQ50" s="354">
        <f>Table2[[#This Row],[Total Control Bu MOSFET Loss]]+Table2[[#This Row],[Total Sync Bu MOSFET Loss]]+Table2[[#This Row],[Total Control Bo MOSFET Loss]]+Table2[[#This Row],[Total Sync Bo MOSFET Loss]]+Table2[[#This Row],[Reverse Recovery Loss MOSFET D BUCK]]+Table2[[#This Row],[Reverse Recovery Loss MOSFET D BOOST]]</f>
        <v>1.8661008540469326</v>
      </c>
      <c r="BR50" s="354">
        <f xml:space="preserve"> Table2[[#This Row],[Total Control Bu MOSFET Loss]]+Table2[[#This Row],[Reverse Recovery Loss MOSFET D BUCK]]*0.66</f>
        <v>1.172093876393457</v>
      </c>
      <c r="BS50" s="354">
        <f>Table2[[#This Row],[Total Sync Bu MOSFET Loss]]+Table2[[#This Row],[Reverse Recovery Loss MOSFET D BUCK]]*0.33</f>
        <v>0.38171630247872812</v>
      </c>
      <c r="BT50" s="354">
        <f xml:space="preserve"> Table2[[#This Row],[Total Control Bo MOSFET Loss]]+Table2[[#This Row],[Reverse Recovery Loss MOSFET D BOOST]]*0.66</f>
        <v>0.17138157922097375</v>
      </c>
      <c r="BU50" s="354">
        <f xml:space="preserve"> Table2[[#This Row],[Total Sync Bo MOSFET Loss]]+Table2[[#This Row],[Reverse Recovery Loss MOSFET D BOOST]]*0.33</f>
        <v>0.13894312929137373</v>
      </c>
      <c r="BV50" s="354">
        <f>Table2[[#This Row],[Isense Shunt Loss]]</f>
        <v>6.1815567158888599E-2</v>
      </c>
      <c r="CA50">
        <v>9.9969590000000004</v>
      </c>
      <c r="CB50">
        <v>9.5229999999999997</v>
      </c>
      <c r="CC50">
        <v>5.1087540000000002</v>
      </c>
      <c r="CD50">
        <v>90.547826191651922</v>
      </c>
      <c r="CE50">
        <v>5078.5816240809982</v>
      </c>
    </row>
    <row r="51" spans="1:83" x14ac:dyDescent="0.2">
      <c r="A51" s="23" t="s">
        <v>71</v>
      </c>
      <c r="B51" s="5">
        <f>Qg_Q2*1000000000</f>
        <v>27</v>
      </c>
      <c r="C51" s="440" t="s">
        <v>69</v>
      </c>
      <c r="D51" s="21" t="s">
        <v>101</v>
      </c>
      <c r="G51">
        <v>42</v>
      </c>
      <c r="H51" s="555">
        <f t="shared" si="5"/>
        <v>20</v>
      </c>
      <c r="I51" s="4" t="str">
        <f>IF(Mode = 2,IF(Table2[[#This Row],[Vin]]&gt;Vout, "BUCK","BOOST"),IF(Table2[[#This Row],[Vin]]&gt;VIN_BB_to_buck, "BUCK", IF(Table2[[#This Row],[Vin]]&lt;=VIN_boost_to_BB,"BOOST","BUCK-BST")))</f>
        <v>BUCK</v>
      </c>
      <c r="J51">
        <f>IF(Table2[[#This Row],[Mode]]="BOOST",2, IF(Table2[[#This Row],[Mode]]="BUCK", 1,3))</f>
        <v>1</v>
      </c>
      <c r="K51" s="354">
        <f t="shared" si="7"/>
        <v>5.04</v>
      </c>
      <c r="L51" s="4">
        <f>Vout*Table2[[#This Row],[Iout]]/(Table2[[#This Row],[Vin]]*Efficiency)</f>
        <v>3.8728421052631581</v>
      </c>
      <c r="M51" s="711">
        <f>MIN(1/Fsw,CHOOSE(Table2[[#This Row],[Mode Digit]],(Vout+(Rdson2+Rs+Rdcr)*Table2[[#This Row],[Iout]])/(Table2[[#This Row],[Vin]]+(Rs+Rdson2-Rdson1)*Table2[[#This Row],[Iout]])/Fsw,(Vout+(Rdson3+Rdcr)*Table2[[#This Row],[Iin]]-Table2[[#This Row],[Vin]])/(Vout+(Rdson3-Rdson4-Rs)*Table2[[#This Row],[Iin]])/Fsw,t1_Ph_II))</f>
        <v>1.2211473438400476E-6</v>
      </c>
      <c r="N51" s="602">
        <f>CHOOSE(Table2[[#This Row],[Mode Digit]],1/Fsw-Table2[[#This Row],[t1_Ph_II]],1/Fsw-Table2[[#This Row],[t1_Ph_II]],(Vout/Fsw-Table2[[#This Row],[Vin]]*t1_Ph_II)/(Table2[[#This Row],[Vin]]+Vout))</f>
        <v>4.4551932282661904E-7</v>
      </c>
      <c r="O51" s="602">
        <f>1/Fsw-(Table2[[#This Row],[t1_Ph_II]]+Table2[[#This Row],[t2_Ph_I]])</f>
        <v>0</v>
      </c>
      <c r="P51"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3.7910993074363146</v>
      </c>
      <c r="Q51" s="4">
        <f>CHOOSE(Table2[[#This Row],[Mode Digit]],Table2[[#This Row],[I_0]]+1/Lf*(Table2[[#This Row],[Vin]]-Vout)*Table2[[#This Row],[t1_Ph_II]],Table2[[#This Row],[I_0]]+1/Lf*Table2[[#This Row],[Vin]]*Table2[[#This Row],[t1_Ph_II]],Table2[[#This Row],[I_0]]+(Table2[[#This Row],[Vin]]-Vout)/L*Table2[[#This Row],[t1_Ph_II]])</f>
        <v>6.2889006925636846</v>
      </c>
      <c r="R51" s="4">
        <f>CHOOSE(Table2[[#This Row],[Mode Digit]],0,0,Table2[[#This Row],[I_1]]+Table2[[#This Row],[Vin]]/L*Table2[[#This Row],[t2_Ph_I]])</f>
        <v>0</v>
      </c>
      <c r="S51" s="409">
        <f>Fsw*(Table2[[#This Row],[I_0]]*Table2[[#This Row],[t1_Ph_II]]+Table2[[#This Row],[I_1]]*Table2[[#This Row],[t2_Ph_I]]+Table2[[#This Row],[I_2]]*Table2[[#This Row],[t3_Ph_III]])</f>
        <v>4.458790576430717</v>
      </c>
      <c r="T51" s="354">
        <f>MIN(1,CHOOSE(Table2[[#This Row],[Mode Digit]],(Vout+(Rdson2+Rs+Rdcr)*Table2[[#This Row],[Iout]])/(Table2[[#This Row],[Vin]]+(Rs+Rdson2-Rdson1)*Table2[[#This Row],[Iout]]),1,Fsw*Table2[[#This Row],[t2_Ph_I]]+Table2[[#This Row],[t1_Ph_II]]))</f>
        <v>0.73268840630402854</v>
      </c>
      <c r="U51" s="354">
        <f>MIN(1,CHOOSE(Table2[[#This Row],[Mode Digit]],0,(Vout+(Rdson3+Rdcr)*Table2[[#This Row],[Iin]]-Table2[[#This Row],[Vin]])/(Vout+(Rdson3-Rdson4-Rs)*Table2[[#This Row],[Iin]]),Fsw*Table2[[#This Row],[t1_Ph_II]]+Table2[[#This Row],[t3_Ph_III]]))</f>
        <v>0</v>
      </c>
      <c r="V51" s="4">
        <f>MAX(Table2[[#This Row],[I_0]:[I_2]])-MIN(Table2[[#This Row],[I_0]:[I_1]])</f>
        <v>2.4978013851273699</v>
      </c>
      <c r="W51"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5.0913178693368462</v>
      </c>
      <c r="X51" s="354">
        <f>(Table2[[#This Row],[Irms Lf]]^2*Rdcr*(1+Ltc*Ta-Ltc*25))/(1-Table2[[#This Row],[Irms Lf]]^2*Rdcr*Ltc*ThetaCa)</f>
        <v>0.15217510119134814</v>
      </c>
      <c r="Y51" s="354">
        <f>ABS(7.759*10^-3*Fsw^0.9458*(0.00787*Table2[[#This Row],[Ripple Current pk-pk]])^2.304)</f>
        <v>0.26489904602363146</v>
      </c>
      <c r="Z51" s="354">
        <f>Table2[[#This Row],[DCR    Loss]]+Table2[[#This Row],[Core Loss]]</f>
        <v>0.4170741472149796</v>
      </c>
      <c r="AA51" s="4">
        <f>IF(Table2[[#This Row],[Vin]]&gt;Vout, Table2[[#This Row],[Ripple Current pk-pk]]/SQRT(12), SQRT(Table2[[#This Row],[Duty Cycle BOOST Leg]]/(1-Table2[[#This Row],[Duty Cycle BOOST Leg]]))*SQRT(Table2[[#This Row],[Iout]]^2+(Table2[[#This Row],[Ripple Current pk-pk]]^2)/12))</f>
        <v>0.72105315104275358</v>
      </c>
      <c r="AB51" s="354">
        <f>RCoutEsr*Table2[[#This Row],[Irms Cout]]^2</f>
        <v>2.5995882331434203E-3</v>
      </c>
      <c r="AC51" s="354">
        <f>Table2[[#This Row],[Cout ESR Loss]]</f>
        <v>2.5995882331434203E-3</v>
      </c>
      <c r="AD51" s="4">
        <f>IF(Table2[[#This Row],[Vin]]&gt;Vout, SQRT(Table2[[#This Row],[Duty Cycle BUCK Leg]]*(1-Table2[[#This Row],[Duty Cycle BUCK Leg]]))*SQRT(Table2[[#This Row],[Iout]]^2+(Table2[[#This Row],[Ripple Current pk-pk]]^2)/12), Table2[[#This Row],[Ripple Current pk-pk]]/SQRT(12))</f>
        <v>2.2531949531224695</v>
      </c>
      <c r="AE51" s="354">
        <f>RCinEsr*Table2[[#This Row],[Irms Cin]]^2</f>
        <v>1.0153774993553135E-2</v>
      </c>
      <c r="AF51" s="549">
        <f>Table2[[#This Row],[Cin ESR Loss]]</f>
        <v>1.0153774993553135E-2</v>
      </c>
      <c r="AG51" s="354">
        <f>Table2[[#This Row],[Irms Lf]]</f>
        <v>5.0913178693368462</v>
      </c>
      <c r="AH51" s="354">
        <f>Rdson1*Table2[[#This Row],[Irms BuCtrl]]^2</f>
        <v>0.10887037411584048</v>
      </c>
      <c r="AI51" s="354">
        <f>CHOOSE(Table2[[#This Row],[Mode Digit]], (Table2[[#This Row],[Vin]]*Table2[[#This Row],[Iout]]/2)*(Fsw)*(Tr_buck+Tf_buck), 0, (Table2[[#This Row],[Vin]]*Table2[[#This Row],[Avg IL]]/2)*(Fsw/1)*(Tr_buck+Tf_buck))</f>
        <v>0.99956978783592665</v>
      </c>
      <c r="AJ51">
        <f>IF(Table2[[#This Row],[Vin]]&gt;Vout, IF(Table2[[#This Row],[Iout]]&gt;Table2[[#This Row],[Ripple Current pk-pk]]/2,0,ABS(Table2[[#This Row],[Iout]]-Table2[[#This Row],[Ripple Current pk-pk]]/2)*Vsd_Q1*Deadtime*Fsw),0)</f>
        <v>0</v>
      </c>
      <c r="AK51" s="354">
        <f>(Table2[[#This Row],[Dead Time Loss BuCtrl]]+Table2[[#This Row],[Transition Loss BuCtrl]]+Table2[[#This Row],[RDS(on) Loss BuCtrl]]*(1+RdsonTopTc*Ta-RdsonTopTc*25))/(1-Table2[[#This Row],[RDS(on) Loss BuCtrl]]*RdsonTopTc*ThetaJA_Q1)</f>
        <v>1.1381795294351091</v>
      </c>
      <c r="AL51" s="354">
        <f>Table2[[#This Row],[Irms Lf]]</f>
        <v>5.0913178693368462</v>
      </c>
      <c r="AM51" s="354">
        <f>Rdson2*Table2[[#This Row],[Irms BuSync]]^2</f>
        <v>0.10887037411584048</v>
      </c>
      <c r="AN51"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0.24249599999999999</v>
      </c>
      <c r="AO51" s="354">
        <f>(Table2[[#This Row],[Deadtime Loss BuSync]]+Table2[[#This Row],[RDS(on) Loss BuSync]]*(1+RdsonBotTc*Ta-RdsonBotTc*25))/(1-Table2[[#This Row],[RDS(on) Loss BuSync]]*RdsonBotTc*ThetaJA_Q2)</f>
        <v>0.36079350792044823</v>
      </c>
      <c r="AP51" s="354">
        <f>Table2[[#This Row],[Irms Lf]]</f>
        <v>5.0913178693368462</v>
      </c>
      <c r="AQ51" s="354">
        <f>Rdson4*Table2[[#This Row],[Irms BoCtlr]]^2</f>
        <v>0.10887037411584048</v>
      </c>
      <c r="AR51" s="354">
        <f>CHOOSE(Table2[[#This Row],[Mode Digit]], 0, (Vout*Table2[[#This Row],[Iin]]/2)*(Fsw)*(Tr_boost+Tf_boost), (Vout*Iout/2)*(Fsw/1)*(Tr_boost+Tf_boost))</f>
        <v>0</v>
      </c>
      <c r="AS51" s="354">
        <f>IF(Table2[[#This Row],[Vin]]&gt;Vout, 0, IF(Table2[[#This Row],[Iin]]&gt;Table2[[#This Row],[Ripple Current pk-pk]]/2,0,ABS(Table2[[#This Row],[Iin]]-Table2[[#This Row],[Ripple Current pk-pk]]/2)*Vsd_Q4*Deadtime*Fsw))</f>
        <v>0</v>
      </c>
      <c r="AT51" s="354">
        <f>(Table2[[#This Row],[Dead Time Loss BoCtlr]]+Table2[[#This Row],[Transition Loss BoCtlr]]+Table2[[#This Row],[RDS(on) Loss BoCtlr]]*(1+RdsonTopTc*Ta-RdsonTopTc*25))/(1-Table2[[#This Row],[RDS(on) Loss BoCtlr]]*RdsonTopTc*ThetaJA_Q4)</f>
        <v>0.11179135819330194</v>
      </c>
      <c r="AU51" s="354">
        <f>Table2[[#This Row],[Irms Lf]]</f>
        <v>5.0913178693368462</v>
      </c>
      <c r="AV51" s="354">
        <f>Rdson3*Table2[[#This Row],[Irms BoSync]]^2</f>
        <v>0.10887037411584048</v>
      </c>
      <c r="AW51"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51" s="354">
        <f>(Table2[[#This Row],[Deadtime Loss BoSync]]+Table2[[#This Row],[RDS(on) Loss BoSync]]*(1+RdsonBotTc*Ta-RdsonBotTc*25))/(1-Table2[[#This Row],[RDS(on) Loss BoSync]]*RdsonBotTc*ThetaJA_Q3)</f>
        <v>0.11179135819330194</v>
      </c>
      <c r="AY51" s="354">
        <f>CHOOSE(Table2[[#This Row],[Mode Digit]], Rdson3*Table2[[#This Row],[Irms Lf]]^2, Rdson1*Table2[[#This Row],[Irms Lf]]^2, 0)</f>
        <v>0.10887037411584048</v>
      </c>
      <c r="AZ51" s="354">
        <f>CHOOSE(Table2[[#This Row],[Mode Digit]], 2*Deadtime*Fsw*IF(VfdSky_Q2&gt;0,VfdSky_Q2,0)*Table2[[#This Row],[Iout]], 2*Deadtime*Fsw*IF(VfdSky_Q3&gt;0,VfdSky_Q3,0)*Table2[[#This Row],[Iin]], 2*Deadtime*Fsw*IF(VfdSky_Q2&gt;0,VfdSky_Q2,0)*Table2[[#This Row],[Iout]]+2*Deadtime*Fsw*IF(VfdSky_Q3&gt;0,VfdSky_Q3,0)*Table2[[#This Row],[Iin]])</f>
        <v>0</v>
      </c>
      <c r="BA5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0.10069331328</v>
      </c>
      <c r="BB5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0.10069331328</v>
      </c>
      <c r="BC51" s="354">
        <f>CHOOSE(Table2[[#This Row],[Mode Digit]], Rs*Table2[[#This Row],[Irms BuSync]]^2, Rs*Table2[[#This Row],[Irms BoCtlr]]^2, Rs*(Table2[[#This Row],[Irms BuSync]]^2+Table2[[#This Row],[Irms BoCtlr]]^2))</f>
        <v>6.4803794116571709E-2</v>
      </c>
      <c r="BD51" s="354">
        <f t="shared" si="6"/>
        <v>1.44</v>
      </c>
      <c r="BE51" s="354">
        <f>IF(Vout&gt;8, Iq*Vout, Iq*Table2[[#This Row],[Vin]])</f>
        <v>4.3799999999999999E-2</v>
      </c>
      <c r="BF51" s="354">
        <f>CHOOSE(Table2[[#This Row],[Mode Digit]], (Qg_Q1+Qg_Q2)*Fsw, (Qg_Q3+Qg_Q4)*Fsw, (Qg_Q1+Qg_Q2+Qg_Q3+Qg_Q4)*Fsw)*IF(Vout&gt;8, Vout, Table2[[#This Row],[Vin]])</f>
        <v>0.47303999999999996</v>
      </c>
      <c r="BG51" s="354">
        <f t="shared" si="4"/>
        <v>0.45605042016806729</v>
      </c>
      <c r="BH51" s="354">
        <f>Table2[[#This Row],[IQ Loss]]+Table2[[#This Row],[Switching Current Loss]]</f>
        <v>0.51683999999999997</v>
      </c>
      <c r="BI51"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4.3754136848604084</v>
      </c>
      <c r="BJ51">
        <f>Vout*Table2[[#This Row],[Iout]]</f>
        <v>73.584000000000003</v>
      </c>
      <c r="BK51" s="550">
        <f>Table2[[#This Row],[Pout]]/(Table2[[#This Row],[Pout]]+Table2[[#This Row],[Total Loss]])</f>
        <v>0.94387574921295103</v>
      </c>
      <c r="BL51" s="559">
        <f>IF(Table2[[#This Row],[Vin]]&gt;Vout,ThetaJA_Q1*(Table2[[#This Row],[Total Control Bu MOSFET Loss]]+Table2[[#This Row],[Reverse Recovery Loss MOSFET D BUCK]]),ThetaJA_Q4*(Table2[[#This Row],[Total Control Bo MOSFET Loss]]+Table2[[#This Row],[Reverse Recovery Loss MOSFET D BOOST]]))</f>
        <v>74.332370562906547</v>
      </c>
      <c r="BM51" s="559">
        <f>IF(Table2[[#This Row],[Vin]]&gt;Vout, Table2[[#This Row],[Total Sync Bu MOSFET Loss]]*ThetaJA_Q2, ThetaJA_Q3*Table2[[#This Row],[Total Sync Bo MOSFET Loss]])</f>
        <v>21.647610475226895</v>
      </c>
      <c r="BN51" s="9"/>
      <c r="BO51" s="4">
        <f>Table2[[#This Row],[EFF, h]]*100</f>
        <v>94.387574921295098</v>
      </c>
      <c r="BP51" s="354">
        <f>Table2[[#This Row],[Total Inductor Loss]]</f>
        <v>0.4170741472149796</v>
      </c>
      <c r="BQ51" s="354">
        <f>Table2[[#This Row],[Total Control Bu MOSFET Loss]]+Table2[[#This Row],[Total Sync Bu MOSFET Loss]]+Table2[[#This Row],[Total Control Bo MOSFET Loss]]+Table2[[#This Row],[Total Sync Bo MOSFET Loss]]+Table2[[#This Row],[Reverse Recovery Loss MOSFET D BUCK]]+Table2[[#This Row],[Reverse Recovery Loss MOSFET D BOOST]]</f>
        <v>1.9239423803021614</v>
      </c>
      <c r="BR51" s="354">
        <f xml:space="preserve"> Table2[[#This Row],[Total Control Bu MOSFET Loss]]+Table2[[#This Row],[Reverse Recovery Loss MOSFET D BUCK]]*0.66</f>
        <v>1.2046371161999092</v>
      </c>
      <c r="BS51" s="354">
        <f>Table2[[#This Row],[Total Sync Bu MOSFET Loss]]+Table2[[#This Row],[Reverse Recovery Loss MOSFET D BUCK]]*0.33</f>
        <v>0.39402230130284821</v>
      </c>
      <c r="BT51" s="354">
        <f xml:space="preserve"> Table2[[#This Row],[Total Control Bo MOSFET Loss]]+Table2[[#This Row],[Reverse Recovery Loss MOSFET D BOOST]]*0.66</f>
        <v>0.17824894495810195</v>
      </c>
      <c r="BU51" s="354">
        <f xml:space="preserve"> Table2[[#This Row],[Total Sync Bo MOSFET Loss]]+Table2[[#This Row],[Reverse Recovery Loss MOSFET D BOOST]]*0.33</f>
        <v>0.14502015157570194</v>
      </c>
      <c r="BV51" s="354">
        <f>Table2[[#This Row],[Isense Shunt Loss]]</f>
        <v>6.4803794116571709E-2</v>
      </c>
      <c r="CA51">
        <v>9.9964639999999996</v>
      </c>
      <c r="CB51">
        <v>10.493</v>
      </c>
      <c r="CC51">
        <v>5.1092279999999999</v>
      </c>
      <c r="CD51">
        <v>89.626660259106615</v>
      </c>
      <c r="CE51">
        <v>6204.9221585439973</v>
      </c>
    </row>
    <row r="52" spans="1:83" x14ac:dyDescent="0.2">
      <c r="A52" s="23" t="s">
        <v>94</v>
      </c>
      <c r="B52" s="5">
        <f>Rgate2</f>
        <v>4.7</v>
      </c>
      <c r="C52" s="444" t="s">
        <v>118</v>
      </c>
      <c r="D52" s="21" t="s">
        <v>102</v>
      </c>
      <c r="G52">
        <v>43</v>
      </c>
      <c r="H52" s="555">
        <f t="shared" si="5"/>
        <v>20</v>
      </c>
      <c r="I52" s="4" t="str">
        <f>IF(Mode = 2,IF(Table2[[#This Row],[Vin]]&gt;Vout, "BUCK","BOOST"),IF(Table2[[#This Row],[Vin]]&gt;VIN_BB_to_buck, "BUCK", IF(Table2[[#This Row],[Vin]]&lt;=VIN_boost_to_BB,"BOOST","BUCK-BST")))</f>
        <v>BUCK</v>
      </c>
      <c r="J52">
        <f>IF(Table2[[#This Row],[Mode]]="BOOST",2, IF(Table2[[#This Row],[Mode]]="BUCK", 1,3))</f>
        <v>1</v>
      </c>
      <c r="K52" s="354">
        <f t="shared" si="7"/>
        <v>5.16</v>
      </c>
      <c r="L52" s="4">
        <f>Vout*Table2[[#This Row],[Iout]]/(Table2[[#This Row],[Vin]]*Efficiency)</f>
        <v>3.9650526315789474</v>
      </c>
      <c r="M52" s="711">
        <f>MIN(1/Fsw,CHOOSE(Table2[[#This Row],[Mode Digit]],(Vout+(Rdson2+Rs+Rdcr)*Table2[[#This Row],[Iout]])/(Table2[[#This Row],[Vin]]+(Rs+Rdson2-Rdson1)*Table2[[#This Row],[Iout]])/Fsw,(Vout+(Rdson3+Rdcr)*Table2[[#This Row],[Iin]]-Table2[[#This Row],[Vin]])/(Vout+(Rdson3-Rdson4-Rs)*Table2[[#This Row],[Iin]])/Fsw,t1_Ph_II))</f>
        <v>1.2212539578638447E-6</v>
      </c>
      <c r="N52" s="602">
        <f>CHOOSE(Table2[[#This Row],[Mode Digit]],1/Fsw-Table2[[#This Row],[t1_Ph_II]],1/Fsw-Table2[[#This Row],[t1_Ph_II]],(Vout/Fsw-Table2[[#This Row],[Vin]]*t1_Ph_II)/(Table2[[#This Row],[Vin]]+Vout))</f>
        <v>4.45412708802822E-7</v>
      </c>
      <c r="O52" s="602">
        <f>1/Fsw-(Table2[[#This Row],[t1_Ph_II]]+Table2[[#This Row],[t2_Ph_I]])</f>
        <v>0</v>
      </c>
      <c r="P52"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3.9109902703665225</v>
      </c>
      <c r="Q52" s="4">
        <f>CHOOSE(Table2[[#This Row],[Mode Digit]],Table2[[#This Row],[I_0]]+1/Lf*(Table2[[#This Row],[Vin]]-Vout)*Table2[[#This Row],[t1_Ph_II]],Table2[[#This Row],[I_0]]+1/Lf*Table2[[#This Row],[Vin]]*Table2[[#This Row],[t1_Ph_II]],Table2[[#This Row],[I_0]]+(Table2[[#This Row],[Vin]]-Vout)/L*Table2[[#This Row],[t1_Ph_II]])</f>
        <v>6.4090097296334783</v>
      </c>
      <c r="R52" s="4">
        <f>CHOOSE(Table2[[#This Row],[Mode Digit]],0,0,Table2[[#This Row],[I_1]]+Table2[[#This Row],[Vin]]/L*Table2[[#This Row],[t2_Ph_I]])</f>
        <v>0</v>
      </c>
      <c r="S52" s="409">
        <f>Fsw*(Table2[[#This Row],[I_0]]*Table2[[#This Row],[t1_Ph_II]]+Table2[[#This Row],[I_1]]*Table2[[#This Row],[t2_Ph_I]]+Table2[[#This Row],[I_2]]*Table2[[#This Row],[t3_Ph_III]])</f>
        <v>4.578580038763076</v>
      </c>
      <c r="T52" s="354">
        <f>MIN(1,CHOOSE(Table2[[#This Row],[Mode Digit]],(Vout+(Rdson2+Rs+Rdcr)*Table2[[#This Row],[Iout]])/(Table2[[#This Row],[Vin]]+(Rs+Rdson2-Rdson1)*Table2[[#This Row],[Iout]]),1,Fsw*Table2[[#This Row],[t2_Ph_I]]+Table2[[#This Row],[t1_Ph_II]]))</f>
        <v>0.73275237471830679</v>
      </c>
      <c r="U52" s="354">
        <f>MIN(1,CHOOSE(Table2[[#This Row],[Mode Digit]],0,(Vout+(Rdson3+Rdcr)*Table2[[#This Row],[Iin]]-Table2[[#This Row],[Vin]])/(Vout+(Rdson3-Rdson4-Rs)*Table2[[#This Row],[Iin]]),Fsw*Table2[[#This Row],[t1_Ph_II]]+Table2[[#This Row],[t3_Ph_III]]))</f>
        <v>0</v>
      </c>
      <c r="V52" s="4">
        <f>MAX(Table2[[#This Row],[I_0]:[I_2]])-MIN(Table2[[#This Row],[I_0]:[I_1]])</f>
        <v>2.4980194592669558</v>
      </c>
      <c r="W52"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5.2101447614155951</v>
      </c>
      <c r="X52" s="354">
        <f>(Table2[[#This Row],[Irms Lf]]^2*Rdcr*(1+Ltc*Ta-Ltc*25))/(1-Table2[[#This Row],[Irms Lf]]^2*Rdcr*Ltc*ThetaCa)</f>
        <v>0.15945292821591783</v>
      </c>
      <c r="Y52" s="354">
        <f>ABS(7.759*10^-3*Fsw^0.9458*(0.00787*Table2[[#This Row],[Ripple Current pk-pk]])^2.304)</f>
        <v>0.26495233456782513</v>
      </c>
      <c r="Z52" s="354">
        <f>Table2[[#This Row],[DCR    Loss]]+Table2[[#This Row],[Core Loss]]</f>
        <v>0.42440526278374296</v>
      </c>
      <c r="AA52" s="4">
        <f>IF(Table2[[#This Row],[Vin]]&gt;Vout, Table2[[#This Row],[Ripple Current pk-pk]]/SQRT(12), SQRT(Table2[[#This Row],[Duty Cycle BOOST Leg]]/(1-Table2[[#This Row],[Duty Cycle BOOST Leg]]))*SQRT(Table2[[#This Row],[Iout]]^2+(Table2[[#This Row],[Ripple Current pk-pk]]^2)/12))</f>
        <v>0.72111610362435019</v>
      </c>
      <c r="AB52" s="354">
        <f>RCoutEsr*Table2[[#This Row],[Irms Cout]]^2</f>
        <v>2.6000421745318229E-3</v>
      </c>
      <c r="AC52" s="354">
        <f>Table2[[#This Row],[Cout ESR Loss]]</f>
        <v>2.6000421745318229E-3</v>
      </c>
      <c r="AD52" s="4">
        <f>IF(Table2[[#This Row],[Vin]]&gt;Vout, SQRT(Table2[[#This Row],[Duty Cycle BUCK Leg]]*(1-Table2[[#This Row],[Duty Cycle BUCK Leg]]))*SQRT(Table2[[#This Row],[Iout]]^2+(Table2[[#This Row],[Ripple Current pk-pk]]^2)/12), Table2[[#This Row],[Ripple Current pk-pk]]/SQRT(12))</f>
        <v>2.3056072803983438</v>
      </c>
      <c r="AE52" s="354">
        <f>RCinEsr*Table2[[#This Row],[Irms Cin]]^2</f>
        <v>1.0631649862851696E-2</v>
      </c>
      <c r="AF52" s="549">
        <f>Table2[[#This Row],[Cin ESR Loss]]</f>
        <v>1.0631649862851696E-2</v>
      </c>
      <c r="AG52" s="354">
        <f>Table2[[#This Row],[Irms Lf]]</f>
        <v>5.2101447614155951</v>
      </c>
      <c r="AH52" s="354">
        <f>Rdson1*Table2[[#This Row],[Irms BuCtrl]]^2</f>
        <v>0.11401155542660676</v>
      </c>
      <c r="AI52" s="354">
        <f>CHOOSE(Table2[[#This Row],[Mode Digit]], (Table2[[#This Row],[Vin]]*Table2[[#This Row],[Iout]]/2)*(Fsw)*(Tr_buck+Tf_buck), 0, (Table2[[#This Row],[Vin]]*Table2[[#This Row],[Avg IL]]/2)*(Fsw/1)*(Tr_buck+Tf_buck))</f>
        <v>1.0233690684986867</v>
      </c>
      <c r="AJ52">
        <f>IF(Table2[[#This Row],[Vin]]&gt;Vout, IF(Table2[[#This Row],[Iout]]&gt;Table2[[#This Row],[Ripple Current pk-pk]]/2,0,ABS(Table2[[#This Row],[Iout]]-Table2[[#This Row],[Ripple Current pk-pk]]/2)*Vsd_Q1*Deadtime*Fsw),0)</f>
        <v>0</v>
      </c>
      <c r="AK52" s="354">
        <f>(Table2[[#This Row],[Dead Time Loss BuCtrl]]+Table2[[#This Row],[Transition Loss BuCtrl]]+Table2[[#This Row],[RDS(on) Loss BuCtrl]]*(1+RdsonTopTc*Ta-RdsonTopTc*25))/(1-Table2[[#This Row],[RDS(on) Loss BuCtrl]]*RdsonTopTc*ThetaJA_Q1)</f>
        <v>1.1693780504238263</v>
      </c>
      <c r="AL52" s="354">
        <f>Table2[[#This Row],[Irms Lf]]</f>
        <v>5.2101447614155951</v>
      </c>
      <c r="AM52" s="354">
        <f>Rdson2*Table2[[#This Row],[Irms BuSync]]^2</f>
        <v>0.11401155542660676</v>
      </c>
      <c r="AN52"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0.24826971428571429</v>
      </c>
      <c r="AO52" s="354">
        <f>(Table2[[#This Row],[Deadtime Loss BuSync]]+Table2[[#This Row],[RDS(on) Loss BuSync]]*(1+RdsonBotTc*Ta-RdsonBotTc*25))/(1-Table2[[#This Row],[RDS(on) Loss BuSync]]*RdsonBotTc*ThetaJA_Q2)</f>
        <v>0.37247316858554869</v>
      </c>
      <c r="AP52" s="354">
        <f>Table2[[#This Row],[Irms Lf]]</f>
        <v>5.2101447614155951</v>
      </c>
      <c r="AQ52" s="354">
        <f>Rdson4*Table2[[#This Row],[Irms BoCtlr]]^2</f>
        <v>0.11401155542660676</v>
      </c>
      <c r="AR52" s="354">
        <f>CHOOSE(Table2[[#This Row],[Mode Digit]], 0, (Vout*Table2[[#This Row],[Iin]]/2)*(Fsw)*(Tr_boost+Tf_boost), (Vout*Iout/2)*(Fsw/1)*(Tr_boost+Tf_boost))</f>
        <v>0</v>
      </c>
      <c r="AS52" s="354">
        <f>IF(Table2[[#This Row],[Vin]]&gt;Vout, 0, IF(Table2[[#This Row],[Iin]]&gt;Table2[[#This Row],[Ripple Current pk-pk]]/2,0,ABS(Table2[[#This Row],[Iin]]-Table2[[#This Row],[Ripple Current pk-pk]]/2)*Vsd_Q4*Deadtime*Fsw))</f>
        <v>0</v>
      </c>
      <c r="AT52" s="354">
        <f>(Table2[[#This Row],[Dead Time Loss BoCtlr]]+Table2[[#This Row],[Transition Loss BoCtlr]]+Table2[[#This Row],[RDS(on) Loss BoCtlr]]*(1+RdsonTopTc*Ta-RdsonTopTc*25))/(1-Table2[[#This Row],[RDS(on) Loss BoCtlr]]*RdsonTopTc*ThetaJA_Q4)</f>
        <v>0.11721899213513456</v>
      </c>
      <c r="AU52" s="354">
        <f>Table2[[#This Row],[Irms Lf]]</f>
        <v>5.2101447614155951</v>
      </c>
      <c r="AV52" s="354">
        <f>Rdson3*Table2[[#This Row],[Irms BoSync]]^2</f>
        <v>0.11401155542660676</v>
      </c>
      <c r="AW52"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52" s="354">
        <f>(Table2[[#This Row],[Deadtime Loss BoSync]]+Table2[[#This Row],[RDS(on) Loss BoSync]]*(1+RdsonBotTc*Ta-RdsonBotTc*25))/(1-Table2[[#This Row],[RDS(on) Loss BoSync]]*RdsonBotTc*ThetaJA_Q3)</f>
        <v>0.11721899213513456</v>
      </c>
      <c r="AY52" s="354">
        <f>CHOOSE(Table2[[#This Row],[Mode Digit]], Rdson3*Table2[[#This Row],[Irms Lf]]^2, Rdson1*Table2[[#This Row],[Irms Lf]]^2, 0)</f>
        <v>0.11401155542660676</v>
      </c>
      <c r="AZ52" s="354">
        <f>CHOOSE(Table2[[#This Row],[Mode Digit]], 2*Deadtime*Fsw*IF(VfdSky_Q2&gt;0,VfdSky_Q2,0)*Table2[[#This Row],[Iout]], 2*Deadtime*Fsw*IF(VfdSky_Q3&gt;0,VfdSky_Q3,0)*Table2[[#This Row],[Iin]], 2*Deadtime*Fsw*IF(VfdSky_Q2&gt;0,VfdSky_Q2,0)*Table2[[#This Row],[Iout]]+2*Deadtime*Fsw*IF(VfdSky_Q3&gt;0,VfdSky_Q3,0)*Table2[[#This Row],[Iin]])</f>
        <v>0</v>
      </c>
      <c r="BA5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0.10308817248000002</v>
      </c>
      <c r="BB5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0.10308817248000002</v>
      </c>
      <c r="BC52" s="354">
        <f>CHOOSE(Table2[[#This Row],[Mode Digit]], Rs*Table2[[#This Row],[Irms BuSync]]^2, Rs*Table2[[#This Row],[Irms BoCtlr]]^2, Rs*(Table2[[#This Row],[Irms BuSync]]^2+Table2[[#This Row],[Irms BoCtlr]]^2))</f>
        <v>6.7864021087265927E-2</v>
      </c>
      <c r="BD52" s="354">
        <f t="shared" si="6"/>
        <v>1.44</v>
      </c>
      <c r="BE52" s="354">
        <f>IF(Vout&gt;8, Iq*Vout, Iq*Table2[[#This Row],[Vin]])</f>
        <v>4.3799999999999999E-2</v>
      </c>
      <c r="BF52" s="354">
        <f>CHOOSE(Table2[[#This Row],[Mode Digit]], (Qg_Q1+Qg_Q2)*Fsw, (Qg_Q3+Qg_Q4)*Fsw, (Qg_Q1+Qg_Q2+Qg_Q3+Qg_Q4)*Fsw)*IF(Vout&gt;8, Vout, Table2[[#This Row],[Vin]])</f>
        <v>0.47303999999999996</v>
      </c>
      <c r="BG52" s="354">
        <f t="shared" si="4"/>
        <v>0.45605042016806729</v>
      </c>
      <c r="BH52" s="354">
        <f>Table2[[#This Row],[IQ Loss]]+Table2[[#This Row],[Switching Current Loss]]</f>
        <v>0.51683999999999997</v>
      </c>
      <c r="BI52"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4.4448065241480368</v>
      </c>
      <c r="BJ52">
        <f>Vout*Table2[[#This Row],[Iout]]</f>
        <v>75.335999999999999</v>
      </c>
      <c r="BK52" s="550">
        <f>Table2[[#This Row],[Pout]]/(Table2[[#This Row],[Pout]]+Table2[[#This Row],[Total Loss]])</f>
        <v>0.94428727011173197</v>
      </c>
      <c r="BL52" s="559">
        <f>IF(Table2[[#This Row],[Vin]]&gt;Vout,ThetaJA_Q1*(Table2[[#This Row],[Total Control Bu MOSFET Loss]]+Table2[[#This Row],[Reverse Recovery Loss MOSFET D BUCK]]),ThetaJA_Q4*(Table2[[#This Row],[Total Control Bo MOSFET Loss]]+Table2[[#This Row],[Reverse Recovery Loss MOSFET D BOOST]]))</f>
        <v>76.347973374229568</v>
      </c>
      <c r="BM52" s="559">
        <f>IF(Table2[[#This Row],[Vin]]&gt;Vout, Table2[[#This Row],[Total Sync Bu MOSFET Loss]]*ThetaJA_Q2, ThetaJA_Q3*Table2[[#This Row],[Total Sync Bo MOSFET Loss]])</f>
        <v>22.348390115132922</v>
      </c>
      <c r="BN52" s="9"/>
      <c r="BO52" s="4">
        <f>Table2[[#This Row],[EFF, h]]*100</f>
        <v>94.428727011173194</v>
      </c>
      <c r="BP52" s="354">
        <f>Table2[[#This Row],[Total Inductor Loss]]</f>
        <v>0.42440526278374296</v>
      </c>
      <c r="BQ52" s="354">
        <f>Table2[[#This Row],[Total Control Bu MOSFET Loss]]+Table2[[#This Row],[Total Sync Bu MOSFET Loss]]+Table2[[#This Row],[Total Control Bo MOSFET Loss]]+Table2[[#This Row],[Total Sync Bo MOSFET Loss]]+Table2[[#This Row],[Reverse Recovery Loss MOSFET D BUCK]]+Table2[[#This Row],[Reverse Recovery Loss MOSFET D BOOST]]</f>
        <v>1.9824655482396443</v>
      </c>
      <c r="BR52" s="354">
        <f xml:space="preserve"> Table2[[#This Row],[Total Control Bu MOSFET Loss]]+Table2[[#This Row],[Reverse Recovery Loss MOSFET D BUCK]]*0.66</f>
        <v>1.2374162442606262</v>
      </c>
      <c r="BS52" s="354">
        <f>Table2[[#This Row],[Total Sync Bu MOSFET Loss]]+Table2[[#This Row],[Reverse Recovery Loss MOSFET D BUCK]]*0.33</f>
        <v>0.40649226550394868</v>
      </c>
      <c r="BT52" s="354">
        <f xml:space="preserve"> Table2[[#This Row],[Total Control Bo MOSFET Loss]]+Table2[[#This Row],[Reverse Recovery Loss MOSFET D BOOST]]*0.66</f>
        <v>0.18525718597193458</v>
      </c>
      <c r="BU52" s="354">
        <f xml:space="preserve"> Table2[[#This Row],[Total Sync Bo MOSFET Loss]]+Table2[[#This Row],[Reverse Recovery Loss MOSFET D BOOST]]*0.33</f>
        <v>0.15123808905353459</v>
      </c>
      <c r="BV52" s="354">
        <f>Table2[[#This Row],[Isense Shunt Loss]]</f>
        <v>6.7864021087265927E-2</v>
      </c>
      <c r="CA52">
        <v>9.9959819999999997</v>
      </c>
      <c r="CB52">
        <v>11.519</v>
      </c>
      <c r="CC52">
        <v>5.1101260000000002</v>
      </c>
      <c r="CD52">
        <v>88.591390420220321</v>
      </c>
      <c r="CE52">
        <v>7580.3207309739973</v>
      </c>
    </row>
    <row r="53" spans="1:83" x14ac:dyDescent="0.2">
      <c r="A53" s="23" t="s">
        <v>76</v>
      </c>
      <c r="B53" s="5">
        <f>Vsd_Q2</f>
        <v>1</v>
      </c>
      <c r="C53" s="440" t="s">
        <v>0</v>
      </c>
      <c r="D53" s="21" t="s">
        <v>107</v>
      </c>
      <c r="G53">
        <v>44</v>
      </c>
      <c r="H53" s="555">
        <f t="shared" si="5"/>
        <v>20</v>
      </c>
      <c r="I53" s="4" t="str">
        <f>IF(Mode = 2,IF(Table2[[#This Row],[Vin]]&gt;Vout, "BUCK","BOOST"),IF(Table2[[#This Row],[Vin]]&gt;VIN_BB_to_buck, "BUCK", IF(Table2[[#This Row],[Vin]]&lt;=VIN_boost_to_BB,"BOOST","BUCK-BST")))</f>
        <v>BUCK</v>
      </c>
      <c r="J53">
        <f>IF(Table2[[#This Row],[Mode]]="BOOST",2, IF(Table2[[#This Row],[Mode]]="BUCK", 1,3))</f>
        <v>1</v>
      </c>
      <c r="K53" s="354">
        <f t="shared" si="7"/>
        <v>5.28</v>
      </c>
      <c r="L53" s="4">
        <f>Vout*Table2[[#This Row],[Iout]]/(Table2[[#This Row],[Vin]]*Efficiency)</f>
        <v>4.0572631578947371</v>
      </c>
      <c r="M53" s="711">
        <f>MIN(1/Fsw,CHOOSE(Table2[[#This Row],[Mode Digit]],(Vout+(Rdson2+Rs+Rdcr)*Table2[[#This Row],[Iout]])/(Table2[[#This Row],[Vin]]+(Rs+Rdson2-Rdson1)*Table2[[#This Row],[Iout]])/Fsw,(Vout+(Rdson3+Rdcr)*Table2[[#This Row],[Iin]]-Table2[[#This Row],[Vin]])/(Vout+(Rdson3-Rdson4-Rs)*Table2[[#This Row],[Iin]])/Fsw,t1_Ph_II))</f>
        <v>1.2213605686913303E-6</v>
      </c>
      <c r="N53" s="602">
        <f>CHOOSE(Table2[[#This Row],[Mode Digit]],1/Fsw-Table2[[#This Row],[t1_Ph_II]],1/Fsw-Table2[[#This Row],[t1_Ph_II]],(Vout/Fsw-Table2[[#This Row],[Vin]]*t1_Ph_II)/(Table2[[#This Row],[Vin]]+Vout))</f>
        <v>4.453060979753364E-7</v>
      </c>
      <c r="O53" s="602">
        <f>1/Fsw-(Table2[[#This Row],[t1_Ph_II]]+Table2[[#This Row],[t2_Ph_I]])</f>
        <v>0</v>
      </c>
      <c r="P53"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4.0308812365656852</v>
      </c>
      <c r="Q53" s="4">
        <f>CHOOSE(Table2[[#This Row],[Mode Digit]],Table2[[#This Row],[I_0]]+1/Lf*(Table2[[#This Row],[Vin]]-Vout)*Table2[[#This Row],[t1_Ph_II]],Table2[[#This Row],[I_0]]+1/Lf*Table2[[#This Row],[Vin]]*Table2[[#This Row],[t1_Ph_II]],Table2[[#This Row],[I_0]]+(Table2[[#This Row],[Vin]]-Vout)/L*Table2[[#This Row],[t1_Ph_II]])</f>
        <v>6.5291187634343153</v>
      </c>
      <c r="R53" s="4">
        <f>CHOOSE(Table2[[#This Row],[Mode Digit]],0,0,Table2[[#This Row],[I_1]]+Table2[[#This Row],[Vin]]/L*Table2[[#This Row],[t2_Ph_I]])</f>
        <v>0</v>
      </c>
      <c r="S53" s="409">
        <f>Fsw*(Table2[[#This Row],[I_0]]*Table2[[#This Row],[t1_Ph_II]]+Table2[[#This Row],[I_1]]*Table2[[#This Row],[t2_Ph_I]]+Table2[[#This Row],[I_2]]*Table2[[#This Row],[t3_Ph_III]])</f>
        <v>4.6983694795089397</v>
      </c>
      <c r="T53" s="354">
        <f>MIN(1,CHOOSE(Table2[[#This Row],[Mode Digit]],(Vout+(Rdson2+Rs+Rdcr)*Table2[[#This Row],[Iout]])/(Table2[[#This Row],[Vin]]+(Rs+Rdson2-Rdson1)*Table2[[#This Row],[Iout]]),1,Fsw*Table2[[#This Row],[t2_Ph_I]]+Table2[[#This Row],[t1_Ph_II]]))</f>
        <v>0.73281634121479822</v>
      </c>
      <c r="U53" s="354">
        <f>MIN(1,CHOOSE(Table2[[#This Row],[Mode Digit]],0,(Vout+(Rdson3+Rdcr)*Table2[[#This Row],[Iin]]-Table2[[#This Row],[Vin]])/(Vout+(Rdson3-Rdson4-Rs)*Table2[[#This Row],[Iin]]),Fsw*Table2[[#This Row],[t1_Ph_II]]+Table2[[#This Row],[t3_Ph_III]]))</f>
        <v>0</v>
      </c>
      <c r="V53" s="4">
        <f>MAX(Table2[[#This Row],[I_0]:[I_2]])-MIN(Table2[[#This Row],[I_0]:[I_1]])</f>
        <v>2.4982375268686301</v>
      </c>
      <c r="W53"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5.3290242285420222</v>
      </c>
      <c r="X53" s="354">
        <f>(Table2[[#This Row],[Irms Lf]]^2*Rdcr*(1+Ltc*Ta-Ltc*25))/(1-Table2[[#This Row],[Irms Lf]]^2*Rdcr*Ltc*ThetaCa)</f>
        <v>0.1669106612244218</v>
      </c>
      <c r="Y53" s="354">
        <f>ABS(7.759*10^-3*Fsw^0.9458*(0.00787*Table2[[#This Row],[Ripple Current pk-pk]])^2.304)</f>
        <v>0.26500562758073115</v>
      </c>
      <c r="Z53" s="354">
        <f>Table2[[#This Row],[DCR    Loss]]+Table2[[#This Row],[Core Loss]]</f>
        <v>0.43191628880515298</v>
      </c>
      <c r="AA53" s="4">
        <f>IF(Table2[[#This Row],[Vin]]&gt;Vout, Table2[[#This Row],[Ripple Current pk-pk]]/SQRT(12), SQRT(Table2[[#This Row],[Duty Cycle BOOST Leg]]/(1-Table2[[#This Row],[Duty Cycle BOOST Leg]]))*SQRT(Table2[[#This Row],[Iout]]^2+(Table2[[#This Row],[Ripple Current pk-pk]]^2)/12))</f>
        <v>0.72117905431861429</v>
      </c>
      <c r="AB53" s="354">
        <f>RCoutEsr*Table2[[#This Row],[Irms Cout]]^2</f>
        <v>2.600496141939454E-3</v>
      </c>
      <c r="AC53" s="354">
        <f>Table2[[#This Row],[Cout ESR Loss]]</f>
        <v>2.600496141939454E-3</v>
      </c>
      <c r="AD53" s="4">
        <f>IF(Table2[[#This Row],[Vin]]&gt;Vout, SQRT(Table2[[#This Row],[Duty Cycle BUCK Leg]]*(1-Table2[[#This Row],[Duty Cycle BUCK Leg]]))*SQRT(Table2[[#This Row],[Iout]]^2+(Table2[[#This Row],[Ripple Current pk-pk]]^2)/12), Table2[[#This Row],[Ripple Current pk-pk]]/SQRT(12))</f>
        <v>2.3580348194997858</v>
      </c>
      <c r="AE53" s="354">
        <f>RCinEsr*Table2[[#This Row],[Irms Cin]]^2</f>
        <v>1.1120656419946775E-2</v>
      </c>
      <c r="AF53" s="549">
        <f>Table2[[#This Row],[Cin ESR Loss]]</f>
        <v>1.1120656419946775E-2</v>
      </c>
      <c r="AG53" s="354">
        <f>Table2[[#This Row],[Irms Lf]]</f>
        <v>5.3290242285420222</v>
      </c>
      <c r="AH53" s="354">
        <f>Rdson1*Table2[[#This Row],[Irms BuCtrl]]^2</f>
        <v>0.11927369675922918</v>
      </c>
      <c r="AI53" s="354">
        <f>CHOOSE(Table2[[#This Row],[Mode Digit]], (Table2[[#This Row],[Vin]]*Table2[[#This Row],[Iout]]/2)*(Fsw)*(Tr_buck+Tf_buck), 0, (Table2[[#This Row],[Vin]]*Table2[[#This Row],[Avg IL]]/2)*(Fsw/1)*(Tr_buck+Tf_buck))</f>
        <v>1.047168349161447</v>
      </c>
      <c r="AJ53">
        <f>IF(Table2[[#This Row],[Vin]]&gt;Vout, IF(Table2[[#This Row],[Iout]]&gt;Table2[[#This Row],[Ripple Current pk-pk]]/2,0,ABS(Table2[[#This Row],[Iout]]-Table2[[#This Row],[Ripple Current pk-pk]]/2)*Vsd_Q1*Deadtime*Fsw),0)</f>
        <v>0</v>
      </c>
      <c r="AK53" s="354">
        <f>(Table2[[#This Row],[Dead Time Loss BuCtrl]]+Table2[[#This Row],[Transition Loss BuCtrl]]+Table2[[#This Row],[RDS(on) Loss BuCtrl]]*(1+RdsonTopTc*Ta-RdsonTopTc*25))/(1-Table2[[#This Row],[RDS(on) Loss BuCtrl]]*RdsonTopTc*ThetaJA_Q1)</f>
        <v>1.2008162359009338</v>
      </c>
      <c r="AL53" s="354">
        <f>Table2[[#This Row],[Irms Lf]]</f>
        <v>5.3290242285420222</v>
      </c>
      <c r="AM53" s="354">
        <f>Rdson2*Table2[[#This Row],[Irms BuSync]]^2</f>
        <v>0.11927369675922918</v>
      </c>
      <c r="AN53"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0.25404342857142859</v>
      </c>
      <c r="AO53" s="354">
        <f>(Table2[[#This Row],[Deadtime Loss BuSync]]+Table2[[#This Row],[RDS(on) Loss BuSync]]*(1+RdsonBotTc*Ta-RdsonBotTc*25))/(1-Table2[[#This Row],[RDS(on) Loss BuSync]]*RdsonBotTc*ThetaJA_Q2)</f>
        <v>0.38431850669707701</v>
      </c>
      <c r="AP53" s="354">
        <f>Table2[[#This Row],[Irms Lf]]</f>
        <v>5.3290242285420222</v>
      </c>
      <c r="AQ53" s="354">
        <f>Rdson4*Table2[[#This Row],[Irms BoCtlr]]^2</f>
        <v>0.11927369675922918</v>
      </c>
      <c r="AR53" s="354">
        <f>CHOOSE(Table2[[#This Row],[Mode Digit]], 0, (Vout*Table2[[#This Row],[Iin]]/2)*(Fsw)*(Tr_boost+Tf_boost), (Vout*Iout/2)*(Fsw/1)*(Tr_boost+Tf_boost))</f>
        <v>0</v>
      </c>
      <c r="AS53" s="354">
        <f>IF(Table2[[#This Row],[Vin]]&gt;Vout, 0, IF(Table2[[#This Row],[Iin]]&gt;Table2[[#This Row],[Ripple Current pk-pk]]/2,0,ABS(Table2[[#This Row],[Iin]]-Table2[[#This Row],[Ripple Current pk-pk]]/2)*Vsd_Q4*Deadtime*Fsw))</f>
        <v>0</v>
      </c>
      <c r="AT53" s="354">
        <f>(Table2[[#This Row],[Dead Time Loss BoCtlr]]+Table2[[#This Row],[Transition Loss BoCtlr]]+Table2[[#This Row],[RDS(on) Loss BoCtlr]]*(1+RdsonTopTc*Ta-RdsonTopTc*25))/(1-Table2[[#This Row],[RDS(on) Loss BoCtlr]]*RdsonTopTc*ThetaJA_Q4)</f>
        <v>0.12278860495924464</v>
      </c>
      <c r="AU53" s="354">
        <f>Table2[[#This Row],[Irms Lf]]</f>
        <v>5.3290242285420222</v>
      </c>
      <c r="AV53" s="354">
        <f>Rdson3*Table2[[#This Row],[Irms BoSync]]^2</f>
        <v>0.11927369675922918</v>
      </c>
      <c r="AW53"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53" s="354">
        <f>(Table2[[#This Row],[Deadtime Loss BoSync]]+Table2[[#This Row],[RDS(on) Loss BoSync]]*(1+RdsonBotTc*Ta-RdsonBotTc*25))/(1-Table2[[#This Row],[RDS(on) Loss BoSync]]*RdsonBotTc*ThetaJA_Q3)</f>
        <v>0.12278860495924464</v>
      </c>
      <c r="AY53" s="354">
        <f>CHOOSE(Table2[[#This Row],[Mode Digit]], Rdson3*Table2[[#This Row],[Irms Lf]]^2, Rdson1*Table2[[#This Row],[Irms Lf]]^2, 0)</f>
        <v>0.11927369675922918</v>
      </c>
      <c r="AZ53" s="354">
        <f>CHOOSE(Table2[[#This Row],[Mode Digit]], 2*Deadtime*Fsw*IF(VfdSky_Q2&gt;0,VfdSky_Q2,0)*Table2[[#This Row],[Iout]], 2*Deadtime*Fsw*IF(VfdSky_Q3&gt;0,VfdSky_Q3,0)*Table2[[#This Row],[Iin]], 2*Deadtime*Fsw*IF(VfdSky_Q2&gt;0,VfdSky_Q2,0)*Table2[[#This Row],[Iout]]+2*Deadtime*Fsw*IF(VfdSky_Q3&gt;0,VfdSky_Q3,0)*Table2[[#This Row],[Iin]])</f>
        <v>0</v>
      </c>
      <c r="BA5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0.10548291072</v>
      </c>
      <c r="BB5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0.10548291072</v>
      </c>
      <c r="BC53" s="354">
        <f>CHOOSE(Table2[[#This Row],[Mode Digit]], Rs*Table2[[#This Row],[Irms BuSync]]^2, Rs*Table2[[#This Row],[Irms BoCtlr]]^2, Rs*(Table2[[#This Row],[Irms BuSync]]^2+Table2[[#This Row],[Irms BoCtlr]]^2))</f>
        <v>7.0996248070969742E-2</v>
      </c>
      <c r="BD53" s="354">
        <f t="shared" si="6"/>
        <v>1.44</v>
      </c>
      <c r="BE53" s="354">
        <f>IF(Vout&gt;8, Iq*Vout, Iq*Table2[[#This Row],[Vin]])</f>
        <v>4.3799999999999999E-2</v>
      </c>
      <c r="BF53" s="354">
        <f>CHOOSE(Table2[[#This Row],[Mode Digit]], (Qg_Q1+Qg_Q2)*Fsw, (Qg_Q3+Qg_Q4)*Fsw, (Qg_Q1+Qg_Q2+Qg_Q3+Qg_Q4)*Fsw)*IF(Vout&gt;8, Vout, Table2[[#This Row],[Vin]])</f>
        <v>0.47303999999999996</v>
      </c>
      <c r="BG53" s="354">
        <f t="shared" si="4"/>
        <v>0.45605042016806729</v>
      </c>
      <c r="BH53" s="354">
        <f>Table2[[#This Row],[IQ Loss]]+Table2[[#This Row],[Switching Current Loss]]</f>
        <v>0.51683999999999997</v>
      </c>
      <c r="BI53"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4.5151514633945098</v>
      </c>
      <c r="BJ53">
        <f>Vout*Table2[[#This Row],[Iout]]</f>
        <v>77.088000000000008</v>
      </c>
      <c r="BK53" s="550">
        <f>Table2[[#This Row],[Pout]]/(Table2[[#This Row],[Pout]]+Table2[[#This Row],[Total Loss]])</f>
        <v>0.94466939839425312</v>
      </c>
      <c r="BL53" s="559">
        <f>IF(Table2[[#This Row],[Vin]]&gt;Vout,ThetaJA_Q1*(Table2[[#This Row],[Total Control Bu MOSFET Loss]]+Table2[[#This Row],[Reverse Recovery Loss MOSFET D BUCK]]),ThetaJA_Q4*(Table2[[#This Row],[Total Control Bo MOSFET Loss]]+Table2[[#This Row],[Reverse Recovery Loss MOSFET D BOOST]]))</f>
        <v>78.377948797256025</v>
      </c>
      <c r="BM53" s="559">
        <f>IF(Table2[[#This Row],[Vin]]&gt;Vout, Table2[[#This Row],[Total Sync Bu MOSFET Loss]]*ThetaJA_Q2, ThetaJA_Q3*Table2[[#This Row],[Total Sync Bo MOSFET Loss]])</f>
        <v>23.059110401824622</v>
      </c>
      <c r="BN53" s="9"/>
      <c r="BO53" s="4">
        <f>Table2[[#This Row],[EFF, h]]*100</f>
        <v>94.466939839425308</v>
      </c>
      <c r="BP53" s="354">
        <f>Table2[[#This Row],[Total Inductor Loss]]</f>
        <v>0.43191628880515298</v>
      </c>
      <c r="BQ53" s="354">
        <f>Table2[[#This Row],[Total Control Bu MOSFET Loss]]+Table2[[#This Row],[Total Sync Bu MOSFET Loss]]+Table2[[#This Row],[Total Control Bo MOSFET Loss]]+Table2[[#This Row],[Total Sync Bo MOSFET Loss]]+Table2[[#This Row],[Reverse Recovery Loss MOSFET D BUCK]]+Table2[[#This Row],[Reverse Recovery Loss MOSFET D BOOST]]</f>
        <v>2.0416777739564997</v>
      </c>
      <c r="BR53" s="354">
        <f xml:space="preserve"> Table2[[#This Row],[Total Control Bu MOSFET Loss]]+Table2[[#This Row],[Reverse Recovery Loss MOSFET D BUCK]]*0.66</f>
        <v>1.2704349569761337</v>
      </c>
      <c r="BS53" s="354">
        <f>Table2[[#This Row],[Total Sync Bu MOSFET Loss]]+Table2[[#This Row],[Reverse Recovery Loss MOSFET D BUCK]]*0.33</f>
        <v>0.41912786723467699</v>
      </c>
      <c r="BT53" s="354">
        <f xml:space="preserve"> Table2[[#This Row],[Total Control Bo MOSFET Loss]]+Table2[[#This Row],[Reverse Recovery Loss MOSFET D BOOST]]*0.66</f>
        <v>0.19240732603444466</v>
      </c>
      <c r="BU53" s="354">
        <f xml:space="preserve"> Table2[[#This Row],[Total Sync Bo MOSFET Loss]]+Table2[[#This Row],[Reverse Recovery Loss MOSFET D BOOST]]*0.33</f>
        <v>0.15759796549684463</v>
      </c>
      <c r="BV53" s="354">
        <f>Table2[[#This Row],[Isense Shunt Loss]]</f>
        <v>7.0996248070969742E-2</v>
      </c>
      <c r="CA53">
        <v>9.9955739999999995</v>
      </c>
      <c r="CB53">
        <v>12.605</v>
      </c>
      <c r="CC53">
        <v>5.1111979999999999</v>
      </c>
      <c r="CD53">
        <v>87.386508098290477</v>
      </c>
      <c r="CE53">
        <v>9299.4335961019988</v>
      </c>
    </row>
    <row r="54" spans="1:83" x14ac:dyDescent="0.2">
      <c r="A54" s="23" t="s">
        <v>77</v>
      </c>
      <c r="B54" s="5">
        <f>Qrr_Q2*1000000000</f>
        <v>20</v>
      </c>
      <c r="C54" s="440" t="s">
        <v>69</v>
      </c>
      <c r="D54" s="21" t="s">
        <v>112</v>
      </c>
      <c r="G54">
        <v>45</v>
      </c>
      <c r="H54" s="555">
        <f t="shared" si="5"/>
        <v>20</v>
      </c>
      <c r="I54" s="4" t="str">
        <f>IF(Mode = 2,IF(Table2[[#This Row],[Vin]]&gt;Vout, "BUCK","BOOST"),IF(Table2[[#This Row],[Vin]]&gt;VIN_BB_to_buck, "BUCK", IF(Table2[[#This Row],[Vin]]&lt;=VIN_boost_to_BB,"BOOST","BUCK-BST")))</f>
        <v>BUCK</v>
      </c>
      <c r="J54">
        <f>IF(Table2[[#This Row],[Mode]]="BOOST",2, IF(Table2[[#This Row],[Mode]]="BUCK", 1,3))</f>
        <v>1</v>
      </c>
      <c r="K54" s="354">
        <f t="shared" si="7"/>
        <v>5.4</v>
      </c>
      <c r="L54" s="4">
        <f>Vout*Table2[[#This Row],[Iout]]/(Table2[[#This Row],[Vin]]*Efficiency)</f>
        <v>4.1494736842105269</v>
      </c>
      <c r="M54" s="711">
        <f>MIN(1/Fsw,CHOOSE(Table2[[#This Row],[Mode Digit]],(Vout+(Rdson2+Rs+Rdcr)*Table2[[#This Row],[Iout]])/(Table2[[#This Row],[Vin]]+(Rs+Rdson2-Rdson1)*Table2[[#This Row],[Iout]])/Fsw,(Vout+(Rdson3+Rdcr)*Table2[[#This Row],[Iin]]-Table2[[#This Row],[Vin]])/(Vout+(Rdson3-Rdson4-Rs)*Table2[[#This Row],[Iin]])/Fsw,t1_Ph_II))</f>
        <v>1.2214671763226488E-6</v>
      </c>
      <c r="N54" s="602">
        <f>CHOOSE(Table2[[#This Row],[Mode Digit]],1/Fsw-Table2[[#This Row],[t1_Ph_II]],1/Fsw-Table2[[#This Row],[t1_Ph_II]],(Vout/Fsw-Table2[[#This Row],[Vin]]*t1_Ph_II)/(Table2[[#This Row],[Vin]]+Vout))</f>
        <v>4.4519949034401782E-7</v>
      </c>
      <c r="O54" s="602">
        <f>1/Fsw-(Table2[[#This Row],[t1_Ph_II]]+Table2[[#This Row],[t2_Ph_I]])</f>
        <v>0</v>
      </c>
      <c r="P54"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4.1507722060336549</v>
      </c>
      <c r="Q54" s="4">
        <f>CHOOSE(Table2[[#This Row],[Mode Digit]],Table2[[#This Row],[I_0]]+1/Lf*(Table2[[#This Row],[Vin]]-Vout)*Table2[[#This Row],[t1_Ph_II]],Table2[[#This Row],[I_0]]+1/Lf*Table2[[#This Row],[Vin]]*Table2[[#This Row],[t1_Ph_II]],Table2[[#This Row],[I_0]]+(Table2[[#This Row],[Vin]]-Vout)/L*Table2[[#This Row],[t1_Ph_II]])</f>
        <v>6.6492277939663458</v>
      </c>
      <c r="R54" s="4">
        <f>CHOOSE(Table2[[#This Row],[Mode Digit]],0,0,Table2[[#This Row],[I_1]]+Table2[[#This Row],[Vin]]/L*Table2[[#This Row],[t2_Ph_I]])</f>
        <v>0</v>
      </c>
      <c r="S54" s="409">
        <f>Fsw*(Table2[[#This Row],[I_0]]*Table2[[#This Row],[t1_Ph_II]]+Table2[[#This Row],[I_1]]*Table2[[#This Row],[t2_Ph_I]]+Table2[[#This Row],[I_2]]*Table2[[#This Row],[t3_Ph_III]])</f>
        <v>4.818158898670533</v>
      </c>
      <c r="T54" s="354">
        <f>MIN(1,CHOOSE(Table2[[#This Row],[Mode Digit]],(Vout+(Rdson2+Rs+Rdcr)*Table2[[#This Row],[Iout]])/(Table2[[#This Row],[Vin]]+(Rs+Rdson2-Rdson1)*Table2[[#This Row],[Iout]]),1,Fsw*Table2[[#This Row],[t2_Ph_I]]+Table2[[#This Row],[t1_Ph_II]]))</f>
        <v>0.73288030579358932</v>
      </c>
      <c r="U54" s="354">
        <f>MIN(1,CHOOSE(Table2[[#This Row],[Mode Digit]],0,(Vout+(Rdson3+Rdcr)*Table2[[#This Row],[Iin]]-Table2[[#This Row],[Vin]])/(Vout+(Rdson3-Rdson4-Rs)*Table2[[#This Row],[Iin]]),Fsw*Table2[[#This Row],[t1_Ph_II]]+Table2[[#This Row],[t3_Ph_III]]))</f>
        <v>0</v>
      </c>
      <c r="V54" s="4">
        <f>MAX(Table2[[#This Row],[I_0]:[I_2]])-MIN(Table2[[#This Row],[I_0]:[I_1]])</f>
        <v>2.4984555879326908</v>
      </c>
      <c r="W54"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5.4479528290058346</v>
      </c>
      <c r="X54" s="354">
        <f>(Table2[[#This Row],[Irms Lf]]^2*Rdcr*(1+Ltc*Ta-Ltc*25))/(1-Table2[[#This Row],[Irms Lf]]^2*Rdcr*Ltc*ThetaCa)</f>
        <v>0.17454892151101442</v>
      </c>
      <c r="Y54" s="354">
        <f>ABS(7.759*10^-3*Fsw^0.9458*(0.00787*Table2[[#This Row],[Ripple Current pk-pk]])^2.304)</f>
        <v>0.26505892506203826</v>
      </c>
      <c r="Z54" s="354">
        <f>Table2[[#This Row],[DCR    Loss]]+Table2[[#This Row],[Core Loss]]</f>
        <v>0.43960784657305269</v>
      </c>
      <c r="AA54" s="4">
        <f>IF(Table2[[#This Row],[Vin]]&gt;Vout, Table2[[#This Row],[Ripple Current pk-pk]]/SQRT(12), SQRT(Table2[[#This Row],[Duty Cycle BOOST Leg]]/(1-Table2[[#This Row],[Duty Cycle BOOST Leg]]))*SQRT(Table2[[#This Row],[Iout]]^2+(Table2[[#This Row],[Ripple Current pk-pk]]^2)/12))</f>
        <v>0.72124200312563191</v>
      </c>
      <c r="AB54" s="354">
        <f>RCoutEsr*Table2[[#This Row],[Irms Cout]]^2</f>
        <v>2.6009501353633701E-3</v>
      </c>
      <c r="AC54" s="354">
        <f>Table2[[#This Row],[Cout ESR Loss]]</f>
        <v>2.6009501353633701E-3</v>
      </c>
      <c r="AD54" s="4">
        <f>IF(Table2[[#This Row],[Vin]]&gt;Vout, SQRT(Table2[[#This Row],[Duty Cycle BUCK Leg]]*(1-Table2[[#This Row],[Duty Cycle BUCK Leg]]))*SQRT(Table2[[#This Row],[Iout]]^2+(Table2[[#This Row],[Ripple Current pk-pk]]^2)/12), Table2[[#This Row],[Ripple Current pk-pk]]/SQRT(12))</f>
        <v>2.4104760384567085</v>
      </c>
      <c r="AE54" s="354">
        <f>RCinEsr*Table2[[#This Row],[Irms Cin]]^2</f>
        <v>1.1620789463947895E-2</v>
      </c>
      <c r="AF54" s="549">
        <f>Table2[[#This Row],[Cin ESR Loss]]</f>
        <v>1.1620789463947895E-2</v>
      </c>
      <c r="AG54" s="354">
        <f>Table2[[#This Row],[Irms Lf]]</f>
        <v>5.4479528290058346</v>
      </c>
      <c r="AH54" s="354">
        <f>Rdson1*Table2[[#This Row],[Irms BuCtrl]]^2</f>
        <v>0.12465679811370525</v>
      </c>
      <c r="AI54" s="354">
        <f>CHOOSE(Table2[[#This Row],[Mode Digit]], (Table2[[#This Row],[Vin]]*Table2[[#This Row],[Iout]]/2)*(Fsw)*(Tr_buck+Tf_buck), 0, (Table2[[#This Row],[Vin]]*Table2[[#This Row],[Avg IL]]/2)*(Fsw/1)*(Tr_buck+Tf_buck))</f>
        <v>1.070967629824207</v>
      </c>
      <c r="AJ54">
        <f>IF(Table2[[#This Row],[Vin]]&gt;Vout, IF(Table2[[#This Row],[Iout]]&gt;Table2[[#This Row],[Ripple Current pk-pk]]/2,0,ABS(Table2[[#This Row],[Iout]]-Table2[[#This Row],[Ripple Current pk-pk]]/2)*Vsd_Q1*Deadtime*Fsw),0)</f>
        <v>0</v>
      </c>
      <c r="AK54" s="354">
        <f>(Table2[[#This Row],[Dead Time Loss BuCtrl]]+Table2[[#This Row],[Transition Loss BuCtrl]]+Table2[[#This Row],[RDS(on) Loss BuCtrl]]*(1+RdsonTopTc*Ta-RdsonTopTc*25))/(1-Table2[[#This Row],[RDS(on) Loss BuCtrl]]*RdsonTopTc*ThetaJA_Q1)</f>
        <v>1.2324978443273253</v>
      </c>
      <c r="AL54" s="354">
        <f>Table2[[#This Row],[Irms Lf]]</f>
        <v>5.4479528290058346</v>
      </c>
      <c r="AM54" s="354">
        <f>Rdson2*Table2[[#This Row],[Irms BuSync]]^2</f>
        <v>0.12465679811370525</v>
      </c>
      <c r="AN54"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0.25981714285714286</v>
      </c>
      <c r="AO54" s="354">
        <f>(Table2[[#This Row],[Deadtime Loss BuSync]]+Table2[[#This Row],[RDS(on) Loss BuSync]]*(1+RdsonBotTc*Ta-RdsonBotTc*25))/(1-Table2[[#This Row],[RDS(on) Loss BuSync]]*RdsonBotTc*ThetaJA_Q2)</f>
        <v>0.39633123276334475</v>
      </c>
      <c r="AP54" s="354">
        <f>Table2[[#This Row],[Irms Lf]]</f>
        <v>5.4479528290058346</v>
      </c>
      <c r="AQ54" s="354">
        <f>Rdson4*Table2[[#This Row],[Irms BoCtlr]]^2</f>
        <v>0.12465679811370525</v>
      </c>
      <c r="AR54" s="354">
        <f>CHOOSE(Table2[[#This Row],[Mode Digit]], 0, (Vout*Table2[[#This Row],[Iin]]/2)*(Fsw)*(Tr_boost+Tf_boost), (Vout*Iout/2)*(Fsw/1)*(Tr_boost+Tf_boost))</f>
        <v>0</v>
      </c>
      <c r="AS54" s="354">
        <f>IF(Table2[[#This Row],[Vin]]&gt;Vout, 0, IF(Table2[[#This Row],[Iin]]&gt;Table2[[#This Row],[Ripple Current pk-pk]]/2,0,ABS(Table2[[#This Row],[Iin]]-Table2[[#This Row],[Ripple Current pk-pk]]/2)*Vsd_Q4*Deadtime*Fsw))</f>
        <v>0</v>
      </c>
      <c r="AT54" s="354">
        <f>(Table2[[#This Row],[Dead Time Loss BoCtlr]]+Table2[[#This Row],[Transition Loss BoCtlr]]+Table2[[#This Row],[RDS(on) Loss BoCtlr]]*(1+RdsonTopTc*Ta-RdsonTopTc*25))/(1-Table2[[#This Row],[RDS(on) Loss BoCtlr]]*RdsonTopTc*ThetaJA_Q4)</f>
        <v>0.12850125120048708</v>
      </c>
      <c r="AU54" s="354">
        <f>Table2[[#This Row],[Irms Lf]]</f>
        <v>5.4479528290058346</v>
      </c>
      <c r="AV54" s="354">
        <f>Rdson3*Table2[[#This Row],[Irms BoSync]]^2</f>
        <v>0.12465679811370525</v>
      </c>
      <c r="AW54"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54" s="354">
        <f>(Table2[[#This Row],[Deadtime Loss BoSync]]+Table2[[#This Row],[RDS(on) Loss BoSync]]*(1+RdsonBotTc*Ta-RdsonBotTc*25))/(1-Table2[[#This Row],[RDS(on) Loss BoSync]]*RdsonBotTc*ThetaJA_Q3)</f>
        <v>0.12850125120048708</v>
      </c>
      <c r="AY54" s="354">
        <f>CHOOSE(Table2[[#This Row],[Mode Digit]], Rdson3*Table2[[#This Row],[Irms Lf]]^2, Rdson1*Table2[[#This Row],[Irms Lf]]^2, 0)</f>
        <v>0.12465679811370525</v>
      </c>
      <c r="AZ54" s="354">
        <f>CHOOSE(Table2[[#This Row],[Mode Digit]], 2*Deadtime*Fsw*IF(VfdSky_Q2&gt;0,VfdSky_Q2,0)*Table2[[#This Row],[Iout]], 2*Deadtime*Fsw*IF(VfdSky_Q3&gt;0,VfdSky_Q3,0)*Table2[[#This Row],[Iin]], 2*Deadtime*Fsw*IF(VfdSky_Q2&gt;0,VfdSky_Q2,0)*Table2[[#This Row],[Iout]]+2*Deadtime*Fsw*IF(VfdSky_Q3&gt;0,VfdSky_Q3,0)*Table2[[#This Row],[Iin]])</f>
        <v>0</v>
      </c>
      <c r="BA5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0.107877528</v>
      </c>
      <c r="BB5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0.107877528</v>
      </c>
      <c r="BC54" s="354">
        <f>CHOOSE(Table2[[#This Row],[Mode Digit]], Rs*Table2[[#This Row],[Irms BuSync]]^2, Rs*Table2[[#This Row],[Irms BoCtlr]]^2, Rs*(Table2[[#This Row],[Irms BuSync]]^2+Table2[[#This Row],[Irms BoCtlr]]^2))</f>
        <v>7.4200475067681695E-2</v>
      </c>
      <c r="BD54" s="354">
        <f t="shared" si="6"/>
        <v>1.44</v>
      </c>
      <c r="BE54" s="354">
        <f>IF(Vout&gt;8, Iq*Vout, Iq*Table2[[#This Row],[Vin]])</f>
        <v>4.3799999999999999E-2</v>
      </c>
      <c r="BF54" s="354">
        <f>CHOOSE(Table2[[#This Row],[Mode Digit]], (Qg_Q1+Qg_Q2)*Fsw, (Qg_Q3+Qg_Q4)*Fsw, (Qg_Q1+Qg_Q2+Qg_Q3+Qg_Q4)*Fsw)*IF(Vout&gt;8, Vout, Table2[[#This Row],[Vin]])</f>
        <v>0.47303999999999996</v>
      </c>
      <c r="BG54" s="354">
        <f t="shared" si="4"/>
        <v>0.45605042016806729</v>
      </c>
      <c r="BH54" s="354">
        <f>Table2[[#This Row],[IQ Loss]]+Table2[[#This Row],[Switching Current Loss]]</f>
        <v>0.51683999999999997</v>
      </c>
      <c r="BI54"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4.5864566967316902</v>
      </c>
      <c r="BJ54">
        <f>Vout*Table2[[#This Row],[Iout]]</f>
        <v>78.84</v>
      </c>
      <c r="BK54" s="550">
        <f>Table2[[#This Row],[Pout]]/(Table2[[#This Row],[Pout]]+Table2[[#This Row],[Total Loss]])</f>
        <v>0.94502395429061337</v>
      </c>
      <c r="BL54" s="559">
        <f>IF(Table2[[#This Row],[Vin]]&gt;Vout,ThetaJA_Q1*(Table2[[#This Row],[Total Control Bu MOSFET Loss]]+Table2[[#This Row],[Reverse Recovery Loss MOSFET D BUCK]]),ThetaJA_Q4*(Table2[[#This Row],[Total Control Bo MOSFET Loss]]+Table2[[#This Row],[Reverse Recovery Loss MOSFET D BOOST]]))</f>
        <v>80.422522339639514</v>
      </c>
      <c r="BM54" s="559">
        <f>IF(Table2[[#This Row],[Vin]]&gt;Vout, Table2[[#This Row],[Total Sync Bu MOSFET Loss]]*ThetaJA_Q2, ThetaJA_Q3*Table2[[#This Row],[Total Sync Bo MOSFET Loss]])</f>
        <v>23.779873965800686</v>
      </c>
      <c r="BN54" s="9"/>
      <c r="BO54" s="4">
        <f>Table2[[#This Row],[EFF, h]]*100</f>
        <v>94.502395429061337</v>
      </c>
      <c r="BP54" s="354">
        <f>Table2[[#This Row],[Total Inductor Loss]]</f>
        <v>0.43960784657305269</v>
      </c>
      <c r="BQ54" s="354">
        <f>Table2[[#This Row],[Total Control Bu MOSFET Loss]]+Table2[[#This Row],[Total Sync Bu MOSFET Loss]]+Table2[[#This Row],[Total Control Bo MOSFET Loss]]+Table2[[#This Row],[Total Sync Bo MOSFET Loss]]+Table2[[#This Row],[Reverse Recovery Loss MOSFET D BUCK]]+Table2[[#This Row],[Reverse Recovery Loss MOSFET D BOOST]]</f>
        <v>2.1015866354916444</v>
      </c>
      <c r="BR54" s="354">
        <f xml:space="preserve"> Table2[[#This Row],[Total Control Bu MOSFET Loss]]+Table2[[#This Row],[Reverse Recovery Loss MOSFET D BUCK]]*0.66</f>
        <v>1.3036970128073253</v>
      </c>
      <c r="BS54" s="354">
        <f>Table2[[#This Row],[Total Sync Bu MOSFET Loss]]+Table2[[#This Row],[Reverse Recovery Loss MOSFET D BUCK]]*0.33</f>
        <v>0.43193081700334474</v>
      </c>
      <c r="BT54" s="354">
        <f xml:space="preserve"> Table2[[#This Row],[Total Control Bo MOSFET Loss]]+Table2[[#This Row],[Reverse Recovery Loss MOSFET D BOOST]]*0.66</f>
        <v>0.19970041968048707</v>
      </c>
      <c r="BU54" s="354">
        <f xml:space="preserve"> Table2[[#This Row],[Total Sync Bo MOSFET Loss]]+Table2[[#This Row],[Reverse Recovery Loss MOSFET D BOOST]]*0.33</f>
        <v>0.16410083544048709</v>
      </c>
      <c r="BV54" s="354">
        <f>Table2[[#This Row],[Isense Shunt Loss]]</f>
        <v>7.4200475067681695E-2</v>
      </c>
      <c r="CA54">
        <v>9.9949670000000008</v>
      </c>
      <c r="CB54">
        <v>13.75</v>
      </c>
      <c r="CC54">
        <v>5.1122329999999998</v>
      </c>
      <c r="CD54">
        <v>85.985113444924963</v>
      </c>
      <c r="CE54">
        <v>11457.230537720005</v>
      </c>
    </row>
    <row r="55" spans="1:83" x14ac:dyDescent="0.2">
      <c r="A55" s="23" t="s">
        <v>78</v>
      </c>
      <c r="B55" s="5">
        <f>Trr_Q2*1000000000</f>
        <v>40</v>
      </c>
      <c r="C55" s="440" t="s">
        <v>79</v>
      </c>
      <c r="D55" s="74" t="s">
        <v>108</v>
      </c>
      <c r="G55">
        <v>46</v>
      </c>
      <c r="H55" s="555">
        <f t="shared" si="5"/>
        <v>20</v>
      </c>
      <c r="I55" s="4" t="str">
        <f>IF(Mode = 2,IF(Table2[[#This Row],[Vin]]&gt;Vout, "BUCK","BOOST"),IF(Table2[[#This Row],[Vin]]&gt;VIN_BB_to_buck, "BUCK", IF(Table2[[#This Row],[Vin]]&lt;=VIN_boost_to_BB,"BOOST","BUCK-BST")))</f>
        <v>BUCK</v>
      </c>
      <c r="J55">
        <f>IF(Table2[[#This Row],[Mode]]="BOOST",2, IF(Table2[[#This Row],[Mode]]="BUCK", 1,3))</f>
        <v>1</v>
      </c>
      <c r="K55" s="354">
        <f t="shared" si="7"/>
        <v>5.52</v>
      </c>
      <c r="L55" s="4">
        <f>Vout*Table2[[#This Row],[Iout]]/(Table2[[#This Row],[Vin]]*Efficiency)</f>
        <v>4.2416842105263157</v>
      </c>
      <c r="M55" s="711">
        <f>MIN(1/Fsw,CHOOSE(Table2[[#This Row],[Mode Digit]],(Vout+(Rdson2+Rs+Rdcr)*Table2[[#This Row],[Iout]])/(Table2[[#This Row],[Vin]]+(Rs+Rdson2-Rdson1)*Table2[[#This Row],[Iout]])/Fsw,(Vout+(Rdson3+Rdcr)*Table2[[#This Row],[Iin]]-Table2[[#This Row],[Vin]])/(Vout+(Rdson3-Rdson4-Rs)*Table2[[#This Row],[Iin]])/Fsw,t1_Ph_II))</f>
        <v>1.2215737807579438E-6</v>
      </c>
      <c r="N55" s="602">
        <f>CHOOSE(Table2[[#This Row],[Mode Digit]],1/Fsw-Table2[[#This Row],[t1_Ph_II]],1/Fsw-Table2[[#This Row],[t1_Ph_II]],(Vout/Fsw-Table2[[#This Row],[Vin]]*t1_Ph_II)/(Table2[[#This Row],[Vin]]+Vout))</f>
        <v>4.4509288590872289E-7</v>
      </c>
      <c r="O55" s="602">
        <f>1/Fsw-(Table2[[#This Row],[t1_Ph_II]]+Table2[[#This Row],[t2_Ph_I]])</f>
        <v>0</v>
      </c>
      <c r="P55"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4.2706631787702847</v>
      </c>
      <c r="Q55" s="4">
        <f>CHOOSE(Table2[[#This Row],[Mode Digit]],Table2[[#This Row],[I_0]]+1/Lf*(Table2[[#This Row],[Vin]]-Vout)*Table2[[#This Row],[t1_Ph_II]],Table2[[#This Row],[I_0]]+1/Lf*Table2[[#This Row],[Vin]]*Table2[[#This Row],[t1_Ph_II]],Table2[[#This Row],[I_0]]+(Table2[[#This Row],[Vin]]-Vout)/L*Table2[[#This Row],[t1_Ph_II]])</f>
        <v>6.7693368212297154</v>
      </c>
      <c r="R55" s="4">
        <f>CHOOSE(Table2[[#This Row],[Mode Digit]],0,0,Table2[[#This Row],[I_1]]+Table2[[#This Row],[Vin]]/L*Table2[[#This Row],[t2_Ph_I]])</f>
        <v>0</v>
      </c>
      <c r="S55" s="409">
        <f>Fsw*(Table2[[#This Row],[I_0]]*Table2[[#This Row],[t1_Ph_II]]+Table2[[#This Row],[I_1]]*Table2[[#This Row],[t2_Ph_I]]+Table2[[#This Row],[I_2]]*Table2[[#This Row],[t3_Ph_III]])</f>
        <v>4.9379482962500818</v>
      </c>
      <c r="T55" s="354">
        <f>MIN(1,CHOOSE(Table2[[#This Row],[Mode Digit]],(Vout+(Rdson2+Rs+Rdcr)*Table2[[#This Row],[Iout]])/(Table2[[#This Row],[Vin]]+(Rs+Rdson2-Rdson1)*Table2[[#This Row],[Iout]]),1,Fsw*Table2[[#This Row],[t2_Ph_I]]+Table2[[#This Row],[t1_Ph_II]]))</f>
        <v>0.73294426845476623</v>
      </c>
      <c r="U55" s="354">
        <f>MIN(1,CHOOSE(Table2[[#This Row],[Mode Digit]],0,(Vout+(Rdson3+Rdcr)*Table2[[#This Row],[Iin]]-Table2[[#This Row],[Vin]])/(Vout+(Rdson3-Rdson4-Rs)*Table2[[#This Row],[Iin]]),Fsw*Table2[[#This Row],[t1_Ph_II]]+Table2[[#This Row],[t3_Ph_III]]))</f>
        <v>0</v>
      </c>
      <c r="V55" s="4">
        <f>MAX(Table2[[#This Row],[I_0]:[I_2]])-MIN(Table2[[#This Row],[I_0]:[I_1]])</f>
        <v>2.4986736424594307</v>
      </c>
      <c r="W55"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5.5669274138397133</v>
      </c>
      <c r="X55" s="354">
        <f>(Table2[[#This Row],[Irms Lf]]^2*Rdcr*(1+Ltc*Ta-Ltc*25))/(1-Table2[[#This Row],[Irms Lf]]^2*Rdcr*Ltc*ThetaCa)</f>
        <v>0.18236834653822218</v>
      </c>
      <c r="Y55" s="354">
        <f>ABS(7.759*10^-3*Fsw^0.9458*(0.00787*Table2[[#This Row],[Ripple Current pk-pk]])^2.304)</f>
        <v>0.26511222701143355</v>
      </c>
      <c r="Z55" s="354">
        <f>Table2[[#This Row],[DCR    Loss]]+Table2[[#This Row],[Core Loss]]</f>
        <v>0.44748057354965576</v>
      </c>
      <c r="AA55" s="4">
        <f>IF(Table2[[#This Row],[Vin]]&gt;Vout, Table2[[#This Row],[Ripple Current pk-pk]]/SQRT(12), SQRT(Table2[[#This Row],[Duty Cycle BOOST Leg]]/(1-Table2[[#This Row],[Duty Cycle BOOST Leg]]))*SQRT(Table2[[#This Row],[Iout]]^2+(Table2[[#This Row],[Ripple Current pk-pk]]^2)/12))</f>
        <v>0.72130495004548756</v>
      </c>
      <c r="AB55" s="354">
        <f>RCoutEsr*Table2[[#This Row],[Irms Cout]]^2</f>
        <v>2.6014041548006166E-3</v>
      </c>
      <c r="AC55" s="354">
        <f>Table2[[#This Row],[Cout ESR Loss]]</f>
        <v>2.6014041548006166E-3</v>
      </c>
      <c r="AD55" s="4">
        <f>IF(Table2[[#This Row],[Vin]]&gt;Vout, SQRT(Table2[[#This Row],[Duty Cycle BUCK Leg]]*(1-Table2[[#This Row],[Duty Cycle BUCK Leg]]))*SQRT(Table2[[#This Row],[Iout]]^2+(Table2[[#This Row],[Ripple Current pk-pk]]^2)/12), Table2[[#This Row],[Ripple Current pk-pk]]/SQRT(12))</f>
        <v>2.4629295352742151</v>
      </c>
      <c r="AE55" s="354">
        <f>RCinEsr*Table2[[#This Row],[Irms Cin]]^2</f>
        <v>1.2132043791452123E-2</v>
      </c>
      <c r="AF55" s="549">
        <f>Table2[[#This Row],[Cin ESR Loss]]</f>
        <v>1.2132043791452123E-2</v>
      </c>
      <c r="AG55" s="354">
        <f>Table2[[#This Row],[Irms Lf]]</f>
        <v>5.5669274138397133</v>
      </c>
      <c r="AH55" s="354">
        <f>Rdson1*Table2[[#This Row],[Irms BuCtrl]]^2</f>
        <v>0.13016085949003253</v>
      </c>
      <c r="AI55" s="354">
        <f>CHOOSE(Table2[[#This Row],[Mode Digit]], (Table2[[#This Row],[Vin]]*Table2[[#This Row],[Iout]]/2)*(Fsw)*(Tr_buck+Tf_buck), 0, (Table2[[#This Row],[Vin]]*Table2[[#This Row],[Avg IL]]/2)*(Fsw/1)*(Tr_buck+Tf_buck))</f>
        <v>1.0947669104869671</v>
      </c>
      <c r="AJ55">
        <f>IF(Table2[[#This Row],[Vin]]&gt;Vout, IF(Table2[[#This Row],[Iout]]&gt;Table2[[#This Row],[Ripple Current pk-pk]]/2,0,ABS(Table2[[#This Row],[Iout]]-Table2[[#This Row],[Ripple Current pk-pk]]/2)*Vsd_Q1*Deadtime*Fsw),0)</f>
        <v>0</v>
      </c>
      <c r="AK55" s="354">
        <f>(Table2[[#This Row],[Dead Time Loss BuCtrl]]+Table2[[#This Row],[Transition Loss BuCtrl]]+Table2[[#This Row],[RDS(on) Loss BuCtrl]]*(1+RdsonTopTc*Ta-RdsonTopTc*25))/(1-Table2[[#This Row],[RDS(on) Loss BuCtrl]]*RdsonTopTc*ThetaJA_Q1)</f>
        <v>1.2644266977550658</v>
      </c>
      <c r="AL55" s="354">
        <f>Table2[[#This Row],[Irms Lf]]</f>
        <v>5.5669274138397133</v>
      </c>
      <c r="AM55" s="354">
        <f>Rdson2*Table2[[#This Row],[Irms BuSync]]^2</f>
        <v>0.13016085949003253</v>
      </c>
      <c r="AN55"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0.26559085714285713</v>
      </c>
      <c r="AO55" s="354">
        <f>(Table2[[#This Row],[Deadtime Loss BuSync]]+Table2[[#This Row],[RDS(on) Loss BuSync]]*(1+RdsonBotTc*Ta-RdsonBotTc*25))/(1-Table2[[#This Row],[RDS(on) Loss BuSync]]*RdsonBotTc*ThetaJA_Q2)</f>
        <v>0.40851309641091671</v>
      </c>
      <c r="AP55" s="354">
        <f>Table2[[#This Row],[Irms Lf]]</f>
        <v>5.5669274138397133</v>
      </c>
      <c r="AQ55" s="354">
        <f>Rdson4*Table2[[#This Row],[Irms BoCtlr]]^2</f>
        <v>0.13016085949003253</v>
      </c>
      <c r="AR55" s="354">
        <f>CHOOSE(Table2[[#This Row],[Mode Digit]], 0, (Vout*Table2[[#This Row],[Iin]]/2)*(Fsw)*(Tr_boost+Tf_boost), (Vout*Iout/2)*(Fsw/1)*(Tr_boost+Tf_boost))</f>
        <v>0</v>
      </c>
      <c r="AS55" s="354">
        <f>IF(Table2[[#This Row],[Vin]]&gt;Vout, 0, IF(Table2[[#This Row],[Iin]]&gt;Table2[[#This Row],[Ripple Current pk-pk]]/2,0,ABS(Table2[[#This Row],[Iin]]-Table2[[#This Row],[Ripple Current pk-pk]]/2)*Vsd_Q4*Deadtime*Fsw))</f>
        <v>0</v>
      </c>
      <c r="AT55" s="354">
        <f>(Table2[[#This Row],[Dead Time Loss BoCtlr]]+Table2[[#This Row],[Transition Loss BoCtlr]]+Table2[[#This Row],[RDS(on) Loss BoCtlr]]*(1+RdsonTopTc*Ta-RdsonTopTc*25))/(1-Table2[[#This Row],[RDS(on) Loss BoCtlr]]*RdsonTopTc*ThetaJA_Q4)</f>
        <v>0.13435801667312453</v>
      </c>
      <c r="AU55" s="354">
        <f>Table2[[#This Row],[Irms Lf]]</f>
        <v>5.5669274138397133</v>
      </c>
      <c r="AV55" s="354">
        <f>Rdson3*Table2[[#This Row],[Irms BoSync]]^2</f>
        <v>0.13016085949003253</v>
      </c>
      <c r="AW55"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55" s="354">
        <f>(Table2[[#This Row],[Deadtime Loss BoSync]]+Table2[[#This Row],[RDS(on) Loss BoSync]]*(1+RdsonBotTc*Ta-RdsonBotTc*25))/(1-Table2[[#This Row],[RDS(on) Loss BoSync]]*RdsonBotTc*ThetaJA_Q3)</f>
        <v>0.13435801667312453</v>
      </c>
      <c r="AY55" s="354">
        <f>CHOOSE(Table2[[#This Row],[Mode Digit]], Rdson3*Table2[[#This Row],[Irms Lf]]^2, Rdson1*Table2[[#This Row],[Irms Lf]]^2, 0)</f>
        <v>0.13016085949003253</v>
      </c>
      <c r="AZ55" s="354">
        <f>CHOOSE(Table2[[#This Row],[Mode Digit]], 2*Deadtime*Fsw*IF(VfdSky_Q2&gt;0,VfdSky_Q2,0)*Table2[[#This Row],[Iout]], 2*Deadtime*Fsw*IF(VfdSky_Q3&gt;0,VfdSky_Q3,0)*Table2[[#This Row],[Iin]], 2*Deadtime*Fsw*IF(VfdSky_Q2&gt;0,VfdSky_Q2,0)*Table2[[#This Row],[Iout]]+2*Deadtime*Fsw*IF(VfdSky_Q3&gt;0,VfdSky_Q3,0)*Table2[[#This Row],[Iin]])</f>
        <v>0</v>
      </c>
      <c r="BA5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0.11027202431999999</v>
      </c>
      <c r="BB5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0.11027202431999999</v>
      </c>
      <c r="BC55" s="354">
        <f>CHOOSE(Table2[[#This Row],[Mode Digit]], Rs*Table2[[#This Row],[Irms BuSync]]^2, Rs*Table2[[#This Row],[Irms BoCtlr]]^2, Rs*(Table2[[#This Row],[Irms BuSync]]^2+Table2[[#This Row],[Irms BoCtlr]]^2))</f>
        <v>7.7476702077400303E-2</v>
      </c>
      <c r="BD55" s="354">
        <f t="shared" si="6"/>
        <v>1.44</v>
      </c>
      <c r="BE55" s="354">
        <f>IF(Vout&gt;8, Iq*Vout, Iq*Table2[[#This Row],[Vin]])</f>
        <v>4.3799999999999999E-2</v>
      </c>
      <c r="BF55" s="354">
        <f>CHOOSE(Table2[[#This Row],[Mode Digit]], (Qg_Q1+Qg_Q2)*Fsw, (Qg_Q3+Qg_Q4)*Fsw, (Qg_Q1+Qg_Q2+Qg_Q3+Qg_Q4)*Fsw)*IF(Vout&gt;8, Vout, Table2[[#This Row],[Vin]])</f>
        <v>0.47303999999999996</v>
      </c>
      <c r="BG55" s="354">
        <f t="shared" si="4"/>
        <v>0.45605042016806729</v>
      </c>
      <c r="BH55" s="354">
        <f>Table2[[#This Row],[IQ Loss]]+Table2[[#This Row],[Switching Current Loss]]</f>
        <v>0.51683999999999997</v>
      </c>
      <c r="BI55"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4.6587305997255397</v>
      </c>
      <c r="BJ55">
        <f>Vout*Table2[[#This Row],[Iout]]</f>
        <v>80.591999999999999</v>
      </c>
      <c r="BK55" s="550">
        <f>Table2[[#This Row],[Pout]]/(Table2[[#This Row],[Pout]]+Table2[[#This Row],[Total Loss]])</f>
        <v>0.94535260206039173</v>
      </c>
      <c r="BL55" s="559">
        <f>IF(Table2[[#This Row],[Vin]]&gt;Vout,ThetaJA_Q1*(Table2[[#This Row],[Total Control Bu MOSFET Loss]]+Table2[[#This Row],[Reverse Recovery Loss MOSFET D BUCK]]),ThetaJA_Q4*(Table2[[#This Row],[Total Control Bo MOSFET Loss]]+Table2[[#This Row],[Reverse Recovery Loss MOSFET D BOOST]]))</f>
        <v>82.481923324503938</v>
      </c>
      <c r="BM55" s="559">
        <f>IF(Table2[[#This Row],[Vin]]&gt;Vout, Table2[[#This Row],[Total Sync Bu MOSFET Loss]]*ThetaJA_Q2, ThetaJA_Q3*Table2[[#This Row],[Total Sync Bo MOSFET Loss]])</f>
        <v>24.510785784655003</v>
      </c>
      <c r="BN55" s="9"/>
      <c r="BO55" s="4">
        <f>Table2[[#This Row],[EFF, h]]*100</f>
        <v>94.535260206039169</v>
      </c>
      <c r="BP55" s="354">
        <f>Table2[[#This Row],[Total Inductor Loss]]</f>
        <v>0.44748057354965576</v>
      </c>
      <c r="BQ55" s="354">
        <f>Table2[[#This Row],[Total Control Bu MOSFET Loss]]+Table2[[#This Row],[Total Sync Bu MOSFET Loss]]+Table2[[#This Row],[Total Control Bo MOSFET Loss]]+Table2[[#This Row],[Total Sync Bo MOSFET Loss]]+Table2[[#This Row],[Reverse Recovery Loss MOSFET D BUCK]]+Table2[[#This Row],[Reverse Recovery Loss MOSFET D BOOST]]</f>
        <v>2.1621998761522314</v>
      </c>
      <c r="BR55" s="354">
        <f xml:space="preserve"> Table2[[#This Row],[Total Control Bu MOSFET Loss]]+Table2[[#This Row],[Reverse Recovery Loss MOSFET D BUCK]]*0.66</f>
        <v>1.3372062338062658</v>
      </c>
      <c r="BS55" s="354">
        <f>Table2[[#This Row],[Total Sync Bu MOSFET Loss]]+Table2[[#This Row],[Reverse Recovery Loss MOSFET D BUCK]]*0.33</f>
        <v>0.44490286443651672</v>
      </c>
      <c r="BT55" s="354">
        <f xml:space="preserve"> Table2[[#This Row],[Total Control Bo MOSFET Loss]]+Table2[[#This Row],[Reverse Recovery Loss MOSFET D BOOST]]*0.66</f>
        <v>0.20713755272432452</v>
      </c>
      <c r="BU55" s="354">
        <f xml:space="preserve"> Table2[[#This Row],[Total Sync Bo MOSFET Loss]]+Table2[[#This Row],[Reverse Recovery Loss MOSFET D BOOST]]*0.33</f>
        <v>0.17074778469872454</v>
      </c>
      <c r="BV55" s="354">
        <f>Table2[[#This Row],[Isense Shunt Loss]]</f>
        <v>7.7476702077400303E-2</v>
      </c>
      <c r="CA55">
        <v>9.9943860000000004</v>
      </c>
      <c r="CB55">
        <v>14.954000000000001</v>
      </c>
      <c r="CC55">
        <v>5.1130310000000003</v>
      </c>
      <c r="CD55">
        <v>84.352650264578628</v>
      </c>
      <c r="CE55">
        <v>14183.318533699994</v>
      </c>
    </row>
    <row r="56" spans="1:83" ht="15.75" x14ac:dyDescent="0.3">
      <c r="A56" s="446" t="s">
        <v>643</v>
      </c>
      <c r="B56" s="5">
        <f>ThetaJA_Q2</f>
        <v>60</v>
      </c>
      <c r="C56" s="441" t="s">
        <v>237</v>
      </c>
      <c r="D56" s="74" t="s">
        <v>105</v>
      </c>
      <c r="E56" s="2"/>
      <c r="G56">
        <v>47</v>
      </c>
      <c r="H56" s="555">
        <f t="shared" si="5"/>
        <v>20</v>
      </c>
      <c r="I56" s="4" t="str">
        <f>IF(Mode = 2,IF(Table2[[#This Row],[Vin]]&gt;Vout, "BUCK","BOOST"),IF(Table2[[#This Row],[Vin]]&gt;VIN_BB_to_buck, "BUCK", IF(Table2[[#This Row],[Vin]]&lt;=VIN_boost_to_BB,"BOOST","BUCK-BST")))</f>
        <v>BUCK</v>
      </c>
      <c r="J56">
        <f>IF(Table2[[#This Row],[Mode]]="BOOST",2, IF(Table2[[#This Row],[Mode]]="BUCK", 1,3))</f>
        <v>1</v>
      </c>
      <c r="K56" s="354">
        <f t="shared" si="7"/>
        <v>5.64</v>
      </c>
      <c r="L56" s="4">
        <f>Vout*Table2[[#This Row],[Iout]]/(Table2[[#This Row],[Vin]]*Efficiency)</f>
        <v>4.3338947368421046</v>
      </c>
      <c r="M56" s="711">
        <f>MIN(1/Fsw,CHOOSE(Table2[[#This Row],[Mode Digit]],(Vout+(Rdson2+Rs+Rdcr)*Table2[[#This Row],[Iout]])/(Table2[[#This Row],[Vin]]+(Rs+Rdson2-Rdson1)*Table2[[#This Row],[Iout]])/Fsw,(Vout+(Rdson3+Rdcr)*Table2[[#This Row],[Iin]]-Table2[[#This Row],[Vin]])/(Vout+(Rdson3-Rdson4-Rs)*Table2[[#This Row],[Iin]])/Fsw,t1_Ph_II))</f>
        <v>1.2216803819973586E-6</v>
      </c>
      <c r="N56" s="602">
        <f>CHOOSE(Table2[[#This Row],[Mode Digit]],1/Fsw-Table2[[#This Row],[t1_Ph_II]],1/Fsw-Table2[[#This Row],[t1_Ph_II]],(Vout/Fsw-Table2[[#This Row],[Vin]]*t1_Ph_II)/(Table2[[#This Row],[Vin]]+Vout))</f>
        <v>4.4498628466930805E-7</v>
      </c>
      <c r="O56" s="602">
        <f>1/Fsw-(Table2[[#This Row],[t1_Ph_II]]+Table2[[#This Row],[t2_Ph_I]])</f>
        <v>0</v>
      </c>
      <c r="P56"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4.3905541547754279</v>
      </c>
      <c r="Q56" s="4">
        <f>CHOOSE(Table2[[#This Row],[Mode Digit]],Table2[[#This Row],[I_0]]+1/Lf*(Table2[[#This Row],[Vin]]-Vout)*Table2[[#This Row],[t1_Ph_II]],Table2[[#This Row],[I_0]]+1/Lf*Table2[[#This Row],[Vin]]*Table2[[#This Row],[t1_Ph_II]],Table2[[#This Row],[I_0]]+(Table2[[#This Row],[Vin]]-Vout)/L*Table2[[#This Row],[t1_Ph_II]])</f>
        <v>6.8894458452245706</v>
      </c>
      <c r="R56" s="4">
        <f>CHOOSE(Table2[[#This Row],[Mode Digit]],0,0,Table2[[#This Row],[I_1]]+Table2[[#This Row],[Vin]]/L*Table2[[#This Row],[t2_Ph_I]])</f>
        <v>0</v>
      </c>
      <c r="S56" s="409">
        <f>Fsw*(Table2[[#This Row],[I_0]]*Table2[[#This Row],[t1_Ph_II]]+Table2[[#This Row],[I_1]]*Table2[[#This Row],[t2_Ph_I]]+Table2[[#This Row],[I_2]]*Table2[[#This Row],[t3_Ph_III]])</f>
        <v>5.05773767224981</v>
      </c>
      <c r="T56" s="354">
        <f>MIN(1,CHOOSE(Table2[[#This Row],[Mode Digit]],(Vout+(Rdson2+Rs+Rdcr)*Table2[[#This Row],[Iout]])/(Table2[[#This Row],[Vin]]+(Rs+Rdson2-Rdson1)*Table2[[#This Row],[Iout]]),1,Fsw*Table2[[#This Row],[t2_Ph_I]]+Table2[[#This Row],[t1_Ph_II]]))</f>
        <v>0.73300822919841513</v>
      </c>
      <c r="U56" s="354">
        <f>MIN(1,CHOOSE(Table2[[#This Row],[Mode Digit]],0,(Vout+(Rdson3+Rdcr)*Table2[[#This Row],[Iin]]-Table2[[#This Row],[Vin]])/(Vout+(Rdson3-Rdson4-Rs)*Table2[[#This Row],[Iin]]),Fsw*Table2[[#This Row],[t1_Ph_II]]+Table2[[#This Row],[t3_Ph_III]]))</f>
        <v>0</v>
      </c>
      <c r="V56" s="4">
        <f>MAX(Table2[[#This Row],[I_0]:[I_2]])-MIN(Table2[[#This Row],[I_0]:[I_1]])</f>
        <v>2.4988916904491427</v>
      </c>
      <c r="W56"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5.6859450964681004</v>
      </c>
      <c r="X56" s="354">
        <f>(Table2[[#This Row],[Irms Lf]]^2*Rdcr*(1+Ltc*Ta-Ltc*25))/(1-Table2[[#This Row],[Irms Lf]]^2*Rdcr*Ltc*ThetaCa)</f>
        <v>0.19036959007223561</v>
      </c>
      <c r="Y56" s="354">
        <f>ABS(7.759*10^-3*Fsw^0.9458*(0.00787*Table2[[#This Row],[Ripple Current pk-pk]])^2.304)</f>
        <v>0.26516553342860366</v>
      </c>
      <c r="Z56" s="354">
        <f>Table2[[#This Row],[DCR    Loss]]+Table2[[#This Row],[Core Loss]]</f>
        <v>0.45553512350083925</v>
      </c>
      <c r="AA56" s="4">
        <f>IF(Table2[[#This Row],[Vin]]&gt;Vout, Table2[[#This Row],[Ripple Current pk-pk]]/SQRT(12), SQRT(Table2[[#This Row],[Duty Cycle BOOST Leg]]/(1-Table2[[#This Row],[Duty Cycle BOOST Leg]]))*SQRT(Table2[[#This Row],[Iout]]^2+(Table2[[#This Row],[Ripple Current pk-pk]]^2)/12))</f>
        <v>0.72136789507826582</v>
      </c>
      <c r="AB56" s="354">
        <f>RCoutEsr*Table2[[#This Row],[Irms Cout]]^2</f>
        <v>2.6018582002482397E-3</v>
      </c>
      <c r="AC56" s="354">
        <f>Table2[[#This Row],[Cout ESR Loss]]</f>
        <v>2.6018582002482397E-3</v>
      </c>
      <c r="AD56" s="4">
        <f>IF(Table2[[#This Row],[Vin]]&gt;Vout, SQRT(Table2[[#This Row],[Duty Cycle BUCK Leg]]*(1-Table2[[#This Row],[Duty Cycle BUCK Leg]]))*SQRT(Table2[[#This Row],[Iout]]^2+(Table2[[#This Row],[Ripple Current pk-pk]]^2)/12), Table2[[#This Row],[Ripple Current pk-pk]]/SQRT(12))</f>
        <v>2.5153940244566528</v>
      </c>
      <c r="AE56" s="354">
        <f>RCinEsr*Table2[[#This Row],[Irms Cin]]^2</f>
        <v>1.2654414196544473E-2</v>
      </c>
      <c r="AF56" s="549">
        <f>Table2[[#This Row],[Cin ESR Loss]]</f>
        <v>1.2654414196544473E-2</v>
      </c>
      <c r="AG56" s="354">
        <f>Table2[[#This Row],[Irms Lf]]</f>
        <v>5.6859450964681004</v>
      </c>
      <c r="AH56" s="354">
        <f>Rdson1*Table2[[#This Row],[Irms BuCtrl]]^2</f>
        <v>0.13578588088820848</v>
      </c>
      <c r="AI56" s="354">
        <f>CHOOSE(Table2[[#This Row],[Mode Digit]], (Table2[[#This Row],[Vin]]*Table2[[#This Row],[Iout]]/2)*(Fsw)*(Tr_buck+Tf_buck), 0, (Table2[[#This Row],[Vin]]*Table2[[#This Row],[Avg IL]]/2)*(Fsw/1)*(Tr_buck+Tf_buck))</f>
        <v>1.1185661911497273</v>
      </c>
      <c r="AJ56">
        <f>IF(Table2[[#This Row],[Vin]]&gt;Vout, IF(Table2[[#This Row],[Iout]]&gt;Table2[[#This Row],[Ripple Current pk-pk]]/2,0,ABS(Table2[[#This Row],[Iout]]-Table2[[#This Row],[Ripple Current pk-pk]]/2)*Vsd_Q1*Deadtime*Fsw),0)</f>
        <v>0</v>
      </c>
      <c r="AK56" s="354">
        <f>(Table2[[#This Row],[Dead Time Loss BuCtrl]]+Table2[[#This Row],[Transition Loss BuCtrl]]+Table2[[#This Row],[RDS(on) Loss BuCtrl]]*(1+RdsonTopTc*Ta-RdsonTopTc*25))/(1-Table2[[#This Row],[RDS(on) Loss BuCtrl]]*RdsonTopTc*ThetaJA_Q1)</f>
        <v>1.2966066833989431</v>
      </c>
      <c r="AL56" s="354">
        <f>Table2[[#This Row],[Irms Lf]]</f>
        <v>5.6859450964681004</v>
      </c>
      <c r="AM56" s="354">
        <f>Rdson2*Table2[[#This Row],[Irms BuSync]]^2</f>
        <v>0.13578588088820848</v>
      </c>
      <c r="AN56"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0.2713645714285714</v>
      </c>
      <c r="AO56" s="354">
        <f>(Table2[[#This Row],[Deadtime Loss BuSync]]+Table2[[#This Row],[RDS(on) Loss BuSync]]*(1+RdsonBotTc*Ta-RdsonBotTc*25))/(1-Table2[[#This Row],[RDS(on) Loss BuSync]]*RdsonBotTc*ThetaJA_Q2)</f>
        <v>0.42086588717084977</v>
      </c>
      <c r="AP56" s="354">
        <f>Table2[[#This Row],[Irms Lf]]</f>
        <v>5.6859450964681004</v>
      </c>
      <c r="AQ56" s="354">
        <f>Rdson4*Table2[[#This Row],[Irms BoCtlr]]^2</f>
        <v>0.13578588088820848</v>
      </c>
      <c r="AR56" s="354">
        <f>CHOOSE(Table2[[#This Row],[Mode Digit]], 0, (Vout*Table2[[#This Row],[Iin]]/2)*(Fsw)*(Tr_boost+Tf_boost), (Vout*Iout/2)*(Fsw/1)*(Tr_boost+Tf_boost))</f>
        <v>0</v>
      </c>
      <c r="AS56" s="354">
        <f>IF(Table2[[#This Row],[Vin]]&gt;Vout, 0, IF(Table2[[#This Row],[Iin]]&gt;Table2[[#This Row],[Ripple Current pk-pk]]/2,0,ABS(Table2[[#This Row],[Iin]]-Table2[[#This Row],[Ripple Current pk-pk]]/2)*Vsd_Q4*Deadtime*Fsw))</f>
        <v>0</v>
      </c>
      <c r="AT56" s="354">
        <f>(Table2[[#This Row],[Dead Time Loss BoCtlr]]+Table2[[#This Row],[Transition Loss BoCtlr]]+Table2[[#This Row],[RDS(on) Loss BoCtlr]]*(1+RdsonTopTc*Ta-RdsonTopTc*25))/(1-Table2[[#This Row],[RDS(on) Loss BoCtlr]]*RdsonTopTc*ThetaJA_Q4)</f>
        <v>0.14036001900552469</v>
      </c>
      <c r="AU56" s="354">
        <f>Table2[[#This Row],[Irms Lf]]</f>
        <v>5.6859450964681004</v>
      </c>
      <c r="AV56" s="354">
        <f>Rdson3*Table2[[#This Row],[Irms BoSync]]^2</f>
        <v>0.13578588088820848</v>
      </c>
      <c r="AW56"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56" s="354">
        <f>(Table2[[#This Row],[Deadtime Loss BoSync]]+Table2[[#This Row],[RDS(on) Loss BoSync]]*(1+RdsonBotTc*Ta-RdsonBotTc*25))/(1-Table2[[#This Row],[RDS(on) Loss BoSync]]*RdsonBotTc*ThetaJA_Q3)</f>
        <v>0.14036001900552469</v>
      </c>
      <c r="AY56" s="354">
        <f>CHOOSE(Table2[[#This Row],[Mode Digit]], Rdson3*Table2[[#This Row],[Irms Lf]]^2, Rdson1*Table2[[#This Row],[Irms Lf]]^2, 0)</f>
        <v>0.13578588088820848</v>
      </c>
      <c r="AZ56" s="354">
        <f>CHOOSE(Table2[[#This Row],[Mode Digit]], 2*Deadtime*Fsw*IF(VfdSky_Q2&gt;0,VfdSky_Q2,0)*Table2[[#This Row],[Iout]], 2*Deadtime*Fsw*IF(VfdSky_Q3&gt;0,VfdSky_Q3,0)*Table2[[#This Row],[Iin]], 2*Deadtime*Fsw*IF(VfdSky_Q2&gt;0,VfdSky_Q2,0)*Table2[[#This Row],[Iout]]+2*Deadtime*Fsw*IF(VfdSky_Q3&gt;0,VfdSky_Q3,0)*Table2[[#This Row],[Iin]])</f>
        <v>0</v>
      </c>
      <c r="BA5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0.11266639968</v>
      </c>
      <c r="BB5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0.11266639968</v>
      </c>
      <c r="BC56" s="354">
        <f>CHOOSE(Table2[[#This Row],[Mode Digit]], Rs*Table2[[#This Row],[Irms BuSync]]^2, Rs*Table2[[#This Row],[Irms BoCtlr]]^2, Rs*(Table2[[#This Row],[Irms BuSync]]^2+Table2[[#This Row],[Irms BoCtlr]]^2))</f>
        <v>8.0824929100124093E-2</v>
      </c>
      <c r="BD56" s="354">
        <f t="shared" si="6"/>
        <v>1.44</v>
      </c>
      <c r="BE56" s="354">
        <f>IF(Vout&gt;8, Iq*Vout, Iq*Table2[[#This Row],[Vin]])</f>
        <v>4.3799999999999999E-2</v>
      </c>
      <c r="BF56" s="354">
        <f>CHOOSE(Table2[[#This Row],[Mode Digit]], (Qg_Q1+Qg_Q2)*Fsw, (Qg_Q3+Qg_Q4)*Fsw, (Qg_Q1+Qg_Q2+Qg_Q3+Qg_Q4)*Fsw)*IF(Vout&gt;8, Vout, Table2[[#This Row],[Vin]])</f>
        <v>0.47303999999999996</v>
      </c>
      <c r="BG56" s="354">
        <f t="shared" si="4"/>
        <v>0.45605042016806729</v>
      </c>
      <c r="BH56" s="354">
        <f>Table2[[#This Row],[IQ Loss]]+Table2[[#This Row],[Switching Current Loss]]</f>
        <v>0.51683999999999997</v>
      </c>
      <c r="BI56"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4.731981732938598</v>
      </c>
      <c r="BJ56">
        <f>Vout*Table2[[#This Row],[Iout]]</f>
        <v>82.343999999999994</v>
      </c>
      <c r="BK56" s="550">
        <f>Table2[[#This Row],[Pout]]/(Table2[[#This Row],[Pout]]+Table2[[#This Row],[Total Loss]])</f>
        <v>0.9456568661212279</v>
      </c>
      <c r="BL56" s="559">
        <f>IF(Table2[[#This Row],[Vin]]&gt;Vout,ThetaJA_Q1*(Table2[[#This Row],[Total Control Bu MOSFET Loss]]+Table2[[#This Row],[Reverse Recovery Loss MOSFET D BUCK]]),ThetaJA_Q4*(Table2[[#This Row],[Total Control Bo MOSFET Loss]]+Table2[[#This Row],[Reverse Recovery Loss MOSFET D BOOST]]))</f>
        <v>84.556384984736582</v>
      </c>
      <c r="BM56" s="559">
        <f>IF(Table2[[#This Row],[Vin]]&gt;Vout, Table2[[#This Row],[Total Sync Bu MOSFET Loss]]*ThetaJA_Q2, ThetaJA_Q3*Table2[[#This Row],[Total Sync Bo MOSFET Loss]])</f>
        <v>25.251953230250987</v>
      </c>
      <c r="BN56" s="9"/>
      <c r="BO56" s="4">
        <f>Table2[[#This Row],[EFF, h]]*100</f>
        <v>94.565686612122789</v>
      </c>
      <c r="BP56" s="354">
        <f>Table2[[#This Row],[Total Inductor Loss]]</f>
        <v>0.45553512350083925</v>
      </c>
      <c r="BQ56" s="354">
        <f>Table2[[#This Row],[Total Control Bu MOSFET Loss]]+Table2[[#This Row],[Total Sync Bu MOSFET Loss]]+Table2[[#This Row],[Total Control Bo MOSFET Loss]]+Table2[[#This Row],[Total Sync Bo MOSFET Loss]]+Table2[[#This Row],[Reverse Recovery Loss MOSFET D BUCK]]+Table2[[#This Row],[Reverse Recovery Loss MOSFET D BOOST]]</f>
        <v>2.2235254079408424</v>
      </c>
      <c r="BR56" s="354">
        <f xml:space="preserve"> Table2[[#This Row],[Total Control Bu MOSFET Loss]]+Table2[[#This Row],[Reverse Recovery Loss MOSFET D BUCK]]*0.66</f>
        <v>1.370966507187743</v>
      </c>
      <c r="BS56" s="354">
        <f>Table2[[#This Row],[Total Sync Bu MOSFET Loss]]+Table2[[#This Row],[Reverse Recovery Loss MOSFET D BUCK]]*0.33</f>
        <v>0.45804579906524978</v>
      </c>
      <c r="BT56" s="354">
        <f xml:space="preserve"> Table2[[#This Row],[Total Control Bo MOSFET Loss]]+Table2[[#This Row],[Reverse Recovery Loss MOSFET D BOOST]]*0.66</f>
        <v>0.21471984279432471</v>
      </c>
      <c r="BU56" s="354">
        <f xml:space="preserve"> Table2[[#This Row],[Total Sync Bo MOSFET Loss]]+Table2[[#This Row],[Reverse Recovery Loss MOSFET D BOOST]]*0.33</f>
        <v>0.1775399308999247</v>
      </c>
      <c r="BV56" s="354">
        <f>Table2[[#This Row],[Isense Shunt Loss]]</f>
        <v>8.0824929100124093E-2</v>
      </c>
      <c r="CB56" s="18"/>
      <c r="CC56" s="19"/>
    </row>
    <row r="57" spans="1:83" x14ac:dyDescent="0.2">
      <c r="A57" s="24" t="s">
        <v>275</v>
      </c>
      <c r="B57" s="15" t="s">
        <v>113</v>
      </c>
      <c r="C57" s="24" t="s">
        <v>80</v>
      </c>
      <c r="D57" s="24" t="s">
        <v>245</v>
      </c>
      <c r="G57">
        <v>48</v>
      </c>
      <c r="H57" s="555">
        <f t="shared" si="5"/>
        <v>20</v>
      </c>
      <c r="I57" s="4" t="str">
        <f>IF(Mode = 2,IF(Table2[[#This Row],[Vin]]&gt;Vout, "BUCK","BOOST"),IF(Table2[[#This Row],[Vin]]&gt;VIN_BB_to_buck, "BUCK", IF(Table2[[#This Row],[Vin]]&lt;=VIN_boost_to_BB,"BOOST","BUCK-BST")))</f>
        <v>BUCK</v>
      </c>
      <c r="J57">
        <f>IF(Table2[[#This Row],[Mode]]="BOOST",2, IF(Table2[[#This Row],[Mode]]="BUCK", 1,3))</f>
        <v>1</v>
      </c>
      <c r="K57" s="354">
        <f t="shared" si="7"/>
        <v>5.76</v>
      </c>
      <c r="L57" s="4">
        <f>Vout*Table2[[#This Row],[Iout]]/(Table2[[#This Row],[Vin]]*Efficiency)</f>
        <v>4.4261052631578943</v>
      </c>
      <c r="M57" s="711">
        <f>MIN(1/Fsw,CHOOSE(Table2[[#This Row],[Mode Digit]],(Vout+(Rdson2+Rs+Rdcr)*Table2[[#This Row],[Iout]])/(Table2[[#This Row],[Vin]]+(Rs+Rdson2-Rdson1)*Table2[[#This Row],[Iout]])/Fsw,(Vout+(Rdson3+Rdcr)*Table2[[#This Row],[Iin]]-Table2[[#This Row],[Vin]])/(Vout+(Rdson3-Rdson4-Rs)*Table2[[#This Row],[Iin]])/Fsw,t1_Ph_II))</f>
        <v>1.2217869800410371E-6</v>
      </c>
      <c r="N57" s="602">
        <f>CHOOSE(Table2[[#This Row],[Mode Digit]],1/Fsw-Table2[[#This Row],[t1_Ph_II]],1/Fsw-Table2[[#This Row],[t1_Ph_II]],(Vout/Fsw-Table2[[#This Row],[Vin]]*t1_Ph_II)/(Table2[[#This Row],[Vin]]+Vout))</f>
        <v>4.4487968662562952E-7</v>
      </c>
      <c r="O57" s="602">
        <f>1/Fsw-(Table2[[#This Row],[t1_Ph_II]]+Table2[[#This Row],[t2_Ph_I]])</f>
        <v>0</v>
      </c>
      <c r="P57"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4.5104451340489389</v>
      </c>
      <c r="Q57" s="4">
        <f>CHOOSE(Table2[[#This Row],[Mode Digit]],Table2[[#This Row],[I_0]]+1/Lf*(Table2[[#This Row],[Vin]]-Vout)*Table2[[#This Row],[t1_Ph_II]],Table2[[#This Row],[I_0]]+1/Lf*Table2[[#This Row],[Vin]]*Table2[[#This Row],[t1_Ph_II]],Table2[[#This Row],[I_0]]+(Table2[[#This Row],[Vin]]-Vout)/L*Table2[[#This Row],[t1_Ph_II]])</f>
        <v>7.0095548659510607</v>
      </c>
      <c r="R57" s="4">
        <f>CHOOSE(Table2[[#This Row],[Mode Digit]],0,0,Table2[[#This Row],[I_1]]+Table2[[#This Row],[Vin]]/L*Table2[[#This Row],[t2_Ph_I]])</f>
        <v>0</v>
      </c>
      <c r="S57" s="409">
        <f>Fsw*(Table2[[#This Row],[I_0]]*Table2[[#This Row],[t1_Ph_II]]+Table2[[#This Row],[I_1]]*Table2[[#This Row],[t2_Ph_I]]+Table2[[#This Row],[I_2]]*Table2[[#This Row],[t3_Ph_III]])</f>
        <v>5.1775270266719451</v>
      </c>
      <c r="T57" s="354">
        <f>MIN(1,CHOOSE(Table2[[#This Row],[Mode Digit]],(Vout+(Rdson2+Rs+Rdcr)*Table2[[#This Row],[Iout]])/(Table2[[#This Row],[Vin]]+(Rs+Rdson2-Rdson1)*Table2[[#This Row],[Iout]]),1,Fsw*Table2[[#This Row],[t2_Ph_I]]+Table2[[#This Row],[t1_Ph_II]]))</f>
        <v>0.73307218802462226</v>
      </c>
      <c r="U57" s="354">
        <f>MIN(1,CHOOSE(Table2[[#This Row],[Mode Digit]],0,(Vout+(Rdson3+Rdcr)*Table2[[#This Row],[Iin]]-Table2[[#This Row],[Vin]])/(Vout+(Rdson3-Rdson4-Rs)*Table2[[#This Row],[Iin]]),Fsw*Table2[[#This Row],[t1_Ph_II]]+Table2[[#This Row],[t3_Ph_III]]))</f>
        <v>0</v>
      </c>
      <c r="V57" s="4">
        <f>MAX(Table2[[#This Row],[I_0]:[I_2]])-MIN(Table2[[#This Row],[I_0]:[I_1]])</f>
        <v>2.4991097319021218</v>
      </c>
      <c r="W57"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5.8050032260405038</v>
      </c>
      <c r="X57" s="354">
        <f>(Table2[[#This Row],[Irms Lf]]^2*Rdcr*(1+Ltc*Ta-Ltc*25))/(1-Table2[[#This Row],[Irms Lf]]^2*Rdcr*Ltc*ThetaCa)</f>
        <v>0.19855332232201742</v>
      </c>
      <c r="Y57" s="354">
        <f>ABS(7.759*10^-3*Fsw^0.9458*(0.00787*Table2[[#This Row],[Ripple Current pk-pk]])^2.304)</f>
        <v>0.26521884431323689</v>
      </c>
      <c r="Z57" s="354">
        <f>Table2[[#This Row],[DCR    Loss]]+Table2[[#This Row],[Core Loss]]</f>
        <v>0.46377216663525433</v>
      </c>
      <c r="AA57" s="4">
        <f>IF(Table2[[#This Row],[Vin]]&gt;Vout, Table2[[#This Row],[Ripple Current pk-pk]]/SQRT(12), SQRT(Table2[[#This Row],[Duty Cycle BOOST Leg]]/(1-Table2[[#This Row],[Duty Cycle BOOST Leg]]))*SQRT(Table2[[#This Row],[Iout]]^2+(Table2[[#This Row],[Ripple Current pk-pk]]^2)/12))</f>
        <v>0.72143083822405185</v>
      </c>
      <c r="AB57" s="354">
        <f>RCoutEsr*Table2[[#This Row],[Irms Cout]]^2</f>
        <v>2.6023122717032904E-3</v>
      </c>
      <c r="AC57" s="354">
        <f>Table2[[#This Row],[Cout ESR Loss]]</f>
        <v>2.6023122717032904E-3</v>
      </c>
      <c r="AD57" s="4">
        <f>IF(Table2[[#This Row],[Vin]]&gt;Vout, SQRT(Table2[[#This Row],[Duty Cycle BUCK Leg]]*(1-Table2[[#This Row],[Duty Cycle BUCK Leg]]))*SQRT(Table2[[#This Row],[Iout]]^2+(Table2[[#This Row],[Ripple Current pk-pk]]^2)/12), Table2[[#This Row],[Ripple Current pk-pk]]/SQRT(12))</f>
        <v>2.5678683251676184</v>
      </c>
      <c r="AE57" s="354">
        <f>RCinEsr*Table2[[#This Row],[Irms Cin]]^2</f>
        <v>1.3187895470798299E-2</v>
      </c>
      <c r="AF57" s="549">
        <f>Table2[[#This Row],[Cin ESR Loss]]</f>
        <v>1.3187895470798299E-2</v>
      </c>
      <c r="AG57" s="354">
        <f>Table2[[#This Row],[Irms Lf]]</f>
        <v>5.8050032260405038</v>
      </c>
      <c r="AH57" s="354">
        <f>Rdson1*Table2[[#This Row],[Irms BuCtrl]]^2</f>
        <v>0.14153186230823078</v>
      </c>
      <c r="AI57" s="354">
        <f>CHOOSE(Table2[[#This Row],[Mode Digit]], (Table2[[#This Row],[Vin]]*Table2[[#This Row],[Iout]]/2)*(Fsw)*(Tr_buck+Tf_buck), 0, (Table2[[#This Row],[Vin]]*Table2[[#This Row],[Avg IL]]/2)*(Fsw/1)*(Tr_buck+Tf_buck))</f>
        <v>1.1423654718124876</v>
      </c>
      <c r="AJ57">
        <f>IF(Table2[[#This Row],[Vin]]&gt;Vout, IF(Table2[[#This Row],[Iout]]&gt;Table2[[#This Row],[Ripple Current pk-pk]]/2,0,ABS(Table2[[#This Row],[Iout]]-Table2[[#This Row],[Ripple Current pk-pk]]/2)*Vsd_Q1*Deadtime*Fsw),0)</f>
        <v>0</v>
      </c>
      <c r="AK57" s="354">
        <f>(Table2[[#This Row],[Dead Time Loss BuCtrl]]+Table2[[#This Row],[Transition Loss BuCtrl]]+Table2[[#This Row],[RDS(on) Loss BuCtrl]]*(1+RdsonTopTc*Ta-RdsonTopTc*25))/(1-Table2[[#This Row],[RDS(on) Loss BuCtrl]]*RdsonTopTc*ThetaJA_Q1)</f>
        <v>1.329041755250147</v>
      </c>
      <c r="AL57" s="354">
        <f>Table2[[#This Row],[Irms Lf]]</f>
        <v>5.8050032260405038</v>
      </c>
      <c r="AM57" s="354">
        <f>Rdson2*Table2[[#This Row],[Irms BuSync]]^2</f>
        <v>0.14153186230823078</v>
      </c>
      <c r="AN57"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0.27713828571428573</v>
      </c>
      <c r="AO57" s="354">
        <f>(Table2[[#This Row],[Deadtime Loss BuSync]]+Table2[[#This Row],[RDS(on) Loss BuSync]]*(1+RdsonBotTc*Ta-RdsonBotTc*25))/(1-Table2[[#This Row],[RDS(on) Loss BuSync]]*RdsonBotTc*ThetaJA_Q2)</f>
        <v>0.43339143528930013</v>
      </c>
      <c r="AP57" s="354">
        <f>Table2[[#This Row],[Irms Lf]]</f>
        <v>5.8050032260405038</v>
      </c>
      <c r="AQ57" s="354">
        <f>Rdson4*Table2[[#This Row],[Irms BoCtlr]]^2</f>
        <v>0.14153186230823078</v>
      </c>
      <c r="AR57" s="354">
        <f>CHOOSE(Table2[[#This Row],[Mode Digit]], 0, (Vout*Table2[[#This Row],[Iin]]/2)*(Fsw)*(Tr_boost+Tf_boost), (Vout*Iout/2)*(Fsw/1)*(Tr_boost+Tf_boost))</f>
        <v>0</v>
      </c>
      <c r="AS57" s="354">
        <f>IF(Table2[[#This Row],[Vin]]&gt;Vout, 0, IF(Table2[[#This Row],[Iin]]&gt;Table2[[#This Row],[Ripple Current pk-pk]]/2,0,ABS(Table2[[#This Row],[Iin]]-Table2[[#This Row],[Ripple Current pk-pk]]/2)*Vsd_Q4*Deadtime*Fsw))</f>
        <v>0</v>
      </c>
      <c r="AT57" s="354">
        <f>(Table2[[#This Row],[Dead Time Loss BoCtlr]]+Table2[[#This Row],[Transition Loss BoCtlr]]+Table2[[#This Row],[RDS(on) Loss BoCtlr]]*(1+RdsonTopTc*Ta-RdsonTopTc*25))/(1-Table2[[#This Row],[RDS(on) Loss BoCtlr]]*RdsonTopTc*ThetaJA_Q4)</f>
        <v>0.14650840819353778</v>
      </c>
      <c r="AU57" s="354">
        <f>Table2[[#This Row],[Irms Lf]]</f>
        <v>5.8050032260405038</v>
      </c>
      <c r="AV57" s="354">
        <f>Rdson3*Table2[[#This Row],[Irms BoSync]]^2</f>
        <v>0.14153186230823078</v>
      </c>
      <c r="AW57"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57" s="354">
        <f>(Table2[[#This Row],[Deadtime Loss BoSync]]+Table2[[#This Row],[RDS(on) Loss BoSync]]*(1+RdsonBotTc*Ta-RdsonBotTc*25))/(1-Table2[[#This Row],[RDS(on) Loss BoSync]]*RdsonBotTc*ThetaJA_Q3)</f>
        <v>0.14650840819353778</v>
      </c>
      <c r="AY57" s="354">
        <f>CHOOSE(Table2[[#This Row],[Mode Digit]], Rdson3*Table2[[#This Row],[Irms Lf]]^2, Rdson1*Table2[[#This Row],[Irms Lf]]^2, 0)</f>
        <v>0.14153186230823078</v>
      </c>
      <c r="AZ57" s="354">
        <f>CHOOSE(Table2[[#This Row],[Mode Digit]], 2*Deadtime*Fsw*IF(VfdSky_Q2&gt;0,VfdSky_Q2,0)*Table2[[#This Row],[Iout]], 2*Deadtime*Fsw*IF(VfdSky_Q3&gt;0,VfdSky_Q3,0)*Table2[[#This Row],[Iin]], 2*Deadtime*Fsw*IF(VfdSky_Q2&gt;0,VfdSky_Q2,0)*Table2[[#This Row],[Iout]]+2*Deadtime*Fsw*IF(VfdSky_Q3&gt;0,VfdSky_Q3,0)*Table2[[#This Row],[Iin]])</f>
        <v>0</v>
      </c>
      <c r="BA5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0.11506065408</v>
      </c>
      <c r="BB5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0.11506065408</v>
      </c>
      <c r="BC57" s="354">
        <f>CHOOSE(Table2[[#This Row],[Mode Digit]], Rs*Table2[[#This Row],[Irms BuSync]]^2, Rs*Table2[[#This Row],[Irms BoCtlr]]^2, Rs*(Table2[[#This Row],[Irms BuSync]]^2+Table2[[#This Row],[Irms BoCtlr]]^2))</f>
        <v>8.4245156135851651E-2</v>
      </c>
      <c r="BD57" s="354">
        <f t="shared" si="6"/>
        <v>1.44</v>
      </c>
      <c r="BE57" s="354">
        <f>IF(Vout&gt;8, Iq*Vout, Iq*Table2[[#This Row],[Vin]])</f>
        <v>4.3799999999999999E-2</v>
      </c>
      <c r="BF57" s="354">
        <f>CHOOSE(Table2[[#This Row],[Mode Digit]], (Qg_Q1+Qg_Q2)*Fsw, (Qg_Q3+Qg_Q4)*Fsw, (Qg_Q1+Qg_Q2+Qg_Q3+Qg_Q4)*Fsw)*IF(Vout&gt;8, Vout, Table2[[#This Row],[Vin]])</f>
        <v>0.47303999999999996</v>
      </c>
      <c r="BG57" s="354">
        <f t="shared" si="4"/>
        <v>0.45605042016806729</v>
      </c>
      <c r="BH57" s="354">
        <f>Table2[[#This Row],[IQ Loss]]+Table2[[#This Row],[Switching Current Loss]]</f>
        <v>0.51683999999999997</v>
      </c>
      <c r="BI57"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4.8062188456001307</v>
      </c>
      <c r="BJ57">
        <f>Vout*Table2[[#This Row],[Iout]]</f>
        <v>84.095999999999989</v>
      </c>
      <c r="BK57" s="550">
        <f>Table2[[#This Row],[Pout]]/(Table2[[#This Row],[Pout]]+Table2[[#This Row],[Total Loss]])</f>
        <v>0.94593814521156927</v>
      </c>
      <c r="BL57" s="559">
        <f>IF(Table2[[#This Row],[Vin]]&gt;Vout,ThetaJA_Q1*(Table2[[#This Row],[Total Control Bu MOSFET Loss]]+Table2[[#This Row],[Reverse Recovery Loss MOSFET D BUCK]]),ThetaJA_Q4*(Table2[[#This Row],[Total Control Bo MOSFET Loss]]+Table2[[#This Row],[Reverse Recovery Loss MOSFET D BOOST]]))</f>
        <v>86.646144559808832</v>
      </c>
      <c r="BM57" s="559">
        <f>IF(Table2[[#This Row],[Vin]]&gt;Vout, Table2[[#This Row],[Total Sync Bu MOSFET Loss]]*ThetaJA_Q2, ThetaJA_Q3*Table2[[#This Row],[Total Sync Bo MOSFET Loss]])</f>
        <v>26.003486117358008</v>
      </c>
      <c r="BN57" s="9"/>
      <c r="BO57" s="4">
        <f>Table2[[#This Row],[EFF, h]]*100</f>
        <v>94.593814521156929</v>
      </c>
      <c r="BP57" s="354">
        <f>Table2[[#This Row],[Total Inductor Loss]]</f>
        <v>0.46377216663525433</v>
      </c>
      <c r="BQ57" s="354">
        <f>Table2[[#This Row],[Total Control Bu MOSFET Loss]]+Table2[[#This Row],[Total Sync Bu MOSFET Loss]]+Table2[[#This Row],[Total Control Bo MOSFET Loss]]+Table2[[#This Row],[Total Sync Bo MOSFET Loss]]+Table2[[#This Row],[Reverse Recovery Loss MOSFET D BUCK]]+Table2[[#This Row],[Reverse Recovery Loss MOSFET D BOOST]]</f>
        <v>2.2855713150865227</v>
      </c>
      <c r="BR57" s="354">
        <f xml:space="preserve"> Table2[[#This Row],[Total Control Bu MOSFET Loss]]+Table2[[#This Row],[Reverse Recovery Loss MOSFET D BUCK]]*0.66</f>
        <v>1.4049817869429471</v>
      </c>
      <c r="BS57" s="354">
        <f>Table2[[#This Row],[Total Sync Bu MOSFET Loss]]+Table2[[#This Row],[Reverse Recovery Loss MOSFET D BUCK]]*0.33</f>
        <v>0.47136145113570016</v>
      </c>
      <c r="BT57" s="354">
        <f xml:space="preserve"> Table2[[#This Row],[Total Control Bo MOSFET Loss]]+Table2[[#This Row],[Reverse Recovery Loss MOSFET D BOOST]]*0.66</f>
        <v>0.22244843988633778</v>
      </c>
      <c r="BU57" s="354">
        <f xml:space="preserve"> Table2[[#This Row],[Total Sync Bo MOSFET Loss]]+Table2[[#This Row],[Reverse Recovery Loss MOSFET D BOOST]]*0.33</f>
        <v>0.18447842403993778</v>
      </c>
      <c r="BV57" s="354">
        <f>Table2[[#This Row],[Isense Shunt Loss]]</f>
        <v>8.4245156135851651E-2</v>
      </c>
      <c r="CB57" s="18"/>
      <c r="CC57" s="19"/>
    </row>
    <row r="58" spans="1:83" x14ac:dyDescent="0.2">
      <c r="A58" s="23" t="s">
        <v>228</v>
      </c>
      <c r="B58" s="71">
        <f>VfdSky_Q2</f>
        <v>0</v>
      </c>
      <c r="C58" s="440" t="s">
        <v>0</v>
      </c>
      <c r="D58" s="74" t="s">
        <v>231</v>
      </c>
      <c r="G58">
        <v>49</v>
      </c>
      <c r="H58" s="555">
        <f t="shared" si="5"/>
        <v>20</v>
      </c>
      <c r="I58" s="4" t="str">
        <f>IF(Mode = 2,IF(Table2[[#This Row],[Vin]]&gt;Vout, "BUCK","BOOST"),IF(Table2[[#This Row],[Vin]]&gt;VIN_BB_to_buck, "BUCK", IF(Table2[[#This Row],[Vin]]&lt;=VIN_boost_to_BB,"BOOST","BUCK-BST")))</f>
        <v>BUCK</v>
      </c>
      <c r="J58">
        <f>IF(Table2[[#This Row],[Mode]]="BOOST",2, IF(Table2[[#This Row],[Mode]]="BUCK", 1,3))</f>
        <v>1</v>
      </c>
      <c r="K58" s="354">
        <f t="shared" si="7"/>
        <v>5.88</v>
      </c>
      <c r="L58" s="4">
        <f>Vout*Table2[[#This Row],[Iout]]/(Table2[[#This Row],[Vin]]*Efficiency)</f>
        <v>4.5183157894736841</v>
      </c>
      <c r="M58" s="711">
        <f>MIN(1/Fsw,CHOOSE(Table2[[#This Row],[Mode Digit]],(Vout+(Rdson2+Rs+Rdcr)*Table2[[#This Row],[Iout]])/(Table2[[#This Row],[Vin]]+(Rs+Rdson2-Rdson1)*Table2[[#This Row],[Iout]])/Fsw,(Vout+(Rdson3+Rdcr)*Table2[[#This Row],[Iin]]-Table2[[#This Row],[Vin]])/(Vout+(Rdson3-Rdson4-Rs)*Table2[[#This Row],[Iin]])/Fsw,t1_Ph_II))</f>
        <v>1.221893574889123E-6</v>
      </c>
      <c r="N58" s="602">
        <f>CHOOSE(Table2[[#This Row],[Mode Digit]],1/Fsw-Table2[[#This Row],[t1_Ph_II]],1/Fsw-Table2[[#This Row],[t1_Ph_II]],(Vout/Fsw-Table2[[#This Row],[Vin]]*t1_Ph_II)/(Table2[[#This Row],[Vin]]+Vout))</f>
        <v>4.4477309177754371E-7</v>
      </c>
      <c r="O58" s="602">
        <f>1/Fsw-(Table2[[#This Row],[t1_Ph_II]]+Table2[[#This Row],[t2_Ph_I]])</f>
        <v>0</v>
      </c>
      <c r="P58"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4.6303361165906693</v>
      </c>
      <c r="Q58" s="4">
        <f>CHOOSE(Table2[[#This Row],[Mode Digit]],Table2[[#This Row],[I_0]]+1/Lf*(Table2[[#This Row],[Vin]]-Vout)*Table2[[#This Row],[t1_Ph_II]],Table2[[#This Row],[I_0]]+1/Lf*Table2[[#This Row],[Vin]]*Table2[[#This Row],[t1_Ph_II]],Table2[[#This Row],[I_0]]+(Table2[[#This Row],[Vin]]-Vout)/L*Table2[[#This Row],[t1_Ph_II]])</f>
        <v>7.1296638834093304</v>
      </c>
      <c r="R58" s="4">
        <f>CHOOSE(Table2[[#This Row],[Mode Digit]],0,0,Table2[[#This Row],[I_1]]+Table2[[#This Row],[Vin]]/L*Table2[[#This Row],[t2_Ph_I]])</f>
        <v>0</v>
      </c>
      <c r="S58" s="409">
        <f>Fsw*(Table2[[#This Row],[I_0]]*Table2[[#This Row],[t1_Ph_II]]+Table2[[#This Row],[I_1]]*Table2[[#This Row],[t2_Ph_I]]+Table2[[#This Row],[I_2]]*Table2[[#This Row],[t3_Ph_III]])</f>
        <v>5.2973163595187094</v>
      </c>
      <c r="T58" s="354">
        <f>MIN(1,CHOOSE(Table2[[#This Row],[Mode Digit]],(Vout+(Rdson2+Rs+Rdcr)*Table2[[#This Row],[Iout]])/(Table2[[#This Row],[Vin]]+(Rs+Rdson2-Rdson1)*Table2[[#This Row],[Iout]]),1,Fsw*Table2[[#This Row],[t2_Ph_I]]+Table2[[#This Row],[t1_Ph_II]]))</f>
        <v>0.73313614493347379</v>
      </c>
      <c r="U58" s="354">
        <f>MIN(1,CHOOSE(Table2[[#This Row],[Mode Digit]],0,(Vout+(Rdson3+Rdcr)*Table2[[#This Row],[Iin]]-Table2[[#This Row],[Vin]])/(Vout+(Rdson3-Rdson4-Rs)*Table2[[#This Row],[Iin]]),Fsw*Table2[[#This Row],[t1_Ph_II]]+Table2[[#This Row],[t3_Ph_III]]))</f>
        <v>0</v>
      </c>
      <c r="V58" s="4">
        <f>MAX(Table2[[#This Row],[I_0]:[I_2]])-MIN(Table2[[#This Row],[I_0]:[I_1]])</f>
        <v>2.4993277668186611</v>
      </c>
      <c r="W58"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5.9240993639398525</v>
      </c>
      <c r="X58" s="354">
        <f>(Table2[[#This Row],[Irms Lf]]^2*Rdcr*(1+Ltc*Ta-Ltc*25))/(1-Table2[[#This Row],[Irms Lf]]^2*Rdcr*Ltc*ThetaCa)</f>
        <v>0.20692023008228172</v>
      </c>
      <c r="Y58" s="354">
        <f>ABS(7.759*10^-3*Fsw^0.9458*(0.00787*Table2[[#This Row],[Ripple Current pk-pk]])^2.304)</f>
        <v>0.26527215966501932</v>
      </c>
      <c r="Z58" s="354">
        <f>Table2[[#This Row],[DCR    Loss]]+Table2[[#This Row],[Core Loss]]</f>
        <v>0.47219238974730104</v>
      </c>
      <c r="AA58" s="4">
        <f>IF(Table2[[#This Row],[Vin]]&gt;Vout, Table2[[#This Row],[Ripple Current pk-pk]]/SQRT(12), SQRT(Table2[[#This Row],[Duty Cycle BOOST Leg]]/(1-Table2[[#This Row],[Duty Cycle BOOST Leg]]))*SQRT(Table2[[#This Row],[Iout]]^2+(Table2[[#This Row],[Ripple Current pk-pk]]^2)/12))</f>
        <v>0.72149377948293014</v>
      </c>
      <c r="AB58" s="354">
        <f>RCoutEsr*Table2[[#This Row],[Irms Cout]]^2</f>
        <v>2.6027663691628152E-3</v>
      </c>
      <c r="AC58" s="354">
        <f>Table2[[#This Row],[Cout ESR Loss]]</f>
        <v>2.6027663691628152E-3</v>
      </c>
      <c r="AD58" s="4">
        <f>IF(Table2[[#This Row],[Vin]]&gt;Vout, SQRT(Table2[[#This Row],[Duty Cycle BUCK Leg]]*(1-Table2[[#This Row],[Duty Cycle BUCK Leg]]))*SQRT(Table2[[#This Row],[Iout]]^2+(Table2[[#This Row],[Ripple Current pk-pk]]^2)/12), Table2[[#This Row],[Ripple Current pk-pk]]/SQRT(12))</f>
        <v>2.6203513507997074</v>
      </c>
      <c r="AE58" s="354">
        <f>RCinEsr*Table2[[#This Row],[Irms Cin]]^2</f>
        <v>1.3732482403275702E-2</v>
      </c>
      <c r="AF58" s="549">
        <f>Table2[[#This Row],[Cin ESR Loss]]</f>
        <v>1.3732482403275702E-2</v>
      </c>
      <c r="AG58" s="354">
        <f>Table2[[#This Row],[Irms Lf]]</f>
        <v>5.9240993639398525</v>
      </c>
      <c r="AH58" s="354">
        <f>Rdson1*Table2[[#This Row],[Irms BuCtrl]]^2</f>
        <v>0.14739880375009679</v>
      </c>
      <c r="AI58" s="354">
        <f>CHOOSE(Table2[[#This Row],[Mode Digit]], (Table2[[#This Row],[Vin]]*Table2[[#This Row],[Iout]]/2)*(Fsw)*(Tr_buck+Tf_buck), 0, (Table2[[#This Row],[Vin]]*Table2[[#This Row],[Avg IL]]/2)*(Fsw/1)*(Tr_buck+Tf_buck))</f>
        <v>1.1661647524752476</v>
      </c>
      <c r="AJ58">
        <f>IF(Table2[[#This Row],[Vin]]&gt;Vout, IF(Table2[[#This Row],[Iout]]&gt;Table2[[#This Row],[Ripple Current pk-pk]]/2,0,ABS(Table2[[#This Row],[Iout]]-Table2[[#This Row],[Ripple Current pk-pk]]/2)*Vsd_Q1*Deadtime*Fsw),0)</f>
        <v>0</v>
      </c>
      <c r="AK58" s="354">
        <f>(Table2[[#This Row],[Dead Time Loss BuCtrl]]+Table2[[#This Row],[Transition Loss BuCtrl]]+Table2[[#This Row],[RDS(on) Loss BuCtrl]]*(1+RdsonTopTc*Ta-RdsonTopTc*25))/(1-Table2[[#This Row],[RDS(on) Loss BuCtrl]]*RdsonTopTc*ThetaJA_Q1)</f>
        <v>1.361735935733497</v>
      </c>
      <c r="AL58" s="354">
        <f>Table2[[#This Row],[Irms Lf]]</f>
        <v>5.9240993639398525</v>
      </c>
      <c r="AM58" s="354">
        <f>Rdson2*Table2[[#This Row],[Irms BuSync]]^2</f>
        <v>0.14739880375009679</v>
      </c>
      <c r="AN58"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0.282912</v>
      </c>
      <c r="AO58" s="354">
        <f>(Table2[[#This Row],[Deadtime Loss BuSync]]+Table2[[#This Row],[RDS(on) Loss BuSync]]*(1+RdsonBotTc*Ta-RdsonBotTc*25))/(1-Table2[[#This Row],[RDS(on) Loss BuSync]]*RdsonBotTc*ThetaJA_Q2)</f>
        <v>0.44609161256324242</v>
      </c>
      <c r="AP58" s="354">
        <f>Table2[[#This Row],[Irms Lf]]</f>
        <v>5.9240993639398525</v>
      </c>
      <c r="AQ58" s="354">
        <f>Rdson4*Table2[[#This Row],[Irms BoCtlr]]^2</f>
        <v>0.14739880375009679</v>
      </c>
      <c r="AR58" s="354">
        <f>CHOOSE(Table2[[#This Row],[Mode Digit]], 0, (Vout*Table2[[#This Row],[Iin]]/2)*(Fsw)*(Tr_boost+Tf_boost), (Vout*Iout/2)*(Fsw/1)*(Tr_boost+Tf_boost))</f>
        <v>0</v>
      </c>
      <c r="AS58" s="354">
        <f>IF(Table2[[#This Row],[Vin]]&gt;Vout, 0, IF(Table2[[#This Row],[Iin]]&gt;Table2[[#This Row],[Ripple Current pk-pk]]/2,0,ABS(Table2[[#This Row],[Iin]]-Table2[[#This Row],[Ripple Current pk-pk]]/2)*Vsd_Q4*Deadtime*Fsw))</f>
        <v>0</v>
      </c>
      <c r="AT58" s="354">
        <f>(Table2[[#This Row],[Dead Time Loss BoCtlr]]+Table2[[#This Row],[Transition Loss BoCtlr]]+Table2[[#This Row],[RDS(on) Loss BoCtlr]]*(1+RdsonTopTc*Ta-RdsonTopTc*25))/(1-Table2[[#This Row],[RDS(on) Loss BoCtlr]]*RdsonTopTc*ThetaJA_Q4)</f>
        <v>0.15280436717308143</v>
      </c>
      <c r="AU58" s="354">
        <f>Table2[[#This Row],[Irms Lf]]</f>
        <v>5.9240993639398525</v>
      </c>
      <c r="AV58" s="354">
        <f>Rdson3*Table2[[#This Row],[Irms BoSync]]^2</f>
        <v>0.14739880375009679</v>
      </c>
      <c r="AW58"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58" s="354">
        <f>(Table2[[#This Row],[Deadtime Loss BoSync]]+Table2[[#This Row],[RDS(on) Loss BoSync]]*(1+RdsonBotTc*Ta-RdsonBotTc*25))/(1-Table2[[#This Row],[RDS(on) Loss BoSync]]*RdsonBotTc*ThetaJA_Q3)</f>
        <v>0.15280436717308143</v>
      </c>
      <c r="AY58" s="354">
        <f>CHOOSE(Table2[[#This Row],[Mode Digit]], Rdson3*Table2[[#This Row],[Irms Lf]]^2, Rdson1*Table2[[#This Row],[Irms Lf]]^2, 0)</f>
        <v>0.14739880375009679</v>
      </c>
      <c r="AZ58" s="354">
        <f>CHOOSE(Table2[[#This Row],[Mode Digit]], 2*Deadtime*Fsw*IF(VfdSky_Q2&gt;0,VfdSky_Q2,0)*Table2[[#This Row],[Iout]], 2*Deadtime*Fsw*IF(VfdSky_Q3&gt;0,VfdSky_Q3,0)*Table2[[#This Row],[Iin]], 2*Deadtime*Fsw*IF(VfdSky_Q2&gt;0,VfdSky_Q2,0)*Table2[[#This Row],[Iout]]+2*Deadtime*Fsw*IF(VfdSky_Q3&gt;0,VfdSky_Q3,0)*Table2[[#This Row],[Iin]])</f>
        <v>0</v>
      </c>
      <c r="BA5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0.11745478752000001</v>
      </c>
      <c r="BB5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0.11745478752000001</v>
      </c>
      <c r="BC58" s="354">
        <f>CHOOSE(Table2[[#This Row],[Mode Digit]], Rs*Table2[[#This Row],[Irms BuSync]]^2, Rs*Table2[[#This Row],[Irms BoCtlr]]^2, Rs*(Table2[[#This Row],[Irms BuSync]]^2+Table2[[#This Row],[Irms BoCtlr]]^2))</f>
        <v>8.7737383184581422E-2</v>
      </c>
      <c r="BD58" s="354">
        <f t="shared" si="6"/>
        <v>1.44</v>
      </c>
      <c r="BE58" s="354">
        <f>IF(Vout&gt;8, Iq*Vout, Iq*Table2[[#This Row],[Vin]])</f>
        <v>4.3799999999999999E-2</v>
      </c>
      <c r="BF58" s="354">
        <f>CHOOSE(Table2[[#This Row],[Mode Digit]], (Qg_Q1+Qg_Q2)*Fsw, (Qg_Q3+Qg_Q4)*Fsw, (Qg_Q1+Qg_Q2+Qg_Q3+Qg_Q4)*Fsw)*IF(Vout&gt;8, Vout, Table2[[#This Row],[Vin]])</f>
        <v>0.47303999999999996</v>
      </c>
      <c r="BG58" s="354">
        <f t="shared" si="4"/>
        <v>0.45605042016806729</v>
      </c>
      <c r="BH58" s="354">
        <f>Table2[[#This Row],[IQ Loss]]+Table2[[#This Row],[Switching Current Loss]]</f>
        <v>0.51683999999999997</v>
      </c>
      <c r="BI58"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4.8814508793872236</v>
      </c>
      <c r="BJ58">
        <f>Vout*Table2[[#This Row],[Iout]]</f>
        <v>85.847999999999999</v>
      </c>
      <c r="BK58" s="550">
        <f>Table2[[#This Row],[Pout]]/(Table2[[#This Row],[Pout]]+Table2[[#This Row],[Total Loss]])</f>
        <v>0.94619772486139619</v>
      </c>
      <c r="BL58" s="559">
        <f>IF(Table2[[#This Row],[Vin]]&gt;Vout,ThetaJA_Q1*(Table2[[#This Row],[Total Control Bu MOSFET Loss]]+Table2[[#This Row],[Reverse Recovery Loss MOSFET D BUCK]]),ThetaJA_Q4*(Table2[[#This Row],[Total Control Bo MOSFET Loss]]+Table2[[#This Row],[Reverse Recovery Loss MOSFET D BOOST]]))</f>
        <v>88.751443395209833</v>
      </c>
      <c r="BM58" s="559">
        <f>IF(Table2[[#This Row],[Vin]]&gt;Vout, Table2[[#This Row],[Total Sync Bu MOSFET Loss]]*ThetaJA_Q2, ThetaJA_Q3*Table2[[#This Row],[Total Sync Bo MOSFET Loss]])</f>
        <v>26.765496753794544</v>
      </c>
      <c r="BN58" s="9"/>
      <c r="BO58" s="4">
        <f>Table2[[#This Row],[EFF, h]]*100</f>
        <v>94.619772486139624</v>
      </c>
      <c r="BP58" s="354">
        <f>Table2[[#This Row],[Total Inductor Loss]]</f>
        <v>0.47219238974730104</v>
      </c>
      <c r="BQ58" s="354">
        <f>Table2[[#This Row],[Total Control Bu MOSFET Loss]]+Table2[[#This Row],[Total Sync Bu MOSFET Loss]]+Table2[[#This Row],[Total Control Bo MOSFET Loss]]+Table2[[#This Row],[Total Sync Bo MOSFET Loss]]+Table2[[#This Row],[Reverse Recovery Loss MOSFET D BUCK]]+Table2[[#This Row],[Reverse Recovery Loss MOSFET D BOOST]]</f>
        <v>2.3483458576829017</v>
      </c>
      <c r="BR58" s="354">
        <f xml:space="preserve"> Table2[[#This Row],[Total Control Bu MOSFET Loss]]+Table2[[#This Row],[Reverse Recovery Loss MOSFET D BUCK]]*0.66</f>
        <v>1.4392560954966971</v>
      </c>
      <c r="BS58" s="354">
        <f>Table2[[#This Row],[Total Sync Bu MOSFET Loss]]+Table2[[#This Row],[Reverse Recovery Loss MOSFET D BUCK]]*0.33</f>
        <v>0.48485169244484244</v>
      </c>
      <c r="BT58" s="354">
        <f xml:space="preserve"> Table2[[#This Row],[Total Control Bo MOSFET Loss]]+Table2[[#This Row],[Reverse Recovery Loss MOSFET D BOOST]]*0.66</f>
        <v>0.23032452693628144</v>
      </c>
      <c r="BU58" s="354">
        <f xml:space="preserve"> Table2[[#This Row],[Total Sync Bo MOSFET Loss]]+Table2[[#This Row],[Reverse Recovery Loss MOSFET D BOOST]]*0.33</f>
        <v>0.19156444705468145</v>
      </c>
      <c r="BV58" s="354">
        <f>Table2[[#This Row],[Isense Shunt Loss]]</f>
        <v>8.7737383184581422E-2</v>
      </c>
      <c r="CB58" s="18"/>
      <c r="CC58" s="19"/>
    </row>
    <row r="59" spans="1:83" x14ac:dyDescent="0.2">
      <c r="A59" s="23" t="s">
        <v>229</v>
      </c>
      <c r="B59" s="71">
        <f>QrrSky_Q2*1000000000</f>
        <v>0</v>
      </c>
      <c r="C59" s="440" t="s">
        <v>69</v>
      </c>
      <c r="D59" s="74" t="s">
        <v>232</v>
      </c>
      <c r="G59">
        <v>50</v>
      </c>
      <c r="H59" s="555">
        <f t="shared" si="5"/>
        <v>20</v>
      </c>
      <c r="I59" s="4" t="str">
        <f>IF(Mode = 2,IF(Table2[[#This Row],[Vin]]&gt;Vout, "BUCK","BOOST"),IF(Table2[[#This Row],[Vin]]&gt;VIN_BB_to_buck, "BUCK", IF(Table2[[#This Row],[Vin]]&lt;=VIN_boost_to_BB,"BOOST","BUCK-BST")))</f>
        <v>BUCK</v>
      </c>
      <c r="J59">
        <f>IF(Table2[[#This Row],[Mode]]="BOOST",2, IF(Table2[[#This Row],[Mode]]="BUCK", 1,3))</f>
        <v>1</v>
      </c>
      <c r="K59" s="354">
        <f t="shared" si="7"/>
        <v>6</v>
      </c>
      <c r="L59" s="4">
        <f>Vout*Table2[[#This Row],[Iout]]/(Table2[[#This Row],[Vin]]*Efficiency)</f>
        <v>4.6105263157894738</v>
      </c>
      <c r="M59" s="711">
        <f>MIN(1/Fsw,CHOOSE(Table2[[#This Row],[Mode Digit]],(Vout+(Rdson2+Rs+Rdcr)*Table2[[#This Row],[Iout]])/(Table2[[#This Row],[Vin]]+(Rs+Rdson2-Rdson1)*Table2[[#This Row],[Iout]])/Fsw,(Vout+(Rdson3+Rdcr)*Table2[[#This Row],[Iin]]-Table2[[#This Row],[Vin]])/(Vout+(Rdson3-Rdson4-Rs)*Table2[[#This Row],[Iin]])/Fsw,t1_Ph_II))</f>
        <v>1.2220001665417602E-6</v>
      </c>
      <c r="N59" s="602">
        <f>CHOOSE(Table2[[#This Row],[Mode Digit]],1/Fsw-Table2[[#This Row],[t1_Ph_II]],1/Fsw-Table2[[#This Row],[t1_Ph_II]],(Vout/Fsw-Table2[[#This Row],[Vin]]*t1_Ph_II)/(Table2[[#This Row],[Vin]]+Vout))</f>
        <v>4.4466650012490642E-7</v>
      </c>
      <c r="O59" s="602">
        <f>1/Fsw-(Table2[[#This Row],[t1_Ph_II]]+Table2[[#This Row],[t2_Ph_I]])</f>
        <v>0</v>
      </c>
      <c r="P59"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4.7502271024004727</v>
      </c>
      <c r="Q59" s="4">
        <f>CHOOSE(Table2[[#This Row],[Mode Digit]],Table2[[#This Row],[I_0]]+1/Lf*(Table2[[#This Row],[Vin]]-Vout)*Table2[[#This Row],[t1_Ph_II]],Table2[[#This Row],[I_0]]+1/Lf*Table2[[#This Row],[Vin]]*Table2[[#This Row],[t1_Ph_II]],Table2[[#This Row],[I_0]]+(Table2[[#This Row],[Vin]]-Vout)/L*Table2[[#This Row],[t1_Ph_II]])</f>
        <v>7.2497728975995281</v>
      </c>
      <c r="R59" s="4">
        <f>CHOOSE(Table2[[#This Row],[Mode Digit]],0,0,Table2[[#This Row],[I_1]]+Table2[[#This Row],[Vin]]/L*Table2[[#This Row],[t2_Ph_I]])</f>
        <v>0</v>
      </c>
      <c r="S59" s="409">
        <f>Fsw*(Table2[[#This Row],[I_0]]*Table2[[#This Row],[t1_Ph_II]]+Table2[[#This Row],[I_1]]*Table2[[#This Row],[t2_Ph_I]]+Table2[[#This Row],[I_2]]*Table2[[#This Row],[t3_Ph_III]])</f>
        <v>5.4171056707923269</v>
      </c>
      <c r="T59" s="354">
        <f>MIN(1,CHOOSE(Table2[[#This Row],[Mode Digit]],(Vout+(Rdson2+Rs+Rdcr)*Table2[[#This Row],[Iout]])/(Table2[[#This Row],[Vin]]+(Rs+Rdson2-Rdson1)*Table2[[#This Row],[Iout]]),1,Fsw*Table2[[#This Row],[t2_Ph_I]]+Table2[[#This Row],[t1_Ph_II]]))</f>
        <v>0.73320009992505608</v>
      </c>
      <c r="U59" s="354">
        <f>MIN(1,CHOOSE(Table2[[#This Row],[Mode Digit]],0,(Vout+(Rdson3+Rdcr)*Table2[[#This Row],[Iin]]-Table2[[#This Row],[Vin]])/(Vout+(Rdson3-Rdson4-Rs)*Table2[[#This Row],[Iin]]),Fsw*Table2[[#This Row],[t1_Ph_II]]+Table2[[#This Row],[t3_Ph_III]]))</f>
        <v>0</v>
      </c>
      <c r="V59" s="4">
        <f>MAX(Table2[[#This Row],[I_0]:[I_2]])-MIN(Table2[[#This Row],[I_0]:[I_1]])</f>
        <v>2.4995457951990554</v>
      </c>
      <c r="W59"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6.0432312630350973</v>
      </c>
      <c r="X59" s="354">
        <f>(Table2[[#This Row],[Irms Lf]]^2*Rdcr*(1+Ltc*Ta-Ltc*25))/(1-Table2[[#This Row],[Irms Lf]]^2*Rdcr*Ltc*ThetaCa)</f>
        <v>0.2154710168804046</v>
      </c>
      <c r="Y59" s="354">
        <f>ABS(7.759*10^-3*Fsw^0.9458*(0.00787*Table2[[#This Row],[Ripple Current pk-pk]])^2.304)</f>
        <v>0.26532547948363877</v>
      </c>
      <c r="Z59" s="354">
        <f>Table2[[#This Row],[DCR    Loss]]+Table2[[#This Row],[Core Loss]]</f>
        <v>0.48079649636404337</v>
      </c>
      <c r="AA59" s="4">
        <f>IF(Table2[[#This Row],[Vin]]&gt;Vout, Table2[[#This Row],[Ripple Current pk-pk]]/SQRT(12), SQRT(Table2[[#This Row],[Duty Cycle BOOST Leg]]/(1-Table2[[#This Row],[Duty Cycle BOOST Leg]]))*SQRT(Table2[[#This Row],[Iout]]^2+(Table2[[#This Row],[Ripple Current pk-pk]]^2)/12))</f>
        <v>0.72155671885498596</v>
      </c>
      <c r="AB59" s="354">
        <f>RCoutEsr*Table2[[#This Row],[Irms Cout]]^2</f>
        <v>2.603220492623866E-3</v>
      </c>
      <c r="AC59" s="354">
        <f>Table2[[#This Row],[Cout ESR Loss]]</f>
        <v>2.603220492623866E-3</v>
      </c>
      <c r="AD59" s="4">
        <f>IF(Table2[[#This Row],[Vin]]&gt;Vout, SQRT(Table2[[#This Row],[Duty Cycle BUCK Leg]]*(1-Table2[[#This Row],[Duty Cycle BUCK Leg]]))*SQRT(Table2[[#This Row],[Iout]]^2+(Table2[[#This Row],[Ripple Current pk-pk]]^2)/12), Table2[[#This Row],[Ripple Current pk-pk]]/SQRT(12))</f>
        <v>2.6728420997627165</v>
      </c>
      <c r="AE59" s="354">
        <f>RCinEsr*Table2[[#This Row],[Irms Cin]]^2</f>
        <v>1.4288169780527934E-2</v>
      </c>
      <c r="AF59" s="549">
        <f>Table2[[#This Row],[Cin ESR Loss]]</f>
        <v>1.4288169780527934E-2</v>
      </c>
      <c r="AG59" s="354">
        <f>Table2[[#This Row],[Irms Lf]]</f>
        <v>6.0432312630350973</v>
      </c>
      <c r="AH59" s="354">
        <f>Rdson1*Table2[[#This Row],[Irms BuCtrl]]^2</f>
        <v>0.1533867052138041</v>
      </c>
      <c r="AI59" s="354">
        <f>CHOOSE(Table2[[#This Row],[Mode Digit]], (Table2[[#This Row],[Vin]]*Table2[[#This Row],[Iout]]/2)*(Fsw)*(Tr_buck+Tf_buck), 0, (Table2[[#This Row],[Vin]]*Table2[[#This Row],[Avg IL]]/2)*(Fsw/1)*(Tr_buck+Tf_buck))</f>
        <v>1.1899640331380079</v>
      </c>
      <c r="AJ59">
        <f>IF(Table2[[#This Row],[Vin]]&gt;Vout, IF(Table2[[#This Row],[Iout]]&gt;Table2[[#This Row],[Ripple Current pk-pk]]/2,0,ABS(Table2[[#This Row],[Iout]]-Table2[[#This Row],[Ripple Current pk-pk]]/2)*Vsd_Q1*Deadtime*Fsw),0)</f>
        <v>0</v>
      </c>
      <c r="AK59" s="354">
        <f>(Table2[[#This Row],[Dead Time Loss BuCtrl]]+Table2[[#This Row],[Transition Loss BuCtrl]]+Table2[[#This Row],[RDS(on) Loss BuCtrl]]*(1+RdsonTopTc*Ta-RdsonTopTc*25))/(1-Table2[[#This Row],[RDS(on) Loss BuCtrl]]*RdsonTopTc*ThetaJA_Q1)</f>
        <v>1.394693317409696</v>
      </c>
      <c r="AL59" s="354">
        <f>Table2[[#This Row],[Irms Lf]]</f>
        <v>6.0432312630350973</v>
      </c>
      <c r="AM59" s="354">
        <f>Rdson2*Table2[[#This Row],[Irms BuSync]]^2</f>
        <v>0.1533867052138041</v>
      </c>
      <c r="AN59"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0.28868571428571427</v>
      </c>
      <c r="AO59" s="354">
        <f>(Table2[[#This Row],[Deadtime Loss BuSync]]+Table2[[#This Row],[RDS(on) Loss BuSync]]*(1+RdsonBotTc*Ta-RdsonBotTc*25))/(1-Table2[[#This Row],[RDS(on) Loss BuSync]]*RdsonBotTc*ThetaJA_Q2)</f>
        <v>0.45896833320207958</v>
      </c>
      <c r="AP59" s="354">
        <f>Table2[[#This Row],[Irms Lf]]</f>
        <v>6.0432312630350973</v>
      </c>
      <c r="AQ59" s="354">
        <f>Rdson4*Table2[[#This Row],[Irms BoCtlr]]^2</f>
        <v>0.1533867052138041</v>
      </c>
      <c r="AR59" s="354">
        <f>CHOOSE(Table2[[#This Row],[Mode Digit]], 0, (Vout*Table2[[#This Row],[Iin]]/2)*(Fsw)*(Tr_boost+Tf_boost), (Vout*Iout/2)*(Fsw/1)*(Tr_boost+Tf_boost))</f>
        <v>0</v>
      </c>
      <c r="AS59" s="354">
        <f>IF(Table2[[#This Row],[Vin]]&gt;Vout, 0, IF(Table2[[#This Row],[Iin]]&gt;Table2[[#This Row],[Ripple Current pk-pk]]/2,0,ABS(Table2[[#This Row],[Iin]]-Table2[[#This Row],[Ripple Current pk-pk]]/2)*Vsd_Q4*Deadtime*Fsw))</f>
        <v>0</v>
      </c>
      <c r="AT59" s="354">
        <f>(Table2[[#This Row],[Dead Time Loss BoCtlr]]+Table2[[#This Row],[Transition Loss BoCtlr]]+Table2[[#This Row],[RDS(on) Loss BoCtlr]]*(1+RdsonTopTc*Ta-RdsonTopTc*25))/(1-Table2[[#This Row],[RDS(on) Loss BoCtlr]]*RdsonTopTc*ThetaJA_Q4)</f>
        <v>0.15924911241248585</v>
      </c>
      <c r="AU59" s="354">
        <f>Table2[[#This Row],[Irms Lf]]</f>
        <v>6.0432312630350973</v>
      </c>
      <c r="AV59" s="354">
        <f>Rdson3*Table2[[#This Row],[Irms BoSync]]^2</f>
        <v>0.1533867052138041</v>
      </c>
      <c r="AW59"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59" s="354">
        <f>(Table2[[#This Row],[Deadtime Loss BoSync]]+Table2[[#This Row],[RDS(on) Loss BoSync]]*(1+RdsonBotTc*Ta-RdsonBotTc*25))/(1-Table2[[#This Row],[RDS(on) Loss BoSync]]*RdsonBotTc*ThetaJA_Q3)</f>
        <v>0.15924911241248585</v>
      </c>
      <c r="AY59" s="354">
        <f>CHOOSE(Table2[[#This Row],[Mode Digit]], Rdson3*Table2[[#This Row],[Irms Lf]]^2, Rdson1*Table2[[#This Row],[Irms Lf]]^2, 0)</f>
        <v>0.1533867052138041</v>
      </c>
      <c r="AZ59" s="354">
        <f>CHOOSE(Table2[[#This Row],[Mode Digit]], 2*Deadtime*Fsw*IF(VfdSky_Q2&gt;0,VfdSky_Q2,0)*Table2[[#This Row],[Iout]], 2*Deadtime*Fsw*IF(VfdSky_Q3&gt;0,VfdSky_Q3,0)*Table2[[#This Row],[Iin]], 2*Deadtime*Fsw*IF(VfdSky_Q2&gt;0,VfdSky_Q2,0)*Table2[[#This Row],[Iout]]+2*Deadtime*Fsw*IF(VfdSky_Q3&gt;0,VfdSky_Q3,0)*Table2[[#This Row],[Iin]])</f>
        <v>0</v>
      </c>
      <c r="BA5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0.11984880000000001</v>
      </c>
      <c r="BB5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0.11984880000000001</v>
      </c>
      <c r="BC59" s="354">
        <f>CHOOSE(Table2[[#This Row],[Mode Digit]], Rs*Table2[[#This Row],[Irms BuSync]]^2, Rs*Table2[[#This Row],[Irms BoCtlr]]^2, Rs*(Table2[[#This Row],[Irms BuSync]]^2+Table2[[#This Row],[Irms BoCtlr]]^2))</f>
        <v>9.1301610246311948E-2</v>
      </c>
      <c r="BD59" s="354">
        <f t="shared" si="6"/>
        <v>1.44</v>
      </c>
      <c r="BE59" s="354">
        <f>IF(Vout&gt;8, Iq*Vout, Iq*Table2[[#This Row],[Vin]])</f>
        <v>4.3799999999999999E-2</v>
      </c>
      <c r="BF59" s="354">
        <f>CHOOSE(Table2[[#This Row],[Mode Digit]], (Qg_Q1+Qg_Q2)*Fsw, (Qg_Q3+Qg_Q4)*Fsw, (Qg_Q1+Qg_Q2+Qg_Q3+Qg_Q4)*Fsw)*IF(Vout&gt;8, Vout, Table2[[#This Row],[Vin]])</f>
        <v>0.47303999999999996</v>
      </c>
      <c r="BG59" s="354">
        <f t="shared" si="4"/>
        <v>0.45605042016806729</v>
      </c>
      <c r="BH59" s="354">
        <f>Table2[[#This Row],[IQ Loss]]+Table2[[#This Row],[Switching Current Loss]]</f>
        <v>0.51683999999999997</v>
      </c>
      <c r="BI59"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4.9576869723202552</v>
      </c>
      <c r="BJ59">
        <f>Vout*Table2[[#This Row],[Iout]]</f>
        <v>87.6</v>
      </c>
      <c r="BK59" s="550">
        <f>Table2[[#This Row],[Pout]]/(Table2[[#This Row],[Pout]]+Table2[[#This Row],[Total Loss]])</f>
        <v>0.94643678840199541</v>
      </c>
      <c r="BL59" s="559">
        <f>IF(Table2[[#This Row],[Vin]]&gt;Vout,ThetaJA_Q1*(Table2[[#This Row],[Total Control Bu MOSFET Loss]]+Table2[[#This Row],[Reverse Recovery Loss MOSFET D BUCK]]),ThetaJA_Q4*(Table2[[#This Row],[Total Control Bo MOSFET Loss]]+Table2[[#This Row],[Reverse Recovery Loss MOSFET D BOOST]]))</f>
        <v>90.872527044581759</v>
      </c>
      <c r="BM59" s="559">
        <f>IF(Table2[[#This Row],[Vin]]&gt;Vout, Table2[[#This Row],[Total Sync Bu MOSFET Loss]]*ThetaJA_Q2, ThetaJA_Q3*Table2[[#This Row],[Total Sync Bo MOSFET Loss]])</f>
        <v>27.538099992124774</v>
      </c>
      <c r="BN59" s="9"/>
      <c r="BO59" s="4">
        <f>Table2[[#This Row],[EFF, h]]*100</f>
        <v>94.643678840199541</v>
      </c>
      <c r="BP59" s="354">
        <f>Table2[[#This Row],[Total Inductor Loss]]</f>
        <v>0.48079649636404337</v>
      </c>
      <c r="BQ59" s="354">
        <f>Table2[[#This Row],[Total Control Bu MOSFET Loss]]+Table2[[#This Row],[Total Sync Bu MOSFET Loss]]+Table2[[#This Row],[Total Control Bo MOSFET Loss]]+Table2[[#This Row],[Total Sync Bo MOSFET Loss]]+Table2[[#This Row],[Reverse Recovery Loss MOSFET D BUCK]]+Table2[[#This Row],[Reverse Recovery Loss MOSFET D BOOST]]</f>
        <v>2.4118574754367477</v>
      </c>
      <c r="BR59" s="354">
        <f xml:space="preserve"> Table2[[#This Row],[Total Control Bu MOSFET Loss]]+Table2[[#This Row],[Reverse Recovery Loss MOSFET D BUCK]]*0.66</f>
        <v>1.4737935254096961</v>
      </c>
      <c r="BS59" s="354">
        <f>Table2[[#This Row],[Total Sync Bu MOSFET Loss]]+Table2[[#This Row],[Reverse Recovery Loss MOSFET D BUCK]]*0.33</f>
        <v>0.49851843720207956</v>
      </c>
      <c r="BT59" s="354">
        <f xml:space="preserve"> Table2[[#This Row],[Total Control Bo MOSFET Loss]]+Table2[[#This Row],[Reverse Recovery Loss MOSFET D BOOST]]*0.66</f>
        <v>0.23834932041248585</v>
      </c>
      <c r="BU59" s="354">
        <f xml:space="preserve"> Table2[[#This Row],[Total Sync Bo MOSFET Loss]]+Table2[[#This Row],[Reverse Recovery Loss MOSFET D BOOST]]*0.33</f>
        <v>0.19879921641248585</v>
      </c>
      <c r="BV59" s="354">
        <f>Table2[[#This Row],[Isense Shunt Loss]]</f>
        <v>9.1301610246311948E-2</v>
      </c>
      <c r="CB59" s="18"/>
      <c r="CC59" s="19"/>
    </row>
    <row r="60" spans="1:83" x14ac:dyDescent="0.2">
      <c r="A60" s="23" t="s">
        <v>230</v>
      </c>
      <c r="B60" s="71">
        <f>Ireverse</f>
        <v>0</v>
      </c>
      <c r="C60" s="440" t="s">
        <v>68</v>
      </c>
      <c r="D60" s="74" t="s">
        <v>233</v>
      </c>
      <c r="E60" s="2"/>
      <c r="G60">
        <v>51</v>
      </c>
      <c r="H60" s="555">
        <f t="shared" si="5"/>
        <v>20</v>
      </c>
      <c r="I60" s="4" t="str">
        <f>IF(Mode = 2,IF(Table2[[#This Row],[Vin]]&gt;Vout, "BUCK","BOOST"),IF(Table2[[#This Row],[Vin]]&gt;VIN_BB_to_buck, "BUCK", IF(Table2[[#This Row],[Vin]]&lt;=VIN_boost_to_BB,"BOOST","BUCK-BST")))</f>
        <v>BUCK</v>
      </c>
      <c r="J60">
        <f>IF(Table2[[#This Row],[Mode]]="BOOST",2, IF(Table2[[#This Row],[Mode]]="BUCK", 1,3))</f>
        <v>1</v>
      </c>
      <c r="K60" s="354">
        <f t="shared" si="7"/>
        <v>6.12</v>
      </c>
      <c r="L60" s="4">
        <f>Vout*Table2[[#This Row],[Iout]]/(Table2[[#This Row],[Vin]]*Efficiency)</f>
        <v>4.7027368421052635</v>
      </c>
      <c r="M60" s="711">
        <f>MIN(1/Fsw,CHOOSE(Table2[[#This Row],[Mode Digit]],(Vout+(Rdson2+Rs+Rdcr)*Table2[[#This Row],[Iout]])/(Table2[[#This Row],[Vin]]+(Rs+Rdson2-Rdson1)*Table2[[#This Row],[Iout]])/Fsw,(Vout+(Rdson3+Rdcr)*Table2[[#This Row],[Iin]]-Table2[[#This Row],[Vin]])/(Vout+(Rdson3-Rdson4-Rs)*Table2[[#This Row],[Iin]])/Fsw,t1_Ph_II))</f>
        <v>1.2221067549990924E-6</v>
      </c>
      <c r="N60" s="602">
        <f>CHOOSE(Table2[[#This Row],[Mode Digit]],1/Fsw-Table2[[#This Row],[t1_Ph_II]],1/Fsw-Table2[[#This Row],[t1_Ph_II]],(Vout/Fsw-Table2[[#This Row],[Vin]]*t1_Ph_II)/(Table2[[#This Row],[Vin]]+Vout))</f>
        <v>4.445599116675743E-7</v>
      </c>
      <c r="O60" s="602">
        <f>1/Fsw-(Table2[[#This Row],[t1_Ph_II]]+Table2[[#This Row],[t2_Ph_I]])</f>
        <v>0</v>
      </c>
      <c r="P60"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4.8701180914782007</v>
      </c>
      <c r="Q60" s="4">
        <f>CHOOSE(Table2[[#This Row],[Mode Digit]],Table2[[#This Row],[I_0]]+1/Lf*(Table2[[#This Row],[Vin]]-Vout)*Table2[[#This Row],[t1_Ph_II]],Table2[[#This Row],[I_0]]+1/Lf*Table2[[#This Row],[Vin]]*Table2[[#This Row],[t1_Ph_II]],Table2[[#This Row],[I_0]]+(Table2[[#This Row],[Vin]]-Vout)/L*Table2[[#This Row],[t1_Ph_II]])</f>
        <v>7.3698819085217995</v>
      </c>
      <c r="R60" s="4">
        <f>CHOOSE(Table2[[#This Row],[Mode Digit]],0,0,Table2[[#This Row],[I_1]]+Table2[[#This Row],[Vin]]/L*Table2[[#This Row],[t2_Ph_I]])</f>
        <v>0</v>
      </c>
      <c r="S60" s="409">
        <f>Fsw*(Table2[[#This Row],[I_0]]*Table2[[#This Row],[t1_Ph_II]]+Table2[[#This Row],[I_1]]*Table2[[#This Row],[t2_Ph_I]]+Table2[[#This Row],[I_2]]*Table2[[#This Row],[t3_Ph_III]])</f>
        <v>5.5368949604950215</v>
      </c>
      <c r="T60" s="354">
        <f>MIN(1,CHOOSE(Table2[[#This Row],[Mode Digit]],(Vout+(Rdson2+Rs+Rdcr)*Table2[[#This Row],[Iout]])/(Table2[[#This Row],[Vin]]+(Rs+Rdson2-Rdson1)*Table2[[#This Row],[Iout]]),1,Fsw*Table2[[#This Row],[t2_Ph_I]]+Table2[[#This Row],[t1_Ph_II]]))</f>
        <v>0.73326405299945541</v>
      </c>
      <c r="U60" s="354">
        <f>MIN(1,CHOOSE(Table2[[#This Row],[Mode Digit]],0,(Vout+(Rdson3+Rdcr)*Table2[[#This Row],[Iin]]-Table2[[#This Row],[Vin]])/(Vout+(Rdson3-Rdson4-Rs)*Table2[[#This Row],[Iin]]),Fsw*Table2[[#This Row],[t1_Ph_II]]+Table2[[#This Row],[t3_Ph_III]]))</f>
        <v>0</v>
      </c>
      <c r="V60" s="4">
        <f>MAX(Table2[[#This Row],[I_0]:[I_2]])-MIN(Table2[[#This Row],[I_0]:[I_1]])</f>
        <v>2.4997638170435987</v>
      </c>
      <c r="W60"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6.1623968493125059</v>
      </c>
      <c r="X60" s="354">
        <f>(Table2[[#This Row],[Irms Lf]]^2*Rdcr*(1+Ltc*Ta-Ltc*25))/(1-Table2[[#This Row],[Irms Lf]]^2*Rdcr*Ltc*ThetaCa)</f>
        <v>0.22420640312732368</v>
      </c>
      <c r="Y60" s="354">
        <f>ABS(7.759*10^-3*Fsw^0.9458*(0.00787*Table2[[#This Row],[Ripple Current pk-pk]])^2.304)</f>
        <v>0.26537880376878248</v>
      </c>
      <c r="Z60" s="354">
        <f>Table2[[#This Row],[DCR    Loss]]+Table2[[#This Row],[Core Loss]]</f>
        <v>0.48958520689610618</v>
      </c>
      <c r="AA60" s="4">
        <f>IF(Table2[[#This Row],[Vin]]&gt;Vout, Table2[[#This Row],[Ripple Current pk-pk]]/SQRT(12), SQRT(Table2[[#This Row],[Duty Cycle BOOST Leg]]/(1-Table2[[#This Row],[Duty Cycle BOOST Leg]]))*SQRT(Table2[[#This Row],[Iout]]^2+(Table2[[#This Row],[Ripple Current pk-pk]]^2)/12))</f>
        <v>0.72161965634030412</v>
      </c>
      <c r="AB60" s="354">
        <f>RCoutEsr*Table2[[#This Row],[Irms Cout]]^2</f>
        <v>2.6036746420834934E-3</v>
      </c>
      <c r="AC60" s="354">
        <f>Table2[[#This Row],[Cout ESR Loss]]</f>
        <v>2.6036746420834934E-3</v>
      </c>
      <c r="AD60" s="4">
        <f>IF(Table2[[#This Row],[Vin]]&gt;Vout, SQRT(Table2[[#This Row],[Duty Cycle BUCK Leg]]*(1-Table2[[#This Row],[Duty Cycle BUCK Leg]]))*SQRT(Table2[[#This Row],[Iout]]^2+(Table2[[#This Row],[Ripple Current pk-pk]]^2)/12), Table2[[#This Row],[Ripple Current pk-pk]]/SQRT(12))</f>
        <v>2.7253396473279961</v>
      </c>
      <c r="AE60" s="354">
        <f>RCinEsr*Table2[[#This Row],[Irms Cin]]^2</f>
        <v>1.4854952386595772E-2</v>
      </c>
      <c r="AF60" s="549">
        <f>Table2[[#This Row],[Cin ESR Loss]]</f>
        <v>1.4854952386595772E-2</v>
      </c>
      <c r="AG60" s="354">
        <f>Table2[[#This Row],[Irms Lf]]</f>
        <v>6.1623968493125059</v>
      </c>
      <c r="AH60" s="354">
        <f>Rdson1*Table2[[#This Row],[Irms BuCtrl]]^2</f>
        <v>0.15949556669935017</v>
      </c>
      <c r="AI60" s="354">
        <f>CHOOSE(Table2[[#This Row],[Mode Digit]], (Table2[[#This Row],[Vin]]*Table2[[#This Row],[Iout]]/2)*(Fsw)*(Tr_buck+Tf_buck), 0, (Table2[[#This Row],[Vin]]*Table2[[#This Row],[Avg IL]]/2)*(Fsw/1)*(Tr_buck+Tf_buck))</f>
        <v>1.213763313800768</v>
      </c>
      <c r="AJ60">
        <f>IF(Table2[[#This Row],[Vin]]&gt;Vout, IF(Table2[[#This Row],[Iout]]&gt;Table2[[#This Row],[Ripple Current pk-pk]]/2,0,ABS(Table2[[#This Row],[Iout]]-Table2[[#This Row],[Ripple Current pk-pk]]/2)*Vsd_Q1*Deadtime*Fsw),0)</f>
        <v>0</v>
      </c>
      <c r="AK60" s="354">
        <f>(Table2[[#This Row],[Dead Time Loss BuCtrl]]+Table2[[#This Row],[Transition Loss BuCtrl]]+Table2[[#This Row],[RDS(on) Loss BuCtrl]]*(1+RdsonTopTc*Ta-RdsonTopTc*25))/(1-Table2[[#This Row],[RDS(on) Loss BuCtrl]]*RdsonTopTc*ThetaJA_Q1)</f>
        <v>1.4279180647241378</v>
      </c>
      <c r="AL60" s="354">
        <f>Table2[[#This Row],[Irms Lf]]</f>
        <v>6.1623968493125059</v>
      </c>
      <c r="AM60" s="354">
        <f>Rdson2*Table2[[#This Row],[Irms BuSync]]^2</f>
        <v>0.15949556669935017</v>
      </c>
      <c r="AN60"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0.29445942857142859</v>
      </c>
      <c r="AO60" s="354">
        <f>(Table2[[#This Row],[Deadtime Loss BuSync]]+Table2[[#This Row],[RDS(on) Loss BuSync]]*(1+RdsonBotTc*Ta-RdsonBotTc*25))/(1-Table2[[#This Row],[RDS(on) Loss BuSync]]*RdsonBotTc*ThetaJA_Q2)</f>
        <v>0.47202355471594554</v>
      </c>
      <c r="AP60" s="354">
        <f>Table2[[#This Row],[Irms Lf]]</f>
        <v>6.1623968493125059</v>
      </c>
      <c r="AQ60" s="354">
        <f>Rdson4*Table2[[#This Row],[Irms BoCtlr]]^2</f>
        <v>0.15949556669935017</v>
      </c>
      <c r="AR60" s="354">
        <f>CHOOSE(Table2[[#This Row],[Mode Digit]], 0, (Vout*Table2[[#This Row],[Iin]]/2)*(Fsw)*(Tr_boost+Tf_boost), (Vout*Iout/2)*(Fsw/1)*(Tr_boost+Tf_boost))</f>
        <v>0</v>
      </c>
      <c r="AS60" s="354">
        <f>IF(Table2[[#This Row],[Vin]]&gt;Vout, 0, IF(Table2[[#This Row],[Iin]]&gt;Table2[[#This Row],[Ripple Current pk-pk]]/2,0,ABS(Table2[[#This Row],[Iin]]-Table2[[#This Row],[Ripple Current pk-pk]]/2)*Vsd_Q4*Deadtime*Fsw))</f>
        <v>0</v>
      </c>
      <c r="AT60" s="354">
        <f>(Table2[[#This Row],[Dead Time Loss BoCtlr]]+Table2[[#This Row],[Transition Loss BoCtlr]]+Table2[[#This Row],[RDS(on) Loss BoCtlr]]*(1+RdsonTopTc*Ta-RdsonTopTc*25))/(1-Table2[[#This Row],[RDS(on) Loss BoCtlr]]*RdsonTopTc*ThetaJA_Q4)</f>
        <v>0.16584389452517082</v>
      </c>
      <c r="AU60" s="354">
        <f>Table2[[#This Row],[Irms Lf]]</f>
        <v>6.1623968493125059</v>
      </c>
      <c r="AV60" s="354">
        <f>Rdson3*Table2[[#This Row],[Irms BoSync]]^2</f>
        <v>0.15949556669935017</v>
      </c>
      <c r="AW60"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60" s="354">
        <f>(Table2[[#This Row],[Deadtime Loss BoSync]]+Table2[[#This Row],[RDS(on) Loss BoSync]]*(1+RdsonBotTc*Ta-RdsonBotTc*25))/(1-Table2[[#This Row],[RDS(on) Loss BoSync]]*RdsonBotTc*ThetaJA_Q3)</f>
        <v>0.16584389452517082</v>
      </c>
      <c r="AY60" s="354">
        <f>CHOOSE(Table2[[#This Row],[Mode Digit]], Rdson3*Table2[[#This Row],[Irms Lf]]^2, Rdson1*Table2[[#This Row],[Irms Lf]]^2, 0)</f>
        <v>0.15949556669935017</v>
      </c>
      <c r="AZ60" s="354">
        <f>CHOOSE(Table2[[#This Row],[Mode Digit]], 2*Deadtime*Fsw*IF(VfdSky_Q2&gt;0,VfdSky_Q2,0)*Table2[[#This Row],[Iout]], 2*Deadtime*Fsw*IF(VfdSky_Q3&gt;0,VfdSky_Q3,0)*Table2[[#This Row],[Iin]], 2*Deadtime*Fsw*IF(VfdSky_Q2&gt;0,VfdSky_Q2,0)*Table2[[#This Row],[Iout]]+2*Deadtime*Fsw*IF(VfdSky_Q3&gt;0,VfdSky_Q3,0)*Table2[[#This Row],[Iin]])</f>
        <v>0</v>
      </c>
      <c r="BA6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0.12224269152</v>
      </c>
      <c r="BB6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0.12224269152</v>
      </c>
      <c r="BC60" s="354">
        <f>CHOOSE(Table2[[#This Row],[Mode Digit]], Rs*Table2[[#This Row],[Irms BuSync]]^2, Rs*Table2[[#This Row],[Irms BoCtlr]]^2, Rs*(Table2[[#This Row],[Irms BuSync]]^2+Table2[[#This Row],[Irms BoCtlr]]^2))</f>
        <v>9.493783732104176E-2</v>
      </c>
      <c r="BD60" s="354">
        <f t="shared" si="6"/>
        <v>1.44</v>
      </c>
      <c r="BE60" s="354">
        <f>IF(Vout&gt;8, Iq*Vout, Iq*Table2[[#This Row],[Vin]])</f>
        <v>4.3799999999999999E-2</v>
      </c>
      <c r="BF60" s="354">
        <f>CHOOSE(Table2[[#This Row],[Mode Digit]], (Qg_Q1+Qg_Q2)*Fsw, (Qg_Q3+Qg_Q4)*Fsw, (Qg_Q1+Qg_Q2+Qg_Q3+Qg_Q4)*Fsw)*IF(Vout&gt;8, Vout, Table2[[#This Row],[Vin]])</f>
        <v>0.47303999999999996</v>
      </c>
      <c r="BG60" s="354">
        <f t="shared" si="4"/>
        <v>0.45605042016806729</v>
      </c>
      <c r="BH60" s="354">
        <f>Table2[[#This Row],[IQ Loss]]+Table2[[#This Row],[Switching Current Loss]]</f>
        <v>0.51683999999999997</v>
      </c>
      <c r="BI60"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5.034936462776253</v>
      </c>
      <c r="BJ60">
        <f>Vout*Table2[[#This Row],[Iout]]</f>
        <v>89.352000000000004</v>
      </c>
      <c r="BK60" s="550">
        <f>Table2[[#This Row],[Pout]]/(Table2[[#This Row],[Pout]]+Table2[[#This Row],[Total Loss]])</f>
        <v>0.94665642671047068</v>
      </c>
      <c r="BL60" s="559">
        <f>IF(Table2[[#This Row],[Vin]]&gt;Vout,ThetaJA_Q1*(Table2[[#This Row],[Total Control Bu MOSFET Loss]]+Table2[[#This Row],[Reverse Recovery Loss MOSFET D BUCK]]),ThetaJA_Q4*(Table2[[#This Row],[Total Control Bo MOSFET Loss]]+Table2[[#This Row],[Reverse Recovery Loss MOSFET D BOOST]]))</f>
        <v>93.009645374648272</v>
      </c>
      <c r="BM60" s="559">
        <f>IF(Table2[[#This Row],[Vin]]&gt;Vout, Table2[[#This Row],[Total Sync Bu MOSFET Loss]]*ThetaJA_Q2, ThetaJA_Q3*Table2[[#This Row],[Total Sync Bo MOSFET Loss]])</f>
        <v>28.321413282956733</v>
      </c>
      <c r="BN60" s="9"/>
      <c r="BO60" s="4">
        <f>Table2[[#This Row],[EFF, h]]*100</f>
        <v>94.665642671047067</v>
      </c>
      <c r="BP60" s="354">
        <f>Table2[[#This Row],[Total Inductor Loss]]</f>
        <v>0.48958520689610618</v>
      </c>
      <c r="BQ60" s="354">
        <f>Table2[[#This Row],[Total Control Bu MOSFET Loss]]+Table2[[#This Row],[Total Sync Bu MOSFET Loss]]+Table2[[#This Row],[Total Control Bo MOSFET Loss]]+Table2[[#This Row],[Total Sync Bo MOSFET Loss]]+Table2[[#This Row],[Reverse Recovery Loss MOSFET D BUCK]]+Table2[[#This Row],[Reverse Recovery Loss MOSFET D BOOST]]</f>
        <v>2.4761147915304251</v>
      </c>
      <c r="BR60" s="354">
        <f xml:space="preserve"> Table2[[#This Row],[Total Control Bu MOSFET Loss]]+Table2[[#This Row],[Reverse Recovery Loss MOSFET D BUCK]]*0.66</f>
        <v>1.5085982411273378</v>
      </c>
      <c r="BS60" s="354">
        <f>Table2[[#This Row],[Total Sync Bu MOSFET Loss]]+Table2[[#This Row],[Reverse Recovery Loss MOSFET D BUCK]]*0.33</f>
        <v>0.51236364291754555</v>
      </c>
      <c r="BT60" s="354">
        <f xml:space="preserve"> Table2[[#This Row],[Total Control Bo MOSFET Loss]]+Table2[[#This Row],[Reverse Recovery Loss MOSFET D BOOST]]*0.66</f>
        <v>0.24652407092837081</v>
      </c>
      <c r="BU60" s="354">
        <f xml:space="preserve"> Table2[[#This Row],[Total Sync Bo MOSFET Loss]]+Table2[[#This Row],[Reverse Recovery Loss MOSFET D BOOST]]*0.33</f>
        <v>0.20618398272677083</v>
      </c>
      <c r="BV60" s="354">
        <f>Table2[[#This Row],[Isense Shunt Loss]]</f>
        <v>9.493783732104176E-2</v>
      </c>
      <c r="CB60" s="18"/>
      <c r="CC60" s="19"/>
    </row>
    <row r="61" spans="1:83" x14ac:dyDescent="0.2">
      <c r="A61" s="24" t="s">
        <v>119</v>
      </c>
      <c r="B61" s="15" t="s">
        <v>113</v>
      </c>
      <c r="C61" s="24" t="s">
        <v>80</v>
      </c>
      <c r="D61" s="24" t="s">
        <v>245</v>
      </c>
      <c r="G61">
        <v>52</v>
      </c>
      <c r="H61" s="555">
        <f t="shared" si="5"/>
        <v>20</v>
      </c>
      <c r="I61" s="4" t="str">
        <f>IF(Mode = 2,IF(Table2[[#This Row],[Vin]]&gt;Vout, "BUCK","BOOST"),IF(Table2[[#This Row],[Vin]]&gt;VIN_BB_to_buck, "BUCK", IF(Table2[[#This Row],[Vin]]&lt;=VIN_boost_to_BB,"BOOST","BUCK-BST")))</f>
        <v>BUCK</v>
      </c>
      <c r="J61">
        <f>IF(Table2[[#This Row],[Mode]]="BOOST",2, IF(Table2[[#This Row],[Mode]]="BUCK", 1,3))</f>
        <v>1</v>
      </c>
      <c r="K61" s="354">
        <f t="shared" si="7"/>
        <v>6.24</v>
      </c>
      <c r="L61" s="4">
        <f>Vout*Table2[[#This Row],[Iout]]/(Table2[[#This Row],[Vin]]*Efficiency)</f>
        <v>4.7949473684210524</v>
      </c>
      <c r="M61" s="711">
        <f>MIN(1/Fsw,CHOOSE(Table2[[#This Row],[Mode Digit]],(Vout+(Rdson2+Rs+Rdcr)*Table2[[#This Row],[Iout]])/(Table2[[#This Row],[Vin]]+(Rs+Rdson2-Rdson1)*Table2[[#This Row],[Iout]])/Fsw,(Vout+(Rdson3+Rdcr)*Table2[[#This Row],[Iin]]-Table2[[#This Row],[Vin]])/(Vout+(Rdson3-Rdson4-Rs)*Table2[[#This Row],[Iin]])/Fsw,t1_Ph_II))</f>
        <v>1.2222133402612629E-6</v>
      </c>
      <c r="N61" s="602">
        <f>CHOOSE(Table2[[#This Row],[Mode Digit]],1/Fsw-Table2[[#This Row],[t1_Ph_II]],1/Fsw-Table2[[#This Row],[t1_Ph_II]],(Vout/Fsw-Table2[[#This Row],[Vin]]*t1_Ph_II)/(Table2[[#This Row],[Vin]]+Vout))</f>
        <v>4.4445332640540377E-7</v>
      </c>
      <c r="O61" s="602">
        <f>1/Fsw-(Table2[[#This Row],[t1_Ph_II]]+Table2[[#This Row],[t2_Ph_I]])</f>
        <v>0</v>
      </c>
      <c r="P61"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4.9900090838237086</v>
      </c>
      <c r="Q61" s="4">
        <f>CHOOSE(Table2[[#This Row],[Mode Digit]],Table2[[#This Row],[I_0]]+1/Lf*(Table2[[#This Row],[Vin]]-Vout)*Table2[[#This Row],[t1_Ph_II]],Table2[[#This Row],[I_0]]+1/Lf*Table2[[#This Row],[Vin]]*Table2[[#This Row],[t1_Ph_II]],Table2[[#This Row],[I_0]]+(Table2[[#This Row],[Vin]]-Vout)/L*Table2[[#This Row],[t1_Ph_II]])</f>
        <v>7.4899909161762919</v>
      </c>
      <c r="R61" s="4">
        <f>CHOOSE(Table2[[#This Row],[Mode Digit]],0,0,Table2[[#This Row],[I_1]]+Table2[[#This Row],[Vin]]/L*Table2[[#This Row],[t2_Ph_I]])</f>
        <v>0</v>
      </c>
      <c r="S61" s="409">
        <f>Fsw*(Table2[[#This Row],[I_0]]*Table2[[#This Row],[t1_Ph_II]]+Table2[[#This Row],[I_1]]*Table2[[#This Row],[t2_Ph_I]]+Table2[[#This Row],[I_2]]*Table2[[#This Row],[t3_Ph_III]])</f>
        <v>5.6566842286290182</v>
      </c>
      <c r="T61" s="354">
        <f>MIN(1,CHOOSE(Table2[[#This Row],[Mode Digit]],(Vout+(Rdson2+Rs+Rdcr)*Table2[[#This Row],[Iout]])/(Table2[[#This Row],[Vin]]+(Rs+Rdson2-Rdson1)*Table2[[#This Row],[Iout]]),1,Fsw*Table2[[#This Row],[t2_Ph_I]]+Table2[[#This Row],[t1_Ph_II]]))</f>
        <v>0.7333280041567577</v>
      </c>
      <c r="U61" s="354">
        <f>MIN(1,CHOOSE(Table2[[#This Row],[Mode Digit]],0,(Vout+(Rdson3+Rdcr)*Table2[[#This Row],[Iin]]-Table2[[#This Row],[Vin]])/(Vout+(Rdson3-Rdson4-Rs)*Table2[[#This Row],[Iin]]),Fsw*Table2[[#This Row],[t1_Ph_II]]+Table2[[#This Row],[t3_Ph_III]]))</f>
        <v>0</v>
      </c>
      <c r="V61" s="4">
        <f>MAX(Table2[[#This Row],[I_0]:[I_2]])-MIN(Table2[[#This Row],[I_0]:[I_1]])</f>
        <v>2.4999818323525833</v>
      </c>
      <c r="W61"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6.2815942055745486</v>
      </c>
      <c r="X61" s="354">
        <f>(Table2[[#This Row],[Irms Lf]]^2*Rdcr*(1+Ltc*Ta-Ltc*25))/(1-Table2[[#This Row],[Irms Lf]]^2*Rdcr*Ltc*ThetaCa)</f>
        <v>0.23312712627248897</v>
      </c>
      <c r="Y61" s="354">
        <f>ABS(7.759*10^-3*Fsw^0.9458*(0.00787*Table2[[#This Row],[Ripple Current pk-pk]])^2.304)</f>
        <v>0.2654321325201372</v>
      </c>
      <c r="Z61" s="354">
        <f>Table2[[#This Row],[DCR    Loss]]+Table2[[#This Row],[Core Loss]]</f>
        <v>0.49855925879262619</v>
      </c>
      <c r="AA61" s="4">
        <f>IF(Table2[[#This Row],[Vin]]&gt;Vout, Table2[[#This Row],[Ripple Current pk-pk]]/SQRT(12), SQRT(Table2[[#This Row],[Duty Cycle BOOST Leg]]/(1-Table2[[#This Row],[Duty Cycle BOOST Leg]]))*SQRT(Table2[[#This Row],[Iout]]^2+(Table2[[#This Row],[Ripple Current pk-pk]]^2)/12))</f>
        <v>0.721682591938969</v>
      </c>
      <c r="AB61" s="354">
        <f>RCoutEsr*Table2[[#This Row],[Irms Cout]]^2</f>
        <v>2.6041288175387423E-3</v>
      </c>
      <c r="AC61" s="354">
        <f>Table2[[#This Row],[Cout ESR Loss]]</f>
        <v>2.6041288175387423E-3</v>
      </c>
      <c r="AD61" s="4">
        <f>IF(Table2[[#This Row],[Vin]]&gt;Vout, SQRT(Table2[[#This Row],[Duty Cycle BUCK Leg]]*(1-Table2[[#This Row],[Duty Cycle BUCK Leg]]))*SQRT(Table2[[#This Row],[Iout]]^2+(Table2[[#This Row],[Ripple Current pk-pk]]^2)/12), Table2[[#This Row],[Ripple Current pk-pk]]/SQRT(12))</f>
        <v>2.777843138390824</v>
      </c>
      <c r="AE61" s="354">
        <f>RCinEsr*Table2[[#This Row],[Irms Cin]]^2</f>
        <v>1.5432825003009965E-2</v>
      </c>
      <c r="AF61" s="549">
        <f>Table2[[#This Row],[Cin ESR Loss]]</f>
        <v>1.5432825003009965E-2</v>
      </c>
      <c r="AG61" s="354">
        <f>Table2[[#This Row],[Irms Lf]]</f>
        <v>6.2815942055745486</v>
      </c>
      <c r="AH61" s="354">
        <f>Rdson1*Table2[[#This Row],[Irms BuCtrl]]^2</f>
        <v>0.16572538820673258</v>
      </c>
      <c r="AI61" s="354">
        <f>CHOOSE(Table2[[#This Row],[Mode Digit]], (Table2[[#This Row],[Vin]]*Table2[[#This Row],[Iout]]/2)*(Fsw)*(Tr_buck+Tf_buck), 0, (Table2[[#This Row],[Vin]]*Table2[[#This Row],[Avg IL]]/2)*(Fsw/1)*(Tr_buck+Tf_buck))</f>
        <v>1.2375625944635282</v>
      </c>
      <c r="AJ61">
        <f>IF(Table2[[#This Row],[Vin]]&gt;Vout, IF(Table2[[#This Row],[Iout]]&gt;Table2[[#This Row],[Ripple Current pk-pk]]/2,0,ABS(Table2[[#This Row],[Iout]]-Table2[[#This Row],[Ripple Current pk-pk]]/2)*Vsd_Q1*Deadtime*Fsw),0)</f>
        <v>0</v>
      </c>
      <c r="AK61" s="354">
        <f>(Table2[[#This Row],[Dead Time Loss BuCtrl]]+Table2[[#This Row],[Transition Loss BuCtrl]]+Table2[[#This Row],[RDS(on) Loss BuCtrl]]*(1+RdsonTopTc*Ta-RdsonTopTc*25))/(1-Table2[[#This Row],[RDS(on) Loss BuCtrl]]*RdsonTopTc*ThetaJA_Q1)</f>
        <v>1.4614144158038633</v>
      </c>
      <c r="AL61" s="354">
        <f>Table2[[#This Row],[Irms Lf]]</f>
        <v>6.2815942055745486</v>
      </c>
      <c r="AM61" s="354">
        <f>Rdson2*Table2[[#This Row],[Irms BuSync]]^2</f>
        <v>0.16572538820673258</v>
      </c>
      <c r="AN61"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0.30023314285714287</v>
      </c>
      <c r="AO61" s="354">
        <f>(Table2[[#This Row],[Deadtime Loss BuSync]]+Table2[[#This Row],[RDS(on) Loss BuSync]]*(1+RdsonBotTc*Ta-RdsonBotTc*25))/(1-Table2[[#This Row],[RDS(on) Loss BuSync]]*RdsonBotTc*ThetaJA_Q2)</f>
        <v>0.48525927883154174</v>
      </c>
      <c r="AP61" s="354">
        <f>Table2[[#This Row],[Irms Lf]]</f>
        <v>6.2815942055745486</v>
      </c>
      <c r="AQ61" s="354">
        <f>Rdson4*Table2[[#This Row],[Irms BoCtlr]]^2</f>
        <v>0.16572538820673258</v>
      </c>
      <c r="AR61" s="354">
        <f>CHOOSE(Table2[[#This Row],[Mode Digit]], 0, (Vout*Table2[[#This Row],[Iin]]/2)*(Fsw)*(Tr_boost+Tf_boost), (Vout*Iout/2)*(Fsw/1)*(Tr_boost+Tf_boost))</f>
        <v>0</v>
      </c>
      <c r="AS61" s="354">
        <f>IF(Table2[[#This Row],[Vin]]&gt;Vout, 0, IF(Table2[[#This Row],[Iin]]&gt;Table2[[#This Row],[Ripple Current pk-pk]]/2,0,ABS(Table2[[#This Row],[Iin]]-Table2[[#This Row],[Ripple Current pk-pk]]/2)*Vsd_Q4*Deadtime*Fsw))</f>
        <v>0</v>
      </c>
      <c r="AT61" s="354">
        <f>(Table2[[#This Row],[Dead Time Loss BoCtlr]]+Table2[[#This Row],[Transition Loss BoCtlr]]+Table2[[#This Row],[RDS(on) Loss BoCtlr]]*(1+RdsonTopTc*Ta-RdsonTopTc*25))/(1-Table2[[#This Row],[RDS(on) Loss BoCtlr]]*RdsonTopTc*ThetaJA_Q4)</f>
        <v>0.17258999890325449</v>
      </c>
      <c r="AU61" s="354">
        <f>Table2[[#This Row],[Irms Lf]]</f>
        <v>6.2815942055745486</v>
      </c>
      <c r="AV61" s="354">
        <f>Rdson3*Table2[[#This Row],[Irms BoSync]]^2</f>
        <v>0.16572538820673258</v>
      </c>
      <c r="AW61"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61" s="354">
        <f>(Table2[[#This Row],[Deadtime Loss BoSync]]+Table2[[#This Row],[RDS(on) Loss BoSync]]*(1+RdsonBotTc*Ta-RdsonBotTc*25))/(1-Table2[[#This Row],[RDS(on) Loss BoSync]]*RdsonBotTc*ThetaJA_Q3)</f>
        <v>0.17258999890325449</v>
      </c>
      <c r="AY61" s="354">
        <f>CHOOSE(Table2[[#This Row],[Mode Digit]], Rdson3*Table2[[#This Row],[Irms Lf]]^2, Rdson1*Table2[[#This Row],[Irms Lf]]^2, 0)</f>
        <v>0.16572538820673258</v>
      </c>
      <c r="AZ61" s="354">
        <f>CHOOSE(Table2[[#This Row],[Mode Digit]], 2*Deadtime*Fsw*IF(VfdSky_Q2&gt;0,VfdSky_Q2,0)*Table2[[#This Row],[Iout]], 2*Deadtime*Fsw*IF(VfdSky_Q3&gt;0,VfdSky_Q3,0)*Table2[[#This Row],[Iin]], 2*Deadtime*Fsw*IF(VfdSky_Q2&gt;0,VfdSky_Q2,0)*Table2[[#This Row],[Iout]]+2*Deadtime*Fsw*IF(VfdSky_Q3&gt;0,VfdSky_Q3,0)*Table2[[#This Row],[Iin]])</f>
        <v>0</v>
      </c>
      <c r="BA6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0.12463646208</v>
      </c>
      <c r="BB6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0.12463646208</v>
      </c>
      <c r="BC61" s="354">
        <f>CHOOSE(Table2[[#This Row],[Mode Digit]], Rs*Table2[[#This Row],[Irms BuSync]]^2, Rs*Table2[[#This Row],[Irms BoCtlr]]^2, Rs*(Table2[[#This Row],[Irms BuSync]]^2+Table2[[#This Row],[Irms BoCtlr]]^2))</f>
        <v>9.8646064408769371E-2</v>
      </c>
      <c r="BD61" s="354">
        <f t="shared" si="6"/>
        <v>1.44</v>
      </c>
      <c r="BE61" s="354">
        <f>IF(Vout&gt;8, Iq*Vout, Iq*Table2[[#This Row],[Vin]])</f>
        <v>4.3799999999999999E-2</v>
      </c>
      <c r="BF61" s="354">
        <f>CHOOSE(Table2[[#This Row],[Mode Digit]], (Qg_Q1+Qg_Q2)*Fsw, (Qg_Q3+Qg_Q4)*Fsw, (Qg_Q1+Qg_Q2+Qg_Q3+Qg_Q4)*Fsw)*IF(Vout&gt;8, Vout, Table2[[#This Row],[Vin]])</f>
        <v>0.47303999999999996</v>
      </c>
      <c r="BG61" s="354">
        <f t="shared" si="4"/>
        <v>0.45605042016806729</v>
      </c>
      <c r="BH61" s="354">
        <f>Table2[[#This Row],[IQ Loss]]+Table2[[#This Row],[Switching Current Loss]]</f>
        <v>0.51683999999999997</v>
      </c>
      <c r="BI61"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5.1132088936238578</v>
      </c>
      <c r="BJ61">
        <f>Vout*Table2[[#This Row],[Iout]]</f>
        <v>91.103999999999999</v>
      </c>
      <c r="BK61" s="550">
        <f>Table2[[#This Row],[Pout]]/(Table2[[#This Row],[Pout]]+Table2[[#This Row],[Total Loss]])</f>
        <v>0.94685764685528406</v>
      </c>
      <c r="BL61" s="559">
        <f>IF(Table2[[#This Row],[Vin]]&gt;Vout,ThetaJA_Q1*(Table2[[#This Row],[Total Control Bu MOSFET Loss]]+Table2[[#This Row],[Reverse Recovery Loss MOSFET D BUCK]]),ThetaJA_Q4*(Table2[[#This Row],[Total Control Bo MOSFET Loss]]+Table2[[#This Row],[Reverse Recovery Loss MOSFET D BOOST]]))</f>
        <v>95.1630526730318</v>
      </c>
      <c r="BM61" s="559">
        <f>IF(Table2[[#This Row],[Vin]]&gt;Vout, Table2[[#This Row],[Total Sync Bu MOSFET Loss]]*ThetaJA_Q2, ThetaJA_Q3*Table2[[#This Row],[Total Sync Bo MOSFET Loss]])</f>
        <v>29.115556729892504</v>
      </c>
      <c r="BN61" s="9"/>
      <c r="BO61" s="4">
        <f>Table2[[#This Row],[EFF, h]]*100</f>
        <v>94.685764685528412</v>
      </c>
      <c r="BP61" s="354">
        <f>Table2[[#This Row],[Total Inductor Loss]]</f>
        <v>0.49855925879262619</v>
      </c>
      <c r="BQ61" s="354">
        <f>Table2[[#This Row],[Total Control Bu MOSFET Loss]]+Table2[[#This Row],[Total Sync Bu MOSFET Loss]]+Table2[[#This Row],[Total Control Bo MOSFET Loss]]+Table2[[#This Row],[Total Sync Bo MOSFET Loss]]+Table2[[#This Row],[Reverse Recovery Loss MOSFET D BUCK]]+Table2[[#This Row],[Reverse Recovery Loss MOSFET D BOOST]]</f>
        <v>2.5411266166019137</v>
      </c>
      <c r="BR61" s="354">
        <f xml:space="preserve"> Table2[[#This Row],[Total Control Bu MOSFET Loss]]+Table2[[#This Row],[Reverse Recovery Loss MOSFET D BUCK]]*0.66</f>
        <v>1.5436744807766634</v>
      </c>
      <c r="BS61" s="354">
        <f>Table2[[#This Row],[Total Sync Bu MOSFET Loss]]+Table2[[#This Row],[Reverse Recovery Loss MOSFET D BUCK]]*0.33</f>
        <v>0.52638931131794175</v>
      </c>
      <c r="BT61" s="354">
        <f xml:space="preserve"> Table2[[#This Row],[Total Control Bo MOSFET Loss]]+Table2[[#This Row],[Reverse Recovery Loss MOSFET D BOOST]]*0.66</f>
        <v>0.25485006387605447</v>
      </c>
      <c r="BU61" s="354">
        <f xml:space="preserve"> Table2[[#This Row],[Total Sync Bo MOSFET Loss]]+Table2[[#This Row],[Reverse Recovery Loss MOSFET D BOOST]]*0.33</f>
        <v>0.21372003138965451</v>
      </c>
      <c r="BV61" s="354">
        <f>Table2[[#This Row],[Isense Shunt Loss]]</f>
        <v>9.8646064408769371E-2</v>
      </c>
      <c r="CB61" s="18"/>
      <c r="CC61" s="19"/>
    </row>
    <row r="62" spans="1:83" ht="15.75" x14ac:dyDescent="0.3">
      <c r="A62" s="446" t="s">
        <v>642</v>
      </c>
      <c r="B62" s="72">
        <v>30</v>
      </c>
      <c r="C62" s="441" t="s">
        <v>237</v>
      </c>
      <c r="D62" s="74" t="s">
        <v>105</v>
      </c>
      <c r="G62">
        <v>53</v>
      </c>
      <c r="H62" s="555">
        <f t="shared" si="5"/>
        <v>20</v>
      </c>
      <c r="I62" s="4" t="str">
        <f>IF(Mode = 2,IF(Table2[[#This Row],[Vin]]&gt;Vout, "BUCK","BOOST"),IF(Table2[[#This Row],[Vin]]&gt;VIN_BB_to_buck, "BUCK", IF(Table2[[#This Row],[Vin]]&lt;=VIN_boost_to_BB,"BOOST","BUCK-BST")))</f>
        <v>BUCK</v>
      </c>
      <c r="J62">
        <f>IF(Table2[[#This Row],[Mode]]="BOOST",2, IF(Table2[[#This Row],[Mode]]="BUCK", 1,3))</f>
        <v>1</v>
      </c>
      <c r="K62" s="354">
        <f t="shared" si="7"/>
        <v>6.36</v>
      </c>
      <c r="L62" s="4">
        <f>Vout*Table2[[#This Row],[Iout]]/(Table2[[#This Row],[Vin]]*Efficiency)</f>
        <v>4.8871578947368421</v>
      </c>
      <c r="M62" s="711">
        <f>MIN(1/Fsw,CHOOSE(Table2[[#This Row],[Mode Digit]],(Vout+(Rdson2+Rs+Rdcr)*Table2[[#This Row],[Iout]])/(Table2[[#This Row],[Vin]]+(Rs+Rdson2-Rdson1)*Table2[[#This Row],[Iout]])/Fsw,(Vout+(Rdson3+Rdcr)*Table2[[#This Row],[Iin]]-Table2[[#This Row],[Vin]])/(Vout+(Rdson3-Rdson4-Rs)*Table2[[#This Row],[Iin]])/Fsw,t1_Ph_II))</f>
        <v>1.2223199223284156E-6</v>
      </c>
      <c r="N62" s="602">
        <f>CHOOSE(Table2[[#This Row],[Mode Digit]],1/Fsw-Table2[[#This Row],[t1_Ph_II]],1/Fsw-Table2[[#This Row],[t1_Ph_II]],(Vout/Fsw-Table2[[#This Row],[Vin]]*t1_Ph_II)/(Table2[[#This Row],[Vin]]+Vout))</f>
        <v>4.4434674433825104E-7</v>
      </c>
      <c r="O62" s="602">
        <f>1/Fsw-(Table2[[#This Row],[t1_Ph_II]]+Table2[[#This Row],[t2_Ph_I]])</f>
        <v>0</v>
      </c>
      <c r="P62"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5.1099000794368479</v>
      </c>
      <c r="Q62" s="4">
        <f>CHOOSE(Table2[[#This Row],[Mode Digit]],Table2[[#This Row],[I_0]]+1/Lf*(Table2[[#This Row],[Vin]]-Vout)*Table2[[#This Row],[t1_Ph_II]],Table2[[#This Row],[I_0]]+1/Lf*Table2[[#This Row],[Vin]]*Table2[[#This Row],[t1_Ph_II]],Table2[[#This Row],[I_0]]+(Table2[[#This Row],[Vin]]-Vout)/L*Table2[[#This Row],[t1_Ph_II]])</f>
        <v>7.6100999205631528</v>
      </c>
      <c r="R62" s="4">
        <f>CHOOSE(Table2[[#This Row],[Mode Digit]],0,0,Table2[[#This Row],[I_1]]+Table2[[#This Row],[Vin]]/L*Table2[[#This Row],[t2_Ph_I]])</f>
        <v>0</v>
      </c>
      <c r="S62" s="409">
        <f>Fsw*(Table2[[#This Row],[I_0]]*Table2[[#This Row],[t1_Ph_II]]+Table2[[#This Row],[I_1]]*Table2[[#This Row],[t2_Ph_I]]+Table2[[#This Row],[I_2]]*Table2[[#This Row],[t3_Ph_III]])</f>
        <v>5.7764734751965401</v>
      </c>
      <c r="T62" s="354">
        <f>MIN(1,CHOOSE(Table2[[#This Row],[Mode Digit]],(Vout+(Rdson2+Rs+Rdcr)*Table2[[#This Row],[Iout]])/(Table2[[#This Row],[Vin]]+(Rs+Rdson2-Rdson1)*Table2[[#This Row],[Iout]]),1,Fsw*Table2[[#This Row],[t2_Ph_I]]+Table2[[#This Row],[t1_Ph_II]]))</f>
        <v>0.73339195339704932</v>
      </c>
      <c r="U62" s="354">
        <f>MIN(1,CHOOSE(Table2[[#This Row],[Mode Digit]],0,(Vout+(Rdson3+Rdcr)*Table2[[#This Row],[Iin]]-Table2[[#This Row],[Vin]])/(Vout+(Rdson3-Rdson4-Rs)*Table2[[#This Row],[Iin]]),Fsw*Table2[[#This Row],[t1_Ph_II]]+Table2[[#This Row],[t3_Ph_III]]))</f>
        <v>0</v>
      </c>
      <c r="V62" s="4">
        <f>MAX(Table2[[#This Row],[I_0]:[I_2]])-MIN(Table2[[#This Row],[I_0]:[I_1]])</f>
        <v>2.5001998411263049</v>
      </c>
      <c r="W62"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6.4008215569407447</v>
      </c>
      <c r="X62" s="354">
        <f>(Table2[[#This Row],[Irms Lf]]^2*Rdcr*(1+Ltc*Ta-Ltc*25))/(1-Table2[[#This Row],[Irms Lf]]^2*Rdcr*Ltc*ThetaCa)</f>
        <v>0.24223394096292897</v>
      </c>
      <c r="Y62" s="354">
        <f>ABS(7.759*10^-3*Fsw^0.9458*(0.00787*Table2[[#This Row],[Ripple Current pk-pk]])^2.304)</f>
        <v>0.26548546573739096</v>
      </c>
      <c r="Z62" s="354">
        <f>Table2[[#This Row],[DCR    Loss]]+Table2[[#This Row],[Core Loss]]</f>
        <v>0.5077194067003199</v>
      </c>
      <c r="AA62" s="4">
        <f>IF(Table2[[#This Row],[Vin]]&gt;Vout, Table2[[#This Row],[Ripple Current pk-pk]]/SQRT(12), SQRT(Table2[[#This Row],[Duty Cycle BOOST Leg]]/(1-Table2[[#This Row],[Duty Cycle BOOST Leg]]))*SQRT(Table2[[#This Row],[Iout]]^2+(Table2[[#This Row],[Ripple Current pk-pk]]^2)/12))</f>
        <v>0.72174552565106587</v>
      </c>
      <c r="AB62" s="354">
        <f>RCoutEsr*Table2[[#This Row],[Irms Cout]]^2</f>
        <v>2.604583018986667E-3</v>
      </c>
      <c r="AC62" s="354">
        <f>Table2[[#This Row],[Cout ESR Loss]]</f>
        <v>2.604583018986667E-3</v>
      </c>
      <c r="AD62" s="4">
        <f>IF(Table2[[#This Row],[Vin]]&gt;Vout, SQRT(Table2[[#This Row],[Duty Cycle BUCK Leg]]*(1-Table2[[#This Row],[Duty Cycle BUCK Leg]]))*SQRT(Table2[[#This Row],[Iout]]^2+(Table2[[#This Row],[Ripple Current pk-pk]]^2)/12), Table2[[#This Row],[Ripple Current pk-pk]]/SQRT(12))</f>
        <v>2.8303517810328445</v>
      </c>
      <c r="AE62" s="354">
        <f>RCinEsr*Table2[[#This Row],[Irms Cin]]^2</f>
        <v>1.6021782408791593E-2</v>
      </c>
      <c r="AF62" s="549">
        <f>Table2[[#This Row],[Cin ESR Loss]]</f>
        <v>1.6021782408791593E-2</v>
      </c>
      <c r="AG62" s="354">
        <f>Table2[[#This Row],[Irms Lf]]</f>
        <v>6.4008215569407447</v>
      </c>
      <c r="AH62" s="354">
        <f>Rdson1*Table2[[#This Row],[Irms BuCtrl]]^2</f>
        <v>0.17207616973594886</v>
      </c>
      <c r="AI62" s="354">
        <f>CHOOSE(Table2[[#This Row],[Mode Digit]], (Table2[[#This Row],[Vin]]*Table2[[#This Row],[Iout]]/2)*(Fsw)*(Tr_buck+Tf_buck), 0, (Table2[[#This Row],[Vin]]*Table2[[#This Row],[Avg IL]]/2)*(Fsw/1)*(Tr_buck+Tf_buck))</f>
        <v>1.2613618751262883</v>
      </c>
      <c r="AJ62">
        <f>IF(Table2[[#This Row],[Vin]]&gt;Vout, IF(Table2[[#This Row],[Iout]]&gt;Table2[[#This Row],[Ripple Current pk-pk]]/2,0,ABS(Table2[[#This Row],[Iout]]-Table2[[#This Row],[Ripple Current pk-pk]]/2)*Vsd_Q1*Deadtime*Fsw),0)</f>
        <v>0</v>
      </c>
      <c r="AK62" s="354">
        <f>(Table2[[#This Row],[Dead Time Loss BuCtrl]]+Table2[[#This Row],[Transition Loss BuCtrl]]+Table2[[#This Row],[RDS(on) Loss BuCtrl]]*(1+RdsonTopTc*Ta-RdsonTopTc*25))/(1-Table2[[#This Row],[RDS(on) Loss BuCtrl]]*RdsonTopTc*ThetaJA_Q1)</f>
        <v>1.495186684304304</v>
      </c>
      <c r="AL62" s="354">
        <f>Table2[[#This Row],[Irms Lf]]</f>
        <v>6.4008215569407447</v>
      </c>
      <c r="AM62" s="354">
        <f>Rdson2*Table2[[#This Row],[Irms BuSync]]^2</f>
        <v>0.17207616973594886</v>
      </c>
      <c r="AN62"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0.30600685714285714</v>
      </c>
      <c r="AO62" s="354">
        <f>(Table2[[#This Row],[Deadtime Loss BuSync]]+Table2[[#This Row],[RDS(on) Loss BuSync]]*(1+RdsonBotTc*Ta-RdsonBotTc*25))/(1-Table2[[#This Row],[RDS(on) Loss BuSync]]*RdsonBotTc*ThetaJA_Q2)</f>
        <v>0.49867755243637796</v>
      </c>
      <c r="AP62" s="354">
        <f>Table2[[#This Row],[Irms Lf]]</f>
        <v>6.4008215569407447</v>
      </c>
      <c r="AQ62" s="354">
        <f>Rdson4*Table2[[#This Row],[Irms BoCtlr]]^2</f>
        <v>0.17207616973594886</v>
      </c>
      <c r="AR62" s="354">
        <f>CHOOSE(Table2[[#This Row],[Mode Digit]], 0, (Vout*Table2[[#This Row],[Iin]]/2)*(Fsw)*(Tr_boost+Tf_boost), (Vout*Iout/2)*(Fsw/1)*(Tr_boost+Tf_boost))</f>
        <v>0</v>
      </c>
      <c r="AS62" s="354">
        <f>IF(Table2[[#This Row],[Vin]]&gt;Vout, 0, IF(Table2[[#This Row],[Iin]]&gt;Table2[[#This Row],[Ripple Current pk-pk]]/2,0,ABS(Table2[[#This Row],[Iin]]-Table2[[#This Row],[Ripple Current pk-pk]]/2)*Vsd_Q4*Deadtime*Fsw))</f>
        <v>0</v>
      </c>
      <c r="AT62" s="354">
        <f>(Table2[[#This Row],[Dead Time Loss BoCtlr]]+Table2[[#This Row],[Transition Loss BoCtlr]]+Table2[[#This Row],[RDS(on) Loss BoCtlr]]*(1+RdsonTopTc*Ta-RdsonTopTc*25))/(1-Table2[[#This Row],[RDS(on) Loss BoCtlr]]*RdsonTopTc*ThetaJA_Q4)</f>
        <v>0.17948874637271461</v>
      </c>
      <c r="AU62" s="354">
        <f>Table2[[#This Row],[Irms Lf]]</f>
        <v>6.4008215569407447</v>
      </c>
      <c r="AV62" s="354">
        <f>Rdson3*Table2[[#This Row],[Irms BoSync]]^2</f>
        <v>0.17207616973594886</v>
      </c>
      <c r="AW62"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62" s="354">
        <f>(Table2[[#This Row],[Deadtime Loss BoSync]]+Table2[[#This Row],[RDS(on) Loss BoSync]]*(1+RdsonBotTc*Ta-RdsonBotTc*25))/(1-Table2[[#This Row],[RDS(on) Loss BoSync]]*RdsonBotTc*ThetaJA_Q3)</f>
        <v>0.17948874637271461</v>
      </c>
      <c r="AY62" s="354">
        <f>CHOOSE(Table2[[#This Row],[Mode Digit]], Rdson3*Table2[[#This Row],[Irms Lf]]^2, Rdson1*Table2[[#This Row],[Irms Lf]]^2, 0)</f>
        <v>0.17207616973594886</v>
      </c>
      <c r="AZ62" s="354">
        <f>CHOOSE(Table2[[#This Row],[Mode Digit]], 2*Deadtime*Fsw*IF(VfdSky_Q2&gt;0,VfdSky_Q2,0)*Table2[[#This Row],[Iout]], 2*Deadtime*Fsw*IF(VfdSky_Q3&gt;0,VfdSky_Q3,0)*Table2[[#This Row],[Iin]], 2*Deadtime*Fsw*IF(VfdSky_Q2&gt;0,VfdSky_Q2,0)*Table2[[#This Row],[Iout]]+2*Deadtime*Fsw*IF(VfdSky_Q3&gt;0,VfdSky_Q3,0)*Table2[[#This Row],[Iin]])</f>
        <v>0</v>
      </c>
      <c r="BA6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0.12703011168</v>
      </c>
      <c r="BB6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0.12703011168</v>
      </c>
      <c r="BC62" s="354">
        <f>CHOOSE(Table2[[#This Row],[Mode Digit]], Rs*Table2[[#This Row],[Irms BuSync]]^2, Rs*Table2[[#This Row],[Irms BoCtlr]]^2, Rs*(Table2[[#This Row],[Irms BuSync]]^2+Table2[[#This Row],[Irms BoCtlr]]^2))</f>
        <v>0.10242629150949335</v>
      </c>
      <c r="BD62" s="354">
        <f t="shared" si="6"/>
        <v>1.44</v>
      </c>
      <c r="BE62" s="354">
        <f>IF(Vout&gt;8, Iq*Vout, Iq*Table2[[#This Row],[Vin]])</f>
        <v>4.3799999999999999E-2</v>
      </c>
      <c r="BF62" s="354">
        <f>CHOOSE(Table2[[#This Row],[Mode Digit]], (Qg_Q1+Qg_Q2)*Fsw, (Qg_Q3+Qg_Q4)*Fsw, (Qg_Q1+Qg_Q2+Qg_Q3+Qg_Q4)*Fsw)*IF(Vout&gt;8, Vout, Table2[[#This Row],[Vin]])</f>
        <v>0.47303999999999996</v>
      </c>
      <c r="BG62" s="354">
        <f t="shared" si="4"/>
        <v>0.45605042016806729</v>
      </c>
      <c r="BH62" s="354">
        <f>Table2[[#This Row],[IQ Loss]]+Table2[[#This Row],[Switching Current Loss]]</f>
        <v>0.51683999999999997</v>
      </c>
      <c r="BI62"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5.1925140164837025</v>
      </c>
      <c r="BJ62">
        <f>Vout*Table2[[#This Row],[Iout]]</f>
        <v>92.856000000000009</v>
      </c>
      <c r="BK62" s="550">
        <f>Table2[[#This Row],[Pout]]/(Table2[[#This Row],[Pout]]+Table2[[#This Row],[Total Loss]])</f>
        <v>0.94704137978459579</v>
      </c>
      <c r="BL62" s="559">
        <f>IF(Table2[[#This Row],[Vin]]&gt;Vout,ThetaJA_Q1*(Table2[[#This Row],[Total Control Bu MOSFET Loss]]+Table2[[#This Row],[Reverse Recovery Loss MOSFET D BUCK]]),ThetaJA_Q4*(Table2[[#This Row],[Total Control Bo MOSFET Loss]]+Table2[[#This Row],[Reverse Recovery Loss MOSFET D BOOST]]))</f>
        <v>97.333007759058248</v>
      </c>
      <c r="BM62" s="559">
        <f>IF(Table2[[#This Row],[Vin]]&gt;Vout, Table2[[#This Row],[Total Sync Bu MOSFET Loss]]*ThetaJA_Q2, ThetaJA_Q3*Table2[[#This Row],[Total Sync Bo MOSFET Loss]])</f>
        <v>29.920653146182676</v>
      </c>
      <c r="BN62" s="9"/>
      <c r="BO62" s="4">
        <f>Table2[[#This Row],[EFF, h]]*100</f>
        <v>94.704137978459585</v>
      </c>
      <c r="BP62" s="354">
        <f>Table2[[#This Row],[Total Inductor Loss]]</f>
        <v>0.5077194067003199</v>
      </c>
      <c r="BQ62" s="354">
        <f>Table2[[#This Row],[Total Control Bu MOSFET Loss]]+Table2[[#This Row],[Total Sync Bu MOSFET Loss]]+Table2[[#This Row],[Total Control Bo MOSFET Loss]]+Table2[[#This Row],[Total Sync Bo MOSFET Loss]]+Table2[[#This Row],[Reverse Recovery Loss MOSFET D BUCK]]+Table2[[#This Row],[Reverse Recovery Loss MOSFET D BOOST]]</f>
        <v>2.606901952846111</v>
      </c>
      <c r="BR62" s="354">
        <f xml:space="preserve"> Table2[[#This Row],[Total Control Bu MOSFET Loss]]+Table2[[#This Row],[Reverse Recovery Loss MOSFET D BUCK]]*0.66</f>
        <v>1.579026558013104</v>
      </c>
      <c r="BS62" s="354">
        <f>Table2[[#This Row],[Total Sync Bu MOSFET Loss]]+Table2[[#This Row],[Reverse Recovery Loss MOSFET D BUCK]]*0.33</f>
        <v>0.540597489290778</v>
      </c>
      <c r="BT62" s="354">
        <f xml:space="preserve"> Table2[[#This Row],[Total Control Bo MOSFET Loss]]+Table2[[#This Row],[Reverse Recovery Loss MOSFET D BOOST]]*0.66</f>
        <v>0.26332862008151459</v>
      </c>
      <c r="BU62" s="354">
        <f xml:space="preserve"> Table2[[#This Row],[Total Sync Bo MOSFET Loss]]+Table2[[#This Row],[Reverse Recovery Loss MOSFET D BOOST]]*0.33</f>
        <v>0.2214086832271146</v>
      </c>
      <c r="BV62" s="354">
        <f>Table2[[#This Row],[Isense Shunt Loss]]</f>
        <v>0.10242629150949335</v>
      </c>
      <c r="CB62" s="18"/>
      <c r="CC62" s="19"/>
    </row>
    <row r="63" spans="1:83" x14ac:dyDescent="0.2">
      <c r="A63" s="23" t="s">
        <v>120</v>
      </c>
      <c r="B63" s="72">
        <v>2</v>
      </c>
      <c r="C63" s="441" t="s">
        <v>237</v>
      </c>
      <c r="D63" s="21" t="s">
        <v>105</v>
      </c>
      <c r="G63">
        <v>54</v>
      </c>
      <c r="H63" s="555">
        <f t="shared" si="5"/>
        <v>20</v>
      </c>
      <c r="I63" s="4" t="str">
        <f>IF(Mode = 2,IF(Table2[[#This Row],[Vin]]&gt;Vout, "BUCK","BOOST"),IF(Table2[[#This Row],[Vin]]&gt;VIN_BB_to_buck, "BUCK", IF(Table2[[#This Row],[Vin]]&lt;=VIN_boost_to_BB,"BOOST","BUCK-BST")))</f>
        <v>BUCK</v>
      </c>
      <c r="J63">
        <f>IF(Table2[[#This Row],[Mode]]="BOOST",2, IF(Table2[[#This Row],[Mode]]="BUCK", 1,3))</f>
        <v>1</v>
      </c>
      <c r="K63" s="354">
        <f t="shared" si="7"/>
        <v>6.48</v>
      </c>
      <c r="L63" s="4">
        <f>Vout*Table2[[#This Row],[Iout]]/(Table2[[#This Row],[Vin]]*Efficiency)</f>
        <v>4.9793684210526319</v>
      </c>
      <c r="M63" s="711">
        <f>MIN(1/Fsw,CHOOSE(Table2[[#This Row],[Mode Digit]],(Vout+(Rdson2+Rs+Rdcr)*Table2[[#This Row],[Iout]])/(Table2[[#This Row],[Vin]]+(Rs+Rdson2-Rdson1)*Table2[[#This Row],[Iout]])/Fsw,(Vout+(Rdson3+Rdcr)*Table2[[#This Row],[Iin]]-Table2[[#This Row],[Vin]])/(Vout+(Rdson3-Rdson4-Rs)*Table2[[#This Row],[Iin]])/Fsw,t1_Ph_II))</f>
        <v>1.2224265012006939E-6</v>
      </c>
      <c r="N63" s="602">
        <f>CHOOSE(Table2[[#This Row],[Mode Digit]],1/Fsw-Table2[[#This Row],[t1_Ph_II]],1/Fsw-Table2[[#This Row],[t1_Ph_II]],(Vout/Fsw-Table2[[#This Row],[Vin]]*t1_Ph_II)/(Table2[[#This Row],[Vin]]+Vout))</f>
        <v>4.4424016546597276E-7</v>
      </c>
      <c r="O63" s="602">
        <f>1/Fsw-(Table2[[#This Row],[t1_Ph_II]]+Table2[[#This Row],[t2_Ph_I]])</f>
        <v>0</v>
      </c>
      <c r="P63"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5.2297910783174721</v>
      </c>
      <c r="Q63" s="4">
        <f>CHOOSE(Table2[[#This Row],[Mode Digit]],Table2[[#This Row],[I_0]]+1/Lf*(Table2[[#This Row],[Vin]]-Vout)*Table2[[#This Row],[t1_Ph_II]],Table2[[#This Row],[I_0]]+1/Lf*Table2[[#This Row],[Vin]]*Table2[[#This Row],[t1_Ph_II]],Table2[[#This Row],[I_0]]+(Table2[[#This Row],[Vin]]-Vout)/L*Table2[[#This Row],[t1_Ph_II]])</f>
        <v>7.7302089216825287</v>
      </c>
      <c r="R63" s="4">
        <f>CHOOSE(Table2[[#This Row],[Mode Digit]],0,0,Table2[[#This Row],[I_1]]+Table2[[#This Row],[Vin]]/L*Table2[[#This Row],[t2_Ph_I]])</f>
        <v>0</v>
      </c>
      <c r="S63" s="409">
        <f>Fsw*(Table2[[#This Row],[I_0]]*Table2[[#This Row],[t1_Ph_II]]+Table2[[#This Row],[I_1]]*Table2[[#This Row],[t2_Ph_I]]+Table2[[#This Row],[I_2]]*Table2[[#This Row],[t3_Ph_III]])</f>
        <v>5.8962627001998111</v>
      </c>
      <c r="T63" s="354">
        <f>MIN(1,CHOOSE(Table2[[#This Row],[Mode Digit]],(Vout+(Rdson2+Rs+Rdcr)*Table2[[#This Row],[Iout]])/(Table2[[#This Row],[Vin]]+(Rs+Rdson2-Rdson1)*Table2[[#This Row],[Iout]]),1,Fsw*Table2[[#This Row],[t2_Ph_I]]+Table2[[#This Row],[t1_Ph_II]]))</f>
        <v>0.73345590072041633</v>
      </c>
      <c r="U63" s="354">
        <f>MIN(1,CHOOSE(Table2[[#This Row],[Mode Digit]],0,(Vout+(Rdson3+Rdcr)*Table2[[#This Row],[Iin]]-Table2[[#This Row],[Vin]])/(Vout+(Rdson3-Rdson4-Rs)*Table2[[#This Row],[Iin]]),Fsw*Table2[[#This Row],[t1_Ph_II]]+Table2[[#This Row],[t3_Ph_III]]))</f>
        <v>0</v>
      </c>
      <c r="V63" s="4">
        <f>MAX(Table2[[#This Row],[I_0]:[I_2]])-MIN(Table2[[#This Row],[I_0]:[I_1]])</f>
        <v>2.5004178433650566</v>
      </c>
      <c r="W63"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6.5200772579230124</v>
      </c>
      <c r="X63" s="354">
        <f>(Table2[[#This Row],[Irms Lf]]^2*Rdcr*(1+Ltc*Ta-Ltc*25))/(1-Table2[[#This Row],[Irms Lf]]^2*Rdcr*Ltc*ThetaCa)</f>
        <v>0.25152761920649608</v>
      </c>
      <c r="Y63" s="354">
        <f>ABS(7.759*10^-3*Fsw^0.9458*(0.00787*Table2[[#This Row],[Ripple Current pk-pk]])^2.304)</f>
        <v>0.26553880342023051</v>
      </c>
      <c r="Z63" s="354">
        <f>Table2[[#This Row],[DCR    Loss]]+Table2[[#This Row],[Core Loss]]</f>
        <v>0.51706642262672653</v>
      </c>
      <c r="AA63" s="4">
        <f>IF(Table2[[#This Row],[Vin]]&gt;Vout, Table2[[#This Row],[Ripple Current pk-pk]]/SQRT(12), SQRT(Table2[[#This Row],[Duty Cycle BOOST Leg]]/(1-Table2[[#This Row],[Duty Cycle BOOST Leg]]))*SQRT(Table2[[#This Row],[Iout]]^2+(Table2[[#This Row],[Ripple Current pk-pk]]^2)/12))</f>
        <v>0.72180845747667954</v>
      </c>
      <c r="AB63" s="354">
        <f>RCoutEsr*Table2[[#This Row],[Irms Cout]]^2</f>
        <v>2.6050372464243177E-3</v>
      </c>
      <c r="AC63" s="354">
        <f>Table2[[#This Row],[Cout ESR Loss]]</f>
        <v>2.6050372464243177E-3</v>
      </c>
      <c r="AD63" s="4">
        <f>IF(Table2[[#This Row],[Vin]]&gt;Vout, SQRT(Table2[[#This Row],[Duty Cycle BUCK Leg]]*(1-Table2[[#This Row],[Duty Cycle BUCK Leg]]))*SQRT(Table2[[#This Row],[Iout]]^2+(Table2[[#This Row],[Ripple Current pk-pk]]^2)/12), Table2[[#This Row],[Ripple Current pk-pk]]/SQRT(12))</f>
        <v>2.8828648407835966</v>
      </c>
      <c r="AE63" s="354">
        <f>RCinEsr*Table2[[#This Row],[Irms Cin]]^2</f>
        <v>1.6621819380452464E-2</v>
      </c>
      <c r="AF63" s="549">
        <f>Table2[[#This Row],[Cin ESR Loss]]</f>
        <v>1.6621819380452464E-2</v>
      </c>
      <c r="AG63" s="354">
        <f>Table2[[#This Row],[Irms Lf]]</f>
        <v>6.5200772579230124</v>
      </c>
      <c r="AH63" s="354">
        <f>Rdson1*Table2[[#This Row],[Irms BuCtrl]]^2</f>
        <v>0.17854791128699646</v>
      </c>
      <c r="AI63" s="354">
        <f>CHOOSE(Table2[[#This Row],[Mode Digit]], (Table2[[#This Row],[Vin]]*Table2[[#This Row],[Iout]]/2)*(Fsw)*(Tr_buck+Tf_buck), 0, (Table2[[#This Row],[Vin]]*Table2[[#This Row],[Avg IL]]/2)*(Fsw/1)*(Tr_buck+Tf_buck))</f>
        <v>1.2851611557890488</v>
      </c>
      <c r="AJ63">
        <f>IF(Table2[[#This Row],[Vin]]&gt;Vout, IF(Table2[[#This Row],[Iout]]&gt;Table2[[#This Row],[Ripple Current pk-pk]]/2,0,ABS(Table2[[#This Row],[Iout]]-Table2[[#This Row],[Ripple Current pk-pk]]/2)*Vsd_Q1*Deadtime*Fsw),0)</f>
        <v>0</v>
      </c>
      <c r="AK63" s="354">
        <f>(Table2[[#This Row],[Dead Time Loss BuCtrl]]+Table2[[#This Row],[Transition Loss BuCtrl]]+Table2[[#This Row],[RDS(on) Loss BuCtrl]]*(1+RdsonTopTc*Ta-RdsonTopTc*25))/(1-Table2[[#This Row],[RDS(on) Loss BuCtrl]]*RdsonTopTc*ThetaJA_Q1)</f>
        <v>1.5292392613075323</v>
      </c>
      <c r="AL63" s="354">
        <f>Table2[[#This Row],[Irms Lf]]</f>
        <v>6.5200772579230124</v>
      </c>
      <c r="AM63" s="354">
        <f>Rdson2*Table2[[#This Row],[Irms BuSync]]^2</f>
        <v>0.17854791128699646</v>
      </c>
      <c r="AN63"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0.31178057142857146</v>
      </c>
      <c r="AO63" s="354">
        <f>(Table2[[#This Row],[Deadtime Loss BuSync]]+Table2[[#This Row],[RDS(on) Loss BuSync]]*(1+RdsonBotTc*Ta-RdsonBotTc*25))/(1-Table2[[#This Row],[RDS(on) Loss BuSync]]*RdsonBotTc*ThetaJA_Q2)</f>
        <v>0.51228046855232179</v>
      </c>
      <c r="AP63" s="354">
        <f>Table2[[#This Row],[Irms Lf]]</f>
        <v>6.5200772579230124</v>
      </c>
      <c r="AQ63" s="354">
        <f>Rdson4*Table2[[#This Row],[Irms BoCtlr]]^2</f>
        <v>0.17854791128699646</v>
      </c>
      <c r="AR63" s="354">
        <f>CHOOSE(Table2[[#This Row],[Mode Digit]], 0, (Vout*Table2[[#This Row],[Iin]]/2)*(Fsw)*(Tr_boost+Tf_boost), (Vout*Iout/2)*(Fsw/1)*(Tr_boost+Tf_boost))</f>
        <v>0</v>
      </c>
      <c r="AS63" s="354">
        <f>IF(Table2[[#This Row],[Vin]]&gt;Vout, 0, IF(Table2[[#This Row],[Iin]]&gt;Table2[[#This Row],[Ripple Current pk-pk]]/2,0,ABS(Table2[[#This Row],[Iin]]-Table2[[#This Row],[Ripple Current pk-pk]]/2)*Vsd_Q4*Deadtime*Fsw))</f>
        <v>0</v>
      </c>
      <c r="AT63" s="354">
        <f>(Table2[[#This Row],[Dead Time Loss BoCtlr]]+Table2[[#This Row],[Transition Loss BoCtlr]]+Table2[[#This Row],[RDS(on) Loss BoCtlr]]*(1+RdsonTopTc*Ta-RdsonTopTc*25))/(1-Table2[[#This Row],[RDS(on) Loss BoCtlr]]*RdsonTopTc*ThetaJA_Q4)</f>
        <v>0.18654149387075136</v>
      </c>
      <c r="AU63" s="354">
        <f>Table2[[#This Row],[Irms Lf]]</f>
        <v>6.5200772579230124</v>
      </c>
      <c r="AV63" s="354">
        <f>Rdson3*Table2[[#This Row],[Irms BoSync]]^2</f>
        <v>0.17854791128699646</v>
      </c>
      <c r="AW63"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63" s="354">
        <f>(Table2[[#This Row],[Deadtime Loss BoSync]]+Table2[[#This Row],[RDS(on) Loss BoSync]]*(1+RdsonBotTc*Ta-RdsonBotTc*25))/(1-Table2[[#This Row],[RDS(on) Loss BoSync]]*RdsonBotTc*ThetaJA_Q3)</f>
        <v>0.18654149387075136</v>
      </c>
      <c r="AY63" s="354">
        <f>CHOOSE(Table2[[#This Row],[Mode Digit]], Rdson3*Table2[[#This Row],[Irms Lf]]^2, Rdson1*Table2[[#This Row],[Irms Lf]]^2, 0)</f>
        <v>0.17854791128699646</v>
      </c>
      <c r="AZ63" s="354">
        <f>CHOOSE(Table2[[#This Row],[Mode Digit]], 2*Deadtime*Fsw*IF(VfdSky_Q2&gt;0,VfdSky_Q2,0)*Table2[[#This Row],[Iout]], 2*Deadtime*Fsw*IF(VfdSky_Q3&gt;0,VfdSky_Q3,0)*Table2[[#This Row],[Iin]], 2*Deadtime*Fsw*IF(VfdSky_Q2&gt;0,VfdSky_Q2,0)*Table2[[#This Row],[Iout]]+2*Deadtime*Fsw*IF(VfdSky_Q3&gt;0,VfdSky_Q3,0)*Table2[[#This Row],[Iin]])</f>
        <v>0</v>
      </c>
      <c r="BA6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0.12942364032000003</v>
      </c>
      <c r="BB6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0.12942364032000003</v>
      </c>
      <c r="BC63" s="354">
        <f>CHOOSE(Table2[[#This Row],[Mode Digit]], Rs*Table2[[#This Row],[Irms BuSync]]^2, Rs*Table2[[#This Row],[Irms BoCtlr]]^2, Rs*(Table2[[#This Row],[Irms BuSync]]^2+Table2[[#This Row],[Irms BoCtlr]]^2))</f>
        <v>0.10627851862321216</v>
      </c>
      <c r="BD63" s="354">
        <f t="shared" si="6"/>
        <v>1.44</v>
      </c>
      <c r="BE63" s="354">
        <f>IF(Vout&gt;8, Iq*Vout, Iq*Table2[[#This Row],[Vin]])</f>
        <v>4.3799999999999999E-2</v>
      </c>
      <c r="BF63" s="354">
        <f>CHOOSE(Table2[[#This Row],[Mode Digit]], (Qg_Q1+Qg_Q2)*Fsw, (Qg_Q3+Qg_Q4)*Fsw, (Qg_Q1+Qg_Q2+Qg_Q3+Qg_Q4)*Fsw)*IF(Vout&gt;8, Vout, Table2[[#This Row],[Vin]])</f>
        <v>0.47303999999999996</v>
      </c>
      <c r="BG63" s="354">
        <f t="shared" si="4"/>
        <v>0.45605042016806729</v>
      </c>
      <c r="BH63" s="354">
        <f>Table2[[#This Row],[IQ Loss]]+Table2[[#This Row],[Switching Current Loss]]</f>
        <v>0.51683999999999997</v>
      </c>
      <c r="BI63"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5.272861796118173</v>
      </c>
      <c r="BJ63">
        <f>Vout*Table2[[#This Row],[Iout]]</f>
        <v>94.608000000000004</v>
      </c>
      <c r="BK63" s="550">
        <f>Table2[[#This Row],[Pout]]/(Table2[[#This Row],[Pout]]+Table2[[#This Row],[Total Loss]])</f>
        <v>0.94720848717864081</v>
      </c>
      <c r="BL63" s="559">
        <f>IF(Table2[[#This Row],[Vin]]&gt;Vout,ThetaJA_Q1*(Table2[[#This Row],[Total Control Bu MOSFET Loss]]+Table2[[#This Row],[Reverse Recovery Loss MOSFET D BUCK]]),ThetaJA_Q4*(Table2[[#This Row],[Total Control Bo MOSFET Loss]]+Table2[[#This Row],[Reverse Recovery Loss MOSFET D BOOST]]))</f>
        <v>99.519774097651933</v>
      </c>
      <c r="BM63" s="559">
        <f>IF(Table2[[#This Row],[Vin]]&gt;Vout, Table2[[#This Row],[Total Sync Bu MOSFET Loss]]*ThetaJA_Q2, ThetaJA_Q3*Table2[[#This Row],[Total Sync Bo MOSFET Loss]])</f>
        <v>30.736828113139307</v>
      </c>
      <c r="BN63" s="9"/>
      <c r="BO63" s="4">
        <f>Table2[[#This Row],[EFF, h]]*100</f>
        <v>94.720848717864087</v>
      </c>
      <c r="BP63" s="354">
        <f>Table2[[#This Row],[Total Inductor Loss]]</f>
        <v>0.51706642262672653</v>
      </c>
      <c r="BQ63" s="354">
        <f>Table2[[#This Row],[Total Control Bu MOSFET Loss]]+Table2[[#This Row],[Total Sync Bu MOSFET Loss]]+Table2[[#This Row],[Total Control Bo MOSFET Loss]]+Table2[[#This Row],[Total Sync Bo MOSFET Loss]]+Table2[[#This Row],[Reverse Recovery Loss MOSFET D BUCK]]+Table2[[#This Row],[Reverse Recovery Loss MOSFET D BOOST]]</f>
        <v>2.6734499982413573</v>
      </c>
      <c r="BR63" s="354">
        <f xml:space="preserve"> Table2[[#This Row],[Total Control Bu MOSFET Loss]]+Table2[[#This Row],[Reverse Recovery Loss MOSFET D BUCK]]*0.66</f>
        <v>1.6146588639187323</v>
      </c>
      <c r="BS63" s="354">
        <f>Table2[[#This Row],[Total Sync Bu MOSFET Loss]]+Table2[[#This Row],[Reverse Recovery Loss MOSFET D BUCK]]*0.33</f>
        <v>0.55499026985792177</v>
      </c>
      <c r="BT63" s="354">
        <f xml:space="preserve"> Table2[[#This Row],[Total Control Bo MOSFET Loss]]+Table2[[#This Row],[Reverse Recovery Loss MOSFET D BOOST]]*0.66</f>
        <v>0.27196109648195138</v>
      </c>
      <c r="BU63" s="354">
        <f xml:space="preserve"> Table2[[#This Row],[Total Sync Bo MOSFET Loss]]+Table2[[#This Row],[Reverse Recovery Loss MOSFET D BOOST]]*0.33</f>
        <v>0.22925129517635137</v>
      </c>
      <c r="BV63" s="354">
        <f>Table2[[#This Row],[Isense Shunt Loss]]</f>
        <v>0.10627851862321216</v>
      </c>
      <c r="CB63" s="18"/>
      <c r="CC63" s="19"/>
    </row>
    <row r="64" spans="1:83" x14ac:dyDescent="0.2">
      <c r="A64" s="73"/>
      <c r="B64" s="30"/>
      <c r="G64">
        <v>55</v>
      </c>
      <c r="H64" s="555">
        <f t="shared" si="5"/>
        <v>20</v>
      </c>
      <c r="I64" s="4" t="str">
        <f>IF(Mode = 2,IF(Table2[[#This Row],[Vin]]&gt;Vout, "BUCK","BOOST"),IF(Table2[[#This Row],[Vin]]&gt;VIN_BB_to_buck, "BUCK", IF(Table2[[#This Row],[Vin]]&lt;=VIN_boost_to_BB,"BOOST","BUCK-BST")))</f>
        <v>BUCK</v>
      </c>
      <c r="J64">
        <f>IF(Table2[[#This Row],[Mode]]="BOOST",2, IF(Table2[[#This Row],[Mode]]="BUCK", 1,3))</f>
        <v>1</v>
      </c>
      <c r="K64" s="354">
        <f t="shared" si="7"/>
        <v>6.6</v>
      </c>
      <c r="L64" s="4">
        <f>Vout*Table2[[#This Row],[Iout]]/(Table2[[#This Row],[Vin]]*Efficiency)</f>
        <v>5.0715789473684207</v>
      </c>
      <c r="M64" s="711">
        <f>MIN(1/Fsw,CHOOSE(Table2[[#This Row],[Mode Digit]],(Vout+(Rdson2+Rs+Rdcr)*Table2[[#This Row],[Iout]])/(Table2[[#This Row],[Vin]]+(Rs+Rdson2-Rdson1)*Table2[[#This Row],[Iout]])/Fsw,(Vout+(Rdson3+Rdcr)*Table2[[#This Row],[Iin]]-Table2[[#This Row],[Vin]])/(Vout+(Rdson3-Rdson4-Rs)*Table2[[#This Row],[Iin]])/Fsw,t1_Ph_II))</f>
        <v>1.2225330768782419E-6</v>
      </c>
      <c r="N64" s="602">
        <f>CHOOSE(Table2[[#This Row],[Mode Digit]],1/Fsw-Table2[[#This Row],[t1_Ph_II]],1/Fsw-Table2[[#This Row],[t1_Ph_II]],(Vout/Fsw-Table2[[#This Row],[Vin]]*t1_Ph_II)/(Table2[[#This Row],[Vin]]+Vout))</f>
        <v>4.4413358978842472E-7</v>
      </c>
      <c r="O64" s="602">
        <f>1/Fsw-(Table2[[#This Row],[t1_Ph_II]]+Table2[[#This Row],[t2_Ph_I]])</f>
        <v>0</v>
      </c>
      <c r="P64"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5.3496820804654339</v>
      </c>
      <c r="Q64" s="4">
        <f>CHOOSE(Table2[[#This Row],[Mode Digit]],Table2[[#This Row],[I_0]]+1/Lf*(Table2[[#This Row],[Vin]]-Vout)*Table2[[#This Row],[t1_Ph_II]],Table2[[#This Row],[I_0]]+1/Lf*Table2[[#This Row],[Vin]]*Table2[[#This Row],[t1_Ph_II]],Table2[[#This Row],[I_0]]+(Table2[[#This Row],[Vin]]-Vout)/L*Table2[[#This Row],[t1_Ph_II]])</f>
        <v>7.8503179195345654</v>
      </c>
      <c r="R64" s="4">
        <f>CHOOSE(Table2[[#This Row],[Mode Digit]],0,0,Table2[[#This Row],[I_1]]+Table2[[#This Row],[Vin]]/L*Table2[[#This Row],[t2_Ph_I]])</f>
        <v>0</v>
      </c>
      <c r="S64" s="409">
        <f>Fsw*(Table2[[#This Row],[I_0]]*Table2[[#This Row],[t1_Ph_II]]+Table2[[#This Row],[I_1]]*Table2[[#This Row],[t2_Ph_I]]+Table2[[#This Row],[I_2]]*Table2[[#This Row],[t3_Ph_III]])</f>
        <v>6.0160519036410509</v>
      </c>
      <c r="T64" s="354">
        <f>MIN(1,CHOOSE(Table2[[#This Row],[Mode Digit]],(Vout+(Rdson2+Rs+Rdcr)*Table2[[#This Row],[Iout]])/(Table2[[#This Row],[Vin]]+(Rs+Rdson2-Rdson1)*Table2[[#This Row],[Iout]]),1,Fsw*Table2[[#This Row],[t2_Ph_I]]+Table2[[#This Row],[t1_Ph_II]]))</f>
        <v>0.73351984612694521</v>
      </c>
      <c r="U64" s="354">
        <f>MIN(1,CHOOSE(Table2[[#This Row],[Mode Digit]],0,(Vout+(Rdson3+Rdcr)*Table2[[#This Row],[Iin]]-Table2[[#This Row],[Vin]])/(Vout+(Rdson3-Rdson4-Rs)*Table2[[#This Row],[Iin]]),Fsw*Table2[[#This Row],[t1_Ph_II]]+Table2[[#This Row],[t3_Ph_III]]))</f>
        <v>0</v>
      </c>
      <c r="V64" s="4">
        <f>MAX(Table2[[#This Row],[I_0]:[I_2]])-MIN(Table2[[#This Row],[I_0]:[I_1]])</f>
        <v>2.5006358390691314</v>
      </c>
      <c r="W64"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6.6393597808802127</v>
      </c>
      <c r="X64" s="354">
        <f>(Table2[[#This Row],[Irms Lf]]^2*Rdcr*(1+Ltc*Ta-Ltc*25))/(1-Table2[[#This Row],[Irms Lf]]^2*Rdcr*Ltc*ThetaCa)</f>
        <v>0.26100895053936096</v>
      </c>
      <c r="Y64" s="354">
        <f>ABS(7.759*10^-3*Fsw^0.9458*(0.00787*Table2[[#This Row],[Ripple Current pk-pk]])^2.304)</f>
        <v>0.26559214556834321</v>
      </c>
      <c r="Z64" s="354">
        <f>Table2[[#This Row],[DCR    Loss]]+Table2[[#This Row],[Core Loss]]</f>
        <v>0.52660109610770411</v>
      </c>
      <c r="AA64" s="4">
        <f>IF(Table2[[#This Row],[Vin]]&gt;Vout, Table2[[#This Row],[Ripple Current pk-pk]]/SQRT(12), SQRT(Table2[[#This Row],[Duty Cycle BOOST Leg]]/(1-Table2[[#This Row],[Duty Cycle BOOST Leg]]))*SQRT(Table2[[#This Row],[Iout]]^2+(Table2[[#This Row],[Ripple Current pk-pk]]^2)/12))</f>
        <v>0.72187138741589441</v>
      </c>
      <c r="AB64" s="354">
        <f>RCoutEsr*Table2[[#This Row],[Irms Cout]]^2</f>
        <v>2.6054914998487415E-3</v>
      </c>
      <c r="AC64" s="354">
        <f>Table2[[#This Row],[Cout ESR Loss]]</f>
        <v>2.6054914998487415E-3</v>
      </c>
      <c r="AD64" s="4">
        <f>IF(Table2[[#This Row],[Vin]]&gt;Vout, SQRT(Table2[[#This Row],[Duty Cycle BUCK Leg]]*(1-Table2[[#This Row],[Duty Cycle BUCK Leg]]))*SQRT(Table2[[#This Row],[Iout]]^2+(Table2[[#This Row],[Ripple Current pk-pk]]^2)/12), Table2[[#This Row],[Ripple Current pk-pk]]/SQRT(12))</f>
        <v>2.9353816354943985</v>
      </c>
      <c r="AE64" s="354">
        <f>RCinEsr*Table2[[#This Row],[Irms Cin]]^2</f>
        <v>1.7232930691995538E-2</v>
      </c>
      <c r="AF64" s="549">
        <f>Table2[[#This Row],[Cin ESR Loss]]</f>
        <v>1.7232930691995538E-2</v>
      </c>
      <c r="AG64" s="354">
        <f>Table2[[#This Row],[Irms Lf]]</f>
        <v>6.6393597808802127</v>
      </c>
      <c r="AH64" s="354">
        <f>Rdson1*Table2[[#This Row],[Irms BuCtrl]]^2</f>
        <v>0.18514061285987296</v>
      </c>
      <c r="AI64" s="354">
        <f>CHOOSE(Table2[[#This Row],[Mode Digit]], (Table2[[#This Row],[Vin]]*Table2[[#This Row],[Iout]]/2)*(Fsw)*(Tr_buck+Tf_buck), 0, (Table2[[#This Row],[Vin]]*Table2[[#This Row],[Avg IL]]/2)*(Fsw/1)*(Tr_buck+Tf_buck))</f>
        <v>1.3089604364518086</v>
      </c>
      <c r="AJ64">
        <f>IF(Table2[[#This Row],[Vin]]&gt;Vout, IF(Table2[[#This Row],[Iout]]&gt;Table2[[#This Row],[Ripple Current pk-pk]]/2,0,ABS(Table2[[#This Row],[Iout]]-Table2[[#This Row],[Ripple Current pk-pk]]/2)*Vsd_Q1*Deadtime*Fsw),0)</f>
        <v>0</v>
      </c>
      <c r="AK64" s="354">
        <f>(Table2[[#This Row],[Dead Time Loss BuCtrl]]+Table2[[#This Row],[Transition Loss BuCtrl]]+Table2[[#This Row],[RDS(on) Loss BuCtrl]]*(1+RdsonTopTc*Ta-RdsonTopTc*25))/(1-Table2[[#This Row],[RDS(on) Loss BuCtrl]]*RdsonTopTc*ThetaJA_Q1)</f>
        <v>1.5635766172737862</v>
      </c>
      <c r="AL64" s="354">
        <f>Table2[[#This Row],[Irms Lf]]</f>
        <v>6.6393597808802127</v>
      </c>
      <c r="AM64" s="354">
        <f>Rdson2*Table2[[#This Row],[Irms BuSync]]^2</f>
        <v>0.18514061285987296</v>
      </c>
      <c r="AN64"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0.31755428571428568</v>
      </c>
      <c r="AO64" s="354">
        <f>(Table2[[#This Row],[Deadtime Loss BuSync]]+Table2[[#This Row],[RDS(on) Loss BuSync]]*(1+RdsonBotTc*Ta-RdsonBotTc*25))/(1-Table2[[#This Row],[RDS(on) Loss BuSync]]*RdsonBotTc*ThetaJA_Q2)</f>
        <v>0.52607016733940171</v>
      </c>
      <c r="AP64" s="354">
        <f>Table2[[#This Row],[Irms Lf]]</f>
        <v>6.6393597808802127</v>
      </c>
      <c r="AQ64" s="354">
        <f>Rdson4*Table2[[#This Row],[Irms BoCtlr]]^2</f>
        <v>0.18514061285987296</v>
      </c>
      <c r="AR64" s="354">
        <f>CHOOSE(Table2[[#This Row],[Mode Digit]], 0, (Vout*Table2[[#This Row],[Iin]]/2)*(Fsw)*(Tr_boost+Tf_boost), (Vout*Iout/2)*(Fsw/1)*(Tr_boost+Tf_boost))</f>
        <v>0</v>
      </c>
      <c r="AS64" s="354">
        <f>IF(Table2[[#This Row],[Vin]]&gt;Vout, 0, IF(Table2[[#This Row],[Iin]]&gt;Table2[[#This Row],[Ripple Current pk-pk]]/2,0,ABS(Table2[[#This Row],[Iin]]-Table2[[#This Row],[Ripple Current pk-pk]]/2)*Vsd_Q4*Deadtime*Fsw))</f>
        <v>0</v>
      </c>
      <c r="AT64" s="354">
        <f>(Table2[[#This Row],[Dead Time Loss BoCtlr]]+Table2[[#This Row],[Transition Loss BoCtlr]]+Table2[[#This Row],[RDS(on) Loss BoCtlr]]*(1+RdsonTopTc*Ta-RdsonTopTc*25))/(1-Table2[[#This Row],[RDS(on) Loss BoCtlr]]*RdsonTopTc*ThetaJA_Q4)</f>
        <v>0.19374963514602794</v>
      </c>
      <c r="AU64" s="354">
        <f>Table2[[#This Row],[Irms Lf]]</f>
        <v>6.6393597808802127</v>
      </c>
      <c r="AV64" s="354">
        <f>Rdson3*Table2[[#This Row],[Irms BoSync]]^2</f>
        <v>0.18514061285987296</v>
      </c>
      <c r="AW64"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64" s="354">
        <f>(Table2[[#This Row],[Deadtime Loss BoSync]]+Table2[[#This Row],[RDS(on) Loss BoSync]]*(1+RdsonBotTc*Ta-RdsonBotTc*25))/(1-Table2[[#This Row],[RDS(on) Loss BoSync]]*RdsonBotTc*ThetaJA_Q3)</f>
        <v>0.19374963514602794</v>
      </c>
      <c r="AY64" s="354">
        <f>CHOOSE(Table2[[#This Row],[Mode Digit]], Rdson3*Table2[[#This Row],[Irms Lf]]^2, Rdson1*Table2[[#This Row],[Irms Lf]]^2, 0)</f>
        <v>0.18514061285987296</v>
      </c>
      <c r="AZ64" s="354">
        <f>CHOOSE(Table2[[#This Row],[Mode Digit]], 2*Deadtime*Fsw*IF(VfdSky_Q2&gt;0,VfdSky_Q2,0)*Table2[[#This Row],[Iout]], 2*Deadtime*Fsw*IF(VfdSky_Q3&gt;0,VfdSky_Q3,0)*Table2[[#This Row],[Iin]], 2*Deadtime*Fsw*IF(VfdSky_Q2&gt;0,VfdSky_Q2,0)*Table2[[#This Row],[Iout]]+2*Deadtime*Fsw*IF(VfdSky_Q3&gt;0,VfdSky_Q3,0)*Table2[[#This Row],[Iin]])</f>
        <v>0</v>
      </c>
      <c r="BA6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0.13181704800000002</v>
      </c>
      <c r="BB6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0.13181704800000002</v>
      </c>
      <c r="BC64" s="354">
        <f>CHOOSE(Table2[[#This Row],[Mode Digit]], Rs*Table2[[#This Row],[Irms BuSync]]^2, Rs*Table2[[#This Row],[Irms BoCtlr]]^2, Rs*(Table2[[#This Row],[Irms BuSync]]^2+Table2[[#This Row],[Irms BoCtlr]]^2))</f>
        <v>0.11020274574992436</v>
      </c>
      <c r="BD64" s="354">
        <f t="shared" si="6"/>
        <v>1.44</v>
      </c>
      <c r="BE64" s="354">
        <f>IF(Vout&gt;8, Iq*Vout, Iq*Table2[[#This Row],[Vin]])</f>
        <v>4.3799999999999999E-2</v>
      </c>
      <c r="BF64" s="354">
        <f>CHOOSE(Table2[[#This Row],[Mode Digit]], (Qg_Q1+Qg_Q2)*Fsw, (Qg_Q3+Qg_Q4)*Fsw, (Qg_Q1+Qg_Q2+Qg_Q3+Qg_Q4)*Fsw)*IF(Vout&gt;8, Vout, Table2[[#This Row],[Vin]])</f>
        <v>0.47303999999999996</v>
      </c>
      <c r="BG64" s="354">
        <f t="shared" si="4"/>
        <v>0.45605042016806729</v>
      </c>
      <c r="BH64" s="354">
        <f>Table2[[#This Row],[IQ Loss]]+Table2[[#This Row],[Switching Current Loss]]</f>
        <v>0.51683999999999997</v>
      </c>
      <c r="BI64"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5.3542624149547162</v>
      </c>
      <c r="BJ64">
        <f>Vout*Table2[[#This Row],[Iout]]</f>
        <v>96.36</v>
      </c>
      <c r="BK64" s="550">
        <f>Table2[[#This Row],[Pout]]/(Table2[[#This Row],[Pout]]+Table2[[#This Row],[Total Loss]])</f>
        <v>0.94735976757014262</v>
      </c>
      <c r="BL64" s="559">
        <f>IF(Table2[[#This Row],[Vin]]&gt;Vout,ThetaJA_Q1*(Table2[[#This Row],[Total Control Bu MOSFET Loss]]+Table2[[#This Row],[Reverse Recovery Loss MOSFET D BUCK]]),ThetaJA_Q4*(Table2[[#This Row],[Total Control Bo MOSFET Loss]]+Table2[[#This Row],[Reverse Recovery Loss MOSFET D BOOST]]))</f>
        <v>101.72361991642717</v>
      </c>
      <c r="BM64" s="559">
        <f>IF(Table2[[#This Row],[Vin]]&gt;Vout, Table2[[#This Row],[Total Sync Bu MOSFET Loss]]*ThetaJA_Q2, ThetaJA_Q3*Table2[[#This Row],[Total Sync Bo MOSFET Loss]])</f>
        <v>31.564210040364102</v>
      </c>
      <c r="BN64" s="9"/>
      <c r="BO64" s="4">
        <f>Table2[[#This Row],[EFF, h]]*100</f>
        <v>94.735976757014257</v>
      </c>
      <c r="BP64" s="354">
        <f>Table2[[#This Row],[Total Inductor Loss]]</f>
        <v>0.52660109610770411</v>
      </c>
      <c r="BQ64" s="354">
        <f>Table2[[#This Row],[Total Control Bu MOSFET Loss]]+Table2[[#This Row],[Total Sync Bu MOSFET Loss]]+Table2[[#This Row],[Total Control Bo MOSFET Loss]]+Table2[[#This Row],[Total Sync Bo MOSFET Loss]]+Table2[[#This Row],[Reverse Recovery Loss MOSFET D BUCK]]+Table2[[#This Row],[Reverse Recovery Loss MOSFET D BOOST]]</f>
        <v>2.740780150905243</v>
      </c>
      <c r="BR64" s="354">
        <f xml:space="preserve"> Table2[[#This Row],[Total Control Bu MOSFET Loss]]+Table2[[#This Row],[Reverse Recovery Loss MOSFET D BUCK]]*0.66</f>
        <v>1.6505758689537862</v>
      </c>
      <c r="BS64" s="354">
        <f>Table2[[#This Row],[Total Sync Bu MOSFET Loss]]+Table2[[#This Row],[Reverse Recovery Loss MOSFET D BUCK]]*0.33</f>
        <v>0.56956979317940171</v>
      </c>
      <c r="BT64" s="354">
        <f xml:space="preserve"> Table2[[#This Row],[Total Control Bo MOSFET Loss]]+Table2[[#This Row],[Reverse Recovery Loss MOSFET D BOOST]]*0.66</f>
        <v>0.28074888682602794</v>
      </c>
      <c r="BU64" s="354">
        <f xml:space="preserve"> Table2[[#This Row],[Total Sync Bo MOSFET Loss]]+Table2[[#This Row],[Reverse Recovery Loss MOSFET D BOOST]]*0.33</f>
        <v>0.23724926098602794</v>
      </c>
      <c r="BV64" s="354">
        <f>Table2[[#This Row],[Isense Shunt Loss]]</f>
        <v>0.11020274574992436</v>
      </c>
      <c r="CB64" s="18"/>
      <c r="CC64" s="19"/>
    </row>
    <row r="65" spans="1:81" x14ac:dyDescent="0.2">
      <c r="G65">
        <v>56</v>
      </c>
      <c r="H65" s="555">
        <f t="shared" si="5"/>
        <v>20</v>
      </c>
      <c r="I65" s="4" t="str">
        <f>IF(Mode = 2,IF(Table2[[#This Row],[Vin]]&gt;Vout, "BUCK","BOOST"),IF(Table2[[#This Row],[Vin]]&gt;VIN_BB_to_buck, "BUCK", IF(Table2[[#This Row],[Vin]]&lt;=VIN_boost_to_BB,"BOOST","BUCK-BST")))</f>
        <v>BUCK</v>
      </c>
      <c r="J65">
        <f>IF(Table2[[#This Row],[Mode]]="BOOST",2, IF(Table2[[#This Row],[Mode]]="BUCK", 1,3))</f>
        <v>1</v>
      </c>
      <c r="K65" s="354">
        <f t="shared" si="7"/>
        <v>6.72</v>
      </c>
      <c r="L65" s="4">
        <f>Vout*Table2[[#This Row],[Iout]]/(Table2[[#This Row],[Vin]]*Efficiency)</f>
        <v>5.1637894736842105</v>
      </c>
      <c r="M65" s="711">
        <f>MIN(1/Fsw,CHOOSE(Table2[[#This Row],[Mode Digit]],(Vout+(Rdson2+Rs+Rdcr)*Table2[[#This Row],[Iout]])/(Table2[[#This Row],[Vin]]+(Rs+Rdson2-Rdson1)*Table2[[#This Row],[Iout]])/Fsw,(Vout+(Rdson3+Rdcr)*Table2[[#This Row],[Iin]]-Table2[[#This Row],[Vin]])/(Vout+(Rdson3-Rdson4-Rs)*Table2[[#This Row],[Iin]])/Fsw,t1_Ph_II))</f>
        <v>1.2226396493612031E-6</v>
      </c>
      <c r="N65" s="602">
        <f>CHOOSE(Table2[[#This Row],[Mode Digit]],1/Fsw-Table2[[#This Row],[t1_Ph_II]],1/Fsw-Table2[[#This Row],[t1_Ph_II]],(Vout/Fsw-Table2[[#This Row],[Vin]]*t1_Ph_II)/(Table2[[#This Row],[Vin]]+Vout))</f>
        <v>4.4402701730546355E-7</v>
      </c>
      <c r="O65" s="602">
        <f>1/Fsw-(Table2[[#This Row],[t1_Ph_II]]+Table2[[#This Row],[t2_Ph_I]])</f>
        <v>0</v>
      </c>
      <c r="P65"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5.4695730858805875</v>
      </c>
      <c r="Q65" s="4">
        <f>CHOOSE(Table2[[#This Row],[Mode Digit]],Table2[[#This Row],[I_0]]+1/Lf*(Table2[[#This Row],[Vin]]-Vout)*Table2[[#This Row],[t1_Ph_II]],Table2[[#This Row],[I_0]]+1/Lf*Table2[[#This Row],[Vin]]*Table2[[#This Row],[t1_Ph_II]],Table2[[#This Row],[I_0]]+(Table2[[#This Row],[Vin]]-Vout)/L*Table2[[#This Row],[t1_Ph_II]])</f>
        <v>7.9704269141194128</v>
      </c>
      <c r="R65" s="4">
        <f>CHOOSE(Table2[[#This Row],[Mode Digit]],0,0,Table2[[#This Row],[I_1]]+Table2[[#This Row],[Vin]]/L*Table2[[#This Row],[t2_Ph_I]])</f>
        <v>0</v>
      </c>
      <c r="S65" s="409">
        <f>Fsw*(Table2[[#This Row],[I_0]]*Table2[[#This Row],[t1_Ph_II]]+Table2[[#This Row],[I_1]]*Table2[[#This Row],[t2_Ph_I]]+Table2[[#This Row],[I_2]]*Table2[[#This Row],[t3_Ph_III]])</f>
        <v>6.1358410855224887</v>
      </c>
      <c r="T65" s="354">
        <f>MIN(1,CHOOSE(Table2[[#This Row],[Mode Digit]],(Vout+(Rdson2+Rs+Rdcr)*Table2[[#This Row],[Iout]])/(Table2[[#This Row],[Vin]]+(Rs+Rdson2-Rdson1)*Table2[[#This Row],[Iout]]),1,Fsw*Table2[[#This Row],[t2_Ph_I]]+Table2[[#This Row],[t1_Ph_II]]))</f>
        <v>0.73358378961672188</v>
      </c>
      <c r="U65" s="354">
        <f>MIN(1,CHOOSE(Table2[[#This Row],[Mode Digit]],0,(Vout+(Rdson3+Rdcr)*Table2[[#This Row],[Iin]]-Table2[[#This Row],[Vin]])/(Vout+(Rdson3-Rdson4-Rs)*Table2[[#This Row],[Iin]]),Fsw*Table2[[#This Row],[t1_Ph_II]]+Table2[[#This Row],[t3_Ph_III]]))</f>
        <v>0</v>
      </c>
      <c r="V65" s="4">
        <f>MAX(Table2[[#This Row],[I_0]:[I_2]])-MIN(Table2[[#This Row],[I_0]:[I_1]])</f>
        <v>2.5008538282388253</v>
      </c>
      <c r="W65"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6.7586677056836733</v>
      </c>
      <c r="X65" s="354">
        <f>(Table2[[#This Row],[Irms Lf]]^2*Rdcr*(1+Ltc*Ta-Ltc*25))/(1-Table2[[#This Row],[Irms Lf]]^2*Rdcr*Ltc*ThetaCa)</f>
        <v>0.27067874219782223</v>
      </c>
      <c r="Y65" s="354">
        <f>ABS(7.759*10^-3*Fsw^0.9458*(0.00787*Table2[[#This Row],[Ripple Current pk-pk]])^2.304)</f>
        <v>0.26564549218141703</v>
      </c>
      <c r="Z65" s="354">
        <f>Table2[[#This Row],[DCR    Loss]]+Table2[[#This Row],[Core Loss]]</f>
        <v>0.53632423437923926</v>
      </c>
      <c r="AA65" s="4">
        <f>IF(Table2[[#This Row],[Vin]]&gt;Vout, Table2[[#This Row],[Ripple Current pk-pk]]/SQRT(12), SQRT(Table2[[#This Row],[Duty Cycle BOOST Leg]]/(1-Table2[[#This Row],[Duty Cycle BOOST Leg]]))*SQRT(Table2[[#This Row],[Iout]]^2+(Table2[[#This Row],[Ripple Current pk-pk]]^2)/12))</f>
        <v>0.72193431546879594</v>
      </c>
      <c r="AB65" s="354">
        <f>RCoutEsr*Table2[[#This Row],[Irms Cout]]^2</f>
        <v>2.605945779256995E-3</v>
      </c>
      <c r="AC65" s="354">
        <f>Table2[[#This Row],[Cout ESR Loss]]</f>
        <v>2.605945779256995E-3</v>
      </c>
      <c r="AD65" s="4">
        <f>IF(Table2[[#This Row],[Vin]]&gt;Vout, SQRT(Table2[[#This Row],[Duty Cycle BUCK Leg]]*(1-Table2[[#This Row],[Duty Cycle BUCK Leg]]))*SQRT(Table2[[#This Row],[Iout]]^2+(Table2[[#This Row],[Ripple Current pk-pk]]^2)/12), Table2[[#This Row],[Ripple Current pk-pk]]/SQRT(12))</f>
        <v>2.9879015307499133</v>
      </c>
      <c r="AE65" s="354">
        <f>RCinEsr*Table2[[#This Row],[Irms Cin]]^2</f>
        <v>1.7855111114915348E-2</v>
      </c>
      <c r="AF65" s="549">
        <f>Table2[[#This Row],[Cin ESR Loss]]</f>
        <v>1.7855111114915348E-2</v>
      </c>
      <c r="AG65" s="354">
        <f>Table2[[#This Row],[Irms Lf]]</f>
        <v>6.7586677056836733</v>
      </c>
      <c r="AH65" s="354">
        <f>Rdson1*Table2[[#This Row],[Irms BuCtrl]]^2</f>
        <v>0.19185427445457595</v>
      </c>
      <c r="AI65" s="354">
        <f>CHOOSE(Table2[[#This Row],[Mode Digit]], (Table2[[#This Row],[Vin]]*Table2[[#This Row],[Iout]]/2)*(Fsw)*(Tr_buck+Tf_buck), 0, (Table2[[#This Row],[Vin]]*Table2[[#This Row],[Avg IL]]/2)*(Fsw/1)*(Tr_buck+Tf_buck))</f>
        <v>1.3327597171145689</v>
      </c>
      <c r="AJ65">
        <f>IF(Table2[[#This Row],[Vin]]&gt;Vout, IF(Table2[[#This Row],[Iout]]&gt;Table2[[#This Row],[Ripple Current pk-pk]]/2,0,ABS(Table2[[#This Row],[Iout]]-Table2[[#This Row],[Ripple Current pk-pk]]/2)*Vsd_Q1*Deadtime*Fsw),0)</f>
        <v>0</v>
      </c>
      <c r="AK65" s="354">
        <f>(Table2[[#This Row],[Dead Time Loss BuCtrl]]+Table2[[#This Row],[Transition Loss BuCtrl]]+Table2[[#This Row],[RDS(on) Loss BuCtrl]]*(1+RdsonTopTc*Ta-RdsonTopTc*25))/(1-Table2[[#This Row],[RDS(on) Loss BuCtrl]]*RdsonTopTc*ThetaJA_Q1)</f>
        <v>1.5982033040481187</v>
      </c>
      <c r="AL65" s="354">
        <f>Table2[[#This Row],[Irms Lf]]</f>
        <v>6.7586677056836733</v>
      </c>
      <c r="AM65" s="354">
        <f>Rdson2*Table2[[#This Row],[Irms BuSync]]^2</f>
        <v>0.19185427445457595</v>
      </c>
      <c r="AN65"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0.323328</v>
      </c>
      <c r="AO65" s="354">
        <f>(Table2[[#This Row],[Deadtime Loss BuSync]]+Table2[[#This Row],[RDS(on) Loss BuSync]]*(1+RdsonBotTc*Ta-RdsonBotTc*25))/(1-Table2[[#This Row],[RDS(on) Loss BuSync]]*RdsonBotTc*ThetaJA_Q2)</f>
        <v>0.54004883713084195</v>
      </c>
      <c r="AP65" s="354">
        <f>Table2[[#This Row],[Irms Lf]]</f>
        <v>6.7586677056836733</v>
      </c>
      <c r="AQ65" s="354">
        <f>Rdson4*Table2[[#This Row],[Irms BoCtlr]]^2</f>
        <v>0.19185427445457595</v>
      </c>
      <c r="AR65" s="354">
        <f>CHOOSE(Table2[[#This Row],[Mode Digit]], 0, (Vout*Table2[[#This Row],[Iin]]/2)*(Fsw)*(Tr_boost+Tf_boost), (Vout*Iout/2)*(Fsw/1)*(Tr_boost+Tf_boost))</f>
        <v>0</v>
      </c>
      <c r="AS65" s="354">
        <f>IF(Table2[[#This Row],[Vin]]&gt;Vout, 0, IF(Table2[[#This Row],[Iin]]&gt;Table2[[#This Row],[Ripple Current pk-pk]]/2,0,ABS(Table2[[#This Row],[Iin]]-Table2[[#This Row],[Ripple Current pk-pk]]/2)*Vsd_Q4*Deadtime*Fsw))</f>
        <v>0</v>
      </c>
      <c r="AT65" s="354">
        <f>(Table2[[#This Row],[Dead Time Loss BoCtlr]]+Table2[[#This Row],[Transition Loss BoCtlr]]+Table2[[#This Row],[RDS(on) Loss BoCtlr]]*(1+RdsonTopTc*Ta-RdsonTopTc*25))/(1-Table2[[#This Row],[RDS(on) Loss BoCtlr]]*RdsonTopTc*ThetaJA_Q4)</f>
        <v>0.20111460148249061</v>
      </c>
      <c r="AU65" s="354">
        <f>Table2[[#This Row],[Irms Lf]]</f>
        <v>6.7586677056836733</v>
      </c>
      <c r="AV65" s="354">
        <f>Rdson3*Table2[[#This Row],[Irms BoSync]]^2</f>
        <v>0.19185427445457595</v>
      </c>
      <c r="AW65"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65" s="354">
        <f>(Table2[[#This Row],[Deadtime Loss BoSync]]+Table2[[#This Row],[RDS(on) Loss BoSync]]*(1+RdsonBotTc*Ta-RdsonBotTc*25))/(1-Table2[[#This Row],[RDS(on) Loss BoSync]]*RdsonBotTc*ThetaJA_Q3)</f>
        <v>0.20111460148249061</v>
      </c>
      <c r="AY65" s="354">
        <f>CHOOSE(Table2[[#This Row],[Mode Digit]], Rdson3*Table2[[#This Row],[Irms Lf]]^2, Rdson1*Table2[[#This Row],[Irms Lf]]^2, 0)</f>
        <v>0.19185427445457595</v>
      </c>
      <c r="AZ65" s="354">
        <f>CHOOSE(Table2[[#This Row],[Mode Digit]], 2*Deadtime*Fsw*IF(VfdSky_Q2&gt;0,VfdSky_Q2,0)*Table2[[#This Row],[Iout]], 2*Deadtime*Fsw*IF(VfdSky_Q3&gt;0,VfdSky_Q3,0)*Table2[[#This Row],[Iin]], 2*Deadtime*Fsw*IF(VfdSky_Q2&gt;0,VfdSky_Q2,0)*Table2[[#This Row],[Iout]]+2*Deadtime*Fsw*IF(VfdSky_Q3&gt;0,VfdSky_Q3,0)*Table2[[#This Row],[Iin]])</f>
        <v>0</v>
      </c>
      <c r="BA6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0.13421033471999999</v>
      </c>
      <c r="BB6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0.13421033471999999</v>
      </c>
      <c r="BC65" s="354">
        <f>CHOOSE(Table2[[#This Row],[Mode Digit]], Rs*Table2[[#This Row],[Irms BuSync]]^2, Rs*Table2[[#This Row],[Irms BoCtlr]]^2, Rs*(Table2[[#This Row],[Irms BuSync]]^2+Table2[[#This Row],[Irms BoCtlr]]^2))</f>
        <v>0.11419897288962853</v>
      </c>
      <c r="BD65" s="354">
        <f t="shared" si="6"/>
        <v>1.44</v>
      </c>
      <c r="BE65" s="354">
        <f>IF(Vout&gt;8, Iq*Vout, Iq*Table2[[#This Row],[Vin]])</f>
        <v>4.3799999999999999E-2</v>
      </c>
      <c r="BF65" s="354">
        <f>CHOOSE(Table2[[#This Row],[Mode Digit]], (Qg_Q1+Qg_Q2)*Fsw, (Qg_Q3+Qg_Q4)*Fsw, (Qg_Q1+Qg_Q2+Qg_Q3+Qg_Q4)*Fsw)*IF(Vout&gt;8, Vout, Table2[[#This Row],[Vin]])</f>
        <v>0.47303999999999996</v>
      </c>
      <c r="BG65" s="354">
        <f t="shared" si="4"/>
        <v>0.45605042016806729</v>
      </c>
      <c r="BH65" s="354">
        <f>Table2[[#This Row],[IQ Loss]]+Table2[[#This Row],[Switching Current Loss]]</f>
        <v>0.51683999999999997</v>
      </c>
      <c r="BI65"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5.4367262777469811</v>
      </c>
      <c r="BJ65">
        <f>Vout*Table2[[#This Row],[Iout]]</f>
        <v>98.111999999999995</v>
      </c>
      <c r="BK65" s="550">
        <f>Table2[[#This Row],[Pout]]/(Table2[[#This Row],[Pout]]+Table2[[#This Row],[Total Loss]])</f>
        <v>0.94749596182222318</v>
      </c>
      <c r="BL65" s="559">
        <f>IF(Table2[[#This Row],[Vin]]&gt;Vout,ThetaJA_Q1*(Table2[[#This Row],[Total Control Bu MOSFET Loss]]+Table2[[#This Row],[Reverse Recovery Loss MOSFET D BUCK]]),ThetaJA_Q4*(Table2[[#This Row],[Total Control Bo MOSFET Loss]]+Table2[[#This Row],[Reverse Recovery Loss MOSFET D BOOST]]))</f>
        <v>103.94481832608712</v>
      </c>
      <c r="BM65" s="559">
        <f>IF(Table2[[#This Row],[Vin]]&gt;Vout, Table2[[#This Row],[Total Sync Bu MOSFET Loss]]*ThetaJA_Q2, ThetaJA_Q3*Table2[[#This Row],[Total Sync Bo MOSFET Loss]])</f>
        <v>32.402930227850518</v>
      </c>
      <c r="BN65" s="9"/>
      <c r="BO65" s="4">
        <f>Table2[[#This Row],[EFF, h]]*100</f>
        <v>94.749596182222319</v>
      </c>
      <c r="BP65" s="354">
        <f>Table2[[#This Row],[Total Inductor Loss]]</f>
        <v>0.53632423437923926</v>
      </c>
      <c r="BQ65" s="354">
        <f>Table2[[#This Row],[Total Control Bu MOSFET Loss]]+Table2[[#This Row],[Total Sync Bu MOSFET Loss]]+Table2[[#This Row],[Total Control Bo MOSFET Loss]]+Table2[[#This Row],[Total Sync Bo MOSFET Loss]]+Table2[[#This Row],[Reverse Recovery Loss MOSFET D BUCK]]+Table2[[#This Row],[Reverse Recovery Loss MOSFET D BOOST]]</f>
        <v>2.8089020135839418</v>
      </c>
      <c r="BR65" s="354">
        <f xml:space="preserve"> Table2[[#This Row],[Total Control Bu MOSFET Loss]]+Table2[[#This Row],[Reverse Recovery Loss MOSFET D BUCK]]*0.66</f>
        <v>1.6867821249633188</v>
      </c>
      <c r="BS65" s="354">
        <f>Table2[[#This Row],[Total Sync Bu MOSFET Loss]]+Table2[[#This Row],[Reverse Recovery Loss MOSFET D BUCK]]*0.33</f>
        <v>0.58433824758844199</v>
      </c>
      <c r="BT65" s="354">
        <f xml:space="preserve"> Table2[[#This Row],[Total Control Bo MOSFET Loss]]+Table2[[#This Row],[Reverse Recovery Loss MOSFET D BOOST]]*0.66</f>
        <v>0.28969342239769058</v>
      </c>
      <c r="BU65" s="354">
        <f xml:space="preserve"> Table2[[#This Row],[Total Sync Bo MOSFET Loss]]+Table2[[#This Row],[Reverse Recovery Loss MOSFET D BOOST]]*0.33</f>
        <v>0.24540401194009059</v>
      </c>
      <c r="BV65" s="354">
        <f>Table2[[#This Row],[Isense Shunt Loss]]</f>
        <v>0.11419897288962853</v>
      </c>
      <c r="CB65" s="18"/>
      <c r="CC65" s="19"/>
    </row>
    <row r="66" spans="1:81" x14ac:dyDescent="0.2">
      <c r="A66" s="11" t="s">
        <v>81</v>
      </c>
      <c r="B66" s="31"/>
      <c r="C66" s="31"/>
      <c r="G66">
        <v>57</v>
      </c>
      <c r="H66" s="555">
        <f t="shared" si="5"/>
        <v>20</v>
      </c>
      <c r="I66" s="4" t="str">
        <f>IF(Mode = 2,IF(Table2[[#This Row],[Vin]]&gt;Vout, "BUCK","BOOST"),IF(Table2[[#This Row],[Vin]]&gt;VIN_BB_to_buck, "BUCK", IF(Table2[[#This Row],[Vin]]&lt;=VIN_boost_to_BB,"BOOST","BUCK-BST")))</f>
        <v>BUCK</v>
      </c>
      <c r="J66">
        <f>IF(Table2[[#This Row],[Mode]]="BOOST",2, IF(Table2[[#This Row],[Mode]]="BUCK", 1,3))</f>
        <v>1</v>
      </c>
      <c r="K66" s="354">
        <f t="shared" si="7"/>
        <v>6.84</v>
      </c>
      <c r="L66" s="4">
        <f>Vout*Table2[[#This Row],[Iout]]/(Table2[[#This Row],[Vin]]*Efficiency)</f>
        <v>5.2559999999999993</v>
      </c>
      <c r="M66" s="711">
        <f>MIN(1/Fsw,CHOOSE(Table2[[#This Row],[Mode Digit]],(Vout+(Rdson2+Rs+Rdcr)*Table2[[#This Row],[Iout]])/(Table2[[#This Row],[Vin]]+(Rs+Rdson2-Rdson1)*Table2[[#This Row],[Iout]])/Fsw,(Vout+(Rdson3+Rdcr)*Table2[[#This Row],[Iin]]-Table2[[#This Row],[Vin]])/(Vout+(Rdson3-Rdson4-Rs)*Table2[[#This Row],[Iin]])/Fsw,t1_Ph_II))</f>
        <v>1.2227462186497212E-6</v>
      </c>
      <c r="N66" s="602">
        <f>CHOOSE(Table2[[#This Row],[Mode Digit]],1/Fsw-Table2[[#This Row],[t1_Ph_II]],1/Fsw-Table2[[#This Row],[t1_Ph_II]],(Vout/Fsw-Table2[[#This Row],[Vin]]*t1_Ph_II)/(Table2[[#This Row],[Vin]]+Vout))</f>
        <v>4.4392044801694548E-7</v>
      </c>
      <c r="O66" s="602">
        <f>1/Fsw-(Table2[[#This Row],[t1_Ph_II]]+Table2[[#This Row],[t2_Ph_I]])</f>
        <v>0</v>
      </c>
      <c r="P66"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5.5894640945627847</v>
      </c>
      <c r="Q66" s="4">
        <f>CHOOSE(Table2[[#This Row],[Mode Digit]],Table2[[#This Row],[I_0]]+1/Lf*(Table2[[#This Row],[Vin]]-Vout)*Table2[[#This Row],[t1_Ph_II]],Table2[[#This Row],[I_0]]+1/Lf*Table2[[#This Row],[Vin]]*Table2[[#This Row],[t1_Ph_II]],Table2[[#This Row],[I_0]]+(Table2[[#This Row],[Vin]]-Vout)/L*Table2[[#This Row],[t1_Ph_II]])</f>
        <v>8.0905359054372141</v>
      </c>
      <c r="R66" s="4">
        <f>CHOOSE(Table2[[#This Row],[Mode Digit]],0,0,Table2[[#This Row],[I_1]]+Table2[[#This Row],[Vin]]/L*Table2[[#This Row],[t2_Ph_I]])</f>
        <v>0</v>
      </c>
      <c r="S66" s="409">
        <f>Fsw*(Table2[[#This Row],[I_0]]*Table2[[#This Row],[t1_Ph_II]]+Table2[[#This Row],[I_1]]*Table2[[#This Row],[t2_Ph_I]]+Table2[[#This Row],[I_2]]*Table2[[#This Row],[t3_Ph_III]])</f>
        <v>6.2556302458463424</v>
      </c>
      <c r="T66" s="354">
        <f>MIN(1,CHOOSE(Table2[[#This Row],[Mode Digit]],(Vout+(Rdson2+Rs+Rdcr)*Table2[[#This Row],[Iout]])/(Table2[[#This Row],[Vin]]+(Rs+Rdson2-Rdson1)*Table2[[#This Row],[Iout]]),1,Fsw*Table2[[#This Row],[t2_Ph_I]]+Table2[[#This Row],[t1_Ph_II]]))</f>
        <v>0.73364773118983273</v>
      </c>
      <c r="U66" s="354">
        <f>MIN(1,CHOOSE(Table2[[#This Row],[Mode Digit]],0,(Vout+(Rdson3+Rdcr)*Table2[[#This Row],[Iin]]-Table2[[#This Row],[Vin]])/(Vout+(Rdson3-Rdson4-Rs)*Table2[[#This Row],[Iin]]),Fsw*Table2[[#This Row],[t1_Ph_II]]+Table2[[#This Row],[t3_Ph_III]]))</f>
        <v>0</v>
      </c>
      <c r="V66" s="4">
        <f>MAX(Table2[[#This Row],[I_0]:[I_2]])-MIN(Table2[[#This Row],[I_0]:[I_1]])</f>
        <v>2.5010718108744294</v>
      </c>
      <c r="W66"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6.8779997104484689</v>
      </c>
      <c r="X66" s="354">
        <f>(Table2[[#This Row],[Irms Lf]]^2*Rdcr*(1+Ltc*Ta-Ltc*25))/(1-Table2[[#This Row],[Irms Lf]]^2*Rdcr*Ltc*ThetaCa)</f>
        <v>0.28053781929450478</v>
      </c>
      <c r="Y66" s="354">
        <f>ABS(7.759*10^-3*Fsw^0.9458*(0.00787*Table2[[#This Row],[Ripple Current pk-pk]])^2.304)</f>
        <v>0.2656988432591379</v>
      </c>
      <c r="Z66" s="354">
        <f>Table2[[#This Row],[DCR    Loss]]+Table2[[#This Row],[Core Loss]]</f>
        <v>0.54623666255364267</v>
      </c>
      <c r="AA66" s="4">
        <f>IF(Table2[[#This Row],[Vin]]&gt;Vout, Table2[[#This Row],[Ripple Current pk-pk]]/SQRT(12), SQRT(Table2[[#This Row],[Duty Cycle BOOST Leg]]/(1-Table2[[#This Row],[Duty Cycle BOOST Leg]]))*SQRT(Table2[[#This Row],[Iout]]^2+(Table2[[#This Row],[Ripple Current pk-pk]]^2)/12))</f>
        <v>0.7219972416354683</v>
      </c>
      <c r="AB66" s="354">
        <f>RCoutEsr*Table2[[#This Row],[Irms Cout]]^2</f>
        <v>2.6064000846461239E-3</v>
      </c>
      <c r="AC66" s="354">
        <f>Table2[[#This Row],[Cout ESR Loss]]</f>
        <v>2.6064000846461239E-3</v>
      </c>
      <c r="AD66" s="4">
        <f>IF(Table2[[#This Row],[Vin]]&gt;Vout, SQRT(Table2[[#This Row],[Duty Cycle BUCK Leg]]*(1-Table2[[#This Row],[Duty Cycle BUCK Leg]]))*SQRT(Table2[[#This Row],[Iout]]^2+(Table2[[#This Row],[Ripple Current pk-pk]]^2)/12), Table2[[#This Row],[Ripple Current pk-pk]]/SQRT(12))</f>
        <v>3.0404239357529019</v>
      </c>
      <c r="AE66" s="354">
        <f>RCinEsr*Table2[[#This Row],[Irms Cin]]^2</f>
        <v>1.8488355418198332E-2</v>
      </c>
      <c r="AF66" s="549">
        <f>Table2[[#This Row],[Cin ESR Loss]]</f>
        <v>1.8488355418198332E-2</v>
      </c>
      <c r="AG66" s="354">
        <f>Table2[[#This Row],[Irms Lf]]</f>
        <v>6.8779997104484689</v>
      </c>
      <c r="AH66" s="354">
        <f>Rdson1*Table2[[#This Row],[Irms BuCtrl]]^2</f>
        <v>0.19868889607110277</v>
      </c>
      <c r="AI66" s="354">
        <f>CHOOSE(Table2[[#This Row],[Mode Digit]], (Table2[[#This Row],[Vin]]*Table2[[#This Row],[Iout]]/2)*(Fsw)*(Tr_buck+Tf_buck), 0, (Table2[[#This Row],[Vin]]*Table2[[#This Row],[Avg IL]]/2)*(Fsw/1)*(Tr_buck+Tf_buck))</f>
        <v>1.3565589977773289</v>
      </c>
      <c r="AJ66">
        <f>IF(Table2[[#This Row],[Vin]]&gt;Vout, IF(Table2[[#This Row],[Iout]]&gt;Table2[[#This Row],[Ripple Current pk-pk]]/2,0,ABS(Table2[[#This Row],[Iout]]-Table2[[#This Row],[Ripple Current pk-pk]]/2)*Vsd_Q1*Deadtime*Fsw),0)</f>
        <v>0</v>
      </c>
      <c r="AK66" s="354">
        <f>(Table2[[#This Row],[Dead Time Loss BuCtrl]]+Table2[[#This Row],[Transition Loss BuCtrl]]+Table2[[#This Row],[RDS(on) Loss BuCtrl]]*(1+RdsonTopTc*Ta-RdsonTopTc*25))/(1-Table2[[#This Row],[RDS(on) Loss BuCtrl]]*RdsonTopTc*ThetaJA_Q1)</f>
        <v>1.6331239569240754</v>
      </c>
      <c r="AL66" s="354">
        <f>Table2[[#This Row],[Irms Lf]]</f>
        <v>6.8779997104484689</v>
      </c>
      <c r="AM66" s="354">
        <f>Rdson2*Table2[[#This Row],[Irms BuSync]]^2</f>
        <v>0.19868889607110277</v>
      </c>
      <c r="AN66"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0.32910171428571428</v>
      </c>
      <c r="AO66" s="354">
        <f>(Table2[[#This Row],[Deadtime Loss BuSync]]+Table2[[#This Row],[RDS(on) Loss BuSync]]*(1+RdsonBotTc*Ta-RdsonBotTc*25))/(1-Table2[[#This Row],[RDS(on) Loss BuSync]]*RdsonBotTc*ThetaJA_Q2)</f>
        <v>0.55421871550034707</v>
      </c>
      <c r="AP66" s="354">
        <f>Table2[[#This Row],[Irms Lf]]</f>
        <v>6.8779997104484689</v>
      </c>
      <c r="AQ66" s="354">
        <f>Rdson4*Table2[[#This Row],[Irms BoCtlr]]^2</f>
        <v>0.19868889607110277</v>
      </c>
      <c r="AR66" s="354">
        <f>CHOOSE(Table2[[#This Row],[Mode Digit]], 0, (Vout*Table2[[#This Row],[Iin]]/2)*(Fsw)*(Tr_boost+Tf_boost), (Vout*Iout/2)*(Fsw/1)*(Tr_boost+Tf_boost))</f>
        <v>0</v>
      </c>
      <c r="AS66" s="354">
        <f>IF(Table2[[#This Row],[Vin]]&gt;Vout, 0, IF(Table2[[#This Row],[Iin]]&gt;Table2[[#This Row],[Ripple Current pk-pk]]/2,0,ABS(Table2[[#This Row],[Iin]]-Table2[[#This Row],[Ripple Current pk-pk]]/2)*Vsd_Q4*Deadtime*Fsw))</f>
        <v>0</v>
      </c>
      <c r="AT66" s="354">
        <f>(Table2[[#This Row],[Dead Time Loss BoCtlr]]+Table2[[#This Row],[Transition Loss BoCtlr]]+Table2[[#This Row],[RDS(on) Loss BoCtlr]]*(1+RdsonTopTc*Ta-RdsonTopTc*25))/(1-Table2[[#This Row],[RDS(on) Loss BoCtlr]]*RdsonTopTc*ThetaJA_Q4)</f>
        <v>0.20863786244750165</v>
      </c>
      <c r="AU66" s="354">
        <f>Table2[[#This Row],[Irms Lf]]</f>
        <v>6.8779997104484689</v>
      </c>
      <c r="AV66" s="354">
        <f>Rdson3*Table2[[#This Row],[Irms BoSync]]^2</f>
        <v>0.19868889607110277</v>
      </c>
      <c r="AW66"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66" s="354">
        <f>(Table2[[#This Row],[Deadtime Loss BoSync]]+Table2[[#This Row],[RDS(on) Loss BoSync]]*(1+RdsonBotTc*Ta-RdsonBotTc*25))/(1-Table2[[#This Row],[RDS(on) Loss BoSync]]*RdsonBotTc*ThetaJA_Q3)</f>
        <v>0.20863786244750165</v>
      </c>
      <c r="AY66" s="354">
        <f>CHOOSE(Table2[[#This Row],[Mode Digit]], Rdson3*Table2[[#This Row],[Irms Lf]]^2, Rdson1*Table2[[#This Row],[Irms Lf]]^2, 0)</f>
        <v>0.19868889607110277</v>
      </c>
      <c r="AZ66" s="354">
        <f>CHOOSE(Table2[[#This Row],[Mode Digit]], 2*Deadtime*Fsw*IF(VfdSky_Q2&gt;0,VfdSky_Q2,0)*Table2[[#This Row],[Iout]], 2*Deadtime*Fsw*IF(VfdSky_Q3&gt;0,VfdSky_Q3,0)*Table2[[#This Row],[Iin]], 2*Deadtime*Fsw*IF(VfdSky_Q2&gt;0,VfdSky_Q2,0)*Table2[[#This Row],[Iout]]+2*Deadtime*Fsw*IF(VfdSky_Q3&gt;0,VfdSky_Q3,0)*Table2[[#This Row],[Iin]])</f>
        <v>0</v>
      </c>
      <c r="BA6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0.13660350048</v>
      </c>
      <c r="BB6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0.13660350048</v>
      </c>
      <c r="BC66" s="354">
        <f>CHOOSE(Table2[[#This Row],[Mode Digit]], Rs*Table2[[#This Row],[Irms BuSync]]^2, Rs*Table2[[#This Row],[Irms BoCtlr]]^2, Rs*(Table2[[#This Row],[Irms BuSync]]^2+Table2[[#This Row],[Irms BoCtlr]]^2))</f>
        <v>0.11826720004232305</v>
      </c>
      <c r="BD66" s="354">
        <f t="shared" si="6"/>
        <v>1.44</v>
      </c>
      <c r="BE66" s="354">
        <f>IF(Vout&gt;8, Iq*Vout, Iq*Table2[[#This Row],[Vin]])</f>
        <v>4.3799999999999999E-2</v>
      </c>
      <c r="BF66" s="354">
        <f>CHOOSE(Table2[[#This Row],[Mode Digit]], (Qg_Q1+Qg_Q2)*Fsw, (Qg_Q3+Qg_Q4)*Fsw, (Qg_Q1+Qg_Q2+Qg_Q3+Qg_Q4)*Fsw)*IF(Vout&gt;8, Vout, Table2[[#This Row],[Vin]])</f>
        <v>0.47303999999999996</v>
      </c>
      <c r="BG66" s="354">
        <f t="shared" si="4"/>
        <v>0.45605042016806729</v>
      </c>
      <c r="BH66" s="354">
        <f>Table2[[#This Row],[IQ Loss]]+Table2[[#This Row],[Switching Current Loss]]</f>
        <v>0.51683999999999997</v>
      </c>
      <c r="BI66"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5.5202640163782366</v>
      </c>
      <c r="BJ66">
        <f>Vout*Table2[[#This Row],[Iout]]</f>
        <v>99.86399999999999</v>
      </c>
      <c r="BK66" s="550">
        <f>Table2[[#This Row],[Pout]]/(Table2[[#This Row],[Pout]]+Table2[[#This Row],[Total Loss]])</f>
        <v>0.94761775804098891</v>
      </c>
      <c r="BL66" s="559">
        <f>IF(Table2[[#This Row],[Vin]]&gt;Vout,ThetaJA_Q1*(Table2[[#This Row],[Total Control Bu MOSFET Loss]]+Table2[[#This Row],[Reverse Recovery Loss MOSFET D BUCK]]),ThetaJA_Q4*(Table2[[#This Row],[Total Control Bo MOSFET Loss]]+Table2[[#This Row],[Reverse Recovery Loss MOSFET D BOOST]]))</f>
        <v>106.18364744424451</v>
      </c>
      <c r="BM66" s="559">
        <f>IF(Table2[[#This Row],[Vin]]&gt;Vout, Table2[[#This Row],[Total Sync Bu MOSFET Loss]]*ThetaJA_Q2, ThetaJA_Q3*Table2[[#This Row],[Total Sync Bo MOSFET Loss]])</f>
        <v>33.253122930020822</v>
      </c>
      <c r="BN66" s="9"/>
      <c r="BO66" s="4">
        <f>Table2[[#This Row],[EFF, h]]*100</f>
        <v>94.761775804098889</v>
      </c>
      <c r="BP66" s="354">
        <f>Table2[[#This Row],[Total Inductor Loss]]</f>
        <v>0.54623666255364267</v>
      </c>
      <c r="BQ66" s="354">
        <f>Table2[[#This Row],[Total Control Bu MOSFET Loss]]+Table2[[#This Row],[Total Sync Bu MOSFET Loss]]+Table2[[#This Row],[Total Control Bo MOSFET Loss]]+Table2[[#This Row],[Total Sync Bo MOSFET Loss]]+Table2[[#This Row],[Reverse Recovery Loss MOSFET D BUCK]]+Table2[[#This Row],[Reverse Recovery Loss MOSFET D BOOST]]</f>
        <v>2.8778253982794264</v>
      </c>
      <c r="BR66" s="354">
        <f xml:space="preserve"> Table2[[#This Row],[Total Control Bu MOSFET Loss]]+Table2[[#This Row],[Reverse Recovery Loss MOSFET D BUCK]]*0.66</f>
        <v>1.7232822672408754</v>
      </c>
      <c r="BS66" s="354">
        <f>Table2[[#This Row],[Total Sync Bu MOSFET Loss]]+Table2[[#This Row],[Reverse Recovery Loss MOSFET D BUCK]]*0.33</f>
        <v>0.59929787065874707</v>
      </c>
      <c r="BT66" s="354">
        <f xml:space="preserve"> Table2[[#This Row],[Total Control Bo MOSFET Loss]]+Table2[[#This Row],[Reverse Recovery Loss MOSFET D BOOST]]*0.66</f>
        <v>0.29879617276430165</v>
      </c>
      <c r="BU66" s="354">
        <f xml:space="preserve"> Table2[[#This Row],[Total Sync Bo MOSFET Loss]]+Table2[[#This Row],[Reverse Recovery Loss MOSFET D BOOST]]*0.33</f>
        <v>0.25371701760590165</v>
      </c>
      <c r="BV66" s="354">
        <f>Table2[[#This Row],[Isense Shunt Loss]]</f>
        <v>0.11826720004232305</v>
      </c>
      <c r="CB66" s="18"/>
      <c r="CC66" s="19"/>
    </row>
    <row r="67" spans="1:81" x14ac:dyDescent="0.2">
      <c r="A67" s="14" t="s">
        <v>59</v>
      </c>
      <c r="B67" s="15" t="s">
        <v>8</v>
      </c>
      <c r="C67" s="15" t="s">
        <v>80</v>
      </c>
      <c r="G67">
        <v>58</v>
      </c>
      <c r="H67" s="555">
        <f t="shared" si="5"/>
        <v>20</v>
      </c>
      <c r="I67" s="4" t="str">
        <f>IF(Mode = 2,IF(Table2[[#This Row],[Vin]]&gt;Vout, "BUCK","BOOST"),IF(Table2[[#This Row],[Vin]]&gt;VIN_BB_to_buck, "BUCK", IF(Table2[[#This Row],[Vin]]&lt;=VIN_boost_to_BB,"BOOST","BUCK-BST")))</f>
        <v>BUCK</v>
      </c>
      <c r="J67">
        <f>IF(Table2[[#This Row],[Mode]]="BOOST",2, IF(Table2[[#This Row],[Mode]]="BUCK", 1,3))</f>
        <v>1</v>
      </c>
      <c r="K67" s="354">
        <f t="shared" si="7"/>
        <v>6.96</v>
      </c>
      <c r="L67" s="4">
        <f>Vout*Table2[[#This Row],[Iout]]/(Table2[[#This Row],[Vin]]*Efficiency)</f>
        <v>5.3482105263157891</v>
      </c>
      <c r="M67" s="711">
        <f>MIN(1/Fsw,CHOOSE(Table2[[#This Row],[Mode Digit]],(Vout+(Rdson2+Rs+Rdcr)*Table2[[#This Row],[Iout]])/(Table2[[#This Row],[Vin]]+(Rs+Rdson2-Rdson1)*Table2[[#This Row],[Iout]])/Fsw,(Vout+(Rdson3+Rdcr)*Table2[[#This Row],[Iin]]-Table2[[#This Row],[Vin]])/(Vout+(Rdson3-Rdson4-Rs)*Table2[[#This Row],[Iin]])/Fsw,t1_Ph_II))</f>
        <v>1.2228527847439395E-6</v>
      </c>
      <c r="N67" s="602">
        <f>CHOOSE(Table2[[#This Row],[Mode Digit]],1/Fsw-Table2[[#This Row],[t1_Ph_II]],1/Fsw-Table2[[#This Row],[t1_Ph_II]],(Vout/Fsw-Table2[[#This Row],[Vin]]*t1_Ph_II)/(Table2[[#This Row],[Vin]]+Vout))</f>
        <v>4.4381388192272714E-7</v>
      </c>
      <c r="O67" s="602">
        <f>1/Fsw-(Table2[[#This Row],[t1_Ph_II]]+Table2[[#This Row],[t2_Ph_I]])</f>
        <v>0</v>
      </c>
      <c r="P67"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5.7093551065118797</v>
      </c>
      <c r="Q67" s="4">
        <f>CHOOSE(Table2[[#This Row],[Mode Digit]],Table2[[#This Row],[I_0]]+1/Lf*(Table2[[#This Row],[Vin]]-Vout)*Table2[[#This Row],[t1_Ph_II]],Table2[[#This Row],[I_0]]+1/Lf*Table2[[#This Row],[Vin]]*Table2[[#This Row],[t1_Ph_II]],Table2[[#This Row],[I_0]]+(Table2[[#This Row],[Vin]]-Vout)/L*Table2[[#This Row],[t1_Ph_II]])</f>
        <v>8.2106448934881193</v>
      </c>
      <c r="R67" s="4">
        <f>CHOOSE(Table2[[#This Row],[Mode Digit]],0,0,Table2[[#This Row],[I_1]]+Table2[[#This Row],[Vin]]/L*Table2[[#This Row],[t2_Ph_I]])</f>
        <v>0</v>
      </c>
      <c r="S67" s="409">
        <f>Fsw*(Table2[[#This Row],[I_0]]*Table2[[#This Row],[t1_Ph_II]]+Table2[[#This Row],[I_1]]*Table2[[#This Row],[t2_Ph_I]]+Table2[[#This Row],[I_2]]*Table2[[#This Row],[t3_Ph_III]])</f>
        <v>6.3754193846148377</v>
      </c>
      <c r="T67" s="354">
        <f>MIN(1,CHOOSE(Table2[[#This Row],[Mode Digit]],(Vout+(Rdson2+Rs+Rdcr)*Table2[[#This Row],[Iout]])/(Table2[[#This Row],[Vin]]+(Rs+Rdson2-Rdson1)*Table2[[#This Row],[Iout]]),1,Fsw*Table2[[#This Row],[t2_Ph_I]]+Table2[[#This Row],[t1_Ph_II]]))</f>
        <v>0.73371167084636368</v>
      </c>
      <c r="U67" s="354">
        <f>MIN(1,CHOOSE(Table2[[#This Row],[Mode Digit]],0,(Vout+(Rdson3+Rdcr)*Table2[[#This Row],[Iin]]-Table2[[#This Row],[Vin]])/(Vout+(Rdson3-Rdson4-Rs)*Table2[[#This Row],[Iin]]),Fsw*Table2[[#This Row],[t1_Ph_II]]+Table2[[#This Row],[t3_Ph_III]]))</f>
        <v>0</v>
      </c>
      <c r="V67" s="4">
        <f>MAX(Table2[[#This Row],[I_0]:[I_2]])-MIN(Table2[[#This Row],[I_0]:[I_1]])</f>
        <v>2.5012897869762396</v>
      </c>
      <c r="W67"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6.9973545632047705</v>
      </c>
      <c r="X67" s="354">
        <f>(Table2[[#This Row],[Irms Lf]]^2*Rdcr*(1+Ltc*Ta-Ltc*25))/(1-Table2[[#This Row],[Irms Lf]]^2*Rdcr*Ltc*ThetaCa)</f>
        <v>0.29058702499902067</v>
      </c>
      <c r="Y67" s="354">
        <f>ABS(7.759*10^-3*Fsw^0.9458*(0.00787*Table2[[#This Row],[Ripple Current pk-pk]])^2.304)</f>
        <v>0.26575219880119494</v>
      </c>
      <c r="Z67" s="354">
        <f>Table2[[#This Row],[DCR    Loss]]+Table2[[#This Row],[Core Loss]]</f>
        <v>0.55633922380021561</v>
      </c>
      <c r="AA67" s="4">
        <f>IF(Table2[[#This Row],[Vin]]&gt;Vout, Table2[[#This Row],[Ripple Current pk-pk]]/SQRT(12), SQRT(Table2[[#This Row],[Duty Cycle BOOST Leg]]/(1-Table2[[#This Row],[Duty Cycle BOOST Leg]]))*SQRT(Table2[[#This Row],[Iout]]^2+(Table2[[#This Row],[Ripple Current pk-pk]]^2)/12))</f>
        <v>0.72206016591599687</v>
      </c>
      <c r="AB67" s="354">
        <f>RCoutEsr*Table2[[#This Row],[Irms Cout]]^2</f>
        <v>2.6068544160131844E-3</v>
      </c>
      <c r="AC67" s="354">
        <f>Table2[[#This Row],[Cout ESR Loss]]</f>
        <v>2.6068544160131844E-3</v>
      </c>
      <c r="AD67" s="4">
        <f>IF(Table2[[#This Row],[Vin]]&gt;Vout, SQRT(Table2[[#This Row],[Duty Cycle BUCK Leg]]*(1-Table2[[#This Row],[Duty Cycle BUCK Leg]]))*SQRT(Table2[[#This Row],[Iout]]^2+(Table2[[#This Row],[Ripple Current pk-pk]]^2)/12), Table2[[#This Row],[Ripple Current pk-pk]]/SQRT(12))</f>
        <v>3.092948299626368</v>
      </c>
      <c r="AE67" s="354">
        <f>RCinEsr*Table2[[#This Row],[Irms Cin]]^2</f>
        <v>1.9132658368323282E-2</v>
      </c>
      <c r="AF67" s="549">
        <f>Table2[[#This Row],[Cin ESR Loss]]</f>
        <v>1.9132658368323282E-2</v>
      </c>
      <c r="AG67" s="354">
        <f>Table2[[#This Row],[Irms Lf]]</f>
        <v>6.9973545632047705</v>
      </c>
      <c r="AH67" s="354">
        <f>Rdson1*Table2[[#This Row],[Irms BuCtrl]]^2</f>
        <v>0.20564447770945105</v>
      </c>
      <c r="AI67" s="354">
        <f>CHOOSE(Table2[[#This Row],[Mode Digit]], (Table2[[#This Row],[Vin]]*Table2[[#This Row],[Iout]]/2)*(Fsw)*(Tr_buck+Tf_buck), 0, (Table2[[#This Row],[Vin]]*Table2[[#This Row],[Avg IL]]/2)*(Fsw/1)*(Tr_buck+Tf_buck))</f>
        <v>1.3803582784400892</v>
      </c>
      <c r="AJ67">
        <f>IF(Table2[[#This Row],[Vin]]&gt;Vout, IF(Table2[[#This Row],[Iout]]&gt;Table2[[#This Row],[Ripple Current pk-pk]]/2,0,ABS(Table2[[#This Row],[Iout]]-Table2[[#This Row],[Ripple Current pk-pk]]/2)*Vsd_Q1*Deadtime*Fsw),0)</f>
        <v>0</v>
      </c>
      <c r="AK67" s="354">
        <f>(Table2[[#This Row],[Dead Time Loss BuCtrl]]+Table2[[#This Row],[Transition Loss BuCtrl]]+Table2[[#This Row],[RDS(on) Loss BuCtrl]]*(1+RdsonTopTc*Ta-RdsonTopTc*25))/(1-Table2[[#This Row],[RDS(on) Loss BuCtrl]]*RdsonTopTc*ThetaJA_Q1)</f>
        <v>1.6683432967664018</v>
      </c>
      <c r="AL67" s="354">
        <f>Table2[[#This Row],[Irms Lf]]</f>
        <v>6.9973545632047705</v>
      </c>
      <c r="AM67" s="354">
        <f>Rdson2*Table2[[#This Row],[Irms BuSync]]^2</f>
        <v>0.20564447770945105</v>
      </c>
      <c r="AN67"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0.33487542857142855</v>
      </c>
      <c r="AO67" s="354">
        <f>(Table2[[#This Row],[Deadtime Loss BuSync]]+Table2[[#This Row],[RDS(on) Loss BuSync]]*(1+RdsonBotTc*Ta-RdsonBotTc*25))/(1-Table2[[#This Row],[RDS(on) Loss BuSync]]*RdsonBotTc*ThetaJA_Q2)</f>
        <v>0.56858209036270013</v>
      </c>
      <c r="AP67" s="354">
        <f>Table2[[#This Row],[Irms Lf]]</f>
        <v>6.9973545632047705</v>
      </c>
      <c r="AQ67" s="354">
        <f>Rdson4*Table2[[#This Row],[Irms BoCtlr]]^2</f>
        <v>0.20564447770945105</v>
      </c>
      <c r="AR67" s="354">
        <f>CHOOSE(Table2[[#This Row],[Mode Digit]], 0, (Vout*Table2[[#This Row],[Iin]]/2)*(Fsw)*(Tr_boost+Tf_boost), (Vout*Iout/2)*(Fsw/1)*(Tr_boost+Tf_boost))</f>
        <v>0</v>
      </c>
      <c r="AS67" s="354">
        <f>IF(Table2[[#This Row],[Vin]]&gt;Vout, 0, IF(Table2[[#This Row],[Iin]]&gt;Table2[[#This Row],[Ripple Current pk-pk]]/2,0,ABS(Table2[[#This Row],[Iin]]-Table2[[#This Row],[Ripple Current pk-pk]]/2)*Vsd_Q4*Deadtime*Fsw))</f>
        <v>0</v>
      </c>
      <c r="AT67" s="354">
        <f>(Table2[[#This Row],[Dead Time Loss BoCtlr]]+Table2[[#This Row],[Transition Loss BoCtlr]]+Table2[[#This Row],[RDS(on) Loss BoCtlr]]*(1+RdsonTopTc*Ta-RdsonTopTc*25))/(1-Table2[[#This Row],[RDS(on) Loss BoCtlr]]*RdsonTopTc*ThetaJA_Q4)</f>
        <v>0.21632092666504907</v>
      </c>
      <c r="AU67" s="354">
        <f>Table2[[#This Row],[Irms Lf]]</f>
        <v>6.9973545632047705</v>
      </c>
      <c r="AV67" s="354">
        <f>Rdson3*Table2[[#This Row],[Irms BoSync]]^2</f>
        <v>0.20564447770945105</v>
      </c>
      <c r="AW67"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67" s="354">
        <f>(Table2[[#This Row],[Deadtime Loss BoSync]]+Table2[[#This Row],[RDS(on) Loss BoSync]]*(1+RdsonBotTc*Ta-RdsonBotTc*25))/(1-Table2[[#This Row],[RDS(on) Loss BoSync]]*RdsonBotTc*ThetaJA_Q3)</f>
        <v>0.21632092666504907</v>
      </c>
      <c r="AY67" s="354">
        <f>CHOOSE(Table2[[#This Row],[Mode Digit]], Rdson3*Table2[[#This Row],[Irms Lf]]^2, Rdson1*Table2[[#This Row],[Irms Lf]]^2, 0)</f>
        <v>0.20564447770945105</v>
      </c>
      <c r="AZ67" s="354">
        <f>CHOOSE(Table2[[#This Row],[Mode Digit]], 2*Deadtime*Fsw*IF(VfdSky_Q2&gt;0,VfdSky_Q2,0)*Table2[[#This Row],[Iout]], 2*Deadtime*Fsw*IF(VfdSky_Q3&gt;0,VfdSky_Q3,0)*Table2[[#This Row],[Iin]], 2*Deadtime*Fsw*IF(VfdSky_Q2&gt;0,VfdSky_Q2,0)*Table2[[#This Row],[Iout]]+2*Deadtime*Fsw*IF(VfdSky_Q3&gt;0,VfdSky_Q3,0)*Table2[[#This Row],[Iin]])</f>
        <v>0</v>
      </c>
      <c r="BA6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0.13899654527999999</v>
      </c>
      <c r="BB6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0.13899654527999999</v>
      </c>
      <c r="BC67" s="354">
        <f>CHOOSE(Table2[[#This Row],[Mode Digit]], Rs*Table2[[#This Row],[Irms BuSync]]^2, Rs*Table2[[#This Row],[Irms BoCtlr]]^2, Rs*(Table2[[#This Row],[Irms BuSync]]^2+Table2[[#This Row],[Irms BoCtlr]]^2))</f>
        <v>0.12240742720800656</v>
      </c>
      <c r="BD67" s="354">
        <f t="shared" si="6"/>
        <v>1.44</v>
      </c>
      <c r="BE67" s="354">
        <f>IF(Vout&gt;8, Iq*Vout, Iq*Table2[[#This Row],[Vin]])</f>
        <v>4.3799999999999999E-2</v>
      </c>
      <c r="BF67" s="354">
        <f>CHOOSE(Table2[[#This Row],[Mode Digit]], (Qg_Q1+Qg_Q2)*Fsw, (Qg_Q3+Qg_Q4)*Fsw, (Qg_Q1+Qg_Q2+Qg_Q3+Qg_Q4)*Fsw)*IF(Vout&gt;8, Vout, Table2[[#This Row],[Vin]])</f>
        <v>0.47303999999999996</v>
      </c>
      <c r="BG67" s="354">
        <f t="shared" si="4"/>
        <v>0.45605042016806729</v>
      </c>
      <c r="BH67" s="354">
        <f>Table2[[#This Row],[IQ Loss]]+Table2[[#This Row],[Switching Current Loss]]</f>
        <v>0.51683999999999997</v>
      </c>
      <c r="BI67"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5.6048864948117583</v>
      </c>
      <c r="BJ67">
        <f>Vout*Table2[[#This Row],[Iout]]</f>
        <v>101.616</v>
      </c>
      <c r="BK67" s="550">
        <f>Table2[[#This Row],[Pout]]/(Table2[[#This Row],[Pout]]+Table2[[#This Row],[Total Loss]])</f>
        <v>0.94772579598954376</v>
      </c>
      <c r="BL67" s="559">
        <f>IF(Table2[[#This Row],[Vin]]&gt;Vout,ThetaJA_Q1*(Table2[[#This Row],[Total Control Bu MOSFET Loss]]+Table2[[#This Row],[Reverse Recovery Loss MOSFET D BUCK]]),ThetaJA_Q4*(Table2[[#This Row],[Total Control Bo MOSFET Loss]]+Table2[[#This Row],[Reverse Recovery Loss MOSFET D BOOST]]))</f>
        <v>108.4403905227841</v>
      </c>
      <c r="BM67" s="559">
        <f>IF(Table2[[#This Row],[Vin]]&gt;Vout, Table2[[#This Row],[Total Sync Bu MOSFET Loss]]*ThetaJA_Q2, ThetaJA_Q3*Table2[[#This Row],[Total Sync Bo MOSFET Loss]])</f>
        <v>34.11492542176201</v>
      </c>
      <c r="BN67" s="9"/>
      <c r="BO67" s="4">
        <f>Table2[[#This Row],[EFF, h]]*100</f>
        <v>94.77257959895438</v>
      </c>
      <c r="BP67" s="354">
        <f>Table2[[#This Row],[Total Inductor Loss]]</f>
        <v>0.55633922380021561</v>
      </c>
      <c r="BQ67" s="354">
        <f>Table2[[#This Row],[Total Control Bu MOSFET Loss]]+Table2[[#This Row],[Total Sync Bu MOSFET Loss]]+Table2[[#This Row],[Total Control Bo MOSFET Loss]]+Table2[[#This Row],[Total Sync Bo MOSFET Loss]]+Table2[[#This Row],[Reverse Recovery Loss MOSFET D BUCK]]+Table2[[#This Row],[Reverse Recovery Loss MOSFET D BOOST]]</f>
        <v>2.9475603310192002</v>
      </c>
      <c r="BR67" s="354">
        <f xml:space="preserve"> Table2[[#This Row],[Total Control Bu MOSFET Loss]]+Table2[[#This Row],[Reverse Recovery Loss MOSFET D BUCK]]*0.66</f>
        <v>1.7600810166512018</v>
      </c>
      <c r="BS67" s="354">
        <f>Table2[[#This Row],[Total Sync Bu MOSFET Loss]]+Table2[[#This Row],[Reverse Recovery Loss MOSFET D BUCK]]*0.33</f>
        <v>0.61445095030510011</v>
      </c>
      <c r="BT67" s="354">
        <f xml:space="preserve"> Table2[[#This Row],[Total Control Bo MOSFET Loss]]+Table2[[#This Row],[Reverse Recovery Loss MOSFET D BOOST]]*0.66</f>
        <v>0.30805864654984905</v>
      </c>
      <c r="BU67" s="354">
        <f xml:space="preserve"> Table2[[#This Row],[Total Sync Bo MOSFET Loss]]+Table2[[#This Row],[Reverse Recovery Loss MOSFET D BOOST]]*0.33</f>
        <v>0.26218978660744907</v>
      </c>
      <c r="BV67" s="354">
        <f>Table2[[#This Row],[Isense Shunt Loss]]</f>
        <v>0.12240742720800656</v>
      </c>
      <c r="CB67" s="18"/>
      <c r="CC67" s="19"/>
    </row>
    <row r="68" spans="1:81" x14ac:dyDescent="0.2">
      <c r="A68" s="32" t="s">
        <v>240</v>
      </c>
      <c r="B68" s="449" t="e">
        <f>#REF!</f>
        <v>#REF!</v>
      </c>
      <c r="C68" s="21" t="s">
        <v>19</v>
      </c>
      <c r="G68">
        <v>59</v>
      </c>
      <c r="H68" s="555">
        <f t="shared" si="5"/>
        <v>20</v>
      </c>
      <c r="I68" s="4" t="str">
        <f>IF(Mode = 2,IF(Table2[[#This Row],[Vin]]&gt;Vout, "BUCK","BOOST"),IF(Table2[[#This Row],[Vin]]&gt;VIN_BB_to_buck, "BUCK", IF(Table2[[#This Row],[Vin]]&lt;=VIN_boost_to_BB,"BOOST","BUCK-BST")))</f>
        <v>BUCK</v>
      </c>
      <c r="J68">
        <f>IF(Table2[[#This Row],[Mode]]="BOOST",2, IF(Table2[[#This Row],[Mode]]="BUCK", 1,3))</f>
        <v>1</v>
      </c>
      <c r="K68" s="354">
        <f t="shared" si="7"/>
        <v>7.08</v>
      </c>
      <c r="L68" s="4">
        <f>Vout*Table2[[#This Row],[Iout]]/(Table2[[#This Row],[Vin]]*Efficiency)</f>
        <v>5.4404210526315788</v>
      </c>
      <c r="M68" s="711">
        <f>MIN(1/Fsw,CHOOSE(Table2[[#This Row],[Mode Digit]],(Vout+(Rdson2+Rs+Rdcr)*Table2[[#This Row],[Iout]])/(Table2[[#This Row],[Vin]]+(Rs+Rdson2-Rdson1)*Table2[[#This Row],[Iout]])/Fsw,(Vout+(Rdson3+Rdcr)*Table2[[#This Row],[Iin]]-Table2[[#This Row],[Vin]])/(Vout+(Rdson3-Rdson4-Rs)*Table2[[#This Row],[Iin]])/Fsw,t1_Ph_II))</f>
        <v>1.2229593476440017E-6</v>
      </c>
      <c r="N68" s="602">
        <f>CHOOSE(Table2[[#This Row],[Mode Digit]],1/Fsw-Table2[[#This Row],[t1_Ph_II]],1/Fsw-Table2[[#This Row],[t1_Ph_II]],(Vout/Fsw-Table2[[#This Row],[Vin]]*t1_Ph_II)/(Table2[[#This Row],[Vin]]+Vout))</f>
        <v>4.4370731902266497E-7</v>
      </c>
      <c r="O68" s="602">
        <f>1/Fsw-(Table2[[#This Row],[t1_Ph_II]]+Table2[[#This Row],[t2_Ph_I]])</f>
        <v>0</v>
      </c>
      <c r="P68"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5.829246121727726</v>
      </c>
      <c r="Q68" s="4">
        <f>CHOOSE(Table2[[#This Row],[Mode Digit]],Table2[[#This Row],[I_0]]+1/Lf*(Table2[[#This Row],[Vin]]-Vout)*Table2[[#This Row],[t1_Ph_II]],Table2[[#This Row],[I_0]]+1/Lf*Table2[[#This Row],[Vin]]*Table2[[#This Row],[t1_Ph_II]],Table2[[#This Row],[I_0]]+(Table2[[#This Row],[Vin]]-Vout)/L*Table2[[#This Row],[t1_Ph_II]])</f>
        <v>8.3307538782722759</v>
      </c>
      <c r="R68" s="4">
        <f>CHOOSE(Table2[[#This Row],[Mode Digit]],0,0,Table2[[#This Row],[I_1]]+Table2[[#This Row],[Vin]]/L*Table2[[#This Row],[t2_Ph_I]])</f>
        <v>0</v>
      </c>
      <c r="S68" s="409">
        <f>Fsw*(Table2[[#This Row],[I_0]]*Table2[[#This Row],[t1_Ph_II]]+Table2[[#This Row],[I_1]]*Table2[[#This Row],[t2_Ph_I]]+Table2[[#This Row],[I_2]]*Table2[[#This Row],[t3_Ph_III]])</f>
        <v>6.4952085018301968</v>
      </c>
      <c r="T68" s="354">
        <f>MIN(1,CHOOSE(Table2[[#This Row],[Mode Digit]],(Vout+(Rdson2+Rs+Rdcr)*Table2[[#This Row],[Iout]])/(Table2[[#This Row],[Vin]]+(Rs+Rdson2-Rdson1)*Table2[[#This Row],[Iout]]),1,Fsw*Table2[[#This Row],[t2_Ph_I]]+Table2[[#This Row],[t1_Ph_II]]))</f>
        <v>0.73377560858640101</v>
      </c>
      <c r="U68" s="354">
        <f>MIN(1,CHOOSE(Table2[[#This Row],[Mode Digit]],0,(Vout+(Rdson3+Rdcr)*Table2[[#This Row],[Iin]]-Table2[[#This Row],[Vin]])/(Vout+(Rdson3-Rdson4-Rs)*Table2[[#This Row],[Iin]]),Fsw*Table2[[#This Row],[t1_Ph_II]]+Table2[[#This Row],[t3_Ph_III]]))</f>
        <v>0</v>
      </c>
      <c r="V68" s="4">
        <f>MAX(Table2[[#This Row],[I_0]:[I_2]])-MIN(Table2[[#This Row],[I_0]:[I_1]])</f>
        <v>2.5015077565445498</v>
      </c>
      <c r="W68"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7.1167311144001406</v>
      </c>
      <c r="X68" s="354">
        <f>(Table2[[#This Row],[Irms Lf]]^2*Rdcr*(1+Ltc*Ta-Ltc*25))/(1-Table2[[#This Row],[Irms Lf]]^2*Rdcr*Ltc*ThetaCa)</f>
        <v>0.30082722072316637</v>
      </c>
      <c r="Y68" s="354">
        <f>ABS(7.759*10^-3*Fsw^0.9458*(0.00787*Table2[[#This Row],[Ripple Current pk-pk]])^2.304)</f>
        <v>0.26580555880727408</v>
      </c>
      <c r="Z68" s="354">
        <f>Table2[[#This Row],[DCR    Loss]]+Table2[[#This Row],[Core Loss]]</f>
        <v>0.56663277953044044</v>
      </c>
      <c r="AA68" s="4">
        <f>IF(Table2[[#This Row],[Vin]]&gt;Vout, Table2[[#This Row],[Ripple Current pk-pk]]/SQRT(12), SQRT(Table2[[#This Row],[Duty Cycle BOOST Leg]]/(1-Table2[[#This Row],[Duty Cycle BOOST Leg]]))*SQRT(Table2[[#This Row],[Iout]]^2+(Table2[[#This Row],[Ripple Current pk-pk]]^2)/12))</f>
        <v>0.72212308831046634</v>
      </c>
      <c r="AB68" s="354">
        <f>RCoutEsr*Table2[[#This Row],[Irms Cout]]^2</f>
        <v>2.607308773355228E-3</v>
      </c>
      <c r="AC68" s="354">
        <f>Table2[[#This Row],[Cout ESR Loss]]</f>
        <v>2.607308773355228E-3</v>
      </c>
      <c r="AD68" s="4">
        <f>IF(Table2[[#This Row],[Vin]]&gt;Vout, SQRT(Table2[[#This Row],[Duty Cycle BUCK Leg]]*(1-Table2[[#This Row],[Duty Cycle BUCK Leg]]))*SQRT(Table2[[#This Row],[Iout]]^2+(Table2[[#This Row],[Ripple Current pk-pk]]^2)/12), Table2[[#This Row],[Ripple Current pk-pk]]/SQRT(12))</f>
        <v>3.1454741080846409</v>
      </c>
      <c r="AE68" s="354">
        <f>RCinEsr*Table2[[#This Row],[Irms Cin]]^2</f>
        <v>1.9788014729261737E-2</v>
      </c>
      <c r="AF68" s="549">
        <f>Table2[[#This Row],[Cin ESR Loss]]</f>
        <v>1.9788014729261737E-2</v>
      </c>
      <c r="AG68" s="354">
        <f>Table2[[#This Row],[Irms Lf]]</f>
        <v>7.1167311144001406</v>
      </c>
      <c r="AH68" s="354">
        <f>Rdson1*Table2[[#This Row],[Irms BuCtrl]]^2</f>
        <v>0.21272101936961851</v>
      </c>
      <c r="AI68" s="354">
        <f>CHOOSE(Table2[[#This Row],[Mode Digit]], (Table2[[#This Row],[Vin]]*Table2[[#This Row],[Iout]]/2)*(Fsw)*(Tr_buck+Tf_buck), 0, (Table2[[#This Row],[Vin]]*Table2[[#This Row],[Avg IL]]/2)*(Fsw/1)*(Tr_buck+Tf_buck))</f>
        <v>1.4041575591028492</v>
      </c>
      <c r="AJ68">
        <f>IF(Table2[[#This Row],[Vin]]&gt;Vout, IF(Table2[[#This Row],[Iout]]&gt;Table2[[#This Row],[Ripple Current pk-pk]]/2,0,ABS(Table2[[#This Row],[Iout]]-Table2[[#This Row],[Ripple Current pk-pk]]/2)*Vsd_Q1*Deadtime*Fsw),0)</f>
        <v>0</v>
      </c>
      <c r="AK68" s="354">
        <f>(Table2[[#This Row],[Dead Time Loss BuCtrl]]+Table2[[#This Row],[Transition Loss BuCtrl]]+Table2[[#This Row],[RDS(on) Loss BuCtrl]]*(1+RdsonTopTc*Ta-RdsonTopTc*25))/(1-Table2[[#This Row],[RDS(on) Loss BuCtrl]]*RdsonTopTc*ThetaJA_Q1)</f>
        <v>1.7038661321948327</v>
      </c>
      <c r="AL68" s="354">
        <f>Table2[[#This Row],[Irms Lf]]</f>
        <v>7.1167311144001406</v>
      </c>
      <c r="AM68" s="354">
        <f>Rdson2*Table2[[#This Row],[Irms BuSync]]^2</f>
        <v>0.21272101936961851</v>
      </c>
      <c r="AN68"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0.34064914285714287</v>
      </c>
      <c r="AO68" s="354">
        <f>(Table2[[#This Row],[Deadtime Loss BuSync]]+Table2[[#This Row],[RDS(on) Loss BuSync]]*(1+RdsonBotTc*Ta-RdsonBotTc*25))/(1-Table2[[#This Row],[RDS(on) Loss BuSync]]*RdsonBotTc*ThetaJA_Q2)</f>
        <v>0.58314130110877349</v>
      </c>
      <c r="AP68" s="354">
        <f>Table2[[#This Row],[Irms Lf]]</f>
        <v>7.1167311144001406</v>
      </c>
      <c r="AQ68" s="354">
        <f>Rdson4*Table2[[#This Row],[Irms BoCtlr]]^2</f>
        <v>0.21272101936961851</v>
      </c>
      <c r="AR68" s="354">
        <f>CHOOSE(Table2[[#This Row],[Mode Digit]], 0, (Vout*Table2[[#This Row],[Iin]]/2)*(Fsw)*(Tr_boost+Tf_boost), (Vout*Iout/2)*(Fsw/1)*(Tr_boost+Tf_boost))</f>
        <v>0</v>
      </c>
      <c r="AS68" s="354">
        <f>IF(Table2[[#This Row],[Vin]]&gt;Vout, 0, IF(Table2[[#This Row],[Iin]]&gt;Table2[[#This Row],[Ripple Current pk-pk]]/2,0,ABS(Table2[[#This Row],[Iin]]-Table2[[#This Row],[Ripple Current pk-pk]]/2)*Vsd_Q4*Deadtime*Fsw))</f>
        <v>0</v>
      </c>
      <c r="AT68" s="354">
        <f>(Table2[[#This Row],[Dead Time Loss BoCtlr]]+Table2[[#This Row],[Transition Loss BoCtlr]]+Table2[[#This Row],[RDS(on) Loss BoCtlr]]*(1+RdsonTopTc*Ta-RdsonTopTc*25))/(1-Table2[[#This Row],[RDS(on) Loss BoCtlr]]*RdsonTopTc*ThetaJA_Q4)</f>
        <v>0.22416534261482626</v>
      </c>
      <c r="AU68" s="354">
        <f>Table2[[#This Row],[Irms Lf]]</f>
        <v>7.1167311144001406</v>
      </c>
      <c r="AV68" s="354">
        <f>Rdson3*Table2[[#This Row],[Irms BoSync]]^2</f>
        <v>0.21272101936961851</v>
      </c>
      <c r="AW68"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68" s="354">
        <f>(Table2[[#This Row],[Deadtime Loss BoSync]]+Table2[[#This Row],[RDS(on) Loss BoSync]]*(1+RdsonBotTc*Ta-RdsonBotTc*25))/(1-Table2[[#This Row],[RDS(on) Loss BoSync]]*RdsonBotTc*ThetaJA_Q3)</f>
        <v>0.22416534261482626</v>
      </c>
      <c r="AY68" s="354">
        <f>CHOOSE(Table2[[#This Row],[Mode Digit]], Rdson3*Table2[[#This Row],[Irms Lf]]^2, Rdson1*Table2[[#This Row],[Irms Lf]]^2, 0)</f>
        <v>0.21272101936961851</v>
      </c>
      <c r="AZ68" s="354">
        <f>CHOOSE(Table2[[#This Row],[Mode Digit]], 2*Deadtime*Fsw*IF(VfdSky_Q2&gt;0,VfdSky_Q2,0)*Table2[[#This Row],[Iout]], 2*Deadtime*Fsw*IF(VfdSky_Q3&gt;0,VfdSky_Q3,0)*Table2[[#This Row],[Iin]], 2*Deadtime*Fsw*IF(VfdSky_Q2&gt;0,VfdSky_Q2,0)*Table2[[#This Row],[Iout]]+2*Deadtime*Fsw*IF(VfdSky_Q3&gt;0,VfdSky_Q3,0)*Table2[[#This Row],[Iin]])</f>
        <v>0</v>
      </c>
      <c r="BA6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0.14138946912</v>
      </c>
      <c r="BB6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0.14138946912</v>
      </c>
      <c r="BC68" s="354">
        <f>CHOOSE(Table2[[#This Row],[Mode Digit]], Rs*Table2[[#This Row],[Irms BuSync]]^2, Rs*Table2[[#This Row],[Irms BoCtlr]]^2, Rs*(Table2[[#This Row],[Irms BuSync]]^2+Table2[[#This Row],[Irms BoCtlr]]^2))</f>
        <v>0.12661965438667769</v>
      </c>
      <c r="BD68" s="354">
        <f t="shared" si="6"/>
        <v>1.44</v>
      </c>
      <c r="BE68" s="354">
        <f>IF(Vout&gt;8, Iq*Vout, Iq*Table2[[#This Row],[Vin]])</f>
        <v>4.3799999999999999E-2</v>
      </c>
      <c r="BF68" s="354">
        <f>CHOOSE(Table2[[#This Row],[Mode Digit]], (Qg_Q1+Qg_Q2)*Fsw, (Qg_Q3+Qg_Q4)*Fsw, (Qg_Q1+Qg_Q2+Qg_Q3+Qg_Q4)*Fsw)*IF(Vout&gt;8, Vout, Table2[[#This Row],[Vin]])</f>
        <v>0.47303999999999996</v>
      </c>
      <c r="BG68" s="354">
        <f t="shared" si="4"/>
        <v>0.45605042016806729</v>
      </c>
      <c r="BH68" s="354">
        <f>Table2[[#This Row],[IQ Loss]]+Table2[[#This Row],[Switching Current Loss]]</f>
        <v>0.51683999999999997</v>
      </c>
      <c r="BI68"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5.6906048141929944</v>
      </c>
      <c r="BJ68">
        <f>Vout*Table2[[#This Row],[Iout]]</f>
        <v>103.36799999999999</v>
      </c>
      <c r="BK68" s="550">
        <f>Table2[[#This Row],[Pout]]/(Table2[[#This Row],[Pout]]+Table2[[#This Row],[Total Loss]])</f>
        <v>0.94782067106132273</v>
      </c>
      <c r="BL68" s="559">
        <f>IF(Table2[[#This Row],[Vin]]&gt;Vout,ThetaJA_Q1*(Table2[[#This Row],[Total Control Bu MOSFET Loss]]+Table2[[#This Row],[Reverse Recovery Loss MOSFET D BUCK]]),ThetaJA_Q4*(Table2[[#This Row],[Total Control Bo MOSFET Loss]]+Table2[[#This Row],[Reverse Recovery Loss MOSFET D BOOST]]))</f>
        <v>110.71533607888996</v>
      </c>
      <c r="BM68" s="559">
        <f>IF(Table2[[#This Row],[Vin]]&gt;Vout, Table2[[#This Row],[Total Sync Bu MOSFET Loss]]*ThetaJA_Q2, ThetaJA_Q3*Table2[[#This Row],[Total Sync Bo MOSFET Loss]])</f>
        <v>34.988478066526412</v>
      </c>
      <c r="BN68" s="9"/>
      <c r="BO68" s="4">
        <f>Table2[[#This Row],[EFF, h]]*100</f>
        <v>94.782067106132274</v>
      </c>
      <c r="BP68" s="354">
        <f>Table2[[#This Row],[Total Inductor Loss]]</f>
        <v>0.56663277953044044</v>
      </c>
      <c r="BQ68" s="354">
        <f>Table2[[#This Row],[Total Control Bu MOSFET Loss]]+Table2[[#This Row],[Total Sync Bu MOSFET Loss]]+Table2[[#This Row],[Total Control Bo MOSFET Loss]]+Table2[[#This Row],[Total Sync Bo MOSFET Loss]]+Table2[[#This Row],[Reverse Recovery Loss MOSFET D BUCK]]+Table2[[#This Row],[Reverse Recovery Loss MOSFET D BOOST]]</f>
        <v>3.0181170567732591</v>
      </c>
      <c r="BR68" s="354">
        <f xml:space="preserve"> Table2[[#This Row],[Total Control Bu MOSFET Loss]]+Table2[[#This Row],[Reverse Recovery Loss MOSFET D BUCK]]*0.66</f>
        <v>1.7971831818140327</v>
      </c>
      <c r="BS68" s="354">
        <f>Table2[[#This Row],[Total Sync Bu MOSFET Loss]]+Table2[[#This Row],[Reverse Recovery Loss MOSFET D BUCK]]*0.33</f>
        <v>0.62979982591837347</v>
      </c>
      <c r="BT68" s="354">
        <f xml:space="preserve"> Table2[[#This Row],[Total Control Bo MOSFET Loss]]+Table2[[#This Row],[Reverse Recovery Loss MOSFET D BOOST]]*0.66</f>
        <v>0.3174823922340263</v>
      </c>
      <c r="BU68" s="354">
        <f xml:space="preserve"> Table2[[#This Row],[Total Sync Bo MOSFET Loss]]+Table2[[#This Row],[Reverse Recovery Loss MOSFET D BOOST]]*0.33</f>
        <v>0.27082386742442627</v>
      </c>
      <c r="BV68" s="354">
        <f>Table2[[#This Row],[Isense Shunt Loss]]</f>
        <v>0.12661965438667769</v>
      </c>
      <c r="CB68" s="18"/>
      <c r="CC68" s="19"/>
    </row>
    <row r="69" spans="1:81" x14ac:dyDescent="0.2">
      <c r="A69" s="23" t="s">
        <v>82</v>
      </c>
      <c r="B69" s="449" t="e">
        <f>1-B68</f>
        <v>#REF!</v>
      </c>
      <c r="C69" s="21" t="s">
        <v>19</v>
      </c>
      <c r="G69">
        <v>60</v>
      </c>
      <c r="H69" s="555">
        <f t="shared" si="5"/>
        <v>20</v>
      </c>
      <c r="I69" s="4" t="str">
        <f>IF(Mode = 2,IF(Table2[[#This Row],[Vin]]&gt;Vout, "BUCK","BOOST"),IF(Table2[[#This Row],[Vin]]&gt;VIN_BB_to_buck, "BUCK", IF(Table2[[#This Row],[Vin]]&lt;=VIN_boost_to_BB,"BOOST","BUCK-BST")))</f>
        <v>BUCK</v>
      </c>
      <c r="J69">
        <f>IF(Table2[[#This Row],[Mode]]="BOOST",2, IF(Table2[[#This Row],[Mode]]="BUCK", 1,3))</f>
        <v>1</v>
      </c>
      <c r="K69" s="354">
        <f t="shared" si="7"/>
        <v>7.2</v>
      </c>
      <c r="L69" s="4">
        <f>Vout*Table2[[#This Row],[Iout]]/(Table2[[#This Row],[Vin]]*Efficiency)</f>
        <v>5.5326315789473686</v>
      </c>
      <c r="M69" s="711">
        <f>MIN(1/Fsw,CHOOSE(Table2[[#This Row],[Mode Digit]],(Vout+(Rdson2+Rs+Rdcr)*Table2[[#This Row],[Iout]])/(Table2[[#This Row],[Vin]]+(Rs+Rdson2-Rdson1)*Table2[[#This Row],[Iout]])/Fsw,(Vout+(Rdson3+Rdcr)*Table2[[#This Row],[Iin]]-Table2[[#This Row],[Vin]])/(Vout+(Rdson3-Rdson4-Rs)*Table2[[#This Row],[Iin]])/Fsw,t1_Ph_II))</f>
        <v>1.2230659073500517E-6</v>
      </c>
      <c r="N69" s="602">
        <f>CHOOSE(Table2[[#This Row],[Mode Digit]],1/Fsw-Table2[[#This Row],[t1_Ph_II]],1/Fsw-Table2[[#This Row],[t1_Ph_II]],(Vout/Fsw-Table2[[#This Row],[Vin]]*t1_Ph_II)/(Table2[[#This Row],[Vin]]+Vout))</f>
        <v>4.4360075931661496E-7</v>
      </c>
      <c r="O69" s="602">
        <f>1/Fsw-(Table2[[#This Row],[t1_Ph_II]]+Table2[[#This Row],[t2_Ph_I]])</f>
        <v>0</v>
      </c>
      <c r="P69"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5.9491371402101745</v>
      </c>
      <c r="Q69" s="4">
        <f>CHOOSE(Table2[[#This Row],[Mode Digit]],Table2[[#This Row],[I_0]]+1/Lf*(Table2[[#This Row],[Vin]]-Vout)*Table2[[#This Row],[t1_Ph_II]],Table2[[#This Row],[I_0]]+1/Lf*Table2[[#This Row],[Vin]]*Table2[[#This Row],[t1_Ph_II]],Table2[[#This Row],[I_0]]+(Table2[[#This Row],[Vin]]-Vout)/L*Table2[[#This Row],[t1_Ph_II]])</f>
        <v>8.4508628597898259</v>
      </c>
      <c r="R69" s="4">
        <f>CHOOSE(Table2[[#This Row],[Mode Digit]],0,0,Table2[[#This Row],[I_1]]+Table2[[#This Row],[Vin]]/L*Table2[[#This Row],[t2_Ph_I]])</f>
        <v>0</v>
      </c>
      <c r="S69" s="409">
        <f>Fsw*(Table2[[#This Row],[I_0]]*Table2[[#This Row],[t1_Ph_II]]+Table2[[#This Row],[I_1]]*Table2[[#This Row],[t2_Ph_I]]+Table2[[#This Row],[I_2]]*Table2[[#This Row],[t3_Ph_III]])</f>
        <v>6.6149975974946376</v>
      </c>
      <c r="T69" s="354">
        <f>MIN(1,CHOOSE(Table2[[#This Row],[Mode Digit]],(Vout+(Rdson2+Rs+Rdcr)*Table2[[#This Row],[Iout]])/(Table2[[#This Row],[Vin]]+(Rs+Rdson2-Rdson1)*Table2[[#This Row],[Iout]]),1,Fsw*Table2[[#This Row],[t2_Ph_I]]+Table2[[#This Row],[t1_Ph_II]]))</f>
        <v>0.73383954441003096</v>
      </c>
      <c r="U69" s="354">
        <f>MIN(1,CHOOSE(Table2[[#This Row],[Mode Digit]],0,(Vout+(Rdson3+Rdcr)*Table2[[#This Row],[Iin]]-Table2[[#This Row],[Vin]])/(Vout+(Rdson3-Rdson4-Rs)*Table2[[#This Row],[Iin]]),Fsw*Table2[[#This Row],[t1_Ph_II]]+Table2[[#This Row],[t3_Ph_III]]))</f>
        <v>0</v>
      </c>
      <c r="V69" s="4">
        <f>MAX(Table2[[#This Row],[I_0]:[I_2]])-MIN(Table2[[#This Row],[I_0]:[I_1]])</f>
        <v>2.5017257195796514</v>
      </c>
      <c r="W69"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7.2361282901378869</v>
      </c>
      <c r="X69" s="354">
        <f>(Table2[[#This Row],[Irms Lf]]^2*Rdcr*(1+Ltc*Ta-Ltc*25))/(1-Table2[[#This Row],[Irms Lf]]^2*Rdcr*Ltc*ThetaCa)</f>
        <v>0.31125928631073441</v>
      </c>
      <c r="Y69" s="354">
        <f>ABS(7.759*10^-3*Fsw^0.9458*(0.00787*Table2[[#This Row],[Ripple Current pk-pk]])^2.304)</f>
        <v>0.26585892327706234</v>
      </c>
      <c r="Z69" s="354">
        <f>Table2[[#This Row],[DCR    Loss]]+Table2[[#This Row],[Core Loss]]</f>
        <v>0.57711820958779669</v>
      </c>
      <c r="AA69" s="4">
        <f>IF(Table2[[#This Row],[Vin]]&gt;Vout, Table2[[#This Row],[Ripple Current pk-pk]]/SQRT(12), SQRT(Table2[[#This Row],[Duty Cycle BOOST Leg]]/(1-Table2[[#This Row],[Duty Cycle BOOST Leg]]))*SQRT(Table2[[#This Row],[Iout]]^2+(Table2[[#This Row],[Ripple Current pk-pk]]^2)/12))</f>
        <v>0.722186008818961</v>
      </c>
      <c r="AB69" s="354">
        <f>RCoutEsr*Table2[[#This Row],[Irms Cout]]^2</f>
        <v>2.607763156669302E-3</v>
      </c>
      <c r="AC69" s="354">
        <f>Table2[[#This Row],[Cout ESR Loss]]</f>
        <v>2.607763156669302E-3</v>
      </c>
      <c r="AD69" s="4">
        <f>IF(Table2[[#This Row],[Vin]]&gt;Vout, SQRT(Table2[[#This Row],[Duty Cycle BUCK Leg]]*(1-Table2[[#This Row],[Duty Cycle BUCK Leg]]))*SQRT(Table2[[#This Row],[Iout]]^2+(Table2[[#This Row],[Ripple Current pk-pk]]^2)/12), Table2[[#This Row],[Ripple Current pk-pk]]/SQRT(12))</f>
        <v>3.1980008804312687</v>
      </c>
      <c r="AE69" s="354">
        <f>RCinEsr*Table2[[#This Row],[Irms Cin]]^2</f>
        <v>2.0454419262478339E-2</v>
      </c>
      <c r="AF69" s="549">
        <f>Table2[[#This Row],[Cin ESR Loss]]</f>
        <v>2.0454419262478339E-2</v>
      </c>
      <c r="AG69" s="354">
        <f>Table2[[#This Row],[Irms Lf]]</f>
        <v>7.2361282901378869</v>
      </c>
      <c r="AH69" s="354">
        <f>Rdson1*Table2[[#This Row],[Irms BuCtrl]]^2</f>
        <v>0.21991852105160223</v>
      </c>
      <c r="AI69" s="354">
        <f>CHOOSE(Table2[[#This Row],[Mode Digit]], (Table2[[#This Row],[Vin]]*Table2[[#This Row],[Iout]]/2)*(Fsw)*(Tr_buck+Tf_buck), 0, (Table2[[#This Row],[Vin]]*Table2[[#This Row],[Avg IL]]/2)*(Fsw/1)*(Tr_buck+Tf_buck))</f>
        <v>1.4279568397656095</v>
      </c>
      <c r="AJ69">
        <f>IF(Table2[[#This Row],[Vin]]&gt;Vout, IF(Table2[[#This Row],[Iout]]&gt;Table2[[#This Row],[Ripple Current pk-pk]]/2,0,ABS(Table2[[#This Row],[Iout]]-Table2[[#This Row],[Ripple Current pk-pk]]/2)*Vsd_Q1*Deadtime*Fsw),0)</f>
        <v>0</v>
      </c>
      <c r="AK69" s="354">
        <f>(Table2[[#This Row],[Dead Time Loss BuCtrl]]+Table2[[#This Row],[Transition Loss BuCtrl]]+Table2[[#This Row],[RDS(on) Loss BuCtrl]]*(1+RdsonTopTc*Ta-RdsonTopTc*25))/(1-Table2[[#This Row],[RDS(on) Loss BuCtrl]]*RdsonTopTc*ThetaJA_Q1)</f>
        <v>1.7396973618311173</v>
      </c>
      <c r="AL69" s="354">
        <f>Table2[[#This Row],[Irms Lf]]</f>
        <v>7.2361282901378869</v>
      </c>
      <c r="AM69" s="354">
        <f>Rdson2*Table2[[#This Row],[Irms BuSync]]^2</f>
        <v>0.21991852105160223</v>
      </c>
      <c r="AN69"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0.34642285714285714</v>
      </c>
      <c r="AO69" s="354">
        <f>(Table2[[#This Row],[Deadtime Loss BuSync]]+Table2[[#This Row],[RDS(on) Loss BuSync]]*(1+RdsonBotTc*Ta-RdsonBotTc*25))/(1-Table2[[#This Row],[RDS(on) Loss BuSync]]*RdsonBotTc*ThetaJA_Q2)</f>
        <v>0.59789873977610186</v>
      </c>
      <c r="AP69" s="354">
        <f>Table2[[#This Row],[Irms Lf]]</f>
        <v>7.2361282901378869</v>
      </c>
      <c r="AQ69" s="354">
        <f>Rdson4*Table2[[#This Row],[Irms BoCtlr]]^2</f>
        <v>0.21991852105160223</v>
      </c>
      <c r="AR69" s="354">
        <f>CHOOSE(Table2[[#This Row],[Mode Digit]], 0, (Vout*Table2[[#This Row],[Iin]]/2)*(Fsw)*(Tr_boost+Tf_boost), (Vout*Iout/2)*(Fsw/1)*(Tr_boost+Tf_boost))</f>
        <v>0</v>
      </c>
      <c r="AS69" s="354">
        <f>IF(Table2[[#This Row],[Vin]]&gt;Vout, 0, IF(Table2[[#This Row],[Iin]]&gt;Table2[[#This Row],[Ripple Current pk-pk]]/2,0,ABS(Table2[[#This Row],[Iin]]-Table2[[#This Row],[Ripple Current pk-pk]]/2)*Vsd_Q4*Deadtime*Fsw))</f>
        <v>0</v>
      </c>
      <c r="AT69" s="354">
        <f>(Table2[[#This Row],[Dead Time Loss BoCtlr]]+Table2[[#This Row],[Transition Loss BoCtlr]]+Table2[[#This Row],[RDS(on) Loss BoCtlr]]*(1+RdsonTopTc*Ta-RdsonTopTc*25))/(1-Table2[[#This Row],[RDS(on) Loss BoCtlr]]*RdsonTopTc*ThetaJA_Q4)</f>
        <v>0.2321726994580095</v>
      </c>
      <c r="AU69" s="354">
        <f>Table2[[#This Row],[Irms Lf]]</f>
        <v>7.2361282901378869</v>
      </c>
      <c r="AV69" s="354">
        <f>Rdson3*Table2[[#This Row],[Irms BoSync]]^2</f>
        <v>0.21991852105160223</v>
      </c>
      <c r="AW69"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69" s="354">
        <f>(Table2[[#This Row],[Deadtime Loss BoSync]]+Table2[[#This Row],[RDS(on) Loss BoSync]]*(1+RdsonBotTc*Ta-RdsonBotTc*25))/(1-Table2[[#This Row],[RDS(on) Loss BoSync]]*RdsonBotTc*ThetaJA_Q3)</f>
        <v>0.2321726994580095</v>
      </c>
      <c r="AY69" s="354">
        <f>CHOOSE(Table2[[#This Row],[Mode Digit]], Rdson3*Table2[[#This Row],[Irms Lf]]^2, Rdson1*Table2[[#This Row],[Irms Lf]]^2, 0)</f>
        <v>0.21991852105160223</v>
      </c>
      <c r="AZ69" s="354">
        <f>CHOOSE(Table2[[#This Row],[Mode Digit]], 2*Deadtime*Fsw*IF(VfdSky_Q2&gt;0,VfdSky_Q2,0)*Table2[[#This Row],[Iout]], 2*Deadtime*Fsw*IF(VfdSky_Q3&gt;0,VfdSky_Q3,0)*Table2[[#This Row],[Iin]], 2*Deadtime*Fsw*IF(VfdSky_Q2&gt;0,VfdSky_Q2,0)*Table2[[#This Row],[Iout]]+2*Deadtime*Fsw*IF(VfdSky_Q3&gt;0,VfdSky_Q3,0)*Table2[[#This Row],[Iin]])</f>
        <v>0</v>
      </c>
      <c r="BA6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0.14378227200000002</v>
      </c>
      <c r="BB6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0.14378227200000002</v>
      </c>
      <c r="BC69" s="354">
        <f>CHOOSE(Table2[[#This Row],[Mode Digit]], Rs*Table2[[#This Row],[Irms BuSync]]^2, Rs*Table2[[#This Row],[Irms BoCtlr]]^2, Rs*(Table2[[#This Row],[Irms BuSync]]^2+Table2[[#This Row],[Irms BoCtlr]]^2))</f>
        <v>0.13090388157833466</v>
      </c>
      <c r="BD69" s="354">
        <f t="shared" si="6"/>
        <v>1.44</v>
      </c>
      <c r="BE69" s="354">
        <f>IF(Vout&gt;8, Iq*Vout, Iq*Table2[[#This Row],[Vin]])</f>
        <v>4.3799999999999999E-2</v>
      </c>
      <c r="BF69" s="354">
        <f>CHOOSE(Table2[[#This Row],[Mode Digit]], (Qg_Q1+Qg_Q2)*Fsw, (Qg_Q3+Qg_Q4)*Fsw, (Qg_Q1+Qg_Q2+Qg_Q3+Qg_Q4)*Fsw)*IF(Vout&gt;8, Vout, Table2[[#This Row],[Vin]])</f>
        <v>0.47303999999999996</v>
      </c>
      <c r="BG69" s="354">
        <f t="shared" si="4"/>
        <v>0.45605042016806729</v>
      </c>
      <c r="BH69" s="354">
        <f>Table2[[#This Row],[IQ Loss]]+Table2[[#This Row],[Switching Current Loss]]</f>
        <v>0.51683999999999997</v>
      </c>
      <c r="BI69"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5.777430318108518</v>
      </c>
      <c r="BJ69">
        <f>Vout*Table2[[#This Row],[Iout]]</f>
        <v>105.12</v>
      </c>
      <c r="BK69" s="550">
        <f>Table2[[#This Row],[Pout]]/(Table2[[#This Row],[Pout]]+Table2[[#This Row],[Total Loss]])</f>
        <v>0.94790293786306867</v>
      </c>
      <c r="BL69" s="559">
        <f>IF(Table2[[#This Row],[Vin]]&gt;Vout,ThetaJA_Q1*(Table2[[#This Row],[Total Control Bu MOSFET Loss]]+Table2[[#This Row],[Reverse Recovery Loss MOSFET D BUCK]]),ThetaJA_Q4*(Table2[[#This Row],[Total Control Bo MOSFET Loss]]+Table2[[#This Row],[Reverse Recovery Loss MOSFET D BOOST]]))</f>
        <v>113.00877802986703</v>
      </c>
      <c r="BM69" s="559">
        <f>IF(Table2[[#This Row],[Vin]]&gt;Vout, Table2[[#This Row],[Total Sync Bu MOSFET Loss]]*ThetaJA_Q2, ThetaJA_Q3*Table2[[#This Row],[Total Sync Bo MOSFET Loss]])</f>
        <v>35.873924386566109</v>
      </c>
      <c r="BN69" s="9"/>
      <c r="BO69" s="4">
        <f>Table2[[#This Row],[EFF, h]]*100</f>
        <v>94.790293786306862</v>
      </c>
      <c r="BP69" s="354">
        <f>Table2[[#This Row],[Total Inductor Loss]]</f>
        <v>0.57711820958779669</v>
      </c>
      <c r="BQ69" s="354">
        <f>Table2[[#This Row],[Total Control Bu MOSFET Loss]]+Table2[[#This Row],[Total Sync Bu MOSFET Loss]]+Table2[[#This Row],[Total Control Bo MOSFET Loss]]+Table2[[#This Row],[Total Sync Bo MOSFET Loss]]+Table2[[#This Row],[Reverse Recovery Loss MOSFET D BUCK]]+Table2[[#This Row],[Reverse Recovery Loss MOSFET D BOOST]]</f>
        <v>3.0895060445232385</v>
      </c>
      <c r="BR69" s="354">
        <f xml:space="preserve"> Table2[[#This Row],[Total Control Bu MOSFET Loss]]+Table2[[#This Row],[Reverse Recovery Loss MOSFET D BUCK]]*0.66</f>
        <v>1.8345936613511173</v>
      </c>
      <c r="BS69" s="354">
        <f>Table2[[#This Row],[Total Sync Bu MOSFET Loss]]+Table2[[#This Row],[Reverse Recovery Loss MOSFET D BUCK]]*0.33</f>
        <v>0.64534688953610186</v>
      </c>
      <c r="BT69" s="354">
        <f xml:space="preserve"> Table2[[#This Row],[Total Control Bo MOSFET Loss]]+Table2[[#This Row],[Reverse Recovery Loss MOSFET D BOOST]]*0.66</f>
        <v>0.32706899897800951</v>
      </c>
      <c r="BU69" s="354">
        <f xml:space="preserve"> Table2[[#This Row],[Total Sync Bo MOSFET Loss]]+Table2[[#This Row],[Reverse Recovery Loss MOSFET D BOOST]]*0.33</f>
        <v>0.2796208492180095</v>
      </c>
      <c r="BV69" s="354">
        <f>Table2[[#This Row],[Isense Shunt Loss]]</f>
        <v>0.13090388157833466</v>
      </c>
      <c r="CB69" s="18"/>
      <c r="CC69" s="19"/>
    </row>
    <row r="70" spans="1:81" x14ac:dyDescent="0.2">
      <c r="A70" s="33" t="s">
        <v>241</v>
      </c>
      <c r="B70" s="449">
        <f>Iripple_Vinnom</f>
        <v>2.5018608450959925</v>
      </c>
      <c r="C70" s="21" t="s">
        <v>2</v>
      </c>
      <c r="G70">
        <v>61</v>
      </c>
      <c r="H70" s="555">
        <f t="shared" si="5"/>
        <v>20</v>
      </c>
      <c r="I70" s="4" t="str">
        <f>IF(Mode = 2,IF(Table2[[#This Row],[Vin]]&gt;Vout, "BUCK","BOOST"),IF(Table2[[#This Row],[Vin]]&gt;VIN_BB_to_buck, "BUCK", IF(Table2[[#This Row],[Vin]]&lt;=VIN_boost_to_BB,"BOOST","BUCK-BST")))</f>
        <v>BUCK</v>
      </c>
      <c r="J70">
        <f>IF(Table2[[#This Row],[Mode]]="BOOST",2, IF(Table2[[#This Row],[Mode]]="BUCK", 1,3))</f>
        <v>1</v>
      </c>
      <c r="K70" s="354">
        <f t="shared" si="7"/>
        <v>7.32</v>
      </c>
      <c r="L70" s="4">
        <f>Vout*Table2[[#This Row],[Iout]]/(Table2[[#This Row],[Vin]]*Efficiency)</f>
        <v>5.6248421052631583</v>
      </c>
      <c r="M70" s="711">
        <f>MIN(1/Fsw,CHOOSE(Table2[[#This Row],[Mode Digit]],(Vout+(Rdson2+Rs+Rdcr)*Table2[[#This Row],[Iout]])/(Table2[[#This Row],[Vin]]+(Rs+Rdson2-Rdson1)*Table2[[#This Row],[Iout]])/Fsw,(Vout+(Rdson3+Rdcr)*Table2[[#This Row],[Iin]]-Table2[[#This Row],[Vin]])/(Vout+(Rdson3-Rdson4-Rs)*Table2[[#This Row],[Iin]])/Fsw,t1_Ph_II))</f>
        <v>1.2231724638622327E-6</v>
      </c>
      <c r="N70" s="602">
        <f>CHOOSE(Table2[[#This Row],[Mode Digit]],1/Fsw-Table2[[#This Row],[t1_Ph_II]],1/Fsw-Table2[[#This Row],[t1_Ph_II]],(Vout/Fsw-Table2[[#This Row],[Vin]]*t1_Ph_II)/(Table2[[#This Row],[Vin]]+Vout))</f>
        <v>4.4349420280443397E-7</v>
      </c>
      <c r="O70" s="602">
        <f>1/Fsw-(Table2[[#This Row],[t1_Ph_II]]+Table2[[#This Row],[t2_Ph_I]])</f>
        <v>0</v>
      </c>
      <c r="P70"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6.0690281619590802</v>
      </c>
      <c r="Q70" s="4">
        <f>CHOOSE(Table2[[#This Row],[Mode Digit]],Table2[[#This Row],[I_0]]+1/Lf*(Table2[[#This Row],[Vin]]-Vout)*Table2[[#This Row],[t1_Ph_II]],Table2[[#This Row],[I_0]]+1/Lf*Table2[[#This Row],[Vin]]*Table2[[#This Row],[t1_Ph_II]],Table2[[#This Row],[I_0]]+(Table2[[#This Row],[Vin]]-Vout)/L*Table2[[#This Row],[t1_Ph_II]])</f>
        <v>8.5709718380409203</v>
      </c>
      <c r="R70" s="4">
        <f>CHOOSE(Table2[[#This Row],[Mode Digit]],0,0,Table2[[#This Row],[I_1]]+Table2[[#This Row],[Vin]]/L*Table2[[#This Row],[t2_Ph_I]])</f>
        <v>0</v>
      </c>
      <c r="S70" s="409">
        <f>Fsw*(Table2[[#This Row],[I_0]]*Table2[[#This Row],[t1_Ph_II]]+Table2[[#This Row],[I_1]]*Table2[[#This Row],[t2_Ph_I]]+Table2[[#This Row],[I_2]]*Table2[[#This Row],[t3_Ph_III]])</f>
        <v>6.7347866716103866</v>
      </c>
      <c r="T70" s="354">
        <f>MIN(1,CHOOSE(Table2[[#This Row],[Mode Digit]],(Vout+(Rdson2+Rs+Rdcr)*Table2[[#This Row],[Iout]])/(Table2[[#This Row],[Vin]]+(Rs+Rdson2-Rdson1)*Table2[[#This Row],[Iout]]),1,Fsw*Table2[[#This Row],[t2_Ph_I]]+Table2[[#This Row],[t1_Ph_II]]))</f>
        <v>0.7339034783173396</v>
      </c>
      <c r="U70" s="354">
        <f>MIN(1,CHOOSE(Table2[[#This Row],[Mode Digit]],0,(Vout+(Rdson3+Rdcr)*Table2[[#This Row],[Iin]]-Table2[[#This Row],[Vin]])/(Vout+(Rdson3-Rdson4-Rs)*Table2[[#This Row],[Iin]]),Fsw*Table2[[#This Row],[t1_Ph_II]]+Table2[[#This Row],[t3_Ph_III]]))</f>
        <v>0</v>
      </c>
      <c r="V70" s="4">
        <f>MAX(Table2[[#This Row],[I_0]:[I_2]])-MIN(Table2[[#This Row],[I_0]:[I_1]])</f>
        <v>2.5019436760818401</v>
      </c>
      <c r="W70"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7.3555450860687746</v>
      </c>
      <c r="X70" s="354">
        <f>(Table2[[#This Row],[Irms Lf]]^2*Rdcr*(1+Ltc*Ta-Ltc*25))/(1-Table2[[#This Row],[Irms Lf]]^2*Rdcr*Ltc*ThetaCa)</f>
        <v>0.32188412023202351</v>
      </c>
      <c r="Y70" s="354">
        <f>ABS(7.759*10^-3*Fsw^0.9458*(0.00787*Table2[[#This Row],[Ripple Current pk-pk]])^2.304)</f>
        <v>0.26591229221024826</v>
      </c>
      <c r="Z70" s="354">
        <f>Table2[[#This Row],[DCR    Loss]]+Table2[[#This Row],[Core Loss]]</f>
        <v>0.58779641244227177</v>
      </c>
      <c r="AA70" s="4">
        <f>IF(Table2[[#This Row],[Vin]]&gt;Vout, Table2[[#This Row],[Ripple Current pk-pk]]/SQRT(12), SQRT(Table2[[#This Row],[Duty Cycle BOOST Leg]]/(1-Table2[[#This Row],[Duty Cycle BOOST Leg]]))*SQRT(Table2[[#This Row],[Iout]]^2+(Table2[[#This Row],[Ripple Current pk-pk]]^2)/12))</f>
        <v>0.7222489274415661</v>
      </c>
      <c r="AB70" s="354">
        <f>RCoutEsr*Table2[[#This Row],[Irms Cout]]^2</f>
        <v>2.6082175659524632E-3</v>
      </c>
      <c r="AC70" s="354">
        <f>Table2[[#This Row],[Cout ESR Loss]]</f>
        <v>2.6082175659524632E-3</v>
      </c>
      <c r="AD70" s="4">
        <f>IF(Table2[[#This Row],[Vin]]&gt;Vout, SQRT(Table2[[#This Row],[Duty Cycle BUCK Leg]]*(1-Table2[[#This Row],[Duty Cycle BUCK Leg]]))*SQRT(Table2[[#This Row],[Iout]]^2+(Table2[[#This Row],[Ripple Current pk-pk]]^2)/12), Table2[[#This Row],[Ripple Current pk-pk]]/SQRT(12))</f>
        <v>3.2505281668469919</v>
      </c>
      <c r="AE70" s="354">
        <f>RCinEsr*Table2[[#This Row],[Irms Cin]]^2</f>
        <v>2.1131866726931334E-2</v>
      </c>
      <c r="AF70" s="549">
        <f>Table2[[#This Row],[Cin ESR Loss]]</f>
        <v>2.1131866726931334E-2</v>
      </c>
      <c r="AG70" s="354">
        <f>Table2[[#This Row],[Irms Lf]]</f>
        <v>7.3555450860687746</v>
      </c>
      <c r="AH70" s="354">
        <f>Rdson1*Table2[[#This Row],[Irms BuCtrl]]^2</f>
        <v>0.22723698275540011</v>
      </c>
      <c r="AI70" s="354">
        <f>CHOOSE(Table2[[#This Row],[Mode Digit]], (Table2[[#This Row],[Vin]]*Table2[[#This Row],[Iout]]/2)*(Fsw)*(Tr_buck+Tf_buck), 0, (Table2[[#This Row],[Vin]]*Table2[[#This Row],[Avg IL]]/2)*(Fsw/1)*(Tr_buck+Tf_buck))</f>
        <v>1.4517561204283695</v>
      </c>
      <c r="AJ70">
        <f>IF(Table2[[#This Row],[Vin]]&gt;Vout, IF(Table2[[#This Row],[Iout]]&gt;Table2[[#This Row],[Ripple Current pk-pk]]/2,0,ABS(Table2[[#This Row],[Iout]]-Table2[[#This Row],[Ripple Current pk-pk]]/2)*Vsd_Q1*Deadtime*Fsw),0)</f>
        <v>0</v>
      </c>
      <c r="AK70" s="354">
        <f>(Table2[[#This Row],[Dead Time Loss BuCtrl]]+Table2[[#This Row],[Transition Loss BuCtrl]]+Table2[[#This Row],[RDS(on) Loss BuCtrl]]*(1+RdsonTopTc*Ta-RdsonTopTc*25))/(1-Table2[[#This Row],[RDS(on) Loss BuCtrl]]*RdsonTopTc*ThetaJA_Q1)</f>
        <v>1.7758419766115103</v>
      </c>
      <c r="AL70" s="354">
        <f>Table2[[#This Row],[Irms Lf]]</f>
        <v>7.3555450860687746</v>
      </c>
      <c r="AM70" s="354">
        <f>Rdson2*Table2[[#This Row],[Irms BuSync]]^2</f>
        <v>0.22723698275540011</v>
      </c>
      <c r="AN70"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0.35219657142857141</v>
      </c>
      <c r="AO70" s="354">
        <f>(Table2[[#This Row],[Deadtime Loss BuSync]]+Table2[[#This Row],[RDS(on) Loss BuSync]]*(1+RdsonBotTc*Ta-RdsonBotTc*25))/(1-Table2[[#This Row],[RDS(on) Loss BuSync]]*RdsonBotTc*ThetaJA_Q2)</f>
        <v>0.61285685225621322</v>
      </c>
      <c r="AP70" s="354">
        <f>Table2[[#This Row],[Irms Lf]]</f>
        <v>7.3555450860687746</v>
      </c>
      <c r="AQ70" s="354">
        <f>Rdson4*Table2[[#This Row],[Irms BoCtlr]]^2</f>
        <v>0.22723698275540011</v>
      </c>
      <c r="AR70" s="354">
        <f>CHOOSE(Table2[[#This Row],[Mode Digit]], 0, (Vout*Table2[[#This Row],[Iin]]/2)*(Fsw)*(Tr_boost+Tf_boost), (Vout*Iout/2)*(Fsw/1)*(Tr_boost+Tf_boost))</f>
        <v>0</v>
      </c>
      <c r="AS70" s="354">
        <f>IF(Table2[[#This Row],[Vin]]&gt;Vout, 0, IF(Table2[[#This Row],[Iin]]&gt;Table2[[#This Row],[Ripple Current pk-pk]]/2,0,ABS(Table2[[#This Row],[Iin]]-Table2[[#This Row],[Ripple Current pk-pk]]/2)*Vsd_Q4*Deadtime*Fsw))</f>
        <v>0</v>
      </c>
      <c r="AT70" s="354">
        <f>(Table2[[#This Row],[Dead Time Loss BoCtlr]]+Table2[[#This Row],[Transition Loss BoCtlr]]+Table2[[#This Row],[RDS(on) Loss BoCtlr]]*(1+RdsonTopTc*Ta-RdsonTopTc*25))/(1-Table2[[#This Row],[RDS(on) Loss BoCtlr]]*RdsonTopTc*ThetaJA_Q4)</f>
        <v>0.2403446278905991</v>
      </c>
      <c r="AU70" s="354">
        <f>Table2[[#This Row],[Irms Lf]]</f>
        <v>7.3555450860687746</v>
      </c>
      <c r="AV70" s="354">
        <f>Rdson3*Table2[[#This Row],[Irms BoSync]]^2</f>
        <v>0.22723698275540011</v>
      </c>
      <c r="AW70"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70" s="354">
        <f>(Table2[[#This Row],[Deadtime Loss BoSync]]+Table2[[#This Row],[RDS(on) Loss BoSync]]*(1+RdsonBotTc*Ta-RdsonBotTc*25))/(1-Table2[[#This Row],[RDS(on) Loss BoSync]]*RdsonBotTc*ThetaJA_Q3)</f>
        <v>0.2403446278905991</v>
      </c>
      <c r="AY70" s="354">
        <f>CHOOSE(Table2[[#This Row],[Mode Digit]], Rdson3*Table2[[#This Row],[Irms Lf]]^2, Rdson1*Table2[[#This Row],[Irms Lf]]^2, 0)</f>
        <v>0.22723698275540011</v>
      </c>
      <c r="AZ70" s="354">
        <f>CHOOSE(Table2[[#This Row],[Mode Digit]], 2*Deadtime*Fsw*IF(VfdSky_Q2&gt;0,VfdSky_Q2,0)*Table2[[#This Row],[Iout]], 2*Deadtime*Fsw*IF(VfdSky_Q3&gt;0,VfdSky_Q3,0)*Table2[[#This Row],[Iin]], 2*Deadtime*Fsw*IF(VfdSky_Q2&gt;0,VfdSky_Q2,0)*Table2[[#This Row],[Iout]]+2*Deadtime*Fsw*IF(VfdSky_Q3&gt;0,VfdSky_Q3,0)*Table2[[#This Row],[Iin]])</f>
        <v>0</v>
      </c>
      <c r="BA7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0.14617495392000002</v>
      </c>
      <c r="BB7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0.14617495392000002</v>
      </c>
      <c r="BC70" s="354">
        <f>CHOOSE(Table2[[#This Row],[Mode Digit]], Rs*Table2[[#This Row],[Irms BuSync]]^2, Rs*Table2[[#This Row],[Irms BoCtlr]]^2, Rs*(Table2[[#This Row],[Irms BuSync]]^2+Table2[[#This Row],[Irms BoCtlr]]^2))</f>
        <v>0.13526010878297626</v>
      </c>
      <c r="BD70" s="354">
        <f t="shared" si="6"/>
        <v>1.44</v>
      </c>
      <c r="BE70" s="354">
        <f>IF(Vout&gt;8, Iq*Vout, Iq*Table2[[#This Row],[Vin]])</f>
        <v>4.3799999999999999E-2</v>
      </c>
      <c r="BF70" s="354">
        <f>CHOOSE(Table2[[#This Row],[Mode Digit]], (Qg_Q1+Qg_Q2)*Fsw, (Qg_Q3+Qg_Q4)*Fsw, (Qg_Q1+Qg_Q2+Qg_Q3+Qg_Q4)*Fsw)*IF(Vout&gt;8, Vout, Table2[[#This Row],[Vin]])</f>
        <v>0.47303999999999996</v>
      </c>
      <c r="BG70" s="354">
        <f t="shared" si="4"/>
        <v>0.45605042016806729</v>
      </c>
      <c r="BH70" s="354">
        <f>Table2[[#This Row],[IQ Loss]]+Table2[[#This Row],[Switching Current Loss]]</f>
        <v>0.51683999999999997</v>
      </c>
      <c r="BI70"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5.8653745980070529</v>
      </c>
      <c r="BJ70">
        <f>Vout*Table2[[#This Row],[Iout]]</f>
        <v>106.872</v>
      </c>
      <c r="BK70" s="550">
        <f>Table2[[#This Row],[Pout]]/(Table2[[#This Row],[Pout]]+Table2[[#This Row],[Total Loss]])</f>
        <v>0.94797311345131552</v>
      </c>
      <c r="BL70" s="559">
        <f>IF(Table2[[#This Row],[Vin]]&gt;Vout,ThetaJA_Q1*(Table2[[#This Row],[Total Control Bu MOSFET Loss]]+Table2[[#This Row],[Reverse Recovery Loss MOSFET D BUCK]]),ThetaJA_Q4*(Table2[[#This Row],[Total Control Bo MOSFET Loss]]+Table2[[#This Row],[Reverse Recovery Loss MOSFET D BOOST]]))</f>
        <v>115.32101583189062</v>
      </c>
      <c r="BM70" s="559">
        <f>IF(Table2[[#This Row],[Vin]]&gt;Vout, Table2[[#This Row],[Total Sync Bu MOSFET Loss]]*ThetaJA_Q2, ThetaJA_Q3*Table2[[#This Row],[Total Sync Bo MOSFET Loss]])</f>
        <v>36.771411135372794</v>
      </c>
      <c r="BN70" s="9"/>
      <c r="BO70" s="4">
        <f>Table2[[#This Row],[EFF, h]]*100</f>
        <v>94.797311345131547</v>
      </c>
      <c r="BP70" s="354">
        <f>Table2[[#This Row],[Total Inductor Loss]]</f>
        <v>0.58779641244227177</v>
      </c>
      <c r="BQ70" s="354">
        <f>Table2[[#This Row],[Total Control Bu MOSFET Loss]]+Table2[[#This Row],[Total Sync Bu MOSFET Loss]]+Table2[[#This Row],[Total Control Bo MOSFET Loss]]+Table2[[#This Row],[Total Sync Bo MOSFET Loss]]+Table2[[#This Row],[Reverse Recovery Loss MOSFET D BUCK]]+Table2[[#This Row],[Reverse Recovery Loss MOSFET D BOOST]]</f>
        <v>3.1617379924889217</v>
      </c>
      <c r="BR70" s="354">
        <f xml:space="preserve"> Table2[[#This Row],[Total Control Bu MOSFET Loss]]+Table2[[#This Row],[Reverse Recovery Loss MOSFET D BUCK]]*0.66</f>
        <v>1.8723174461987104</v>
      </c>
      <c r="BS70" s="354">
        <f>Table2[[#This Row],[Total Sync Bu MOSFET Loss]]+Table2[[#This Row],[Reverse Recovery Loss MOSFET D BUCK]]*0.33</f>
        <v>0.66109458704981328</v>
      </c>
      <c r="BT70" s="354">
        <f xml:space="preserve"> Table2[[#This Row],[Total Control Bo MOSFET Loss]]+Table2[[#This Row],[Reverse Recovery Loss MOSFET D BOOST]]*0.66</f>
        <v>0.33682009747779912</v>
      </c>
      <c r="BU70" s="354">
        <f xml:space="preserve"> Table2[[#This Row],[Total Sync Bo MOSFET Loss]]+Table2[[#This Row],[Reverse Recovery Loss MOSFET D BOOST]]*0.33</f>
        <v>0.28858236268419912</v>
      </c>
      <c r="BV70" s="354">
        <f>Table2[[#This Row],[Isense Shunt Loss]]</f>
        <v>0.13526010878297626</v>
      </c>
      <c r="CB70" s="18"/>
      <c r="CC70" s="19"/>
    </row>
    <row r="71" spans="1:81" x14ac:dyDescent="0.2">
      <c r="A71" s="14" t="s">
        <v>63</v>
      </c>
      <c r="B71" s="15" t="s">
        <v>8</v>
      </c>
      <c r="C71" s="17" t="s">
        <v>80</v>
      </c>
      <c r="G71">
        <v>62</v>
      </c>
      <c r="H71" s="555">
        <f t="shared" si="5"/>
        <v>20</v>
      </c>
      <c r="I71" s="4" t="str">
        <f>IF(Mode = 2,IF(Table2[[#This Row],[Vin]]&gt;Vout, "BUCK","BOOST"),IF(Table2[[#This Row],[Vin]]&gt;VIN_BB_to_buck, "BUCK", IF(Table2[[#This Row],[Vin]]&lt;=VIN_boost_to_BB,"BOOST","BUCK-BST")))</f>
        <v>BUCK</v>
      </c>
      <c r="J71">
        <f>IF(Table2[[#This Row],[Mode]]="BOOST",2, IF(Table2[[#This Row],[Mode]]="BUCK", 1,3))</f>
        <v>1</v>
      </c>
      <c r="K71" s="354">
        <f t="shared" si="7"/>
        <v>7.44</v>
      </c>
      <c r="L71" s="4">
        <f>Vout*Table2[[#This Row],[Iout]]/(Table2[[#This Row],[Vin]]*Efficiency)</f>
        <v>5.7170526315789481</v>
      </c>
      <c r="M71" s="711">
        <f>MIN(1/Fsw,CHOOSE(Table2[[#This Row],[Mode Digit]],(Vout+(Rdson2+Rs+Rdcr)*Table2[[#This Row],[Iout]])/(Table2[[#This Row],[Vin]]+(Rs+Rdson2-Rdson1)*Table2[[#This Row],[Iout]])/Fsw,(Vout+(Rdson3+Rdcr)*Table2[[#This Row],[Iin]]-Table2[[#This Row],[Vin]])/(Vout+(Rdson3-Rdson4-Rs)*Table2[[#This Row],[Iin]])/Fsw,t1_Ph_II))</f>
        <v>1.2232790171806887E-6</v>
      </c>
      <c r="N71" s="602">
        <f>CHOOSE(Table2[[#This Row],[Mode Digit]],1/Fsw-Table2[[#This Row],[t1_Ph_II]],1/Fsw-Table2[[#This Row],[t1_Ph_II]],(Vout/Fsw-Table2[[#This Row],[Vin]]*t1_Ph_II)/(Table2[[#This Row],[Vin]]+Vout))</f>
        <v>4.43387649485978E-7</v>
      </c>
      <c r="O71" s="602">
        <f>1/Fsw-(Table2[[#This Row],[t1_Ph_II]]+Table2[[#This Row],[t2_Ph_I]])</f>
        <v>0</v>
      </c>
      <c r="P71"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6.1889191869742959</v>
      </c>
      <c r="Q71" s="4">
        <f>CHOOSE(Table2[[#This Row],[Mode Digit]],Table2[[#This Row],[I_0]]+1/Lf*(Table2[[#This Row],[Vin]]-Vout)*Table2[[#This Row],[t1_Ph_II]],Table2[[#This Row],[I_0]]+1/Lf*Table2[[#This Row],[Vin]]*Table2[[#This Row],[t1_Ph_II]],Table2[[#This Row],[I_0]]+(Table2[[#This Row],[Vin]]-Vout)/L*Table2[[#This Row],[t1_Ph_II]])</f>
        <v>8.6910808130257049</v>
      </c>
      <c r="R71" s="4">
        <f>CHOOSE(Table2[[#This Row],[Mode Digit]],0,0,Table2[[#This Row],[I_1]]+Table2[[#This Row],[Vin]]/L*Table2[[#This Row],[t2_Ph_I]])</f>
        <v>0</v>
      </c>
      <c r="S71" s="409">
        <f>Fsw*(Table2[[#This Row],[I_0]]*Table2[[#This Row],[t1_Ph_II]]+Table2[[#This Row],[I_1]]*Table2[[#This Row],[t2_Ph_I]]+Table2[[#This Row],[I_2]]*Table2[[#This Row],[t3_Ph_III]])</f>
        <v>6.8545757241796643</v>
      </c>
      <c r="T71" s="354">
        <f>MIN(1,CHOOSE(Table2[[#This Row],[Mode Digit]],(Vout+(Rdson2+Rs+Rdcr)*Table2[[#This Row],[Iout]])/(Table2[[#This Row],[Vin]]+(Rs+Rdson2-Rdson1)*Table2[[#This Row],[Iout]]),1,Fsw*Table2[[#This Row],[t2_Ph_I]]+Table2[[#This Row],[t1_Ph_II]]))</f>
        <v>0.73396741030841317</v>
      </c>
      <c r="U71" s="354">
        <f>MIN(1,CHOOSE(Table2[[#This Row],[Mode Digit]],0,(Vout+(Rdson3+Rdcr)*Table2[[#This Row],[Iin]]-Table2[[#This Row],[Vin]])/(Vout+(Rdson3-Rdson4-Rs)*Table2[[#This Row],[Iin]]),Fsw*Table2[[#This Row],[t1_Ph_II]]+Table2[[#This Row],[t3_Ph_III]]))</f>
        <v>0</v>
      </c>
      <c r="V71" s="4">
        <f>MAX(Table2[[#This Row],[I_0]:[I_2]])-MIN(Table2[[#This Row],[I_0]:[I_1]])</f>
        <v>2.502161626051409</v>
      </c>
      <c r="W71"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7.4749805618637142</v>
      </c>
      <c r="X71" s="354">
        <f>(Table2[[#This Row],[Irms Lf]]^2*Rdcr*(1+Ltc*Ta-Ltc*25))/(1-Table2[[#This Row],[Irms Lf]]^2*Rdcr*Ltc*ThetaCa)</f>
        <v>0.33270263978312231</v>
      </c>
      <c r="Y71" s="354">
        <f>ABS(7.759*10^-3*Fsw^0.9458*(0.00787*Table2[[#This Row],[Ripple Current pk-pk]])^2.304)</f>
        <v>0.26596566560651846</v>
      </c>
      <c r="Z71" s="354">
        <f>Table2[[#This Row],[DCR    Loss]]+Table2[[#This Row],[Core Loss]]</f>
        <v>0.59866830538964078</v>
      </c>
      <c r="AA71" s="4">
        <f>IF(Table2[[#This Row],[Vin]]&gt;Vout, Table2[[#This Row],[Ripple Current pk-pk]]/SQRT(12), SQRT(Table2[[#This Row],[Duty Cycle BOOST Leg]]/(1-Table2[[#This Row],[Duty Cycle BOOST Leg]]))*SQRT(Table2[[#This Row],[Iout]]^2+(Table2[[#This Row],[Ripple Current pk-pk]]^2)/12))</f>
        <v>0.72231184417836636</v>
      </c>
      <c r="AB71" s="354">
        <f>RCoutEsr*Table2[[#This Row],[Irms Cout]]^2</f>
        <v>2.6086720012017629E-3</v>
      </c>
      <c r="AC71" s="354">
        <f>Table2[[#This Row],[Cout ESR Loss]]</f>
        <v>2.6086720012017629E-3</v>
      </c>
      <c r="AD71" s="4">
        <f>IF(Table2[[#This Row],[Vin]]&gt;Vout, SQRT(Table2[[#This Row],[Duty Cycle BUCK Leg]]*(1-Table2[[#This Row],[Duty Cycle BUCK Leg]]))*SQRT(Table2[[#This Row],[Iout]]^2+(Table2[[#This Row],[Ripple Current pk-pk]]^2)/12), Table2[[#This Row],[Ripple Current pk-pk]]/SQRT(12))</f>
        <v>3.3030555459356754</v>
      </c>
      <c r="AE71" s="354">
        <f>RCinEsr*Table2[[#This Row],[Irms Cin]]^2</f>
        <v>2.1820351879072844E-2</v>
      </c>
      <c r="AF71" s="549">
        <f>Table2[[#This Row],[Cin ESR Loss]]</f>
        <v>2.1820351879072844E-2</v>
      </c>
      <c r="AG71" s="354">
        <f>Table2[[#This Row],[Irms Lf]]</f>
        <v>7.4749805618637142</v>
      </c>
      <c r="AH71" s="354">
        <f>Rdson1*Table2[[#This Row],[Irms BuCtrl]]^2</f>
        <v>0.2346764044810096</v>
      </c>
      <c r="AI71" s="354">
        <f>CHOOSE(Table2[[#This Row],[Mode Digit]], (Table2[[#This Row],[Vin]]*Table2[[#This Row],[Iout]]/2)*(Fsw)*(Tr_buck+Tf_buck), 0, (Table2[[#This Row],[Vin]]*Table2[[#This Row],[Avg IL]]/2)*(Fsw/1)*(Tr_buck+Tf_buck))</f>
        <v>1.4755554010911298</v>
      </c>
      <c r="AJ71">
        <f>IF(Table2[[#This Row],[Vin]]&gt;Vout, IF(Table2[[#This Row],[Iout]]&gt;Table2[[#This Row],[Ripple Current pk-pk]]/2,0,ABS(Table2[[#This Row],[Iout]]-Table2[[#This Row],[Ripple Current pk-pk]]/2)*Vsd_Q1*Deadtime*Fsw),0)</f>
        <v>0</v>
      </c>
      <c r="AK71" s="354">
        <f>(Table2[[#This Row],[Dead Time Loss BuCtrl]]+Table2[[#This Row],[Transition Loss BuCtrl]]+Table2[[#This Row],[RDS(on) Loss BuCtrl]]*(1+RdsonTopTc*Ta-RdsonTopTc*25))/(1-Table2[[#This Row],[RDS(on) Loss BuCtrl]]*RdsonTopTc*ThetaJA_Q1)</f>
        <v>1.812305062167042</v>
      </c>
      <c r="AL71" s="354">
        <f>Table2[[#This Row],[Irms Lf]]</f>
        <v>7.4749805618637142</v>
      </c>
      <c r="AM71" s="354">
        <f>Rdson2*Table2[[#This Row],[Irms BuSync]]^2</f>
        <v>0.2346764044810096</v>
      </c>
      <c r="AN71"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0.35797028571428574</v>
      </c>
      <c r="AO71" s="354">
        <f>(Table2[[#This Row],[Deadtime Loss BuSync]]+Table2[[#This Row],[RDS(on) Loss BuSync]]*(1+RdsonBotTc*Ta-RdsonBotTc*25))/(1-Table2[[#This Row],[RDS(on) Loss BuSync]]*RdsonBotTc*ThetaJA_Q2)</f>
        <v>0.628018139539957</v>
      </c>
      <c r="AP71" s="354">
        <f>Table2[[#This Row],[Irms Lf]]</f>
        <v>7.4749805618637142</v>
      </c>
      <c r="AQ71" s="354">
        <f>Rdson4*Table2[[#This Row],[Irms BoCtlr]]^2</f>
        <v>0.2346764044810096</v>
      </c>
      <c r="AR71" s="354">
        <f>CHOOSE(Table2[[#This Row],[Mode Digit]], 0, (Vout*Table2[[#This Row],[Iin]]/2)*(Fsw)*(Tr_boost+Tf_boost), (Vout*Iout/2)*(Fsw/1)*(Tr_boost+Tf_boost))</f>
        <v>0</v>
      </c>
      <c r="AS71" s="354">
        <f>IF(Table2[[#This Row],[Vin]]&gt;Vout, 0, IF(Table2[[#This Row],[Iin]]&gt;Table2[[#This Row],[Ripple Current pk-pk]]/2,0,ABS(Table2[[#This Row],[Iin]]-Table2[[#This Row],[Ripple Current pk-pk]]/2)*Vsd_Q4*Deadtime*Fsw))</f>
        <v>0</v>
      </c>
      <c r="AT71" s="354">
        <f>(Table2[[#This Row],[Dead Time Loss BoCtlr]]+Table2[[#This Row],[Transition Loss BoCtlr]]+Table2[[#This Row],[RDS(on) Loss BoCtlr]]*(1+RdsonTopTc*Ta-RdsonTopTc*25))/(1-Table2[[#This Row],[RDS(on) Loss BoCtlr]]*RdsonTopTc*ThetaJA_Q4)</f>
        <v>0.24868280102521703</v>
      </c>
      <c r="AU71" s="354">
        <f>Table2[[#This Row],[Irms Lf]]</f>
        <v>7.4749805618637142</v>
      </c>
      <c r="AV71" s="354">
        <f>Rdson3*Table2[[#This Row],[Irms BoSync]]^2</f>
        <v>0.2346764044810096</v>
      </c>
      <c r="AW71"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71" s="354">
        <f>(Table2[[#This Row],[Deadtime Loss BoSync]]+Table2[[#This Row],[RDS(on) Loss BoSync]]*(1+RdsonBotTc*Ta-RdsonBotTc*25))/(1-Table2[[#This Row],[RDS(on) Loss BoSync]]*RdsonBotTc*ThetaJA_Q3)</f>
        <v>0.24868280102521703</v>
      </c>
      <c r="AY71" s="354">
        <f>CHOOSE(Table2[[#This Row],[Mode Digit]], Rdson3*Table2[[#This Row],[Irms Lf]]^2, Rdson1*Table2[[#This Row],[Irms Lf]]^2, 0)</f>
        <v>0.2346764044810096</v>
      </c>
      <c r="AZ71" s="354">
        <f>CHOOSE(Table2[[#This Row],[Mode Digit]], 2*Deadtime*Fsw*IF(VfdSky_Q2&gt;0,VfdSky_Q2,0)*Table2[[#This Row],[Iout]], 2*Deadtime*Fsw*IF(VfdSky_Q3&gt;0,VfdSky_Q3,0)*Table2[[#This Row],[Iin]], 2*Deadtime*Fsw*IF(VfdSky_Q2&gt;0,VfdSky_Q2,0)*Table2[[#This Row],[Iout]]+2*Deadtime*Fsw*IF(VfdSky_Q3&gt;0,VfdSky_Q3,0)*Table2[[#This Row],[Iin]])</f>
        <v>0</v>
      </c>
      <c r="BA7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0.14856751488</v>
      </c>
      <c r="BB7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0.14856751488</v>
      </c>
      <c r="BC71" s="354">
        <f>CHOOSE(Table2[[#This Row],[Mode Digit]], Rs*Table2[[#This Row],[Irms BuSync]]^2, Rs*Table2[[#This Row],[Irms BoCtlr]]^2, Rs*(Table2[[#This Row],[Irms BuSync]]^2+Table2[[#This Row],[Irms BoCtlr]]^2))</f>
        <v>0.13968833600060093</v>
      </c>
      <c r="BD71" s="354">
        <f t="shared" si="6"/>
        <v>1.44</v>
      </c>
      <c r="BE71" s="354">
        <f>IF(Vout&gt;8, Iq*Vout, Iq*Table2[[#This Row],[Vin]])</f>
        <v>4.3799999999999999E-2</v>
      </c>
      <c r="BF71" s="354">
        <f>CHOOSE(Table2[[#This Row],[Mode Digit]], (Qg_Q1+Qg_Q2)*Fsw, (Qg_Q3+Qg_Q4)*Fsw, (Qg_Q1+Qg_Q2+Qg_Q3+Qg_Q4)*Fsw)*IF(Vout&gt;8, Vout, Table2[[#This Row],[Vin]])</f>
        <v>0.47303999999999996</v>
      </c>
      <c r="BG71" s="354">
        <f t="shared" si="4"/>
        <v>0.45605042016806729</v>
      </c>
      <c r="BH71" s="354">
        <f>Table2[[#This Row],[IQ Loss]]+Table2[[#This Row],[Switching Current Loss]]</f>
        <v>0.51683999999999997</v>
      </c>
      <c r="BI71"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5.9544494987879482</v>
      </c>
      <c r="BJ71">
        <f>Vout*Table2[[#This Row],[Iout]]</f>
        <v>108.62400000000001</v>
      </c>
      <c r="BK71" s="550">
        <f>Table2[[#This Row],[Pout]]/(Table2[[#This Row],[Pout]]+Table2[[#This Row],[Total Loss]])</f>
        <v>0.94803168026068518</v>
      </c>
      <c r="BL71" s="559">
        <f>IF(Table2[[#This Row],[Vin]]&gt;Vout,ThetaJA_Q1*(Table2[[#This Row],[Total Control Bu MOSFET Loss]]+Table2[[#This Row],[Reverse Recovery Loss MOSFET D BUCK]]),ThetaJA_Q4*(Table2[[#This Row],[Total Control Bo MOSFET Loss]]+Table2[[#This Row],[Reverse Recovery Loss MOSFET D BOOST]]))</f>
        <v>117.65235462282253</v>
      </c>
      <c r="BM71" s="559">
        <f>IF(Table2[[#This Row],[Vin]]&gt;Vout, Table2[[#This Row],[Total Sync Bu MOSFET Loss]]*ThetaJA_Q2, ThetaJA_Q3*Table2[[#This Row],[Total Sync Bo MOSFET Loss]])</f>
        <v>37.681088372397419</v>
      </c>
      <c r="BN71" s="9"/>
      <c r="BO71" s="4">
        <f>Table2[[#This Row],[EFF, h]]*100</f>
        <v>94.803168026068519</v>
      </c>
      <c r="BP71" s="354">
        <f>Table2[[#This Row],[Total Inductor Loss]]</f>
        <v>0.59866830538964078</v>
      </c>
      <c r="BQ71" s="354">
        <f>Table2[[#This Row],[Total Control Bu MOSFET Loss]]+Table2[[#This Row],[Total Sync Bu MOSFET Loss]]+Table2[[#This Row],[Total Control Bo MOSFET Loss]]+Table2[[#This Row],[Total Sync Bo MOSFET Loss]]+Table2[[#This Row],[Reverse Recovery Loss MOSFET D BUCK]]+Table2[[#This Row],[Reverse Recovery Loss MOSFET D BOOST]]</f>
        <v>3.2348238335174324</v>
      </c>
      <c r="BR71" s="354">
        <f xml:space="preserve"> Table2[[#This Row],[Total Control Bu MOSFET Loss]]+Table2[[#This Row],[Reverse Recovery Loss MOSFET D BUCK]]*0.66</f>
        <v>1.910359621987842</v>
      </c>
      <c r="BS71" s="354">
        <f>Table2[[#This Row],[Total Sync Bu MOSFET Loss]]+Table2[[#This Row],[Reverse Recovery Loss MOSFET D BUCK]]*0.33</f>
        <v>0.67704541945035701</v>
      </c>
      <c r="BT71" s="354">
        <f xml:space="preserve"> Table2[[#This Row],[Total Control Bo MOSFET Loss]]+Table2[[#This Row],[Reverse Recovery Loss MOSFET D BOOST]]*0.66</f>
        <v>0.34673736084601703</v>
      </c>
      <c r="BU71" s="354">
        <f xml:space="preserve"> Table2[[#This Row],[Total Sync Bo MOSFET Loss]]+Table2[[#This Row],[Reverse Recovery Loss MOSFET D BOOST]]*0.33</f>
        <v>0.29771008093561702</v>
      </c>
      <c r="BV71" s="354">
        <f>Table2[[#This Row],[Isense Shunt Loss]]</f>
        <v>0.13968833600060093</v>
      </c>
      <c r="CB71" s="18"/>
      <c r="CC71" s="19"/>
    </row>
    <row r="72" spans="1:81" x14ac:dyDescent="0.2">
      <c r="A72" s="32" t="s">
        <v>91</v>
      </c>
      <c r="B72" s="450">
        <f>(Qgd_Q1+Qgs_Q1/2)*(RdsonDRT+Rgate1)/(Vdd-Vsp_Q1)*1000000000</f>
        <v>11.417821782178217</v>
      </c>
      <c r="C72" s="21" t="s">
        <v>79</v>
      </c>
      <c r="D72" s="114" t="s">
        <v>681</v>
      </c>
      <c r="G72">
        <v>63</v>
      </c>
      <c r="H72" s="555">
        <f t="shared" si="5"/>
        <v>20</v>
      </c>
      <c r="I72" s="4" t="str">
        <f>IF(Mode = 2,IF(Table2[[#This Row],[Vin]]&gt;Vout, "BUCK","BOOST"),IF(Table2[[#This Row],[Vin]]&gt;VIN_BB_to_buck, "BUCK", IF(Table2[[#This Row],[Vin]]&lt;=VIN_boost_to_BB,"BOOST","BUCK-BST")))</f>
        <v>BUCK</v>
      </c>
      <c r="J72">
        <f>IF(Table2[[#This Row],[Mode]]="BOOST",2, IF(Table2[[#This Row],[Mode]]="BUCK", 1,3))</f>
        <v>1</v>
      </c>
      <c r="K72" s="354">
        <f t="shared" si="7"/>
        <v>7.56</v>
      </c>
      <c r="L72" s="4">
        <f>Vout*Table2[[#This Row],[Iout]]/(Table2[[#This Row],[Vin]]*Efficiency)</f>
        <v>5.809263157894736</v>
      </c>
      <c r="M72" s="711">
        <f>MIN(1/Fsw,CHOOSE(Table2[[#This Row],[Mode Digit]],(Vout+(Rdson2+Rs+Rdcr)*Table2[[#This Row],[Iout]])/(Table2[[#This Row],[Vin]]+(Rs+Rdson2-Rdson1)*Table2[[#This Row],[Iout]])/Fsw,(Vout+(Rdson3+Rdcr)*Table2[[#This Row],[Iin]]-Table2[[#This Row],[Vin]])/(Vout+(Rdson3-Rdson4-Rs)*Table2[[#This Row],[Iin]])/Fsw,t1_Ph_II))</f>
        <v>1.223385567305563E-6</v>
      </c>
      <c r="N72" s="602">
        <f>CHOOSE(Table2[[#This Row],[Mode Digit]],1/Fsw-Table2[[#This Row],[t1_Ph_II]],1/Fsw-Table2[[#This Row],[t1_Ph_II]],(Vout/Fsw-Table2[[#This Row],[Vin]]*t1_Ph_II)/(Table2[[#This Row],[Vin]]+Vout))</f>
        <v>4.432810993611037E-7</v>
      </c>
      <c r="O72" s="602">
        <f>1/Fsw-(Table2[[#This Row],[t1_Ph_II]]+Table2[[#This Row],[t2_Ph_I]])</f>
        <v>0</v>
      </c>
      <c r="P72"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6.308810215255674</v>
      </c>
      <c r="Q72" s="4">
        <f>CHOOSE(Table2[[#This Row],[Mode Digit]],Table2[[#This Row],[I_0]]+1/Lf*(Table2[[#This Row],[Vin]]-Vout)*Table2[[#This Row],[t1_Ph_II]],Table2[[#This Row],[I_0]]+1/Lf*Table2[[#This Row],[Vin]]*Table2[[#This Row],[t1_Ph_II]],Table2[[#This Row],[I_0]]+(Table2[[#This Row],[Vin]]-Vout)/L*Table2[[#This Row],[t1_Ph_II]])</f>
        <v>8.8111897847443252</v>
      </c>
      <c r="R72" s="4">
        <f>CHOOSE(Table2[[#This Row],[Mode Digit]],0,0,Table2[[#This Row],[I_1]]+Table2[[#This Row],[Vin]]/L*Table2[[#This Row],[t2_Ph_I]])</f>
        <v>0</v>
      </c>
      <c r="S72" s="409">
        <f>Fsw*(Table2[[#This Row],[I_0]]*Table2[[#This Row],[t1_Ph_II]]+Table2[[#This Row],[I_1]]*Table2[[#This Row],[t2_Ph_I]]+Table2[[#This Row],[I_2]]*Table2[[#This Row],[t3_Ph_III]])</f>
        <v>6.9743647552046912</v>
      </c>
      <c r="T72" s="354">
        <f>MIN(1,CHOOSE(Table2[[#This Row],[Mode Digit]],(Vout+(Rdson2+Rs+Rdcr)*Table2[[#This Row],[Iout]])/(Table2[[#This Row],[Vin]]+(Rs+Rdson2-Rdson1)*Table2[[#This Row],[Iout]]),1,Fsw*Table2[[#This Row],[t2_Ph_I]]+Table2[[#This Row],[t1_Ph_II]]))</f>
        <v>0.73403134038333773</v>
      </c>
      <c r="U72" s="354">
        <f>MIN(1,CHOOSE(Table2[[#This Row],[Mode Digit]],0,(Vout+(Rdson3+Rdcr)*Table2[[#This Row],[Iin]]-Table2[[#This Row],[Vin]])/(Vout+(Rdson3-Rdson4-Rs)*Table2[[#This Row],[Iin]]),Fsw*Table2[[#This Row],[t1_Ph_II]]+Table2[[#This Row],[t3_Ph_III]]))</f>
        <v>0</v>
      </c>
      <c r="V72" s="4">
        <f>MAX(Table2[[#This Row],[I_0]:[I_2]])-MIN(Table2[[#This Row],[I_0]:[I_1]])</f>
        <v>2.5023795694886513</v>
      </c>
      <c r="W72"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7.5944338362041739</v>
      </c>
      <c r="X72" s="354">
        <f>(Table2[[#This Row],[Irms Lf]]^2*Rdcr*(1+Ltc*Ta-Ltc*25))/(1-Table2[[#This Row],[Irms Lf]]^2*Rdcr*Ltc*ThetaCa)</f>
        <v>0.34371578129005842</v>
      </c>
      <c r="Y72" s="354">
        <f>ABS(7.759*10^-3*Fsw^0.9458*(0.00787*Table2[[#This Row],[Ripple Current pk-pk]])^2.304)</f>
        <v>0.26601904346556032</v>
      </c>
      <c r="Z72" s="354">
        <f>Table2[[#This Row],[DCR    Loss]]+Table2[[#This Row],[Core Loss]]</f>
        <v>0.60973482475561869</v>
      </c>
      <c r="AA72" s="4">
        <f>IF(Table2[[#This Row],[Vin]]&gt;Vout, Table2[[#This Row],[Ripple Current pk-pk]]/SQRT(12), SQRT(Table2[[#This Row],[Duty Cycle BOOST Leg]]/(1-Table2[[#This Row],[Duty Cycle BOOST Leg]]))*SQRT(Table2[[#This Row],[Iout]]^2+(Table2[[#This Row],[Ripple Current pk-pk]]^2)/12))</f>
        <v>0.72237475902944637</v>
      </c>
      <c r="AB72" s="354">
        <f>RCoutEsr*Table2[[#This Row],[Irms Cout]]^2</f>
        <v>2.6091264624142534E-3</v>
      </c>
      <c r="AC72" s="354">
        <f>Table2[[#This Row],[Cout ESR Loss]]</f>
        <v>2.6091264624142534E-3</v>
      </c>
      <c r="AD72" s="4">
        <f>IF(Table2[[#This Row],[Vin]]&gt;Vout, SQRT(Table2[[#This Row],[Duty Cycle BUCK Leg]]*(1-Table2[[#This Row],[Duty Cycle BUCK Leg]]))*SQRT(Table2[[#This Row],[Iout]]^2+(Table2[[#This Row],[Ripple Current pk-pk]]^2)/12), Table2[[#This Row],[Ripple Current pk-pk]]/SQRT(12))</f>
        <v>3.3555826225001044</v>
      </c>
      <c r="AE72" s="354">
        <f>RCinEsr*Table2[[#This Row],[Irms Cin]]^2</f>
        <v>2.2519869472849358E-2</v>
      </c>
      <c r="AF72" s="549">
        <f>Table2[[#This Row],[Cin ESR Loss]]</f>
        <v>2.2519869472849358E-2</v>
      </c>
      <c r="AG72" s="354">
        <f>Table2[[#This Row],[Irms Lf]]</f>
        <v>7.5944338362041739</v>
      </c>
      <c r="AH72" s="354">
        <f>Rdson1*Table2[[#This Row],[Irms BuCtrl]]^2</f>
        <v>0.24223678622842798</v>
      </c>
      <c r="AI72" s="354">
        <f>CHOOSE(Table2[[#This Row],[Mode Digit]], (Table2[[#This Row],[Vin]]*Table2[[#This Row],[Iout]]/2)*(Fsw)*(Tr_buck+Tf_buck), 0, (Table2[[#This Row],[Vin]]*Table2[[#This Row],[Avg IL]]/2)*(Fsw/1)*(Tr_buck+Tf_buck))</f>
        <v>1.4993546817538899</v>
      </c>
      <c r="AJ72">
        <f>IF(Table2[[#This Row],[Vin]]&gt;Vout, IF(Table2[[#This Row],[Iout]]&gt;Table2[[#This Row],[Ripple Current pk-pk]]/2,0,ABS(Table2[[#This Row],[Iout]]-Table2[[#This Row],[Ripple Current pk-pk]]/2)*Vsd_Q1*Deadtime*Fsw),0)</f>
        <v>0</v>
      </c>
      <c r="AK72" s="354">
        <f>(Table2[[#This Row],[Dead Time Loss BuCtrl]]+Table2[[#This Row],[Transition Loss BuCtrl]]+Table2[[#This Row],[RDS(on) Loss BuCtrl]]*(1+RdsonTopTc*Ta-RdsonTopTc*25))/(1-Table2[[#This Row],[RDS(on) Loss BuCtrl]]*RdsonTopTc*ThetaJA_Q1)</f>
        <v>1.8490918012739848</v>
      </c>
      <c r="AL72" s="354">
        <f>Table2[[#This Row],[Irms Lf]]</f>
        <v>7.5944338362041739</v>
      </c>
      <c r="AM72" s="354">
        <f>Rdson2*Table2[[#This Row],[Irms BuSync]]^2</f>
        <v>0.24223678622842798</v>
      </c>
      <c r="AN72"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0.36374399999999996</v>
      </c>
      <c r="AO72" s="354">
        <f>(Table2[[#This Row],[Deadtime Loss BuSync]]+Table2[[#This Row],[RDS(on) Loss BuSync]]*(1+RdsonBotTc*Ta-RdsonBotTc*25))/(1-Table2[[#This Row],[RDS(on) Loss BuSync]]*RdsonBotTc*ThetaJA_Q2)</f>
        <v>0.64338515900212578</v>
      </c>
      <c r="AP72" s="354">
        <f>Table2[[#This Row],[Irms Lf]]</f>
        <v>7.5944338362041739</v>
      </c>
      <c r="AQ72" s="354">
        <f>Rdson4*Table2[[#This Row],[Irms BoCtlr]]^2</f>
        <v>0.24223678622842798</v>
      </c>
      <c r="AR72" s="354">
        <f>CHOOSE(Table2[[#This Row],[Mode Digit]], 0, (Vout*Table2[[#This Row],[Iin]]/2)*(Fsw)*(Tr_boost+Tf_boost), (Vout*Iout/2)*(Fsw/1)*(Tr_boost+Tf_boost))</f>
        <v>0</v>
      </c>
      <c r="AS72" s="354">
        <f>IF(Table2[[#This Row],[Vin]]&gt;Vout, 0, IF(Table2[[#This Row],[Iin]]&gt;Table2[[#This Row],[Ripple Current pk-pk]]/2,0,ABS(Table2[[#This Row],[Iin]]-Table2[[#This Row],[Ripple Current pk-pk]]/2)*Vsd_Q4*Deadtime*Fsw))</f>
        <v>0</v>
      </c>
      <c r="AT72" s="354">
        <f>(Table2[[#This Row],[Dead Time Loss BoCtlr]]+Table2[[#This Row],[Transition Loss BoCtlr]]+Table2[[#This Row],[RDS(on) Loss BoCtlr]]*(1+RdsonTopTc*Ta-RdsonTopTc*25))/(1-Table2[[#This Row],[RDS(on) Loss BoCtlr]]*RdsonTopTc*ThetaJA_Q4)</f>
        <v>0.25718893530230175</v>
      </c>
      <c r="AU72" s="354">
        <f>Table2[[#This Row],[Irms Lf]]</f>
        <v>7.5944338362041739</v>
      </c>
      <c r="AV72" s="354">
        <f>Rdson3*Table2[[#This Row],[Irms BoSync]]^2</f>
        <v>0.24223678622842798</v>
      </c>
      <c r="AW72"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72" s="354">
        <f>(Table2[[#This Row],[Deadtime Loss BoSync]]+Table2[[#This Row],[RDS(on) Loss BoSync]]*(1+RdsonBotTc*Ta-RdsonBotTc*25))/(1-Table2[[#This Row],[RDS(on) Loss BoSync]]*RdsonBotTc*ThetaJA_Q3)</f>
        <v>0.25718893530230175</v>
      </c>
      <c r="AY72" s="354">
        <f>CHOOSE(Table2[[#This Row],[Mode Digit]], Rdson3*Table2[[#This Row],[Irms Lf]]^2, Rdson1*Table2[[#This Row],[Irms Lf]]^2, 0)</f>
        <v>0.24223678622842798</v>
      </c>
      <c r="AZ72" s="354">
        <f>CHOOSE(Table2[[#This Row],[Mode Digit]], 2*Deadtime*Fsw*IF(VfdSky_Q2&gt;0,VfdSky_Q2,0)*Table2[[#This Row],[Iout]], 2*Deadtime*Fsw*IF(VfdSky_Q3&gt;0,VfdSky_Q3,0)*Table2[[#This Row],[Iin]], 2*Deadtime*Fsw*IF(VfdSky_Q2&gt;0,VfdSky_Q2,0)*Table2[[#This Row],[Iout]]+2*Deadtime*Fsw*IF(VfdSky_Q3&gt;0,VfdSky_Q3,0)*Table2[[#This Row],[Iin]])</f>
        <v>0</v>
      </c>
      <c r="BA7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0.15095995488</v>
      </c>
      <c r="BB7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0.15095995488</v>
      </c>
      <c r="BC72" s="354">
        <f>CHOOSE(Table2[[#This Row],[Mode Digit]], Rs*Table2[[#This Row],[Irms BuSync]]^2, Rs*Table2[[#This Row],[Irms BoCtlr]]^2, Rs*(Table2[[#This Row],[Irms BuSync]]^2+Table2[[#This Row],[Irms BoCtlr]]^2))</f>
        <v>0.1441885632312071</v>
      </c>
      <c r="BD72" s="354">
        <f t="shared" si="6"/>
        <v>1.44</v>
      </c>
      <c r="BE72" s="354">
        <f>IF(Vout&gt;8, Iq*Vout, Iq*Table2[[#This Row],[Vin]])</f>
        <v>4.3799999999999999E-2</v>
      </c>
      <c r="BF72" s="354">
        <f>CHOOSE(Table2[[#This Row],[Mode Digit]], (Qg_Q1+Qg_Q2)*Fsw, (Qg_Q3+Qg_Q4)*Fsw, (Qg_Q1+Qg_Q2+Qg_Q3+Qg_Q4)*Fsw)*IF(Vout&gt;8, Vout, Table2[[#This Row],[Vin]])</f>
        <v>0.47303999999999996</v>
      </c>
      <c r="BG72" s="354">
        <f t="shared" si="4"/>
        <v>0.45605042016806729</v>
      </c>
      <c r="BH72" s="354">
        <f>Table2[[#This Row],[IQ Loss]]+Table2[[#This Row],[Switching Current Loss]]</f>
        <v>0.51683999999999997</v>
      </c>
      <c r="BI72"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6.0446671245628032</v>
      </c>
      <c r="BJ72">
        <f>Vout*Table2[[#This Row],[Iout]]</f>
        <v>110.37599999999999</v>
      </c>
      <c r="BK72" s="550">
        <f>Table2[[#This Row],[Pout]]/(Table2[[#This Row],[Pout]]+Table2[[#This Row],[Total Loss]])</f>
        <v>0.94807908875753655</v>
      </c>
      <c r="BL72" s="559">
        <f>IF(Table2[[#This Row],[Vin]]&gt;Vout,ThetaJA_Q1*(Table2[[#This Row],[Total Control Bu MOSFET Loss]]+Table2[[#This Row],[Reverse Recovery Loss MOSFET D BUCK]]),ThetaJA_Q4*(Table2[[#This Row],[Total Control Bo MOSFET Loss]]+Table2[[#This Row],[Reverse Recovery Loss MOSFET D BOOST]]))</f>
        <v>120.00310536923908</v>
      </c>
      <c r="BM72" s="559">
        <f>IF(Table2[[#This Row],[Vin]]&gt;Vout, Table2[[#This Row],[Total Sync Bu MOSFET Loss]]*ThetaJA_Q2, ThetaJA_Q3*Table2[[#This Row],[Total Sync Bo MOSFET Loss]])</f>
        <v>38.603109540127548</v>
      </c>
      <c r="BN72" s="9"/>
      <c r="BO72" s="4">
        <f>Table2[[#This Row],[EFF, h]]*100</f>
        <v>94.807908875753654</v>
      </c>
      <c r="BP72" s="354">
        <f>Table2[[#This Row],[Total Inductor Loss]]</f>
        <v>0.60973482475561869</v>
      </c>
      <c r="BQ72" s="354">
        <f>Table2[[#This Row],[Total Control Bu MOSFET Loss]]+Table2[[#This Row],[Total Sync Bu MOSFET Loss]]+Table2[[#This Row],[Total Control Bo MOSFET Loss]]+Table2[[#This Row],[Total Sync Bo MOSFET Loss]]+Table2[[#This Row],[Reverse Recovery Loss MOSFET D BUCK]]+Table2[[#This Row],[Reverse Recovery Loss MOSFET D BOOST]]</f>
        <v>3.3087747406407133</v>
      </c>
      <c r="BR72" s="354">
        <f xml:space="preserve"> Table2[[#This Row],[Total Control Bu MOSFET Loss]]+Table2[[#This Row],[Reverse Recovery Loss MOSFET D BUCK]]*0.66</f>
        <v>1.9487253714947848</v>
      </c>
      <c r="BS72" s="354">
        <f>Table2[[#This Row],[Total Sync Bu MOSFET Loss]]+Table2[[#This Row],[Reverse Recovery Loss MOSFET D BUCK]]*0.33</f>
        <v>0.69320194411252578</v>
      </c>
      <c r="BT72" s="354">
        <f xml:space="preserve"> Table2[[#This Row],[Total Control Bo MOSFET Loss]]+Table2[[#This Row],[Reverse Recovery Loss MOSFET D BOOST]]*0.66</f>
        <v>0.35682250552310174</v>
      </c>
      <c r="BU72" s="354">
        <f xml:space="preserve"> Table2[[#This Row],[Total Sync Bo MOSFET Loss]]+Table2[[#This Row],[Reverse Recovery Loss MOSFET D BOOST]]*0.33</f>
        <v>0.30700572041270174</v>
      </c>
      <c r="BV72" s="354">
        <f>Table2[[#This Row],[Isense Shunt Loss]]</f>
        <v>0.1441885632312071</v>
      </c>
      <c r="CB72" s="18"/>
      <c r="CC72" s="19"/>
    </row>
    <row r="73" spans="1:81" x14ac:dyDescent="0.2">
      <c r="A73" s="33" t="s">
        <v>92</v>
      </c>
      <c r="B73" s="450">
        <f>(Qgd_Q1+Qgs_Q1/2)*(RdsonDRT2+Rgate1)/(Vsp_Q1)*1000000000</f>
        <v>21.636734693877553</v>
      </c>
      <c r="C73" s="21" t="s">
        <v>79</v>
      </c>
      <c r="D73" s="114" t="s">
        <v>682</v>
      </c>
      <c r="G73">
        <v>64</v>
      </c>
      <c r="H73" s="555">
        <f t="shared" ref="H73:H109" si="8">Vin</f>
        <v>20</v>
      </c>
      <c r="I73" s="4" t="str">
        <f>IF(Mode = 2,IF(Table2[[#This Row],[Vin]]&gt;Vout, "BUCK","BOOST"),IF(Table2[[#This Row],[Vin]]&gt;VIN_BB_to_buck, "BUCK", IF(Table2[[#This Row],[Vin]]&lt;=VIN_boost_to_BB,"BOOST","BUCK-BST")))</f>
        <v>BUCK</v>
      </c>
      <c r="J73">
        <f>IF(Table2[[#This Row],[Mode]]="BOOST",2, IF(Table2[[#This Row],[Mode]]="BUCK", 1,3))</f>
        <v>1</v>
      </c>
      <c r="K73" s="354">
        <f t="shared" si="7"/>
        <v>7.68</v>
      </c>
      <c r="L73" s="4">
        <f>Vout*Table2[[#This Row],[Iout]]/(Table2[[#This Row],[Vin]]*Efficiency)</f>
        <v>5.9014736842105266</v>
      </c>
      <c r="M73" s="711">
        <f>MIN(1/Fsw,CHOOSE(Table2[[#This Row],[Mode Digit]],(Vout+(Rdson2+Rs+Rdcr)*Table2[[#This Row],[Iout]])/(Table2[[#This Row],[Vin]]+(Rs+Rdson2-Rdson1)*Table2[[#This Row],[Iout]])/Fsw,(Vout+(Rdson3+Rdcr)*Table2[[#This Row],[Iin]]-Table2[[#This Row],[Vin]])/(Vout+(Rdson3-Rdson4-Rs)*Table2[[#This Row],[Iin]])/Fsw,t1_Ph_II))</f>
        <v>1.223492114236999E-6</v>
      </c>
      <c r="N73" s="602">
        <f>CHOOSE(Table2[[#This Row],[Mode Digit]],1/Fsw-Table2[[#This Row],[t1_Ph_II]],1/Fsw-Table2[[#This Row],[t1_Ph_II]],(Vout/Fsw-Table2[[#This Row],[Vin]]*t1_Ph_II)/(Table2[[#This Row],[Vin]]+Vout))</f>
        <v>4.4317455242966769E-7</v>
      </c>
      <c r="O73" s="602">
        <f>1/Fsw-(Table2[[#This Row],[t1_Ph_II]]+Table2[[#This Row],[t2_Ph_I]])</f>
        <v>0</v>
      </c>
      <c r="P73"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6.4287012468030689</v>
      </c>
      <c r="Q73" s="4">
        <f>CHOOSE(Table2[[#This Row],[Mode Digit]],Table2[[#This Row],[I_0]]+1/Lf*(Table2[[#This Row],[Vin]]-Vout)*Table2[[#This Row],[t1_Ph_II]],Table2[[#This Row],[I_0]]+1/Lf*Table2[[#This Row],[Vin]]*Table2[[#This Row],[t1_Ph_II]],Table2[[#This Row],[I_0]]+(Table2[[#This Row],[Vin]]-Vout)/L*Table2[[#This Row],[t1_Ph_II]])</f>
        <v>8.9312987531969306</v>
      </c>
      <c r="R73" s="4">
        <f>CHOOSE(Table2[[#This Row],[Mode Digit]],0,0,Table2[[#This Row],[I_1]]+Table2[[#This Row],[Vin]]/L*Table2[[#This Row],[t2_Ph_I]])</f>
        <v>0</v>
      </c>
      <c r="S73" s="409">
        <f>Fsw*(Table2[[#This Row],[I_0]]*Table2[[#This Row],[t1_Ph_II]]+Table2[[#This Row],[I_1]]*Table2[[#This Row],[t2_Ph_I]]+Table2[[#This Row],[I_2]]*Table2[[#This Row],[t3_Ph_III]])</f>
        <v>7.0941537646876904</v>
      </c>
      <c r="T73" s="354">
        <f>MIN(1,CHOOSE(Table2[[#This Row],[Mode Digit]],(Vout+(Rdson2+Rs+Rdcr)*Table2[[#This Row],[Iout]])/(Table2[[#This Row],[Vin]]+(Rs+Rdson2-Rdson1)*Table2[[#This Row],[Iout]]),1,Fsw*Table2[[#This Row],[t2_Ph_I]]+Table2[[#This Row],[t1_Ph_II]]))</f>
        <v>0.73409526854219942</v>
      </c>
      <c r="U73" s="354">
        <f>MIN(1,CHOOSE(Table2[[#This Row],[Mode Digit]],0,(Vout+(Rdson3+Rdcr)*Table2[[#This Row],[Iin]]-Table2[[#This Row],[Vin]])/(Vout+(Rdson3-Rdson4-Rs)*Table2[[#This Row],[Iin]]),Fsw*Table2[[#This Row],[t1_Ph_II]]+Table2[[#This Row],[t3_Ph_III]]))</f>
        <v>0</v>
      </c>
      <c r="V73" s="4">
        <f>MAX(Table2[[#This Row],[I_0]:[I_2]])-MIN(Table2[[#This Row],[I_0]:[I_1]])</f>
        <v>2.5025975063938617</v>
      </c>
      <c r="W73"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7.7139040822347145</v>
      </c>
      <c r="X73" s="354">
        <f>(Table2[[#This Row],[Irms Lf]]^2*Rdcr*(1+Ltc*Ta-Ltc*25))/(1-Table2[[#This Row],[Irms Lf]]^2*Rdcr*Ltc*ThetaCa)</f>
        <v>0.35492450031789635</v>
      </c>
      <c r="Y73" s="354">
        <f>ABS(7.759*10^-3*Fsw^0.9458*(0.00787*Table2[[#This Row],[Ripple Current pk-pk]])^2.304)</f>
        <v>0.26607242578706125</v>
      </c>
      <c r="Z73" s="354">
        <f>Table2[[#This Row],[DCR    Loss]]+Table2[[#This Row],[Core Loss]]</f>
        <v>0.6209969261049576</v>
      </c>
      <c r="AA73" s="4">
        <f>IF(Table2[[#This Row],[Vin]]&gt;Vout, Table2[[#This Row],[Ripple Current pk-pk]]/SQRT(12), SQRT(Table2[[#This Row],[Duty Cycle BOOST Leg]]/(1-Table2[[#This Row],[Duty Cycle BOOST Leg]]))*SQRT(Table2[[#This Row],[Iout]]^2+(Table2[[#This Row],[Ripple Current pk-pk]]^2)/12))</f>
        <v>0.72243767199489117</v>
      </c>
      <c r="AB73" s="354">
        <f>RCoutEsr*Table2[[#This Row],[Irms Cout]]^2</f>
        <v>2.60958094958699E-3</v>
      </c>
      <c r="AC73" s="354">
        <f>Table2[[#This Row],[Cout ESR Loss]]</f>
        <v>2.60958094958699E-3</v>
      </c>
      <c r="AD73" s="4">
        <f>IF(Table2[[#This Row],[Vin]]&gt;Vout, SQRT(Table2[[#This Row],[Duty Cycle BUCK Leg]]*(1-Table2[[#This Row],[Duty Cycle BUCK Leg]]))*SQRT(Table2[[#This Row],[Iout]]^2+(Table2[[#This Row],[Ripple Current pk-pk]]^2)/12), Table2[[#This Row],[Ripple Current pk-pk]]/SQRT(12))</f>
        <v>3.4081090255229598</v>
      </c>
      <c r="AE73" s="354">
        <f>RCinEsr*Table2[[#This Row],[Irms Cin]]^2</f>
        <v>2.3230414259702119E-2</v>
      </c>
      <c r="AF73" s="549">
        <f>Table2[[#This Row],[Cin ESR Loss]]</f>
        <v>2.3230414259702119E-2</v>
      </c>
      <c r="AG73" s="354">
        <f>Table2[[#This Row],[Irms Lf]]</f>
        <v>7.7139040822347145</v>
      </c>
      <c r="AH73" s="354">
        <f>Rdson1*Table2[[#This Row],[Irms BuCtrl]]^2</f>
        <v>0.24991812799765306</v>
      </c>
      <c r="AI73" s="354">
        <f>CHOOSE(Table2[[#This Row],[Mode Digit]], (Table2[[#This Row],[Vin]]*Table2[[#This Row],[Iout]]/2)*(Fsw)*(Tr_buck+Tf_buck), 0, (Table2[[#This Row],[Vin]]*Table2[[#This Row],[Avg IL]]/2)*(Fsw/1)*(Tr_buck+Tf_buck))</f>
        <v>1.5231539624166501</v>
      </c>
      <c r="AJ73">
        <f>IF(Table2[[#This Row],[Vin]]&gt;Vout, IF(Table2[[#This Row],[Iout]]&gt;Table2[[#This Row],[Ripple Current pk-pk]]/2,0,ABS(Table2[[#This Row],[Iout]]-Table2[[#This Row],[Ripple Current pk-pk]]/2)*Vsd_Q1*Deadtime*Fsw),0)</f>
        <v>0</v>
      </c>
      <c r="AK73" s="354">
        <f>(Table2[[#This Row],[Dead Time Loss BuCtrl]]+Table2[[#This Row],[Transition Loss BuCtrl]]+Table2[[#This Row],[RDS(on) Loss BuCtrl]]*(1+RdsonTopTc*Ta-RdsonTopTc*25))/(1-Table2[[#This Row],[RDS(on) Loss BuCtrl]]*RdsonTopTc*ThetaJA_Q1)</f>
        <v>1.8862074763770205</v>
      </c>
      <c r="AL73" s="354">
        <f>Table2[[#This Row],[Irms Lf]]</f>
        <v>7.7139040822347145</v>
      </c>
      <c r="AM73" s="354">
        <f>Rdson2*Table2[[#This Row],[Irms BuSync]]^2</f>
        <v>0.24991812799765306</v>
      </c>
      <c r="AN73"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0.36951771428571428</v>
      </c>
      <c r="AO73" s="354">
        <f>(Table2[[#This Row],[Deadtime Loss BuSync]]+Table2[[#This Row],[RDS(on) Loss BuSync]]*(1+RdsonBotTc*Ta-RdsonBotTc*25))/(1-Table2[[#This Row],[RDS(on) Loss BuSync]]*RdsonBotTc*ThetaJA_Q2)</f>
        <v>0.65896052572672048</v>
      </c>
      <c r="AP73" s="354">
        <f>Table2[[#This Row],[Irms Lf]]</f>
        <v>7.7139040822347145</v>
      </c>
      <c r="AQ73" s="354">
        <f>Rdson4*Table2[[#This Row],[Irms BoCtlr]]^2</f>
        <v>0.24991812799765306</v>
      </c>
      <c r="AR73" s="354">
        <f>CHOOSE(Table2[[#This Row],[Mode Digit]], 0, (Vout*Table2[[#This Row],[Iin]]/2)*(Fsw)*(Tr_boost+Tf_boost), (Vout*Iout/2)*(Fsw/1)*(Tr_boost+Tf_boost))</f>
        <v>0</v>
      </c>
      <c r="AS73" s="354">
        <f>IF(Table2[[#This Row],[Vin]]&gt;Vout, 0, IF(Table2[[#This Row],[Iin]]&gt;Table2[[#This Row],[Ripple Current pk-pk]]/2,0,ABS(Table2[[#This Row],[Iin]]-Table2[[#This Row],[Ripple Current pk-pk]]/2)*Vsd_Q4*Deadtime*Fsw))</f>
        <v>0</v>
      </c>
      <c r="AT73" s="354">
        <f>(Table2[[#This Row],[Dead Time Loss BoCtlr]]+Table2[[#This Row],[Transition Loss BoCtlr]]+Table2[[#This Row],[RDS(on) Loss BoCtlr]]*(1+RdsonTopTc*Ta-RdsonTopTc*25))/(1-Table2[[#This Row],[RDS(on) Loss BoCtlr]]*RdsonTopTc*ThetaJA_Q4)</f>
        <v>0.2658647914316748</v>
      </c>
      <c r="AU73" s="354">
        <f>Table2[[#This Row],[Irms Lf]]</f>
        <v>7.7139040822347145</v>
      </c>
      <c r="AV73" s="354">
        <f>Rdson3*Table2[[#This Row],[Irms BoSync]]^2</f>
        <v>0.24991812799765306</v>
      </c>
      <c r="AW73"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73" s="354">
        <f>(Table2[[#This Row],[Deadtime Loss BoSync]]+Table2[[#This Row],[RDS(on) Loss BoSync]]*(1+RdsonBotTc*Ta-RdsonBotTc*25))/(1-Table2[[#This Row],[RDS(on) Loss BoSync]]*RdsonBotTc*ThetaJA_Q3)</f>
        <v>0.2658647914316748</v>
      </c>
      <c r="AY73" s="354">
        <f>CHOOSE(Table2[[#This Row],[Mode Digit]], Rdson3*Table2[[#This Row],[Irms Lf]]^2, Rdson1*Table2[[#This Row],[Irms Lf]]^2, 0)</f>
        <v>0.24991812799765306</v>
      </c>
      <c r="AZ73" s="354">
        <f>CHOOSE(Table2[[#This Row],[Mode Digit]], 2*Deadtime*Fsw*IF(VfdSky_Q2&gt;0,VfdSky_Q2,0)*Table2[[#This Row],[Iout]], 2*Deadtime*Fsw*IF(VfdSky_Q3&gt;0,VfdSky_Q3,0)*Table2[[#This Row],[Iin]], 2*Deadtime*Fsw*IF(VfdSky_Q2&gt;0,VfdSky_Q2,0)*Table2[[#This Row],[Iout]]+2*Deadtime*Fsw*IF(VfdSky_Q3&gt;0,VfdSky_Q3,0)*Table2[[#This Row],[Iin]])</f>
        <v>0</v>
      </c>
      <c r="BA7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0.15335227392</v>
      </c>
      <c r="BB7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0.15335227392</v>
      </c>
      <c r="BC73" s="354">
        <f>CHOOSE(Table2[[#This Row],[Mode Digit]], Rs*Table2[[#This Row],[Irms BuSync]]^2, Rs*Table2[[#This Row],[Irms BoCtlr]]^2, Rs*(Table2[[#This Row],[Irms BuSync]]^2+Table2[[#This Row],[Irms BoCtlr]]^2))</f>
        <v>0.14876079047479349</v>
      </c>
      <c r="BD73" s="354">
        <f t="shared" ref="BD73:BD109" si="9">Rshunt/1000*Iout^2</f>
        <v>1.44</v>
      </c>
      <c r="BE73" s="354">
        <f>IF(Vout&gt;8, Iq*Vout, Iq*Table2[[#This Row],[Vin]])</f>
        <v>4.3799999999999999E-2</v>
      </c>
      <c r="BF73" s="354">
        <f>CHOOSE(Table2[[#This Row],[Mode Digit]], (Qg_Q1+Qg_Q2)*Fsw, (Qg_Q3+Qg_Q4)*Fsw, (Qg_Q1+Qg_Q2+Qg_Q3+Qg_Q4)*Fsw)*IF(Vout&gt;8, Vout, Table2[[#This Row],[Vin]])</f>
        <v>0.47303999999999996</v>
      </c>
      <c r="BG73" s="354">
        <f t="shared" ref="BG73:BG109" si="10">(Vin-Vdd)*Fsw*(Qg_Q1+Qg_Q2)+(RdsonDRT+RdsonDRT2)*Fsw*Qg_Q1*Vdd/(RdsonDRT+2*Rgate1+RdsonDRT2)+(RdsonDRB+RdsonDRB2)*Fsw*Qg_Q2*Vdd/(RdsonDRB+2*Rgate2+RdsonDRB2)</f>
        <v>0.45605042016806729</v>
      </c>
      <c r="BH73" s="354">
        <f>Table2[[#This Row],[IQ Loss]]+Table2[[#This Row],[Switching Current Loss]]</f>
        <v>0.51683999999999997</v>
      </c>
      <c r="BI73"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6.1360398445961302</v>
      </c>
      <c r="BJ73">
        <f>Vout*Table2[[#This Row],[Iout]]</f>
        <v>112.128</v>
      </c>
      <c r="BK73" s="550">
        <f>Table2[[#This Row],[Pout]]/(Table2[[#This Row],[Pout]]+Table2[[#This Row],[Total Loss]])</f>
        <v>0.94811575984839402</v>
      </c>
      <c r="BL73" s="559">
        <f>IF(Table2[[#This Row],[Vin]]&gt;Vout,ThetaJA_Q1*(Table2[[#This Row],[Total Control Bu MOSFET Loss]]+Table2[[#This Row],[Reverse Recovery Loss MOSFET D BUCK]]),ThetaJA_Q4*(Table2[[#This Row],[Total Control Bo MOSFET Loss]]+Table2[[#This Row],[Reverse Recovery Loss MOSFET D BOOST]]))</f>
        <v>122.37358501782124</v>
      </c>
      <c r="BM73" s="559">
        <f>IF(Table2[[#This Row],[Vin]]&gt;Vout, Table2[[#This Row],[Total Sync Bu MOSFET Loss]]*ThetaJA_Q2, ThetaJA_Q3*Table2[[#This Row],[Total Sync Bo MOSFET Loss]])</f>
        <v>39.537631543603226</v>
      </c>
      <c r="BN73" s="9"/>
      <c r="BO73" s="4">
        <f>Table2[[#This Row],[EFF, h]]*100</f>
        <v>94.811575984839408</v>
      </c>
      <c r="BP73" s="354">
        <f>Table2[[#This Row],[Total Inductor Loss]]</f>
        <v>0.6209969261049576</v>
      </c>
      <c r="BQ73" s="354">
        <f>Table2[[#This Row],[Total Control Bu MOSFET Loss]]+Table2[[#This Row],[Total Sync Bu MOSFET Loss]]+Table2[[#This Row],[Total Control Bo MOSFET Loss]]+Table2[[#This Row],[Total Sync Bo MOSFET Loss]]+Table2[[#This Row],[Reverse Recovery Loss MOSFET D BUCK]]+Table2[[#This Row],[Reverse Recovery Loss MOSFET D BOOST]]</f>
        <v>3.3836021328070909</v>
      </c>
      <c r="BR73" s="354">
        <f xml:space="preserve"> Table2[[#This Row],[Total Control Bu MOSFET Loss]]+Table2[[#This Row],[Reverse Recovery Loss MOSFET D BUCK]]*0.66</f>
        <v>1.9874199771642205</v>
      </c>
      <c r="BS73" s="354">
        <f>Table2[[#This Row],[Total Sync Bu MOSFET Loss]]+Table2[[#This Row],[Reverse Recovery Loss MOSFET D BUCK]]*0.33</f>
        <v>0.70956677612032049</v>
      </c>
      <c r="BT73" s="354">
        <f xml:space="preserve"> Table2[[#This Row],[Total Control Bo MOSFET Loss]]+Table2[[#This Row],[Reverse Recovery Loss MOSFET D BOOST]]*0.66</f>
        <v>0.36707729221887481</v>
      </c>
      <c r="BU73" s="354">
        <f xml:space="preserve"> Table2[[#This Row],[Total Sync Bo MOSFET Loss]]+Table2[[#This Row],[Reverse Recovery Loss MOSFET D BOOST]]*0.33</f>
        <v>0.3164710418252748</v>
      </c>
      <c r="BV73" s="354">
        <f>Table2[[#This Row],[Isense Shunt Loss]]</f>
        <v>0.14876079047479349</v>
      </c>
      <c r="CB73" s="18"/>
      <c r="CC73" s="19"/>
    </row>
    <row r="74" spans="1:81" x14ac:dyDescent="0.2">
      <c r="A74" s="14" t="s">
        <v>116</v>
      </c>
      <c r="B74" s="15" t="s">
        <v>8</v>
      </c>
      <c r="C74" s="17" t="s">
        <v>80</v>
      </c>
      <c r="G74">
        <v>65</v>
      </c>
      <c r="H74" s="555">
        <f t="shared" si="8"/>
        <v>20</v>
      </c>
      <c r="I74" s="4" t="str">
        <f>IF(Mode = 2,IF(Table2[[#This Row],[Vin]]&gt;Vout, "BUCK","BOOST"),IF(Table2[[#This Row],[Vin]]&gt;VIN_BB_to_buck, "BUCK", IF(Table2[[#This Row],[Vin]]&lt;=VIN_boost_to_BB,"BOOST","BUCK-BST")))</f>
        <v>BUCK</v>
      </c>
      <c r="J74">
        <f>IF(Table2[[#This Row],[Mode]]="BOOST",2, IF(Table2[[#This Row],[Mode]]="BUCK", 1,3))</f>
        <v>1</v>
      </c>
      <c r="K74" s="354">
        <f t="shared" ref="K74:K109" si="11">Iout*G74/100</f>
        <v>7.8</v>
      </c>
      <c r="L74" s="4">
        <f>Vout*Table2[[#This Row],[Iout]]/(Table2[[#This Row],[Vin]]*Efficiency)</f>
        <v>5.9936842105263155</v>
      </c>
      <c r="M74" s="711">
        <f>MIN(1/Fsw,CHOOSE(Table2[[#This Row],[Mode Digit]],(Vout+(Rdson2+Rs+Rdcr)*Table2[[#This Row],[Iout]])/(Table2[[#This Row],[Vin]]+(Rs+Rdson2-Rdson1)*Table2[[#This Row],[Iout]])/Fsw,(Vout+(Rdson3+Rdcr)*Table2[[#This Row],[Iin]]-Table2[[#This Row],[Vin]])/(Vout+(Rdson3-Rdson4-Rs)*Table2[[#This Row],[Iin]])/Fsw,t1_Ph_II))</f>
        <v>1.2235986579751409E-6</v>
      </c>
      <c r="N74" s="602">
        <f>CHOOSE(Table2[[#This Row],[Mode Digit]],1/Fsw-Table2[[#This Row],[t1_Ph_II]],1/Fsw-Table2[[#This Row],[t1_Ph_II]],(Vout/Fsw-Table2[[#This Row],[Vin]]*t1_Ph_II)/(Table2[[#This Row],[Vin]]+Vout))</f>
        <v>4.4306800869152578E-7</v>
      </c>
      <c r="O74" s="602">
        <f>1/Fsw-(Table2[[#This Row],[t1_Ph_II]]+Table2[[#This Row],[t2_Ph_I]])</f>
        <v>0</v>
      </c>
      <c r="P74"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6.5485922816163331</v>
      </c>
      <c r="Q74" s="4">
        <f>CHOOSE(Table2[[#This Row],[Mode Digit]],Table2[[#This Row],[I_0]]+1/Lf*(Table2[[#This Row],[Vin]]-Vout)*Table2[[#This Row],[t1_Ph_II]],Table2[[#This Row],[I_0]]+1/Lf*Table2[[#This Row],[Vin]]*Table2[[#This Row],[t1_Ph_II]],Table2[[#This Row],[I_0]]+(Table2[[#This Row],[Vin]]-Vout)/L*Table2[[#This Row],[t1_Ph_II]])</f>
        <v>9.0514077183836665</v>
      </c>
      <c r="R74" s="4">
        <f>CHOOSE(Table2[[#This Row],[Mode Digit]],0,0,Table2[[#This Row],[I_1]]+Table2[[#This Row],[Vin]]/L*Table2[[#This Row],[t2_Ph_I]])</f>
        <v>0</v>
      </c>
      <c r="S74" s="409">
        <f>Fsw*(Table2[[#This Row],[I_0]]*Table2[[#This Row],[t1_Ph_II]]+Table2[[#This Row],[I_1]]*Table2[[#This Row],[t2_Ph_I]]+Table2[[#This Row],[I_2]]*Table2[[#This Row],[t3_Ph_III]])</f>
        <v>7.2139427526308815</v>
      </c>
      <c r="T74" s="354">
        <f>MIN(1,CHOOSE(Table2[[#This Row],[Mode Digit]],(Vout+(Rdson2+Rs+Rdcr)*Table2[[#This Row],[Iout]])/(Table2[[#This Row],[Vin]]+(Rs+Rdson2-Rdson1)*Table2[[#This Row],[Iout]]),1,Fsw*Table2[[#This Row],[t2_Ph_I]]+Table2[[#This Row],[t1_Ph_II]]))</f>
        <v>0.73415919478508451</v>
      </c>
      <c r="U74" s="354">
        <f>MIN(1,CHOOSE(Table2[[#This Row],[Mode Digit]],0,(Vout+(Rdson3+Rdcr)*Table2[[#This Row],[Iin]]-Table2[[#This Row],[Vin]])/(Vout+(Rdson3-Rdson4-Rs)*Table2[[#This Row],[Iin]]),Fsw*Table2[[#This Row],[t1_Ph_II]]+Table2[[#This Row],[t3_Ph_III]]))</f>
        <v>0</v>
      </c>
      <c r="V74" s="4">
        <f>MAX(Table2[[#This Row],[I_0]:[I_2]])-MIN(Table2[[#This Row],[I_0]:[I_1]])</f>
        <v>2.5028154367673334</v>
      </c>
      <c r="W74"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7.8333905234287533</v>
      </c>
      <c r="X74" s="354">
        <f>(Table2[[#This Row],[Irms Lf]]^2*Rdcr*(1+Ltc*Ta-Ltc*25))/(1-Table2[[#This Row],[Irms Lf]]^2*Rdcr*Ltc*ThetaCa)</f>
        <v>0.36632977188487453</v>
      </c>
      <c r="Y74" s="354">
        <f>ABS(7.759*10^-3*Fsw^0.9458*(0.00787*Table2[[#This Row],[Ripple Current pk-pk]])^2.304)</f>
        <v>0.26612581257070844</v>
      </c>
      <c r="Z74" s="354">
        <f>Table2[[#This Row],[DCR    Loss]]+Table2[[#This Row],[Core Loss]]</f>
        <v>0.63245558445558303</v>
      </c>
      <c r="AA74" s="4">
        <f>IF(Table2[[#This Row],[Vin]]&gt;Vout, Table2[[#This Row],[Ripple Current pk-pk]]/SQRT(12), SQRT(Table2[[#This Row],[Duty Cycle BOOST Leg]]/(1-Table2[[#This Row],[Duty Cycle BOOST Leg]]))*SQRT(Table2[[#This Row],[Iout]]^2+(Table2[[#This Row],[Ripple Current pk-pk]]^2)/12))</f>
        <v>0.72250058307478537</v>
      </c>
      <c r="AB74" s="354">
        <f>RCoutEsr*Table2[[#This Row],[Irms Cout]]^2</f>
        <v>2.6100354627170241E-3</v>
      </c>
      <c r="AC74" s="354">
        <f>Table2[[#This Row],[Cout ESR Loss]]</f>
        <v>2.6100354627170241E-3</v>
      </c>
      <c r="AD74" s="4">
        <f>IF(Table2[[#This Row],[Vin]]&gt;Vout, SQRT(Table2[[#This Row],[Duty Cycle BUCK Leg]]*(1-Table2[[#This Row],[Duty Cycle BUCK Leg]]))*SQRT(Table2[[#This Row],[Iout]]^2+(Table2[[#This Row],[Ripple Current pk-pk]]^2)/12), Table2[[#This Row],[Ripple Current pk-pk]]/SQRT(12))</f>
        <v>3.4606344063312626</v>
      </c>
      <c r="AE74" s="354">
        <f>RCinEsr*Table2[[#This Row],[Irms Cin]]^2</f>
        <v>2.3951980988567462E-2</v>
      </c>
      <c r="AF74" s="549">
        <f>Table2[[#This Row],[Cin ESR Loss]]</f>
        <v>2.3951980988567462E-2</v>
      </c>
      <c r="AG74" s="354">
        <f>Table2[[#This Row],[Irms Lf]]</f>
        <v>7.8333905234287533</v>
      </c>
      <c r="AH74" s="354">
        <f>Rdson1*Table2[[#This Row],[Irms BuCtrl]]^2</f>
        <v>0.25772042978868231</v>
      </c>
      <c r="AI74" s="354">
        <f>CHOOSE(Table2[[#This Row],[Mode Digit]], (Table2[[#This Row],[Vin]]*Table2[[#This Row],[Iout]]/2)*(Fsw)*(Tr_buck+Tf_buck), 0, (Table2[[#This Row],[Vin]]*Table2[[#This Row],[Avg IL]]/2)*(Fsw/1)*(Tr_buck+Tf_buck))</f>
        <v>1.5469532430794102</v>
      </c>
      <c r="AJ74">
        <f>IF(Table2[[#This Row],[Vin]]&gt;Vout, IF(Table2[[#This Row],[Iout]]&gt;Table2[[#This Row],[Ripple Current pk-pk]]/2,0,ABS(Table2[[#This Row],[Iout]]-Table2[[#This Row],[Ripple Current pk-pk]]/2)*Vsd_Q1*Deadtime*Fsw),0)</f>
        <v>0</v>
      </c>
      <c r="AK74" s="354">
        <f>(Table2[[#This Row],[Dead Time Loss BuCtrl]]+Table2[[#This Row],[Transition Loss BuCtrl]]+Table2[[#This Row],[RDS(on) Loss BuCtrl]]*(1+RdsonTopTc*Ta-RdsonTopTc*25))/(1-Table2[[#This Row],[RDS(on) Loss BuCtrl]]*RdsonTopTc*ThetaJA_Q1)</f>
        <v>1.9236574721877153</v>
      </c>
      <c r="AL74" s="354">
        <f>Table2[[#This Row],[Irms Lf]]</f>
        <v>7.8333905234287533</v>
      </c>
      <c r="AM74" s="354">
        <f>Rdson2*Table2[[#This Row],[Irms BuSync]]^2</f>
        <v>0.25772042978868231</v>
      </c>
      <c r="AN74"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0.37529142857142855</v>
      </c>
      <c r="AO74" s="354">
        <f>(Table2[[#This Row],[Deadtime Loss BuSync]]+Table2[[#This Row],[RDS(on) Loss BuSync]]*(1+RdsonBotTc*Ta-RdsonBotTc*25))/(1-Table2[[#This Row],[RDS(on) Loss BuSync]]*RdsonBotTc*ThetaJA_Q2)</f>
        <v>0.67474691387425312</v>
      </c>
      <c r="AP74" s="354">
        <f>Table2[[#This Row],[Irms Lf]]</f>
        <v>7.8333905234287533</v>
      </c>
      <c r="AQ74" s="354">
        <f>Rdson4*Table2[[#This Row],[Irms BoCtlr]]^2</f>
        <v>0.25772042978868231</v>
      </c>
      <c r="AR74" s="354">
        <f>CHOOSE(Table2[[#This Row],[Mode Digit]], 0, (Vout*Table2[[#This Row],[Iin]]/2)*(Fsw)*(Tr_boost+Tf_boost), (Vout*Iout/2)*(Fsw/1)*(Tr_boost+Tf_boost))</f>
        <v>0</v>
      </c>
      <c r="AS74" s="354">
        <f>IF(Table2[[#This Row],[Vin]]&gt;Vout, 0, IF(Table2[[#This Row],[Iin]]&gt;Table2[[#This Row],[Ripple Current pk-pk]]/2,0,ABS(Table2[[#This Row],[Iin]]-Table2[[#This Row],[Ripple Current pk-pk]]/2)*Vsd_Q4*Deadtime*Fsw))</f>
        <v>0</v>
      </c>
      <c r="AT74" s="354">
        <f>(Table2[[#This Row],[Dead Time Loss BoCtlr]]+Table2[[#This Row],[Transition Loss BoCtlr]]+Table2[[#This Row],[RDS(on) Loss BoCtlr]]*(1+RdsonTopTc*Ta-RdsonTopTc*25))/(1-Table2[[#This Row],[RDS(on) Loss BoCtlr]]*RdsonTopTc*ThetaJA_Q4)</f>
        <v>0.27471217536549319</v>
      </c>
      <c r="AU74" s="354">
        <f>Table2[[#This Row],[Irms Lf]]</f>
        <v>7.8333905234287533</v>
      </c>
      <c r="AV74" s="354">
        <f>Rdson3*Table2[[#This Row],[Irms BoSync]]^2</f>
        <v>0.25772042978868231</v>
      </c>
      <c r="AW74"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74" s="354">
        <f>(Table2[[#This Row],[Deadtime Loss BoSync]]+Table2[[#This Row],[RDS(on) Loss BoSync]]*(1+RdsonBotTc*Ta-RdsonBotTc*25))/(1-Table2[[#This Row],[RDS(on) Loss BoSync]]*RdsonBotTc*ThetaJA_Q3)</f>
        <v>0.27471217536549319</v>
      </c>
      <c r="AY74" s="354">
        <f>CHOOSE(Table2[[#This Row],[Mode Digit]], Rdson3*Table2[[#This Row],[Irms Lf]]^2, Rdson1*Table2[[#This Row],[Irms Lf]]^2, 0)</f>
        <v>0.25772042978868231</v>
      </c>
      <c r="AZ74" s="354">
        <f>CHOOSE(Table2[[#This Row],[Mode Digit]], 2*Deadtime*Fsw*IF(VfdSky_Q2&gt;0,VfdSky_Q2,0)*Table2[[#This Row],[Iout]], 2*Deadtime*Fsw*IF(VfdSky_Q3&gt;0,VfdSky_Q3,0)*Table2[[#This Row],[Iin]], 2*Deadtime*Fsw*IF(VfdSky_Q2&gt;0,VfdSky_Q2,0)*Table2[[#This Row],[Iout]]+2*Deadtime*Fsw*IF(VfdSky_Q3&gt;0,VfdSky_Q3,0)*Table2[[#This Row],[Iin]])</f>
        <v>0</v>
      </c>
      <c r="BA7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0.15574447199999999</v>
      </c>
      <c r="BB7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0.15574447199999999</v>
      </c>
      <c r="BC74" s="354">
        <f>CHOOSE(Table2[[#This Row],[Mode Digit]], Rs*Table2[[#This Row],[Irms BuSync]]^2, Rs*Table2[[#This Row],[Irms BoCtlr]]^2, Rs*(Table2[[#This Row],[Irms BuSync]]^2+Table2[[#This Row],[Irms BoCtlr]]^2))</f>
        <v>0.15340501773135851</v>
      </c>
      <c r="BD74" s="354">
        <f t="shared" si="9"/>
        <v>1.44</v>
      </c>
      <c r="BE74" s="354">
        <f>IF(Vout&gt;8, Iq*Vout, Iq*Table2[[#This Row],[Vin]])</f>
        <v>4.3799999999999999E-2</v>
      </c>
      <c r="BF74" s="354">
        <f>CHOOSE(Table2[[#This Row],[Mode Digit]], (Qg_Q1+Qg_Q2)*Fsw, (Qg_Q3+Qg_Q4)*Fsw, (Qg_Q1+Qg_Q2+Qg_Q3+Qg_Q4)*Fsw)*IF(Vout&gt;8, Vout, Table2[[#This Row],[Vin]])</f>
        <v>0.47303999999999996</v>
      </c>
      <c r="BG74" s="354">
        <f t="shared" si="10"/>
        <v>0.45605042016806729</v>
      </c>
      <c r="BH74" s="354">
        <f>Table2[[#This Row],[IQ Loss]]+Table2[[#This Row],[Switching Current Loss]]</f>
        <v>0.51683999999999997</v>
      </c>
      <c r="BI74"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6.2285802994311812</v>
      </c>
      <c r="BJ74">
        <f>Vout*Table2[[#This Row],[Iout]]</f>
        <v>113.88</v>
      </c>
      <c r="BK74" s="550">
        <f>Table2[[#This Row],[Pout]]/(Table2[[#This Row],[Pout]]+Table2[[#This Row],[Total Loss]])</f>
        <v>0.94814208706902281</v>
      </c>
      <c r="BL74" s="559">
        <f>IF(Table2[[#This Row],[Vin]]&gt;Vout,ThetaJA_Q1*(Table2[[#This Row],[Total Control Bu MOSFET Loss]]+Table2[[#This Row],[Reverse Recovery Loss MOSFET D BUCK]]),ThetaJA_Q4*(Table2[[#This Row],[Total Control Bo MOSFET Loss]]+Table2[[#This Row],[Reverse Recovery Loss MOSFET D BOOST]]))</f>
        <v>124.76411665126292</v>
      </c>
      <c r="BM74" s="559">
        <f>IF(Table2[[#This Row],[Vin]]&gt;Vout, Table2[[#This Row],[Total Sync Bu MOSFET Loss]]*ThetaJA_Q2, ThetaJA_Q3*Table2[[#This Row],[Total Sync Bo MOSFET Loss]])</f>
        <v>40.484814832455186</v>
      </c>
      <c r="BN74" s="9"/>
      <c r="BO74" s="4">
        <f>Table2[[#This Row],[EFF, h]]*100</f>
        <v>94.814208706902278</v>
      </c>
      <c r="BP74" s="354">
        <f>Table2[[#This Row],[Total Inductor Loss]]</f>
        <v>0.63245558445558303</v>
      </c>
      <c r="BQ74" s="354">
        <f>Table2[[#This Row],[Total Control Bu MOSFET Loss]]+Table2[[#This Row],[Total Sync Bu MOSFET Loss]]+Table2[[#This Row],[Total Control Bo MOSFET Loss]]+Table2[[#This Row],[Total Sync Bo MOSFET Loss]]+Table2[[#This Row],[Reverse Recovery Loss MOSFET D BUCK]]+Table2[[#This Row],[Reverse Recovery Loss MOSFET D BOOST]]</f>
        <v>3.4593176807929549</v>
      </c>
      <c r="BR74" s="354">
        <f xml:space="preserve"> Table2[[#This Row],[Total Control Bu MOSFET Loss]]+Table2[[#This Row],[Reverse Recovery Loss MOSFET D BUCK]]*0.66</f>
        <v>2.0264488237077152</v>
      </c>
      <c r="BS74" s="354">
        <f>Table2[[#This Row],[Total Sync Bu MOSFET Loss]]+Table2[[#This Row],[Reverse Recovery Loss MOSFET D BUCK]]*0.33</f>
        <v>0.72614258963425315</v>
      </c>
      <c r="BT74" s="354">
        <f xml:space="preserve"> Table2[[#This Row],[Total Control Bo MOSFET Loss]]+Table2[[#This Row],[Reverse Recovery Loss MOSFET D BOOST]]*0.66</f>
        <v>0.37750352688549321</v>
      </c>
      <c r="BU74" s="354">
        <f xml:space="preserve"> Table2[[#This Row],[Total Sync Bo MOSFET Loss]]+Table2[[#This Row],[Reverse Recovery Loss MOSFET D BOOST]]*0.33</f>
        <v>0.32610785112549318</v>
      </c>
      <c r="BV74" s="354">
        <f>Table2[[#This Row],[Isense Shunt Loss]]</f>
        <v>0.15340501773135851</v>
      </c>
      <c r="CB74" s="18"/>
      <c r="CC74" s="19"/>
    </row>
    <row r="75" spans="1:81" x14ac:dyDescent="0.2">
      <c r="A75" s="34" t="s">
        <v>117</v>
      </c>
      <c r="B75" s="78">
        <f>BH9</f>
        <v>0.51683999999999997</v>
      </c>
      <c r="C75" s="79" t="s">
        <v>118</v>
      </c>
      <c r="G75">
        <v>66</v>
      </c>
      <c r="H75" s="555">
        <f t="shared" si="8"/>
        <v>20</v>
      </c>
      <c r="I75" s="4" t="str">
        <f>IF(Mode = 2,IF(Table2[[#This Row],[Vin]]&gt;Vout, "BUCK","BOOST"),IF(Table2[[#This Row],[Vin]]&gt;VIN_BB_to_buck, "BUCK", IF(Table2[[#This Row],[Vin]]&lt;=VIN_boost_to_BB,"BOOST","BUCK-BST")))</f>
        <v>BUCK</v>
      </c>
      <c r="J75">
        <f>IF(Table2[[#This Row],[Mode]]="BOOST",2, IF(Table2[[#This Row],[Mode]]="BUCK", 1,3))</f>
        <v>1</v>
      </c>
      <c r="K75" s="354">
        <f t="shared" si="11"/>
        <v>7.92</v>
      </c>
      <c r="L75" s="4">
        <f>Vout*Table2[[#This Row],[Iout]]/(Table2[[#This Row],[Vin]]*Efficiency)</f>
        <v>6.0858947368421044</v>
      </c>
      <c r="M75" s="711">
        <f>MIN(1/Fsw,CHOOSE(Table2[[#This Row],[Mode Digit]],(Vout+(Rdson2+Rs+Rdcr)*Table2[[#This Row],[Iout]])/(Table2[[#This Row],[Vin]]+(Rs+Rdson2-Rdson1)*Table2[[#This Row],[Iout]])/Fsw,(Vout+(Rdson3+Rdcr)*Table2[[#This Row],[Iin]]-Table2[[#This Row],[Vin]])/(Vout+(Rdson3-Rdson4-Rs)*Table2[[#This Row],[Iin]])/Fsw,t1_Ph_II))</f>
        <v>1.2237051985201318E-6</v>
      </c>
      <c r="N75" s="602">
        <f>CHOOSE(Table2[[#This Row],[Mode Digit]],1/Fsw-Table2[[#This Row],[t1_Ph_II]],1/Fsw-Table2[[#This Row],[t1_Ph_II]],(Vout/Fsw-Table2[[#This Row],[Vin]]*t1_Ph_II)/(Table2[[#This Row],[Vin]]+Vout))</f>
        <v>4.4296146814653482E-7</v>
      </c>
      <c r="O75" s="602">
        <f>1/Fsw-(Table2[[#This Row],[t1_Ph_II]]+Table2[[#This Row],[t2_Ph_I]])</f>
        <v>0</v>
      </c>
      <c r="P75"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6.6684833196953193</v>
      </c>
      <c r="Q75" s="4">
        <f>CHOOSE(Table2[[#This Row],[Mode Digit]],Table2[[#This Row],[I_0]]+1/Lf*(Table2[[#This Row],[Vin]]-Vout)*Table2[[#This Row],[t1_Ph_II]],Table2[[#This Row],[I_0]]+1/Lf*Table2[[#This Row],[Vin]]*Table2[[#This Row],[t1_Ph_II]],Table2[[#This Row],[I_0]]+(Table2[[#This Row],[Vin]]-Vout)/L*Table2[[#This Row],[t1_Ph_II]])</f>
        <v>9.1715166803046806</v>
      </c>
      <c r="R75" s="4">
        <f>CHOOSE(Table2[[#This Row],[Mode Digit]],0,0,Table2[[#This Row],[I_1]]+Table2[[#This Row],[Vin]]/L*Table2[[#This Row],[t2_Ph_I]])</f>
        <v>0</v>
      </c>
      <c r="S75" s="409">
        <f>Fsw*(Table2[[#This Row],[I_0]]*Table2[[#This Row],[t1_Ph_II]]+Table2[[#This Row],[I_1]]*Table2[[#This Row],[t2_Ph_I]]+Table2[[#This Row],[I_2]]*Table2[[#This Row],[t3_Ph_III]])</f>
        <v>7.3337317190364857</v>
      </c>
      <c r="T75" s="354">
        <f>MIN(1,CHOOSE(Table2[[#This Row],[Mode Digit]],(Vout+(Rdson2+Rs+Rdcr)*Table2[[#This Row],[Iout]])/(Table2[[#This Row],[Vin]]+(Rs+Rdson2-Rdson1)*Table2[[#This Row],[Iout]]),1,Fsw*Table2[[#This Row],[t2_Ph_I]]+Table2[[#This Row],[t1_Ph_II]]))</f>
        <v>0.73422311911207905</v>
      </c>
      <c r="U75" s="354">
        <f>MIN(1,CHOOSE(Table2[[#This Row],[Mode Digit]],0,(Vout+(Rdson3+Rdcr)*Table2[[#This Row],[Iin]]-Table2[[#This Row],[Vin]])/(Vout+(Rdson3-Rdson4-Rs)*Table2[[#This Row],[Iin]]),Fsw*Table2[[#This Row],[t1_Ph_II]]+Table2[[#This Row],[t3_Ph_III]]))</f>
        <v>0</v>
      </c>
      <c r="V75" s="4">
        <f>MAX(Table2[[#This Row],[I_0]:[I_2]])-MIN(Table2[[#This Row],[I_0]:[I_1]])</f>
        <v>2.5030333606093613</v>
      </c>
      <c r="W75"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7.9528924298245274</v>
      </c>
      <c r="X75" s="354">
        <f>(Table2[[#This Row],[Irms Lf]]^2*Rdcr*(1+Ltc*Ta-Ltc*25))/(1-Table2[[#This Row],[Irms Lf]]^2*Rdcr*Ltc*ThetaCa)</f>
        <v>0.37793259068167395</v>
      </c>
      <c r="Y75" s="354">
        <f>ABS(7.759*10^-3*Fsw^0.9458*(0.00787*Table2[[#This Row],[Ripple Current pk-pk]])^2.304)</f>
        <v>0.26617920381619015</v>
      </c>
      <c r="Z75" s="354">
        <f>Table2[[#This Row],[DCR    Loss]]+Table2[[#This Row],[Core Loss]]</f>
        <v>0.64411179449786404</v>
      </c>
      <c r="AA75" s="4">
        <f>IF(Table2[[#This Row],[Vin]]&gt;Vout, Table2[[#This Row],[Ripple Current pk-pk]]/SQRT(12), SQRT(Table2[[#This Row],[Duty Cycle BOOST Leg]]/(1-Table2[[#This Row],[Duty Cycle BOOST Leg]]))*SQRT(Table2[[#This Row],[Iout]]^2+(Table2[[#This Row],[Ripple Current pk-pk]]^2)/12))</f>
        <v>0.72256349226921424</v>
      </c>
      <c r="AB75" s="354">
        <f>RCoutEsr*Table2[[#This Row],[Irms Cout]]^2</f>
        <v>2.6104900018014145E-3</v>
      </c>
      <c r="AC75" s="354">
        <f>Table2[[#This Row],[Cout ESR Loss]]</f>
        <v>2.6104900018014145E-3</v>
      </c>
      <c r="AD75" s="4">
        <f>IF(Table2[[#This Row],[Vin]]&gt;Vout, SQRT(Table2[[#This Row],[Duty Cycle BUCK Leg]]*(1-Table2[[#This Row],[Duty Cycle BUCK Leg]]))*SQRT(Table2[[#This Row],[Iout]]^2+(Table2[[#This Row],[Ripple Current pk-pk]]^2)/12), Table2[[#This Row],[Ripple Current pk-pk]]/SQRT(12))</f>
        <v>3.5131584369251896</v>
      </c>
      <c r="AE75" s="354">
        <f>RCinEsr*Table2[[#This Row],[Irms Cin]]^2</f>
        <v>2.4684564405877282E-2</v>
      </c>
      <c r="AF75" s="549">
        <f>Table2[[#This Row],[Cin ESR Loss]]</f>
        <v>2.4684564405877282E-2</v>
      </c>
      <c r="AG75" s="354">
        <f>Table2[[#This Row],[Irms Lf]]</f>
        <v>7.9528924298245274</v>
      </c>
      <c r="AH75" s="354">
        <f>Rdson1*Table2[[#This Row],[Irms BuCtrl]]^2</f>
        <v>0.26564369160151319</v>
      </c>
      <c r="AI75" s="354">
        <f>CHOOSE(Table2[[#This Row],[Mode Digit]], (Table2[[#This Row],[Vin]]*Table2[[#This Row],[Iout]]/2)*(Fsw)*(Tr_buck+Tf_buck), 0, (Table2[[#This Row],[Vin]]*Table2[[#This Row],[Avg IL]]/2)*(Fsw/1)*(Tr_buck+Tf_buck))</f>
        <v>1.5707525237421704</v>
      </c>
      <c r="AJ75">
        <f>IF(Table2[[#This Row],[Vin]]&gt;Vout, IF(Table2[[#This Row],[Iout]]&gt;Table2[[#This Row],[Ripple Current pk-pk]]/2,0,ABS(Table2[[#This Row],[Iout]]-Table2[[#This Row],[Ripple Current pk-pk]]/2)*Vsd_Q1*Deadtime*Fsw),0)</f>
        <v>0</v>
      </c>
      <c r="AK75" s="354">
        <f>(Table2[[#This Row],[Dead Time Loss BuCtrl]]+Table2[[#This Row],[Transition Loss BuCtrl]]+Table2[[#This Row],[RDS(on) Loss BuCtrl]]*(1+RdsonTopTc*Ta-RdsonTopTc*25))/(1-Table2[[#This Row],[RDS(on) Loss BuCtrl]]*RdsonTopTc*ThetaJA_Q1)</f>
        <v>1.9614472783610186</v>
      </c>
      <c r="AL75" s="354">
        <f>Table2[[#This Row],[Irms Lf]]</f>
        <v>7.9528924298245274</v>
      </c>
      <c r="AM75" s="354">
        <f>Rdson2*Table2[[#This Row],[Irms BuSync]]^2</f>
        <v>0.26564369160151319</v>
      </c>
      <c r="AN75"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0.38106514285714282</v>
      </c>
      <c r="AO75" s="354">
        <f>(Table2[[#This Row],[Deadtime Loss BuSync]]+Table2[[#This Row],[RDS(on) Loss BuSync]]*(1+RdsonBotTc*Ta-RdsonBotTc*25))/(1-Table2[[#This Row],[RDS(on) Loss BuSync]]*RdsonBotTc*ThetaJA_Q2)</f>
        <v>0.6907470580925581</v>
      </c>
      <c r="AP75" s="354">
        <f>Table2[[#This Row],[Irms Lf]]</f>
        <v>7.9528924298245274</v>
      </c>
      <c r="AQ75" s="354">
        <f>Rdson4*Table2[[#This Row],[Irms BoCtlr]]^2</f>
        <v>0.26564369160151319</v>
      </c>
      <c r="AR75" s="354">
        <f>CHOOSE(Table2[[#This Row],[Mode Digit]], 0, (Vout*Table2[[#This Row],[Iin]]/2)*(Fsw)*(Tr_boost+Tf_boost), (Vout*Iout/2)*(Fsw/1)*(Tr_boost+Tf_boost))</f>
        <v>0</v>
      </c>
      <c r="AS75" s="354">
        <f>IF(Table2[[#This Row],[Vin]]&gt;Vout, 0, IF(Table2[[#This Row],[Iin]]&gt;Table2[[#This Row],[Ripple Current pk-pk]]/2,0,ABS(Table2[[#This Row],[Iin]]-Table2[[#This Row],[Ripple Current pk-pk]]/2)*Vsd_Q4*Deadtime*Fsw))</f>
        <v>0</v>
      </c>
      <c r="AT75" s="354">
        <f>(Table2[[#This Row],[Dead Time Loss BoCtlr]]+Table2[[#This Row],[Transition Loss BoCtlr]]+Table2[[#This Row],[RDS(on) Loss BoCtlr]]*(1+RdsonTopTc*Ta-RdsonTopTc*25))/(1-Table2[[#This Row],[RDS(on) Loss BoCtlr]]*RdsonTopTc*ThetaJA_Q4)</f>
        <v>0.2837329393036499</v>
      </c>
      <c r="AU75" s="354">
        <f>Table2[[#This Row],[Irms Lf]]</f>
        <v>7.9528924298245274</v>
      </c>
      <c r="AV75" s="354">
        <f>Rdson3*Table2[[#This Row],[Irms BoSync]]^2</f>
        <v>0.26564369160151319</v>
      </c>
      <c r="AW75"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75" s="354">
        <f>(Table2[[#This Row],[Deadtime Loss BoSync]]+Table2[[#This Row],[RDS(on) Loss BoSync]]*(1+RdsonBotTc*Ta-RdsonBotTc*25))/(1-Table2[[#This Row],[RDS(on) Loss BoSync]]*RdsonBotTc*ThetaJA_Q3)</f>
        <v>0.2837329393036499</v>
      </c>
      <c r="AY75" s="354">
        <f>CHOOSE(Table2[[#This Row],[Mode Digit]], Rdson3*Table2[[#This Row],[Irms Lf]]^2, Rdson1*Table2[[#This Row],[Irms Lf]]^2, 0)</f>
        <v>0.26564369160151319</v>
      </c>
      <c r="AZ75" s="354">
        <f>CHOOSE(Table2[[#This Row],[Mode Digit]], 2*Deadtime*Fsw*IF(VfdSky_Q2&gt;0,VfdSky_Q2,0)*Table2[[#This Row],[Iout]], 2*Deadtime*Fsw*IF(VfdSky_Q3&gt;0,VfdSky_Q3,0)*Table2[[#This Row],[Iin]], 2*Deadtime*Fsw*IF(VfdSky_Q2&gt;0,VfdSky_Q2,0)*Table2[[#This Row],[Iout]]+2*Deadtime*Fsw*IF(VfdSky_Q3&gt;0,VfdSky_Q3,0)*Table2[[#This Row],[Iin]])</f>
        <v>0</v>
      </c>
      <c r="BA7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0.15813654912</v>
      </c>
      <c r="BB7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0.15813654912</v>
      </c>
      <c r="BC75" s="354">
        <f>CHOOSE(Table2[[#This Row],[Mode Digit]], Rs*Table2[[#This Row],[Irms BuSync]]^2, Rs*Table2[[#This Row],[Irms BoCtlr]]^2, Rs*(Table2[[#This Row],[Irms BuSync]]^2+Table2[[#This Row],[Irms BoCtlr]]^2))</f>
        <v>0.15812124500090069</v>
      </c>
      <c r="BD75" s="354">
        <f t="shared" si="9"/>
        <v>1.44</v>
      </c>
      <c r="BE75" s="354">
        <f>IF(Vout&gt;8, Iq*Vout, Iq*Table2[[#This Row],[Vin]])</f>
        <v>4.3799999999999999E-2</v>
      </c>
      <c r="BF75" s="354">
        <f>CHOOSE(Table2[[#This Row],[Mode Digit]], (Qg_Q1+Qg_Q2)*Fsw, (Qg_Q3+Qg_Q4)*Fsw, (Qg_Q1+Qg_Q2+Qg_Q3+Qg_Q4)*Fsw)*IF(Vout&gt;8, Vout, Table2[[#This Row],[Vin]])</f>
        <v>0.47303999999999996</v>
      </c>
      <c r="BG75" s="354">
        <f t="shared" si="10"/>
        <v>0.45605042016806729</v>
      </c>
      <c r="BH75" s="354">
        <f>Table2[[#This Row],[IQ Loss]]+Table2[[#This Row],[Switching Current Loss]]</f>
        <v>0.51683999999999997</v>
      </c>
      <c r="BI75"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6.3223014072073198</v>
      </c>
      <c r="BJ75">
        <f>Vout*Table2[[#This Row],[Iout]]</f>
        <v>115.63199999999999</v>
      </c>
      <c r="BK75" s="550">
        <f>Table2[[#This Row],[Pout]]/(Table2[[#This Row],[Pout]]+Table2[[#This Row],[Total Loss]])</f>
        <v>0.94815843857694648</v>
      </c>
      <c r="BL75" s="559">
        <f>IF(Table2[[#This Row],[Vin]]&gt;Vout,ThetaJA_Q1*(Table2[[#This Row],[Total Control Bu MOSFET Loss]]+Table2[[#This Row],[Reverse Recovery Loss MOSFET D BUCK]]),ThetaJA_Q4*(Table2[[#This Row],[Total Control Bo MOSFET Loss]]+Table2[[#This Row],[Reverse Recovery Loss MOSFET D BOOST]]))</f>
        <v>127.17502964886113</v>
      </c>
      <c r="BM75" s="559">
        <f>IF(Table2[[#This Row],[Vin]]&gt;Vout, Table2[[#This Row],[Total Sync Bu MOSFET Loss]]*ThetaJA_Q2, ThetaJA_Q3*Table2[[#This Row],[Total Sync Bo MOSFET Loss]])</f>
        <v>41.444823485553485</v>
      </c>
      <c r="BN75" s="9"/>
      <c r="BO75" s="4">
        <f>Table2[[#This Row],[EFF, h]]*100</f>
        <v>94.815843857694645</v>
      </c>
      <c r="BP75" s="354">
        <f>Table2[[#This Row],[Total Inductor Loss]]</f>
        <v>0.64411179449786404</v>
      </c>
      <c r="BQ75" s="354">
        <f>Table2[[#This Row],[Total Control Bu MOSFET Loss]]+Table2[[#This Row],[Total Sync Bu MOSFET Loss]]+Table2[[#This Row],[Total Control Bo MOSFET Loss]]+Table2[[#This Row],[Total Sync Bo MOSFET Loss]]+Table2[[#This Row],[Reverse Recovery Loss MOSFET D BUCK]]+Table2[[#This Row],[Reverse Recovery Loss MOSFET D BOOST]]</f>
        <v>3.5359333133008768</v>
      </c>
      <c r="BR75" s="354">
        <f xml:space="preserve"> Table2[[#This Row],[Total Control Bu MOSFET Loss]]+Table2[[#This Row],[Reverse Recovery Loss MOSFET D BUCK]]*0.66</f>
        <v>2.0658174007802188</v>
      </c>
      <c r="BS75" s="354">
        <f>Table2[[#This Row],[Total Sync Bu MOSFET Loss]]+Table2[[#This Row],[Reverse Recovery Loss MOSFET D BUCK]]*0.33</f>
        <v>0.74293211930215808</v>
      </c>
      <c r="BT75" s="354">
        <f xml:space="preserve"> Table2[[#This Row],[Total Control Bo MOSFET Loss]]+Table2[[#This Row],[Reverse Recovery Loss MOSFET D BOOST]]*0.66</f>
        <v>0.38810306172284992</v>
      </c>
      <c r="BU75" s="354">
        <f xml:space="preserve"> Table2[[#This Row],[Total Sync Bo MOSFET Loss]]+Table2[[#This Row],[Reverse Recovery Loss MOSFET D BOOST]]*0.33</f>
        <v>0.33591800051324988</v>
      </c>
      <c r="BV75" s="354">
        <f>Table2[[#This Row],[Isense Shunt Loss]]</f>
        <v>0.15812124500090069</v>
      </c>
      <c r="CB75" s="18"/>
      <c r="CC75" s="19"/>
    </row>
    <row r="76" spans="1:81" x14ac:dyDescent="0.2">
      <c r="A76" s="34" t="s">
        <v>121</v>
      </c>
      <c r="B76" s="77">
        <f>B75*B62</f>
        <v>15.505199999999999</v>
      </c>
      <c r="C76" s="440" t="s">
        <v>637</v>
      </c>
      <c r="G76">
        <v>67</v>
      </c>
      <c r="H76" s="555">
        <f t="shared" si="8"/>
        <v>20</v>
      </c>
      <c r="I76" s="4" t="str">
        <f>IF(Mode = 2,IF(Table2[[#This Row],[Vin]]&gt;Vout, "BUCK","BOOST"),IF(Table2[[#This Row],[Vin]]&gt;VIN_BB_to_buck, "BUCK", IF(Table2[[#This Row],[Vin]]&lt;=VIN_boost_to_BB,"BOOST","BUCK-BST")))</f>
        <v>BUCK</v>
      </c>
      <c r="J76">
        <f>IF(Table2[[#This Row],[Mode]]="BOOST",2, IF(Table2[[#This Row],[Mode]]="BUCK", 1,3))</f>
        <v>1</v>
      </c>
      <c r="K76" s="354">
        <f t="shared" si="11"/>
        <v>8.0399999999999991</v>
      </c>
      <c r="L76" s="4">
        <f>Vout*Table2[[#This Row],[Iout]]/(Table2[[#This Row],[Vin]]*Efficiency)</f>
        <v>6.1781052631578941</v>
      </c>
      <c r="M76" s="711">
        <f>MIN(1/Fsw,CHOOSE(Table2[[#This Row],[Mode Digit]],(Vout+(Rdson2+Rs+Rdcr)*Table2[[#This Row],[Iout]])/(Table2[[#This Row],[Vin]]+(Rs+Rdson2-Rdson1)*Table2[[#This Row],[Iout]])/Fsw,(Vout+(Rdson3+Rdcr)*Table2[[#This Row],[Iin]]-Table2[[#This Row],[Vin]])/(Vout+(Rdson3-Rdson4-Rs)*Table2[[#This Row],[Iin]])/Fsw,t1_Ph_II))</f>
        <v>1.2238117358721152E-6</v>
      </c>
      <c r="N76" s="602">
        <f>CHOOSE(Table2[[#This Row],[Mode Digit]],1/Fsw-Table2[[#This Row],[t1_Ph_II]],1/Fsw-Table2[[#This Row],[t1_Ph_II]],(Vout/Fsw-Table2[[#This Row],[Vin]]*t1_Ph_II)/(Table2[[#This Row],[Vin]]+Vout))</f>
        <v>4.4285493079455144E-7</v>
      </c>
      <c r="O76" s="602">
        <f>1/Fsw-(Table2[[#This Row],[t1_Ph_II]]+Table2[[#This Row],[t2_Ph_I]])</f>
        <v>0</v>
      </c>
      <c r="P76"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6.7883743610398817</v>
      </c>
      <c r="Q76" s="4">
        <f>CHOOSE(Table2[[#This Row],[Mode Digit]],Table2[[#This Row],[I_0]]+1/Lf*(Table2[[#This Row],[Vin]]-Vout)*Table2[[#This Row],[t1_Ph_II]],Table2[[#This Row],[I_0]]+1/Lf*Table2[[#This Row],[Vin]]*Table2[[#This Row],[t1_Ph_II]],Table2[[#This Row],[I_0]]+(Table2[[#This Row],[Vin]]-Vout)/L*Table2[[#This Row],[t1_Ph_II]])</f>
        <v>9.2916256389601166</v>
      </c>
      <c r="R76" s="4">
        <f>CHOOSE(Table2[[#This Row],[Mode Digit]],0,0,Table2[[#This Row],[I_1]]+Table2[[#This Row],[Vin]]/L*Table2[[#This Row],[t2_Ph_I]])</f>
        <v>0</v>
      </c>
      <c r="S76" s="409">
        <f>Fsw*(Table2[[#This Row],[I_0]]*Table2[[#This Row],[t1_Ph_II]]+Table2[[#This Row],[I_1]]*Table2[[#This Row],[t2_Ph_I]]+Table2[[#This Row],[I_2]]*Table2[[#This Row],[t3_Ph_III]])</f>
        <v>7.4535206639067244</v>
      </c>
      <c r="T76" s="354">
        <f>MIN(1,CHOOSE(Table2[[#This Row],[Mode Digit]],(Vout+(Rdson2+Rs+Rdcr)*Table2[[#This Row],[Iout]])/(Table2[[#This Row],[Vin]]+(Rs+Rdson2-Rdson1)*Table2[[#This Row],[Iout]]),1,Fsw*Table2[[#This Row],[t2_Ph_I]]+Table2[[#This Row],[t1_Ph_II]]))</f>
        <v>0.73428704152326918</v>
      </c>
      <c r="U76" s="354">
        <f>MIN(1,CHOOSE(Table2[[#This Row],[Mode Digit]],0,(Vout+(Rdson3+Rdcr)*Table2[[#This Row],[Iin]]-Table2[[#This Row],[Vin]])/(Vout+(Rdson3-Rdson4-Rs)*Table2[[#This Row],[Iin]]),Fsw*Table2[[#This Row],[t1_Ph_II]]+Table2[[#This Row],[t3_Ph_III]]))</f>
        <v>0</v>
      </c>
      <c r="V76" s="4">
        <f>MAX(Table2[[#This Row],[I_0]:[I_2]])-MIN(Table2[[#This Row],[I_0]:[I_1]])</f>
        <v>2.5032512779202349</v>
      </c>
      <c r="W76"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8.0724091145932029</v>
      </c>
      <c r="X76" s="354">
        <f>(Table2[[#This Row],[Irms Lf]]^2*Rdcr*(1+Ltc*Ta-Ltc*25))/(1-Table2[[#This Row],[Irms Lf]]^2*Rdcr*Ltc*ThetaCa)</f>
        <v>0.38973397129591442</v>
      </c>
      <c r="Y76" s="354">
        <f>ABS(7.759*10^-3*Fsw^0.9458*(0.00787*Table2[[#This Row],[Ripple Current pk-pk]])^2.304)</f>
        <v>0.26623259952319167</v>
      </c>
      <c r="Z76" s="354">
        <f>Table2[[#This Row],[DCR    Loss]]+Table2[[#This Row],[Core Loss]]</f>
        <v>0.65596657081910603</v>
      </c>
      <c r="AA76" s="4">
        <f>IF(Table2[[#This Row],[Vin]]&gt;Vout, Table2[[#This Row],[Ripple Current pk-pk]]/SQRT(12), SQRT(Table2[[#This Row],[Duty Cycle BOOST Leg]]/(1-Table2[[#This Row],[Duty Cycle BOOST Leg]]))*SQRT(Table2[[#This Row],[Iout]]^2+(Table2[[#This Row],[Ripple Current pk-pk]]^2)/12))</f>
        <v>0.72262639957826125</v>
      </c>
      <c r="AB76" s="354">
        <f>RCoutEsr*Table2[[#This Row],[Irms Cout]]^2</f>
        <v>2.6109445668372044E-3</v>
      </c>
      <c r="AC76" s="354">
        <f>Table2[[#This Row],[Cout ESR Loss]]</f>
        <v>2.6109445668372044E-3</v>
      </c>
      <c r="AD76" s="4">
        <f>IF(Table2[[#This Row],[Vin]]&gt;Vout, SQRT(Table2[[#This Row],[Duty Cycle BUCK Leg]]*(1-Table2[[#This Row],[Duty Cycle BUCK Leg]]))*SQRT(Table2[[#This Row],[Iout]]^2+(Table2[[#This Row],[Ripple Current pk-pk]]^2)/12), Table2[[#This Row],[Ripple Current pk-pk]]/SQRT(12))</f>
        <v>3.565680808454355</v>
      </c>
      <c r="AE76" s="354">
        <f>RCinEsr*Table2[[#This Row],[Irms Cin]]^2</f>
        <v>2.5428159255559406E-2</v>
      </c>
      <c r="AF76" s="549">
        <f>Table2[[#This Row],[Cin ESR Loss]]</f>
        <v>2.5428159255559406E-2</v>
      </c>
      <c r="AG76" s="354">
        <f>Table2[[#This Row],[Irms Lf]]</f>
        <v>8.0724091145932029</v>
      </c>
      <c r="AH76" s="354">
        <f>Rdson1*Table2[[#This Row],[Irms BuCtrl]]^2</f>
        <v>0.27368791343614318</v>
      </c>
      <c r="AI76" s="354">
        <f>CHOOSE(Table2[[#This Row],[Mode Digit]], (Table2[[#This Row],[Vin]]*Table2[[#This Row],[Iout]]/2)*(Fsw)*(Tr_buck+Tf_buck), 0, (Table2[[#This Row],[Vin]]*Table2[[#This Row],[Avg IL]]/2)*(Fsw/1)*(Tr_buck+Tf_buck))</f>
        <v>1.5945518044049303</v>
      </c>
      <c r="AJ76">
        <f>IF(Table2[[#This Row],[Vin]]&gt;Vout, IF(Table2[[#This Row],[Iout]]&gt;Table2[[#This Row],[Ripple Current pk-pk]]/2,0,ABS(Table2[[#This Row],[Iout]]-Table2[[#This Row],[Ripple Current pk-pk]]/2)*Vsd_Q1*Deadtime*Fsw),0)</f>
        <v>0</v>
      </c>
      <c r="AK76" s="354">
        <f>(Table2[[#This Row],[Dead Time Loss BuCtrl]]+Table2[[#This Row],[Transition Loss BuCtrl]]+Table2[[#This Row],[RDS(on) Loss BuCtrl]]*(1+RdsonTopTc*Ta-RdsonTopTc*25))/(1-Table2[[#This Row],[RDS(on) Loss BuCtrl]]*RdsonTopTc*ThetaJA_Q1)</f>
        <v>1.9995824922526075</v>
      </c>
      <c r="AL76" s="354">
        <f>Table2[[#This Row],[Irms Lf]]</f>
        <v>8.0724091145932029</v>
      </c>
      <c r="AM76" s="354">
        <f>Rdson2*Table2[[#This Row],[Irms BuSync]]^2</f>
        <v>0.27368791343614318</v>
      </c>
      <c r="AN76"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0.3868388571428571</v>
      </c>
      <c r="AO76" s="354">
        <f>(Table2[[#This Row],[Deadtime Loss BuSync]]+Table2[[#This Row],[RDS(on) Loss BuSync]]*(1+RdsonBotTc*Ta-RdsonBotTc*25))/(1-Table2[[#This Row],[RDS(on) Loss BuSync]]*RdsonBotTc*ThetaJA_Q2)</f>
        <v>0.70696375497262565</v>
      </c>
      <c r="AP76" s="354">
        <f>Table2[[#This Row],[Irms Lf]]</f>
        <v>8.0724091145932029</v>
      </c>
      <c r="AQ76" s="354">
        <f>Rdson4*Table2[[#This Row],[Irms BoCtlr]]^2</f>
        <v>0.27368791343614318</v>
      </c>
      <c r="AR76" s="354">
        <f>CHOOSE(Table2[[#This Row],[Mode Digit]], 0, (Vout*Table2[[#This Row],[Iin]]/2)*(Fsw)*(Tr_boost+Tf_boost), (Vout*Iout/2)*(Fsw/1)*(Tr_boost+Tf_boost))</f>
        <v>0</v>
      </c>
      <c r="AS76" s="354">
        <f>IF(Table2[[#This Row],[Vin]]&gt;Vout, 0, IF(Table2[[#This Row],[Iin]]&gt;Table2[[#This Row],[Ripple Current pk-pk]]/2,0,ABS(Table2[[#This Row],[Iin]]-Table2[[#This Row],[Ripple Current pk-pk]]/2)*Vsd_Q4*Deadtime*Fsw))</f>
        <v>0</v>
      </c>
      <c r="AT76" s="354">
        <f>(Table2[[#This Row],[Dead Time Loss BoCtlr]]+Table2[[#This Row],[Transition Loss BoCtlr]]+Table2[[#This Row],[RDS(on) Loss BoCtlr]]*(1+RdsonTopTc*Ta-RdsonTopTc*25))/(1-Table2[[#This Row],[RDS(on) Loss BoCtlr]]*RdsonTopTc*ThetaJA_Q4)</f>
        <v>0.29292898273272516</v>
      </c>
      <c r="AU76" s="354">
        <f>Table2[[#This Row],[Irms Lf]]</f>
        <v>8.0724091145932029</v>
      </c>
      <c r="AV76" s="354">
        <f>Rdson3*Table2[[#This Row],[Irms BoSync]]^2</f>
        <v>0.27368791343614318</v>
      </c>
      <c r="AW76"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76" s="354">
        <f>(Table2[[#This Row],[Deadtime Loss BoSync]]+Table2[[#This Row],[RDS(on) Loss BoSync]]*(1+RdsonBotTc*Ta-RdsonBotTc*25))/(1-Table2[[#This Row],[RDS(on) Loss BoSync]]*RdsonBotTc*ThetaJA_Q3)</f>
        <v>0.29292898273272516</v>
      </c>
      <c r="AY76" s="354">
        <f>CHOOSE(Table2[[#This Row],[Mode Digit]], Rdson3*Table2[[#This Row],[Irms Lf]]^2, Rdson1*Table2[[#This Row],[Irms Lf]]^2, 0)</f>
        <v>0.27368791343614318</v>
      </c>
      <c r="AZ76" s="354">
        <f>CHOOSE(Table2[[#This Row],[Mode Digit]], 2*Deadtime*Fsw*IF(VfdSky_Q2&gt;0,VfdSky_Q2,0)*Table2[[#This Row],[Iout]], 2*Deadtime*Fsw*IF(VfdSky_Q3&gt;0,VfdSky_Q3,0)*Table2[[#This Row],[Iin]], 2*Deadtime*Fsw*IF(VfdSky_Q2&gt;0,VfdSky_Q2,0)*Table2[[#This Row],[Iout]]+2*Deadtime*Fsw*IF(VfdSky_Q3&gt;0,VfdSky_Q3,0)*Table2[[#This Row],[Iin]])</f>
        <v>0</v>
      </c>
      <c r="BA7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0.16052850528000001</v>
      </c>
      <c r="BB7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0.16052850528000001</v>
      </c>
      <c r="BC76" s="354">
        <f>CHOOSE(Table2[[#This Row],[Mode Digit]], Rs*Table2[[#This Row],[Irms BuSync]]^2, Rs*Table2[[#This Row],[Irms BoCtlr]]^2, Rs*(Table2[[#This Row],[Irms BuSync]]^2+Table2[[#This Row],[Irms BoCtlr]]^2))</f>
        <v>0.16290947228341854</v>
      </c>
      <c r="BD76" s="354">
        <f t="shared" si="9"/>
        <v>1.44</v>
      </c>
      <c r="BE76" s="354">
        <f>IF(Vout&gt;8, Iq*Vout, Iq*Table2[[#This Row],[Vin]])</f>
        <v>4.3799999999999999E-2</v>
      </c>
      <c r="BF76" s="354">
        <f>CHOOSE(Table2[[#This Row],[Mode Digit]], (Qg_Q1+Qg_Q2)*Fsw, (Qg_Q3+Qg_Q4)*Fsw, (Qg_Q1+Qg_Q2+Qg_Q3+Qg_Q4)*Fsw)*IF(Vout&gt;8, Vout, Table2[[#This Row],[Vin]])</f>
        <v>0.47303999999999996</v>
      </c>
      <c r="BG76" s="354">
        <f t="shared" si="10"/>
        <v>0.45605042016806729</v>
      </c>
      <c r="BH76" s="354">
        <f>Table2[[#This Row],[IQ Loss]]+Table2[[#This Row],[Switching Current Loss]]</f>
        <v>0.51683999999999997</v>
      </c>
      <c r="BI76"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6.4172163701756055</v>
      </c>
      <c r="BJ76">
        <f>Vout*Table2[[#This Row],[Iout]]</f>
        <v>117.38399999999999</v>
      </c>
      <c r="BK76" s="550">
        <f>Table2[[#This Row],[Pout]]/(Table2[[#This Row],[Pout]]+Table2[[#This Row],[Total Loss]])</f>
        <v>0.94816515896752085</v>
      </c>
      <c r="BL76" s="559">
        <f>IF(Table2[[#This Row],[Vin]]&gt;Vout,ThetaJA_Q1*(Table2[[#This Row],[Total Control Bu MOSFET Loss]]+Table2[[#This Row],[Reverse Recovery Loss MOSFET D BUCK]]),ThetaJA_Q4*(Table2[[#This Row],[Total Control Bo MOSFET Loss]]+Table2[[#This Row],[Reverse Recovery Loss MOSFET D BOOST]]))</f>
        <v>129.60665985195646</v>
      </c>
      <c r="BM76" s="559">
        <f>IF(Table2[[#This Row],[Vin]]&gt;Vout, Table2[[#This Row],[Total Sync Bu MOSFET Loss]]*ThetaJA_Q2, ThetaJA_Q3*Table2[[#This Row],[Total Sync Bo MOSFET Loss]])</f>
        <v>42.417825298357542</v>
      </c>
      <c r="BN76" s="9"/>
      <c r="BO76" s="4">
        <f>Table2[[#This Row],[EFF, h]]*100</f>
        <v>94.81651589675208</v>
      </c>
      <c r="BP76" s="354">
        <f>Table2[[#This Row],[Total Inductor Loss]]</f>
        <v>0.65596657081910603</v>
      </c>
      <c r="BQ76" s="354">
        <f>Table2[[#This Row],[Total Control Bu MOSFET Loss]]+Table2[[#This Row],[Total Sync Bu MOSFET Loss]]+Table2[[#This Row],[Total Control Bo MOSFET Loss]]+Table2[[#This Row],[Total Sync Bo MOSFET Loss]]+Table2[[#This Row],[Reverse Recovery Loss MOSFET D BUCK]]+Table2[[#This Row],[Reverse Recovery Loss MOSFET D BOOST]]</f>
        <v>3.6134612232506833</v>
      </c>
      <c r="BR76" s="354">
        <f xml:space="preserve"> Table2[[#This Row],[Total Control Bu MOSFET Loss]]+Table2[[#This Row],[Reverse Recovery Loss MOSFET D BUCK]]*0.66</f>
        <v>2.1055313057374074</v>
      </c>
      <c r="BS76" s="354">
        <f>Table2[[#This Row],[Total Sync Bu MOSFET Loss]]+Table2[[#This Row],[Reverse Recovery Loss MOSFET D BUCK]]*0.33</f>
        <v>0.7599381617150256</v>
      </c>
      <c r="BT76" s="354">
        <f xml:space="preserve"> Table2[[#This Row],[Total Control Bo MOSFET Loss]]+Table2[[#This Row],[Reverse Recovery Loss MOSFET D BOOST]]*0.66</f>
        <v>0.39887779621752517</v>
      </c>
      <c r="BU76" s="354">
        <f xml:space="preserve"> Table2[[#This Row],[Total Sync Bo MOSFET Loss]]+Table2[[#This Row],[Reverse Recovery Loss MOSFET D BOOST]]*0.33</f>
        <v>0.34590338947512517</v>
      </c>
      <c r="BV76" s="354">
        <f>Table2[[#This Row],[Isense Shunt Loss]]</f>
        <v>0.16290947228341854</v>
      </c>
      <c r="CB76" s="18"/>
      <c r="CC76" s="19"/>
    </row>
    <row r="77" spans="1:81" x14ac:dyDescent="0.2">
      <c r="A77" s="34" t="s">
        <v>242</v>
      </c>
      <c r="B77" s="77">
        <f>(Qg_Q1+Qg_Q2)*Fsw+Iq</f>
        <v>3.5400000000000001E-2</v>
      </c>
      <c r="C77" s="21" t="s">
        <v>2</v>
      </c>
      <c r="G77">
        <v>68</v>
      </c>
      <c r="H77" s="555">
        <f t="shared" si="8"/>
        <v>20</v>
      </c>
      <c r="I77" s="4" t="str">
        <f>IF(Mode = 2,IF(Table2[[#This Row],[Vin]]&gt;Vout, "BUCK","BOOST"),IF(Table2[[#This Row],[Vin]]&gt;VIN_BB_to_buck, "BUCK", IF(Table2[[#This Row],[Vin]]&lt;=VIN_boost_to_BB,"BOOST","BUCK-BST")))</f>
        <v>BUCK</v>
      </c>
      <c r="J77">
        <f>IF(Table2[[#This Row],[Mode]]="BOOST",2, IF(Table2[[#This Row],[Mode]]="BUCK", 1,3))</f>
        <v>1</v>
      </c>
      <c r="K77" s="354">
        <f t="shared" si="11"/>
        <v>8.16</v>
      </c>
      <c r="L77" s="4">
        <f>Vout*Table2[[#This Row],[Iout]]/(Table2[[#This Row],[Vin]]*Efficiency)</f>
        <v>6.2703157894736838</v>
      </c>
      <c r="M77" s="711">
        <f>MIN(1/Fsw,CHOOSE(Table2[[#This Row],[Mode Digit]],(Vout+(Rdson2+Rs+Rdcr)*Table2[[#This Row],[Iout]])/(Table2[[#This Row],[Vin]]+(Rs+Rdson2-Rdson1)*Table2[[#This Row],[Iout]])/Fsw,(Vout+(Rdson3+Rdcr)*Table2[[#This Row],[Iin]]-Table2[[#This Row],[Vin]])/(Vout+(Rdson3-Rdson4-Rs)*Table2[[#This Row],[Iin]])/Fsw,t1_Ph_II))</f>
        <v>1.223918270031235E-6</v>
      </c>
      <c r="N77" s="602">
        <f>CHOOSE(Table2[[#This Row],[Mode Digit]],1/Fsw-Table2[[#This Row],[t1_Ph_II]],1/Fsw-Table2[[#This Row],[t1_Ph_II]],(Vout/Fsw-Table2[[#This Row],[Vin]]*t1_Ph_II)/(Table2[[#This Row],[Vin]]+Vout))</f>
        <v>4.4274839663543165E-7</v>
      </c>
      <c r="O77" s="602">
        <f>1/Fsw-(Table2[[#This Row],[t1_Ph_II]]+Table2[[#This Row],[t2_Ph_I]])</f>
        <v>0</v>
      </c>
      <c r="P77"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6.9082654056498729</v>
      </c>
      <c r="Q77" s="4">
        <f>CHOOSE(Table2[[#This Row],[Mode Digit]],Table2[[#This Row],[I_0]]+1/Lf*(Table2[[#This Row],[Vin]]-Vout)*Table2[[#This Row],[t1_Ph_II]],Table2[[#This Row],[I_0]]+1/Lf*Table2[[#This Row],[Vin]]*Table2[[#This Row],[t1_Ph_II]],Table2[[#This Row],[I_0]]+(Table2[[#This Row],[Vin]]-Vout)/L*Table2[[#This Row],[t1_Ph_II]])</f>
        <v>9.4117345943501256</v>
      </c>
      <c r="R77" s="4">
        <f>CHOOSE(Table2[[#This Row],[Mode Digit]],0,0,Table2[[#This Row],[I_1]]+Table2[[#This Row],[Vin]]/L*Table2[[#This Row],[t2_Ph_I]])</f>
        <v>0</v>
      </c>
      <c r="S77" s="409">
        <f>Fsw*(Table2[[#This Row],[I_0]]*Table2[[#This Row],[t1_Ph_II]]+Table2[[#This Row],[I_1]]*Table2[[#This Row],[t2_Ph_I]]+Table2[[#This Row],[I_2]]*Table2[[#This Row],[t3_Ph_III]])</f>
        <v>7.5733095872438181</v>
      </c>
      <c r="T77" s="354">
        <f>MIN(1,CHOOSE(Table2[[#This Row],[Mode Digit]],(Vout+(Rdson2+Rs+Rdcr)*Table2[[#This Row],[Iout]])/(Table2[[#This Row],[Vin]]+(Rs+Rdson2-Rdson1)*Table2[[#This Row],[Iout]]),1,Fsw*Table2[[#This Row],[t2_Ph_I]]+Table2[[#This Row],[t1_Ph_II]]))</f>
        <v>0.73435096201874095</v>
      </c>
      <c r="U77" s="354">
        <f>MIN(1,CHOOSE(Table2[[#This Row],[Mode Digit]],0,(Vout+(Rdson3+Rdcr)*Table2[[#This Row],[Iin]]-Table2[[#This Row],[Vin]])/(Vout+(Rdson3-Rdson4-Rs)*Table2[[#This Row],[Iin]]),Fsw*Table2[[#This Row],[t1_Ph_II]]+Table2[[#This Row],[t3_Ph_III]]))</f>
        <v>0</v>
      </c>
      <c r="V77" s="4">
        <f>MAX(Table2[[#This Row],[I_0]:[I_2]])-MIN(Table2[[#This Row],[I_0]:[I_1]])</f>
        <v>2.5034691887002527</v>
      </c>
      <c r="W77"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8.1919399309055159</v>
      </c>
      <c r="X77" s="354">
        <f>(Table2[[#This Row],[Irms Lf]]^2*Rdcr*(1+Ltc*Ta-Ltc*25))/(1-Table2[[#This Row],[Irms Lf]]^2*Rdcr*Ltc*ThetaCa)</f>
        <v>0.40173494844197394</v>
      </c>
      <c r="Y77" s="354">
        <f>ABS(7.759*10^-3*Fsw^0.9458*(0.00787*Table2[[#This Row],[Ripple Current pk-pk]])^2.304)</f>
        <v>0.26628599969140282</v>
      </c>
      <c r="Z77" s="354">
        <f>Table2[[#This Row],[DCR    Loss]]+Table2[[#This Row],[Core Loss]]</f>
        <v>0.66802094813337676</v>
      </c>
      <c r="AA77" s="4">
        <f>IF(Table2[[#This Row],[Vin]]&gt;Vout, Table2[[#This Row],[Ripple Current pk-pk]]/SQRT(12), SQRT(Table2[[#This Row],[Duty Cycle BOOST Leg]]/(1-Table2[[#This Row],[Duty Cycle BOOST Leg]]))*SQRT(Table2[[#This Row],[Iout]]^2+(Table2[[#This Row],[Ripple Current pk-pk]]^2)/12))</f>
        <v>0.72268930500201245</v>
      </c>
      <c r="AB77" s="354">
        <f>RCoutEsr*Table2[[#This Row],[Irms Cout]]^2</f>
        <v>2.611399157821459E-3</v>
      </c>
      <c r="AC77" s="354">
        <f>Table2[[#This Row],[Cout ESR Loss]]</f>
        <v>2.611399157821459E-3</v>
      </c>
      <c r="AD77" s="4">
        <f>IF(Table2[[#This Row],[Vin]]&gt;Vout, SQRT(Table2[[#This Row],[Duty Cycle BUCK Leg]]*(1-Table2[[#This Row],[Duty Cycle BUCK Leg]]))*SQRT(Table2[[#This Row],[Iout]]^2+(Table2[[#This Row],[Ripple Current pk-pk]]^2)/12), Table2[[#This Row],[Ripple Current pk-pk]]/SQRT(12))</f>
        <v>3.6182012298266391</v>
      </c>
      <c r="AE77" s="354">
        <f>RCinEsr*Table2[[#This Row],[Irms Cin]]^2</f>
        <v>2.6182760279038007E-2</v>
      </c>
      <c r="AF77" s="549">
        <f>Table2[[#This Row],[Cin ESR Loss]]</f>
        <v>2.6182760279038007E-2</v>
      </c>
      <c r="AG77" s="354">
        <f>Table2[[#This Row],[Irms Lf]]</f>
        <v>8.1919399309055159</v>
      </c>
      <c r="AH77" s="354">
        <f>Rdson1*Table2[[#This Row],[Irms BuCtrl]]^2</f>
        <v>0.28185309529256997</v>
      </c>
      <c r="AI77" s="354">
        <f>CHOOSE(Table2[[#This Row],[Mode Digit]], (Table2[[#This Row],[Vin]]*Table2[[#This Row],[Iout]]/2)*(Fsw)*(Tr_buck+Tf_buck), 0, (Table2[[#This Row],[Vin]]*Table2[[#This Row],[Avg IL]]/2)*(Fsw/1)*(Tr_buck+Tf_buck))</f>
        <v>1.6183510850676908</v>
      </c>
      <c r="AJ77">
        <f>IF(Table2[[#This Row],[Vin]]&gt;Vout, IF(Table2[[#This Row],[Iout]]&gt;Table2[[#This Row],[Ripple Current pk-pk]]/2,0,ABS(Table2[[#This Row],[Iout]]-Table2[[#This Row],[Ripple Current pk-pk]]/2)*Vsd_Q1*Deadtime*Fsw),0)</f>
        <v>0</v>
      </c>
      <c r="AK77" s="354">
        <f>(Table2[[#This Row],[Dead Time Loss BuCtrl]]+Table2[[#This Row],[Transition Loss BuCtrl]]+Table2[[#This Row],[RDS(on) Loss BuCtrl]]*(1+RdsonTopTc*Ta-RdsonTopTc*25))/(1-Table2[[#This Row],[RDS(on) Loss BuCtrl]]*RdsonTopTc*ThetaJA_Q1)</f>
        <v>2.0380688217600231</v>
      </c>
      <c r="AL77" s="354">
        <f>Table2[[#This Row],[Irms Lf]]</f>
        <v>8.1919399309055159</v>
      </c>
      <c r="AM77" s="354">
        <f>Rdson2*Table2[[#This Row],[Irms BuSync]]^2</f>
        <v>0.28185309529256997</v>
      </c>
      <c r="AN77"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0.39261257142857142</v>
      </c>
      <c r="AO77" s="354">
        <f>(Table2[[#This Row],[Deadtime Loss BuSync]]+Table2[[#This Row],[RDS(on) Loss BuSync]]*(1+RdsonBotTc*Ta-RdsonBotTc*25))/(1-Table2[[#This Row],[RDS(on) Loss BuSync]]*RdsonBotTc*ThetaJA_Q2)</f>
        <v>0.72339986455104666</v>
      </c>
      <c r="AP77" s="354">
        <f>Table2[[#This Row],[Irms Lf]]</f>
        <v>8.1919399309055159</v>
      </c>
      <c r="AQ77" s="354">
        <f>Rdson4*Table2[[#This Row],[Irms BoCtlr]]^2</f>
        <v>0.28185309529256997</v>
      </c>
      <c r="AR77" s="354">
        <f>CHOOSE(Table2[[#This Row],[Mode Digit]], 0, (Vout*Table2[[#This Row],[Iin]]/2)*(Fsw)*(Tr_boost+Tf_boost), (Vout*Iout/2)*(Fsw/1)*(Tr_boost+Tf_boost))</f>
        <v>0</v>
      </c>
      <c r="AS77" s="354">
        <f>IF(Table2[[#This Row],[Vin]]&gt;Vout, 0, IF(Table2[[#This Row],[Iin]]&gt;Table2[[#This Row],[Ripple Current pk-pk]]/2,0,ABS(Table2[[#This Row],[Iin]]-Table2[[#This Row],[Ripple Current pk-pk]]/2)*Vsd_Q4*Deadtime*Fsw))</f>
        <v>0</v>
      </c>
      <c r="AT77" s="354">
        <f>(Table2[[#This Row],[Dead Time Loss BoCtlr]]+Table2[[#This Row],[Transition Loss BoCtlr]]+Table2[[#This Row],[RDS(on) Loss BoCtlr]]*(1+RdsonTopTc*Ta-RdsonTopTc*25))/(1-Table2[[#This Row],[RDS(on) Loss BoCtlr]]*RdsonTopTc*ThetaJA_Q4)</f>
        <v>0.30230225349964024</v>
      </c>
      <c r="AU77" s="354">
        <f>Table2[[#This Row],[Irms Lf]]</f>
        <v>8.1919399309055159</v>
      </c>
      <c r="AV77" s="354">
        <f>Rdson3*Table2[[#This Row],[Irms BoSync]]^2</f>
        <v>0.28185309529256997</v>
      </c>
      <c r="AW77"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77" s="354">
        <f>(Table2[[#This Row],[Deadtime Loss BoSync]]+Table2[[#This Row],[RDS(on) Loss BoSync]]*(1+RdsonBotTc*Ta-RdsonBotTc*25))/(1-Table2[[#This Row],[RDS(on) Loss BoSync]]*RdsonBotTc*ThetaJA_Q3)</f>
        <v>0.30230225349964024</v>
      </c>
      <c r="AY77" s="354">
        <f>CHOOSE(Table2[[#This Row],[Mode Digit]], Rdson3*Table2[[#This Row],[Irms Lf]]^2, Rdson1*Table2[[#This Row],[Irms Lf]]^2, 0)</f>
        <v>0.28185309529256997</v>
      </c>
      <c r="AZ77" s="354">
        <f>CHOOSE(Table2[[#This Row],[Mode Digit]], 2*Deadtime*Fsw*IF(VfdSky_Q2&gt;0,VfdSky_Q2,0)*Table2[[#This Row],[Iout]], 2*Deadtime*Fsw*IF(VfdSky_Q3&gt;0,VfdSky_Q3,0)*Table2[[#This Row],[Iin]], 2*Deadtime*Fsw*IF(VfdSky_Q2&gt;0,VfdSky_Q2,0)*Table2[[#This Row],[Iout]]+2*Deadtime*Fsw*IF(VfdSky_Q3&gt;0,VfdSky_Q3,0)*Table2[[#This Row],[Iin]])</f>
        <v>0</v>
      </c>
      <c r="BA7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0.16292034048000001</v>
      </c>
      <c r="BB7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0.16292034048000001</v>
      </c>
      <c r="BC77" s="354">
        <f>CHOOSE(Table2[[#This Row],[Mode Digit]], Rs*Table2[[#This Row],[Irms BuSync]]^2, Rs*Table2[[#This Row],[Irms BoCtlr]]^2, Rs*(Table2[[#This Row],[Irms BuSync]]^2+Table2[[#This Row],[Irms BoCtlr]]^2))</f>
        <v>0.16776969957891066</v>
      </c>
      <c r="BD77" s="354">
        <f t="shared" si="9"/>
        <v>1.44</v>
      </c>
      <c r="BE77" s="354">
        <f>IF(Vout&gt;8, Iq*Vout, Iq*Table2[[#This Row],[Vin]])</f>
        <v>4.3799999999999999E-2</v>
      </c>
      <c r="BF77" s="354">
        <f>CHOOSE(Table2[[#This Row],[Mode Digit]], (Qg_Q1+Qg_Q2)*Fsw, (Qg_Q3+Qg_Q4)*Fsw, (Qg_Q1+Qg_Q2+Qg_Q3+Qg_Q4)*Fsw)*IF(Vout&gt;8, Vout, Table2[[#This Row],[Vin]])</f>
        <v>0.47303999999999996</v>
      </c>
      <c r="BG77" s="354">
        <f t="shared" si="10"/>
        <v>0.45605042016806729</v>
      </c>
      <c r="BH77" s="354">
        <f>Table2[[#This Row],[IQ Loss]]+Table2[[#This Row],[Switching Current Loss]]</f>
        <v>0.51683999999999997</v>
      </c>
      <c r="BI77"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6.5133386814194978</v>
      </c>
      <c r="BJ77">
        <f>Vout*Table2[[#This Row],[Iout]]</f>
        <v>119.136</v>
      </c>
      <c r="BK77" s="550">
        <f>Table2[[#This Row],[Pout]]/(Table2[[#This Row],[Pout]]+Table2[[#This Row],[Total Loss]])</f>
        <v>0.94816257093136092</v>
      </c>
      <c r="BL77" s="559">
        <f>IF(Table2[[#This Row],[Vin]]&gt;Vout,ThetaJA_Q1*(Table2[[#This Row],[Total Control Bu MOSFET Loss]]+Table2[[#This Row],[Reverse Recovery Loss MOSFET D BUCK]]),ThetaJA_Q4*(Table2[[#This Row],[Total Control Bo MOSFET Loss]]+Table2[[#This Row],[Reverse Recovery Loss MOSFET D BOOST]]))</f>
        <v>132.05934973440139</v>
      </c>
      <c r="BM77" s="559">
        <f>IF(Table2[[#This Row],[Vin]]&gt;Vout, Table2[[#This Row],[Total Sync Bu MOSFET Loss]]*ThetaJA_Q2, ThetaJA_Q3*Table2[[#This Row],[Total Sync Bo MOSFET Loss]])</f>
        <v>43.4039918730628</v>
      </c>
      <c r="BN77" s="9"/>
      <c r="BO77" s="4">
        <f>Table2[[#This Row],[EFF, h]]*100</f>
        <v>94.816257093136088</v>
      </c>
      <c r="BP77" s="354">
        <f>Table2[[#This Row],[Total Inductor Loss]]</f>
        <v>0.66802094813337676</v>
      </c>
      <c r="BQ77" s="354">
        <f>Table2[[#This Row],[Total Control Bu MOSFET Loss]]+Table2[[#This Row],[Total Sync Bu MOSFET Loss]]+Table2[[#This Row],[Total Control Bo MOSFET Loss]]+Table2[[#This Row],[Total Sync Bo MOSFET Loss]]+Table2[[#This Row],[Reverse Recovery Loss MOSFET D BUCK]]+Table2[[#This Row],[Reverse Recovery Loss MOSFET D BOOST]]</f>
        <v>3.6919138742703499</v>
      </c>
      <c r="BR77" s="354">
        <f xml:space="preserve"> Table2[[#This Row],[Total Control Bu MOSFET Loss]]+Table2[[#This Row],[Reverse Recovery Loss MOSFET D BUCK]]*0.66</f>
        <v>2.1455962464768232</v>
      </c>
      <c r="BS77" s="354">
        <f>Table2[[#This Row],[Total Sync Bu MOSFET Loss]]+Table2[[#This Row],[Reverse Recovery Loss MOSFET D BUCK]]*0.33</f>
        <v>0.77716357690944671</v>
      </c>
      <c r="BT77" s="354">
        <f xml:space="preserve"> Table2[[#This Row],[Total Control Bo MOSFET Loss]]+Table2[[#This Row],[Reverse Recovery Loss MOSFET D BOOST]]*0.66</f>
        <v>0.40982967821644023</v>
      </c>
      <c r="BU77" s="354">
        <f xml:space="preserve"> Table2[[#This Row],[Total Sync Bo MOSFET Loss]]+Table2[[#This Row],[Reverse Recovery Loss MOSFET D BOOST]]*0.33</f>
        <v>0.35606596585804023</v>
      </c>
      <c r="BV77" s="354">
        <f>Table2[[#This Row],[Isense Shunt Loss]]</f>
        <v>0.16776969957891066</v>
      </c>
      <c r="CB77" s="18"/>
      <c r="CC77" s="19"/>
    </row>
    <row r="78" spans="1:81" x14ac:dyDescent="0.2">
      <c r="A78" s="34" t="s">
        <v>243</v>
      </c>
      <c r="B78" s="76">
        <f>Qrr_Q2*Fsw</f>
        <v>1.2E-2</v>
      </c>
      <c r="C78" s="21" t="s">
        <v>2</v>
      </c>
      <c r="G78">
        <v>69</v>
      </c>
      <c r="H78" s="555">
        <f t="shared" si="8"/>
        <v>20</v>
      </c>
      <c r="I78" s="4" t="str">
        <f>IF(Mode = 2,IF(Table2[[#This Row],[Vin]]&gt;Vout, "BUCK","BOOST"),IF(Table2[[#This Row],[Vin]]&gt;VIN_BB_to_buck, "BUCK", IF(Table2[[#This Row],[Vin]]&lt;=VIN_boost_to_BB,"BOOST","BUCK-BST")))</f>
        <v>BUCK</v>
      </c>
      <c r="J78">
        <f>IF(Table2[[#This Row],[Mode]]="BOOST",2, IF(Table2[[#This Row],[Mode]]="BUCK", 1,3))</f>
        <v>1</v>
      </c>
      <c r="K78" s="354">
        <f t="shared" si="11"/>
        <v>8.2799999999999994</v>
      </c>
      <c r="L78" s="4">
        <f>Vout*Table2[[#This Row],[Iout]]/(Table2[[#This Row],[Vin]]*Efficiency)</f>
        <v>6.3625263157894736</v>
      </c>
      <c r="M78" s="711">
        <f>MIN(1/Fsw,CHOOSE(Table2[[#This Row],[Mode Digit]],(Vout+(Rdson2+Rs+Rdcr)*Table2[[#This Row],[Iout]])/(Table2[[#This Row],[Vin]]+(Rs+Rdson2-Rdson1)*Table2[[#This Row],[Iout]])/Fsw,(Vout+(Rdson3+Rdcr)*Table2[[#This Row],[Iin]]-Table2[[#This Row],[Vin]])/(Vout+(Rdson3-Rdson4-Rs)*Table2[[#This Row],[Iin]])/Fsw,t1_Ph_II))</f>
        <v>1.2240248009976339E-6</v>
      </c>
      <c r="N78" s="602">
        <f>CHOOSE(Table2[[#This Row],[Mode Digit]],1/Fsw-Table2[[#This Row],[t1_Ph_II]],1/Fsw-Table2[[#This Row],[t1_Ph_II]],(Vout/Fsw-Table2[[#This Row],[Vin]]*t1_Ph_II)/(Table2[[#This Row],[Vin]]+Vout))</f>
        <v>4.4264186566903272E-7</v>
      </c>
      <c r="O78" s="602">
        <f>1/Fsw-(Table2[[#This Row],[t1_Ph_II]]+Table2[[#This Row],[t2_Ph_I]])</f>
        <v>0</v>
      </c>
      <c r="P78"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7.0281564535251464</v>
      </c>
      <c r="Q78" s="4">
        <f>CHOOSE(Table2[[#This Row],[Mode Digit]],Table2[[#This Row],[I_0]]+1/Lf*(Table2[[#This Row],[Vin]]-Vout)*Table2[[#This Row],[t1_Ph_II]],Table2[[#This Row],[I_0]]+1/Lf*Table2[[#This Row],[Vin]]*Table2[[#This Row],[t1_Ph_II]],Table2[[#This Row],[I_0]]+(Table2[[#This Row],[Vin]]-Vout)/L*Table2[[#This Row],[t1_Ph_II]])</f>
        <v>9.5318435464748532</v>
      </c>
      <c r="R78" s="4">
        <f>CHOOSE(Table2[[#This Row],[Mode Digit]],0,0,Table2[[#This Row],[I_1]]+Table2[[#This Row],[Vin]]/L*Table2[[#This Row],[t2_Ph_I]])</f>
        <v>0</v>
      </c>
      <c r="S78" s="409">
        <f>Fsw*(Table2[[#This Row],[I_0]]*Table2[[#This Row],[t1_Ph_II]]+Table2[[#This Row],[I_1]]*Table2[[#This Row],[t2_Ph_I]]+Table2[[#This Row],[I_2]]*Table2[[#This Row],[t3_Ph_III]])</f>
        <v>7.6930984890499872</v>
      </c>
      <c r="T78" s="354">
        <f>MIN(1,CHOOSE(Table2[[#This Row],[Mode Digit]],(Vout+(Rdson2+Rs+Rdcr)*Table2[[#This Row],[Iout]])/(Table2[[#This Row],[Vin]]+(Rs+Rdson2-Rdson1)*Table2[[#This Row],[Iout]]),1,Fsw*Table2[[#This Row],[t2_Ph_I]]+Table2[[#This Row],[t1_Ph_II]]))</f>
        <v>0.7344148805985804</v>
      </c>
      <c r="U78" s="354">
        <f>MIN(1,CHOOSE(Table2[[#This Row],[Mode Digit]],0,(Vout+(Rdson3+Rdcr)*Table2[[#This Row],[Iin]]-Table2[[#This Row],[Vin]])/(Vout+(Rdson3-Rdson4-Rs)*Table2[[#This Row],[Iin]]),Fsw*Table2[[#This Row],[t1_Ph_II]]+Table2[[#This Row],[t3_Ph_III]]))</f>
        <v>0</v>
      </c>
      <c r="V78" s="4">
        <f>MAX(Table2[[#This Row],[I_0]:[I_2]])-MIN(Table2[[#This Row],[I_0]:[I_1]])</f>
        <v>2.5036870929497068</v>
      </c>
      <c r="W78"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8.3114842690671225</v>
      </c>
      <c r="X78" s="354">
        <f>(Table2[[#This Row],[Irms Lf]]^2*Rdcr*(1+Ltc*Ta-Ltc*25))/(1-Table2[[#This Row],[Irms Lf]]^2*Rdcr*Ltc*ThetaCa)</f>
        <v>0.41393657719623245</v>
      </c>
      <c r="Y78" s="354">
        <f>ABS(7.759*10^-3*Fsw^0.9458*(0.00787*Table2[[#This Row],[Ripple Current pk-pk]])^2.304)</f>
        <v>0.26633940432050979</v>
      </c>
      <c r="Z78" s="354">
        <f>Table2[[#This Row],[DCR    Loss]]+Table2[[#This Row],[Core Loss]]</f>
        <v>0.68027598151674229</v>
      </c>
      <c r="AA78" s="4">
        <f>IF(Table2[[#This Row],[Vin]]&gt;Vout, Table2[[#This Row],[Ripple Current pk-pk]]/SQRT(12), SQRT(Table2[[#This Row],[Duty Cycle BOOST Leg]]/(1-Table2[[#This Row],[Duty Cycle BOOST Leg]]))*SQRT(Table2[[#This Row],[Iout]]^2+(Table2[[#This Row],[Ripple Current pk-pk]]^2)/12))</f>
        <v>0.72275220854055244</v>
      </c>
      <c r="AB78" s="354">
        <f>RCoutEsr*Table2[[#This Row],[Irms Cout]]^2</f>
        <v>2.611853774751231E-3</v>
      </c>
      <c r="AC78" s="354">
        <f>Table2[[#This Row],[Cout ESR Loss]]</f>
        <v>2.611853774751231E-3</v>
      </c>
      <c r="AD78" s="4">
        <f>IF(Table2[[#This Row],[Vin]]&gt;Vout, SQRT(Table2[[#This Row],[Duty Cycle BUCK Leg]]*(1-Table2[[#This Row],[Duty Cycle BUCK Leg]]))*SQRT(Table2[[#This Row],[Iout]]^2+(Table2[[#This Row],[Ripple Current pk-pk]]^2)/12), Table2[[#This Row],[Ripple Current pk-pk]]/SQRT(12))</f>
        <v>3.6707194264363183</v>
      </c>
      <c r="AE78" s="354">
        <f>RCinEsr*Table2[[#This Row],[Irms Cin]]^2</f>
        <v>2.6948362215233949E-2</v>
      </c>
      <c r="AF78" s="549">
        <f>Table2[[#This Row],[Cin ESR Loss]]</f>
        <v>2.6948362215233949E-2</v>
      </c>
      <c r="AG78" s="354">
        <f>Table2[[#This Row],[Irms Lf]]</f>
        <v>8.3114842690671225</v>
      </c>
      <c r="AH78" s="354">
        <f>Rdson1*Table2[[#This Row],[Irms BuCtrl]]^2</f>
        <v>0.29013923717079104</v>
      </c>
      <c r="AI78" s="354">
        <f>CHOOSE(Table2[[#This Row],[Mode Digit]], (Table2[[#This Row],[Vin]]*Table2[[#This Row],[Iout]]/2)*(Fsw)*(Tr_buck+Tf_buck), 0, (Table2[[#This Row],[Vin]]*Table2[[#This Row],[Avg IL]]/2)*(Fsw/1)*(Tr_buck+Tf_buck))</f>
        <v>1.6421503657304508</v>
      </c>
      <c r="AJ78">
        <f>IF(Table2[[#This Row],[Vin]]&gt;Vout, IF(Table2[[#This Row],[Iout]]&gt;Table2[[#This Row],[Ripple Current pk-pk]]/2,0,ABS(Table2[[#This Row],[Iout]]-Table2[[#This Row],[Ripple Current pk-pk]]/2)*Vsd_Q1*Deadtime*Fsw),0)</f>
        <v>0</v>
      </c>
      <c r="AK78" s="354">
        <f>(Table2[[#This Row],[Dead Time Loss BuCtrl]]+Table2[[#This Row],[Transition Loss BuCtrl]]+Table2[[#This Row],[RDS(on) Loss BuCtrl]]*(1+RdsonTopTc*Ta-RdsonTopTc*25))/(1-Table2[[#This Row],[RDS(on) Loss BuCtrl]]*RdsonTopTc*ThetaJA_Q1)</f>
        <v>2.0769120882506424</v>
      </c>
      <c r="AL78" s="354">
        <f>Table2[[#This Row],[Irms Lf]]</f>
        <v>8.3114842690671225</v>
      </c>
      <c r="AM78" s="354">
        <f>Rdson2*Table2[[#This Row],[Irms BuSync]]^2</f>
        <v>0.29013923717079104</v>
      </c>
      <c r="AN78"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0.39838628571428569</v>
      </c>
      <c r="AO78" s="354">
        <f>(Table2[[#This Row],[Deadtime Loss BuSync]]+Table2[[#This Row],[RDS(on) Loss BuSync]]*(1+RdsonBotTc*Ta-RdsonBotTc*25))/(1-Table2[[#This Row],[RDS(on) Loss BuSync]]*RdsonBotTc*ThetaJA_Q2)</f>
        <v>0.74005831186071813</v>
      </c>
      <c r="AP78" s="354">
        <f>Table2[[#This Row],[Irms Lf]]</f>
        <v>8.3114842690671225</v>
      </c>
      <c r="AQ78" s="354">
        <f>Rdson4*Table2[[#This Row],[Irms BoCtlr]]^2</f>
        <v>0.29013923717079104</v>
      </c>
      <c r="AR78" s="354">
        <f>CHOOSE(Table2[[#This Row],[Mode Digit]], 0, (Vout*Table2[[#This Row],[Iin]]/2)*(Fsw)*(Tr_boost+Tf_boost), (Vout*Iout/2)*(Fsw/1)*(Tr_boost+Tf_boost))</f>
        <v>0</v>
      </c>
      <c r="AS78" s="354">
        <f>IF(Table2[[#This Row],[Vin]]&gt;Vout, 0, IF(Table2[[#This Row],[Iin]]&gt;Table2[[#This Row],[Ripple Current pk-pk]]/2,0,ABS(Table2[[#This Row],[Iin]]-Table2[[#This Row],[Ripple Current pk-pk]]/2)*Vsd_Q4*Deadtime*Fsw))</f>
        <v>0</v>
      </c>
      <c r="AT78" s="354">
        <f>(Table2[[#This Row],[Dead Time Loss BoCtlr]]+Table2[[#This Row],[Transition Loss BoCtlr]]+Table2[[#This Row],[RDS(on) Loss BoCtlr]]*(1+RdsonTopTc*Ta-RdsonTopTc*25))/(1-Table2[[#This Row],[RDS(on) Loss BoCtlr]]*RdsonTopTc*ThetaJA_Q4)</f>
        <v>0.31185474892121245</v>
      </c>
      <c r="AU78" s="354">
        <f>Table2[[#This Row],[Irms Lf]]</f>
        <v>8.3114842690671225</v>
      </c>
      <c r="AV78" s="354">
        <f>Rdson3*Table2[[#This Row],[Irms BoSync]]^2</f>
        <v>0.29013923717079104</v>
      </c>
      <c r="AW78"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78" s="354">
        <f>(Table2[[#This Row],[Deadtime Loss BoSync]]+Table2[[#This Row],[RDS(on) Loss BoSync]]*(1+RdsonBotTc*Ta-RdsonBotTc*25))/(1-Table2[[#This Row],[RDS(on) Loss BoSync]]*RdsonBotTc*ThetaJA_Q3)</f>
        <v>0.31185474892121245</v>
      </c>
      <c r="AY78" s="354">
        <f>CHOOSE(Table2[[#This Row],[Mode Digit]], Rdson3*Table2[[#This Row],[Irms Lf]]^2, Rdson1*Table2[[#This Row],[Irms Lf]]^2, 0)</f>
        <v>0.29013923717079104</v>
      </c>
      <c r="AZ78" s="354">
        <f>CHOOSE(Table2[[#This Row],[Mode Digit]], 2*Deadtime*Fsw*IF(VfdSky_Q2&gt;0,VfdSky_Q2,0)*Table2[[#This Row],[Iout]], 2*Deadtime*Fsw*IF(VfdSky_Q3&gt;0,VfdSky_Q3,0)*Table2[[#This Row],[Iin]], 2*Deadtime*Fsw*IF(VfdSky_Q2&gt;0,VfdSky_Q2,0)*Table2[[#This Row],[Iout]]+2*Deadtime*Fsw*IF(VfdSky_Q3&gt;0,VfdSky_Q3,0)*Table2[[#This Row],[Iin]])</f>
        <v>0</v>
      </c>
      <c r="BA7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0.16531205471999999</v>
      </c>
      <c r="BB7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0.16531205471999999</v>
      </c>
      <c r="BC78" s="354">
        <f>CHOOSE(Table2[[#This Row],[Mode Digit]], Rs*Table2[[#This Row],[Irms BuSync]]^2, Rs*Table2[[#This Row],[Irms BoCtlr]]^2, Rs*(Table2[[#This Row],[Irms BuSync]]^2+Table2[[#This Row],[Irms BoCtlr]]^2))</f>
        <v>0.1727019268873756</v>
      </c>
      <c r="BD78" s="354">
        <f t="shared" si="9"/>
        <v>1.44</v>
      </c>
      <c r="BE78" s="354">
        <f>IF(Vout&gt;8, Iq*Vout, Iq*Table2[[#This Row],[Vin]])</f>
        <v>4.3799999999999999E-2</v>
      </c>
      <c r="BF78" s="354">
        <f>CHOOSE(Table2[[#This Row],[Mode Digit]], (Qg_Q1+Qg_Q2)*Fsw, (Qg_Q3+Qg_Q4)*Fsw, (Qg_Q1+Qg_Q2+Qg_Q3+Qg_Q4)*Fsw)*IF(Vout&gt;8, Vout, Table2[[#This Row],[Vin]])</f>
        <v>0.47303999999999996</v>
      </c>
      <c r="BG78" s="354">
        <f t="shared" si="10"/>
        <v>0.45605042016806729</v>
      </c>
      <c r="BH78" s="354">
        <f>Table2[[#This Row],[IQ Loss]]+Table2[[#This Row],[Switching Current Loss]]</f>
        <v>0.51683999999999997</v>
      </c>
      <c r="BI78"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6.6106821317878897</v>
      </c>
      <c r="BJ78">
        <f>Vout*Table2[[#This Row],[Iout]]</f>
        <v>120.88799999999999</v>
      </c>
      <c r="BK78" s="550">
        <f>Table2[[#This Row],[Pout]]/(Table2[[#This Row],[Pout]]+Table2[[#This Row],[Total Loss]])</f>
        <v>0.94815097676888282</v>
      </c>
      <c r="BL78" s="559">
        <f>IF(Table2[[#This Row],[Vin]]&gt;Vout,ThetaJA_Q1*(Table2[[#This Row],[Total Control Bu MOSFET Loss]]+Table2[[#This Row],[Reverse Recovery Loss MOSFET D BUCK]]),ThetaJA_Q4*(Table2[[#This Row],[Total Control Bo MOSFET Loss]]+Table2[[#This Row],[Reverse Recovery Loss MOSFET D BOOST]]))</f>
        <v>134.53344857823856</v>
      </c>
      <c r="BM78" s="559">
        <f>IF(Table2[[#This Row],[Vin]]&gt;Vout, Table2[[#This Row],[Total Sync Bu MOSFET Loss]]*ThetaJA_Q2, ThetaJA_Q3*Table2[[#This Row],[Total Sync Bo MOSFET Loss]])</f>
        <v>44.403498711643088</v>
      </c>
      <c r="BN78" s="9"/>
      <c r="BO78" s="4">
        <f>Table2[[#This Row],[EFF, h]]*100</f>
        <v>94.815097676888286</v>
      </c>
      <c r="BP78" s="354">
        <f>Table2[[#This Row],[Total Inductor Loss]]</f>
        <v>0.68027598151674229</v>
      </c>
      <c r="BQ78" s="354">
        <f>Table2[[#This Row],[Total Control Bu MOSFET Loss]]+Table2[[#This Row],[Total Sync Bu MOSFET Loss]]+Table2[[#This Row],[Total Control Bo MOSFET Loss]]+Table2[[#This Row],[Total Sync Bo MOSFET Loss]]+Table2[[#This Row],[Reverse Recovery Loss MOSFET D BUCK]]+Table2[[#This Row],[Reverse Recovery Loss MOSFET D BOOST]]</f>
        <v>3.7713040073937858</v>
      </c>
      <c r="BR78" s="354">
        <f xml:space="preserve"> Table2[[#This Row],[Total Control Bu MOSFET Loss]]+Table2[[#This Row],[Reverse Recovery Loss MOSFET D BUCK]]*0.66</f>
        <v>2.1860180443658423</v>
      </c>
      <c r="BS78" s="354">
        <f>Table2[[#This Row],[Total Sync Bu MOSFET Loss]]+Table2[[#This Row],[Reverse Recovery Loss MOSFET D BUCK]]*0.33</f>
        <v>0.79461128991831809</v>
      </c>
      <c r="BT78" s="354">
        <f xml:space="preserve"> Table2[[#This Row],[Total Control Bo MOSFET Loss]]+Table2[[#This Row],[Reverse Recovery Loss MOSFET D BOOST]]*0.66</f>
        <v>0.42096070503641247</v>
      </c>
      <c r="BU78" s="354">
        <f xml:space="preserve"> Table2[[#This Row],[Total Sync Bo MOSFET Loss]]+Table2[[#This Row],[Reverse Recovery Loss MOSFET D BOOST]]*0.33</f>
        <v>0.36640772697881246</v>
      </c>
      <c r="BV78" s="354">
        <f>Table2[[#This Row],[Isense Shunt Loss]]</f>
        <v>0.1727019268873756</v>
      </c>
      <c r="CB78" s="18"/>
      <c r="CC78" s="19"/>
    </row>
    <row r="79" spans="1:81" x14ac:dyDescent="0.2">
      <c r="A79" s="34" t="s">
        <v>244</v>
      </c>
      <c r="B79" s="76" t="e">
        <f>C79/Vin</f>
        <v>#NAME?</v>
      </c>
      <c r="C79" s="21" t="e">
        <f>Deadtime*Fsw*(Iripple_Vinnom/2)*(VsdTop+VsdBot)</f>
        <v>#NAME?</v>
      </c>
      <c r="G79">
        <v>70</v>
      </c>
      <c r="H79" s="555">
        <f t="shared" si="8"/>
        <v>20</v>
      </c>
      <c r="I79" s="4" t="str">
        <f>IF(Mode = 2,IF(Table2[[#This Row],[Vin]]&gt;Vout, "BUCK","BOOST"),IF(Table2[[#This Row],[Vin]]&gt;VIN_BB_to_buck, "BUCK", IF(Table2[[#This Row],[Vin]]&lt;=VIN_boost_to_BB,"BOOST","BUCK-BST")))</f>
        <v>BUCK</v>
      </c>
      <c r="J79">
        <f>IF(Table2[[#This Row],[Mode]]="BOOST",2, IF(Table2[[#This Row],[Mode]]="BUCK", 1,3))</f>
        <v>1</v>
      </c>
      <c r="K79" s="354">
        <f t="shared" si="11"/>
        <v>8.4</v>
      </c>
      <c r="L79" s="4">
        <f>Vout*Table2[[#This Row],[Iout]]/(Table2[[#This Row],[Vin]]*Efficiency)</f>
        <v>6.4547368421052633</v>
      </c>
      <c r="M79" s="711">
        <f>MIN(1/Fsw,CHOOSE(Table2[[#This Row],[Mode Digit]],(Vout+(Rdson2+Rs+Rdcr)*Table2[[#This Row],[Iout]])/(Table2[[#This Row],[Vin]]+(Rs+Rdson2-Rdson1)*Table2[[#This Row],[Iout]])/Fsw,(Vout+(Rdson3+Rdcr)*Table2[[#This Row],[Iin]]-Table2[[#This Row],[Vin]])/(Vout+(Rdson3-Rdson4-Rs)*Table2[[#This Row],[Iin]])/Fsw,t1_Ph_II))</f>
        <v>1.2241313287714564E-6</v>
      </c>
      <c r="N79" s="602">
        <f>CHOOSE(Table2[[#This Row],[Mode Digit]],1/Fsw-Table2[[#This Row],[t1_Ph_II]],1/Fsw-Table2[[#This Row],[t1_Ph_II]],(Vout/Fsw-Table2[[#This Row],[Vin]]*t1_Ph_II)/(Table2[[#This Row],[Vin]]+Vout))</f>
        <v>4.4253533789521024E-7</v>
      </c>
      <c r="O79" s="602">
        <f>1/Fsw-(Table2[[#This Row],[t1_Ph_II]]+Table2[[#This Row],[t2_Ph_I]])</f>
        <v>0</v>
      </c>
      <c r="P79"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7.1480475046655565</v>
      </c>
      <c r="Q79" s="4">
        <f>CHOOSE(Table2[[#This Row],[Mode Digit]],Table2[[#This Row],[I_0]]+1/Lf*(Table2[[#This Row],[Vin]]-Vout)*Table2[[#This Row],[t1_Ph_II]],Table2[[#This Row],[I_0]]+1/Lf*Table2[[#This Row],[Vin]]*Table2[[#This Row],[t1_Ph_II]],Table2[[#This Row],[I_0]]+(Table2[[#This Row],[Vin]]-Vout)/L*Table2[[#This Row],[t1_Ph_II]])</f>
        <v>9.6519524953344451</v>
      </c>
      <c r="R79" s="4">
        <f>CHOOSE(Table2[[#This Row],[Mode Digit]],0,0,Table2[[#This Row],[I_1]]+Table2[[#This Row],[Vin]]/L*Table2[[#This Row],[t2_Ph_I]])</f>
        <v>0</v>
      </c>
      <c r="S79" s="409">
        <f>Fsw*(Table2[[#This Row],[I_0]]*Table2[[#This Row],[t1_Ph_II]]+Table2[[#This Row],[I_1]]*Table2[[#This Row],[t2_Ph_I]]+Table2[[#This Row],[I_2]]*Table2[[#This Row],[t3_Ph_III]])</f>
        <v>7.812887369327453</v>
      </c>
      <c r="T79" s="354">
        <f>MIN(1,CHOOSE(Table2[[#This Row],[Mode Digit]],(Vout+(Rdson2+Rs+Rdcr)*Table2[[#This Row],[Iout]])/(Table2[[#This Row],[Vin]]+(Rs+Rdson2-Rdson1)*Table2[[#This Row],[Iout]]),1,Fsw*Table2[[#This Row],[t2_Ph_I]]+Table2[[#This Row],[t1_Ph_II]]))</f>
        <v>0.73447879726287391</v>
      </c>
      <c r="U79" s="354">
        <f>MIN(1,CHOOSE(Table2[[#This Row],[Mode Digit]],0,(Vout+(Rdson3+Rdcr)*Table2[[#This Row],[Iin]]-Table2[[#This Row],[Vin]])/(Vout+(Rdson3-Rdson4-Rs)*Table2[[#This Row],[Iin]]),Fsw*Table2[[#This Row],[t1_Ph_II]]+Table2[[#This Row],[t3_Ph_III]]))</f>
        <v>0</v>
      </c>
      <c r="V79" s="4">
        <f>MAX(Table2[[#This Row],[I_0]:[I_2]])-MIN(Table2[[#This Row],[I_0]:[I_1]])</f>
        <v>2.5039049906688886</v>
      </c>
      <c r="W79"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8.4310415538962165</v>
      </c>
      <c r="X79" s="354">
        <f>(Table2[[#This Row],[Irms Lf]]^2*Rdcr*(1+Ltc*Ta-Ltc*25))/(1-Table2[[#This Row],[Irms Lf]]^2*Rdcr*Ltc*ThetaCa)</f>
        <v>0.42633993323784386</v>
      </c>
      <c r="Y79" s="354">
        <f>ABS(7.759*10^-3*Fsw^0.9458*(0.00787*Table2[[#This Row],[Ripple Current pk-pk]])^2.304)</f>
        <v>0.26639281341019949</v>
      </c>
      <c r="Z79" s="354">
        <f>Table2[[#This Row],[DCR    Loss]]+Table2[[#This Row],[Core Loss]]</f>
        <v>0.6927327466480433</v>
      </c>
      <c r="AA79" s="4">
        <f>IF(Table2[[#This Row],[Vin]]&gt;Vout, Table2[[#This Row],[Ripple Current pk-pk]]/SQRT(12), SQRT(Table2[[#This Row],[Duty Cycle BOOST Leg]]/(1-Table2[[#This Row],[Duty Cycle BOOST Leg]]))*SQRT(Table2[[#This Row],[Iout]]^2+(Table2[[#This Row],[Ripple Current pk-pk]]^2)/12))</f>
        <v>0.72281511019396516</v>
      </c>
      <c r="AB79" s="354">
        <f>RCoutEsr*Table2[[#This Row],[Irms Cout]]^2</f>
        <v>2.6123084176235701E-3</v>
      </c>
      <c r="AC79" s="354">
        <f>Table2[[#This Row],[Cout ESR Loss]]</f>
        <v>2.6123084176235701E-3</v>
      </c>
      <c r="AD79" s="4">
        <f>IF(Table2[[#This Row],[Vin]]&gt;Vout, SQRT(Table2[[#This Row],[Duty Cycle BUCK Leg]]*(1-Table2[[#This Row],[Duty Cycle BUCK Leg]]))*SQRT(Table2[[#This Row],[Iout]]^2+(Table2[[#This Row],[Ripple Current pk-pk]]^2)/12), Table2[[#This Row],[Ripple Current pk-pk]]/SQRT(12))</f>
        <v>3.7232351389997684</v>
      </c>
      <c r="AE79" s="354">
        <f>RCinEsr*Table2[[#This Row],[Irms Cin]]^2</f>
        <v>2.7724959800565253E-2</v>
      </c>
      <c r="AF79" s="549">
        <f>Table2[[#This Row],[Cin ESR Loss]]</f>
        <v>2.7724959800565253E-2</v>
      </c>
      <c r="AG79" s="354">
        <f>Table2[[#This Row],[Irms Lf]]</f>
        <v>8.4310415538962165</v>
      </c>
      <c r="AH79" s="354">
        <f>Rdson1*Table2[[#This Row],[Irms BuCtrl]]^2</f>
        <v>0.29854633907080391</v>
      </c>
      <c r="AI79" s="354">
        <f>CHOOSE(Table2[[#This Row],[Mode Digit]], (Table2[[#This Row],[Vin]]*Table2[[#This Row],[Iout]]/2)*(Fsw)*(Tr_buck+Tf_buck), 0, (Table2[[#This Row],[Vin]]*Table2[[#This Row],[Avg IL]]/2)*(Fsw/1)*(Tr_buck+Tf_buck))</f>
        <v>1.6659496463932111</v>
      </c>
      <c r="AJ79">
        <f>IF(Table2[[#This Row],[Vin]]&gt;Vout, IF(Table2[[#This Row],[Iout]]&gt;Table2[[#This Row],[Ripple Current pk-pk]]/2,0,ABS(Table2[[#This Row],[Iout]]-Table2[[#This Row],[Ripple Current pk-pk]]/2)*Vsd_Q1*Deadtime*Fsw),0)</f>
        <v>0</v>
      </c>
      <c r="AK79" s="354">
        <f>(Table2[[#This Row],[Dead Time Loss BuCtrl]]+Table2[[#This Row],[Transition Loss BuCtrl]]+Table2[[#This Row],[RDS(on) Loss BuCtrl]]*(1+RdsonTopTc*Ta-RdsonTopTc*25))/(1-Table2[[#This Row],[RDS(on) Loss BuCtrl]]*RdsonTopTc*ThetaJA_Q1)</f>
        <v>2.1161182295796972</v>
      </c>
      <c r="AL79" s="354">
        <f>Table2[[#This Row],[Irms Lf]]</f>
        <v>8.4310415538962165</v>
      </c>
      <c r="AM79" s="354">
        <f>Rdson2*Table2[[#This Row],[Irms BuSync]]^2</f>
        <v>0.29854633907080391</v>
      </c>
      <c r="AN79"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0.40416000000000002</v>
      </c>
      <c r="AO79" s="354">
        <f>(Table2[[#This Row],[Deadtime Loss BuSync]]+Table2[[#This Row],[RDS(on) Loss BuSync]]*(1+RdsonBotTc*Ta-RdsonBotTc*25))/(1-Table2[[#This Row],[RDS(on) Loss BuSync]]*RdsonBotTc*ThetaJA_Q2)</f>
        <v>0.75694208853153122</v>
      </c>
      <c r="AP79" s="354">
        <f>Table2[[#This Row],[Irms Lf]]</f>
        <v>8.4310415538962165</v>
      </c>
      <c r="AQ79" s="354">
        <f>Rdson4*Table2[[#This Row],[Irms BoCtlr]]^2</f>
        <v>0.29854633907080391</v>
      </c>
      <c r="AR79" s="354">
        <f>CHOOSE(Table2[[#This Row],[Mode Digit]], 0, (Vout*Table2[[#This Row],[Iin]]/2)*(Fsw)*(Tr_boost+Tf_boost), (Vout*Iout/2)*(Fsw/1)*(Tr_boost+Tf_boost))</f>
        <v>0</v>
      </c>
      <c r="AS79" s="354">
        <f>IF(Table2[[#This Row],[Vin]]&gt;Vout, 0, IF(Table2[[#This Row],[Iin]]&gt;Table2[[#This Row],[Ripple Current pk-pk]]/2,0,ABS(Table2[[#This Row],[Iin]]-Table2[[#This Row],[Ripple Current pk-pk]]/2)*Vsd_Q4*Deadtime*Fsw))</f>
        <v>0</v>
      </c>
      <c r="AT79" s="354">
        <f>(Table2[[#This Row],[Dead Time Loss BoCtlr]]+Table2[[#This Row],[Transition Loss BoCtlr]]+Table2[[#This Row],[RDS(on) Loss BoCtlr]]*(1+RdsonTopTc*Ta-RdsonTopTc*25))/(1-Table2[[#This Row],[RDS(on) Loss BoCtlr]]*RdsonTopTc*ThetaJA_Q4)</f>
        <v>0.32158851693086443</v>
      </c>
      <c r="AU79" s="354">
        <f>Table2[[#This Row],[Irms Lf]]</f>
        <v>8.4310415538962165</v>
      </c>
      <c r="AV79" s="354">
        <f>Rdson3*Table2[[#This Row],[Irms BoSync]]^2</f>
        <v>0.29854633907080391</v>
      </c>
      <c r="AW79"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79" s="354">
        <f>(Table2[[#This Row],[Deadtime Loss BoSync]]+Table2[[#This Row],[RDS(on) Loss BoSync]]*(1+RdsonBotTc*Ta-RdsonBotTc*25))/(1-Table2[[#This Row],[RDS(on) Loss BoSync]]*RdsonBotTc*ThetaJA_Q3)</f>
        <v>0.32158851693086443</v>
      </c>
      <c r="AY79" s="354">
        <f>CHOOSE(Table2[[#This Row],[Mode Digit]], Rdson3*Table2[[#This Row],[Irms Lf]]^2, Rdson1*Table2[[#This Row],[Irms Lf]]^2, 0)</f>
        <v>0.29854633907080391</v>
      </c>
      <c r="AZ79" s="354">
        <f>CHOOSE(Table2[[#This Row],[Mode Digit]], 2*Deadtime*Fsw*IF(VfdSky_Q2&gt;0,VfdSky_Q2,0)*Table2[[#This Row],[Iout]], 2*Deadtime*Fsw*IF(VfdSky_Q3&gt;0,VfdSky_Q3,0)*Table2[[#This Row],[Iin]], 2*Deadtime*Fsw*IF(VfdSky_Q2&gt;0,VfdSky_Q2,0)*Table2[[#This Row],[Iout]]+2*Deadtime*Fsw*IF(VfdSky_Q3&gt;0,VfdSky_Q3,0)*Table2[[#This Row],[Iin]])</f>
        <v>0</v>
      </c>
      <c r="BA7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0.16770364800000001</v>
      </c>
      <c r="BB7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0.16770364800000001</v>
      </c>
      <c r="BC79" s="354">
        <f>CHOOSE(Table2[[#This Row],[Mode Digit]], Rs*Table2[[#This Row],[Irms BuSync]]^2, Rs*Table2[[#This Row],[Irms BoCtlr]]^2, Rs*(Table2[[#This Row],[Irms BuSync]]^2+Table2[[#This Row],[Irms BoCtlr]]^2))</f>
        <v>0.17770615420881183</v>
      </c>
      <c r="BD79" s="354">
        <f t="shared" si="9"/>
        <v>1.44</v>
      </c>
      <c r="BE79" s="354">
        <f>IF(Vout&gt;8, Iq*Vout, Iq*Table2[[#This Row],[Vin]])</f>
        <v>4.3799999999999999E-2</v>
      </c>
      <c r="BF79" s="354">
        <f>CHOOSE(Table2[[#This Row],[Mode Digit]], (Qg_Q1+Qg_Q2)*Fsw, (Qg_Q3+Qg_Q4)*Fsw, (Qg_Q1+Qg_Q2+Qg_Q3+Qg_Q4)*Fsw)*IF(Vout&gt;8, Vout, Table2[[#This Row],[Vin]])</f>
        <v>0.47303999999999996</v>
      </c>
      <c r="BG79" s="354">
        <f t="shared" si="10"/>
        <v>0.45605042016806729</v>
      </c>
      <c r="BH79" s="354">
        <f>Table2[[#This Row],[IQ Loss]]+Table2[[#This Row],[Switching Current Loss]]</f>
        <v>0.51683999999999997</v>
      </c>
      <c r="BI79"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6.7092608170480013</v>
      </c>
      <c r="BJ79">
        <f>Vout*Table2[[#This Row],[Iout]]</f>
        <v>122.64</v>
      </c>
      <c r="BK79" s="550">
        <f>Table2[[#This Row],[Pout]]/(Table2[[#This Row],[Pout]]+Table2[[#This Row],[Total Loss]])</f>
        <v>0.94813065977595656</v>
      </c>
      <c r="BL79" s="559">
        <f>IF(Table2[[#This Row],[Vin]]&gt;Vout,ThetaJA_Q1*(Table2[[#This Row],[Total Control Bu MOSFET Loss]]+Table2[[#This Row],[Reverse Recovery Loss MOSFET D BUCK]]),ThetaJA_Q4*(Table2[[#This Row],[Total Control Bo MOSFET Loss]]+Table2[[#This Row],[Reverse Recovery Loss MOSFET D BOOST]]))</f>
        <v>137.02931265478182</v>
      </c>
      <c r="BM79" s="559">
        <f>IF(Table2[[#This Row],[Vin]]&gt;Vout, Table2[[#This Row],[Total Sync Bu MOSFET Loss]]*ThetaJA_Q2, ThetaJA_Q3*Table2[[#This Row],[Total Sync Bo MOSFET Loss]])</f>
        <v>45.416525311891874</v>
      </c>
      <c r="BN79" s="9"/>
      <c r="BO79" s="4">
        <f>Table2[[#This Row],[EFF, h]]*100</f>
        <v>94.813065977595656</v>
      </c>
      <c r="BP79" s="354">
        <f>Table2[[#This Row],[Total Inductor Loss]]</f>
        <v>0.6927327466480433</v>
      </c>
      <c r="BQ79" s="354">
        <f>Table2[[#This Row],[Total Control Bu MOSFET Loss]]+Table2[[#This Row],[Total Sync Bu MOSFET Loss]]+Table2[[#This Row],[Total Control Bo MOSFET Loss]]+Table2[[#This Row],[Total Sync Bo MOSFET Loss]]+Table2[[#This Row],[Reverse Recovery Loss MOSFET D BUCK]]+Table2[[#This Row],[Reverse Recovery Loss MOSFET D BOOST]]</f>
        <v>3.8516446479729574</v>
      </c>
      <c r="BR79" s="354">
        <f xml:space="preserve"> Table2[[#This Row],[Total Control Bu MOSFET Loss]]+Table2[[#This Row],[Reverse Recovery Loss MOSFET D BUCK]]*0.66</f>
        <v>2.2268026372596972</v>
      </c>
      <c r="BS79" s="354">
        <f>Table2[[#This Row],[Total Sync Bu MOSFET Loss]]+Table2[[#This Row],[Reverse Recovery Loss MOSFET D BUCK]]*0.33</f>
        <v>0.81228429237153121</v>
      </c>
      <c r="BT79" s="354">
        <f xml:space="preserve"> Table2[[#This Row],[Total Control Bo MOSFET Loss]]+Table2[[#This Row],[Reverse Recovery Loss MOSFET D BOOST]]*0.66</f>
        <v>0.43227292461086442</v>
      </c>
      <c r="BU79" s="354">
        <f xml:space="preserve"> Table2[[#This Row],[Total Sync Bo MOSFET Loss]]+Table2[[#This Row],[Reverse Recovery Loss MOSFET D BOOST]]*0.33</f>
        <v>0.37693072077086442</v>
      </c>
      <c r="BV79" s="354">
        <f>Table2[[#This Row],[Isense Shunt Loss]]</f>
        <v>0.17770615420881183</v>
      </c>
      <c r="CB79" s="18"/>
      <c r="CC79" s="19"/>
    </row>
    <row r="80" spans="1:81" x14ac:dyDescent="0.2">
      <c r="A80" s="34" t="s">
        <v>49</v>
      </c>
      <c r="B80" s="76" t="e">
        <f>SUM(B77:B79)</f>
        <v>#NAME?</v>
      </c>
      <c r="C80" s="21" t="s">
        <v>2</v>
      </c>
      <c r="G80">
        <v>71</v>
      </c>
      <c r="H80" s="555">
        <f t="shared" si="8"/>
        <v>20</v>
      </c>
      <c r="I80" s="4" t="str">
        <f>IF(Mode = 2,IF(Table2[[#This Row],[Vin]]&gt;Vout, "BUCK","BOOST"),IF(Table2[[#This Row],[Vin]]&gt;VIN_BB_to_buck, "BUCK", IF(Table2[[#This Row],[Vin]]&lt;=VIN_boost_to_BB,"BOOST","BUCK-BST")))</f>
        <v>BUCK</v>
      </c>
      <c r="J80">
        <f>IF(Table2[[#This Row],[Mode]]="BOOST",2, IF(Table2[[#This Row],[Mode]]="BUCK", 1,3))</f>
        <v>1</v>
      </c>
      <c r="K80" s="354">
        <f t="shared" si="11"/>
        <v>8.52</v>
      </c>
      <c r="L80" s="4">
        <f>Vout*Table2[[#This Row],[Iout]]/(Table2[[#This Row],[Vin]]*Efficiency)</f>
        <v>6.5469473684210522</v>
      </c>
      <c r="M80" s="711">
        <f>MIN(1/Fsw,CHOOSE(Table2[[#This Row],[Mode Digit]],(Vout+(Rdson2+Rs+Rdcr)*Table2[[#This Row],[Iout]])/(Table2[[#This Row],[Vin]]+(Rs+Rdson2-Rdson1)*Table2[[#This Row],[Iout]])/Fsw,(Vout+(Rdson3+Rdcr)*Table2[[#This Row],[Iin]]-Table2[[#This Row],[Vin]])/(Vout+(Rdson3-Rdson4-Rs)*Table2[[#This Row],[Iin]])/Fsw,t1_Ph_II))</f>
        <v>1.2242378533528458E-6</v>
      </c>
      <c r="N80" s="602">
        <f>CHOOSE(Table2[[#This Row],[Mode Digit]],1/Fsw-Table2[[#This Row],[t1_Ph_II]],1/Fsw-Table2[[#This Row],[t1_Ph_II]],(Vout/Fsw-Table2[[#This Row],[Vin]]*t1_Ph_II)/(Table2[[#This Row],[Vin]]+Vout))</f>
        <v>4.4242881331382084E-7</v>
      </c>
      <c r="O80" s="602">
        <f>1/Fsw-(Table2[[#This Row],[t1_Ph_II]]+Table2[[#This Row],[t2_Ph_I]])</f>
        <v>0</v>
      </c>
      <c r="P80"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7.2679385590709522</v>
      </c>
      <c r="Q80" s="4">
        <f>CHOOSE(Table2[[#This Row],[Mode Digit]],Table2[[#This Row],[I_0]]+1/Lf*(Table2[[#This Row],[Vin]]-Vout)*Table2[[#This Row],[t1_Ph_II]],Table2[[#This Row],[I_0]]+1/Lf*Table2[[#This Row],[Vin]]*Table2[[#This Row],[t1_Ph_II]],Table2[[#This Row],[I_0]]+(Table2[[#This Row],[Vin]]-Vout)/L*Table2[[#This Row],[t1_Ph_II]])</f>
        <v>9.7720614409290469</v>
      </c>
      <c r="R80" s="4">
        <f>CHOOSE(Table2[[#This Row],[Mode Digit]],0,0,Table2[[#This Row],[I_1]]+Table2[[#This Row],[Vin]]/L*Table2[[#This Row],[t2_Ph_I]])</f>
        <v>0</v>
      </c>
      <c r="S80" s="409">
        <f>Fsw*(Table2[[#This Row],[I_0]]*Table2[[#This Row],[t1_Ph_II]]+Table2[[#This Row],[I_1]]*Table2[[#This Row],[t2_Ph_I]]+Table2[[#This Row],[I_2]]*Table2[[#This Row],[t3_Ph_III]])</f>
        <v>7.9326762280784298</v>
      </c>
      <c r="T80" s="354">
        <f>MIN(1,CHOOSE(Table2[[#This Row],[Mode Digit]],(Vout+(Rdson2+Rs+Rdcr)*Table2[[#This Row],[Iout]])/(Table2[[#This Row],[Vin]]+(Rs+Rdson2-Rdson1)*Table2[[#This Row],[Iout]]),1,Fsw*Table2[[#This Row],[t2_Ph_I]]+Table2[[#This Row],[t1_Ph_II]]))</f>
        <v>0.73454271201170751</v>
      </c>
      <c r="U80" s="354">
        <f>MIN(1,CHOOSE(Table2[[#This Row],[Mode Digit]],0,(Vout+(Rdson3+Rdcr)*Table2[[#This Row],[Iin]]-Table2[[#This Row],[Vin]])/(Vout+(Rdson3-Rdson4-Rs)*Table2[[#This Row],[Iin]]),Fsw*Table2[[#This Row],[t1_Ph_II]]+Table2[[#This Row],[t3_Ph_III]]))</f>
        <v>0</v>
      </c>
      <c r="V80" s="4">
        <f>MAX(Table2[[#This Row],[I_0]:[I_2]])-MIN(Table2[[#This Row],[I_0]:[I_1]])</f>
        <v>2.5041228818580947</v>
      </c>
      <c r="W80"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8.5506112423198797</v>
      </c>
      <c r="X80" s="354">
        <f>(Table2[[#This Row],[Irms Lf]]^2*Rdcr*(1+Ltc*Ta-Ltc*25))/(1-Table2[[#This Row],[Irms Lf]]^2*Rdcr*Ltc*ThetaCa)</f>
        <v>0.43894611309514137</v>
      </c>
      <c r="Y80" s="354">
        <f>ABS(7.759*10^-3*Fsw^0.9458*(0.00787*Table2[[#This Row],[Ripple Current pk-pk]])^2.304)</f>
        <v>0.26644622696015974</v>
      </c>
      <c r="Z80" s="354">
        <f>Table2[[#This Row],[DCR    Loss]]+Table2[[#This Row],[Core Loss]]</f>
        <v>0.70539234005530105</v>
      </c>
      <c r="AA80" s="4">
        <f>IF(Table2[[#This Row],[Vin]]&gt;Vout, Table2[[#This Row],[Ripple Current pk-pk]]/SQRT(12), SQRT(Table2[[#This Row],[Duty Cycle BOOST Leg]]/(1-Table2[[#This Row],[Duty Cycle BOOST Leg]]))*SQRT(Table2[[#This Row],[Iout]]^2+(Table2[[#This Row],[Ripple Current pk-pk]]^2)/12))</f>
        <v>0.72287800996233631</v>
      </c>
      <c r="AB80" s="354">
        <f>RCoutEsr*Table2[[#This Row],[Irms Cout]]^2</f>
        <v>2.6127630864355377E-3</v>
      </c>
      <c r="AC80" s="354">
        <f>Table2[[#This Row],[Cout ESR Loss]]</f>
        <v>2.6127630864355377E-3</v>
      </c>
      <c r="AD80" s="4">
        <f>IF(Table2[[#This Row],[Vin]]&gt;Vout, SQRT(Table2[[#This Row],[Duty Cycle BUCK Leg]]*(1-Table2[[#This Row],[Duty Cycle BUCK Leg]]))*SQRT(Table2[[#This Row],[Iout]]^2+(Table2[[#This Row],[Ripple Current pk-pk]]^2)/12), Table2[[#This Row],[Ripple Current pk-pk]]/SQRT(12))</f>
        <v>3.7757481224882743</v>
      </c>
      <c r="AE80" s="354">
        <f>RCinEsr*Table2[[#This Row],[Irms Cin]]^2</f>
        <v>2.8512547768947457E-2</v>
      </c>
      <c r="AF80" s="549">
        <f>Table2[[#This Row],[Cin ESR Loss]]</f>
        <v>2.8512547768947457E-2</v>
      </c>
      <c r="AG80" s="354">
        <f>Table2[[#This Row],[Irms Lf]]</f>
        <v>8.5506112423198797</v>
      </c>
      <c r="AH80" s="354">
        <f>Rdson1*Table2[[#This Row],[Irms BuCtrl]]^2</f>
        <v>0.30707440099260597</v>
      </c>
      <c r="AI80" s="354">
        <f>CHOOSE(Table2[[#This Row],[Mode Digit]], (Table2[[#This Row],[Vin]]*Table2[[#This Row],[Iout]]/2)*(Fsw)*(Tr_buck+Tf_buck), 0, (Table2[[#This Row],[Vin]]*Table2[[#This Row],[Avg IL]]/2)*(Fsw/1)*(Tr_buck+Tf_buck))</f>
        <v>1.6897489270559709</v>
      </c>
      <c r="AJ80">
        <f>IF(Table2[[#This Row],[Vin]]&gt;Vout, IF(Table2[[#This Row],[Iout]]&gt;Table2[[#This Row],[Ripple Current pk-pk]]/2,0,ABS(Table2[[#This Row],[Iout]]-Table2[[#This Row],[Ripple Current pk-pk]]/2)*Vsd_Q1*Deadtime*Fsw),0)</f>
        <v>0</v>
      </c>
      <c r="AK80" s="354">
        <f>(Table2[[#This Row],[Dead Time Loss BuCtrl]]+Table2[[#This Row],[Transition Loss BuCtrl]]+Table2[[#This Row],[RDS(on) Loss BuCtrl]]*(1+RdsonTopTc*Ta-RdsonTopTc*25))/(1-Table2[[#This Row],[RDS(on) Loss BuCtrl]]*RdsonTopTc*ThetaJA_Q1)</f>
        <v>2.1556933032016361</v>
      </c>
      <c r="AL80" s="354">
        <f>Table2[[#This Row],[Irms Lf]]</f>
        <v>8.5506112423198797</v>
      </c>
      <c r="AM80" s="354">
        <f>Rdson2*Table2[[#This Row],[Irms BuSync]]^2</f>
        <v>0.30707440099260597</v>
      </c>
      <c r="AN80"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0.40993371428571423</v>
      </c>
      <c r="AO80" s="354">
        <f>(Table2[[#This Row],[Deadtime Loss BuSync]]+Table2[[#This Row],[RDS(on) Loss BuSync]]*(1+RdsonBotTc*Ta-RdsonBotTc*25))/(1-Table2[[#This Row],[RDS(on) Loss BuSync]]*RdsonBotTc*ThetaJA_Q2)</f>
        <v>0.77405425444283504</v>
      </c>
      <c r="AP80" s="354">
        <f>Table2[[#This Row],[Irms Lf]]</f>
        <v>8.5506112423198797</v>
      </c>
      <c r="AQ80" s="354">
        <f>Rdson4*Table2[[#This Row],[Irms BoCtlr]]^2</f>
        <v>0.30707440099260597</v>
      </c>
      <c r="AR80" s="354">
        <f>CHOOSE(Table2[[#This Row],[Mode Digit]], 0, (Vout*Table2[[#This Row],[Iin]]/2)*(Fsw)*(Tr_boost+Tf_boost), (Vout*Iout/2)*(Fsw/1)*(Tr_boost+Tf_boost))</f>
        <v>0</v>
      </c>
      <c r="AS80" s="354">
        <f>IF(Table2[[#This Row],[Vin]]&gt;Vout, 0, IF(Table2[[#This Row],[Iin]]&gt;Table2[[#This Row],[Ripple Current pk-pk]]/2,0,ABS(Table2[[#This Row],[Iin]]-Table2[[#This Row],[Ripple Current pk-pk]]/2)*Vsd_Q4*Deadtime*Fsw))</f>
        <v>0</v>
      </c>
      <c r="AT80" s="354">
        <f>(Table2[[#This Row],[Dead Time Loss BoCtlr]]+Table2[[#This Row],[Transition Loss BoCtlr]]+Table2[[#This Row],[RDS(on) Loss BoCtlr]]*(1+RdsonTopTc*Ta-RdsonTopTc*25))/(1-Table2[[#This Row],[RDS(on) Loss BoCtlr]]*RdsonTopTc*ThetaJA_Q4)</f>
        <v>0.33150565726379128</v>
      </c>
      <c r="AU80" s="354">
        <f>Table2[[#This Row],[Irms Lf]]</f>
        <v>8.5506112423198797</v>
      </c>
      <c r="AV80" s="354">
        <f>Rdson3*Table2[[#This Row],[Irms BoSync]]^2</f>
        <v>0.30707440099260597</v>
      </c>
      <c r="AW80"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80" s="354">
        <f>(Table2[[#This Row],[Deadtime Loss BoSync]]+Table2[[#This Row],[RDS(on) Loss BoSync]]*(1+RdsonBotTc*Ta-RdsonBotTc*25))/(1-Table2[[#This Row],[RDS(on) Loss BoSync]]*RdsonBotTc*ThetaJA_Q3)</f>
        <v>0.33150565726379128</v>
      </c>
      <c r="AY80" s="354">
        <f>CHOOSE(Table2[[#This Row],[Mode Digit]], Rdson3*Table2[[#This Row],[Irms Lf]]^2, Rdson1*Table2[[#This Row],[Irms Lf]]^2, 0)</f>
        <v>0.30707440099260597</v>
      </c>
      <c r="AZ80" s="354">
        <f>CHOOSE(Table2[[#This Row],[Mode Digit]], 2*Deadtime*Fsw*IF(VfdSky_Q2&gt;0,VfdSky_Q2,0)*Table2[[#This Row],[Iout]], 2*Deadtime*Fsw*IF(VfdSky_Q3&gt;0,VfdSky_Q3,0)*Table2[[#This Row],[Iin]], 2*Deadtime*Fsw*IF(VfdSky_Q2&gt;0,VfdSky_Q2,0)*Table2[[#This Row],[Iout]]+2*Deadtime*Fsw*IF(VfdSky_Q3&gt;0,VfdSky_Q3,0)*Table2[[#This Row],[Iin]])</f>
        <v>0</v>
      </c>
      <c r="BA8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0.17009512031999999</v>
      </c>
      <c r="BB8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0.17009512031999999</v>
      </c>
      <c r="BC80" s="354">
        <f>CHOOSE(Table2[[#This Row],[Mode Digit]], Rs*Table2[[#This Row],[Irms BuSync]]^2, Rs*Table2[[#This Row],[Irms BoCtlr]]^2, Rs*(Table2[[#This Row],[Irms BuSync]]^2+Table2[[#This Row],[Irms BoCtlr]]^2))</f>
        <v>0.1827823815432178</v>
      </c>
      <c r="BD80" s="354">
        <f t="shared" si="9"/>
        <v>1.44</v>
      </c>
      <c r="BE80" s="354">
        <f>IF(Vout&gt;8, Iq*Vout, Iq*Table2[[#This Row],[Vin]])</f>
        <v>4.3799999999999999E-2</v>
      </c>
      <c r="BF80" s="354">
        <f>CHOOSE(Table2[[#This Row],[Mode Digit]], (Qg_Q1+Qg_Q2)*Fsw, (Qg_Q3+Qg_Q4)*Fsw, (Qg_Q1+Qg_Q2+Qg_Q3+Qg_Q4)*Fsw)*IF(Vout&gt;8, Vout, Table2[[#This Row],[Vin]])</f>
        <v>0.47303999999999996</v>
      </c>
      <c r="BG80" s="354">
        <f t="shared" si="10"/>
        <v>0.45605042016806729</v>
      </c>
      <c r="BH80" s="354">
        <f>Table2[[#This Row],[IQ Loss]]+Table2[[#This Row],[Switching Current Loss]]</f>
        <v>0.51683999999999997</v>
      </c>
      <c r="BI80"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6.8090891452659559</v>
      </c>
      <c r="BJ80">
        <f>Vout*Table2[[#This Row],[Iout]]</f>
        <v>124.392</v>
      </c>
      <c r="BK80" s="550">
        <f>Table2[[#This Row],[Pout]]/(Table2[[#This Row],[Pout]]+Table2[[#This Row],[Total Loss]])</f>
        <v>0.94810188551310792</v>
      </c>
      <c r="BL80" s="559">
        <f>IF(Table2[[#This Row],[Vin]]&gt;Vout,ThetaJA_Q1*(Table2[[#This Row],[Total Control Bu MOSFET Loss]]+Table2[[#This Row],[Reverse Recovery Loss MOSFET D BUCK]]),ThetaJA_Q4*(Table2[[#This Row],[Total Control Bo MOSFET Loss]]+Table2[[#This Row],[Reverse Recovery Loss MOSFET D BOOST]]))</f>
        <v>139.54730541129817</v>
      </c>
      <c r="BM80" s="559">
        <f>IF(Table2[[#This Row],[Vin]]&gt;Vout, Table2[[#This Row],[Total Sync Bu MOSFET Loss]]*ThetaJA_Q2, ThetaJA_Q3*Table2[[#This Row],[Total Sync Bo MOSFET Loss]])</f>
        <v>46.443255266570105</v>
      </c>
      <c r="BN80" s="9"/>
      <c r="BO80" s="4">
        <f>Table2[[#This Row],[EFF, h]]*100</f>
        <v>94.810188551310787</v>
      </c>
      <c r="BP80" s="354">
        <f>Table2[[#This Row],[Total Inductor Loss]]</f>
        <v>0.70539234005530105</v>
      </c>
      <c r="BQ80" s="354">
        <f>Table2[[#This Row],[Total Control Bu MOSFET Loss]]+Table2[[#This Row],[Total Sync Bu MOSFET Loss]]+Table2[[#This Row],[Total Control Bo MOSFET Loss]]+Table2[[#This Row],[Total Sync Bo MOSFET Loss]]+Table2[[#This Row],[Reverse Recovery Loss MOSFET D BUCK]]+Table2[[#This Row],[Reverse Recovery Loss MOSFET D BOOST]]</f>
        <v>3.9329491128120537</v>
      </c>
      <c r="BR80" s="354">
        <f xml:space="preserve"> Table2[[#This Row],[Total Control Bu MOSFET Loss]]+Table2[[#This Row],[Reverse Recovery Loss MOSFET D BUCK]]*0.66</f>
        <v>2.267956082612836</v>
      </c>
      <c r="BS80" s="354">
        <f>Table2[[#This Row],[Total Sync Bu MOSFET Loss]]+Table2[[#This Row],[Reverse Recovery Loss MOSFET D BUCK]]*0.33</f>
        <v>0.83018564414843499</v>
      </c>
      <c r="BT80" s="354">
        <f xml:space="preserve"> Table2[[#This Row],[Total Control Bo MOSFET Loss]]+Table2[[#This Row],[Reverse Recovery Loss MOSFET D BOOST]]*0.66</f>
        <v>0.44376843667499127</v>
      </c>
      <c r="BU80" s="354">
        <f xml:space="preserve"> Table2[[#This Row],[Total Sync Bo MOSFET Loss]]+Table2[[#This Row],[Reverse Recovery Loss MOSFET D BOOST]]*0.33</f>
        <v>0.38763704696939127</v>
      </c>
      <c r="BV80" s="354">
        <f>Table2[[#This Row],[Isense Shunt Loss]]</f>
        <v>0.1827823815432178</v>
      </c>
      <c r="CB80" s="18"/>
      <c r="CC80" s="19"/>
    </row>
    <row r="81" spans="1:81" x14ac:dyDescent="0.2">
      <c r="A81" s="2"/>
      <c r="G81">
        <v>72</v>
      </c>
      <c r="H81" s="555">
        <f t="shared" si="8"/>
        <v>20</v>
      </c>
      <c r="I81" s="4" t="str">
        <f>IF(Mode = 2,IF(Table2[[#This Row],[Vin]]&gt;Vout, "BUCK","BOOST"),IF(Table2[[#This Row],[Vin]]&gt;VIN_BB_to_buck, "BUCK", IF(Table2[[#This Row],[Vin]]&lt;=VIN_boost_to_BB,"BOOST","BUCK-BST")))</f>
        <v>BUCK</v>
      </c>
      <c r="J81">
        <f>IF(Table2[[#This Row],[Mode]]="BOOST",2, IF(Table2[[#This Row],[Mode]]="BUCK", 1,3))</f>
        <v>1</v>
      </c>
      <c r="K81" s="354">
        <f t="shared" si="11"/>
        <v>8.64</v>
      </c>
      <c r="L81" s="4">
        <f>Vout*Table2[[#This Row],[Iout]]/(Table2[[#This Row],[Vin]]*Efficiency)</f>
        <v>6.6391578947368428</v>
      </c>
      <c r="M81" s="711">
        <f>MIN(1/Fsw,CHOOSE(Table2[[#This Row],[Mode Digit]],(Vout+(Rdson2+Rs+Rdcr)*Table2[[#This Row],[Iout]])/(Table2[[#This Row],[Vin]]+(Rs+Rdson2-Rdson1)*Table2[[#This Row],[Iout]])/Fsw,(Vout+(Rdson3+Rdcr)*Table2[[#This Row],[Iin]]-Table2[[#This Row],[Vin]])/(Vout+(Rdson3-Rdson4-Rs)*Table2[[#This Row],[Iin]])/Fsw,t1_Ph_II))</f>
        <v>1.2243443747419455E-6</v>
      </c>
      <c r="N81" s="602">
        <f>CHOOSE(Table2[[#This Row],[Mode Digit]],1/Fsw-Table2[[#This Row],[t1_Ph_II]],1/Fsw-Table2[[#This Row],[t1_Ph_II]],(Vout/Fsw-Table2[[#This Row],[Vin]]*t1_Ph_II)/(Table2[[#This Row],[Vin]]+Vout))</f>
        <v>4.4232229192472117E-7</v>
      </c>
      <c r="O81" s="602">
        <f>1/Fsw-(Table2[[#This Row],[t1_Ph_II]]+Table2[[#This Row],[t2_Ph_I]])</f>
        <v>0</v>
      </c>
      <c r="P81"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7.3878296167411923</v>
      </c>
      <c r="Q81" s="4">
        <f>CHOOSE(Table2[[#This Row],[Mode Digit]],Table2[[#This Row],[I_0]]+1/Lf*(Table2[[#This Row],[Vin]]-Vout)*Table2[[#This Row],[t1_Ph_II]],Table2[[#This Row],[I_0]]+1/Lf*Table2[[#This Row],[Vin]]*Table2[[#This Row],[t1_Ph_II]],Table2[[#This Row],[I_0]]+(Table2[[#This Row],[Vin]]-Vout)/L*Table2[[#This Row],[t1_Ph_II]])</f>
        <v>9.8921703832588079</v>
      </c>
      <c r="R81" s="4">
        <f>CHOOSE(Table2[[#This Row],[Mode Digit]],0,0,Table2[[#This Row],[I_1]]+Table2[[#This Row],[Vin]]/L*Table2[[#This Row],[t2_Ph_I]])</f>
        <v>0</v>
      </c>
      <c r="S81" s="409">
        <f>Fsw*(Table2[[#This Row],[I_0]]*Table2[[#This Row],[t1_Ph_II]]+Table2[[#This Row],[I_1]]*Table2[[#This Row],[t2_Ph_I]]+Table2[[#This Row],[I_2]]*Table2[[#This Row],[t3_Ph_III]])</f>
        <v>8.0524650653051442</v>
      </c>
      <c r="T81" s="354">
        <f>MIN(1,CHOOSE(Table2[[#This Row],[Mode Digit]],(Vout+(Rdson2+Rs+Rdcr)*Table2[[#This Row],[Iout]])/(Table2[[#This Row],[Vin]]+(Rs+Rdson2-Rdson1)*Table2[[#This Row],[Iout]]),1,Fsw*Table2[[#This Row],[t2_Ph_I]]+Table2[[#This Row],[t1_Ph_II]]))</f>
        <v>0.73460662484516726</v>
      </c>
      <c r="U81" s="354">
        <f>MIN(1,CHOOSE(Table2[[#This Row],[Mode Digit]],0,(Vout+(Rdson3+Rdcr)*Table2[[#This Row],[Iin]]-Table2[[#This Row],[Vin]])/(Vout+(Rdson3-Rdson4-Rs)*Table2[[#This Row],[Iin]]),Fsw*Table2[[#This Row],[t1_Ph_II]]+Table2[[#This Row],[t3_Ph_III]]))</f>
        <v>0</v>
      </c>
      <c r="V81" s="4">
        <f>MAX(Table2[[#This Row],[I_0]:[I_2]])-MIN(Table2[[#This Row],[I_0]:[I_1]])</f>
        <v>2.5043407665176156</v>
      </c>
      <c r="W81"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8.6701928211682144</v>
      </c>
      <c r="X81" s="354">
        <f>(Table2[[#This Row],[Irms Lf]]^2*Rdcr*(1+Ltc*Ta-Ltc*25))/(1-Table2[[#This Row],[Irms Lf]]^2*Rdcr*Ltc*ThetaCa)</f>
        <v>0.45175623439778584</v>
      </c>
      <c r="Y81" s="354">
        <f>ABS(7.759*10^-3*Fsw^0.9458*(0.00787*Table2[[#This Row],[Ripple Current pk-pk]])^2.304)</f>
        <v>0.26649964497007828</v>
      </c>
      <c r="Z81" s="354">
        <f>Table2[[#This Row],[DCR    Loss]]+Table2[[#This Row],[Core Loss]]</f>
        <v>0.71825587936786417</v>
      </c>
      <c r="AA81" s="4">
        <f>IF(Table2[[#This Row],[Vin]]&gt;Vout, Table2[[#This Row],[Ripple Current pk-pk]]/SQRT(12), SQRT(Table2[[#This Row],[Duty Cycle BOOST Leg]]/(1-Table2[[#This Row],[Duty Cycle BOOST Leg]]))*SQRT(Table2[[#This Row],[Iout]]^2+(Table2[[#This Row],[Ripple Current pk-pk]]^2)/12))</f>
        <v>0.7229409078457496</v>
      </c>
      <c r="AB81" s="354">
        <f>RCoutEsr*Table2[[#This Row],[Irms Cout]]^2</f>
        <v>2.6132177811841835E-3</v>
      </c>
      <c r="AC81" s="354">
        <f>Table2[[#This Row],[Cout ESR Loss]]</f>
        <v>2.6132177811841835E-3</v>
      </c>
      <c r="AD81" s="4">
        <f>IF(Table2[[#This Row],[Vin]]&gt;Vout, SQRT(Table2[[#This Row],[Duty Cycle BUCK Leg]]*(1-Table2[[#This Row],[Duty Cycle BUCK Leg]]))*SQRT(Table2[[#This Row],[Iout]]^2+(Table2[[#This Row],[Ripple Current pk-pk]]^2)/12), Table2[[#This Row],[Ripple Current pk-pk]]/SQRT(12))</f>
        <v>3.8282581451486557</v>
      </c>
      <c r="AE81" s="354">
        <f>RCinEsr*Table2[[#This Row],[Irms Cin]]^2</f>
        <v>2.9311120851794051E-2</v>
      </c>
      <c r="AF81" s="549">
        <f>Table2[[#This Row],[Cin ESR Loss]]</f>
        <v>2.9311120851794051E-2</v>
      </c>
      <c r="AG81" s="354">
        <f>Table2[[#This Row],[Irms Lf]]</f>
        <v>8.6701928211682144</v>
      </c>
      <c r="AH81" s="354">
        <f>Rdson1*Table2[[#This Row],[Irms BuCtrl]]^2</f>
        <v>0.31572342293619476</v>
      </c>
      <c r="AI81" s="354">
        <f>CHOOSE(Table2[[#This Row],[Mode Digit]], (Table2[[#This Row],[Vin]]*Table2[[#This Row],[Iout]]/2)*(Fsw)*(Tr_buck+Tf_buck), 0, (Table2[[#This Row],[Vin]]*Table2[[#This Row],[Avg IL]]/2)*(Fsw/1)*(Tr_buck+Tf_buck))</f>
        <v>1.7135482077187314</v>
      </c>
      <c r="AJ81">
        <f>IF(Table2[[#This Row],[Vin]]&gt;Vout, IF(Table2[[#This Row],[Iout]]&gt;Table2[[#This Row],[Ripple Current pk-pk]]/2,0,ABS(Table2[[#This Row],[Iout]]-Table2[[#This Row],[Ripple Current pk-pk]]/2)*Vsd_Q1*Deadtime*Fsw),0)</f>
        <v>0</v>
      </c>
      <c r="AK81" s="354">
        <f>(Table2[[#This Row],[Dead Time Loss BuCtrl]]+Table2[[#This Row],[Transition Loss BuCtrl]]+Table2[[#This Row],[RDS(on) Loss BuCtrl]]*(1+RdsonTopTc*Ta-RdsonTopTc*25))/(1-Table2[[#This Row],[RDS(on) Loss BuCtrl]]*RdsonTopTc*ThetaJA_Q1)</f>
        <v>2.1956434893783077</v>
      </c>
      <c r="AL81" s="354">
        <f>Table2[[#This Row],[Irms Lf]]</f>
        <v>8.6701928211682144</v>
      </c>
      <c r="AM81" s="354">
        <f>Rdson2*Table2[[#This Row],[Irms BuSync]]^2</f>
        <v>0.31572342293619476</v>
      </c>
      <c r="AN81"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0.41570742857142862</v>
      </c>
      <c r="AO81" s="354">
        <f>(Table2[[#This Row],[Deadtime Loss BuSync]]+Table2[[#This Row],[RDS(on) Loss BuSync]]*(1+RdsonBotTc*Ta-RdsonBotTc*25))/(1-Table2[[#This Row],[RDS(on) Loss BuSync]]*RdsonBotTc*ThetaJA_Q2)</f>
        <v>0.79139793942954673</v>
      </c>
      <c r="AP81" s="354">
        <f>Table2[[#This Row],[Irms Lf]]</f>
        <v>8.6701928211682144</v>
      </c>
      <c r="AQ81" s="354">
        <f>Rdson4*Table2[[#This Row],[Irms BoCtlr]]^2</f>
        <v>0.31572342293619476</v>
      </c>
      <c r="AR81" s="354">
        <f>CHOOSE(Table2[[#This Row],[Mode Digit]], 0, (Vout*Table2[[#This Row],[Iin]]/2)*(Fsw)*(Tr_boost+Tf_boost), (Vout*Iout/2)*(Fsw/1)*(Tr_boost+Tf_boost))</f>
        <v>0</v>
      </c>
      <c r="AS81" s="354">
        <f>IF(Table2[[#This Row],[Vin]]&gt;Vout, 0, IF(Table2[[#This Row],[Iin]]&gt;Table2[[#This Row],[Ripple Current pk-pk]]/2,0,ABS(Table2[[#This Row],[Iin]]-Table2[[#This Row],[Ripple Current pk-pk]]/2)*Vsd_Q4*Deadtime*Fsw))</f>
        <v>0</v>
      </c>
      <c r="AT81" s="354">
        <f>(Table2[[#This Row],[Dead Time Loss BoCtlr]]+Table2[[#This Row],[Transition Loss BoCtlr]]+Table2[[#This Row],[RDS(on) Loss BoCtlr]]*(1+RdsonTopTc*Ta-RdsonTopTc*25))/(1-Table2[[#This Row],[RDS(on) Loss BoCtlr]]*RdsonTopTc*ThetaJA_Q4)</f>
        <v>0.34160832268194752</v>
      </c>
      <c r="AU81" s="354">
        <f>Table2[[#This Row],[Irms Lf]]</f>
        <v>8.6701928211682144</v>
      </c>
      <c r="AV81" s="354">
        <f>Rdson3*Table2[[#This Row],[Irms BoSync]]^2</f>
        <v>0.31572342293619476</v>
      </c>
      <c r="AW81"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81" s="354">
        <f>(Table2[[#This Row],[Deadtime Loss BoSync]]+Table2[[#This Row],[RDS(on) Loss BoSync]]*(1+RdsonBotTc*Ta-RdsonBotTc*25))/(1-Table2[[#This Row],[RDS(on) Loss BoSync]]*RdsonBotTc*ThetaJA_Q3)</f>
        <v>0.34160832268194752</v>
      </c>
      <c r="AY81" s="354">
        <f>CHOOSE(Table2[[#This Row],[Mode Digit]], Rdson3*Table2[[#This Row],[Irms Lf]]^2, Rdson1*Table2[[#This Row],[Irms Lf]]^2, 0)</f>
        <v>0.31572342293619476</v>
      </c>
      <c r="AZ81" s="354">
        <f>CHOOSE(Table2[[#This Row],[Mode Digit]], 2*Deadtime*Fsw*IF(VfdSky_Q2&gt;0,VfdSky_Q2,0)*Table2[[#This Row],[Iout]], 2*Deadtime*Fsw*IF(VfdSky_Q3&gt;0,VfdSky_Q3,0)*Table2[[#This Row],[Iin]], 2*Deadtime*Fsw*IF(VfdSky_Q2&gt;0,VfdSky_Q2,0)*Table2[[#This Row],[Iout]]+2*Deadtime*Fsw*IF(VfdSky_Q3&gt;0,VfdSky_Q3,0)*Table2[[#This Row],[Iin]])</f>
        <v>0</v>
      </c>
      <c r="BA8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0.17248647168</v>
      </c>
      <c r="BB8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0.17248647168</v>
      </c>
      <c r="BC81" s="354">
        <f>CHOOSE(Table2[[#This Row],[Mode Digit]], Rs*Table2[[#This Row],[Irms BuSync]]^2, Rs*Table2[[#This Row],[Irms BoCtlr]]^2, Rs*(Table2[[#This Row],[Irms BuSync]]^2+Table2[[#This Row],[Irms BoCtlr]]^2))</f>
        <v>0.1879306088905921</v>
      </c>
      <c r="BD81" s="354">
        <f t="shared" si="9"/>
        <v>1.44</v>
      </c>
      <c r="BE81" s="354">
        <f>IF(Vout&gt;8, Iq*Vout, Iq*Table2[[#This Row],[Vin]])</f>
        <v>4.3799999999999999E-2</v>
      </c>
      <c r="BF81" s="354">
        <f>CHOOSE(Table2[[#This Row],[Mode Digit]], (Qg_Q1+Qg_Q2)*Fsw, (Qg_Q3+Qg_Q4)*Fsw, (Qg_Q1+Qg_Q2+Qg_Q3+Qg_Q4)*Fsw)*IF(Vout&gt;8, Vout, Table2[[#This Row],[Vin]])</f>
        <v>0.47303999999999996</v>
      </c>
      <c r="BG81" s="354">
        <f t="shared" si="10"/>
        <v>0.45605042016806729</v>
      </c>
      <c r="BH81" s="354">
        <f>Table2[[#This Row],[IQ Loss]]+Table2[[#This Row],[Switching Current Loss]]</f>
        <v>0.51683999999999997</v>
      </c>
      <c r="BI81"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6.9101818444231853</v>
      </c>
      <c r="BJ81">
        <f>Vout*Table2[[#This Row],[Iout]]</f>
        <v>126.14400000000001</v>
      </c>
      <c r="BK81" s="550">
        <f>Table2[[#This Row],[Pout]]/(Table2[[#This Row],[Pout]]+Table2[[#This Row],[Total Loss]])</f>
        <v>0.94806490296935508</v>
      </c>
      <c r="BL81" s="559">
        <f>IF(Table2[[#This Row],[Vin]]&gt;Vout,ThetaJA_Q1*(Table2[[#This Row],[Total Control Bu MOSFET Loss]]+Table2[[#This Row],[Reverse Recovery Loss MOSFET D BUCK]]),ThetaJA_Q4*(Table2[[#This Row],[Total Control Bo MOSFET Loss]]+Table2[[#This Row],[Reverse Recovery Loss MOSFET D BOOST]]))</f>
        <v>142.08779766349846</v>
      </c>
      <c r="BM81" s="559">
        <f>IF(Table2[[#This Row],[Vin]]&gt;Vout, Table2[[#This Row],[Total Sync Bu MOSFET Loss]]*ThetaJA_Q2, ThetaJA_Q3*Table2[[#This Row],[Total Sync Bo MOSFET Loss]])</f>
        <v>47.483876365772801</v>
      </c>
      <c r="BN81" s="9"/>
      <c r="BO81" s="4">
        <f>Table2[[#This Row],[EFF, h]]*100</f>
        <v>94.806490296935507</v>
      </c>
      <c r="BP81" s="354">
        <f>Table2[[#This Row],[Total Inductor Loss]]</f>
        <v>0.71825587936786417</v>
      </c>
      <c r="BQ81" s="354">
        <f>Table2[[#This Row],[Total Control Bu MOSFET Loss]]+Table2[[#This Row],[Total Sync Bu MOSFET Loss]]+Table2[[#This Row],[Total Control Bo MOSFET Loss]]+Table2[[#This Row],[Total Sync Bo MOSFET Loss]]+Table2[[#This Row],[Reverse Recovery Loss MOSFET D BUCK]]+Table2[[#This Row],[Reverse Recovery Loss MOSFET D BOOST]]</f>
        <v>4.0152310175317503</v>
      </c>
      <c r="BR81" s="354">
        <f xml:space="preserve"> Table2[[#This Row],[Total Control Bu MOSFET Loss]]+Table2[[#This Row],[Reverse Recovery Loss MOSFET D BUCK]]*0.66</f>
        <v>2.3094845606871077</v>
      </c>
      <c r="BS81" s="354">
        <f>Table2[[#This Row],[Total Sync Bu MOSFET Loss]]+Table2[[#This Row],[Reverse Recovery Loss MOSFET D BUCK]]*0.33</f>
        <v>0.84831847508394675</v>
      </c>
      <c r="BT81" s="354">
        <f xml:space="preserve"> Table2[[#This Row],[Total Control Bo MOSFET Loss]]+Table2[[#This Row],[Reverse Recovery Loss MOSFET D BOOST]]*0.66</f>
        <v>0.45544939399074752</v>
      </c>
      <c r="BU81" s="354">
        <f xml:space="preserve"> Table2[[#This Row],[Total Sync Bo MOSFET Loss]]+Table2[[#This Row],[Reverse Recovery Loss MOSFET D BOOST]]*0.33</f>
        <v>0.39852885833634755</v>
      </c>
      <c r="BV81" s="354">
        <f>Table2[[#This Row],[Isense Shunt Loss]]</f>
        <v>0.1879306088905921</v>
      </c>
      <c r="CB81" s="18"/>
      <c r="CC81" s="19"/>
    </row>
    <row r="82" spans="1:81" x14ac:dyDescent="0.2">
      <c r="A82" s="2"/>
      <c r="G82">
        <v>73</v>
      </c>
      <c r="H82" s="555">
        <f t="shared" si="8"/>
        <v>20</v>
      </c>
      <c r="I82" s="4" t="str">
        <f>IF(Mode = 2,IF(Table2[[#This Row],[Vin]]&gt;Vout, "BUCK","BOOST"),IF(Table2[[#This Row],[Vin]]&gt;VIN_BB_to_buck, "BUCK", IF(Table2[[#This Row],[Vin]]&lt;=VIN_boost_to_BB,"BOOST","BUCK-BST")))</f>
        <v>BUCK</v>
      </c>
      <c r="J82">
        <f>IF(Table2[[#This Row],[Mode]]="BOOST",2, IF(Table2[[#This Row],[Mode]]="BUCK", 1,3))</f>
        <v>1</v>
      </c>
      <c r="K82" s="354">
        <f t="shared" si="11"/>
        <v>8.76</v>
      </c>
      <c r="L82" s="4">
        <f>Vout*Table2[[#This Row],[Iout]]/(Table2[[#This Row],[Vin]]*Efficiency)</f>
        <v>6.7313684210526317</v>
      </c>
      <c r="M82" s="711">
        <f>MIN(1/Fsw,CHOOSE(Table2[[#This Row],[Mode Digit]],(Vout+(Rdson2+Rs+Rdcr)*Table2[[#This Row],[Iout]])/(Table2[[#This Row],[Vin]]+(Rs+Rdson2-Rdson1)*Table2[[#This Row],[Iout]])/Fsw,(Vout+(Rdson3+Rdcr)*Table2[[#This Row],[Iin]]-Table2[[#This Row],[Vin]])/(Vout+(Rdson3-Rdson4-Rs)*Table2[[#This Row],[Iin]])/Fsw,t1_Ph_II))</f>
        <v>1.2244508929388986E-6</v>
      </c>
      <c r="N82" s="602">
        <f>CHOOSE(Table2[[#This Row],[Mode Digit]],1/Fsw-Table2[[#This Row],[t1_Ph_II]],1/Fsw-Table2[[#This Row],[t1_Ph_II]],(Vout/Fsw-Table2[[#This Row],[Vin]]*t1_Ph_II)/(Table2[[#This Row],[Vin]]+Vout))</f>
        <v>4.4221577372776808E-7</v>
      </c>
      <c r="O82" s="602">
        <f>1/Fsw-(Table2[[#This Row],[t1_Ph_II]]+Table2[[#This Row],[t2_Ph_I]])</f>
        <v>0</v>
      </c>
      <c r="P82"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7.5077206776761258</v>
      </c>
      <c r="Q82" s="4">
        <f>CHOOSE(Table2[[#This Row],[Mode Digit]],Table2[[#This Row],[I_0]]+1/Lf*(Table2[[#This Row],[Vin]]-Vout)*Table2[[#This Row],[t1_Ph_II]],Table2[[#This Row],[I_0]]+1/Lf*Table2[[#This Row],[Vin]]*Table2[[#This Row],[t1_Ph_II]],Table2[[#This Row],[I_0]]+(Table2[[#This Row],[Vin]]-Vout)/L*Table2[[#This Row],[t1_Ph_II]])</f>
        <v>10.012279322323874</v>
      </c>
      <c r="R82" s="4">
        <f>CHOOSE(Table2[[#This Row],[Mode Digit]],0,0,Table2[[#This Row],[I_1]]+Table2[[#This Row],[Vin]]/L*Table2[[#This Row],[t2_Ph_I]])</f>
        <v>0</v>
      </c>
      <c r="S82" s="409">
        <f>Fsw*(Table2[[#This Row],[I_0]]*Table2[[#This Row],[t1_Ph_II]]+Table2[[#This Row],[I_1]]*Table2[[#This Row],[t2_Ph_I]]+Table2[[#This Row],[I_2]]*Table2[[#This Row],[t3_Ph_III]])</f>
        <v>8.1722538810098104</v>
      </c>
      <c r="T82" s="354">
        <f>MIN(1,CHOOSE(Table2[[#This Row],[Mode Digit]],(Vout+(Rdson2+Rs+Rdcr)*Table2[[#This Row],[Iout]])/(Table2[[#This Row],[Vin]]+(Rs+Rdson2-Rdson1)*Table2[[#This Row],[Iout]]),1,Fsw*Table2[[#This Row],[t2_Ph_I]]+Table2[[#This Row],[t1_Ph_II]]))</f>
        <v>0.73467053576333918</v>
      </c>
      <c r="U82" s="354">
        <f>MIN(1,CHOOSE(Table2[[#This Row],[Mode Digit]],0,(Vout+(Rdson3+Rdcr)*Table2[[#This Row],[Iin]]-Table2[[#This Row],[Vin]])/(Vout+(Rdson3-Rdson4-Rs)*Table2[[#This Row],[Iin]]),Fsw*Table2[[#This Row],[t1_Ph_II]]+Table2[[#This Row],[t3_Ph_III]]))</f>
        <v>0</v>
      </c>
      <c r="V82" s="4">
        <f>MAX(Table2[[#This Row],[I_0]:[I_2]])-MIN(Table2[[#This Row],[I_0]:[I_1]])</f>
        <v>2.5045586446477479</v>
      </c>
      <c r="W82"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8.789785805147547</v>
      </c>
      <c r="X82" s="354">
        <f>(Table2[[#This Row],[Irms Lf]]^2*Rdcr*(1+Ltc*Ta-Ltc*25))/(1-Table2[[#This Row],[Irms Lf]]^2*Rdcr*Ltc*ThetaCa)</f>
        <v>0.46477143613476907</v>
      </c>
      <c r="Y82" s="354">
        <f>ABS(7.759*10^-3*Fsw^0.9458*(0.00787*Table2[[#This Row],[Ripple Current pk-pk]])^2.304)</f>
        <v>0.26655306743964241</v>
      </c>
      <c r="Z82" s="354">
        <f>Table2[[#This Row],[DCR    Loss]]+Table2[[#This Row],[Core Loss]]</f>
        <v>0.73132450357441148</v>
      </c>
      <c r="AA82" s="4">
        <f>IF(Table2[[#This Row],[Vin]]&gt;Vout, Table2[[#This Row],[Ripple Current pk-pk]]/SQRT(12), SQRT(Table2[[#This Row],[Duty Cycle BOOST Leg]]/(1-Table2[[#This Row],[Duty Cycle BOOST Leg]]))*SQRT(Table2[[#This Row],[Iout]]^2+(Table2[[#This Row],[Ripple Current pk-pk]]^2)/12))</f>
        <v>0.72300380384429075</v>
      </c>
      <c r="AB82" s="354">
        <f>RCoutEsr*Table2[[#This Row],[Irms Cout]]^2</f>
        <v>2.6136725018665687E-3</v>
      </c>
      <c r="AC82" s="354">
        <f>Table2[[#This Row],[Cout ESR Loss]]</f>
        <v>2.6136725018665687E-3</v>
      </c>
      <c r="AD82" s="4">
        <f>IF(Table2[[#This Row],[Vin]]&gt;Vout, SQRT(Table2[[#This Row],[Duty Cycle BUCK Leg]]*(1-Table2[[#This Row],[Duty Cycle BUCK Leg]]))*SQRT(Table2[[#This Row],[Iout]]^2+(Table2[[#This Row],[Ripple Current pk-pk]]^2)/12), Table2[[#This Row],[Ripple Current pk-pk]]/SQRT(12))</f>
        <v>3.8807649876033992</v>
      </c>
      <c r="AE82" s="354">
        <f>RCinEsr*Table2[[#This Row],[Irms Cin]]^2</f>
        <v>3.0120673778016822E-2</v>
      </c>
      <c r="AF82" s="549">
        <f>Table2[[#This Row],[Cin ESR Loss]]</f>
        <v>3.0120673778016822E-2</v>
      </c>
      <c r="AG82" s="354">
        <f>Table2[[#This Row],[Irms Lf]]</f>
        <v>8.789785805147547</v>
      </c>
      <c r="AH82" s="354">
        <f>Rdson1*Table2[[#This Row],[Irms BuCtrl]]^2</f>
        <v>0.32449340490156797</v>
      </c>
      <c r="AI82" s="354">
        <f>CHOOSE(Table2[[#This Row],[Mode Digit]], (Table2[[#This Row],[Vin]]*Table2[[#This Row],[Iout]]/2)*(Fsw)*(Tr_buck+Tf_buck), 0, (Table2[[#This Row],[Vin]]*Table2[[#This Row],[Avg IL]]/2)*(Fsw/1)*(Tr_buck+Tf_buck))</f>
        <v>1.7373474883814914</v>
      </c>
      <c r="AJ82">
        <f>IF(Table2[[#This Row],[Vin]]&gt;Vout, IF(Table2[[#This Row],[Iout]]&gt;Table2[[#This Row],[Ripple Current pk-pk]]/2,0,ABS(Table2[[#This Row],[Iout]]-Table2[[#This Row],[Ripple Current pk-pk]]/2)*Vsd_Q1*Deadtime*Fsw),0)</f>
        <v>0</v>
      </c>
      <c r="AK82" s="354">
        <f>(Table2[[#This Row],[Dead Time Loss BuCtrl]]+Table2[[#This Row],[Transition Loss BuCtrl]]+Table2[[#This Row],[RDS(on) Loss BuCtrl]]*(1+RdsonTopTc*Ta-RdsonTopTc*25))/(1-Table2[[#This Row],[RDS(on) Loss BuCtrl]]*RdsonTopTc*ThetaJA_Q1)</f>
        <v>2.2359750944875478</v>
      </c>
      <c r="AL82" s="354">
        <f>Table2[[#This Row],[Irms Lf]]</f>
        <v>8.789785805147547</v>
      </c>
      <c r="AM82" s="354">
        <f>Rdson2*Table2[[#This Row],[Irms BuSync]]^2</f>
        <v>0.32449340490156797</v>
      </c>
      <c r="AN82"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0.42148114285714283</v>
      </c>
      <c r="AO82" s="354">
        <f>(Table2[[#This Row],[Deadtime Loss BuSync]]+Table2[[#This Row],[RDS(on) Loss BuSync]]*(1+RdsonBotTc*Ta-RdsonBotTc*25))/(1-Table2[[#This Row],[RDS(on) Loss BuSync]]*RdsonBotTc*ThetaJA_Q2)</f>
        <v>0.8089763450438564</v>
      </c>
      <c r="AP82" s="354">
        <f>Table2[[#This Row],[Irms Lf]]</f>
        <v>8.789785805147547</v>
      </c>
      <c r="AQ82" s="354">
        <f>Rdson4*Table2[[#This Row],[Irms BoCtlr]]^2</f>
        <v>0.32449340490156797</v>
      </c>
      <c r="AR82" s="354">
        <f>CHOOSE(Table2[[#This Row],[Mode Digit]], 0, (Vout*Table2[[#This Row],[Iin]]/2)*(Fsw)*(Tr_boost+Tf_boost), (Vout*Iout/2)*(Fsw/1)*(Tr_boost+Tf_boost))</f>
        <v>0</v>
      </c>
      <c r="AS82" s="354">
        <f>IF(Table2[[#This Row],[Vin]]&gt;Vout, 0, IF(Table2[[#This Row],[Iin]]&gt;Table2[[#This Row],[Ripple Current pk-pk]]/2,0,ABS(Table2[[#This Row],[Iin]]-Table2[[#This Row],[Ripple Current pk-pk]]/2)*Vsd_Q4*Deadtime*Fsw))</f>
        <v>0</v>
      </c>
      <c r="AT82" s="354">
        <f>(Table2[[#This Row],[Dead Time Loss BoCtlr]]+Table2[[#This Row],[Transition Loss BoCtlr]]+Table2[[#This Row],[RDS(on) Loss BoCtlr]]*(1+RdsonTopTc*Ta-RdsonTopTc*25))/(1-Table2[[#This Row],[RDS(on) Loss BoCtlr]]*RdsonTopTc*ThetaJA_Q4)</f>
        <v>0.35189872024027291</v>
      </c>
      <c r="AU82" s="354">
        <f>Table2[[#This Row],[Irms Lf]]</f>
        <v>8.789785805147547</v>
      </c>
      <c r="AV82" s="354">
        <f>Rdson3*Table2[[#This Row],[Irms BoSync]]^2</f>
        <v>0.32449340490156797</v>
      </c>
      <c r="AW82"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82" s="354">
        <f>(Table2[[#This Row],[Deadtime Loss BoSync]]+Table2[[#This Row],[RDS(on) Loss BoSync]]*(1+RdsonBotTc*Ta-RdsonBotTc*25))/(1-Table2[[#This Row],[RDS(on) Loss BoSync]]*RdsonBotTc*ThetaJA_Q3)</f>
        <v>0.35189872024027291</v>
      </c>
      <c r="AY82" s="354">
        <f>CHOOSE(Table2[[#This Row],[Mode Digit]], Rdson3*Table2[[#This Row],[Irms Lf]]^2, Rdson1*Table2[[#This Row],[Irms Lf]]^2, 0)</f>
        <v>0.32449340490156797</v>
      </c>
      <c r="AZ82" s="354">
        <f>CHOOSE(Table2[[#This Row],[Mode Digit]], 2*Deadtime*Fsw*IF(VfdSky_Q2&gt;0,VfdSky_Q2,0)*Table2[[#This Row],[Iout]], 2*Deadtime*Fsw*IF(VfdSky_Q3&gt;0,VfdSky_Q3,0)*Table2[[#This Row],[Iin]], 2*Deadtime*Fsw*IF(VfdSky_Q2&gt;0,VfdSky_Q2,0)*Table2[[#This Row],[Iout]]+2*Deadtime*Fsw*IF(VfdSky_Q3&gt;0,VfdSky_Q3,0)*Table2[[#This Row],[Iin]])</f>
        <v>0</v>
      </c>
      <c r="BA8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0.17487770208000003</v>
      </c>
      <c r="BB8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0.17487770208000003</v>
      </c>
      <c r="BC82" s="354">
        <f>CHOOSE(Table2[[#This Row],[Mode Digit]], Rs*Table2[[#This Row],[Irms BuSync]]^2, Rs*Table2[[#This Row],[Irms BoCtlr]]^2, Rs*(Table2[[#This Row],[Irms BuSync]]^2+Table2[[#This Row],[Irms BoCtlr]]^2))</f>
        <v>0.19315083625093329</v>
      </c>
      <c r="BD82" s="354">
        <f t="shared" si="9"/>
        <v>1.44</v>
      </c>
      <c r="BE82" s="354">
        <f>IF(Vout&gt;8, Iq*Vout, Iq*Table2[[#This Row],[Vin]])</f>
        <v>4.3799999999999999E-2</v>
      </c>
      <c r="BF82" s="354">
        <f>CHOOSE(Table2[[#This Row],[Mode Digit]], (Qg_Q1+Qg_Q2)*Fsw, (Qg_Q3+Qg_Q4)*Fsw, (Qg_Q1+Qg_Q2+Qg_Q3+Qg_Q4)*Fsw)*IF(Vout&gt;8, Vout, Table2[[#This Row],[Vin]])</f>
        <v>0.47303999999999996</v>
      </c>
      <c r="BG82" s="354">
        <f t="shared" si="10"/>
        <v>0.45605042016806729</v>
      </c>
      <c r="BH82" s="354">
        <f>Table2[[#This Row],[IQ Loss]]+Table2[[#This Row],[Switching Current Loss]]</f>
        <v>0.51683999999999997</v>
      </c>
      <c r="BI82"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7.0125539702771782</v>
      </c>
      <c r="BJ82">
        <f>Vout*Table2[[#This Row],[Iout]]</f>
        <v>127.896</v>
      </c>
      <c r="BK82" s="550">
        <f>Table2[[#This Row],[Pout]]/(Table2[[#This Row],[Pout]]+Table2[[#This Row],[Total Loss]])</f>
        <v>0.94801994563056269</v>
      </c>
      <c r="BL82" s="559">
        <f>IF(Table2[[#This Row],[Vin]]&gt;Vout,ThetaJA_Q1*(Table2[[#This Row],[Total Control Bu MOSFET Loss]]+Table2[[#This Row],[Reverse Recovery Loss MOSFET D BUCK]]),ThetaJA_Q4*(Table2[[#This Row],[Total Control Bo MOSFET Loss]]+Table2[[#This Row],[Reverse Recovery Loss MOSFET D BOOST]]))</f>
        <v>144.65116779405287</v>
      </c>
      <c r="BM82" s="559">
        <f>IF(Table2[[#This Row],[Vin]]&gt;Vout, Table2[[#This Row],[Total Sync Bu MOSFET Loss]]*ThetaJA_Q2, ThetaJA_Q3*Table2[[#This Row],[Total Sync Bo MOSFET Loss]])</f>
        <v>48.538580702631386</v>
      </c>
      <c r="BN82" s="9"/>
      <c r="BO82" s="4">
        <f>Table2[[#This Row],[EFF, h]]*100</f>
        <v>94.801994563056269</v>
      </c>
      <c r="BP82" s="354">
        <f>Table2[[#This Row],[Total Inductor Loss]]</f>
        <v>0.73132450357441148</v>
      </c>
      <c r="BQ82" s="354">
        <f>Table2[[#This Row],[Total Control Bu MOSFET Loss]]+Table2[[#This Row],[Total Sync Bu MOSFET Loss]]+Table2[[#This Row],[Total Control Bo MOSFET Loss]]+Table2[[#This Row],[Total Sync Bo MOSFET Loss]]+Table2[[#This Row],[Reverse Recovery Loss MOSFET D BUCK]]+Table2[[#This Row],[Reverse Recovery Loss MOSFET D BOOST]]</f>
        <v>4.0985042841719501</v>
      </c>
      <c r="BR82" s="354">
        <f xml:space="preserve"> Table2[[#This Row],[Total Control Bu MOSFET Loss]]+Table2[[#This Row],[Reverse Recovery Loss MOSFET D BUCK]]*0.66</f>
        <v>2.3513943778603479</v>
      </c>
      <c r="BS82" s="354">
        <f>Table2[[#This Row],[Total Sync Bu MOSFET Loss]]+Table2[[#This Row],[Reverse Recovery Loss MOSFET D BUCK]]*0.33</f>
        <v>0.86668598673025643</v>
      </c>
      <c r="BT82" s="354">
        <f xml:space="preserve"> Table2[[#This Row],[Total Control Bo MOSFET Loss]]+Table2[[#This Row],[Reverse Recovery Loss MOSFET D BOOST]]*0.66</f>
        <v>0.46731800361307296</v>
      </c>
      <c r="BU82" s="354">
        <f xml:space="preserve"> Table2[[#This Row],[Total Sync Bo MOSFET Loss]]+Table2[[#This Row],[Reverse Recovery Loss MOSFET D BOOST]]*0.33</f>
        <v>0.40960836192667294</v>
      </c>
      <c r="BV82" s="354">
        <f>Table2[[#This Row],[Isense Shunt Loss]]</f>
        <v>0.19315083625093329</v>
      </c>
      <c r="CB82" s="18"/>
      <c r="CC82" s="19"/>
    </row>
    <row r="83" spans="1:81" x14ac:dyDescent="0.2">
      <c r="A83" s="2"/>
      <c r="G83">
        <v>74</v>
      </c>
      <c r="H83" s="555">
        <f t="shared" si="8"/>
        <v>20</v>
      </c>
      <c r="I83" s="4" t="str">
        <f>IF(Mode = 2,IF(Table2[[#This Row],[Vin]]&gt;Vout, "BUCK","BOOST"),IF(Table2[[#This Row],[Vin]]&gt;VIN_BB_to_buck, "BUCK", IF(Table2[[#This Row],[Vin]]&lt;=VIN_boost_to_BB,"BOOST","BUCK-BST")))</f>
        <v>BUCK</v>
      </c>
      <c r="J83">
        <f>IF(Table2[[#This Row],[Mode]]="BOOST",2, IF(Table2[[#This Row],[Mode]]="BUCK", 1,3))</f>
        <v>1</v>
      </c>
      <c r="K83" s="354">
        <f t="shared" si="11"/>
        <v>8.8800000000000008</v>
      </c>
      <c r="L83" s="4">
        <f>Vout*Table2[[#This Row],[Iout]]/(Table2[[#This Row],[Vin]]*Efficiency)</f>
        <v>6.8235789473684205</v>
      </c>
      <c r="M83" s="711">
        <f>MIN(1/Fsw,CHOOSE(Table2[[#This Row],[Mode Digit]],(Vout+(Rdson2+Rs+Rdcr)*Table2[[#This Row],[Iout]])/(Table2[[#This Row],[Vin]]+(Rs+Rdson2-Rdson1)*Table2[[#This Row],[Iout]])/Fsw,(Vout+(Rdson3+Rdcr)*Table2[[#This Row],[Iin]]-Table2[[#This Row],[Vin]])/(Vout+(Rdson3-Rdson4-Rs)*Table2[[#This Row],[Iin]])/Fsw,t1_Ph_II))</f>
        <v>1.2245574079438489E-6</v>
      </c>
      <c r="N83" s="602">
        <f>CHOOSE(Table2[[#This Row],[Mode Digit]],1/Fsw-Table2[[#This Row],[t1_Ph_II]],1/Fsw-Table2[[#This Row],[t1_Ph_II]],(Vout/Fsw-Table2[[#This Row],[Vin]]*t1_Ph_II)/(Table2[[#This Row],[Vin]]+Vout))</f>
        <v>4.4210925872281778E-7</v>
      </c>
      <c r="O83" s="602">
        <f>1/Fsw-(Table2[[#This Row],[t1_Ph_II]]+Table2[[#This Row],[t2_Ph_I]])</f>
        <v>0</v>
      </c>
      <c r="P83"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7.6276117418756098</v>
      </c>
      <c r="Q83" s="4">
        <f>CHOOSE(Table2[[#This Row],[Mode Digit]],Table2[[#This Row],[I_0]]+1/Lf*(Table2[[#This Row],[Vin]]-Vout)*Table2[[#This Row],[t1_Ph_II]],Table2[[#This Row],[I_0]]+1/Lf*Table2[[#This Row],[Vin]]*Table2[[#This Row],[t1_Ph_II]],Table2[[#This Row],[I_0]]+(Table2[[#This Row],[Vin]]-Vout)/L*Table2[[#This Row],[t1_Ph_II]])</f>
        <v>10.132388258124392</v>
      </c>
      <c r="R83" s="4">
        <f>CHOOSE(Table2[[#This Row],[Mode Digit]],0,0,Table2[[#This Row],[I_1]]+Table2[[#This Row],[Vin]]/L*Table2[[#This Row],[t2_Ph_I]])</f>
        <v>0</v>
      </c>
      <c r="S83" s="409">
        <f>Fsw*(Table2[[#This Row],[I_0]]*Table2[[#This Row],[t1_Ph_II]]+Table2[[#This Row],[I_1]]*Table2[[#This Row],[t2_Ph_I]]+Table2[[#This Row],[I_2]]*Table2[[#This Row],[t3_Ph_III]])</f>
        <v>8.2920426751946525</v>
      </c>
      <c r="T83" s="354">
        <f>MIN(1,CHOOSE(Table2[[#This Row],[Mode Digit]],(Vout+(Rdson2+Rs+Rdcr)*Table2[[#This Row],[Iout]])/(Table2[[#This Row],[Vin]]+(Rs+Rdson2-Rdson1)*Table2[[#This Row],[Iout]]),1,Fsw*Table2[[#This Row],[t2_Ph_I]]+Table2[[#This Row],[t1_Ph_II]]))</f>
        <v>0.73473444476630934</v>
      </c>
      <c r="U83" s="354">
        <f>MIN(1,CHOOSE(Table2[[#This Row],[Mode Digit]],0,(Vout+(Rdson3+Rdcr)*Table2[[#This Row],[Iin]]-Table2[[#This Row],[Vin]])/(Vout+(Rdson3-Rdson4-Rs)*Table2[[#This Row],[Iin]]),Fsw*Table2[[#This Row],[t1_Ph_II]]+Table2[[#This Row],[t3_Ph_III]]))</f>
        <v>0</v>
      </c>
      <c r="V83" s="4">
        <f>MAX(Table2[[#This Row],[I_0]:[I_2]])-MIN(Table2[[#This Row],[I_0]:[I_1]])</f>
        <v>2.5047765162487821</v>
      </c>
      <c r="W83"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8.9093897349760134</v>
      </c>
      <c r="X83" s="354">
        <f>(Table2[[#This Row],[Irms Lf]]^2*Rdcr*(1+Ltc*Ta-Ltc*25))/(1-Table2[[#This Row],[Irms Lf]]^2*Rdcr*Ltc*ThetaCa)</f>
        <v>0.47799287891838638</v>
      </c>
      <c r="Y83" s="354">
        <f>ABS(7.759*10^-3*Fsw^0.9458*(0.00787*Table2[[#This Row],[Ripple Current pk-pk]])^2.304)</f>
        <v>0.26660649436853873</v>
      </c>
      <c r="Z83" s="354">
        <f>Table2[[#This Row],[DCR    Loss]]+Table2[[#This Row],[Core Loss]]</f>
        <v>0.74459937328692516</v>
      </c>
      <c r="AA83" s="4">
        <f>IF(Table2[[#This Row],[Vin]]&gt;Vout, Table2[[#This Row],[Ripple Current pk-pk]]/SQRT(12), SQRT(Table2[[#This Row],[Duty Cycle BOOST Leg]]/(1-Table2[[#This Row],[Duty Cycle BOOST Leg]]))*SQRT(Table2[[#This Row],[Iout]]^2+(Table2[[#This Row],[Ripple Current pk-pk]]^2)/12))</f>
        <v>0.72306669795804368</v>
      </c>
      <c r="AB83" s="354">
        <f>RCoutEsr*Table2[[#This Row],[Irms Cout]]^2</f>
        <v>2.6141272484797441E-3</v>
      </c>
      <c r="AC83" s="354">
        <f>Table2[[#This Row],[Cout ESR Loss]]</f>
        <v>2.6141272484797441E-3</v>
      </c>
      <c r="AD83" s="4">
        <f>IF(Table2[[#This Row],[Vin]]&gt;Vout, SQRT(Table2[[#This Row],[Duty Cycle BUCK Leg]]*(1-Table2[[#This Row],[Duty Cycle BUCK Leg]]))*SQRT(Table2[[#This Row],[Iout]]^2+(Table2[[#This Row],[Ripple Current pk-pk]]^2)/12), Table2[[#This Row],[Ripple Current pk-pk]]/SQRT(12))</f>
        <v>3.9332684420228863</v>
      </c>
      <c r="AE83" s="354">
        <f>RCinEsr*Table2[[#This Row],[Irms Cin]]^2</f>
        <v>3.0941201274026289E-2</v>
      </c>
      <c r="AF83" s="549">
        <f>Table2[[#This Row],[Cin ESR Loss]]</f>
        <v>3.0941201274026289E-2</v>
      </c>
      <c r="AG83" s="354">
        <f>Table2[[#This Row],[Irms Lf]]</f>
        <v>8.9093897349760134</v>
      </c>
      <c r="AH83" s="354">
        <f>Rdson1*Table2[[#This Row],[Irms BuCtrl]]^2</f>
        <v>0.33338434688872304</v>
      </c>
      <c r="AI83" s="354">
        <f>CHOOSE(Table2[[#This Row],[Mode Digit]], (Table2[[#This Row],[Vin]]*Table2[[#This Row],[Iout]]/2)*(Fsw)*(Tr_buck+Tf_buck), 0, (Table2[[#This Row],[Vin]]*Table2[[#This Row],[Avg IL]]/2)*(Fsw/1)*(Tr_buck+Tf_buck))</f>
        <v>1.7611467690442519</v>
      </c>
      <c r="AJ83">
        <f>IF(Table2[[#This Row],[Vin]]&gt;Vout, IF(Table2[[#This Row],[Iout]]&gt;Table2[[#This Row],[Ripple Current pk-pk]]/2,0,ABS(Table2[[#This Row],[Iout]]-Table2[[#This Row],[Ripple Current pk-pk]]/2)*Vsd_Q1*Deadtime*Fsw),0)</f>
        <v>0</v>
      </c>
      <c r="AK83" s="354">
        <f>(Table2[[#This Row],[Dead Time Loss BuCtrl]]+Table2[[#This Row],[Transition Loss BuCtrl]]+Table2[[#This Row],[RDS(on) Loss BuCtrl]]*(1+RdsonTopTc*Ta-RdsonTopTc*25))/(1-Table2[[#This Row],[RDS(on) Loss BuCtrl]]*RdsonTopTc*ThetaJA_Q1)</f>
        <v>2.2766945544359531</v>
      </c>
      <c r="AL83" s="354">
        <f>Table2[[#This Row],[Irms Lf]]</f>
        <v>8.9093897349760134</v>
      </c>
      <c r="AM83" s="354">
        <f>Rdson2*Table2[[#This Row],[Irms BuSync]]^2</f>
        <v>0.33338434688872304</v>
      </c>
      <c r="AN83"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0.42725485714285716</v>
      </c>
      <c r="AO83" s="354">
        <f>(Table2[[#This Row],[Deadtime Loss BuSync]]+Table2[[#This Row],[RDS(on) Loss BuSync]]*(1+RdsonBotTc*Ta-RdsonBotTc*25))/(1-Table2[[#This Row],[RDS(on) Loss BuSync]]*RdsonBotTc*ThetaJA_Q2)</f>
        <v>0.82679274637456002</v>
      </c>
      <c r="AP83" s="354">
        <f>Table2[[#This Row],[Irms Lf]]</f>
        <v>8.9093897349760134</v>
      </c>
      <c r="AQ83" s="354">
        <f>Rdson4*Table2[[#This Row],[Irms BoCtlr]]^2</f>
        <v>0.33338434688872304</v>
      </c>
      <c r="AR83" s="354">
        <f>CHOOSE(Table2[[#This Row],[Mode Digit]], 0, (Vout*Table2[[#This Row],[Iin]]/2)*(Fsw)*(Tr_boost+Tf_boost), (Vout*Iout/2)*(Fsw/1)*(Tr_boost+Tf_boost))</f>
        <v>0</v>
      </c>
      <c r="AS83" s="354">
        <f>IF(Table2[[#This Row],[Vin]]&gt;Vout, 0, IF(Table2[[#This Row],[Iin]]&gt;Table2[[#This Row],[Ripple Current pk-pk]]/2,0,ABS(Table2[[#This Row],[Iin]]-Table2[[#This Row],[Ripple Current pk-pk]]/2)*Vsd_Q4*Deadtime*Fsw))</f>
        <v>0</v>
      </c>
      <c r="AT83" s="354">
        <f>(Table2[[#This Row],[Dead Time Loss BoCtlr]]+Table2[[#This Row],[Transition Loss BoCtlr]]+Table2[[#This Row],[RDS(on) Loss BoCtlr]]*(1+RdsonTopTc*Ta-RdsonTopTc*25))/(1-Table2[[#This Row],[RDS(on) Loss BoCtlr]]*RdsonTopTc*ThetaJA_Q4)</f>
        <v>0.36237911259563782</v>
      </c>
      <c r="AU83" s="354">
        <f>Table2[[#This Row],[Irms Lf]]</f>
        <v>8.9093897349760134</v>
      </c>
      <c r="AV83" s="354">
        <f>Rdson3*Table2[[#This Row],[Irms BoSync]]^2</f>
        <v>0.33338434688872304</v>
      </c>
      <c r="AW83"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83" s="354">
        <f>(Table2[[#This Row],[Deadtime Loss BoSync]]+Table2[[#This Row],[RDS(on) Loss BoSync]]*(1+RdsonBotTc*Ta-RdsonBotTc*25))/(1-Table2[[#This Row],[RDS(on) Loss BoSync]]*RdsonBotTc*ThetaJA_Q3)</f>
        <v>0.36237911259563782</v>
      </c>
      <c r="AY83" s="354">
        <f>CHOOSE(Table2[[#This Row],[Mode Digit]], Rdson3*Table2[[#This Row],[Irms Lf]]^2, Rdson1*Table2[[#This Row],[Irms Lf]]^2, 0)</f>
        <v>0.33338434688872304</v>
      </c>
      <c r="AZ83" s="354">
        <f>CHOOSE(Table2[[#This Row],[Mode Digit]], 2*Deadtime*Fsw*IF(VfdSky_Q2&gt;0,VfdSky_Q2,0)*Table2[[#This Row],[Iout]], 2*Deadtime*Fsw*IF(VfdSky_Q3&gt;0,VfdSky_Q3,0)*Table2[[#This Row],[Iin]], 2*Deadtime*Fsw*IF(VfdSky_Q2&gt;0,VfdSky_Q2,0)*Table2[[#This Row],[Iout]]+2*Deadtime*Fsw*IF(VfdSky_Q3&gt;0,VfdSky_Q3,0)*Table2[[#This Row],[Iin]])</f>
        <v>0</v>
      </c>
      <c r="BA8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0.17726881152000001</v>
      </c>
      <c r="BB8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0.17726881152000001</v>
      </c>
      <c r="BC83" s="354">
        <f>CHOOSE(Table2[[#This Row],[Mode Digit]], Rs*Table2[[#This Row],[Irms BuSync]]^2, Rs*Table2[[#This Row],[Irms BoCtlr]]^2, Rs*(Table2[[#This Row],[Irms BuSync]]^2+Table2[[#This Row],[Irms BoCtlr]]^2))</f>
        <v>0.19844306362423988</v>
      </c>
      <c r="BD83" s="354">
        <f t="shared" si="9"/>
        <v>1.44</v>
      </c>
      <c r="BE83" s="354">
        <f>IF(Vout&gt;8, Iq*Vout, Iq*Table2[[#This Row],[Vin]])</f>
        <v>4.3799999999999999E-2</v>
      </c>
      <c r="BF83" s="354">
        <f>CHOOSE(Table2[[#This Row],[Mode Digit]], (Qg_Q1+Qg_Q2)*Fsw, (Qg_Q3+Qg_Q4)*Fsw, (Qg_Q1+Qg_Q2+Qg_Q3+Qg_Q4)*Fsw)*IF(Vout&gt;8, Vout, Table2[[#This Row],[Vin]])</f>
        <v>0.47303999999999996</v>
      </c>
      <c r="BG83" s="354">
        <f t="shared" si="10"/>
        <v>0.45605042016806729</v>
      </c>
      <c r="BH83" s="354">
        <f>Table2[[#This Row],[IQ Loss]]+Table2[[#This Row],[Switching Current Loss]]</f>
        <v>0.51683999999999997</v>
      </c>
      <c r="BI83"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7.1162209144754609</v>
      </c>
      <c r="BJ83">
        <f>Vout*Table2[[#This Row],[Iout]]</f>
        <v>129.648</v>
      </c>
      <c r="BK83" s="550">
        <f>Table2[[#This Row],[Pout]]/(Table2[[#This Row],[Pout]]+Table2[[#This Row],[Total Loss]])</f>
        <v>0.94796723246114534</v>
      </c>
      <c r="BL83" s="559">
        <f>IF(Table2[[#This Row],[Vin]]&gt;Vout,ThetaJA_Q1*(Table2[[#This Row],[Total Control Bu MOSFET Loss]]+Table2[[#This Row],[Reverse Recovery Loss MOSFET D BUCK]]),ThetaJA_Q4*(Table2[[#This Row],[Total Control Bo MOSFET Loss]]+Table2[[#This Row],[Reverse Recovery Loss MOSFET D BOOST]]))</f>
        <v>147.23780195735719</v>
      </c>
      <c r="BM83" s="559">
        <f>IF(Table2[[#This Row],[Vin]]&gt;Vout, Table2[[#This Row],[Total Sync Bu MOSFET Loss]]*ThetaJA_Q2, ThetaJA_Q3*Table2[[#This Row],[Total Sync Bo MOSFET Loss]])</f>
        <v>49.607564782473602</v>
      </c>
      <c r="BN83" s="9"/>
      <c r="BO83" s="4">
        <f>Table2[[#This Row],[EFF, h]]*100</f>
        <v>94.796723246114539</v>
      </c>
      <c r="BP83" s="354">
        <f>Table2[[#This Row],[Total Inductor Loss]]</f>
        <v>0.74459937328692516</v>
      </c>
      <c r="BQ83" s="354">
        <f>Table2[[#This Row],[Total Control Bu MOSFET Loss]]+Table2[[#This Row],[Total Sync Bu MOSFET Loss]]+Table2[[#This Row],[Total Control Bo MOSFET Loss]]+Table2[[#This Row],[Total Sync Bo MOSFET Loss]]+Table2[[#This Row],[Reverse Recovery Loss MOSFET D BUCK]]+Table2[[#This Row],[Reverse Recovery Loss MOSFET D BOOST]]</f>
        <v>4.1827831490417893</v>
      </c>
      <c r="BR83" s="354">
        <f xml:space="preserve"> Table2[[#This Row],[Total Control Bu MOSFET Loss]]+Table2[[#This Row],[Reverse Recovery Loss MOSFET D BUCK]]*0.66</f>
        <v>2.393691970039153</v>
      </c>
      <c r="BS83" s="354">
        <f>Table2[[#This Row],[Total Sync Bu MOSFET Loss]]+Table2[[#This Row],[Reverse Recovery Loss MOSFET D BUCK]]*0.33</f>
        <v>0.88529145417616006</v>
      </c>
      <c r="BT83" s="354">
        <f xml:space="preserve"> Table2[[#This Row],[Total Control Bo MOSFET Loss]]+Table2[[#This Row],[Reverse Recovery Loss MOSFET D BOOST]]*0.66</f>
        <v>0.4793765281988378</v>
      </c>
      <c r="BU83" s="354">
        <f xml:space="preserve"> Table2[[#This Row],[Total Sync Bo MOSFET Loss]]+Table2[[#This Row],[Reverse Recovery Loss MOSFET D BOOST]]*0.33</f>
        <v>0.42087782039723781</v>
      </c>
      <c r="BV83" s="354">
        <f>Table2[[#This Row],[Isense Shunt Loss]]</f>
        <v>0.19844306362423988</v>
      </c>
      <c r="CB83" s="18"/>
      <c r="CC83" s="19"/>
    </row>
    <row r="84" spans="1:81" x14ac:dyDescent="0.2">
      <c r="G84">
        <v>75</v>
      </c>
      <c r="H84" s="555">
        <f t="shared" si="8"/>
        <v>20</v>
      </c>
      <c r="I84" s="4" t="str">
        <f>IF(Mode = 2,IF(Table2[[#This Row],[Vin]]&gt;Vout, "BUCK","BOOST"),IF(Table2[[#This Row],[Vin]]&gt;VIN_BB_to_buck, "BUCK", IF(Table2[[#This Row],[Vin]]&lt;=VIN_boost_to_BB,"BOOST","BUCK-BST")))</f>
        <v>BUCK</v>
      </c>
      <c r="J84">
        <f>IF(Table2[[#This Row],[Mode]]="BOOST",2, IF(Table2[[#This Row],[Mode]]="BUCK", 1,3))</f>
        <v>1</v>
      </c>
      <c r="K84" s="354">
        <f t="shared" si="11"/>
        <v>9</v>
      </c>
      <c r="L84" s="4">
        <f>Vout*Table2[[#This Row],[Iout]]/(Table2[[#This Row],[Vin]]*Efficiency)</f>
        <v>6.9157894736842112</v>
      </c>
      <c r="M84" s="711">
        <f>MIN(1/Fsw,CHOOSE(Table2[[#This Row],[Mode Digit]],(Vout+(Rdson2+Rs+Rdcr)*Table2[[#This Row],[Iout]])/(Table2[[#This Row],[Vin]]+(Rs+Rdson2-Rdson1)*Table2[[#This Row],[Iout]])/Fsw,(Vout+(Rdson3+Rdcr)*Table2[[#This Row],[Iin]]-Table2[[#This Row],[Vin]])/(Vout+(Rdson3-Rdson4-Rs)*Table2[[#This Row],[Iin]])/Fsw,t1_Ph_II))</f>
        <v>1.2246639197569402E-6</v>
      </c>
      <c r="N84" s="602">
        <f>CHOOSE(Table2[[#This Row],[Mode Digit]],1/Fsw-Table2[[#This Row],[t1_Ph_II]],1/Fsw-Table2[[#This Row],[t1_Ph_II]],(Vout/Fsw-Table2[[#This Row],[Vin]]*t1_Ph_II)/(Table2[[#This Row],[Vin]]+Vout))</f>
        <v>4.4200274690972648E-7</v>
      </c>
      <c r="O84" s="602">
        <f>1/Fsw-(Table2[[#This Row],[t1_Ph_II]]+Table2[[#This Row],[t2_Ph_I]])</f>
        <v>0</v>
      </c>
      <c r="P84"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7.7475028093394931</v>
      </c>
      <c r="Q84" s="4">
        <f>CHOOSE(Table2[[#This Row],[Mode Digit]],Table2[[#This Row],[I_0]]+1/Lf*(Table2[[#This Row],[Vin]]-Vout)*Table2[[#This Row],[t1_Ph_II]],Table2[[#This Row],[I_0]]+1/Lf*Table2[[#This Row],[Vin]]*Table2[[#This Row],[t1_Ph_II]],Table2[[#This Row],[I_0]]+(Table2[[#This Row],[Vin]]-Vout)/L*Table2[[#This Row],[t1_Ph_II]])</f>
        <v>10.252497190660508</v>
      </c>
      <c r="R84" s="4">
        <f>CHOOSE(Table2[[#This Row],[Mode Digit]],0,0,Table2[[#This Row],[I_1]]+Table2[[#This Row],[Vin]]/L*Table2[[#This Row],[t2_Ph_I]])</f>
        <v>0</v>
      </c>
      <c r="S84" s="409">
        <f>Fsw*(Table2[[#This Row],[I_0]]*Table2[[#This Row],[t1_Ph_II]]+Table2[[#This Row],[I_1]]*Table2[[#This Row],[t2_Ph_I]]+Table2[[#This Row],[I_2]]*Table2[[#This Row],[t3_Ph_III]])</f>
        <v>8.4118314478618856</v>
      </c>
      <c r="T84" s="354">
        <f>MIN(1,CHOOSE(Table2[[#This Row],[Mode Digit]],(Vout+(Rdson2+Rs+Rdcr)*Table2[[#This Row],[Iout]])/(Table2[[#This Row],[Vin]]+(Rs+Rdson2-Rdson1)*Table2[[#This Row],[Iout]]),1,Fsw*Table2[[#This Row],[t2_Ph_I]]+Table2[[#This Row],[t1_Ph_II]]))</f>
        <v>0.73479835185416409</v>
      </c>
      <c r="U84" s="354">
        <f>MIN(1,CHOOSE(Table2[[#This Row],[Mode Digit]],0,(Vout+(Rdson3+Rdcr)*Table2[[#This Row],[Iin]]-Table2[[#This Row],[Vin]])/(Vout+(Rdson3-Rdson4-Rs)*Table2[[#This Row],[Iin]]),Fsw*Table2[[#This Row],[t1_Ph_II]]+Table2[[#This Row],[t3_Ph_III]]))</f>
        <v>0</v>
      </c>
      <c r="V84" s="4">
        <f>MAX(Table2[[#This Row],[I_0]:[I_2]])-MIN(Table2[[#This Row],[I_0]:[I_1]])</f>
        <v>2.5049943813210147</v>
      </c>
      <c r="W84"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9.0290041756665591</v>
      </c>
      <c r="X84" s="354">
        <f>(Table2[[#This Row],[Irms Lf]]^2*Rdcr*(1+Ltc*Ta-Ltc*25))/(1-Table2[[#This Row],[Irms Lf]]^2*Rdcr*Ltc*ThetaCa)</f>
        <v>0.49142174525429866</v>
      </c>
      <c r="Y84" s="354">
        <f>ABS(7.759*10^-3*Fsw^0.9458*(0.00787*Table2[[#This Row],[Ripple Current pk-pk]])^2.304)</f>
        <v>0.26665992575645531</v>
      </c>
      <c r="Z84" s="354">
        <f>Table2[[#This Row],[DCR    Loss]]+Table2[[#This Row],[Core Loss]]</f>
        <v>0.75808167101075397</v>
      </c>
      <c r="AA84" s="4">
        <f>IF(Table2[[#This Row],[Vin]]&gt;Vout, Table2[[#This Row],[Ripple Current pk-pk]]/SQRT(12), SQRT(Table2[[#This Row],[Duty Cycle BOOST Leg]]/(1-Table2[[#This Row],[Duty Cycle BOOST Leg]]))*SQRT(Table2[[#This Row],[Iout]]^2+(Table2[[#This Row],[Ripple Current pk-pk]]^2)/12))</f>
        <v>0.723129590187094</v>
      </c>
      <c r="AB84" s="354">
        <f>RCoutEsr*Table2[[#This Row],[Irms Cout]]^2</f>
        <v>2.6145820210207726E-3</v>
      </c>
      <c r="AC84" s="354">
        <f>Table2[[#This Row],[Cout ESR Loss]]</f>
        <v>2.6145820210207726E-3</v>
      </c>
      <c r="AD84" s="4">
        <f>IF(Table2[[#This Row],[Vin]]&gt;Vout, SQRT(Table2[[#This Row],[Duty Cycle BUCK Leg]]*(1-Table2[[#This Row],[Duty Cycle BUCK Leg]]))*SQRT(Table2[[#This Row],[Iout]]^2+(Table2[[#This Row],[Ripple Current pk-pk]]^2)/12), Table2[[#This Row],[Ripple Current pk-pk]]/SQRT(12))</f>
        <v>3.9857683113630729</v>
      </c>
      <c r="AE84" s="354">
        <f>RCinEsr*Table2[[#This Row],[Irms Cin]]^2</f>
        <v>3.1772698063732084E-2</v>
      </c>
      <c r="AF84" s="549">
        <f>Table2[[#This Row],[Cin ESR Loss]]</f>
        <v>3.1772698063732084E-2</v>
      </c>
      <c r="AG84" s="354">
        <f>Table2[[#This Row],[Irms Lf]]</f>
        <v>9.0290041756665591</v>
      </c>
      <c r="AH84" s="354">
        <f>Rdson1*Table2[[#This Row],[Irms BuCtrl]]^2</f>
        <v>0.34239624889765757</v>
      </c>
      <c r="AI84" s="354">
        <f>CHOOSE(Table2[[#This Row],[Mode Digit]], (Table2[[#This Row],[Vin]]*Table2[[#This Row],[Iout]]/2)*(Fsw)*(Tr_buck+Tf_buck), 0, (Table2[[#This Row],[Vin]]*Table2[[#This Row],[Avg IL]]/2)*(Fsw/1)*(Tr_buck+Tf_buck))</f>
        <v>1.7849460497070118</v>
      </c>
      <c r="AJ84">
        <f>IF(Table2[[#This Row],[Vin]]&gt;Vout, IF(Table2[[#This Row],[Iout]]&gt;Table2[[#This Row],[Ripple Current pk-pk]]/2,0,ABS(Table2[[#This Row],[Iout]]-Table2[[#This Row],[Ripple Current pk-pk]]/2)*Vsd_Q1*Deadtime*Fsw),0)</f>
        <v>0</v>
      </c>
      <c r="AK84" s="354">
        <f>(Table2[[#This Row],[Dead Time Loss BuCtrl]]+Table2[[#This Row],[Transition Loss BuCtrl]]+Table2[[#This Row],[RDS(on) Loss BuCtrl]]*(1+RdsonTopTc*Ta-RdsonTopTc*25))/(1-Table2[[#This Row],[RDS(on) Loss BuCtrl]]*RdsonTopTc*ThetaJA_Q1)</f>
        <v>2.3178084381797279</v>
      </c>
      <c r="AL84" s="354">
        <f>Table2[[#This Row],[Irms Lf]]</f>
        <v>9.0290041756665591</v>
      </c>
      <c r="AM84" s="354">
        <f>Rdson2*Table2[[#This Row],[Irms BuSync]]^2</f>
        <v>0.34239624889765757</v>
      </c>
      <c r="AN84"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0.43302857142857143</v>
      </c>
      <c r="AO84" s="354">
        <f>(Table2[[#This Row],[Deadtime Loss BuSync]]+Table2[[#This Row],[RDS(on) Loss BuSync]]*(1+RdsonBotTc*Ta-RdsonBotTc*25))/(1-Table2[[#This Row],[RDS(on) Loss BuSync]]*RdsonBotTc*ThetaJA_Q2)</f>
        <v>0.84485049392614386</v>
      </c>
      <c r="AP84" s="354">
        <f>Table2[[#This Row],[Irms Lf]]</f>
        <v>9.0290041756665591</v>
      </c>
      <c r="AQ84" s="354">
        <f>Rdson4*Table2[[#This Row],[Irms BoCtlr]]^2</f>
        <v>0.34239624889765757</v>
      </c>
      <c r="AR84" s="354">
        <f>CHOOSE(Table2[[#This Row],[Mode Digit]], 0, (Vout*Table2[[#This Row],[Iin]]/2)*(Fsw)*(Tr_boost+Tf_boost), (Vout*Iout/2)*(Fsw/1)*(Tr_boost+Tf_boost))</f>
        <v>0</v>
      </c>
      <c r="AS84" s="354">
        <f>IF(Table2[[#This Row],[Vin]]&gt;Vout, 0, IF(Table2[[#This Row],[Iin]]&gt;Table2[[#This Row],[Ripple Current pk-pk]]/2,0,ABS(Table2[[#This Row],[Iin]]-Table2[[#This Row],[Ripple Current pk-pk]]/2)*Vsd_Q4*Deadtime*Fsw))</f>
        <v>0</v>
      </c>
      <c r="AT84" s="354">
        <f>(Table2[[#This Row],[Dead Time Loss BoCtlr]]+Table2[[#This Row],[Transition Loss BoCtlr]]+Table2[[#This Row],[RDS(on) Loss BoCtlr]]*(1+RdsonTopTc*Ta-RdsonTopTc*25))/(1-Table2[[#This Row],[RDS(on) Loss BoCtlr]]*RdsonTopTc*ThetaJA_Q4)</f>
        <v>0.37305181936005677</v>
      </c>
      <c r="AU84" s="354">
        <f>Table2[[#This Row],[Irms Lf]]</f>
        <v>9.0290041756665591</v>
      </c>
      <c r="AV84" s="354">
        <f>Rdson3*Table2[[#This Row],[Irms BoSync]]^2</f>
        <v>0.34239624889765757</v>
      </c>
      <c r="AW84"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84" s="354">
        <f>(Table2[[#This Row],[Deadtime Loss BoSync]]+Table2[[#This Row],[RDS(on) Loss BoSync]]*(1+RdsonBotTc*Ta-RdsonBotTc*25))/(1-Table2[[#This Row],[RDS(on) Loss BoSync]]*RdsonBotTc*ThetaJA_Q3)</f>
        <v>0.37305181936005677</v>
      </c>
      <c r="AY84" s="354">
        <f>CHOOSE(Table2[[#This Row],[Mode Digit]], Rdson3*Table2[[#This Row],[Irms Lf]]^2, Rdson1*Table2[[#This Row],[Irms Lf]]^2, 0)</f>
        <v>0.34239624889765757</v>
      </c>
      <c r="AZ84" s="354">
        <f>CHOOSE(Table2[[#This Row],[Mode Digit]], 2*Deadtime*Fsw*IF(VfdSky_Q2&gt;0,VfdSky_Q2,0)*Table2[[#This Row],[Iout]], 2*Deadtime*Fsw*IF(VfdSky_Q3&gt;0,VfdSky_Q3,0)*Table2[[#This Row],[Iin]], 2*Deadtime*Fsw*IF(VfdSky_Q2&gt;0,VfdSky_Q2,0)*Table2[[#This Row],[Iout]]+2*Deadtime*Fsw*IF(VfdSky_Q3&gt;0,VfdSky_Q3,0)*Table2[[#This Row],[Iin]])</f>
        <v>0</v>
      </c>
      <c r="BA8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0.17965979999999998</v>
      </c>
      <c r="BB8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0.17965979999999998</v>
      </c>
      <c r="BC84" s="354">
        <f>CHOOSE(Table2[[#This Row],[Mode Digit]], Rs*Table2[[#This Row],[Irms BuSync]]^2, Rs*Table2[[#This Row],[Irms BoCtlr]]^2, Rs*(Table2[[#This Row],[Irms BuSync]]^2+Table2[[#This Row],[Irms BoCtlr]]^2))</f>
        <v>0.20380729101051043</v>
      </c>
      <c r="BD84" s="354">
        <f t="shared" si="9"/>
        <v>1.44</v>
      </c>
      <c r="BE84" s="354">
        <f>IF(Vout&gt;8, Iq*Vout, Iq*Table2[[#This Row],[Vin]])</f>
        <v>4.3799999999999999E-2</v>
      </c>
      <c r="BF84" s="354">
        <f>CHOOSE(Table2[[#This Row],[Mode Digit]], (Qg_Q1+Qg_Q2)*Fsw, (Qg_Q3+Qg_Q4)*Fsw, (Qg_Q1+Qg_Q2+Qg_Q3+Qg_Q4)*Fsw)*IF(Vout&gt;8, Vout, Table2[[#This Row],[Vin]])</f>
        <v>0.47303999999999996</v>
      </c>
      <c r="BG84" s="354">
        <f t="shared" si="10"/>
        <v>0.45605042016806729</v>
      </c>
      <c r="BH84" s="354">
        <f>Table2[[#This Row],[IQ Loss]]+Table2[[#This Row],[Switching Current Loss]]</f>
        <v>0.51683999999999997</v>
      </c>
      <c r="BI84"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7.2211984129320008</v>
      </c>
      <c r="BJ84">
        <f>Vout*Table2[[#This Row],[Iout]]</f>
        <v>131.4</v>
      </c>
      <c r="BK84" s="550">
        <f>Table2[[#This Row],[Pout]]/(Table2[[#This Row],[Pout]]+Table2[[#This Row],[Total Loss]])</f>
        <v>0.94790696880702807</v>
      </c>
      <c r="BL84" s="559">
        <f>IF(Table2[[#This Row],[Vin]]&gt;Vout,ThetaJA_Q1*(Table2[[#This Row],[Total Control Bu MOSFET Loss]]+Table2[[#This Row],[Reverse Recovery Loss MOSFET D BUCK]]),ThetaJA_Q4*(Table2[[#This Row],[Total Control Bo MOSFET Loss]]+Table2[[#This Row],[Reverse Recovery Loss MOSFET D BOOST]]))</f>
        <v>149.84809429078368</v>
      </c>
      <c r="BM84" s="559">
        <f>IF(Table2[[#This Row],[Vin]]&gt;Vout, Table2[[#This Row],[Total Sync Bu MOSFET Loss]]*ThetaJA_Q2, ThetaJA_Q3*Table2[[#This Row],[Total Sync Bo MOSFET Loss]])</f>
        <v>50.691029635568633</v>
      </c>
      <c r="BN84" s="9"/>
      <c r="BO84" s="4">
        <f>Table2[[#This Row],[EFF, h]]*100</f>
        <v>94.790696880702811</v>
      </c>
      <c r="BP84" s="354">
        <f>Table2[[#This Row],[Total Inductor Loss]]</f>
        <v>0.75808167101075397</v>
      </c>
      <c r="BQ84" s="354">
        <f>Table2[[#This Row],[Total Control Bu MOSFET Loss]]+Table2[[#This Row],[Total Sync Bu MOSFET Loss]]+Table2[[#This Row],[Total Control Bo MOSFET Loss]]+Table2[[#This Row],[Total Sync Bo MOSFET Loss]]+Table2[[#This Row],[Reverse Recovery Loss MOSFET D BUCK]]+Table2[[#This Row],[Reverse Recovery Loss MOSFET D BOOST]]</f>
        <v>4.2680821708259851</v>
      </c>
      <c r="BR84" s="354">
        <f xml:space="preserve"> Table2[[#This Row],[Total Control Bu MOSFET Loss]]+Table2[[#This Row],[Reverse Recovery Loss MOSFET D BUCK]]*0.66</f>
        <v>2.4363839061797279</v>
      </c>
      <c r="BS84" s="354">
        <f>Table2[[#This Row],[Total Sync Bu MOSFET Loss]]+Table2[[#This Row],[Reverse Recovery Loss MOSFET D BUCK]]*0.33</f>
        <v>0.90413822792614384</v>
      </c>
      <c r="BT84" s="354">
        <f xml:space="preserve"> Table2[[#This Row],[Total Control Bo MOSFET Loss]]+Table2[[#This Row],[Reverse Recovery Loss MOSFET D BOOST]]*0.66</f>
        <v>0.49162728736005679</v>
      </c>
      <c r="BU84" s="354">
        <f xml:space="preserve"> Table2[[#This Row],[Total Sync Bo MOSFET Loss]]+Table2[[#This Row],[Reverse Recovery Loss MOSFET D BOOST]]*0.33</f>
        <v>0.43233955336005675</v>
      </c>
      <c r="BV84" s="354">
        <f>Table2[[#This Row],[Isense Shunt Loss]]</f>
        <v>0.20380729101051043</v>
      </c>
      <c r="CB84" s="18"/>
      <c r="CC84" s="19"/>
    </row>
    <row r="85" spans="1:81" x14ac:dyDescent="0.2">
      <c r="G85">
        <v>76</v>
      </c>
      <c r="H85" s="555">
        <f t="shared" si="8"/>
        <v>20</v>
      </c>
      <c r="I85" s="4" t="str">
        <f>IF(Mode = 2,IF(Table2[[#This Row],[Vin]]&gt;Vout, "BUCK","BOOST"),IF(Table2[[#This Row],[Vin]]&gt;VIN_BB_to_buck, "BUCK", IF(Table2[[#This Row],[Vin]]&lt;=VIN_boost_to_BB,"BOOST","BUCK-BST")))</f>
        <v>BUCK</v>
      </c>
      <c r="J85">
        <f>IF(Table2[[#This Row],[Mode]]="BOOST",2, IF(Table2[[#This Row],[Mode]]="BUCK", 1,3))</f>
        <v>1</v>
      </c>
      <c r="K85" s="354">
        <f t="shared" si="11"/>
        <v>9.1199999999999992</v>
      </c>
      <c r="L85" s="4">
        <f>Vout*Table2[[#This Row],[Iout]]/(Table2[[#This Row],[Vin]]*Efficiency)</f>
        <v>7.0079999999999991</v>
      </c>
      <c r="M85" s="711">
        <f>MIN(1/Fsw,CHOOSE(Table2[[#This Row],[Mode Digit]],(Vout+(Rdson2+Rs+Rdcr)*Table2[[#This Row],[Iout]])/(Table2[[#This Row],[Vin]]+(Rs+Rdson2-Rdson1)*Table2[[#This Row],[Iout]])/Fsw,(Vout+(Rdson3+Rdcr)*Table2[[#This Row],[Iin]]-Table2[[#This Row],[Vin]])/(Vout+(Rdson3-Rdson4-Rs)*Table2[[#This Row],[Iin]])/Fsw,t1_Ph_II))</f>
        <v>1.2247704283783154E-6</v>
      </c>
      <c r="N85" s="602">
        <f>CHOOSE(Table2[[#This Row],[Mode Digit]],1/Fsw-Table2[[#This Row],[t1_Ph_II]],1/Fsw-Table2[[#This Row],[t1_Ph_II]],(Vout/Fsw-Table2[[#This Row],[Vin]]*t1_Ph_II)/(Table2[[#This Row],[Vin]]+Vout))</f>
        <v>4.4189623828835126E-7</v>
      </c>
      <c r="O85" s="602">
        <f>1/Fsw-(Table2[[#This Row],[t1_Ph_II]]+Table2[[#This Row],[t2_Ph_I]])</f>
        <v>0</v>
      </c>
      <c r="P85"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7.8673938800676311</v>
      </c>
      <c r="Q85" s="4">
        <f>CHOOSE(Table2[[#This Row],[Mode Digit]],Table2[[#This Row],[I_0]]+1/Lf*(Table2[[#This Row],[Vin]]-Vout)*Table2[[#This Row],[t1_Ph_II]],Table2[[#This Row],[I_0]]+1/Lf*Table2[[#This Row],[Vin]]*Table2[[#This Row],[t1_Ph_II]],Table2[[#This Row],[I_0]]+(Table2[[#This Row],[Vin]]-Vout)/L*Table2[[#This Row],[t1_Ph_II]])</f>
        <v>10.372606119932367</v>
      </c>
      <c r="R85" s="4">
        <f>CHOOSE(Table2[[#This Row],[Mode Digit]],0,0,Table2[[#This Row],[I_1]]+Table2[[#This Row],[Vin]]/L*Table2[[#This Row],[t2_Ph_I]])</f>
        <v>0</v>
      </c>
      <c r="S85" s="409">
        <f>Fsw*(Table2[[#This Row],[I_0]]*Table2[[#This Row],[t1_Ph_II]]+Table2[[#This Row],[I_1]]*Table2[[#This Row],[t2_Ph_I]]+Table2[[#This Row],[I_2]]*Table2[[#This Row],[t3_Ph_III]])</f>
        <v>8.5316201990137284</v>
      </c>
      <c r="T85" s="354">
        <f>MIN(1,CHOOSE(Table2[[#This Row],[Mode Digit]],(Vout+(Rdson2+Rs+Rdcr)*Table2[[#This Row],[Iout]])/(Table2[[#This Row],[Vin]]+(Rs+Rdson2-Rdson1)*Table2[[#This Row],[Iout]]),1,Fsw*Table2[[#This Row],[t2_Ph_I]]+Table2[[#This Row],[t1_Ph_II]]))</f>
        <v>0.73486225702698926</v>
      </c>
      <c r="U85" s="354">
        <f>MIN(1,CHOOSE(Table2[[#This Row],[Mode Digit]],0,(Vout+(Rdson3+Rdcr)*Table2[[#This Row],[Iin]]-Table2[[#This Row],[Vin]])/(Vout+(Rdson3-Rdson4-Rs)*Table2[[#This Row],[Iin]]),Fsw*Table2[[#This Row],[t1_Ph_II]]+Table2[[#This Row],[t3_Ph_III]]))</f>
        <v>0</v>
      </c>
      <c r="V85" s="4">
        <f>MAX(Table2[[#This Row],[I_0]:[I_2]])-MIN(Table2[[#This Row],[I_0]:[I_1]])</f>
        <v>2.5052122398647363</v>
      </c>
      <c r="W85"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9.1486287149439676</v>
      </c>
      <c r="X85" s="354">
        <f>(Table2[[#This Row],[Irms Lf]]^2*Rdcr*(1+Ltc*Ta-Ltc*25))/(1-Table2[[#This Row],[Irms Lf]]^2*Rdcr*Ltc*ThetaCa)</f>
        <v>0.50505923981780443</v>
      </c>
      <c r="Y85" s="354">
        <f>ABS(7.759*10^-3*Fsw^0.9458*(0.00787*Table2[[#This Row],[Ripple Current pk-pk]])^2.304)</f>
        <v>0.26671336160307968</v>
      </c>
      <c r="Z85" s="354">
        <f>Table2[[#This Row],[DCR    Loss]]+Table2[[#This Row],[Core Loss]]</f>
        <v>0.77177260142088411</v>
      </c>
      <c r="AA85" s="4">
        <f>IF(Table2[[#This Row],[Vin]]&gt;Vout, Table2[[#This Row],[Ripple Current pk-pk]]/SQRT(12), SQRT(Table2[[#This Row],[Duty Cycle BOOST Leg]]/(1-Table2[[#This Row],[Duty Cycle BOOST Leg]]))*SQRT(Table2[[#This Row],[Iout]]^2+(Table2[[#This Row],[Ripple Current pk-pk]]^2)/12))</f>
        <v>0.72319248053152541</v>
      </c>
      <c r="AB85" s="354">
        <f>RCoutEsr*Table2[[#This Row],[Irms Cout]]^2</f>
        <v>2.6150368194867036E-3</v>
      </c>
      <c r="AC85" s="354">
        <f>Table2[[#This Row],[Cout ESR Loss]]</f>
        <v>2.6150368194867036E-3</v>
      </c>
      <c r="AD85" s="4">
        <f>IF(Table2[[#This Row],[Vin]]&gt;Vout, SQRT(Table2[[#This Row],[Duty Cycle BUCK Leg]]*(1-Table2[[#This Row],[Duty Cycle BUCK Leg]]))*SQRT(Table2[[#This Row],[Iout]]^2+(Table2[[#This Row],[Ripple Current pk-pk]]^2)/12), Table2[[#This Row],[Ripple Current pk-pk]]/SQRT(12))</f>
        <v>4.0382644086626724</v>
      </c>
      <c r="AE85" s="354">
        <f>RCinEsr*Table2[[#This Row],[Irms Cin]]^2</f>
        <v>3.2615158868543367E-2</v>
      </c>
      <c r="AF85" s="549">
        <f>Table2[[#This Row],[Cin ESR Loss]]</f>
        <v>3.2615158868543367E-2</v>
      </c>
      <c r="AG85" s="354">
        <f>Table2[[#This Row],[Irms Lf]]</f>
        <v>9.1486287149439676</v>
      </c>
      <c r="AH85" s="354">
        <f>Rdson1*Table2[[#This Row],[Irms BuCtrl]]^2</f>
        <v>0.35152911092836875</v>
      </c>
      <c r="AI85" s="354">
        <f>CHOOSE(Table2[[#This Row],[Mode Digit]], (Table2[[#This Row],[Vin]]*Table2[[#This Row],[Iout]]/2)*(Fsw)*(Tr_buck+Tf_buck), 0, (Table2[[#This Row],[Vin]]*Table2[[#This Row],[Avg IL]]/2)*(Fsw/1)*(Tr_buck+Tf_buck))</f>
        <v>1.8087453303697718</v>
      </c>
      <c r="AJ85">
        <f>IF(Table2[[#This Row],[Vin]]&gt;Vout, IF(Table2[[#This Row],[Iout]]&gt;Table2[[#This Row],[Ripple Current pk-pk]]/2,0,ABS(Table2[[#This Row],[Iout]]-Table2[[#This Row],[Ripple Current pk-pk]]/2)*Vsd_Q1*Deadtime*Fsw),0)</f>
        <v>0</v>
      </c>
      <c r="AK85" s="354">
        <f>(Table2[[#This Row],[Dead Time Loss BuCtrl]]+Table2[[#This Row],[Transition Loss BuCtrl]]+Table2[[#This Row],[RDS(on) Loss BuCtrl]]*(1+RdsonTopTc*Ta-RdsonTopTc*25))/(1-Table2[[#This Row],[RDS(on) Loss BuCtrl]]*RdsonTopTc*ThetaJA_Q1)</f>
        <v>2.359323451357715</v>
      </c>
      <c r="AL85" s="354">
        <f>Table2[[#This Row],[Irms Lf]]</f>
        <v>9.1486287149439676</v>
      </c>
      <c r="AM85" s="354">
        <f>Rdson2*Table2[[#This Row],[Irms BuSync]]^2</f>
        <v>0.35152911092836875</v>
      </c>
      <c r="AN85"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0.43880228571428564</v>
      </c>
      <c r="AO85" s="354">
        <f>(Table2[[#This Row],[Deadtime Loss BuSync]]+Table2[[#This Row],[RDS(on) Loss BuSync]]*(1+RdsonBotTc*Ta-RdsonBotTc*25))/(1-Table2[[#This Row],[RDS(on) Loss BuSync]]*RdsonBotTc*ThetaJA_Q2)</f>
        <v>0.86315301555982715</v>
      </c>
      <c r="AP85" s="354">
        <f>Table2[[#This Row],[Irms Lf]]</f>
        <v>9.1486287149439676</v>
      </c>
      <c r="AQ85" s="354">
        <f>Rdson4*Table2[[#This Row],[Irms BoCtlr]]^2</f>
        <v>0.35152911092836875</v>
      </c>
      <c r="AR85" s="354">
        <f>CHOOSE(Table2[[#This Row],[Mode Digit]], 0, (Vout*Table2[[#This Row],[Iin]]/2)*(Fsw)*(Tr_boost+Tf_boost), (Vout*Iout/2)*(Fsw/1)*(Tr_boost+Tf_boost))</f>
        <v>0</v>
      </c>
      <c r="AS85" s="354">
        <f>IF(Table2[[#This Row],[Vin]]&gt;Vout, 0, IF(Table2[[#This Row],[Iin]]&gt;Table2[[#This Row],[Ripple Current pk-pk]]/2,0,ABS(Table2[[#This Row],[Iin]]-Table2[[#This Row],[Ripple Current pk-pk]]/2)*Vsd_Q4*Deadtime*Fsw))</f>
        <v>0</v>
      </c>
      <c r="AT85" s="354">
        <f>(Table2[[#This Row],[Dead Time Loss BoCtlr]]+Table2[[#This Row],[Transition Loss BoCtlr]]+Table2[[#This Row],[RDS(on) Loss BoCtlr]]*(1+RdsonTopTc*Ta-RdsonTopTc*25))/(1-Table2[[#This Row],[RDS(on) Loss BoCtlr]]*RdsonTopTc*ThetaJA_Q4)</f>
        <v>0.38391921849977867</v>
      </c>
      <c r="AU85" s="354">
        <f>Table2[[#This Row],[Irms Lf]]</f>
        <v>9.1486287149439676</v>
      </c>
      <c r="AV85" s="354">
        <f>Rdson3*Table2[[#This Row],[Irms BoSync]]^2</f>
        <v>0.35152911092836875</v>
      </c>
      <c r="AW85"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85" s="354">
        <f>(Table2[[#This Row],[Deadtime Loss BoSync]]+Table2[[#This Row],[RDS(on) Loss BoSync]]*(1+RdsonBotTc*Ta-RdsonBotTc*25))/(1-Table2[[#This Row],[RDS(on) Loss BoSync]]*RdsonBotTc*ThetaJA_Q3)</f>
        <v>0.38391921849977867</v>
      </c>
      <c r="AY85" s="354">
        <f>CHOOSE(Table2[[#This Row],[Mode Digit]], Rdson3*Table2[[#This Row],[Irms Lf]]^2, Rdson1*Table2[[#This Row],[Irms Lf]]^2, 0)</f>
        <v>0.35152911092836875</v>
      </c>
      <c r="AZ85" s="354">
        <f>CHOOSE(Table2[[#This Row],[Mode Digit]], 2*Deadtime*Fsw*IF(VfdSky_Q2&gt;0,VfdSky_Q2,0)*Table2[[#This Row],[Iout]], 2*Deadtime*Fsw*IF(VfdSky_Q3&gt;0,VfdSky_Q3,0)*Table2[[#This Row],[Iin]], 2*Deadtime*Fsw*IF(VfdSky_Q2&gt;0,VfdSky_Q2,0)*Table2[[#This Row],[Iout]]+2*Deadtime*Fsw*IF(VfdSky_Q3&gt;0,VfdSky_Q3,0)*Table2[[#This Row],[Iin]])</f>
        <v>0</v>
      </c>
      <c r="BA8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0.18205066751999999</v>
      </c>
      <c r="BB8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0.18205066751999999</v>
      </c>
      <c r="BC85" s="354">
        <f>CHOOSE(Table2[[#This Row],[Mode Digit]], Rs*Table2[[#This Row],[Irms BuSync]]^2, Rs*Table2[[#This Row],[Irms BoCtlr]]^2, Rs*(Table2[[#This Row],[Irms BuSync]]^2+Table2[[#This Row],[Irms BoCtlr]]^2))</f>
        <v>0.20924351840974328</v>
      </c>
      <c r="BD85" s="354">
        <f t="shared" si="9"/>
        <v>1.44</v>
      </c>
      <c r="BE85" s="354">
        <f>IF(Vout&gt;8, Iq*Vout, Iq*Table2[[#This Row],[Vin]])</f>
        <v>4.3799999999999999E-2</v>
      </c>
      <c r="BF85" s="354">
        <f>CHOOSE(Table2[[#This Row],[Mode Digit]], (Qg_Q1+Qg_Q2)*Fsw, (Qg_Q3+Qg_Q4)*Fsw, (Qg_Q1+Qg_Q2+Qg_Q3+Qg_Q4)*Fsw)*IF(Vout&gt;8, Vout, Table2[[#This Row],[Vin]])</f>
        <v>0.47303999999999996</v>
      </c>
      <c r="BG85" s="354">
        <f t="shared" si="10"/>
        <v>0.45605042016806729</v>
      </c>
      <c r="BH85" s="354">
        <f>Table2[[#This Row],[IQ Loss]]+Table2[[#This Row],[Switching Current Loss]]</f>
        <v>0.51683999999999997</v>
      </c>
      <c r="BI85"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7.3275025544757586</v>
      </c>
      <c r="BJ85">
        <f>Vout*Table2[[#This Row],[Iout]]</f>
        <v>133.15199999999999</v>
      </c>
      <c r="BK85" s="550">
        <f>Table2[[#This Row],[Pout]]/(Table2[[#This Row],[Pout]]+Table2[[#This Row],[Total Loss]])</f>
        <v>0.94783934722694319</v>
      </c>
      <c r="BL85" s="559">
        <f>IF(Table2[[#This Row],[Vin]]&gt;Vout,ThetaJA_Q1*(Table2[[#This Row],[Total Control Bu MOSFET Loss]]+Table2[[#This Row],[Reverse Recovery Loss MOSFET D BUCK]]),ThetaJA_Q4*(Table2[[#This Row],[Total Control Bo MOSFET Loss]]+Table2[[#This Row],[Reverse Recovery Loss MOSFET D BOOST]]))</f>
        <v>152.48244713266291</v>
      </c>
      <c r="BM85" s="559">
        <f>IF(Table2[[#This Row],[Vin]]&gt;Vout, Table2[[#This Row],[Total Sync Bu MOSFET Loss]]*ThetaJA_Q2, ThetaJA_Q3*Table2[[#This Row],[Total Sync Bo MOSFET Loss]])</f>
        <v>51.789180933589627</v>
      </c>
      <c r="BN85" s="9"/>
      <c r="BO85" s="4">
        <f>Table2[[#This Row],[EFF, h]]*100</f>
        <v>94.783934722694312</v>
      </c>
      <c r="BP85" s="354">
        <f>Table2[[#This Row],[Total Inductor Loss]]</f>
        <v>0.77177260142088411</v>
      </c>
      <c r="BQ85" s="354">
        <f>Table2[[#This Row],[Total Control Bu MOSFET Loss]]+Table2[[#This Row],[Total Sync Bu MOSFET Loss]]+Table2[[#This Row],[Total Control Bo MOSFET Loss]]+Table2[[#This Row],[Total Sync Bo MOSFET Loss]]+Table2[[#This Row],[Reverse Recovery Loss MOSFET D BUCK]]+Table2[[#This Row],[Reverse Recovery Loss MOSFET D BOOST]]</f>
        <v>4.3544162389570999</v>
      </c>
      <c r="BR85" s="354">
        <f xml:space="preserve"> Table2[[#This Row],[Total Control Bu MOSFET Loss]]+Table2[[#This Row],[Reverse Recovery Loss MOSFET D BUCK]]*0.66</f>
        <v>2.4794768919209149</v>
      </c>
      <c r="BS85" s="354">
        <f>Table2[[#This Row],[Total Sync Bu MOSFET Loss]]+Table2[[#This Row],[Reverse Recovery Loss MOSFET D BUCK]]*0.33</f>
        <v>0.9232297358414272</v>
      </c>
      <c r="BT85" s="354">
        <f xml:space="preserve"> Table2[[#This Row],[Total Control Bo MOSFET Loss]]+Table2[[#This Row],[Reverse Recovery Loss MOSFET D BOOST]]*0.66</f>
        <v>0.50407265906297871</v>
      </c>
      <c r="BU85" s="354">
        <f xml:space="preserve"> Table2[[#This Row],[Total Sync Bo MOSFET Loss]]+Table2[[#This Row],[Reverse Recovery Loss MOSFET D BOOST]]*0.33</f>
        <v>0.44399593878137866</v>
      </c>
      <c r="BV85" s="354">
        <f>Table2[[#This Row],[Isense Shunt Loss]]</f>
        <v>0.20924351840974328</v>
      </c>
      <c r="CB85" s="18"/>
      <c r="CC85" s="19"/>
    </row>
    <row r="86" spans="1:81" x14ac:dyDescent="0.2">
      <c r="G86">
        <v>77</v>
      </c>
      <c r="H86" s="555">
        <f t="shared" si="8"/>
        <v>20</v>
      </c>
      <c r="I86" s="4" t="str">
        <f>IF(Mode = 2,IF(Table2[[#This Row],[Vin]]&gt;Vout, "BUCK","BOOST"),IF(Table2[[#This Row],[Vin]]&gt;VIN_BB_to_buck, "BUCK", IF(Table2[[#This Row],[Vin]]&lt;=VIN_boost_to_BB,"BOOST","BUCK-BST")))</f>
        <v>BUCK</v>
      </c>
      <c r="J86">
        <f>IF(Table2[[#This Row],[Mode]]="BOOST",2, IF(Table2[[#This Row],[Mode]]="BUCK", 1,3))</f>
        <v>1</v>
      </c>
      <c r="K86" s="354">
        <f t="shared" si="11"/>
        <v>9.24</v>
      </c>
      <c r="L86" s="4">
        <f>Vout*Table2[[#This Row],[Iout]]/(Table2[[#This Row],[Vin]]*Efficiency)</f>
        <v>7.1002105263157889</v>
      </c>
      <c r="M86" s="711">
        <f>MIN(1/Fsw,CHOOSE(Table2[[#This Row],[Mode Digit]],(Vout+(Rdson2+Rs+Rdcr)*Table2[[#This Row],[Iout]])/(Table2[[#This Row],[Vin]]+(Rs+Rdson2-Rdson1)*Table2[[#This Row],[Iout]])/Fsw,(Vout+(Rdson3+Rdcr)*Table2[[#This Row],[Iin]]-Table2[[#This Row],[Vin]])/(Vout+(Rdson3-Rdson4-Rs)*Table2[[#This Row],[Iin]])/Fsw,t1_Ph_II))</f>
        <v>1.2248769338081183E-6</v>
      </c>
      <c r="N86" s="602">
        <f>CHOOSE(Table2[[#This Row],[Mode Digit]],1/Fsw-Table2[[#This Row],[t1_Ph_II]],1/Fsw-Table2[[#This Row],[t1_Ph_II]],(Vout/Fsw-Table2[[#This Row],[Vin]]*t1_Ph_II)/(Table2[[#This Row],[Vin]]+Vout))</f>
        <v>4.4178973285854833E-7</v>
      </c>
      <c r="O86" s="602">
        <f>1/Fsw-(Table2[[#This Row],[t1_Ph_II]]+Table2[[#This Row],[t2_Ph_I]])</f>
        <v>0</v>
      </c>
      <c r="P86"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7.9872849540598789</v>
      </c>
      <c r="Q86" s="4">
        <f>CHOOSE(Table2[[#This Row],[Mode Digit]],Table2[[#This Row],[I_0]]+1/Lf*(Table2[[#This Row],[Vin]]-Vout)*Table2[[#This Row],[t1_Ph_II]],Table2[[#This Row],[I_0]]+1/Lf*Table2[[#This Row],[Vin]]*Table2[[#This Row],[t1_Ph_II]],Table2[[#This Row],[I_0]]+(Table2[[#This Row],[Vin]]-Vout)/L*Table2[[#This Row],[t1_Ph_II]])</f>
        <v>10.492715045940121</v>
      </c>
      <c r="R86" s="4">
        <f>CHOOSE(Table2[[#This Row],[Mode Digit]],0,0,Table2[[#This Row],[I_1]]+Table2[[#This Row],[Vin]]/L*Table2[[#This Row],[t2_Ph_I]])</f>
        <v>0</v>
      </c>
      <c r="S86" s="409">
        <f>Fsw*(Table2[[#This Row],[I_0]]*Table2[[#This Row],[t1_Ph_II]]+Table2[[#This Row],[I_1]]*Table2[[#This Row],[t2_Ph_I]]+Table2[[#This Row],[I_2]]*Table2[[#This Row],[t3_Ph_III]])</f>
        <v>8.651408928652403</v>
      </c>
      <c r="T86" s="354">
        <f>MIN(1,CHOOSE(Table2[[#This Row],[Mode Digit]],(Vout+(Rdson2+Rs+Rdcr)*Table2[[#This Row],[Iout]])/(Table2[[#This Row],[Vin]]+(Rs+Rdson2-Rdson1)*Table2[[#This Row],[Iout]]),1,Fsw*Table2[[#This Row],[t2_Ph_I]]+Table2[[#This Row],[t1_Ph_II]]))</f>
        <v>0.73492616028487101</v>
      </c>
      <c r="U86" s="354">
        <f>MIN(1,CHOOSE(Table2[[#This Row],[Mode Digit]],0,(Vout+(Rdson3+Rdcr)*Table2[[#This Row],[Iin]]-Table2[[#This Row],[Vin]])/(Vout+(Rdson3-Rdson4-Rs)*Table2[[#This Row],[Iin]]),Fsw*Table2[[#This Row],[t1_Ph_II]]+Table2[[#This Row],[t3_Ph_III]]))</f>
        <v>0</v>
      </c>
      <c r="V86" s="4">
        <f>MAX(Table2[[#This Row],[I_0]:[I_2]])-MIN(Table2[[#This Row],[I_0]:[I_1]])</f>
        <v>2.5054300918802426</v>
      </c>
      <c r="W86"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9.268262961783881</v>
      </c>
      <c r="X86" s="354">
        <f>(Table2[[#This Row],[Irms Lf]]^2*Rdcr*(1+Ltc*Ta-Ltc*25))/(1-Table2[[#This Row],[Irms Lf]]^2*Rdcr*Ltc*ThetaCa)</f>
        <v>0.5189065897364491</v>
      </c>
      <c r="Y86" s="354">
        <f>ABS(7.759*10^-3*Fsw^0.9458*(0.00787*Table2[[#This Row],[Ripple Current pk-pk]])^2.304)</f>
        <v>0.2667668019080992</v>
      </c>
      <c r="Z86" s="354">
        <f>Table2[[#This Row],[DCR    Loss]]+Table2[[#This Row],[Core Loss]]</f>
        <v>0.7856733916445483</v>
      </c>
      <c r="AA86" s="4">
        <f>IF(Table2[[#This Row],[Vin]]&gt;Vout, Table2[[#This Row],[Ripple Current pk-pk]]/SQRT(12), SQRT(Table2[[#This Row],[Duty Cycle BOOST Leg]]/(1-Table2[[#This Row],[Duty Cycle BOOST Leg]]))*SQRT(Table2[[#This Row],[Iout]]^2+(Table2[[#This Row],[Ripple Current pk-pk]]^2)/12))</f>
        <v>0.72325536899142351</v>
      </c>
      <c r="AB86" s="354">
        <f>RCoutEsr*Table2[[#This Row],[Irms Cout]]^2</f>
        <v>2.6154916438746005E-3</v>
      </c>
      <c r="AC86" s="354">
        <f>Table2[[#This Row],[Cout ESR Loss]]</f>
        <v>2.6154916438746005E-3</v>
      </c>
      <c r="AD86" s="4">
        <f>IF(Table2[[#This Row],[Vin]]&gt;Vout, SQRT(Table2[[#This Row],[Duty Cycle BUCK Leg]]*(1-Table2[[#This Row],[Duty Cycle BUCK Leg]]))*SQRT(Table2[[#This Row],[Iout]]^2+(Table2[[#This Row],[Ripple Current pk-pk]]^2)/12), Table2[[#This Row],[Ripple Current pk-pk]]/SQRT(12))</f>
        <v>4.0907565563945045</v>
      </c>
      <c r="AE86" s="354">
        <f>RCinEsr*Table2[[#This Row],[Irms Cin]]^2</f>
        <v>3.3468578407369248E-2</v>
      </c>
      <c r="AF86" s="549">
        <f>Table2[[#This Row],[Cin ESR Loss]]</f>
        <v>3.3468578407369248E-2</v>
      </c>
      <c r="AG86" s="354">
        <f>Table2[[#This Row],[Irms Lf]]</f>
        <v>9.268262961783881</v>
      </c>
      <c r="AH86" s="354">
        <f>Rdson1*Table2[[#This Row],[Irms BuCtrl]]^2</f>
        <v>0.36078293298085473</v>
      </c>
      <c r="AI86" s="354">
        <f>CHOOSE(Table2[[#This Row],[Mode Digit]], (Table2[[#This Row],[Vin]]*Table2[[#This Row],[Iout]]/2)*(Fsw)*(Tr_buck+Tf_buck), 0, (Table2[[#This Row],[Vin]]*Table2[[#This Row],[Avg IL]]/2)*(Fsw/1)*(Tr_buck+Tf_buck))</f>
        <v>1.8325446110325321</v>
      </c>
      <c r="AJ86">
        <f>IF(Table2[[#This Row],[Vin]]&gt;Vout, IF(Table2[[#This Row],[Iout]]&gt;Table2[[#This Row],[Ripple Current pk-pk]]/2,0,ABS(Table2[[#This Row],[Iout]]-Table2[[#This Row],[Ripple Current pk-pk]]/2)*Vsd_Q1*Deadtime*Fsw),0)</f>
        <v>0</v>
      </c>
      <c r="AK86" s="354">
        <f>(Table2[[#This Row],[Dead Time Loss BuCtrl]]+Table2[[#This Row],[Transition Loss BuCtrl]]+Table2[[#This Row],[RDS(on) Loss BuCtrl]]*(1+RdsonTopTc*Ta-RdsonTopTc*25))/(1-Table2[[#This Row],[RDS(on) Loss BuCtrl]]*RdsonTopTc*ThetaJA_Q1)</f>
        <v>2.4012464400408531</v>
      </c>
      <c r="AL86" s="354">
        <f>Table2[[#This Row],[Irms Lf]]</f>
        <v>9.268262961783881</v>
      </c>
      <c r="AM86" s="354">
        <f>Rdson2*Table2[[#This Row],[Irms BuSync]]^2</f>
        <v>0.36078293298085473</v>
      </c>
      <c r="AN86"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0.44457600000000003</v>
      </c>
      <c r="AO86" s="354">
        <f>(Table2[[#This Row],[Deadtime Loss BuSync]]+Table2[[#This Row],[RDS(on) Loss BuSync]]*(1+RdsonBotTc*Ta-RdsonBotTc*25))/(1-Table2[[#This Row],[RDS(on) Loss BuSync]]*RdsonBotTc*ThetaJA_Q2)</f>
        <v>0.8817038184988818</v>
      </c>
      <c r="AP86" s="354">
        <f>Table2[[#This Row],[Irms Lf]]</f>
        <v>9.268262961783881</v>
      </c>
      <c r="AQ86" s="354">
        <f>Rdson4*Table2[[#This Row],[Irms BoCtlr]]^2</f>
        <v>0.36078293298085473</v>
      </c>
      <c r="AR86" s="354">
        <f>CHOOSE(Table2[[#This Row],[Mode Digit]], 0, (Vout*Table2[[#This Row],[Iin]]/2)*(Fsw)*(Tr_boost+Tf_boost), (Vout*Iout/2)*(Fsw/1)*(Tr_boost+Tf_boost))</f>
        <v>0</v>
      </c>
      <c r="AS86" s="354">
        <f>IF(Table2[[#This Row],[Vin]]&gt;Vout, 0, IF(Table2[[#This Row],[Iin]]&gt;Table2[[#This Row],[Ripple Current pk-pk]]/2,0,ABS(Table2[[#This Row],[Iin]]-Table2[[#This Row],[Ripple Current pk-pk]]/2)*Vsd_Q4*Deadtime*Fsw))</f>
        <v>0</v>
      </c>
      <c r="AT86" s="354">
        <f>(Table2[[#This Row],[Dead Time Loss BoCtlr]]+Table2[[#This Row],[Transition Loss BoCtlr]]+Table2[[#This Row],[RDS(on) Loss BoCtlr]]*(1+RdsonTopTc*Ta-RdsonTopTc*25))/(1-Table2[[#This Row],[RDS(on) Loss BoCtlr]]*RdsonTopTc*ThetaJA_Q4)</f>
        <v>0.39498374778194434</v>
      </c>
      <c r="AU86" s="354">
        <f>Table2[[#This Row],[Irms Lf]]</f>
        <v>9.268262961783881</v>
      </c>
      <c r="AV86" s="354">
        <f>Rdson3*Table2[[#This Row],[Irms BoSync]]^2</f>
        <v>0.36078293298085473</v>
      </c>
      <c r="AW86"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86" s="354">
        <f>(Table2[[#This Row],[Deadtime Loss BoSync]]+Table2[[#This Row],[RDS(on) Loss BoSync]]*(1+RdsonBotTc*Ta-RdsonBotTc*25))/(1-Table2[[#This Row],[RDS(on) Loss BoSync]]*RdsonBotTc*ThetaJA_Q3)</f>
        <v>0.39498374778194434</v>
      </c>
      <c r="AY86" s="354">
        <f>CHOOSE(Table2[[#This Row],[Mode Digit]], Rdson3*Table2[[#This Row],[Irms Lf]]^2, Rdson1*Table2[[#This Row],[Irms Lf]]^2, 0)</f>
        <v>0.36078293298085473</v>
      </c>
      <c r="AZ86" s="354">
        <f>CHOOSE(Table2[[#This Row],[Mode Digit]], 2*Deadtime*Fsw*IF(VfdSky_Q2&gt;0,VfdSky_Q2,0)*Table2[[#This Row],[Iout]], 2*Deadtime*Fsw*IF(VfdSky_Q3&gt;0,VfdSky_Q3,0)*Table2[[#This Row],[Iin]], 2*Deadtime*Fsw*IF(VfdSky_Q2&gt;0,VfdSky_Q2,0)*Table2[[#This Row],[Iout]]+2*Deadtime*Fsw*IF(VfdSky_Q3&gt;0,VfdSky_Q3,0)*Table2[[#This Row],[Iin]])</f>
        <v>0</v>
      </c>
      <c r="BA8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0.18444141408000003</v>
      </c>
      <c r="BB8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0.18444141408000003</v>
      </c>
      <c r="BC86" s="354">
        <f>CHOOSE(Table2[[#This Row],[Mode Digit]], Rs*Table2[[#This Row],[Irms BuSync]]^2, Rs*Table2[[#This Row],[Irms BoCtlr]]^2, Rs*(Table2[[#This Row],[Irms BuSync]]^2+Table2[[#This Row],[Irms BoCtlr]]^2))</f>
        <v>0.21475174582193732</v>
      </c>
      <c r="BD86" s="354">
        <f t="shared" si="9"/>
        <v>1.44</v>
      </c>
      <c r="BE86" s="354">
        <f>IF(Vout&gt;8, Iq*Vout, Iq*Table2[[#This Row],[Vin]])</f>
        <v>4.3799999999999999E-2</v>
      </c>
      <c r="BF86" s="354">
        <f>CHOOSE(Table2[[#This Row],[Mode Digit]], (Qg_Q1+Qg_Q2)*Fsw, (Qg_Q3+Qg_Q4)*Fsw, (Qg_Q1+Qg_Q2+Qg_Q3+Qg_Q4)*Fsw)*IF(Vout&gt;8, Vout, Table2[[#This Row],[Vin]])</f>
        <v>0.47303999999999996</v>
      </c>
      <c r="BG86" s="354">
        <f t="shared" si="10"/>
        <v>0.45605042016806729</v>
      </c>
      <c r="BH86" s="354">
        <f>Table2[[#This Row],[IQ Loss]]+Table2[[#This Row],[Switching Current Loss]]</f>
        <v>0.51683999999999997</v>
      </c>
      <c r="BI86"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7.4351497897813541</v>
      </c>
      <c r="BJ86">
        <f>Vout*Table2[[#This Row],[Iout]]</f>
        <v>134.904</v>
      </c>
      <c r="BK86" s="550">
        <f>Table2[[#This Row],[Pout]]/(Table2[[#This Row],[Pout]]+Table2[[#This Row],[Total Loss]])</f>
        <v>0.94776454825842216</v>
      </c>
      <c r="BL86" s="559">
        <f>IF(Table2[[#This Row],[Vin]]&gt;Vout,ThetaJA_Q1*(Table2[[#This Row],[Total Control Bu MOSFET Loss]]+Table2[[#This Row],[Reverse Recovery Loss MOSFET D BUCK]]),ThetaJA_Q4*(Table2[[#This Row],[Total Control Bo MOSFET Loss]]+Table2[[#This Row],[Reverse Recovery Loss MOSFET D BOOST]]))</f>
        <v>155.14127124725118</v>
      </c>
      <c r="BM86" s="559">
        <f>IF(Table2[[#This Row],[Vin]]&gt;Vout, Table2[[#This Row],[Total Sync Bu MOSFET Loss]]*ThetaJA_Q2, ThetaJA_Q3*Table2[[#This Row],[Total Sync Bo MOSFET Loss]])</f>
        <v>52.902229109932911</v>
      </c>
      <c r="BN86" s="9"/>
      <c r="BO86" s="4">
        <f>Table2[[#This Row],[EFF, h]]*100</f>
        <v>94.776454825842222</v>
      </c>
      <c r="BP86" s="354">
        <f>Table2[[#This Row],[Total Inductor Loss]]</f>
        <v>0.7856733916445483</v>
      </c>
      <c r="BQ86" s="354">
        <f>Table2[[#This Row],[Total Control Bu MOSFET Loss]]+Table2[[#This Row],[Total Sync Bu MOSFET Loss]]+Table2[[#This Row],[Total Control Bo MOSFET Loss]]+Table2[[#This Row],[Total Sync Bo MOSFET Loss]]+Table2[[#This Row],[Reverse Recovery Loss MOSFET D BUCK]]+Table2[[#This Row],[Reverse Recovery Loss MOSFET D BOOST]]</f>
        <v>4.4418005822636237</v>
      </c>
      <c r="BR86" s="354">
        <f xml:space="preserve"> Table2[[#This Row],[Total Control Bu MOSFET Loss]]+Table2[[#This Row],[Reverse Recovery Loss MOSFET D BUCK]]*0.66</f>
        <v>2.5229777733336531</v>
      </c>
      <c r="BS86" s="354">
        <f>Table2[[#This Row],[Total Sync Bu MOSFET Loss]]+Table2[[#This Row],[Reverse Recovery Loss MOSFET D BUCK]]*0.33</f>
        <v>0.94256948514528183</v>
      </c>
      <c r="BT86" s="354">
        <f xml:space="preserve"> Table2[[#This Row],[Total Control Bo MOSFET Loss]]+Table2[[#This Row],[Reverse Recovery Loss MOSFET D BOOST]]*0.66</f>
        <v>0.5167150810747444</v>
      </c>
      <c r="BU86" s="354">
        <f xml:space="preserve"> Table2[[#This Row],[Total Sync Bo MOSFET Loss]]+Table2[[#This Row],[Reverse Recovery Loss MOSFET D BOOST]]*0.33</f>
        <v>0.45584941442834437</v>
      </c>
      <c r="BV86" s="354">
        <f>Table2[[#This Row],[Isense Shunt Loss]]</f>
        <v>0.21475174582193732</v>
      </c>
      <c r="CB86" s="18"/>
      <c r="CC86" s="19"/>
    </row>
    <row r="87" spans="1:81" x14ac:dyDescent="0.2">
      <c r="G87">
        <v>78</v>
      </c>
      <c r="H87" s="555">
        <f t="shared" si="8"/>
        <v>20</v>
      </c>
      <c r="I87" s="4" t="str">
        <f>IF(Mode = 2,IF(Table2[[#This Row],[Vin]]&gt;Vout, "BUCK","BOOST"),IF(Table2[[#This Row],[Vin]]&gt;VIN_BB_to_buck, "BUCK", IF(Table2[[#This Row],[Vin]]&lt;=VIN_boost_to_BB,"BOOST","BUCK-BST")))</f>
        <v>BUCK</v>
      </c>
      <c r="J87">
        <f>IF(Table2[[#This Row],[Mode]]="BOOST",2, IF(Table2[[#This Row],[Mode]]="BUCK", 1,3))</f>
        <v>1</v>
      </c>
      <c r="K87" s="354">
        <f t="shared" si="11"/>
        <v>9.36</v>
      </c>
      <c r="L87" s="4">
        <f>Vout*Table2[[#This Row],[Iout]]/(Table2[[#This Row],[Vin]]*Efficiency)</f>
        <v>7.1924210526315777</v>
      </c>
      <c r="M87" s="711">
        <f>MIN(1/Fsw,CHOOSE(Table2[[#This Row],[Mode Digit]],(Vout+(Rdson2+Rs+Rdcr)*Table2[[#This Row],[Iout]])/(Table2[[#This Row],[Vin]]+(Rs+Rdson2-Rdson1)*Table2[[#This Row],[Iout]])/Fsw,(Vout+(Rdson3+Rdcr)*Table2[[#This Row],[Iin]]-Table2[[#This Row],[Vin]])/(Vout+(Rdson3-Rdson4-Rs)*Table2[[#This Row],[Iin]])/Fsw,t1_Ph_II))</f>
        <v>1.2249834360464923E-6</v>
      </c>
      <c r="N87" s="602">
        <f>CHOOSE(Table2[[#This Row],[Mode Digit]],1/Fsw-Table2[[#This Row],[t1_Ph_II]],1/Fsw-Table2[[#This Row],[t1_Ph_II]],(Vout/Fsw-Table2[[#This Row],[Vin]]*t1_Ph_II)/(Table2[[#This Row],[Vin]]+Vout))</f>
        <v>4.4168323062017432E-7</v>
      </c>
      <c r="O87" s="602">
        <f>1/Fsw-(Table2[[#This Row],[t1_Ph_II]]+Table2[[#This Row],[t2_Ph_I]])</f>
        <v>0</v>
      </c>
      <c r="P87"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8.1071760313160866</v>
      </c>
      <c r="Q87" s="4">
        <f>CHOOSE(Table2[[#This Row],[Mode Digit]],Table2[[#This Row],[I_0]]+1/Lf*(Table2[[#This Row],[Vin]]-Vout)*Table2[[#This Row],[t1_Ph_II]],Table2[[#This Row],[I_0]]+1/Lf*Table2[[#This Row],[Vin]]*Table2[[#This Row],[t1_Ph_II]],Table2[[#This Row],[I_0]]+(Table2[[#This Row],[Vin]]-Vout)/L*Table2[[#This Row],[t1_Ph_II]])</f>
        <v>10.612823968683912</v>
      </c>
      <c r="R87" s="4">
        <f>CHOOSE(Table2[[#This Row],[Mode Digit]],0,0,Table2[[#This Row],[I_1]]+Table2[[#This Row],[Vin]]/L*Table2[[#This Row],[t2_Ph_I]])</f>
        <v>0</v>
      </c>
      <c r="S87" s="409">
        <f>Fsw*(Table2[[#This Row],[I_0]]*Table2[[#This Row],[t1_Ph_II]]+Table2[[#This Row],[I_1]]*Table2[[#This Row],[t2_Ph_I]]+Table2[[#This Row],[I_2]]*Table2[[#This Row],[t3_Ph_III]])</f>
        <v>8.7711976367801245</v>
      </c>
      <c r="T87" s="354">
        <f>MIN(1,CHOOSE(Table2[[#This Row],[Mode Digit]],(Vout+(Rdson2+Rs+Rdcr)*Table2[[#This Row],[Iout]])/(Table2[[#This Row],[Vin]]+(Rs+Rdson2-Rdson1)*Table2[[#This Row],[Iout]]),1,Fsw*Table2[[#This Row],[t2_Ph_I]]+Table2[[#This Row],[t1_Ph_II]]))</f>
        <v>0.73499006162789537</v>
      </c>
      <c r="U87" s="354">
        <f>MIN(1,CHOOSE(Table2[[#This Row],[Mode Digit]],0,(Vout+(Rdson3+Rdcr)*Table2[[#This Row],[Iin]]-Table2[[#This Row],[Vin]])/(Vout+(Rdson3-Rdson4-Rs)*Table2[[#This Row],[Iin]]),Fsw*Table2[[#This Row],[t1_Ph_II]]+Table2[[#This Row],[t3_Ph_III]]))</f>
        <v>0</v>
      </c>
      <c r="V87" s="4">
        <f>MAX(Table2[[#This Row],[I_0]:[I_2]])-MIN(Table2[[#This Row],[I_0]:[I_1]])</f>
        <v>2.5056479373678258</v>
      </c>
      <c r="W87"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9.3879065450629788</v>
      </c>
      <c r="X87" s="354">
        <f>(Table2[[#This Row],[Irms Lf]]^2*Rdcr*(1+Ltc*Ta-Ltc*25))/(1-Table2[[#This Row],[Irms Lf]]^2*Rdcr*Ltc*ThetaCa)</f>
        <v>0.53296504487909457</v>
      </c>
      <c r="Y87" s="354">
        <f>ABS(7.759*10^-3*Fsw^0.9458*(0.00787*Table2[[#This Row],[Ripple Current pk-pk]])^2.304)</f>
        <v>0.26682024667120074</v>
      </c>
      <c r="Z87" s="354">
        <f>Table2[[#This Row],[DCR    Loss]]+Table2[[#This Row],[Core Loss]]</f>
        <v>0.79978529155029532</v>
      </c>
      <c r="AA87" s="4">
        <f>IF(Table2[[#This Row],[Vin]]&gt;Vout, Table2[[#This Row],[Ripple Current pk-pk]]/SQRT(12), SQRT(Table2[[#This Row],[Duty Cycle BOOST Leg]]/(1-Table2[[#This Row],[Duty Cycle BOOST Leg]]))*SQRT(Table2[[#This Row],[Iout]]^2+(Table2[[#This Row],[Ripple Current pk-pk]]^2)/12))</f>
        <v>0.72331825556687246</v>
      </c>
      <c r="AB87" s="354">
        <f>RCoutEsr*Table2[[#This Row],[Irms Cout]]^2</f>
        <v>2.615946494181517E-3</v>
      </c>
      <c r="AC87" s="354">
        <f>Table2[[#This Row],[Cout ESR Loss]]</f>
        <v>2.615946494181517E-3</v>
      </c>
      <c r="AD87" s="4">
        <f>IF(Table2[[#This Row],[Vin]]&gt;Vout, SQRT(Table2[[#This Row],[Duty Cycle BUCK Leg]]*(1-Table2[[#This Row],[Duty Cycle BUCK Leg]]))*SQRT(Table2[[#This Row],[Iout]]^2+(Table2[[#This Row],[Ripple Current pk-pk]]^2)/12), Table2[[#This Row],[Ripple Current pk-pk]]/SQRT(12))</f>
        <v>4.1432445858661957</v>
      </c>
      <c r="AE87" s="354">
        <f>RCinEsr*Table2[[#This Row],[Irms Cin]]^2</f>
        <v>3.4332951396619085E-2</v>
      </c>
      <c r="AF87" s="549">
        <f>Table2[[#This Row],[Cin ESR Loss]]</f>
        <v>3.4332951396619085E-2</v>
      </c>
      <c r="AG87" s="354">
        <f>Table2[[#This Row],[Irms Lf]]</f>
        <v>9.3879065450629788</v>
      </c>
      <c r="AH87" s="354">
        <f>Rdson1*Table2[[#This Row],[Irms BuCtrl]]^2</f>
        <v>0.37015771505511258</v>
      </c>
      <c r="AI87" s="354">
        <f>CHOOSE(Table2[[#This Row],[Mode Digit]], (Table2[[#This Row],[Vin]]*Table2[[#This Row],[Iout]]/2)*(Fsw)*(Tr_buck+Tf_buck), 0, (Table2[[#This Row],[Vin]]*Table2[[#This Row],[Avg IL]]/2)*(Fsw/1)*(Tr_buck+Tf_buck))</f>
        <v>1.8563438916952923</v>
      </c>
      <c r="AJ87">
        <f>IF(Table2[[#This Row],[Vin]]&gt;Vout, IF(Table2[[#This Row],[Iout]]&gt;Table2[[#This Row],[Ripple Current pk-pk]]/2,0,ABS(Table2[[#This Row],[Iout]]-Table2[[#This Row],[Ripple Current pk-pk]]/2)*Vsd_Q1*Deadtime*Fsw),0)</f>
        <v>0</v>
      </c>
      <c r="AK87" s="354">
        <f>(Table2[[#This Row],[Dead Time Loss BuCtrl]]+Table2[[#This Row],[Transition Loss BuCtrl]]+Table2[[#This Row],[RDS(on) Loss BuCtrl]]*(1+RdsonTopTc*Ta-RdsonTopTc*25))/(1-Table2[[#This Row],[RDS(on) Loss BuCtrl]]*RdsonTopTc*ThetaJA_Q1)</f>
        <v>2.4435843946024987</v>
      </c>
      <c r="AL87" s="354">
        <f>Table2[[#This Row],[Irms Lf]]</f>
        <v>9.3879065450629788</v>
      </c>
      <c r="AM87" s="354">
        <f>Rdson2*Table2[[#This Row],[Irms BuSync]]^2</f>
        <v>0.37015771505511258</v>
      </c>
      <c r="AN87"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0.45034971428571424</v>
      </c>
      <c r="AO87" s="354">
        <f>(Table2[[#This Row],[Deadtime Loss BuSync]]+Table2[[#This Row],[RDS(on) Loss BuSync]]*(1+RdsonBotTc*Ta-RdsonBotTc*25))/(1-Table2[[#This Row],[RDS(on) Loss BuSync]]*RdsonBotTc*ThetaJA_Q2)</f>
        <v>0.900506491400623</v>
      </c>
      <c r="AP87" s="354">
        <f>Table2[[#This Row],[Irms Lf]]</f>
        <v>9.3879065450629788</v>
      </c>
      <c r="AQ87" s="354">
        <f>Rdson4*Table2[[#This Row],[Irms BoCtlr]]^2</f>
        <v>0.37015771505511258</v>
      </c>
      <c r="AR87" s="354">
        <f>CHOOSE(Table2[[#This Row],[Mode Digit]], 0, (Vout*Table2[[#This Row],[Iin]]/2)*(Fsw)*(Tr_boost+Tf_boost), (Vout*Iout/2)*(Fsw/1)*(Tr_boost+Tf_boost))</f>
        <v>0</v>
      </c>
      <c r="AS87" s="354">
        <f>IF(Table2[[#This Row],[Vin]]&gt;Vout, 0, IF(Table2[[#This Row],[Iin]]&gt;Table2[[#This Row],[Ripple Current pk-pk]]/2,0,ABS(Table2[[#This Row],[Iin]]-Table2[[#This Row],[Ripple Current pk-pk]]/2)*Vsd_Q4*Deadtime*Fsw))</f>
        <v>0</v>
      </c>
      <c r="AT87" s="354">
        <f>(Table2[[#This Row],[Dead Time Loss BoCtlr]]+Table2[[#This Row],[Transition Loss BoCtlr]]+Table2[[#This Row],[RDS(on) Loss BoCtlr]]*(1+RdsonTopTc*Ta-RdsonTopTc*25))/(1-Table2[[#This Row],[RDS(on) Loss BoCtlr]]*RdsonTopTc*ThetaJA_Q4)</f>
        <v>0.40624790627056079</v>
      </c>
      <c r="AU87" s="354">
        <f>Table2[[#This Row],[Irms Lf]]</f>
        <v>9.3879065450629788</v>
      </c>
      <c r="AV87" s="354">
        <f>Rdson3*Table2[[#This Row],[Irms BoSync]]^2</f>
        <v>0.37015771505511258</v>
      </c>
      <c r="AW87"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87" s="354">
        <f>(Table2[[#This Row],[Deadtime Loss BoSync]]+Table2[[#This Row],[RDS(on) Loss BoSync]]*(1+RdsonBotTc*Ta-RdsonBotTc*25))/(1-Table2[[#This Row],[RDS(on) Loss BoSync]]*RdsonBotTc*ThetaJA_Q3)</f>
        <v>0.40624790627056079</v>
      </c>
      <c r="AY87" s="354">
        <f>CHOOSE(Table2[[#This Row],[Mode Digit]], Rdson3*Table2[[#This Row],[Irms Lf]]^2, Rdson1*Table2[[#This Row],[Irms Lf]]^2, 0)</f>
        <v>0.37015771505511258</v>
      </c>
      <c r="AZ87" s="354">
        <f>CHOOSE(Table2[[#This Row],[Mode Digit]], 2*Deadtime*Fsw*IF(VfdSky_Q2&gt;0,VfdSky_Q2,0)*Table2[[#This Row],[Iout]], 2*Deadtime*Fsw*IF(VfdSky_Q3&gt;0,VfdSky_Q3,0)*Table2[[#This Row],[Iin]], 2*Deadtime*Fsw*IF(VfdSky_Q2&gt;0,VfdSky_Q2,0)*Table2[[#This Row],[Iout]]+2*Deadtime*Fsw*IF(VfdSky_Q3&gt;0,VfdSky_Q3,0)*Table2[[#This Row],[Iin]])</f>
        <v>0</v>
      </c>
      <c r="BA8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0.18683203967999998</v>
      </c>
      <c r="BB8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0.18683203967999998</v>
      </c>
      <c r="BC87" s="354">
        <f>CHOOSE(Table2[[#This Row],[Mode Digit]], Rs*Table2[[#This Row],[Irms BuSync]]^2, Rs*Table2[[#This Row],[Irms BoCtlr]]^2, Rs*(Table2[[#This Row],[Irms BuSync]]^2+Table2[[#This Row],[Irms BoCtlr]]^2))</f>
        <v>0.22033197324709078</v>
      </c>
      <c r="BD87" s="354">
        <f t="shared" si="9"/>
        <v>1.44</v>
      </c>
      <c r="BE87" s="354">
        <f>IF(Vout&gt;8, Iq*Vout, Iq*Table2[[#This Row],[Vin]])</f>
        <v>4.3799999999999999E-2</v>
      </c>
      <c r="BF87" s="354">
        <f>CHOOSE(Table2[[#This Row],[Mode Digit]], (Qg_Q1+Qg_Q2)*Fsw, (Qg_Q3+Qg_Q4)*Fsw, (Qg_Q1+Qg_Q2+Qg_Q3+Qg_Q4)*Fsw)*IF(Vout&gt;8, Vout, Table2[[#This Row],[Vin]])</f>
        <v>0.47303999999999996</v>
      </c>
      <c r="BG87" s="354">
        <f t="shared" si="10"/>
        <v>0.45605042016806729</v>
      </c>
      <c r="BH87" s="354">
        <f>Table2[[#This Row],[IQ Loss]]+Table2[[#This Row],[Switching Current Loss]]</f>
        <v>0.51683999999999997</v>
      </c>
      <c r="BI87"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7.544156940592428</v>
      </c>
      <c r="BJ87">
        <f>Vout*Table2[[#This Row],[Iout]]</f>
        <v>136.65599999999998</v>
      </c>
      <c r="BK87" s="550">
        <f>Table2[[#This Row],[Pout]]/(Table2[[#This Row],[Pout]]+Table2[[#This Row],[Total Loss]])</f>
        <v>0.94768274112419681</v>
      </c>
      <c r="BL87" s="559">
        <f>IF(Table2[[#This Row],[Vin]]&gt;Vout,ThetaJA_Q1*(Table2[[#This Row],[Total Control Bu MOSFET Loss]]+Table2[[#This Row],[Reverse Recovery Loss MOSFET D BUCK]]),ThetaJA_Q4*(Table2[[#This Row],[Total Control Bo MOSFET Loss]]+Table2[[#This Row],[Reverse Recovery Loss MOSFET D BOOST]]))</f>
        <v>157.82498605694991</v>
      </c>
      <c r="BM87" s="559">
        <f>IF(Table2[[#This Row],[Vin]]&gt;Vout, Table2[[#This Row],[Total Sync Bu MOSFET Loss]]*ThetaJA_Q2, ThetaJA_Q3*Table2[[#This Row],[Total Sync Bo MOSFET Loss]])</f>
        <v>54.030389484037379</v>
      </c>
      <c r="BN87" s="9"/>
      <c r="BO87" s="4">
        <f>Table2[[#This Row],[EFF, h]]*100</f>
        <v>94.768274112419675</v>
      </c>
      <c r="BP87" s="354">
        <f>Table2[[#This Row],[Total Inductor Loss]]</f>
        <v>0.79978529155029532</v>
      </c>
      <c r="BQ87" s="354">
        <f>Table2[[#This Row],[Total Control Bu MOSFET Loss]]+Table2[[#This Row],[Total Sync Bu MOSFET Loss]]+Table2[[#This Row],[Total Control Bo MOSFET Loss]]+Table2[[#This Row],[Total Sync Bo MOSFET Loss]]+Table2[[#This Row],[Reverse Recovery Loss MOSFET D BUCK]]+Table2[[#This Row],[Reverse Recovery Loss MOSFET D BOOST]]</f>
        <v>4.530250777904242</v>
      </c>
      <c r="BR87" s="354">
        <f xml:space="preserve"> Table2[[#This Row],[Total Control Bu MOSFET Loss]]+Table2[[#This Row],[Reverse Recovery Loss MOSFET D BUCK]]*0.66</f>
        <v>2.5668935407912987</v>
      </c>
      <c r="BS87" s="354">
        <f>Table2[[#This Row],[Total Sync Bu MOSFET Loss]]+Table2[[#This Row],[Reverse Recovery Loss MOSFET D BUCK]]*0.33</f>
        <v>0.96216106449502303</v>
      </c>
      <c r="BT87" s="354">
        <f xml:space="preserve"> Table2[[#This Row],[Total Control Bo MOSFET Loss]]+Table2[[#This Row],[Reverse Recovery Loss MOSFET D BOOST]]*0.66</f>
        <v>0.5295570524593608</v>
      </c>
      <c r="BU87" s="354">
        <f xml:space="preserve"> Table2[[#This Row],[Total Sync Bo MOSFET Loss]]+Table2[[#This Row],[Reverse Recovery Loss MOSFET D BOOST]]*0.33</f>
        <v>0.46790247936496077</v>
      </c>
      <c r="BV87" s="354">
        <f>Table2[[#This Row],[Isense Shunt Loss]]</f>
        <v>0.22033197324709078</v>
      </c>
      <c r="CB87" s="18"/>
      <c r="CC87" s="19"/>
    </row>
    <row r="88" spans="1:81" x14ac:dyDescent="0.2">
      <c r="G88">
        <v>79</v>
      </c>
      <c r="H88" s="555">
        <f t="shared" si="8"/>
        <v>20</v>
      </c>
      <c r="I88" s="4" t="str">
        <f>IF(Mode = 2,IF(Table2[[#This Row],[Vin]]&gt;Vout, "BUCK","BOOST"),IF(Table2[[#This Row],[Vin]]&gt;VIN_BB_to_buck, "BUCK", IF(Table2[[#This Row],[Vin]]&lt;=VIN_boost_to_BB,"BOOST","BUCK-BST")))</f>
        <v>BUCK</v>
      </c>
      <c r="J88">
        <f>IF(Table2[[#This Row],[Mode]]="BOOST",2, IF(Table2[[#This Row],[Mode]]="BUCK", 1,3))</f>
        <v>1</v>
      </c>
      <c r="K88" s="354">
        <f t="shared" si="11"/>
        <v>9.48</v>
      </c>
      <c r="L88" s="4">
        <f>Vout*Table2[[#This Row],[Iout]]/(Table2[[#This Row],[Vin]]*Efficiency)</f>
        <v>7.2846315789473692</v>
      </c>
      <c r="M88" s="711">
        <f>MIN(1/Fsw,CHOOSE(Table2[[#This Row],[Mode Digit]],(Vout+(Rdson2+Rs+Rdcr)*Table2[[#This Row],[Iout]])/(Table2[[#This Row],[Vin]]+(Rs+Rdson2-Rdson1)*Table2[[#This Row],[Iout]])/Fsw,(Vout+(Rdson3+Rdcr)*Table2[[#This Row],[Iin]]-Table2[[#This Row],[Vin]])/(Vout+(Rdson3-Rdson4-Rs)*Table2[[#This Row],[Iin]])/Fsw,t1_Ph_II))</f>
        <v>1.2250899350935806E-6</v>
      </c>
      <c r="N88" s="602">
        <f>CHOOSE(Table2[[#This Row],[Mode Digit]],1/Fsw-Table2[[#This Row],[t1_Ph_II]],1/Fsw-Table2[[#This Row],[t1_Ph_II]],(Vout/Fsw-Table2[[#This Row],[Vin]]*t1_Ph_II)/(Table2[[#This Row],[Vin]]+Vout))</f>
        <v>4.415767315730861E-7</v>
      </c>
      <c r="O88" s="602">
        <f>1/Fsw-(Table2[[#This Row],[t1_Ph_II]]+Table2[[#This Row],[t2_Ph_I]])</f>
        <v>0</v>
      </c>
      <c r="P88"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8.2270671118361118</v>
      </c>
      <c r="Q88" s="4">
        <f>CHOOSE(Table2[[#This Row],[Mode Digit]],Table2[[#This Row],[I_0]]+1/Lf*(Table2[[#This Row],[Vin]]-Vout)*Table2[[#This Row],[t1_Ph_II]],Table2[[#This Row],[I_0]]+1/Lf*Table2[[#This Row],[Vin]]*Table2[[#This Row],[t1_Ph_II]],Table2[[#This Row],[I_0]]+(Table2[[#This Row],[Vin]]-Vout)/L*Table2[[#This Row],[t1_Ph_II]])</f>
        <v>10.732932888163891</v>
      </c>
      <c r="R88" s="4">
        <f>CHOOSE(Table2[[#This Row],[Mode Digit]],0,0,Table2[[#This Row],[I_1]]+Table2[[#This Row],[Vin]]/L*Table2[[#This Row],[t2_Ph_I]])</f>
        <v>0</v>
      </c>
      <c r="S88" s="409">
        <f>Fsw*(Table2[[#This Row],[I_0]]*Table2[[#This Row],[t1_Ph_II]]+Table2[[#This Row],[I_1]]*Table2[[#This Row],[t2_Ph_I]]+Table2[[#This Row],[I_2]]*Table2[[#This Row],[t3_Ph_III]])</f>
        <v>8.8909863233991171</v>
      </c>
      <c r="T88" s="354">
        <f>MIN(1,CHOOSE(Table2[[#This Row],[Mode Digit]],(Vout+(Rdson2+Rs+Rdcr)*Table2[[#This Row],[Iout]])/(Table2[[#This Row],[Vin]]+(Rs+Rdson2-Rdson1)*Table2[[#This Row],[Iout]]),1,Fsw*Table2[[#This Row],[t2_Ph_I]]+Table2[[#This Row],[t1_Ph_II]]))</f>
        <v>0.7350539610561484</v>
      </c>
      <c r="U88" s="354">
        <f>MIN(1,CHOOSE(Table2[[#This Row],[Mode Digit]],0,(Vout+(Rdson3+Rdcr)*Table2[[#This Row],[Iin]]-Table2[[#This Row],[Vin]])/(Vout+(Rdson3-Rdson4-Rs)*Table2[[#This Row],[Iin]]),Fsw*Table2[[#This Row],[t1_Ph_II]]+Table2[[#This Row],[t3_Ph_III]]))</f>
        <v>0</v>
      </c>
      <c r="V88" s="4">
        <f>MAX(Table2[[#This Row],[I_0]:[I_2]])-MIN(Table2[[#This Row],[I_0]:[I_1]])</f>
        <v>2.505865776327779</v>
      </c>
      <c r="W88"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9.5075591123106324</v>
      </c>
      <c r="X88" s="354">
        <f>(Table2[[#This Row],[Irms Lf]]^2*Rdcr*(1+Ltc*Ta-Ltc*25))/(1-Table2[[#This Row],[Irms Lf]]^2*Rdcr*Ltc*ThetaCa)</f>
        <v>0.54723587815159069</v>
      </c>
      <c r="Y88" s="354">
        <f>ABS(7.759*10^-3*Fsw^0.9458*(0.00787*Table2[[#This Row],[Ripple Current pk-pk]])^2.304)</f>
        <v>0.2668736958920721</v>
      </c>
      <c r="Z88" s="354">
        <f>Table2[[#This Row],[DCR    Loss]]+Table2[[#This Row],[Core Loss]]</f>
        <v>0.8141095740436628</v>
      </c>
      <c r="AA88" s="4">
        <f>IF(Table2[[#This Row],[Vin]]&gt;Vout, Table2[[#This Row],[Ripple Current pk-pk]]/SQRT(12), SQRT(Table2[[#This Row],[Duty Cycle BOOST Leg]]/(1-Table2[[#This Row],[Duty Cycle BOOST Leg]]))*SQRT(Table2[[#This Row],[Iout]]^2+(Table2[[#This Row],[Ripple Current pk-pk]]^2)/12))</f>
        <v>0.72338114025795686</v>
      </c>
      <c r="AB88" s="354">
        <f>RCoutEsr*Table2[[#This Row],[Irms Cout]]^2</f>
        <v>2.6164013704045091E-3</v>
      </c>
      <c r="AC88" s="354">
        <f>Table2[[#This Row],[Cout ESR Loss]]</f>
        <v>2.6164013704045091E-3</v>
      </c>
      <c r="AD88" s="4">
        <f>IF(Table2[[#This Row],[Vin]]&gt;Vout, SQRT(Table2[[#This Row],[Duty Cycle BUCK Leg]]*(1-Table2[[#This Row],[Duty Cycle BUCK Leg]]))*SQRT(Table2[[#This Row],[Iout]]^2+(Table2[[#This Row],[Ripple Current pk-pk]]^2)/12), Table2[[#This Row],[Ripple Current pk-pk]]/SQRT(12))</f>
        <v>4.1957283366659395</v>
      </c>
      <c r="AE88" s="354">
        <f>RCinEsr*Table2[[#This Row],[Irms Cin]]^2</f>
        <v>3.5208272550203062E-2</v>
      </c>
      <c r="AF88" s="549">
        <f>Table2[[#This Row],[Cin ESR Loss]]</f>
        <v>3.5208272550203062E-2</v>
      </c>
      <c r="AG88" s="354">
        <f>Table2[[#This Row],[Irms Lf]]</f>
        <v>9.5075591123106324</v>
      </c>
      <c r="AH88" s="354">
        <f>Rdson1*Table2[[#This Row],[Irms BuCtrl]]^2</f>
        <v>0.37965345715113996</v>
      </c>
      <c r="AI88" s="354">
        <f>CHOOSE(Table2[[#This Row],[Mode Digit]], (Table2[[#This Row],[Vin]]*Table2[[#This Row],[Iout]]/2)*(Fsw)*(Tr_buck+Tf_buck), 0, (Table2[[#This Row],[Vin]]*Table2[[#This Row],[Avg IL]]/2)*(Fsw/1)*(Tr_buck+Tf_buck))</f>
        <v>1.8801431723580526</v>
      </c>
      <c r="AJ88">
        <f>IF(Table2[[#This Row],[Vin]]&gt;Vout, IF(Table2[[#This Row],[Iout]]&gt;Table2[[#This Row],[Ripple Current pk-pk]]/2,0,ABS(Table2[[#This Row],[Iout]]-Table2[[#This Row],[Ripple Current pk-pk]]/2)*Vsd_Q1*Deadtime*Fsw),0)</f>
        <v>0</v>
      </c>
      <c r="AK88" s="354">
        <f>(Table2[[#This Row],[Dead Time Loss BuCtrl]]+Table2[[#This Row],[Transition Loss BuCtrl]]+Table2[[#This Row],[RDS(on) Loss BuCtrl]]*(1+RdsonTopTc*Ta-RdsonTopTc*25))/(1-Table2[[#This Row],[RDS(on) Loss BuCtrl]]*RdsonTopTc*ThetaJA_Q1)</f>
        <v>2.4863444537142776</v>
      </c>
      <c r="AL88" s="354">
        <f>Table2[[#This Row],[Irms Lf]]</f>
        <v>9.5075591123106324</v>
      </c>
      <c r="AM88" s="354">
        <f>Rdson2*Table2[[#This Row],[Irms BuSync]]^2</f>
        <v>0.37965345715113996</v>
      </c>
      <c r="AN88"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0.45612342857142857</v>
      </c>
      <c r="AO88" s="354">
        <f>(Table2[[#This Row],[Deadtime Loss BuSync]]+Table2[[#This Row],[RDS(on) Loss BuSync]]*(1+RdsonBotTc*Ta-RdsonBotTc*25))/(1-Table2[[#This Row],[RDS(on) Loss BuSync]]*RdsonBotTc*ThetaJA_Q2)</f>
        <v>0.91956470649760591</v>
      </c>
      <c r="AP88" s="354">
        <f>Table2[[#This Row],[Irms Lf]]</f>
        <v>9.5075591123106324</v>
      </c>
      <c r="AQ88" s="354">
        <f>Rdson4*Table2[[#This Row],[Irms BoCtlr]]^2</f>
        <v>0.37965345715113996</v>
      </c>
      <c r="AR88" s="354">
        <f>CHOOSE(Table2[[#This Row],[Mode Digit]], 0, (Vout*Table2[[#This Row],[Iin]]/2)*(Fsw)*(Tr_boost+Tf_boost), (Vout*Iout/2)*(Fsw/1)*(Tr_boost+Tf_boost))</f>
        <v>0</v>
      </c>
      <c r="AS88" s="354">
        <f>IF(Table2[[#This Row],[Vin]]&gt;Vout, 0, IF(Table2[[#This Row],[Iin]]&gt;Table2[[#This Row],[Ripple Current pk-pk]]/2,0,ABS(Table2[[#This Row],[Iin]]-Table2[[#This Row],[Ripple Current pk-pk]]/2)*Vsd_Q4*Deadtime*Fsw))</f>
        <v>0</v>
      </c>
      <c r="AT88" s="354">
        <f>(Table2[[#This Row],[Dead Time Loss BoCtlr]]+Table2[[#This Row],[Transition Loss BoCtlr]]+Table2[[#This Row],[RDS(on) Loss BoCtlr]]*(1+RdsonTopTc*Ta-RdsonTopTc*25))/(1-Table2[[#This Row],[RDS(on) Loss BoCtlr]]*RdsonTopTc*ThetaJA_Q4)</f>
        <v>0.4177142558736382</v>
      </c>
      <c r="AU88" s="354">
        <f>Table2[[#This Row],[Irms Lf]]</f>
        <v>9.5075591123106324</v>
      </c>
      <c r="AV88" s="354">
        <f>Rdson3*Table2[[#This Row],[Irms BoSync]]^2</f>
        <v>0.37965345715113996</v>
      </c>
      <c r="AW88"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88" s="354">
        <f>(Table2[[#This Row],[Deadtime Loss BoSync]]+Table2[[#This Row],[RDS(on) Loss BoSync]]*(1+RdsonBotTc*Ta-RdsonBotTc*25))/(1-Table2[[#This Row],[RDS(on) Loss BoSync]]*RdsonBotTc*ThetaJA_Q3)</f>
        <v>0.4177142558736382</v>
      </c>
      <c r="AY88" s="354">
        <f>CHOOSE(Table2[[#This Row],[Mode Digit]], Rdson3*Table2[[#This Row],[Irms Lf]]^2, Rdson1*Table2[[#This Row],[Irms Lf]]^2, 0)</f>
        <v>0.37965345715113996</v>
      </c>
      <c r="AZ88" s="354">
        <f>CHOOSE(Table2[[#This Row],[Mode Digit]], 2*Deadtime*Fsw*IF(VfdSky_Q2&gt;0,VfdSky_Q2,0)*Table2[[#This Row],[Iout]], 2*Deadtime*Fsw*IF(VfdSky_Q3&gt;0,VfdSky_Q3,0)*Table2[[#This Row],[Iin]], 2*Deadtime*Fsw*IF(VfdSky_Q2&gt;0,VfdSky_Q2,0)*Table2[[#This Row],[Iout]]+2*Deadtime*Fsw*IF(VfdSky_Q3&gt;0,VfdSky_Q3,0)*Table2[[#This Row],[Iin]])</f>
        <v>0</v>
      </c>
      <c r="BA8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0.18922254431999999</v>
      </c>
      <c r="BB8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0.18922254431999999</v>
      </c>
      <c r="BC88" s="354">
        <f>CHOOSE(Table2[[#This Row],[Mode Digit]], Rs*Table2[[#This Row],[Irms BuSync]]^2, Rs*Table2[[#This Row],[Irms BoCtlr]]^2, Rs*(Table2[[#This Row],[Irms BuSync]]^2+Table2[[#This Row],[Irms BoCtlr]]^2))</f>
        <v>0.22598420068520234</v>
      </c>
      <c r="BD88" s="354">
        <f t="shared" si="9"/>
        <v>1.44</v>
      </c>
      <c r="BE88" s="354">
        <f>IF(Vout&gt;8, Iq*Vout, Iq*Table2[[#This Row],[Vin]])</f>
        <v>4.3799999999999999E-2</v>
      </c>
      <c r="BF88" s="354">
        <f>CHOOSE(Table2[[#This Row],[Mode Digit]], (Qg_Q1+Qg_Q2)*Fsw, (Qg_Q3+Qg_Q4)*Fsw, (Qg_Q1+Qg_Q2+Qg_Q3+Qg_Q4)*Fsw)*IF(Vout&gt;8, Vout, Table2[[#This Row],[Vin]])</f>
        <v>0.47303999999999996</v>
      </c>
      <c r="BG88" s="354">
        <f t="shared" si="10"/>
        <v>0.45605042016806729</v>
      </c>
      <c r="BH88" s="354">
        <f>Table2[[#This Row],[IQ Loss]]+Table2[[#This Row],[Switching Current Loss]]</f>
        <v>0.51683999999999997</v>
      </c>
      <c r="BI88"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7.6545412092486309</v>
      </c>
      <c r="BJ88">
        <f>Vout*Table2[[#This Row],[Iout]]</f>
        <v>138.40800000000002</v>
      </c>
      <c r="BK88" s="550">
        <f>Table2[[#This Row],[Pout]]/(Table2[[#This Row],[Pout]]+Table2[[#This Row],[Total Loss]])</f>
        <v>0.94759408438414905</v>
      </c>
      <c r="BL88" s="559">
        <f>IF(Table2[[#This Row],[Vin]]&gt;Vout,ThetaJA_Q1*(Table2[[#This Row],[Total Control Bu MOSFET Loss]]+Table2[[#This Row],[Reverse Recovery Loss MOSFET D BUCK]]),ThetaJA_Q4*(Table2[[#This Row],[Total Control Bo MOSFET Loss]]+Table2[[#This Row],[Reverse Recovery Loss MOSFET D BOOST]]))</f>
        <v>160.53401988205667</v>
      </c>
      <c r="BM88" s="559">
        <f>IF(Table2[[#This Row],[Vin]]&gt;Vout, Table2[[#This Row],[Total Sync Bu MOSFET Loss]]*ThetaJA_Q2, ThetaJA_Q3*Table2[[#This Row],[Total Sync Bo MOSFET Loss]])</f>
        <v>55.173882389856352</v>
      </c>
      <c r="BN88" s="9"/>
      <c r="BO88" s="4">
        <f>Table2[[#This Row],[EFF, h]]*100</f>
        <v>94.759408438414908</v>
      </c>
      <c r="BP88" s="354">
        <f>Table2[[#This Row],[Total Inductor Loss]]</f>
        <v>0.8141095740436628</v>
      </c>
      <c r="BQ88" s="354">
        <f>Table2[[#This Row],[Total Control Bu MOSFET Loss]]+Table2[[#This Row],[Total Sync Bu MOSFET Loss]]+Table2[[#This Row],[Total Control Bo MOSFET Loss]]+Table2[[#This Row],[Total Sync Bo MOSFET Loss]]+Table2[[#This Row],[Reverse Recovery Loss MOSFET D BUCK]]+Table2[[#This Row],[Reverse Recovery Loss MOSFET D BOOST]]</f>
        <v>4.6197827605991595</v>
      </c>
      <c r="BR88" s="354">
        <f xml:space="preserve"> Table2[[#This Row],[Total Control Bu MOSFET Loss]]+Table2[[#This Row],[Reverse Recovery Loss MOSFET D BUCK]]*0.66</f>
        <v>2.6112313329654775</v>
      </c>
      <c r="BS88" s="354">
        <f>Table2[[#This Row],[Total Sync Bu MOSFET Loss]]+Table2[[#This Row],[Reverse Recovery Loss MOSFET D BUCK]]*0.33</f>
        <v>0.98200814612320586</v>
      </c>
      <c r="BT88" s="354">
        <f xml:space="preserve"> Table2[[#This Row],[Total Control Bo MOSFET Loss]]+Table2[[#This Row],[Reverse Recovery Loss MOSFET D BOOST]]*0.66</f>
        <v>0.54260113512483821</v>
      </c>
      <c r="BU88" s="354">
        <f xml:space="preserve"> Table2[[#This Row],[Total Sync Bo MOSFET Loss]]+Table2[[#This Row],[Reverse Recovery Loss MOSFET D BOOST]]*0.33</f>
        <v>0.4801576954992382</v>
      </c>
      <c r="BV88" s="354">
        <f>Table2[[#This Row],[Isense Shunt Loss]]</f>
        <v>0.22598420068520234</v>
      </c>
      <c r="CB88" s="18"/>
      <c r="CC88" s="19"/>
    </row>
    <row r="89" spans="1:81" x14ac:dyDescent="0.2">
      <c r="G89">
        <v>80</v>
      </c>
      <c r="H89" s="555">
        <f t="shared" si="8"/>
        <v>20</v>
      </c>
      <c r="I89" s="4" t="str">
        <f>IF(Mode = 2,IF(Table2[[#This Row],[Vin]]&gt;Vout, "BUCK","BOOST"),IF(Table2[[#This Row],[Vin]]&gt;VIN_BB_to_buck, "BUCK", IF(Table2[[#This Row],[Vin]]&lt;=VIN_boost_to_BB,"BOOST","BUCK-BST")))</f>
        <v>BUCK</v>
      </c>
      <c r="J89">
        <f>IF(Table2[[#This Row],[Mode]]="BOOST",2, IF(Table2[[#This Row],[Mode]]="BUCK", 1,3))</f>
        <v>1</v>
      </c>
      <c r="K89" s="354">
        <f t="shared" si="11"/>
        <v>9.6</v>
      </c>
      <c r="L89" s="4">
        <f>Vout*Table2[[#This Row],[Iout]]/(Table2[[#This Row],[Vin]]*Efficiency)</f>
        <v>7.3768421052631581</v>
      </c>
      <c r="M89" s="711">
        <f>MIN(1/Fsw,CHOOSE(Table2[[#This Row],[Mode Digit]],(Vout+(Rdson2+Rs+Rdcr)*Table2[[#This Row],[Iout]])/(Table2[[#This Row],[Vin]]+(Rs+Rdson2-Rdson1)*Table2[[#This Row],[Iout]])/Fsw,(Vout+(Rdson3+Rdcr)*Table2[[#This Row],[Iin]]-Table2[[#This Row],[Vin]])/(Vout+(Rdson3-Rdson4-Rs)*Table2[[#This Row],[Iin]])/Fsw,t1_Ph_II))</f>
        <v>1.225196430949527E-6</v>
      </c>
      <c r="N89" s="602">
        <f>CHOOSE(Table2[[#This Row],[Mode Digit]],1/Fsw-Table2[[#This Row],[t1_Ph_II]],1/Fsw-Table2[[#This Row],[t1_Ph_II]],(Vout/Fsw-Table2[[#This Row],[Vin]]*t1_Ph_II)/(Table2[[#This Row],[Vin]]+Vout))</f>
        <v>4.4147023571713965E-7</v>
      </c>
      <c r="O89" s="602">
        <f>1/Fsw-(Table2[[#This Row],[t1_Ph_II]]+Table2[[#This Row],[t2_Ph_I]])</f>
        <v>0</v>
      </c>
      <c r="P89"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8.346958195619802</v>
      </c>
      <c r="Q89" s="4">
        <f>CHOOSE(Table2[[#This Row],[Mode Digit]],Table2[[#This Row],[I_0]]+1/Lf*(Table2[[#This Row],[Vin]]-Vout)*Table2[[#This Row],[t1_Ph_II]],Table2[[#This Row],[I_0]]+1/Lf*Table2[[#This Row],[Vin]]*Table2[[#This Row],[t1_Ph_II]],Table2[[#This Row],[I_0]]+(Table2[[#This Row],[Vin]]-Vout)/L*Table2[[#This Row],[t1_Ph_II]])</f>
        <v>10.853041804380199</v>
      </c>
      <c r="R89" s="4">
        <f>CHOOSE(Table2[[#This Row],[Mode Digit]],0,0,Table2[[#This Row],[I_1]]+Table2[[#This Row],[Vin]]/L*Table2[[#This Row],[t2_Ph_I]])</f>
        <v>0</v>
      </c>
      <c r="S89" s="409">
        <f>Fsw*(Table2[[#This Row],[I_0]]*Table2[[#This Row],[t1_Ph_II]]+Table2[[#This Row],[I_1]]*Table2[[#This Row],[t2_Ph_I]]+Table2[[#This Row],[I_2]]*Table2[[#This Row],[t3_Ph_III]])</f>
        <v>9.0107749885115886</v>
      </c>
      <c r="T89" s="354">
        <f>MIN(1,CHOOSE(Table2[[#This Row],[Mode Digit]],(Vout+(Rdson2+Rs+Rdcr)*Table2[[#This Row],[Iout]])/(Table2[[#This Row],[Vin]]+(Rs+Rdson2-Rdson1)*Table2[[#This Row],[Iout]]),1,Fsw*Table2[[#This Row],[t2_Ph_I]]+Table2[[#This Row],[t1_Ph_II]]))</f>
        <v>0.73511785856971623</v>
      </c>
      <c r="U89" s="354">
        <f>MIN(1,CHOOSE(Table2[[#This Row],[Mode Digit]],0,(Vout+(Rdson3+Rdcr)*Table2[[#This Row],[Iin]]-Table2[[#This Row],[Vin]])/(Vout+(Rdson3-Rdson4-Rs)*Table2[[#This Row],[Iin]]),Fsw*Table2[[#This Row],[t1_Ph_II]]+Table2[[#This Row],[t3_Ph_III]]))</f>
        <v>0</v>
      </c>
      <c r="V89" s="4">
        <f>MAX(Table2[[#This Row],[I_0]:[I_2]])-MIN(Table2[[#This Row],[I_0]:[I_1]])</f>
        <v>2.506083608760397</v>
      </c>
      <c r="W89"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9.6272203285532072</v>
      </c>
      <c r="X89" s="354">
        <f>(Table2[[#This Row],[Irms Lf]]^2*Rdcr*(1+Ltc*Ta-Ltc*25))/(1-Table2[[#This Row],[Irms Lf]]^2*Rdcr*Ltc*ThetaCa)</f>
        <v>0.56172038579917516</v>
      </c>
      <c r="Y89" s="354">
        <f>ABS(7.759*10^-3*Fsw^0.9458*(0.00787*Table2[[#This Row],[Ripple Current pk-pk]])^2.304)</f>
        <v>0.26692714957040098</v>
      </c>
      <c r="Z89" s="354">
        <f>Table2[[#This Row],[DCR    Loss]]+Table2[[#This Row],[Core Loss]]</f>
        <v>0.82864753536957614</v>
      </c>
      <c r="AA89" s="4">
        <f>IF(Table2[[#This Row],[Vin]]&gt;Vout, Table2[[#This Row],[Ripple Current pk-pk]]/SQRT(12), SQRT(Table2[[#This Row],[Duty Cycle BOOST Leg]]/(1-Table2[[#This Row],[Duty Cycle BOOST Leg]]))*SQRT(Table2[[#This Row],[Iout]]^2+(Table2[[#This Row],[Ripple Current pk-pk]]^2)/12))</f>
        <v>0.72344402306476208</v>
      </c>
      <c r="AB89" s="354">
        <f>RCoutEsr*Table2[[#This Row],[Irms Cout]]^2</f>
        <v>2.6168562725406401E-3</v>
      </c>
      <c r="AC89" s="354">
        <f>Table2[[#This Row],[Cout ESR Loss]]</f>
        <v>2.6168562725406401E-3</v>
      </c>
      <c r="AD89" s="4">
        <f>IF(Table2[[#This Row],[Vin]]&gt;Vout, SQRT(Table2[[#This Row],[Duty Cycle BUCK Leg]]*(1-Table2[[#This Row],[Duty Cycle BUCK Leg]]))*SQRT(Table2[[#This Row],[Iout]]^2+(Table2[[#This Row],[Ripple Current pk-pk]]^2)/12), Table2[[#This Row],[Ripple Current pk-pk]]/SQRT(12))</f>
        <v>4.2482076561493738</v>
      </c>
      <c r="AE89" s="354">
        <f>RCinEsr*Table2[[#This Row],[Irms Cin]]^2</f>
        <v>3.6094536579532308E-2</v>
      </c>
      <c r="AF89" s="549">
        <f>Table2[[#This Row],[Cin ESR Loss]]</f>
        <v>3.6094536579532308E-2</v>
      </c>
      <c r="AG89" s="354">
        <f>Table2[[#This Row],[Irms Lf]]</f>
        <v>9.6272203285532072</v>
      </c>
      <c r="AH89" s="354">
        <f>Rdson1*Table2[[#This Row],[Irms BuCtrl]]^2</f>
        <v>0.38927015926893416</v>
      </c>
      <c r="AI89" s="354">
        <f>CHOOSE(Table2[[#This Row],[Mode Digit]], (Table2[[#This Row],[Vin]]*Table2[[#This Row],[Iout]]/2)*(Fsw)*(Tr_buck+Tf_buck), 0, (Table2[[#This Row],[Vin]]*Table2[[#This Row],[Avg IL]]/2)*(Fsw/1)*(Tr_buck+Tf_buck))</f>
        <v>1.9039424530208127</v>
      </c>
      <c r="AJ89">
        <f>IF(Table2[[#This Row],[Vin]]&gt;Vout, IF(Table2[[#This Row],[Iout]]&gt;Table2[[#This Row],[Ripple Current pk-pk]]/2,0,ABS(Table2[[#This Row],[Iout]]-Table2[[#This Row],[Ripple Current pk-pk]]/2)*Vsd_Q1*Deadtime*Fsw),0)</f>
        <v>0</v>
      </c>
      <c r="AK89" s="354">
        <f>(Table2[[#This Row],[Dead Time Loss BuCtrl]]+Table2[[#This Row],[Transition Loss BuCtrl]]+Table2[[#This Row],[RDS(on) Loss BuCtrl]]*(1+RdsonTopTc*Ta-RdsonTopTc*25))/(1-Table2[[#This Row],[RDS(on) Loss BuCtrl]]*RdsonTopTc*ThetaJA_Q1)</f>
        <v>2.5295339084722674</v>
      </c>
      <c r="AL89" s="354">
        <f>Table2[[#This Row],[Irms Lf]]</f>
        <v>9.6272203285532072</v>
      </c>
      <c r="AM89" s="354">
        <f>Rdson2*Table2[[#This Row],[Irms BuSync]]^2</f>
        <v>0.38927015926893416</v>
      </c>
      <c r="AN89"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0.46189714285714284</v>
      </c>
      <c r="AO89" s="354">
        <f>(Table2[[#This Row],[Deadtime Loss BuSync]]+Table2[[#This Row],[RDS(on) Loss BuSync]]*(1+RdsonBotTc*Ta-RdsonBotTc*25))/(1-Table2[[#This Row],[RDS(on) Loss BuSync]]*RdsonBotTc*ThetaJA_Q2)</f>
        <v>0.9388822218106363</v>
      </c>
      <c r="AP89" s="354">
        <f>Table2[[#This Row],[Irms Lf]]</f>
        <v>9.6272203285532072</v>
      </c>
      <c r="AQ89" s="354">
        <f>Rdson4*Table2[[#This Row],[Irms BoCtlr]]^2</f>
        <v>0.38927015926893416</v>
      </c>
      <c r="AR89" s="354">
        <f>CHOOSE(Table2[[#This Row],[Mode Digit]], 0, (Vout*Table2[[#This Row],[Iin]]/2)*(Fsw)*(Tr_boost+Tf_boost), (Vout*Iout/2)*(Fsw/1)*(Tr_boost+Tf_boost))</f>
        <v>0</v>
      </c>
      <c r="AS89" s="354">
        <f>IF(Table2[[#This Row],[Vin]]&gt;Vout, 0, IF(Table2[[#This Row],[Iin]]&gt;Table2[[#This Row],[Ripple Current pk-pk]]/2,0,ABS(Table2[[#This Row],[Iin]]-Table2[[#This Row],[Ripple Current pk-pk]]/2)*Vsd_Q4*Deadtime*Fsw))</f>
        <v>0</v>
      </c>
      <c r="AT89" s="354">
        <f>(Table2[[#This Row],[Dead Time Loss BoCtlr]]+Table2[[#This Row],[Transition Loss BoCtlr]]+Table2[[#This Row],[RDS(on) Loss BoCtlr]]*(1+RdsonTopTc*Ta-RdsonTopTc*25))/(1-Table2[[#This Row],[RDS(on) Loss BoCtlr]]*RdsonTopTc*ThetaJA_Q4)</f>
        <v>0.42938542294339865</v>
      </c>
      <c r="AU89" s="354">
        <f>Table2[[#This Row],[Irms Lf]]</f>
        <v>9.6272203285532072</v>
      </c>
      <c r="AV89" s="354">
        <f>Rdson3*Table2[[#This Row],[Irms BoSync]]^2</f>
        <v>0.38927015926893416</v>
      </c>
      <c r="AW89"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89" s="354">
        <f>(Table2[[#This Row],[Deadtime Loss BoSync]]+Table2[[#This Row],[RDS(on) Loss BoSync]]*(1+RdsonBotTc*Ta-RdsonBotTc*25))/(1-Table2[[#This Row],[RDS(on) Loss BoSync]]*RdsonBotTc*ThetaJA_Q3)</f>
        <v>0.42938542294339865</v>
      </c>
      <c r="AY89" s="354">
        <f>CHOOSE(Table2[[#This Row],[Mode Digit]], Rdson3*Table2[[#This Row],[Irms Lf]]^2, Rdson1*Table2[[#This Row],[Irms Lf]]^2, 0)</f>
        <v>0.38927015926893416</v>
      </c>
      <c r="AZ89" s="354">
        <f>CHOOSE(Table2[[#This Row],[Mode Digit]], 2*Deadtime*Fsw*IF(VfdSky_Q2&gt;0,VfdSky_Q2,0)*Table2[[#This Row],[Iout]], 2*Deadtime*Fsw*IF(VfdSky_Q3&gt;0,VfdSky_Q3,0)*Table2[[#This Row],[Iin]], 2*Deadtime*Fsw*IF(VfdSky_Q2&gt;0,VfdSky_Q2,0)*Table2[[#This Row],[Iout]]+2*Deadtime*Fsw*IF(VfdSky_Q3&gt;0,VfdSky_Q3,0)*Table2[[#This Row],[Iin]])</f>
        <v>0</v>
      </c>
      <c r="BA8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0.19161292800000002</v>
      </c>
      <c r="BB8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0.19161292800000002</v>
      </c>
      <c r="BC89" s="354">
        <f>CHOOSE(Table2[[#This Row],[Mode Digit]], Rs*Table2[[#This Row],[Irms BuSync]]^2, Rs*Table2[[#This Row],[Irms BoCtlr]]^2, Rs*(Table2[[#This Row],[Irms BuSync]]^2+Table2[[#This Row],[Irms BoCtlr]]^2))</f>
        <v>0.23170842813627029</v>
      </c>
      <c r="BD89" s="354">
        <f t="shared" si="9"/>
        <v>1.44</v>
      </c>
      <c r="BE89" s="354">
        <f>IF(Vout&gt;8, Iq*Vout, Iq*Table2[[#This Row],[Vin]])</f>
        <v>4.3799999999999999E-2</v>
      </c>
      <c r="BF89" s="354">
        <f>CHOOSE(Table2[[#This Row],[Mode Digit]], (Qg_Q1+Qg_Q2)*Fsw, (Qg_Q3+Qg_Q4)*Fsw, (Qg_Q1+Qg_Q2+Qg_Q3+Qg_Q4)*Fsw)*IF(Vout&gt;8, Vout, Table2[[#This Row],[Vin]])</f>
        <v>0.47303999999999996</v>
      </c>
      <c r="BG89" s="354">
        <f t="shared" si="10"/>
        <v>0.45605042016806729</v>
      </c>
      <c r="BH89" s="354">
        <f>Table2[[#This Row],[IQ Loss]]+Table2[[#This Row],[Switching Current Loss]]</f>
        <v>0.51683999999999997</v>
      </c>
      <c r="BI89"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7.7663201885276205</v>
      </c>
      <c r="BJ89">
        <f>Vout*Table2[[#This Row],[Iout]]</f>
        <v>140.16</v>
      </c>
      <c r="BK89" s="550">
        <f>Table2[[#This Row],[Pout]]/(Table2[[#This Row],[Pout]]+Table2[[#This Row],[Total Loss]])</f>
        <v>0.94749872653744316</v>
      </c>
      <c r="BL89" s="559">
        <f>IF(Table2[[#This Row],[Vin]]&gt;Vout,ThetaJA_Q1*(Table2[[#This Row],[Total Control Bu MOSFET Loss]]+Table2[[#This Row],[Reverse Recovery Loss MOSFET D BUCK]]),ThetaJA_Q4*(Table2[[#This Row],[Total Control Bo MOSFET Loss]]+Table2[[#This Row],[Reverse Recovery Loss MOSFET D BOOST]]))</f>
        <v>163.26881018833606</v>
      </c>
      <c r="BM89" s="559">
        <f>IF(Table2[[#This Row],[Vin]]&gt;Vout, Table2[[#This Row],[Total Sync Bu MOSFET Loss]]*ThetaJA_Q2, ThetaJA_Q3*Table2[[#This Row],[Total Sync Bo MOSFET Loss]])</f>
        <v>56.332933308638175</v>
      </c>
      <c r="BN89" s="9"/>
      <c r="BO89" s="4">
        <f>Table2[[#This Row],[EFF, h]]*100</f>
        <v>94.749872653744319</v>
      </c>
      <c r="BP89" s="354">
        <f>Table2[[#This Row],[Total Inductor Loss]]</f>
        <v>0.82864753536957614</v>
      </c>
      <c r="BQ89" s="354">
        <f>Table2[[#This Row],[Total Control Bu MOSFET Loss]]+Table2[[#This Row],[Total Sync Bu MOSFET Loss]]+Table2[[#This Row],[Total Control Bo MOSFET Loss]]+Table2[[#This Row],[Total Sync Bo MOSFET Loss]]+Table2[[#This Row],[Reverse Recovery Loss MOSFET D BUCK]]+Table2[[#This Row],[Reverse Recovery Loss MOSFET D BOOST]]</f>
        <v>4.7104128321697001</v>
      </c>
      <c r="BR89" s="354">
        <f xml:space="preserve"> Table2[[#This Row],[Total Control Bu MOSFET Loss]]+Table2[[#This Row],[Reverse Recovery Loss MOSFET D BUCK]]*0.66</f>
        <v>2.6559984409522674</v>
      </c>
      <c r="BS89" s="354">
        <f>Table2[[#This Row],[Total Sync Bu MOSFET Loss]]+Table2[[#This Row],[Reverse Recovery Loss MOSFET D BUCK]]*0.33</f>
        <v>1.0021144880506363</v>
      </c>
      <c r="BT89" s="354">
        <f xml:space="preserve"> Table2[[#This Row],[Total Control Bo MOSFET Loss]]+Table2[[#This Row],[Reverse Recovery Loss MOSFET D BOOST]]*0.66</f>
        <v>0.55584995542339866</v>
      </c>
      <c r="BU89" s="354">
        <f xml:space="preserve"> Table2[[#This Row],[Total Sync Bo MOSFET Loss]]+Table2[[#This Row],[Reverse Recovery Loss MOSFET D BOOST]]*0.33</f>
        <v>0.49261768918339865</v>
      </c>
      <c r="BV89" s="354">
        <f>Table2[[#This Row],[Isense Shunt Loss]]</f>
        <v>0.23170842813627029</v>
      </c>
      <c r="CB89" s="18"/>
      <c r="CC89" s="19"/>
    </row>
    <row r="90" spans="1:81" x14ac:dyDescent="0.2">
      <c r="G90">
        <v>81</v>
      </c>
      <c r="H90" s="555">
        <f t="shared" si="8"/>
        <v>20</v>
      </c>
      <c r="I90" s="4" t="str">
        <f>IF(Mode = 2,IF(Table2[[#This Row],[Vin]]&gt;Vout, "BUCK","BOOST"),IF(Table2[[#This Row],[Vin]]&gt;VIN_BB_to_buck, "BUCK", IF(Table2[[#This Row],[Vin]]&lt;=VIN_boost_to_BB,"BOOST","BUCK-BST")))</f>
        <v>BUCK</v>
      </c>
      <c r="J90">
        <f>IF(Table2[[#This Row],[Mode]]="BOOST",2, IF(Table2[[#This Row],[Mode]]="BUCK", 1,3))</f>
        <v>1</v>
      </c>
      <c r="K90" s="354">
        <f t="shared" si="11"/>
        <v>9.7200000000000006</v>
      </c>
      <c r="L90" s="4">
        <f>Vout*Table2[[#This Row],[Iout]]/(Table2[[#This Row],[Vin]]*Efficiency)</f>
        <v>7.4690526315789478</v>
      </c>
      <c r="M90" s="711">
        <f>MIN(1/Fsw,CHOOSE(Table2[[#This Row],[Mode Digit]],(Vout+(Rdson2+Rs+Rdcr)*Table2[[#This Row],[Iout]])/(Table2[[#This Row],[Vin]]+(Rs+Rdson2-Rdson1)*Table2[[#This Row],[Iout]])/Fsw,(Vout+(Rdson3+Rdcr)*Table2[[#This Row],[Iin]]-Table2[[#This Row],[Vin]])/(Vout+(Rdson3-Rdson4-Rs)*Table2[[#This Row],[Iin]])/Fsw,t1_Ph_II))</f>
        <v>1.225302923614475E-6</v>
      </c>
      <c r="N90" s="602">
        <f>CHOOSE(Table2[[#This Row],[Mode Digit]],1/Fsw-Table2[[#This Row],[t1_Ph_II]],1/Fsw-Table2[[#This Row],[t1_Ph_II]],(Vout/Fsw-Table2[[#This Row],[Vin]]*t1_Ph_II)/(Table2[[#This Row],[Vin]]+Vout))</f>
        <v>4.4136374305219163E-7</v>
      </c>
      <c r="O90" s="602">
        <f>1/Fsw-(Table2[[#This Row],[t1_Ph_II]]+Table2[[#This Row],[t2_Ph_I]])</f>
        <v>0</v>
      </c>
      <c r="P90"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8.466849282667015</v>
      </c>
      <c r="Q90" s="4">
        <f>CHOOSE(Table2[[#This Row],[Mode Digit]],Table2[[#This Row],[I_0]]+1/Lf*(Table2[[#This Row],[Vin]]-Vout)*Table2[[#This Row],[t1_Ph_II]],Table2[[#This Row],[I_0]]+1/Lf*Table2[[#This Row],[Vin]]*Table2[[#This Row],[t1_Ph_II]],Table2[[#This Row],[I_0]]+(Table2[[#This Row],[Vin]]-Vout)/L*Table2[[#This Row],[t1_Ph_II]])</f>
        <v>10.973150717332986</v>
      </c>
      <c r="R90" s="4">
        <f>CHOOSE(Table2[[#This Row],[Mode Digit]],0,0,Table2[[#This Row],[I_1]]+Table2[[#This Row],[Vin]]/L*Table2[[#This Row],[t2_Ph_I]])</f>
        <v>0</v>
      </c>
      <c r="S90" s="409">
        <f>Fsw*(Table2[[#This Row],[I_0]]*Table2[[#This Row],[t1_Ph_II]]+Table2[[#This Row],[I_1]]*Table2[[#This Row],[t2_Ph_I]]+Table2[[#This Row],[I_2]]*Table2[[#This Row],[t3_Ph_III]])</f>
        <v>9.130563632119765</v>
      </c>
      <c r="T90" s="354">
        <f>MIN(1,CHOOSE(Table2[[#This Row],[Mode Digit]],(Vout+(Rdson2+Rs+Rdcr)*Table2[[#This Row],[Iout]])/(Table2[[#This Row],[Vin]]+(Rs+Rdson2-Rdson1)*Table2[[#This Row],[Iout]]),1,Fsw*Table2[[#This Row],[t2_Ph_I]]+Table2[[#This Row],[t1_Ph_II]]))</f>
        <v>0.73518175416868503</v>
      </c>
      <c r="U90" s="354">
        <f>MIN(1,CHOOSE(Table2[[#This Row],[Mode Digit]],0,(Vout+(Rdson3+Rdcr)*Table2[[#This Row],[Iin]]-Table2[[#This Row],[Vin]])/(Vout+(Rdson3-Rdson4-Rs)*Table2[[#This Row],[Iin]]),Fsw*Table2[[#This Row],[t1_Ph_II]]+Table2[[#This Row],[t3_Ph_III]]))</f>
        <v>0</v>
      </c>
      <c r="V90" s="4">
        <f>MAX(Table2[[#This Row],[I_0]:[I_2]])-MIN(Table2[[#This Row],[I_0]:[I_1]])</f>
        <v>2.5063014346659713</v>
      </c>
      <c r="W90"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9.7468898752431485</v>
      </c>
      <c r="X90" s="354">
        <f>(Table2[[#This Row],[Irms Lf]]^2*Rdcr*(1+Ltc*Ta-Ltc*25))/(1-Table2[[#This Row],[Irms Lf]]^2*Rdcr*Ltc*ThetaCa)</f>
        <v>0.57641988771575026</v>
      </c>
      <c r="Y90" s="354">
        <f>ABS(7.759*10^-3*Fsw^0.9458*(0.00787*Table2[[#This Row],[Ripple Current pk-pk]])^2.304)</f>
        <v>0.26698060770587445</v>
      </c>
      <c r="Z90" s="354">
        <f>Table2[[#This Row],[DCR    Loss]]+Table2[[#This Row],[Core Loss]]</f>
        <v>0.84340049542162476</v>
      </c>
      <c r="AA90" s="4">
        <f>IF(Table2[[#This Row],[Vin]]&gt;Vout, Table2[[#This Row],[Ripple Current pk-pk]]/SQRT(12), SQRT(Table2[[#This Row],[Duty Cycle BOOST Leg]]/(1-Table2[[#This Row],[Duty Cycle BOOST Leg]]))*SQRT(Table2[[#This Row],[Iout]]^2+(Table2[[#This Row],[Ripple Current pk-pk]]^2)/12))</f>
        <v>0.72350690398737194</v>
      </c>
      <c r="AB90" s="354">
        <f>RCoutEsr*Table2[[#This Row],[Irms Cout]]^2</f>
        <v>2.6173112005869613E-3</v>
      </c>
      <c r="AC90" s="354">
        <f>Table2[[#This Row],[Cout ESR Loss]]</f>
        <v>2.6173112005869613E-3</v>
      </c>
      <c r="AD90" s="4">
        <f>IF(Table2[[#This Row],[Vin]]&gt;Vout, SQRT(Table2[[#This Row],[Duty Cycle BUCK Leg]]*(1-Table2[[#This Row],[Duty Cycle BUCK Leg]]))*SQRT(Table2[[#This Row],[Iout]]^2+(Table2[[#This Row],[Ripple Current pk-pk]]^2)/12), Table2[[#This Row],[Ripple Current pk-pk]]/SQRT(12))</f>
        <v>4.3006823989641241</v>
      </c>
      <c r="AE90" s="354">
        <f>RCinEsr*Table2[[#This Row],[Irms Cin]]^2</f>
        <v>3.6991738193519627E-2</v>
      </c>
      <c r="AF90" s="549">
        <f>Table2[[#This Row],[Cin ESR Loss]]</f>
        <v>3.6991738193519627E-2</v>
      </c>
      <c r="AG90" s="354">
        <f>Table2[[#This Row],[Irms Lf]]</f>
        <v>9.7468898752431485</v>
      </c>
      <c r="AH90" s="354">
        <f>Rdson1*Table2[[#This Row],[Irms BuCtrl]]^2</f>
        <v>0.39900782140849317</v>
      </c>
      <c r="AI90" s="354">
        <f>CHOOSE(Table2[[#This Row],[Mode Digit]], (Table2[[#This Row],[Vin]]*Table2[[#This Row],[Iout]]/2)*(Fsw)*(Tr_buck+Tf_buck), 0, (Table2[[#This Row],[Vin]]*Table2[[#This Row],[Avg IL]]/2)*(Fsw/1)*(Tr_buck+Tf_buck))</f>
        <v>1.9277417336835727</v>
      </c>
      <c r="AJ90">
        <f>IF(Table2[[#This Row],[Vin]]&gt;Vout, IF(Table2[[#This Row],[Iout]]&gt;Table2[[#This Row],[Ripple Current pk-pk]]/2,0,ABS(Table2[[#This Row],[Iout]]-Table2[[#This Row],[Ripple Current pk-pk]]/2)*Vsd_Q1*Deadtime*Fsw),0)</f>
        <v>0</v>
      </c>
      <c r="AK90" s="354">
        <f>(Table2[[#This Row],[Dead Time Loss BuCtrl]]+Table2[[#This Row],[Transition Loss BuCtrl]]+Table2[[#This Row],[RDS(on) Loss BuCtrl]]*(1+RdsonTopTc*Ta-RdsonTopTc*25))/(1-Table2[[#This Row],[RDS(on) Loss BuCtrl]]*RdsonTopTc*ThetaJA_Q1)</f>
        <v>2.5731602066585961</v>
      </c>
      <c r="AL90" s="354">
        <f>Table2[[#This Row],[Irms Lf]]</f>
        <v>9.7468898752431485</v>
      </c>
      <c r="AM90" s="354">
        <f>Rdson2*Table2[[#This Row],[Irms BuSync]]^2</f>
        <v>0.39900782140849317</v>
      </c>
      <c r="AN90"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0.46767085714285717</v>
      </c>
      <c r="AO90" s="354">
        <f>(Table2[[#This Row],[Deadtime Loss BuSync]]+Table2[[#This Row],[RDS(on) Loss BuSync]]*(1+RdsonBotTc*Ta-RdsonBotTc*25))/(1-Table2[[#This Row],[RDS(on) Loss BuSync]]*RdsonBotTc*ThetaJA_Q2)</f>
        <v>0.95846288343635222</v>
      </c>
      <c r="AP90" s="354">
        <f>Table2[[#This Row],[Irms Lf]]</f>
        <v>9.7468898752431485</v>
      </c>
      <c r="AQ90" s="354">
        <f>Rdson4*Table2[[#This Row],[Irms BoCtlr]]^2</f>
        <v>0.39900782140849317</v>
      </c>
      <c r="AR90" s="354">
        <f>CHOOSE(Table2[[#This Row],[Mode Digit]], 0, (Vout*Table2[[#This Row],[Iin]]/2)*(Fsw)*(Tr_boost+Tf_boost), (Vout*Iout/2)*(Fsw/1)*(Tr_boost+Tf_boost))</f>
        <v>0</v>
      </c>
      <c r="AS90" s="354">
        <f>IF(Table2[[#This Row],[Vin]]&gt;Vout, 0, IF(Table2[[#This Row],[Iin]]&gt;Table2[[#This Row],[Ripple Current pk-pk]]/2,0,ABS(Table2[[#This Row],[Iin]]-Table2[[#This Row],[Ripple Current pk-pk]]/2)*Vsd_Q4*Deadtime*Fsw))</f>
        <v>0</v>
      </c>
      <c r="AT90" s="354">
        <f>(Table2[[#This Row],[Dead Time Loss BoCtlr]]+Table2[[#This Row],[Transition Loss BoCtlr]]+Table2[[#This Row],[RDS(on) Loss BoCtlr]]*(1+RdsonTopTc*Ta-RdsonTopTc*25))/(1-Table2[[#This Row],[RDS(on) Loss BoCtlr]]*RdsonTopTc*ThetaJA_Q4)</f>
        <v>0.44126409993156701</v>
      </c>
      <c r="AU90" s="354">
        <f>Table2[[#This Row],[Irms Lf]]</f>
        <v>9.7468898752431485</v>
      </c>
      <c r="AV90" s="354">
        <f>Rdson3*Table2[[#This Row],[Irms BoSync]]^2</f>
        <v>0.39900782140849317</v>
      </c>
      <c r="AW90"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90" s="354">
        <f>(Table2[[#This Row],[Deadtime Loss BoSync]]+Table2[[#This Row],[RDS(on) Loss BoSync]]*(1+RdsonBotTc*Ta-RdsonBotTc*25))/(1-Table2[[#This Row],[RDS(on) Loss BoSync]]*RdsonBotTc*ThetaJA_Q3)</f>
        <v>0.44126409993156701</v>
      </c>
      <c r="AY90" s="354">
        <f>CHOOSE(Table2[[#This Row],[Mode Digit]], Rdson3*Table2[[#This Row],[Irms Lf]]^2, Rdson1*Table2[[#This Row],[Irms Lf]]^2, 0)</f>
        <v>0.39900782140849317</v>
      </c>
      <c r="AZ90" s="354">
        <f>CHOOSE(Table2[[#This Row],[Mode Digit]], 2*Deadtime*Fsw*IF(VfdSky_Q2&gt;0,VfdSky_Q2,0)*Table2[[#This Row],[Iout]], 2*Deadtime*Fsw*IF(VfdSky_Q3&gt;0,VfdSky_Q3,0)*Table2[[#This Row],[Iin]], 2*Deadtime*Fsw*IF(VfdSky_Q2&gt;0,VfdSky_Q2,0)*Table2[[#This Row],[Iout]]+2*Deadtime*Fsw*IF(VfdSky_Q3&gt;0,VfdSky_Q3,0)*Table2[[#This Row],[Iin]])</f>
        <v>0</v>
      </c>
      <c r="BA9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0.19400319072000002</v>
      </c>
      <c r="BB9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0.19400319072000002</v>
      </c>
      <c r="BC90" s="354">
        <f>CHOOSE(Table2[[#This Row],[Mode Digit]], Rs*Table2[[#This Row],[Irms BuSync]]^2, Rs*Table2[[#This Row],[Irms BoCtlr]]^2, Rs*(Table2[[#This Row],[Irms BuSync]]^2+Table2[[#This Row],[Irms BoCtlr]]^2))</f>
        <v>0.23750465560029352</v>
      </c>
      <c r="BD90" s="354">
        <f t="shared" si="9"/>
        <v>1.44</v>
      </c>
      <c r="BE90" s="354">
        <f>IF(Vout&gt;8, Iq*Vout, Iq*Table2[[#This Row],[Vin]])</f>
        <v>4.3799999999999999E-2</v>
      </c>
      <c r="BF90" s="354">
        <f>CHOOSE(Table2[[#This Row],[Mode Digit]], (Qg_Q1+Qg_Q2)*Fsw, (Qg_Q3+Qg_Q4)*Fsw, (Qg_Q1+Qg_Q2+Qg_Q3+Qg_Q4)*Fsw)*IF(Vout&gt;8, Vout, Table2[[#This Row],[Vin]])</f>
        <v>0.47303999999999996</v>
      </c>
      <c r="BG90" s="354">
        <f t="shared" si="10"/>
        <v>0.45605042016806729</v>
      </c>
      <c r="BH90" s="354">
        <f>Table2[[#This Row],[IQ Loss]]+Table2[[#This Row],[Switching Current Loss]]</f>
        <v>0.51683999999999997</v>
      </c>
      <c r="BI90"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7.8795118718141079</v>
      </c>
      <c r="BJ90">
        <f>Vout*Table2[[#This Row],[Iout]]</f>
        <v>141.91200000000001</v>
      </c>
      <c r="BK90" s="550">
        <f>Table2[[#This Row],[Pout]]/(Table2[[#This Row],[Pout]]+Table2[[#This Row],[Total Loss]])</f>
        <v>0.94739680657901959</v>
      </c>
      <c r="BL90" s="559">
        <f>IF(Table2[[#This Row],[Vin]]&gt;Vout,ThetaJA_Q1*(Table2[[#This Row],[Total Control Bu MOSFET Loss]]+Table2[[#This Row],[Reverse Recovery Loss MOSFET D BUCK]]),ThetaJA_Q4*(Table2[[#This Row],[Total Control Bo MOSFET Loss]]+Table2[[#This Row],[Reverse Recovery Loss MOSFET D BOOST]]))</f>
        <v>166.02980384271578</v>
      </c>
      <c r="BM90" s="559">
        <f>IF(Table2[[#This Row],[Vin]]&gt;Vout, Table2[[#This Row],[Total Sync Bu MOSFET Loss]]*ThetaJA_Q2, ThetaJA_Q3*Table2[[#This Row],[Total Sync Bo MOSFET Loss]])</f>
        <v>57.507773006181132</v>
      </c>
      <c r="BN90" s="9"/>
      <c r="BO90" s="4">
        <f>Table2[[#This Row],[EFF, h]]*100</f>
        <v>94.739680657901957</v>
      </c>
      <c r="BP90" s="354">
        <f>Table2[[#This Row],[Total Inductor Loss]]</f>
        <v>0.84340049542162476</v>
      </c>
      <c r="BQ90" s="354">
        <f>Table2[[#This Row],[Total Control Bu MOSFET Loss]]+Table2[[#This Row],[Total Sync Bu MOSFET Loss]]+Table2[[#This Row],[Total Control Bo MOSFET Loss]]+Table2[[#This Row],[Total Sync Bo MOSFET Loss]]+Table2[[#This Row],[Reverse Recovery Loss MOSFET D BUCK]]+Table2[[#This Row],[Reverse Recovery Loss MOSFET D BOOST]]</f>
        <v>4.8021576713980823</v>
      </c>
      <c r="BR90" s="354">
        <f xml:space="preserve"> Table2[[#This Row],[Total Control Bu MOSFET Loss]]+Table2[[#This Row],[Reverse Recovery Loss MOSFET D BUCK]]*0.66</f>
        <v>2.7012023125337961</v>
      </c>
      <c r="BS90" s="354">
        <f>Table2[[#This Row],[Total Sync Bu MOSFET Loss]]+Table2[[#This Row],[Reverse Recovery Loss MOSFET D BUCK]]*0.33</f>
        <v>1.0224839363739522</v>
      </c>
      <c r="BT90" s="354">
        <f xml:space="preserve"> Table2[[#This Row],[Total Control Bo MOSFET Loss]]+Table2[[#This Row],[Reverse Recovery Loss MOSFET D BOOST]]*0.66</f>
        <v>0.56930620580676705</v>
      </c>
      <c r="BU90" s="354">
        <f xml:space="preserve"> Table2[[#This Row],[Total Sync Bo MOSFET Loss]]+Table2[[#This Row],[Reverse Recovery Loss MOSFET D BOOST]]*0.33</f>
        <v>0.50528515286916698</v>
      </c>
      <c r="BV90" s="354">
        <f>Table2[[#This Row],[Isense Shunt Loss]]</f>
        <v>0.23750465560029352</v>
      </c>
      <c r="CB90" s="18"/>
      <c r="CC90" s="19"/>
    </row>
    <row r="91" spans="1:81" x14ac:dyDescent="0.2">
      <c r="G91">
        <v>82</v>
      </c>
      <c r="H91" s="555">
        <f t="shared" si="8"/>
        <v>20</v>
      </c>
      <c r="I91" s="4" t="str">
        <f>IF(Mode = 2,IF(Table2[[#This Row],[Vin]]&gt;Vout, "BUCK","BOOST"),IF(Table2[[#This Row],[Vin]]&gt;VIN_BB_to_buck, "BUCK", IF(Table2[[#This Row],[Vin]]&lt;=VIN_boost_to_BB,"BOOST","BUCK-BST")))</f>
        <v>BUCK</v>
      </c>
      <c r="J91">
        <f>IF(Table2[[#This Row],[Mode]]="BOOST",2, IF(Table2[[#This Row],[Mode]]="BUCK", 1,3))</f>
        <v>1</v>
      </c>
      <c r="K91" s="354">
        <f t="shared" si="11"/>
        <v>9.84</v>
      </c>
      <c r="L91" s="4">
        <f>Vout*Table2[[#This Row],[Iout]]/(Table2[[#This Row],[Vin]]*Efficiency)</f>
        <v>7.5612631578947358</v>
      </c>
      <c r="M91" s="711">
        <f>MIN(1/Fsw,CHOOSE(Table2[[#This Row],[Mode Digit]],(Vout+(Rdson2+Rs+Rdcr)*Table2[[#This Row],[Iout]])/(Table2[[#This Row],[Vin]]+(Rs+Rdson2-Rdson1)*Table2[[#This Row],[Iout]])/Fsw,(Vout+(Rdson3+Rdcr)*Table2[[#This Row],[Iin]]-Table2[[#This Row],[Vin]])/(Vout+(Rdson3-Rdson4-Rs)*Table2[[#This Row],[Iin]])/Fsw,t1_Ph_II))</f>
        <v>1.2254094130885678E-6</v>
      </c>
      <c r="N91" s="602">
        <f>CHOOSE(Table2[[#This Row],[Mode Digit]],1/Fsw-Table2[[#This Row],[t1_Ph_II]],1/Fsw-Table2[[#This Row],[t1_Ph_II]],(Vout/Fsw-Table2[[#This Row],[Vin]]*t1_Ph_II)/(Table2[[#This Row],[Vin]]+Vout))</f>
        <v>4.4125725357809888E-7</v>
      </c>
      <c r="O91" s="602">
        <f>1/Fsw-(Table2[[#This Row],[t1_Ph_II]]+Table2[[#This Row],[t2_Ph_I]])</f>
        <v>0</v>
      </c>
      <c r="P91"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8.5867403729776015</v>
      </c>
      <c r="Q91" s="4">
        <f>CHOOSE(Table2[[#This Row],[Mode Digit]],Table2[[#This Row],[I_0]]+1/Lf*(Table2[[#This Row],[Vin]]-Vout)*Table2[[#This Row],[t1_Ph_II]],Table2[[#This Row],[I_0]]+1/Lf*Table2[[#This Row],[Vin]]*Table2[[#This Row],[t1_Ph_II]],Table2[[#This Row],[I_0]]+(Table2[[#This Row],[Vin]]-Vout)/L*Table2[[#This Row],[t1_Ph_II]])</f>
        <v>11.0932596270224</v>
      </c>
      <c r="R91" s="4">
        <f>CHOOSE(Table2[[#This Row],[Mode Digit]],0,0,Table2[[#This Row],[I_1]]+Table2[[#This Row],[Vin]]/L*Table2[[#This Row],[t2_Ph_I]])</f>
        <v>0</v>
      </c>
      <c r="S91" s="409">
        <f>Fsw*(Table2[[#This Row],[I_0]]*Table2[[#This Row],[t1_Ph_II]]+Table2[[#This Row],[I_1]]*Table2[[#This Row],[t2_Ph_I]]+Table2[[#This Row],[I_2]]*Table2[[#This Row],[t3_Ph_III]])</f>
        <v>9.2503522542258629</v>
      </c>
      <c r="T91" s="354">
        <f>MIN(1,CHOOSE(Table2[[#This Row],[Mode Digit]],(Vout+(Rdson2+Rs+Rdcr)*Table2[[#This Row],[Iout]])/(Table2[[#This Row],[Vin]]+(Rs+Rdson2-Rdson1)*Table2[[#This Row],[Iout]]),1,Fsw*Table2[[#This Row],[t2_Ph_I]]+Table2[[#This Row],[t1_Ph_II]]))</f>
        <v>0.73524564785314062</v>
      </c>
      <c r="U91" s="354">
        <f>MIN(1,CHOOSE(Table2[[#This Row],[Mode Digit]],0,(Vout+(Rdson3+Rdcr)*Table2[[#This Row],[Iin]]-Table2[[#This Row],[Vin]])/(Vout+(Rdson3-Rdson4-Rs)*Table2[[#This Row],[Iin]]),Fsw*Table2[[#This Row],[t1_Ph_II]]+Table2[[#This Row],[t3_Ph_III]]))</f>
        <v>0</v>
      </c>
      <c r="V91" s="4">
        <f>MAX(Table2[[#This Row],[I_0]:[I_2]])-MIN(Table2[[#This Row],[I_0]:[I_1]])</f>
        <v>2.5065192540447985</v>
      </c>
      <c r="W91"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9.8665674492656326</v>
      </c>
      <c r="X91" s="354">
        <f>(Table2[[#This Row],[Irms Lf]]^2*Rdcr*(1+Ltc*Ta-Ltc*25))/(1-Table2[[#This Row],[Irms Lf]]^2*Rdcr*Ltc*ThetaCa)</f>
        <v>0.59133572776016996</v>
      </c>
      <c r="Y91" s="354">
        <f>ABS(7.759*10^-3*Fsw^0.9458*(0.00787*Table2[[#This Row],[Ripple Current pk-pk]])^2.304)</f>
        <v>0.26703407029818055</v>
      </c>
      <c r="Z91" s="354">
        <f>Table2[[#This Row],[DCR    Loss]]+Table2[[#This Row],[Core Loss]]</f>
        <v>0.85836979805835045</v>
      </c>
      <c r="AA91" s="4">
        <f>IF(Table2[[#This Row],[Vin]]&gt;Vout, Table2[[#This Row],[Ripple Current pk-pk]]/SQRT(12), SQRT(Table2[[#This Row],[Duty Cycle BOOST Leg]]/(1-Table2[[#This Row],[Duty Cycle BOOST Leg]]))*SQRT(Table2[[#This Row],[Iout]]^2+(Table2[[#This Row],[Ripple Current pk-pk]]^2)/12))</f>
        <v>0.72356978302587227</v>
      </c>
      <c r="AB91" s="354">
        <f>RCoutEsr*Table2[[#This Row],[Irms Cout]]^2</f>
        <v>2.6177661545405398E-3</v>
      </c>
      <c r="AC91" s="354">
        <f>Table2[[#This Row],[Cout ESR Loss]]</f>
        <v>2.6177661545405398E-3</v>
      </c>
      <c r="AD91" s="4">
        <f>IF(Table2[[#This Row],[Vin]]&gt;Vout, SQRT(Table2[[#This Row],[Duty Cycle BUCK Leg]]*(1-Table2[[#This Row],[Duty Cycle BUCK Leg]]))*SQRT(Table2[[#This Row],[Iout]]^2+(Table2[[#This Row],[Ripple Current pk-pk]]^2)/12), Table2[[#This Row],[Ripple Current pk-pk]]/SQRT(12))</f>
        <v>4.3531524266087693</v>
      </c>
      <c r="AE91" s="354">
        <f>RCinEsr*Table2[[#This Row],[Irms Cin]]^2</f>
        <v>3.7899872098579639E-2</v>
      </c>
      <c r="AF91" s="549">
        <f>Table2[[#This Row],[Cin ESR Loss]]</f>
        <v>3.7899872098579639E-2</v>
      </c>
      <c r="AG91" s="354">
        <f>Table2[[#This Row],[Irms Lf]]</f>
        <v>9.8665674492656326</v>
      </c>
      <c r="AH91" s="354">
        <f>Rdson1*Table2[[#This Row],[Irms BuCtrl]]^2</f>
        <v>0.40886644356981422</v>
      </c>
      <c r="AI91" s="354">
        <f>CHOOSE(Table2[[#This Row],[Mode Digit]], (Table2[[#This Row],[Vin]]*Table2[[#This Row],[Iout]]/2)*(Fsw)*(Tr_buck+Tf_buck), 0, (Table2[[#This Row],[Vin]]*Table2[[#This Row],[Avg IL]]/2)*(Fsw/1)*(Tr_buck+Tf_buck))</f>
        <v>1.951541014346333</v>
      </c>
      <c r="AJ91">
        <f>IF(Table2[[#This Row],[Vin]]&gt;Vout, IF(Table2[[#This Row],[Iout]]&gt;Table2[[#This Row],[Ripple Current pk-pk]]/2,0,ABS(Table2[[#This Row],[Iout]]-Table2[[#This Row],[Ripple Current pk-pk]]/2)*Vsd_Q1*Deadtime*Fsw),0)</f>
        <v>0</v>
      </c>
      <c r="AK91" s="354">
        <f>(Table2[[#This Row],[Dead Time Loss BuCtrl]]+Table2[[#This Row],[Transition Loss BuCtrl]]+Table2[[#This Row],[RDS(on) Loss BuCtrl]]*(1+RdsonTopTc*Ta-RdsonTopTc*25))/(1-Table2[[#This Row],[RDS(on) Loss BuCtrl]]*RdsonTopTc*ThetaJA_Q1)</f>
        <v>2.6172309571437076</v>
      </c>
      <c r="AL91" s="354">
        <f>Table2[[#This Row],[Irms Lf]]</f>
        <v>9.8665674492656326</v>
      </c>
      <c r="AM91" s="354">
        <f>Rdson2*Table2[[#This Row],[Irms BuSync]]^2</f>
        <v>0.40886644356981422</v>
      </c>
      <c r="AN91"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0.47344457142857144</v>
      </c>
      <c r="AO91" s="354">
        <f>(Table2[[#This Row],[Deadtime Loss BuSync]]+Table2[[#This Row],[RDS(on) Loss BuSync]]*(1+RdsonBotTc*Ta-RdsonBotTc*25))/(1-Table2[[#This Row],[RDS(on) Loss BuSync]]*RdsonBotTc*ThetaJA_Q2)</f>
        <v>0.97831062791223189</v>
      </c>
      <c r="AP91" s="354">
        <f>Table2[[#This Row],[Irms Lf]]</f>
        <v>9.8665674492656326</v>
      </c>
      <c r="AQ91" s="354">
        <f>Rdson4*Table2[[#This Row],[Irms BoCtlr]]^2</f>
        <v>0.40886644356981422</v>
      </c>
      <c r="AR91" s="354">
        <f>CHOOSE(Table2[[#This Row],[Mode Digit]], 0, (Vout*Table2[[#This Row],[Iin]]/2)*(Fsw)*(Tr_boost+Tf_boost), (Vout*Iout/2)*(Fsw/1)*(Tr_boost+Tf_boost))</f>
        <v>0</v>
      </c>
      <c r="AS91" s="354">
        <f>IF(Table2[[#This Row],[Vin]]&gt;Vout, 0, IF(Table2[[#This Row],[Iin]]&gt;Table2[[#This Row],[Ripple Current pk-pk]]/2,0,ABS(Table2[[#This Row],[Iin]]-Table2[[#This Row],[Ripple Current pk-pk]]/2)*Vsd_Q4*Deadtime*Fsw))</f>
        <v>0</v>
      </c>
      <c r="AT91" s="354">
        <f>(Table2[[#This Row],[Dead Time Loss BoCtlr]]+Table2[[#This Row],[Transition Loss BoCtlr]]+Table2[[#This Row],[RDS(on) Loss BoCtlr]]*(1+RdsonTopTc*Ta-RdsonTopTc*25))/(1-Table2[[#This Row],[RDS(on) Loss BoCtlr]]*RdsonTopTc*ThetaJA_Q4)</f>
        <v>0.45335304710182944</v>
      </c>
      <c r="AU91" s="354">
        <f>Table2[[#This Row],[Irms Lf]]</f>
        <v>9.8665674492656326</v>
      </c>
      <c r="AV91" s="354">
        <f>Rdson3*Table2[[#This Row],[Irms BoSync]]^2</f>
        <v>0.40886644356981422</v>
      </c>
      <c r="AW91"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91" s="354">
        <f>(Table2[[#This Row],[Deadtime Loss BoSync]]+Table2[[#This Row],[RDS(on) Loss BoSync]]*(1+RdsonBotTc*Ta-RdsonBotTc*25))/(1-Table2[[#This Row],[RDS(on) Loss BoSync]]*RdsonBotTc*ThetaJA_Q3)</f>
        <v>0.45335304710182944</v>
      </c>
      <c r="AY91" s="354">
        <f>CHOOSE(Table2[[#This Row],[Mode Digit]], Rdson3*Table2[[#This Row],[Irms Lf]]^2, Rdson1*Table2[[#This Row],[Irms Lf]]^2, 0)</f>
        <v>0.40886644356981422</v>
      </c>
      <c r="AZ91" s="354">
        <f>CHOOSE(Table2[[#This Row],[Mode Digit]], 2*Deadtime*Fsw*IF(VfdSky_Q2&gt;0,VfdSky_Q2,0)*Table2[[#This Row],[Iout]], 2*Deadtime*Fsw*IF(VfdSky_Q3&gt;0,VfdSky_Q3,0)*Table2[[#This Row],[Iin]], 2*Deadtime*Fsw*IF(VfdSky_Q2&gt;0,VfdSky_Q2,0)*Table2[[#This Row],[Iout]]+2*Deadtime*Fsw*IF(VfdSky_Q3&gt;0,VfdSky_Q3,0)*Table2[[#This Row],[Iin]])</f>
        <v>0</v>
      </c>
      <c r="BA9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0.19639333247999996</v>
      </c>
      <c r="BB9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0.19639333247999996</v>
      </c>
      <c r="BC91" s="354">
        <f>CHOOSE(Table2[[#This Row],[Mode Digit]], Rs*Table2[[#This Row],[Irms BuSync]]^2, Rs*Table2[[#This Row],[Irms BoCtlr]]^2, Rs*(Table2[[#This Row],[Irms BuSync]]^2+Table2[[#This Row],[Irms BoCtlr]]^2))</f>
        <v>0.24337288307727034</v>
      </c>
      <c r="BD91" s="354">
        <f t="shared" si="9"/>
        <v>1.44</v>
      </c>
      <c r="BE91" s="354">
        <f>IF(Vout&gt;8, Iq*Vout, Iq*Table2[[#This Row],[Vin]])</f>
        <v>4.3799999999999999E-2</v>
      </c>
      <c r="BF91" s="354">
        <f>CHOOSE(Table2[[#This Row],[Mode Digit]], (Qg_Q1+Qg_Q2)*Fsw, (Qg_Q3+Qg_Q4)*Fsw, (Qg_Q1+Qg_Q2+Qg_Q3+Qg_Q4)*Fsw)*IF(Vout&gt;8, Vout, Table2[[#This Row],[Vin]])</f>
        <v>0.47303999999999996</v>
      </c>
      <c r="BG91" s="354">
        <f t="shared" si="10"/>
        <v>0.45605042016806729</v>
      </c>
      <c r="BH91" s="354">
        <f>Table2[[#This Row],[IQ Loss]]+Table2[[#This Row],[Switching Current Loss]]</f>
        <v>0.51683999999999997</v>
      </c>
      <c r="BI91"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7.9941346636083388</v>
      </c>
      <c r="BJ91">
        <f>Vout*Table2[[#This Row],[Iout]]</f>
        <v>143.66399999999999</v>
      </c>
      <c r="BK91" s="550">
        <f>Table2[[#This Row],[Pout]]/(Table2[[#This Row],[Pout]]+Table2[[#This Row],[Total Loss]])</f>
        <v>0.9472884545142265</v>
      </c>
      <c r="BL91" s="559">
        <f>IF(Table2[[#This Row],[Vin]]&gt;Vout,ThetaJA_Q1*(Table2[[#This Row],[Total Control Bu MOSFET Loss]]+Table2[[#This Row],[Reverse Recovery Loss MOSFET D BUCK]]),ThetaJA_Q4*(Table2[[#This Row],[Total Control Bo MOSFET Loss]]+Table2[[#This Row],[Reverse Recovery Loss MOSFET D BOOST]]))</f>
        <v>168.81745737742244</v>
      </c>
      <c r="BM91" s="559">
        <f>IF(Table2[[#This Row],[Vin]]&gt;Vout, Table2[[#This Row],[Total Sync Bu MOSFET Loss]]*ThetaJA_Q2, ThetaJA_Q3*Table2[[#This Row],[Total Sync Bo MOSFET Loss]])</f>
        <v>58.698637674733916</v>
      </c>
      <c r="BN91" s="9"/>
      <c r="BO91" s="4">
        <f>Table2[[#This Row],[EFF, h]]*100</f>
        <v>94.728845451422643</v>
      </c>
      <c r="BP91" s="354">
        <f>Table2[[#This Row],[Total Inductor Loss]]</f>
        <v>0.85836979805835045</v>
      </c>
      <c r="BQ91" s="354">
        <f>Table2[[#This Row],[Total Control Bu MOSFET Loss]]+Table2[[#This Row],[Total Sync Bu MOSFET Loss]]+Table2[[#This Row],[Total Control Bo MOSFET Loss]]+Table2[[#This Row],[Total Sync Bo MOSFET Loss]]+Table2[[#This Row],[Reverse Recovery Loss MOSFET D BUCK]]+Table2[[#This Row],[Reverse Recovery Loss MOSFET D BOOST]]</f>
        <v>4.8950343442195976</v>
      </c>
      <c r="BR91" s="354">
        <f xml:space="preserve"> Table2[[#This Row],[Total Control Bu MOSFET Loss]]+Table2[[#This Row],[Reverse Recovery Loss MOSFET D BUCK]]*0.66</f>
        <v>2.7468505565805077</v>
      </c>
      <c r="BS91" s="354">
        <f>Table2[[#This Row],[Total Sync Bu MOSFET Loss]]+Table2[[#This Row],[Reverse Recovery Loss MOSFET D BUCK]]*0.33</f>
        <v>1.0431204276306318</v>
      </c>
      <c r="BT91" s="354">
        <f xml:space="preserve"> Table2[[#This Row],[Total Control Bo MOSFET Loss]]+Table2[[#This Row],[Reverse Recovery Loss MOSFET D BOOST]]*0.66</f>
        <v>0.58297264653862946</v>
      </c>
      <c r="BU91" s="354">
        <f xml:space="preserve"> Table2[[#This Row],[Total Sync Bo MOSFET Loss]]+Table2[[#This Row],[Reverse Recovery Loss MOSFET D BOOST]]*0.33</f>
        <v>0.51816284682022939</v>
      </c>
      <c r="BV91" s="354">
        <f>Table2[[#This Row],[Isense Shunt Loss]]</f>
        <v>0.24337288307727034</v>
      </c>
      <c r="CB91" s="18"/>
      <c r="CC91" s="19"/>
    </row>
    <row r="92" spans="1:81" x14ac:dyDescent="0.2">
      <c r="G92">
        <v>83</v>
      </c>
      <c r="H92" s="555">
        <f t="shared" si="8"/>
        <v>20</v>
      </c>
      <c r="I92" s="4" t="str">
        <f>IF(Mode = 2,IF(Table2[[#This Row],[Vin]]&gt;Vout, "BUCK","BOOST"),IF(Table2[[#This Row],[Vin]]&gt;VIN_BB_to_buck, "BUCK", IF(Table2[[#This Row],[Vin]]&lt;=VIN_boost_to_BB,"BOOST","BUCK-BST")))</f>
        <v>BUCK</v>
      </c>
      <c r="J92">
        <f>IF(Table2[[#This Row],[Mode]]="BOOST",2, IF(Table2[[#This Row],[Mode]]="BUCK", 1,3))</f>
        <v>1</v>
      </c>
      <c r="K92" s="354">
        <f t="shared" si="11"/>
        <v>9.9600000000000009</v>
      </c>
      <c r="L92" s="4">
        <f>Vout*Table2[[#This Row],[Iout]]/(Table2[[#This Row],[Vin]]*Efficiency)</f>
        <v>7.6534736842105264</v>
      </c>
      <c r="M92" s="711">
        <f>MIN(1/Fsw,CHOOSE(Table2[[#This Row],[Mode Digit]],(Vout+(Rdson2+Rs+Rdcr)*Table2[[#This Row],[Iout]])/(Table2[[#This Row],[Vin]]+(Rs+Rdson2-Rdson1)*Table2[[#This Row],[Iout]])/Fsw,(Vout+(Rdson3+Rdcr)*Table2[[#This Row],[Iin]]-Table2[[#This Row],[Vin]])/(Vout+(Rdson3-Rdson4-Rs)*Table2[[#This Row],[Iin]])/Fsw,t1_Ph_II))</f>
        <v>1.2255158993719486E-6</v>
      </c>
      <c r="N92" s="602">
        <f>CHOOSE(Table2[[#This Row],[Mode Digit]],1/Fsw-Table2[[#This Row],[t1_Ph_II]],1/Fsw-Table2[[#This Row],[t1_Ph_II]],(Vout/Fsw-Table2[[#This Row],[Vin]]*t1_Ph_II)/(Table2[[#This Row],[Vin]]+Vout))</f>
        <v>4.4115076729471805E-7</v>
      </c>
      <c r="O92" s="602">
        <f>1/Fsw-(Table2[[#This Row],[t1_Ph_II]]+Table2[[#This Row],[t2_Ph_I]])</f>
        <v>0</v>
      </c>
      <c r="P92"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8.7066314665514177</v>
      </c>
      <c r="Q92" s="4">
        <f>CHOOSE(Table2[[#This Row],[Mode Digit]],Table2[[#This Row],[I_0]]+1/Lf*(Table2[[#This Row],[Vin]]-Vout)*Table2[[#This Row],[t1_Ph_II]],Table2[[#This Row],[I_0]]+1/Lf*Table2[[#This Row],[Vin]]*Table2[[#This Row],[t1_Ph_II]],Table2[[#This Row],[I_0]]+(Table2[[#This Row],[Vin]]-Vout)/L*Table2[[#This Row],[t1_Ph_II]])</f>
        <v>11.213368533448586</v>
      </c>
      <c r="R92" s="4">
        <f>CHOOSE(Table2[[#This Row],[Mode Digit]],0,0,Table2[[#This Row],[I_1]]+Table2[[#This Row],[Vin]]/L*Table2[[#This Row],[t2_Ph_I]])</f>
        <v>0</v>
      </c>
      <c r="S92" s="409">
        <f>Fsw*(Table2[[#This Row],[I_0]]*Table2[[#This Row],[t1_Ph_II]]+Table2[[#This Row],[I_1]]*Table2[[#This Row],[t2_Ph_I]]+Table2[[#This Row],[I_2]]*Table2[[#This Row],[t3_Ph_III]])</f>
        <v>9.3701408548320959</v>
      </c>
      <c r="T92" s="354">
        <f>MIN(1,CHOOSE(Table2[[#This Row],[Mode Digit]],(Vout+(Rdson2+Rs+Rdcr)*Table2[[#This Row],[Iout]])/(Table2[[#This Row],[Vin]]+(Rs+Rdson2-Rdson1)*Table2[[#This Row],[Iout]]),1,Fsw*Table2[[#This Row],[t2_Ph_I]]+Table2[[#This Row],[t1_Ph_II]]))</f>
        <v>0.73530953962316914</v>
      </c>
      <c r="U92" s="354">
        <f>MIN(1,CHOOSE(Table2[[#This Row],[Mode Digit]],0,(Vout+(Rdson3+Rdcr)*Table2[[#This Row],[Iin]]-Table2[[#This Row],[Vin]])/(Vout+(Rdson3-Rdson4-Rs)*Table2[[#This Row],[Iin]]),Fsw*Table2[[#This Row],[t1_Ph_II]]+Table2[[#This Row],[t3_Ph_III]]))</f>
        <v>0</v>
      </c>
      <c r="V92" s="4">
        <f>MAX(Table2[[#This Row],[I_0]:[I_2]])-MIN(Table2[[#This Row],[I_0]:[I_1]])</f>
        <v>2.506737066897168</v>
      </c>
      <c r="W92"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9.9862527620163775</v>
      </c>
      <c r="X92" s="354">
        <f>(Table2[[#This Row],[Irms Lf]]^2*Rdcr*(1+Ltc*Ta-Ltc*25))/(1-Table2[[#This Row],[Irms Lf]]^2*Rdcr*Ltc*ThetaCa)</f>
        <v>0.60646927407969753</v>
      </c>
      <c r="Y92" s="354">
        <f>ABS(7.759*10^-3*Fsw^0.9458*(0.00787*Table2[[#This Row],[Ripple Current pk-pk]])^2.304)</f>
        <v>0.2670875373470063</v>
      </c>
      <c r="Z92" s="354">
        <f>Table2[[#This Row],[DCR    Loss]]+Table2[[#This Row],[Core Loss]]</f>
        <v>0.87355681142670383</v>
      </c>
      <c r="AA92" s="4">
        <f>IF(Table2[[#This Row],[Vin]]&gt;Vout, Table2[[#This Row],[Ripple Current pk-pk]]/SQRT(12), SQRT(Table2[[#This Row],[Duty Cycle BOOST Leg]]/(1-Table2[[#This Row],[Duty Cycle BOOST Leg]]))*SQRT(Table2[[#This Row],[Iout]]^2+(Table2[[#This Row],[Ripple Current pk-pk]]^2)/12))</f>
        <v>0.72363266018034644</v>
      </c>
      <c r="AB92" s="354">
        <f>RCoutEsr*Table2[[#This Row],[Irms Cout]]^2</f>
        <v>2.6182211343984234E-3</v>
      </c>
      <c r="AC92" s="354">
        <f>Table2[[#This Row],[Cout ESR Loss]]</f>
        <v>2.6182211343984234E-3</v>
      </c>
      <c r="AD92" s="4">
        <f>IF(Table2[[#This Row],[Vin]]&gt;Vout, SQRT(Table2[[#This Row],[Duty Cycle BUCK Leg]]*(1-Table2[[#This Row],[Duty Cycle BUCK Leg]]))*SQRT(Table2[[#This Row],[Iout]]^2+(Table2[[#This Row],[Ripple Current pk-pk]]^2)/12), Table2[[#This Row],[Ripple Current pk-pk]]/SQRT(12))</f>
        <v>4.4056176070234079</v>
      </c>
      <c r="AE92" s="354">
        <f>RCinEsr*Table2[[#This Row],[Irms Cin]]^2</f>
        <v>3.8818932998629319E-2</v>
      </c>
      <c r="AF92" s="549">
        <f>Table2[[#This Row],[Cin ESR Loss]]</f>
        <v>3.8818932998629319E-2</v>
      </c>
      <c r="AG92" s="354">
        <f>Table2[[#This Row],[Irms Lf]]</f>
        <v>9.9862527620163775</v>
      </c>
      <c r="AH92" s="354">
        <f>Rdson1*Table2[[#This Row],[Irms BuCtrl]]^2</f>
        <v>0.41884602575289492</v>
      </c>
      <c r="AI92" s="354">
        <f>CHOOSE(Table2[[#This Row],[Mode Digit]], (Table2[[#This Row],[Vin]]*Table2[[#This Row],[Iout]]/2)*(Fsw)*(Tr_buck+Tf_buck), 0, (Table2[[#This Row],[Vin]]*Table2[[#This Row],[Avg IL]]/2)*(Fsw/1)*(Tr_buck+Tf_buck))</f>
        <v>1.9753402950090932</v>
      </c>
      <c r="AJ92">
        <f>IF(Table2[[#This Row],[Vin]]&gt;Vout, IF(Table2[[#This Row],[Iout]]&gt;Table2[[#This Row],[Ripple Current pk-pk]]/2,0,ABS(Table2[[#This Row],[Iout]]-Table2[[#This Row],[Ripple Current pk-pk]]/2)*Vsd_Q1*Deadtime*Fsw),0)</f>
        <v>0</v>
      </c>
      <c r="AK92" s="354">
        <f>(Table2[[#This Row],[Dead Time Loss BuCtrl]]+Table2[[#This Row],[Transition Loss BuCtrl]]+Table2[[#This Row],[RDS(on) Loss BuCtrl]]*(1+RdsonTopTc*Ta-RdsonTopTc*25))/(1-Table2[[#This Row],[RDS(on) Loss BuCtrl]]*RdsonTopTc*ThetaJA_Q1)</f>
        <v>2.661753934434826</v>
      </c>
      <c r="AL92" s="354">
        <f>Table2[[#This Row],[Irms Lf]]</f>
        <v>9.9862527620163775</v>
      </c>
      <c r="AM92" s="354">
        <f>Rdson2*Table2[[#This Row],[Irms BuSync]]^2</f>
        <v>0.41884602575289492</v>
      </c>
      <c r="AN92"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0.47921828571428576</v>
      </c>
      <c r="AO92" s="354">
        <f>(Table2[[#This Row],[Deadtime Loss BuSync]]+Table2[[#This Row],[RDS(on) Loss BuSync]]*(1+RdsonBotTc*Ta-RdsonBotTc*25))/(1-Table2[[#This Row],[RDS(on) Loss BuSync]]*RdsonBotTc*ThetaJA_Q2)</f>
        <v>0.99842948466202908</v>
      </c>
      <c r="AP92" s="354">
        <f>Table2[[#This Row],[Irms Lf]]</f>
        <v>9.9862527620163775</v>
      </c>
      <c r="AQ92" s="354">
        <f>Rdson4*Table2[[#This Row],[Irms BoCtlr]]^2</f>
        <v>0.41884602575289492</v>
      </c>
      <c r="AR92" s="354">
        <f>CHOOSE(Table2[[#This Row],[Mode Digit]], 0, (Vout*Table2[[#This Row],[Iin]]/2)*(Fsw)*(Tr_boost+Tf_boost), (Vout*Iout/2)*(Fsw/1)*(Tr_boost+Tf_boost))</f>
        <v>0</v>
      </c>
      <c r="AS92" s="354">
        <f>IF(Table2[[#This Row],[Vin]]&gt;Vout, 0, IF(Table2[[#This Row],[Iin]]&gt;Table2[[#This Row],[Ripple Current pk-pk]]/2,0,ABS(Table2[[#This Row],[Iin]]-Table2[[#This Row],[Ripple Current pk-pk]]/2)*Vsd_Q4*Deadtime*Fsw))</f>
        <v>0</v>
      </c>
      <c r="AT92" s="354">
        <f>(Table2[[#This Row],[Dead Time Loss BoCtlr]]+Table2[[#This Row],[Transition Loss BoCtlr]]+Table2[[#This Row],[RDS(on) Loss BoCtlr]]*(1+RdsonTopTc*Ta-RdsonTopTc*25))/(1-Table2[[#This Row],[RDS(on) Loss BoCtlr]]*RdsonTopTc*ThetaJA_Q4)</f>
        <v>0.46565509430165608</v>
      </c>
      <c r="AU92" s="354">
        <f>Table2[[#This Row],[Irms Lf]]</f>
        <v>9.9862527620163775</v>
      </c>
      <c r="AV92" s="354">
        <f>Rdson3*Table2[[#This Row],[Irms BoSync]]^2</f>
        <v>0.41884602575289492</v>
      </c>
      <c r="AW92"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92" s="354">
        <f>(Table2[[#This Row],[Deadtime Loss BoSync]]+Table2[[#This Row],[RDS(on) Loss BoSync]]*(1+RdsonBotTc*Ta-RdsonBotTc*25))/(1-Table2[[#This Row],[RDS(on) Loss BoSync]]*RdsonBotTc*ThetaJA_Q3)</f>
        <v>0.46565509430165608</v>
      </c>
      <c r="AY92" s="354">
        <f>CHOOSE(Table2[[#This Row],[Mode Digit]], Rdson3*Table2[[#This Row],[Irms Lf]]^2, Rdson1*Table2[[#This Row],[Irms Lf]]^2, 0)</f>
        <v>0.41884602575289492</v>
      </c>
      <c r="AZ92" s="354">
        <f>CHOOSE(Table2[[#This Row],[Mode Digit]], 2*Deadtime*Fsw*IF(VfdSky_Q2&gt;0,VfdSky_Q2,0)*Table2[[#This Row],[Iout]], 2*Deadtime*Fsw*IF(VfdSky_Q3&gt;0,VfdSky_Q3,0)*Table2[[#This Row],[Iin]], 2*Deadtime*Fsw*IF(VfdSky_Q2&gt;0,VfdSky_Q2,0)*Table2[[#This Row],[Iout]]+2*Deadtime*Fsw*IF(VfdSky_Q3&gt;0,VfdSky_Q3,0)*Table2[[#This Row],[Iin]])</f>
        <v>0</v>
      </c>
      <c r="BA9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0.19878335328000002</v>
      </c>
      <c r="BB9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0.19878335328000002</v>
      </c>
      <c r="BC92" s="354">
        <f>CHOOSE(Table2[[#This Row],[Mode Digit]], Rs*Table2[[#This Row],[Irms BuSync]]^2, Rs*Table2[[#This Row],[Irms BoCtlr]]^2, Rs*(Table2[[#This Row],[Irms BuSync]]^2+Table2[[#This Row],[Irms BoCtlr]]^2))</f>
        <v>0.24931311056719932</v>
      </c>
      <c r="BD92" s="354">
        <f t="shared" si="9"/>
        <v>1.44</v>
      </c>
      <c r="BE92" s="354">
        <f>IF(Vout&gt;8, Iq*Vout, Iq*Table2[[#This Row],[Vin]])</f>
        <v>4.3799999999999999E-2</v>
      </c>
      <c r="BF92" s="354">
        <f>CHOOSE(Table2[[#This Row],[Mode Digit]], (Qg_Q1+Qg_Q2)*Fsw, (Qg_Q3+Qg_Q4)*Fsw, (Qg_Q1+Qg_Q2+Qg_Q3+Qg_Q4)*Fsw)*IF(Vout&gt;8, Vout, Table2[[#This Row],[Vin]])</f>
        <v>0.47303999999999996</v>
      </c>
      <c r="BG92" s="354">
        <f t="shared" si="10"/>
        <v>0.45605042016806729</v>
      </c>
      <c r="BH92" s="354">
        <f>Table2[[#This Row],[IQ Loss]]+Table2[[#This Row],[Switching Current Loss]]</f>
        <v>0.51683999999999997</v>
      </c>
      <c r="BI92"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8.1102073903870977</v>
      </c>
      <c r="BJ92">
        <f>Vout*Table2[[#This Row],[Iout]]</f>
        <v>145.416</v>
      </c>
      <c r="BK92" s="550">
        <f>Table2[[#This Row],[Pout]]/(Table2[[#This Row],[Pout]]+Table2[[#This Row],[Total Loss]])</f>
        <v>0.94717379183500294</v>
      </c>
      <c r="BL92" s="559">
        <f>IF(Table2[[#This Row],[Vin]]&gt;Vout,ThetaJA_Q1*(Table2[[#This Row],[Total Control Bu MOSFET Loss]]+Table2[[#This Row],[Reverse Recovery Loss MOSFET D BUCK]]),ThetaJA_Q4*(Table2[[#This Row],[Total Control Bo MOSFET Loss]]+Table2[[#This Row],[Reverse Recovery Loss MOSFET D BOOST]]))</f>
        <v>171.63223726288956</v>
      </c>
      <c r="BM92" s="559">
        <f>IF(Table2[[#This Row],[Vin]]&gt;Vout, Table2[[#This Row],[Total Sync Bu MOSFET Loss]]*ThetaJA_Q2, ThetaJA_Q3*Table2[[#This Row],[Total Sync Bo MOSFET Loss]])</f>
        <v>59.905769079721743</v>
      </c>
      <c r="BN92" s="9"/>
      <c r="BO92" s="4">
        <f>Table2[[#This Row],[EFF, h]]*100</f>
        <v>94.717379183500299</v>
      </c>
      <c r="BP92" s="354">
        <f>Table2[[#This Row],[Total Inductor Loss]]</f>
        <v>0.87355681142670383</v>
      </c>
      <c r="BQ92" s="354">
        <f>Table2[[#This Row],[Total Control Bu MOSFET Loss]]+Table2[[#This Row],[Total Sync Bu MOSFET Loss]]+Table2[[#This Row],[Total Control Bo MOSFET Loss]]+Table2[[#This Row],[Total Sync Bo MOSFET Loss]]+Table2[[#This Row],[Reverse Recovery Loss MOSFET D BUCK]]+Table2[[#This Row],[Reverse Recovery Loss MOSFET D BOOST]]</f>
        <v>4.9890603142601666</v>
      </c>
      <c r="BR92" s="354">
        <f xml:space="preserve"> Table2[[#This Row],[Total Control Bu MOSFET Loss]]+Table2[[#This Row],[Reverse Recovery Loss MOSFET D BUCK]]*0.66</f>
        <v>2.7929509475996261</v>
      </c>
      <c r="BS92" s="354">
        <f>Table2[[#This Row],[Total Sync Bu MOSFET Loss]]+Table2[[#This Row],[Reverse Recovery Loss MOSFET D BUCK]]*0.33</f>
        <v>1.064027991244429</v>
      </c>
      <c r="BT92" s="354">
        <f xml:space="preserve"> Table2[[#This Row],[Total Control Bo MOSFET Loss]]+Table2[[#This Row],[Reverse Recovery Loss MOSFET D BOOST]]*0.66</f>
        <v>0.59685210746645612</v>
      </c>
      <c r="BU92" s="354">
        <f xml:space="preserve"> Table2[[#This Row],[Total Sync Bo MOSFET Loss]]+Table2[[#This Row],[Reverse Recovery Loss MOSFET D BOOST]]*0.33</f>
        <v>0.53125360088405604</v>
      </c>
      <c r="BV92" s="354">
        <f>Table2[[#This Row],[Isense Shunt Loss]]</f>
        <v>0.24931311056719932</v>
      </c>
      <c r="CB92" s="18"/>
      <c r="CC92" s="19"/>
    </row>
    <row r="93" spans="1:81" x14ac:dyDescent="0.2">
      <c r="G93">
        <v>84</v>
      </c>
      <c r="H93" s="555">
        <f t="shared" si="8"/>
        <v>20</v>
      </c>
      <c r="I93" s="4" t="str">
        <f>IF(Mode = 2,IF(Table2[[#This Row],[Vin]]&gt;Vout, "BUCK","BOOST"),IF(Table2[[#This Row],[Vin]]&gt;VIN_BB_to_buck, "BUCK", IF(Table2[[#This Row],[Vin]]&lt;=VIN_boost_to_BB,"BOOST","BUCK-BST")))</f>
        <v>BUCK</v>
      </c>
      <c r="J93">
        <f>IF(Table2[[#This Row],[Mode]]="BOOST",2, IF(Table2[[#This Row],[Mode]]="BUCK", 1,3))</f>
        <v>1</v>
      </c>
      <c r="K93" s="354">
        <f t="shared" si="11"/>
        <v>10.08</v>
      </c>
      <c r="L93" s="4">
        <f>Vout*Table2[[#This Row],[Iout]]/(Table2[[#This Row],[Vin]]*Efficiency)</f>
        <v>7.7456842105263162</v>
      </c>
      <c r="M93" s="711">
        <f>MIN(1/Fsw,CHOOSE(Table2[[#This Row],[Mode Digit]],(Vout+(Rdson2+Rs+Rdcr)*Table2[[#This Row],[Iout]])/(Table2[[#This Row],[Vin]]+(Rs+Rdson2-Rdson1)*Table2[[#This Row],[Iout]])/Fsw,(Vout+(Rdson3+Rdcr)*Table2[[#This Row],[Iin]]-Table2[[#This Row],[Vin]])/(Vout+(Rdson3-Rdson4-Rs)*Table2[[#This Row],[Iin]])/Fsw,t1_Ph_II))</f>
        <v>1.2256223824647609E-6</v>
      </c>
      <c r="N93" s="602">
        <f>CHOOSE(Table2[[#This Row],[Mode Digit]],1/Fsw-Table2[[#This Row],[t1_Ph_II]],1/Fsw-Table2[[#This Row],[t1_Ph_II]],(Vout/Fsw-Table2[[#This Row],[Vin]]*t1_Ph_II)/(Table2[[#This Row],[Vin]]+Vout))</f>
        <v>4.4104428420190577E-7</v>
      </c>
      <c r="O93" s="602">
        <f>1/Fsw-(Table2[[#This Row],[t1_Ph_II]]+Table2[[#This Row],[t2_Ph_I]])</f>
        <v>0</v>
      </c>
      <c r="P93"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8.8265225633883126</v>
      </c>
      <c r="Q93" s="4">
        <f>CHOOSE(Table2[[#This Row],[Mode Digit]],Table2[[#This Row],[I_0]]+1/Lf*(Table2[[#This Row],[Vin]]-Vout)*Table2[[#This Row],[t1_Ph_II]],Table2[[#This Row],[I_0]]+1/Lf*Table2[[#This Row],[Vin]]*Table2[[#This Row],[t1_Ph_II]],Table2[[#This Row],[I_0]]+(Table2[[#This Row],[Vin]]-Vout)/L*Table2[[#This Row],[t1_Ph_II]])</f>
        <v>11.333477436611687</v>
      </c>
      <c r="R93" s="4">
        <f>CHOOSE(Table2[[#This Row],[Mode Digit]],0,0,Table2[[#This Row],[I_1]]+Table2[[#This Row],[Vin]]/L*Table2[[#This Row],[t2_Ph_I]])</f>
        <v>0</v>
      </c>
      <c r="S93" s="409">
        <f>Fsw*(Table2[[#This Row],[I_0]]*Table2[[#This Row],[t1_Ph_II]]+Table2[[#This Row],[I_1]]*Table2[[#This Row],[t2_Ph_I]]+Table2[[#This Row],[I_2]]*Table2[[#This Row],[t3_Ph_III]])</f>
        <v>9.4899294339406826</v>
      </c>
      <c r="T93" s="354">
        <f>MIN(1,CHOOSE(Table2[[#This Row],[Mode Digit]],(Vout+(Rdson2+Rs+Rdcr)*Table2[[#This Row],[Iout]])/(Table2[[#This Row],[Vin]]+(Rs+Rdson2-Rdson1)*Table2[[#This Row],[Iout]]),1,Fsw*Table2[[#This Row],[t2_Ph_I]]+Table2[[#This Row],[t1_Ph_II]]))</f>
        <v>0.73537342947885653</v>
      </c>
      <c r="U93" s="354">
        <f>MIN(1,CHOOSE(Table2[[#This Row],[Mode Digit]],0,(Vout+(Rdson3+Rdcr)*Table2[[#This Row],[Iin]]-Table2[[#This Row],[Vin]])/(Vout+(Rdson3-Rdson4-Rs)*Table2[[#This Row],[Iin]]),Fsw*Table2[[#This Row],[t1_Ph_II]]+Table2[[#This Row],[t3_Ph_III]]))</f>
        <v>0</v>
      </c>
      <c r="V93" s="4">
        <f>MAX(Table2[[#This Row],[I_0]:[I_2]])-MIN(Table2[[#This Row],[I_0]:[I_1]])</f>
        <v>2.5069548732233748</v>
      </c>
      <c r="W93"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10.105945538544701</v>
      </c>
      <c r="X93" s="354">
        <f>(Table2[[#This Row],[Irms Lf]]^2*Rdcr*(1+Ltc*Ta-Ltc*25))/(1-Table2[[#This Row],[Irms Lf]]^2*Rdcr*Ltc*ThetaCa)</f>
        <v>0.62182191944077436</v>
      </c>
      <c r="Y93" s="354">
        <f>ABS(7.759*10^-3*Fsw^0.9458*(0.00787*Table2[[#This Row],[Ripple Current pk-pk]])^2.304)</f>
        <v>0.26714100885203812</v>
      </c>
      <c r="Z93" s="354">
        <f>Table2[[#This Row],[DCR    Loss]]+Table2[[#This Row],[Core Loss]]</f>
        <v>0.88896292829281243</v>
      </c>
      <c r="AA93" s="4">
        <f>IF(Table2[[#This Row],[Vin]]&gt;Vout, Table2[[#This Row],[Ripple Current pk-pk]]/SQRT(12), SQRT(Table2[[#This Row],[Duty Cycle BOOST Leg]]/(1-Table2[[#This Row],[Duty Cycle BOOST Leg]]))*SQRT(Table2[[#This Row],[Iout]]^2+(Table2[[#This Row],[Ripple Current pk-pk]]^2)/12))</f>
        <v>0.72369553545087983</v>
      </c>
      <c r="AB93" s="354">
        <f>RCoutEsr*Table2[[#This Row],[Irms Cout]]^2</f>
        <v>2.6186761401576788E-3</v>
      </c>
      <c r="AC93" s="354">
        <f>Table2[[#This Row],[Cout ESR Loss]]</f>
        <v>2.6186761401576788E-3</v>
      </c>
      <c r="AD93" s="4">
        <f>IF(Table2[[#This Row],[Vin]]&gt;Vout, SQRT(Table2[[#This Row],[Duty Cycle BUCK Leg]]*(1-Table2[[#This Row],[Duty Cycle BUCK Leg]]))*SQRT(Table2[[#This Row],[Iout]]^2+(Table2[[#This Row],[Ripple Current pk-pk]]^2)/12), Table2[[#This Row],[Ripple Current pk-pk]]/SQRT(12))</f>
        <v>4.4580778142091866</v>
      </c>
      <c r="AE93" s="354">
        <f>RCinEsr*Table2[[#This Row],[Irms Cin]]^2</f>
        <v>3.9748915595088322E-2</v>
      </c>
      <c r="AF93" s="549">
        <f>Table2[[#This Row],[Cin ESR Loss]]</f>
        <v>3.9748915595088322E-2</v>
      </c>
      <c r="AG93" s="354">
        <f>Table2[[#This Row],[Irms Lf]]</f>
        <v>10.105945538544701</v>
      </c>
      <c r="AH93" s="354">
        <f>Rdson1*Table2[[#This Row],[Irms BuCtrl]]^2</f>
        <v>0.42894656795773251</v>
      </c>
      <c r="AI93" s="354">
        <f>CHOOSE(Table2[[#This Row],[Mode Digit]], (Table2[[#This Row],[Vin]]*Table2[[#This Row],[Iout]]/2)*(Fsw)*(Tr_buck+Tf_buck), 0, (Table2[[#This Row],[Vin]]*Table2[[#This Row],[Avg IL]]/2)*(Fsw/1)*(Tr_buck+Tf_buck))</f>
        <v>1.9991395756718533</v>
      </c>
      <c r="AJ93">
        <f>IF(Table2[[#This Row],[Vin]]&gt;Vout, IF(Table2[[#This Row],[Iout]]&gt;Table2[[#This Row],[Ripple Current pk-pk]]/2,0,ABS(Table2[[#This Row],[Iout]]-Table2[[#This Row],[Ripple Current pk-pk]]/2)*Vsd_Q1*Deadtime*Fsw),0)</f>
        <v>0</v>
      </c>
      <c r="AK93" s="354">
        <f>(Table2[[#This Row],[Dead Time Loss BuCtrl]]+Table2[[#This Row],[Transition Loss BuCtrl]]+Table2[[#This Row],[RDS(on) Loss BuCtrl]]*(1+RdsonTopTc*Ta-RdsonTopTc*25))/(1-Table2[[#This Row],[RDS(on) Loss BuCtrl]]*RdsonTopTc*ThetaJA_Q1)</f>
        <v>2.7067370833763569</v>
      </c>
      <c r="AL93" s="354">
        <f>Table2[[#This Row],[Irms Lf]]</f>
        <v>10.105945538544701</v>
      </c>
      <c r="AM93" s="354">
        <f>Rdson2*Table2[[#This Row],[Irms BuSync]]^2</f>
        <v>0.42894656795773251</v>
      </c>
      <c r="AN93"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0.48499199999999998</v>
      </c>
      <c r="AO93" s="354">
        <f>(Table2[[#This Row],[Deadtime Loss BuSync]]+Table2[[#This Row],[RDS(on) Loss BuSync]]*(1+RdsonBotTc*Ta-RdsonBotTc*25))/(1-Table2[[#This Row],[RDS(on) Loss BuSync]]*RdsonBotTc*ThetaJA_Q2)</f>
        <v>1.0188235785247592</v>
      </c>
      <c r="AP93" s="354">
        <f>Table2[[#This Row],[Irms Lf]]</f>
        <v>10.105945538544701</v>
      </c>
      <c r="AQ93" s="354">
        <f>Rdson4*Table2[[#This Row],[Irms BoCtlr]]^2</f>
        <v>0.42894656795773251</v>
      </c>
      <c r="AR93" s="354">
        <f>CHOOSE(Table2[[#This Row],[Mode Digit]], 0, (Vout*Table2[[#This Row],[Iin]]/2)*(Fsw)*(Tr_boost+Tf_boost), (Vout*Iout/2)*(Fsw/1)*(Tr_boost+Tf_boost))</f>
        <v>0</v>
      </c>
      <c r="AS93" s="354">
        <f>IF(Table2[[#This Row],[Vin]]&gt;Vout, 0, IF(Table2[[#This Row],[Iin]]&gt;Table2[[#This Row],[Ripple Current pk-pk]]/2,0,ABS(Table2[[#This Row],[Iin]]-Table2[[#This Row],[Ripple Current pk-pk]]/2)*Vsd_Q4*Deadtime*Fsw))</f>
        <v>0</v>
      </c>
      <c r="AT93" s="354">
        <f>(Table2[[#This Row],[Dead Time Loss BoCtlr]]+Table2[[#This Row],[Transition Loss BoCtlr]]+Table2[[#This Row],[RDS(on) Loss BoCtlr]]*(1+RdsonTopTc*Ta-RdsonTopTc*25))/(1-Table2[[#This Row],[RDS(on) Loss BoCtlr]]*RdsonTopTc*ThetaJA_Q4)</f>
        <v>0.47817314279576612</v>
      </c>
      <c r="AU93" s="354">
        <f>Table2[[#This Row],[Irms Lf]]</f>
        <v>10.105945538544701</v>
      </c>
      <c r="AV93" s="354">
        <f>Rdson3*Table2[[#This Row],[Irms BoSync]]^2</f>
        <v>0.42894656795773251</v>
      </c>
      <c r="AW93"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93" s="354">
        <f>(Table2[[#This Row],[Deadtime Loss BoSync]]+Table2[[#This Row],[RDS(on) Loss BoSync]]*(1+RdsonBotTc*Ta-RdsonBotTc*25))/(1-Table2[[#This Row],[RDS(on) Loss BoSync]]*RdsonBotTc*ThetaJA_Q3)</f>
        <v>0.47817314279576612</v>
      </c>
      <c r="AY93" s="354">
        <f>CHOOSE(Table2[[#This Row],[Mode Digit]], Rdson3*Table2[[#This Row],[Irms Lf]]^2, Rdson1*Table2[[#This Row],[Irms Lf]]^2, 0)</f>
        <v>0.42894656795773251</v>
      </c>
      <c r="AZ93" s="354">
        <f>CHOOSE(Table2[[#This Row],[Mode Digit]], 2*Deadtime*Fsw*IF(VfdSky_Q2&gt;0,VfdSky_Q2,0)*Table2[[#This Row],[Iout]], 2*Deadtime*Fsw*IF(VfdSky_Q3&gt;0,VfdSky_Q3,0)*Table2[[#This Row],[Iin]], 2*Deadtime*Fsw*IF(VfdSky_Q2&gt;0,VfdSky_Q2,0)*Table2[[#This Row],[Iout]]+2*Deadtime*Fsw*IF(VfdSky_Q3&gt;0,VfdSky_Q3,0)*Table2[[#This Row],[Iin]])</f>
        <v>0</v>
      </c>
      <c r="BA9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0.20117325312000003</v>
      </c>
      <c r="BB9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0.20117325312000003</v>
      </c>
      <c r="BC93" s="354">
        <f>CHOOSE(Table2[[#This Row],[Mode Digit]], Rs*Table2[[#This Row],[Irms BuSync]]^2, Rs*Table2[[#This Row],[Irms BoCtlr]]^2, Rs*(Table2[[#This Row],[Irms BuSync]]^2+Table2[[#This Row],[Irms BoCtlr]]^2))</f>
        <v>0.25532533807007884</v>
      </c>
      <c r="BD93" s="354">
        <f t="shared" si="9"/>
        <v>1.44</v>
      </c>
      <c r="BE93" s="354">
        <f>IF(Vout&gt;8, Iq*Vout, Iq*Table2[[#This Row],[Vin]])</f>
        <v>4.3799999999999999E-2</v>
      </c>
      <c r="BF93" s="354">
        <f>CHOOSE(Table2[[#This Row],[Mode Digit]], (Qg_Q1+Qg_Q2)*Fsw, (Qg_Q3+Qg_Q4)*Fsw, (Qg_Q1+Qg_Q2+Qg_Q3+Qg_Q4)*Fsw)*IF(Vout&gt;8, Vout, Table2[[#This Row],[Vin]])</f>
        <v>0.47303999999999996</v>
      </c>
      <c r="BG93" s="354">
        <f t="shared" si="10"/>
        <v>0.45605042016806729</v>
      </c>
      <c r="BH93" s="354">
        <f>Table2[[#This Row],[IQ Loss]]+Table2[[#This Row],[Switching Current Loss]]</f>
        <v>0.51683999999999997</v>
      </c>
      <c r="BI93"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8.2277493118307863</v>
      </c>
      <c r="BJ93">
        <f>Vout*Table2[[#This Row],[Iout]]</f>
        <v>147.16800000000001</v>
      </c>
      <c r="BK93" s="550">
        <f>Table2[[#This Row],[Pout]]/(Table2[[#This Row],[Pout]]+Table2[[#This Row],[Total Loss]])</f>
        <v>0.94705293196070461</v>
      </c>
      <c r="BL93" s="559">
        <f>IF(Table2[[#This Row],[Vin]]&gt;Vout,ThetaJA_Q1*(Table2[[#This Row],[Total Control Bu MOSFET Loss]]+Table2[[#This Row],[Reverse Recovery Loss MOSFET D BUCK]]),ThetaJA_Q4*(Table2[[#This Row],[Total Control Bo MOSFET Loss]]+Table2[[#This Row],[Reverse Recovery Loss MOSFET D BOOST]]))</f>
        <v>174.4746201897814</v>
      </c>
      <c r="BM93" s="559">
        <f>IF(Table2[[#This Row],[Vin]]&gt;Vout, Table2[[#This Row],[Total Sync Bu MOSFET Loss]]*ThetaJA_Q2, ThetaJA_Q3*Table2[[#This Row],[Total Sync Bo MOSFET Loss]])</f>
        <v>61.129414711485552</v>
      </c>
      <c r="BN93" s="9"/>
      <c r="BO93" s="4">
        <f>Table2[[#This Row],[EFF, h]]*100</f>
        <v>94.705293196070457</v>
      </c>
      <c r="BP93" s="354">
        <f>Table2[[#This Row],[Total Inductor Loss]]</f>
        <v>0.88896292829281243</v>
      </c>
      <c r="BQ93" s="354">
        <f>Table2[[#This Row],[Total Control Bu MOSFET Loss]]+Table2[[#This Row],[Total Sync Bu MOSFET Loss]]+Table2[[#This Row],[Total Control Bo MOSFET Loss]]+Table2[[#This Row],[Total Sync Bo MOSFET Loss]]+Table2[[#This Row],[Reverse Recovery Loss MOSFET D BUCK]]+Table2[[#This Row],[Reverse Recovery Loss MOSFET D BOOST]]</f>
        <v>5.0842534537326491</v>
      </c>
      <c r="BR93" s="354">
        <f xml:space="preserve"> Table2[[#This Row],[Total Control Bu MOSFET Loss]]+Table2[[#This Row],[Reverse Recovery Loss MOSFET D BUCK]]*0.66</f>
        <v>2.8395114304355569</v>
      </c>
      <c r="BS93" s="354">
        <f>Table2[[#This Row],[Total Sync Bu MOSFET Loss]]+Table2[[#This Row],[Reverse Recovery Loss MOSFET D BUCK]]*0.33</f>
        <v>1.0852107520543592</v>
      </c>
      <c r="BT93" s="354">
        <f xml:space="preserve"> Table2[[#This Row],[Total Control Bo MOSFET Loss]]+Table2[[#This Row],[Reverse Recovery Loss MOSFET D BOOST]]*0.66</f>
        <v>0.61094748985496616</v>
      </c>
      <c r="BU93" s="354">
        <f xml:space="preserve"> Table2[[#This Row],[Total Sync Bo MOSFET Loss]]+Table2[[#This Row],[Reverse Recovery Loss MOSFET D BOOST]]*0.33</f>
        <v>0.54456031632536617</v>
      </c>
      <c r="BV93" s="354">
        <f>Table2[[#This Row],[Isense Shunt Loss]]</f>
        <v>0.25532533807007884</v>
      </c>
      <c r="CB93" s="18"/>
      <c r="CC93" s="19"/>
    </row>
    <row r="94" spans="1:81" x14ac:dyDescent="0.2">
      <c r="G94">
        <v>85</v>
      </c>
      <c r="H94" s="555">
        <f t="shared" si="8"/>
        <v>20</v>
      </c>
      <c r="I94" s="4" t="str">
        <f>IF(Mode = 2,IF(Table2[[#This Row],[Vin]]&gt;Vout, "BUCK","BOOST"),IF(Table2[[#This Row],[Vin]]&gt;VIN_BB_to_buck, "BUCK", IF(Table2[[#This Row],[Vin]]&lt;=VIN_boost_to_BB,"BOOST","BUCK-BST")))</f>
        <v>BUCK</v>
      </c>
      <c r="J94">
        <f>IF(Table2[[#This Row],[Mode]]="BOOST",2, IF(Table2[[#This Row],[Mode]]="BUCK", 1,3))</f>
        <v>1</v>
      </c>
      <c r="K94" s="354">
        <f t="shared" si="11"/>
        <v>10.199999999999999</v>
      </c>
      <c r="L94" s="4">
        <f>Vout*Table2[[#This Row],[Iout]]/(Table2[[#This Row],[Vin]]*Efficiency)</f>
        <v>7.837894736842105</v>
      </c>
      <c r="M94" s="711">
        <f>MIN(1/Fsw,CHOOSE(Table2[[#This Row],[Mode Digit]],(Vout+(Rdson2+Rs+Rdcr)*Table2[[#This Row],[Iout]])/(Table2[[#This Row],[Vin]]+(Rs+Rdson2-Rdson1)*Table2[[#This Row],[Iout]])/Fsw,(Vout+(Rdson3+Rdcr)*Table2[[#This Row],[Iin]]-Table2[[#This Row],[Vin]])/(Vout+(Rdson3-Rdson4-Rs)*Table2[[#This Row],[Iin]])/Fsw,t1_Ph_II))</f>
        <v>1.2257288623671484E-6</v>
      </c>
      <c r="N94" s="602">
        <f>CHOOSE(Table2[[#This Row],[Mode Digit]],1/Fsw-Table2[[#This Row],[t1_Ph_II]],1/Fsw-Table2[[#This Row],[t1_Ph_II]],(Vout/Fsw-Table2[[#This Row],[Vin]]*t1_Ph_II)/(Table2[[#This Row],[Vin]]+Vout))</f>
        <v>4.4093780429951827E-7</v>
      </c>
      <c r="O94" s="602">
        <f>1/Fsw-(Table2[[#This Row],[t1_Ph_II]]+Table2[[#This Row],[t2_Ph_I]])</f>
        <v>0</v>
      </c>
      <c r="P94"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8.9464136634881424</v>
      </c>
      <c r="Q94" s="4">
        <f>CHOOSE(Table2[[#This Row],[Mode Digit]],Table2[[#This Row],[I_0]]+1/Lf*(Table2[[#This Row],[Vin]]-Vout)*Table2[[#This Row],[t1_Ph_II]],Table2[[#This Row],[I_0]]+1/Lf*Table2[[#This Row],[Vin]]*Table2[[#This Row],[t1_Ph_II]],Table2[[#This Row],[I_0]]+(Table2[[#This Row],[Vin]]-Vout)/L*Table2[[#This Row],[t1_Ph_II]])</f>
        <v>11.453586336511854</v>
      </c>
      <c r="R94" s="4">
        <f>CHOOSE(Table2[[#This Row],[Mode Digit]],0,0,Table2[[#This Row],[I_1]]+Table2[[#This Row],[Vin]]/L*Table2[[#This Row],[t2_Ph_I]])</f>
        <v>0</v>
      </c>
      <c r="S94" s="409">
        <f>Fsw*(Table2[[#This Row],[I_0]]*Table2[[#This Row],[t1_Ph_II]]+Table2[[#This Row],[I_1]]*Table2[[#This Row],[t2_Ph_I]]+Table2[[#This Row],[I_2]]*Table2[[#This Row],[t3_Ph_III]])</f>
        <v>9.6097179915538398</v>
      </c>
      <c r="T94" s="354">
        <f>MIN(1,CHOOSE(Table2[[#This Row],[Mode Digit]],(Vout+(Rdson2+Rs+Rdcr)*Table2[[#This Row],[Iout]])/(Table2[[#This Row],[Vin]]+(Rs+Rdson2-Rdson1)*Table2[[#This Row],[Iout]]),1,Fsw*Table2[[#This Row],[t2_Ph_I]]+Table2[[#This Row],[t1_Ph_II]]))</f>
        <v>0.73543731742028906</v>
      </c>
      <c r="U94" s="354">
        <f>MIN(1,CHOOSE(Table2[[#This Row],[Mode Digit]],0,(Vout+(Rdson3+Rdcr)*Table2[[#This Row],[Iin]]-Table2[[#This Row],[Vin]])/(Vout+(Rdson3-Rdson4-Rs)*Table2[[#This Row],[Iin]]),Fsw*Table2[[#This Row],[t1_Ph_II]]+Table2[[#This Row],[t3_Ph_III]]))</f>
        <v>0</v>
      </c>
      <c r="V94" s="4">
        <f>MAX(Table2[[#This Row],[I_0]:[I_2]])-MIN(Table2[[#This Row],[I_0]:[I_1]])</f>
        <v>2.5071726730237121</v>
      </c>
      <c r="W94"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10.225645516756536</v>
      </c>
      <c r="X94" s="354">
        <f>(Table2[[#This Row],[Irms Lf]]^2*Rdcr*(1+Ltc*Ta-Ltc*25))/(1-Table2[[#This Row],[Irms Lf]]^2*Rdcr*Ltc*ThetaCa)</f>
        <v>0.63739508156726532</v>
      </c>
      <c r="Y94" s="354">
        <f>ABS(7.759*10^-3*Fsw^0.9458*(0.00787*Table2[[#This Row],[Ripple Current pk-pk]])^2.304)</f>
        <v>0.26719448481296532</v>
      </c>
      <c r="Z94" s="354">
        <f>Table2[[#This Row],[DCR    Loss]]+Table2[[#This Row],[Core Loss]]</f>
        <v>0.90458956638023058</v>
      </c>
      <c r="AA94" s="4">
        <f>IF(Table2[[#This Row],[Vin]]&gt;Vout, Table2[[#This Row],[Ripple Current pk-pk]]/SQRT(12), SQRT(Table2[[#This Row],[Duty Cycle BOOST Leg]]/(1-Table2[[#This Row],[Duty Cycle BOOST Leg]]))*SQRT(Table2[[#This Row],[Iout]]^2+(Table2[[#This Row],[Ripple Current pk-pk]]^2)/12))</f>
        <v>0.72375840883755693</v>
      </c>
      <c r="AB94" s="354">
        <f>RCoutEsr*Table2[[#This Row],[Irms Cout]]^2</f>
        <v>2.6191311718153608E-3</v>
      </c>
      <c r="AC94" s="354">
        <f>Table2[[#This Row],[Cout ESR Loss]]</f>
        <v>2.6191311718153608E-3</v>
      </c>
      <c r="AD94" s="4">
        <f>IF(Table2[[#This Row],[Vin]]&gt;Vout, SQRT(Table2[[#This Row],[Duty Cycle BUCK Leg]]*(1-Table2[[#This Row],[Duty Cycle BUCK Leg]]))*SQRT(Table2[[#This Row],[Iout]]^2+(Table2[[#This Row],[Ripple Current pk-pk]]^2)/12), Table2[[#This Row],[Ripple Current pk-pk]]/SQRT(12))</f>
        <v>4.5105329278744533</v>
      </c>
      <c r="AE94" s="354">
        <f>RCinEsr*Table2[[#This Row],[Irms Cin]]^2</f>
        <v>4.0689814586879383E-2</v>
      </c>
      <c r="AF94" s="549">
        <f>Table2[[#This Row],[Cin ESR Loss]]</f>
        <v>4.0689814586879383E-2</v>
      </c>
      <c r="AG94" s="354">
        <f>Table2[[#This Row],[Irms Lf]]</f>
        <v>10.225645516756536</v>
      </c>
      <c r="AH94" s="354">
        <f>Rdson1*Table2[[#This Row],[Irms BuCtrl]]^2</f>
        <v>0.43916807018432485</v>
      </c>
      <c r="AI94" s="354">
        <f>CHOOSE(Table2[[#This Row],[Mode Digit]], (Table2[[#This Row],[Vin]]*Table2[[#This Row],[Iout]]/2)*(Fsw)*(Tr_buck+Tf_buck), 0, (Table2[[#This Row],[Vin]]*Table2[[#This Row],[Avg IL]]/2)*(Fsw/1)*(Tr_buck+Tf_buck))</f>
        <v>2.0229388563346133</v>
      </c>
      <c r="AJ94">
        <f>IF(Table2[[#This Row],[Vin]]&gt;Vout, IF(Table2[[#This Row],[Iout]]&gt;Table2[[#This Row],[Ripple Current pk-pk]]/2,0,ABS(Table2[[#This Row],[Iout]]-Table2[[#This Row],[Ripple Current pk-pk]]/2)*Vsd_Q1*Deadtime*Fsw),0)</f>
        <v>0</v>
      </c>
      <c r="AK94" s="354">
        <f>(Table2[[#This Row],[Dead Time Loss BuCtrl]]+Table2[[#This Row],[Transition Loss BuCtrl]]+Table2[[#This Row],[RDS(on) Loss BuCtrl]]*(1+RdsonTopTc*Ta-RdsonTopTc*25))/(1-Table2[[#This Row],[RDS(on) Loss BuCtrl]]*RdsonTopTc*ThetaJA_Q1)</f>
        <v>2.7521885240082544</v>
      </c>
      <c r="AL94" s="354">
        <f>Table2[[#This Row],[Irms Lf]]</f>
        <v>10.225645516756536</v>
      </c>
      <c r="AM94" s="354">
        <f>Rdson2*Table2[[#This Row],[Irms BuSync]]^2</f>
        <v>0.43916807018432485</v>
      </c>
      <c r="AN94"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0.49076571428571425</v>
      </c>
      <c r="AO94" s="354">
        <f>(Table2[[#This Row],[Deadtime Loss BuSync]]+Table2[[#This Row],[RDS(on) Loss BuSync]]*(1+RdsonBotTc*Ta-RdsonBotTc*25))/(1-Table2[[#This Row],[RDS(on) Loss BuSync]]*RdsonBotTc*ThetaJA_Q2)</f>
        <v>1.0394971323705102</v>
      </c>
      <c r="AP94" s="354">
        <f>Table2[[#This Row],[Irms Lf]]</f>
        <v>10.225645516756536</v>
      </c>
      <c r="AQ94" s="354">
        <f>Rdson4*Table2[[#This Row],[Irms BoCtlr]]^2</f>
        <v>0.43916807018432485</v>
      </c>
      <c r="AR94" s="354">
        <f>CHOOSE(Table2[[#This Row],[Mode Digit]], 0, (Vout*Table2[[#This Row],[Iin]]/2)*(Fsw)*(Tr_boost+Tf_boost), (Vout*Iout/2)*(Fsw/1)*(Tr_boost+Tf_boost))</f>
        <v>0</v>
      </c>
      <c r="AS94" s="354">
        <f>IF(Table2[[#This Row],[Vin]]&gt;Vout, 0, IF(Table2[[#This Row],[Iin]]&gt;Table2[[#This Row],[Ripple Current pk-pk]]/2,0,ABS(Table2[[#This Row],[Iin]]-Table2[[#This Row],[Ripple Current pk-pk]]/2)*Vsd_Q4*Deadtime*Fsw))</f>
        <v>0</v>
      </c>
      <c r="AT94" s="354">
        <f>(Table2[[#This Row],[Dead Time Loss BoCtlr]]+Table2[[#This Row],[Transition Loss BoCtlr]]+Table2[[#This Row],[RDS(on) Loss BoCtlr]]*(1+RdsonTopTc*Ta-RdsonTopTc*25))/(1-Table2[[#This Row],[RDS(on) Loss BoCtlr]]*RdsonTopTc*ThetaJA_Q4)</f>
        <v>0.49091016716363295</v>
      </c>
      <c r="AU94" s="354">
        <f>Table2[[#This Row],[Irms Lf]]</f>
        <v>10.225645516756536</v>
      </c>
      <c r="AV94" s="354">
        <f>Rdson3*Table2[[#This Row],[Irms BoSync]]^2</f>
        <v>0.43916807018432485</v>
      </c>
      <c r="AW94"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94" s="354">
        <f>(Table2[[#This Row],[Deadtime Loss BoSync]]+Table2[[#This Row],[RDS(on) Loss BoSync]]*(1+RdsonBotTc*Ta-RdsonBotTc*25))/(1-Table2[[#This Row],[RDS(on) Loss BoSync]]*RdsonBotTc*ThetaJA_Q3)</f>
        <v>0.49091016716363295</v>
      </c>
      <c r="AY94" s="354">
        <f>CHOOSE(Table2[[#This Row],[Mode Digit]], Rdson3*Table2[[#This Row],[Irms Lf]]^2, Rdson1*Table2[[#This Row],[Irms Lf]]^2, 0)</f>
        <v>0.43916807018432485</v>
      </c>
      <c r="AZ94" s="354">
        <f>CHOOSE(Table2[[#This Row],[Mode Digit]], 2*Deadtime*Fsw*IF(VfdSky_Q2&gt;0,VfdSky_Q2,0)*Table2[[#This Row],[Iout]], 2*Deadtime*Fsw*IF(VfdSky_Q3&gt;0,VfdSky_Q3,0)*Table2[[#This Row],[Iin]], 2*Deadtime*Fsw*IF(VfdSky_Q2&gt;0,VfdSky_Q2,0)*Table2[[#This Row],[Iout]]+2*Deadtime*Fsw*IF(VfdSky_Q3&gt;0,VfdSky_Q3,0)*Table2[[#This Row],[Iin]])</f>
        <v>0</v>
      </c>
      <c r="BA9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0.203563032</v>
      </c>
      <c r="BB9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0.203563032</v>
      </c>
      <c r="BC94" s="354">
        <f>CHOOSE(Table2[[#This Row],[Mode Digit]], Rs*Table2[[#This Row],[Irms BuSync]]^2, Rs*Table2[[#This Row],[Irms BoCtlr]]^2, Rs*(Table2[[#This Row],[Irms BuSync]]^2+Table2[[#This Row],[Irms BoCtlr]]^2))</f>
        <v>0.26140956558590761</v>
      </c>
      <c r="BD94" s="354">
        <f t="shared" si="9"/>
        <v>1.44</v>
      </c>
      <c r="BE94" s="354">
        <f>IF(Vout&gt;8, Iq*Vout, Iq*Table2[[#This Row],[Vin]])</f>
        <v>4.3799999999999999E-2</v>
      </c>
      <c r="BF94" s="354">
        <f>CHOOSE(Table2[[#This Row],[Mode Digit]], (Qg_Q1+Qg_Q2)*Fsw, (Qg_Q3+Qg_Q4)*Fsw, (Qg_Q1+Qg_Q2+Qg_Q3+Qg_Q4)*Fsw)*IF(Vout&gt;8, Vout, Table2[[#This Row],[Vin]])</f>
        <v>0.47303999999999996</v>
      </c>
      <c r="BG94" s="354">
        <f t="shared" si="10"/>
        <v>0.45605042016806729</v>
      </c>
      <c r="BH94" s="354">
        <f>Table2[[#This Row],[IQ Loss]]+Table2[[#This Row],[Switching Current Loss]]</f>
        <v>0.51683999999999997</v>
      </c>
      <c r="BI94"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8.3467801324308635</v>
      </c>
      <c r="BJ94">
        <f>Vout*Table2[[#This Row],[Iout]]</f>
        <v>148.91999999999999</v>
      </c>
      <c r="BK94" s="550">
        <f>Table2[[#This Row],[Pout]]/(Table2[[#This Row],[Pout]]+Table2[[#This Row],[Total Loss]])</f>
        <v>0.94692598064637534</v>
      </c>
      <c r="BL94" s="559">
        <f>IF(Table2[[#This Row],[Vin]]&gt;Vout,ThetaJA_Q1*(Table2[[#This Row],[Total Control Bu MOSFET Loss]]+Table2[[#This Row],[Reverse Recovery Loss MOSFET D BUCK]]),ThetaJA_Q4*(Table2[[#This Row],[Total Control Bo MOSFET Loss]]+Table2[[#This Row],[Reverse Recovery Loss MOSFET D BOOST]]))</f>
        <v>177.34509336049527</v>
      </c>
      <c r="BM94" s="559">
        <f>IF(Table2[[#This Row],[Vin]]&gt;Vout, Table2[[#This Row],[Total Sync Bu MOSFET Loss]]*ThetaJA_Q2, ThetaJA_Q3*Table2[[#This Row],[Total Sync Bo MOSFET Loss]])</f>
        <v>62.369827942230614</v>
      </c>
      <c r="BN94" s="9"/>
      <c r="BO94" s="4">
        <f>Table2[[#This Row],[EFF, h]]*100</f>
        <v>94.692598064637536</v>
      </c>
      <c r="BP94" s="354">
        <f>Table2[[#This Row],[Total Inductor Loss]]</f>
        <v>0.90458956638023058</v>
      </c>
      <c r="BQ94" s="354">
        <f>Table2[[#This Row],[Total Control Bu MOSFET Loss]]+Table2[[#This Row],[Total Sync Bu MOSFET Loss]]+Table2[[#This Row],[Total Control Bo MOSFET Loss]]+Table2[[#This Row],[Total Sync Bo MOSFET Loss]]+Table2[[#This Row],[Reverse Recovery Loss MOSFET D BUCK]]+Table2[[#This Row],[Reverse Recovery Loss MOSFET D BOOST]]</f>
        <v>5.1806320547060301</v>
      </c>
      <c r="BR94" s="354">
        <f xml:space="preserve"> Table2[[#This Row],[Total Control Bu MOSFET Loss]]+Table2[[#This Row],[Reverse Recovery Loss MOSFET D BUCK]]*0.66</f>
        <v>2.8865401251282545</v>
      </c>
      <c r="BS94" s="354">
        <f>Table2[[#This Row],[Total Sync Bu MOSFET Loss]]+Table2[[#This Row],[Reverse Recovery Loss MOSFET D BUCK]]*0.33</f>
        <v>1.1066729329305103</v>
      </c>
      <c r="BT94" s="354">
        <f xml:space="preserve"> Table2[[#This Row],[Total Control Bo MOSFET Loss]]+Table2[[#This Row],[Reverse Recovery Loss MOSFET D BOOST]]*0.66</f>
        <v>0.625261768283633</v>
      </c>
      <c r="BU94" s="354">
        <f xml:space="preserve"> Table2[[#This Row],[Total Sync Bo MOSFET Loss]]+Table2[[#This Row],[Reverse Recovery Loss MOSFET D BOOST]]*0.33</f>
        <v>0.55808596772363295</v>
      </c>
      <c r="BV94" s="354">
        <f>Table2[[#This Row],[Isense Shunt Loss]]</f>
        <v>0.26140956558590761</v>
      </c>
      <c r="CB94" s="18"/>
      <c r="CC94" s="19"/>
    </row>
    <row r="95" spans="1:81" x14ac:dyDescent="0.2">
      <c r="G95">
        <v>86</v>
      </c>
      <c r="H95" s="555">
        <f t="shared" si="8"/>
        <v>20</v>
      </c>
      <c r="I95" s="4" t="str">
        <f>IF(Mode = 2,IF(Table2[[#This Row],[Vin]]&gt;Vout, "BUCK","BOOST"),IF(Table2[[#This Row],[Vin]]&gt;VIN_BB_to_buck, "BUCK", IF(Table2[[#This Row],[Vin]]&lt;=VIN_boost_to_BB,"BOOST","BUCK-BST")))</f>
        <v>BUCK</v>
      </c>
      <c r="J95">
        <f>IF(Table2[[#This Row],[Mode]]="BOOST",2, IF(Table2[[#This Row],[Mode]]="BUCK", 1,3))</f>
        <v>1</v>
      </c>
      <c r="K95" s="354">
        <f t="shared" si="11"/>
        <v>10.32</v>
      </c>
      <c r="L95" s="4">
        <f>Vout*Table2[[#This Row],[Iout]]/(Table2[[#This Row],[Vin]]*Efficiency)</f>
        <v>7.9301052631578948</v>
      </c>
      <c r="M95" s="711">
        <f>MIN(1/Fsw,CHOOSE(Table2[[#This Row],[Mode Digit]],(Vout+(Rdson2+Rs+Rdcr)*Table2[[#This Row],[Iout]])/(Table2[[#This Row],[Vin]]+(Rs+Rdson2-Rdson1)*Table2[[#This Row],[Iout]])/Fsw,(Vout+(Rdson3+Rdcr)*Table2[[#This Row],[Iin]]-Table2[[#This Row],[Vin]])/(Vout+(Rdson3-Rdson4-Rs)*Table2[[#This Row],[Iin]])/Fsw,t1_Ph_II))</f>
        <v>1.2258353390792545E-6</v>
      </c>
      <c r="N95" s="602">
        <f>CHOOSE(Table2[[#This Row],[Mode Digit]],1/Fsw-Table2[[#This Row],[t1_Ph_II]],1/Fsw-Table2[[#This Row],[t1_Ph_II]],(Vout/Fsw-Table2[[#This Row],[Vin]]*t1_Ph_II)/(Table2[[#This Row],[Vin]]+Vout))</f>
        <v>4.4083132758741217E-7</v>
      </c>
      <c r="O95" s="602">
        <f>1/Fsw-(Table2[[#This Row],[t1_Ph_II]]+Table2[[#This Row],[t2_Ph_I]])</f>
        <v>0</v>
      </c>
      <c r="P95"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9.066304766850763</v>
      </c>
      <c r="Q95" s="4">
        <f>CHOOSE(Table2[[#This Row],[Mode Digit]],Table2[[#This Row],[I_0]]+1/Lf*(Table2[[#This Row],[Vin]]-Vout)*Table2[[#This Row],[t1_Ph_II]],Table2[[#This Row],[I_0]]+1/Lf*Table2[[#This Row],[Vin]]*Table2[[#This Row],[t1_Ph_II]],Table2[[#This Row],[I_0]]+(Table2[[#This Row],[Vin]]-Vout)/L*Table2[[#This Row],[t1_Ph_II]])</f>
        <v>11.573695233149238</v>
      </c>
      <c r="R95" s="4">
        <f>CHOOSE(Table2[[#This Row],[Mode Digit]],0,0,Table2[[#This Row],[I_1]]+Table2[[#This Row],[Vin]]/L*Table2[[#This Row],[t2_Ph_I]])</f>
        <v>0</v>
      </c>
      <c r="S95" s="409">
        <f>Fsw*(Table2[[#This Row],[I_0]]*Table2[[#This Row],[t1_Ph_II]]+Table2[[#This Row],[I_1]]*Table2[[#This Row],[t2_Ph_I]]+Table2[[#This Row],[I_2]]*Table2[[#This Row],[t3_Ph_III]])</f>
        <v>9.729506527673788</v>
      </c>
      <c r="T95" s="354">
        <f>MIN(1,CHOOSE(Table2[[#This Row],[Mode Digit]],(Vout+(Rdson2+Rs+Rdcr)*Table2[[#This Row],[Iout]])/(Table2[[#This Row],[Vin]]+(Rs+Rdson2-Rdson1)*Table2[[#This Row],[Iout]]),1,Fsw*Table2[[#This Row],[t2_Ph_I]]+Table2[[#This Row],[t1_Ph_II]]))</f>
        <v>0.73550120344755265</v>
      </c>
      <c r="U95" s="354">
        <f>MIN(1,CHOOSE(Table2[[#This Row],[Mode Digit]],0,(Vout+(Rdson3+Rdcr)*Table2[[#This Row],[Iin]]-Table2[[#This Row],[Vin]])/(Vout+(Rdson3-Rdson4-Rs)*Table2[[#This Row],[Iin]]),Fsw*Table2[[#This Row],[t1_Ph_II]]+Table2[[#This Row],[t3_Ph_III]]))</f>
        <v>0</v>
      </c>
      <c r="V95" s="4">
        <f>MAX(Table2[[#This Row],[I_0]:[I_2]])-MIN(Table2[[#This Row],[I_0]:[I_1]])</f>
        <v>2.5073904662984745</v>
      </c>
      <c r="W95"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10.34535244667255</v>
      </c>
      <c r="X95" s="354">
        <f>(Table2[[#This Row],[Irms Lf]]^2*Rdcr*(1+Ltc*Ta-Ltc*25))/(1-Table2[[#This Row],[Irms Lf]]^2*Rdcr*Ltc*ThetaCa)</f>
        <v>0.65319020348633183</v>
      </c>
      <c r="Y95" s="354">
        <f>ABS(7.759*10^-3*Fsw^0.9458*(0.00787*Table2[[#This Row],[Ripple Current pk-pk]])^2.304)</f>
        <v>0.26724796522947458</v>
      </c>
      <c r="Z95" s="354">
        <f>Table2[[#This Row],[DCR    Loss]]+Table2[[#This Row],[Core Loss]]</f>
        <v>0.92043816871580642</v>
      </c>
      <c r="AA95" s="4">
        <f>IF(Table2[[#This Row],[Vin]]&gt;Vout, Table2[[#This Row],[Ripple Current pk-pk]]/SQRT(12), SQRT(Table2[[#This Row],[Duty Cycle BOOST Leg]]/(1-Table2[[#This Row],[Duty Cycle BOOST Leg]]))*SQRT(Table2[[#This Row],[Iout]]^2+(Table2[[#This Row],[Ripple Current pk-pk]]^2)/12))</f>
        <v>0.72382128034046278</v>
      </c>
      <c r="AB95" s="354">
        <f>RCoutEsr*Table2[[#This Row],[Irms Cout]]^2</f>
        <v>2.6195862293685343E-3</v>
      </c>
      <c r="AC95" s="354">
        <f>Table2[[#This Row],[Cout ESR Loss]]</f>
        <v>2.6195862293685343E-3</v>
      </c>
      <c r="AD95" s="4">
        <f>IF(Table2[[#This Row],[Vin]]&gt;Vout, SQRT(Table2[[#This Row],[Duty Cycle BUCK Leg]]*(1-Table2[[#This Row],[Duty Cycle BUCK Leg]]))*SQRT(Table2[[#This Row],[Iout]]^2+(Table2[[#This Row],[Ripple Current pk-pk]]^2)/12), Table2[[#This Row],[Ripple Current pk-pk]]/SQRT(12))</f>
        <v>4.5629828331053801</v>
      </c>
      <c r="AE95" s="354">
        <f>RCinEsr*Table2[[#This Row],[Irms Cin]]^2</f>
        <v>4.1641624670428805E-2</v>
      </c>
      <c r="AF95" s="549">
        <f>Table2[[#This Row],[Cin ESR Loss]]</f>
        <v>4.1641624670428805E-2</v>
      </c>
      <c r="AG95" s="354">
        <f>Table2[[#This Row],[Irms Lf]]</f>
        <v>10.34535244667255</v>
      </c>
      <c r="AH95" s="354">
        <f>Rdson1*Table2[[#This Row],[Irms BuCtrl]]^2</f>
        <v>0.44951053243266964</v>
      </c>
      <c r="AI95" s="354">
        <f>CHOOSE(Table2[[#This Row],[Mode Digit]], (Table2[[#This Row],[Vin]]*Table2[[#This Row],[Iout]]/2)*(Fsw)*(Tr_buck+Tf_buck), 0, (Table2[[#This Row],[Vin]]*Table2[[#This Row],[Avg IL]]/2)*(Fsw/1)*(Tr_buck+Tf_buck))</f>
        <v>2.0467381369973734</v>
      </c>
      <c r="AJ95">
        <f>IF(Table2[[#This Row],[Vin]]&gt;Vout, IF(Table2[[#This Row],[Iout]]&gt;Table2[[#This Row],[Ripple Current pk-pk]]/2,0,ABS(Table2[[#This Row],[Iout]]-Table2[[#This Row],[Ripple Current pk-pk]]/2)*Vsd_Q1*Deadtime*Fsw),0)</f>
        <v>0</v>
      </c>
      <c r="AK95" s="354">
        <f>(Table2[[#This Row],[Dead Time Loss BuCtrl]]+Table2[[#This Row],[Transition Loss BuCtrl]]+Table2[[#This Row],[RDS(on) Loss BuCtrl]]*(1+RdsonTopTc*Ta-RdsonTopTc*25))/(1-Table2[[#This Row],[RDS(on) Loss BuCtrl]]*RdsonTopTc*ThetaJA_Q1)</f>
        <v>2.7981165565886417</v>
      </c>
      <c r="AL95" s="354">
        <f>Table2[[#This Row],[Irms Lf]]</f>
        <v>10.34535244667255</v>
      </c>
      <c r="AM95" s="354">
        <f>Rdson2*Table2[[#This Row],[Irms BuSync]]^2</f>
        <v>0.44951053243266964</v>
      </c>
      <c r="AN95"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0.49653942857142858</v>
      </c>
      <c r="AO95" s="354">
        <f>(Table2[[#This Row],[Deadtime Loss BuSync]]+Table2[[#This Row],[RDS(on) Loss BuSync]]*(1+RdsonBotTc*Ta-RdsonBotTc*25))/(1-Table2[[#This Row],[RDS(on) Loss BuSync]]*RdsonBotTc*ThetaJA_Q2)</f>
        <v>1.0604544698064955</v>
      </c>
      <c r="AP95" s="354">
        <f>Table2[[#This Row],[Irms Lf]]</f>
        <v>10.34535244667255</v>
      </c>
      <c r="AQ95" s="354">
        <f>Rdson4*Table2[[#This Row],[Irms BoCtlr]]^2</f>
        <v>0.44951053243266964</v>
      </c>
      <c r="AR95" s="354">
        <f>CHOOSE(Table2[[#This Row],[Mode Digit]], 0, (Vout*Table2[[#This Row],[Iin]]/2)*(Fsw)*(Tr_boost+Tf_boost), (Vout*Iout/2)*(Fsw/1)*(Tr_boost+Tf_boost))</f>
        <v>0</v>
      </c>
      <c r="AS95" s="354">
        <f>IF(Table2[[#This Row],[Vin]]&gt;Vout, 0, IF(Table2[[#This Row],[Iin]]&gt;Table2[[#This Row],[Ripple Current pk-pk]]/2,0,ABS(Table2[[#This Row],[Iin]]-Table2[[#This Row],[Ripple Current pk-pk]]/2)*Vsd_Q4*Deadtime*Fsw))</f>
        <v>0</v>
      </c>
      <c r="AT95" s="354">
        <f>(Table2[[#This Row],[Dead Time Loss BoCtlr]]+Table2[[#This Row],[Transition Loss BoCtlr]]+Table2[[#This Row],[RDS(on) Loss BoCtlr]]*(1+RdsonTopTc*Ta-RdsonTopTc*25))/(1-Table2[[#This Row],[RDS(on) Loss BoCtlr]]*RdsonTopTc*ThetaJA_Q4)</f>
        <v>0.50386921726352385</v>
      </c>
      <c r="AU95" s="354">
        <f>Table2[[#This Row],[Irms Lf]]</f>
        <v>10.34535244667255</v>
      </c>
      <c r="AV95" s="354">
        <f>Rdson3*Table2[[#This Row],[Irms BoSync]]^2</f>
        <v>0.44951053243266964</v>
      </c>
      <c r="AW95"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95" s="354">
        <f>(Table2[[#This Row],[Deadtime Loss BoSync]]+Table2[[#This Row],[RDS(on) Loss BoSync]]*(1+RdsonBotTc*Ta-RdsonBotTc*25))/(1-Table2[[#This Row],[RDS(on) Loss BoSync]]*RdsonBotTc*ThetaJA_Q3)</f>
        <v>0.50386921726352385</v>
      </c>
      <c r="AY95" s="354">
        <f>CHOOSE(Table2[[#This Row],[Mode Digit]], Rdson3*Table2[[#This Row],[Irms Lf]]^2, Rdson1*Table2[[#This Row],[Irms Lf]]^2, 0)</f>
        <v>0.44951053243266964</v>
      </c>
      <c r="AZ95" s="354">
        <f>CHOOSE(Table2[[#This Row],[Mode Digit]], 2*Deadtime*Fsw*IF(VfdSky_Q2&gt;0,VfdSky_Q2,0)*Table2[[#This Row],[Iout]], 2*Deadtime*Fsw*IF(VfdSky_Q3&gt;0,VfdSky_Q3,0)*Table2[[#This Row],[Iin]], 2*Deadtime*Fsw*IF(VfdSky_Q2&gt;0,VfdSky_Q2,0)*Table2[[#This Row],[Iout]]+2*Deadtime*Fsw*IF(VfdSky_Q3&gt;0,VfdSky_Q3,0)*Table2[[#This Row],[Iin]])</f>
        <v>0</v>
      </c>
      <c r="BA9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0.20595268992000001</v>
      </c>
      <c r="BB9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0.20595268992000001</v>
      </c>
      <c r="BC95" s="354">
        <f>CHOOSE(Table2[[#This Row],[Mode Digit]], Rs*Table2[[#This Row],[Irms BuSync]]^2, Rs*Table2[[#This Row],[Irms BoCtlr]]^2, Rs*(Table2[[#This Row],[Irms BuSync]]^2+Table2[[#This Row],[Irms BoCtlr]]^2))</f>
        <v>0.26756579311468431</v>
      </c>
      <c r="BD95" s="354">
        <f t="shared" si="9"/>
        <v>1.44</v>
      </c>
      <c r="BE95" s="354">
        <f>IF(Vout&gt;8, Iq*Vout, Iq*Table2[[#This Row],[Vin]])</f>
        <v>4.3799999999999999E-2</v>
      </c>
      <c r="BF95" s="354">
        <f>CHOOSE(Table2[[#This Row],[Mode Digit]], (Qg_Q1+Qg_Q2)*Fsw, (Qg_Q3+Qg_Q4)*Fsw, (Qg_Q1+Qg_Q2+Qg_Q3+Qg_Q4)*Fsw)*IF(Vout&gt;8, Vout, Table2[[#This Row],[Vin]])</f>
        <v>0.47303999999999996</v>
      </c>
      <c r="BG95" s="354">
        <f t="shared" si="10"/>
        <v>0.45605042016806729</v>
      </c>
      <c r="BH95" s="354">
        <f>Table2[[#This Row],[IQ Loss]]+Table2[[#This Row],[Switching Current Loss]]</f>
        <v>0.51683999999999997</v>
      </c>
      <c r="BI95"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8.467320013492472</v>
      </c>
      <c r="BJ95">
        <f>Vout*Table2[[#This Row],[Iout]]</f>
        <v>150.672</v>
      </c>
      <c r="BK95" s="550">
        <f>Table2[[#This Row],[Pout]]/(Table2[[#This Row],[Pout]]+Table2[[#This Row],[Total Loss]])</f>
        <v>0.94679303636100387</v>
      </c>
      <c r="BL95" s="559">
        <f>IF(Table2[[#This Row],[Vin]]&gt;Vout,ThetaJA_Q1*(Table2[[#This Row],[Total Control Bu MOSFET Loss]]+Table2[[#This Row],[Reverse Recovery Loss MOSFET D BUCK]]),ThetaJA_Q4*(Table2[[#This Row],[Total Control Bo MOSFET Loss]]+Table2[[#This Row],[Reverse Recovery Loss MOSFET D BOOST]]))</f>
        <v>180.24415479051851</v>
      </c>
      <c r="BM95" s="559">
        <f>IF(Table2[[#This Row],[Vin]]&gt;Vout, Table2[[#This Row],[Total Sync Bu MOSFET Loss]]*ThetaJA_Q2, ThetaJA_Q3*Table2[[#This Row],[Total Sync Bo MOSFET Loss]])</f>
        <v>63.627268188389728</v>
      </c>
      <c r="BN95" s="9"/>
      <c r="BO95" s="4">
        <f>Table2[[#This Row],[EFF, h]]*100</f>
        <v>94.679303636100386</v>
      </c>
      <c r="BP95" s="354">
        <f>Table2[[#This Row],[Total Inductor Loss]]</f>
        <v>0.92043816871580642</v>
      </c>
      <c r="BQ95" s="354">
        <f>Table2[[#This Row],[Total Control Bu MOSFET Loss]]+Table2[[#This Row],[Total Sync Bu MOSFET Loss]]+Table2[[#This Row],[Total Control Bo MOSFET Loss]]+Table2[[#This Row],[Total Sync Bo MOSFET Loss]]+Table2[[#This Row],[Reverse Recovery Loss MOSFET D BUCK]]+Table2[[#This Row],[Reverse Recovery Loss MOSFET D BOOST]]</f>
        <v>5.2782148407621845</v>
      </c>
      <c r="BR95" s="354">
        <f xml:space="preserve"> Table2[[#This Row],[Total Control Bu MOSFET Loss]]+Table2[[#This Row],[Reverse Recovery Loss MOSFET D BUCK]]*0.66</f>
        <v>2.9340453319358417</v>
      </c>
      <c r="BS95" s="354">
        <f>Table2[[#This Row],[Total Sync Bu MOSFET Loss]]+Table2[[#This Row],[Reverse Recovery Loss MOSFET D BUCK]]*0.33</f>
        <v>1.1284188574800955</v>
      </c>
      <c r="BT95" s="354">
        <f xml:space="preserve"> Table2[[#This Row],[Total Control Bo MOSFET Loss]]+Table2[[#This Row],[Reverse Recovery Loss MOSFET D BOOST]]*0.66</f>
        <v>0.6397979926107239</v>
      </c>
      <c r="BU95" s="354">
        <f xml:space="preserve"> Table2[[#This Row],[Total Sync Bo MOSFET Loss]]+Table2[[#This Row],[Reverse Recovery Loss MOSFET D BOOST]]*0.33</f>
        <v>0.57183360493712387</v>
      </c>
      <c r="BV95" s="354">
        <f>Table2[[#This Row],[Isense Shunt Loss]]</f>
        <v>0.26756579311468431</v>
      </c>
      <c r="CB95" s="18"/>
      <c r="CC95" s="19"/>
    </row>
    <row r="96" spans="1:81" x14ac:dyDescent="0.2">
      <c r="G96">
        <v>87</v>
      </c>
      <c r="H96" s="555">
        <f t="shared" si="8"/>
        <v>20</v>
      </c>
      <c r="I96" s="4" t="str">
        <f>IF(Mode = 2,IF(Table2[[#This Row],[Vin]]&gt;Vout, "BUCK","BOOST"),IF(Table2[[#This Row],[Vin]]&gt;VIN_BB_to_buck, "BUCK", IF(Table2[[#This Row],[Vin]]&lt;=VIN_boost_to_BB,"BOOST","BUCK-BST")))</f>
        <v>BUCK</v>
      </c>
      <c r="J96">
        <f>IF(Table2[[#This Row],[Mode]]="BOOST",2, IF(Table2[[#This Row],[Mode]]="BUCK", 1,3))</f>
        <v>1</v>
      </c>
      <c r="K96" s="354">
        <f t="shared" si="11"/>
        <v>10.44</v>
      </c>
      <c r="L96" s="4">
        <f>Vout*Table2[[#This Row],[Iout]]/(Table2[[#This Row],[Vin]]*Efficiency)</f>
        <v>8.0223157894736836</v>
      </c>
      <c r="M96" s="711">
        <f>MIN(1/Fsw,CHOOSE(Table2[[#This Row],[Mode Digit]],(Vout+(Rdson2+Rs+Rdcr)*Table2[[#This Row],[Iout]])/(Table2[[#This Row],[Vin]]+(Rs+Rdson2-Rdson1)*Table2[[#This Row],[Iout]])/Fsw,(Vout+(Rdson3+Rdcr)*Table2[[#This Row],[Iin]]-Table2[[#This Row],[Vin]])/(Vout+(Rdson3-Rdson4-Rs)*Table2[[#This Row],[Iin]])/Fsw,t1_Ph_II))</f>
        <v>1.2259418126012221E-6</v>
      </c>
      <c r="N96" s="602">
        <f>CHOOSE(Table2[[#This Row],[Mode Digit]],1/Fsw-Table2[[#This Row],[t1_Ph_II]],1/Fsw-Table2[[#This Row],[t1_Ph_II]],(Vout/Fsw-Table2[[#This Row],[Vin]]*t1_Ph_II)/(Table2[[#This Row],[Vin]]+Vout))</f>
        <v>4.4072485406544454E-7</v>
      </c>
      <c r="O96" s="602">
        <f>1/Fsw-(Table2[[#This Row],[t1_Ph_II]]+Table2[[#This Row],[t2_Ph_I]])</f>
        <v>0</v>
      </c>
      <c r="P96"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9.1861958734760218</v>
      </c>
      <c r="Q96" s="4">
        <f>CHOOSE(Table2[[#This Row],[Mode Digit]],Table2[[#This Row],[I_0]]+1/Lf*(Table2[[#This Row],[Vin]]-Vout)*Table2[[#This Row],[t1_Ph_II]],Table2[[#This Row],[I_0]]+1/Lf*Table2[[#This Row],[Vin]]*Table2[[#This Row],[t1_Ph_II]],Table2[[#This Row],[I_0]]+(Table2[[#This Row],[Vin]]-Vout)/L*Table2[[#This Row],[t1_Ph_II]])</f>
        <v>11.693804126523975</v>
      </c>
      <c r="R96" s="4">
        <f>CHOOSE(Table2[[#This Row],[Mode Digit]],0,0,Table2[[#This Row],[I_1]]+Table2[[#This Row],[Vin]]/L*Table2[[#This Row],[t2_Ph_I]])</f>
        <v>0</v>
      </c>
      <c r="S96" s="409">
        <f>Fsw*(Table2[[#This Row],[I_0]]*Table2[[#This Row],[t1_Ph_II]]+Table2[[#This Row],[I_1]]*Table2[[#This Row],[t2_Ph_I]]+Table2[[#This Row],[I_2]]*Table2[[#This Row],[t3_Ph_III]])</f>
        <v>9.8492950423027406</v>
      </c>
      <c r="T96" s="354">
        <f>MIN(1,CHOOSE(Table2[[#This Row],[Mode Digit]],(Vout+(Rdson2+Rs+Rdcr)*Table2[[#This Row],[Iout]])/(Table2[[#This Row],[Vin]]+(Rs+Rdson2-Rdson1)*Table2[[#This Row],[Iout]]),1,Fsw*Table2[[#This Row],[t2_Ph_I]]+Table2[[#This Row],[t1_Ph_II]]))</f>
        <v>0.73556508756073324</v>
      </c>
      <c r="U96" s="354">
        <f>MIN(1,CHOOSE(Table2[[#This Row],[Mode Digit]],0,(Vout+(Rdson3+Rdcr)*Table2[[#This Row],[Iin]]-Table2[[#This Row],[Vin]])/(Vout+(Rdson3-Rdson4-Rs)*Table2[[#This Row],[Iin]]),Fsw*Table2[[#This Row],[t1_Ph_II]]+Table2[[#This Row],[t3_Ph_III]]))</f>
        <v>0</v>
      </c>
      <c r="V96" s="4">
        <f>MAX(Table2[[#This Row],[I_0]:[I_2]])-MIN(Table2[[#This Row],[I_0]:[I_1]])</f>
        <v>2.5076082530479535</v>
      </c>
      <c r="W96"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10.465066089736979</v>
      </c>
      <c r="X96" s="354">
        <f>(Table2[[#This Row],[Irms Lf]]^2*Rdcr*(1+Ltc*Ta-Ltc*25))/(1-Table2[[#This Row],[Irms Lf]]^2*Rdcr*Ltc*ThetaCa)</f>
        <v>0.6692087538821061</v>
      </c>
      <c r="Y96" s="354">
        <f>ABS(7.759*10^-3*Fsw^0.9458*(0.00787*Table2[[#This Row],[Ripple Current pk-pk]])^2.304)</f>
        <v>0.26730145010125272</v>
      </c>
      <c r="Z96" s="354">
        <f>Table2[[#This Row],[DCR    Loss]]+Table2[[#This Row],[Core Loss]]</f>
        <v>0.93651020398335882</v>
      </c>
      <c r="AA96" s="4">
        <f>IF(Table2[[#This Row],[Vin]]&gt;Vout, Table2[[#This Row],[Ripple Current pk-pk]]/SQRT(12), SQRT(Table2[[#This Row],[Duty Cycle BOOST Leg]]/(1-Table2[[#This Row],[Duty Cycle BOOST Leg]]))*SQRT(Table2[[#This Row],[Iout]]^2+(Table2[[#This Row],[Ripple Current pk-pk]]^2)/12))</f>
        <v>0.72388414995968164</v>
      </c>
      <c r="AB96" s="354">
        <f>RCoutEsr*Table2[[#This Row],[Irms Cout]]^2</f>
        <v>2.6200413128142541E-3</v>
      </c>
      <c r="AC96" s="354">
        <f>Table2[[#This Row],[Cout ESR Loss]]</f>
        <v>2.6200413128142541E-3</v>
      </c>
      <c r="AD96" s="4">
        <f>IF(Table2[[#This Row],[Vin]]&gt;Vout, SQRT(Table2[[#This Row],[Duty Cycle BUCK Leg]]*(1-Table2[[#This Row],[Duty Cycle BUCK Leg]]))*SQRT(Table2[[#This Row],[Iout]]^2+(Table2[[#This Row],[Ripple Current pk-pk]]^2)/12), Table2[[#This Row],[Ripple Current pk-pk]]/SQRT(12))</f>
        <v>4.6154274200590963</v>
      </c>
      <c r="AE96" s="354">
        <f>RCinEsr*Table2[[#This Row],[Irms Cin]]^2</f>
        <v>4.2604340539666732E-2</v>
      </c>
      <c r="AF96" s="549">
        <f>Table2[[#This Row],[Cin ESR Loss]]</f>
        <v>4.2604340539666732E-2</v>
      </c>
      <c r="AG96" s="354">
        <f>Table2[[#This Row],[Irms Lf]]</f>
        <v>10.465066089736979</v>
      </c>
      <c r="AH96" s="354">
        <f>Rdson1*Table2[[#This Row],[Irms BuCtrl]]^2</f>
        <v>0.45997395470276392</v>
      </c>
      <c r="AI96" s="354">
        <f>CHOOSE(Table2[[#This Row],[Mode Digit]], (Table2[[#This Row],[Vin]]*Table2[[#This Row],[Iout]]/2)*(Fsw)*(Tr_buck+Tf_buck), 0, (Table2[[#This Row],[Vin]]*Table2[[#This Row],[Avg IL]]/2)*(Fsw/1)*(Tr_buck+Tf_buck))</f>
        <v>2.0705374176601334</v>
      </c>
      <c r="AJ96">
        <f>IF(Table2[[#This Row],[Vin]]&gt;Vout, IF(Table2[[#This Row],[Iout]]&gt;Table2[[#This Row],[Ripple Current pk-pk]]/2,0,ABS(Table2[[#This Row],[Iout]]-Table2[[#This Row],[Ripple Current pk-pk]]/2)*Vsd_Q1*Deadtime*Fsw),0)</f>
        <v>0</v>
      </c>
      <c r="AK96" s="354">
        <f>(Table2[[#This Row],[Dead Time Loss BuCtrl]]+Table2[[#This Row],[Transition Loss BuCtrl]]+Table2[[#This Row],[RDS(on) Loss BuCtrl]]*(1+RdsonTopTc*Ta-RdsonTopTc*25))/(1-Table2[[#This Row],[RDS(on) Loss BuCtrl]]*RdsonTopTc*ThetaJA_Q1)</f>
        <v>2.8445296667872495</v>
      </c>
      <c r="AL96" s="354">
        <f>Table2[[#This Row],[Irms Lf]]</f>
        <v>10.465066089736979</v>
      </c>
      <c r="AM96" s="354">
        <f>Rdson2*Table2[[#This Row],[Irms BuSync]]^2</f>
        <v>0.45997395470276392</v>
      </c>
      <c r="AN96"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0.50231314285714279</v>
      </c>
      <c r="AO96" s="354">
        <f>(Table2[[#This Row],[Deadtime Loss BuSync]]+Table2[[#This Row],[RDS(on) Loss BuSync]]*(1+RdsonBotTc*Ta-RdsonBotTc*25))/(1-Table2[[#This Row],[RDS(on) Loss BuSync]]*RdsonBotTc*ThetaJA_Q2)</f>
        <v>1.0817000179769216</v>
      </c>
      <c r="AP96" s="354">
        <f>Table2[[#This Row],[Irms Lf]]</f>
        <v>10.465066089736979</v>
      </c>
      <c r="AQ96" s="354">
        <f>Rdson4*Table2[[#This Row],[Irms BoCtlr]]^2</f>
        <v>0.45997395470276392</v>
      </c>
      <c r="AR96" s="354">
        <f>CHOOSE(Table2[[#This Row],[Mode Digit]], 0, (Vout*Table2[[#This Row],[Iin]]/2)*(Fsw)*(Tr_boost+Tf_boost), (Vout*Iout/2)*(Fsw/1)*(Tr_boost+Tf_boost))</f>
        <v>0</v>
      </c>
      <c r="AS96" s="354">
        <f>IF(Table2[[#This Row],[Vin]]&gt;Vout, 0, IF(Table2[[#This Row],[Iin]]&gt;Table2[[#This Row],[Ripple Current pk-pk]]/2,0,ABS(Table2[[#This Row],[Iin]]-Table2[[#This Row],[Ripple Current pk-pk]]/2)*Vsd_Q4*Deadtime*Fsw))</f>
        <v>0</v>
      </c>
      <c r="AT96" s="354">
        <f>(Table2[[#This Row],[Dead Time Loss BoCtlr]]+Table2[[#This Row],[Transition Loss BoCtlr]]+Table2[[#This Row],[RDS(on) Loss BoCtlr]]*(1+RdsonTopTc*Ta-RdsonTopTc*25))/(1-Table2[[#This Row],[RDS(on) Loss BoCtlr]]*RdsonTopTc*ThetaJA_Q4)</f>
        <v>0.51705342026569201</v>
      </c>
      <c r="AU96" s="354">
        <f>Table2[[#This Row],[Irms Lf]]</f>
        <v>10.465066089736979</v>
      </c>
      <c r="AV96" s="354">
        <f>Rdson3*Table2[[#This Row],[Irms BoSync]]^2</f>
        <v>0.45997395470276392</v>
      </c>
      <c r="AW96"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96" s="354">
        <f>(Table2[[#This Row],[Deadtime Loss BoSync]]+Table2[[#This Row],[RDS(on) Loss BoSync]]*(1+RdsonBotTc*Ta-RdsonBotTc*25))/(1-Table2[[#This Row],[RDS(on) Loss BoSync]]*RdsonBotTc*ThetaJA_Q3)</f>
        <v>0.51705342026569201</v>
      </c>
      <c r="AY96" s="354">
        <f>CHOOSE(Table2[[#This Row],[Mode Digit]], Rdson3*Table2[[#This Row],[Irms Lf]]^2, Rdson1*Table2[[#This Row],[Irms Lf]]^2, 0)</f>
        <v>0.45997395470276392</v>
      </c>
      <c r="AZ96" s="354">
        <f>CHOOSE(Table2[[#This Row],[Mode Digit]], 2*Deadtime*Fsw*IF(VfdSky_Q2&gt;0,VfdSky_Q2,0)*Table2[[#This Row],[Iout]], 2*Deadtime*Fsw*IF(VfdSky_Q3&gt;0,VfdSky_Q3,0)*Table2[[#This Row],[Iin]], 2*Deadtime*Fsw*IF(VfdSky_Q2&gt;0,VfdSky_Q2,0)*Table2[[#This Row],[Iout]]+2*Deadtime*Fsw*IF(VfdSky_Q3&gt;0,VfdSky_Q3,0)*Table2[[#This Row],[Iin]])</f>
        <v>0</v>
      </c>
      <c r="BA9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0.20834222687999998</v>
      </c>
      <c r="BB9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0.20834222687999998</v>
      </c>
      <c r="BC96" s="354">
        <f>CHOOSE(Table2[[#This Row],[Mode Digit]], Rs*Table2[[#This Row],[Irms BuSync]]^2, Rs*Table2[[#This Row],[Irms BoCtlr]]^2, Rs*(Table2[[#This Row],[Irms BuSync]]^2+Table2[[#This Row],[Irms BoCtlr]]^2))</f>
        <v>0.27379402065640707</v>
      </c>
      <c r="BD96" s="354">
        <f t="shared" si="9"/>
        <v>1.44</v>
      </c>
      <c r="BE96" s="354">
        <f>IF(Vout&gt;8, Iq*Vout, Iq*Table2[[#This Row],[Vin]])</f>
        <v>4.3799999999999999E-2</v>
      </c>
      <c r="BF96" s="354">
        <f>CHOOSE(Table2[[#This Row],[Mode Digit]], (Qg_Q1+Qg_Q2)*Fsw, (Qg_Q3+Qg_Q4)*Fsw, (Qg_Q1+Qg_Q2+Qg_Q3+Qg_Q4)*Fsw)*IF(Vout&gt;8, Vout, Table2[[#This Row],[Vin]])</f>
        <v>0.47303999999999996</v>
      </c>
      <c r="BG96" s="354">
        <f t="shared" si="10"/>
        <v>0.45605042016806729</v>
      </c>
      <c r="BH96" s="354">
        <f>Table2[[#This Row],[IQ Loss]]+Table2[[#This Row],[Switching Current Loss]]</f>
        <v>0.51683999999999997</v>
      </c>
      <c r="BI96"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8.5893895855478029</v>
      </c>
      <c r="BJ96">
        <f>Vout*Table2[[#This Row],[Iout]]</f>
        <v>152.42399999999998</v>
      </c>
      <c r="BK96" s="550">
        <f>Table2[[#This Row],[Pout]]/(Table2[[#This Row],[Pout]]+Table2[[#This Row],[Total Loss]])</f>
        <v>0.94665419063807621</v>
      </c>
      <c r="BL96" s="559">
        <f>IF(Table2[[#This Row],[Vin]]&gt;Vout,ThetaJA_Q1*(Table2[[#This Row],[Total Control Bu MOSFET Loss]]+Table2[[#This Row],[Reverse Recovery Loss MOSFET D BUCK]]),ThetaJA_Q4*(Table2[[#This Row],[Total Control Bo MOSFET Loss]]+Table2[[#This Row],[Reverse Recovery Loss MOSFET D BOOST]]))</f>
        <v>183.17231362003497</v>
      </c>
      <c r="BM96" s="559">
        <f>IF(Table2[[#This Row],[Vin]]&gt;Vout, Table2[[#This Row],[Total Sync Bu MOSFET Loss]]*ThetaJA_Q2, ThetaJA_Q3*Table2[[#This Row],[Total Sync Bo MOSFET Loss]])</f>
        <v>64.902001078615299</v>
      </c>
      <c r="BN96" s="9"/>
      <c r="BO96" s="4">
        <f>Table2[[#This Row],[EFF, h]]*100</f>
        <v>94.665419063807619</v>
      </c>
      <c r="BP96" s="354">
        <f>Table2[[#This Row],[Total Inductor Loss]]</f>
        <v>0.93651020398335882</v>
      </c>
      <c r="BQ96" s="354">
        <f>Table2[[#This Row],[Total Control Bu MOSFET Loss]]+Table2[[#This Row],[Total Sync Bu MOSFET Loss]]+Table2[[#This Row],[Total Control Bo MOSFET Loss]]+Table2[[#This Row],[Total Sync Bo MOSFET Loss]]+Table2[[#This Row],[Reverse Recovery Loss MOSFET D BUCK]]+Table2[[#This Row],[Reverse Recovery Loss MOSFET D BOOST]]</f>
        <v>5.3770209790555556</v>
      </c>
      <c r="BR96" s="354">
        <f xml:space="preserve"> Table2[[#This Row],[Total Control Bu MOSFET Loss]]+Table2[[#This Row],[Reverse Recovery Loss MOSFET D BUCK]]*0.66</f>
        <v>2.9820355365280493</v>
      </c>
      <c r="BS96" s="354">
        <f>Table2[[#This Row],[Total Sync Bu MOSFET Loss]]+Table2[[#This Row],[Reverse Recovery Loss MOSFET D BUCK]]*0.33</f>
        <v>1.1504529528473215</v>
      </c>
      <c r="BT96" s="354">
        <f xml:space="preserve"> Table2[[#This Row],[Total Control Bo MOSFET Loss]]+Table2[[#This Row],[Reverse Recovery Loss MOSFET D BOOST]]*0.66</f>
        <v>0.65455929000649204</v>
      </c>
      <c r="BU96" s="354">
        <f xml:space="preserve"> Table2[[#This Row],[Total Sync Bo MOSFET Loss]]+Table2[[#This Row],[Reverse Recovery Loss MOSFET D BOOST]]*0.33</f>
        <v>0.58580635513609203</v>
      </c>
      <c r="BV96" s="354">
        <f>Table2[[#This Row],[Isense Shunt Loss]]</f>
        <v>0.27379402065640707</v>
      </c>
      <c r="CB96" s="18"/>
      <c r="CC96" s="19"/>
    </row>
    <row r="97" spans="7:81" x14ac:dyDescent="0.2">
      <c r="G97">
        <v>88</v>
      </c>
      <c r="H97" s="555">
        <f t="shared" si="8"/>
        <v>20</v>
      </c>
      <c r="I97" s="4" t="str">
        <f>IF(Mode = 2,IF(Table2[[#This Row],[Vin]]&gt;Vout, "BUCK","BOOST"),IF(Table2[[#This Row],[Vin]]&gt;VIN_BB_to_buck, "BUCK", IF(Table2[[#This Row],[Vin]]&lt;=VIN_boost_to_BB,"BOOST","BUCK-BST")))</f>
        <v>BUCK</v>
      </c>
      <c r="J97">
        <f>IF(Table2[[#This Row],[Mode]]="BOOST",2, IF(Table2[[#This Row],[Mode]]="BUCK", 1,3))</f>
        <v>1</v>
      </c>
      <c r="K97" s="354">
        <f t="shared" si="11"/>
        <v>10.56</v>
      </c>
      <c r="L97" s="4">
        <f>Vout*Table2[[#This Row],[Iout]]/(Table2[[#This Row],[Vin]]*Efficiency)</f>
        <v>8.1145263157894743</v>
      </c>
      <c r="M97" s="711">
        <f>MIN(1/Fsw,CHOOSE(Table2[[#This Row],[Mode Digit]],(Vout+(Rdson2+Rs+Rdcr)*Table2[[#This Row],[Iout]])/(Table2[[#This Row],[Vin]]+(Rs+Rdson2-Rdson1)*Table2[[#This Row],[Iout]])/Fsw,(Vout+(Rdson3+Rdcr)*Table2[[#This Row],[Iin]]-Table2[[#This Row],[Vin]])/(Vout+(Rdson3-Rdson4-Rs)*Table2[[#This Row],[Iin]])/Fsw,t1_Ph_II))</f>
        <v>1.2260482829331948E-6</v>
      </c>
      <c r="N97" s="602">
        <f>CHOOSE(Table2[[#This Row],[Mode Digit]],1/Fsw-Table2[[#This Row],[t1_Ph_II]],1/Fsw-Table2[[#This Row],[t1_Ph_II]],(Vout/Fsw-Table2[[#This Row],[Vin]]*t1_Ph_II)/(Table2[[#This Row],[Vin]]+Vout))</f>
        <v>4.4061838373347182E-7</v>
      </c>
      <c r="O97" s="602">
        <f>1/Fsw-(Table2[[#This Row],[t1_Ph_II]]+Table2[[#This Row],[t2_Ph_I]])</f>
        <v>0</v>
      </c>
      <c r="P97"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9.3060869833637785</v>
      </c>
      <c r="Q97" s="4">
        <f>CHOOSE(Table2[[#This Row],[Mode Digit]],Table2[[#This Row],[I_0]]+1/Lf*(Table2[[#This Row],[Vin]]-Vout)*Table2[[#This Row],[t1_Ph_II]],Table2[[#This Row],[I_0]]+1/Lf*Table2[[#This Row],[Vin]]*Table2[[#This Row],[t1_Ph_II]],Table2[[#This Row],[I_0]]+(Table2[[#This Row],[Vin]]-Vout)/L*Table2[[#This Row],[t1_Ph_II]])</f>
        <v>11.813913016636223</v>
      </c>
      <c r="R97" s="4">
        <f>CHOOSE(Table2[[#This Row],[Mode Digit]],0,0,Table2[[#This Row],[I_1]]+Table2[[#This Row],[Vin]]/L*Table2[[#This Row],[t2_Ph_I]])</f>
        <v>0</v>
      </c>
      <c r="S97" s="409">
        <f>Fsw*(Table2[[#This Row],[I_0]]*Table2[[#This Row],[t1_Ph_II]]+Table2[[#This Row],[I_1]]*Table2[[#This Row],[t2_Ph_I]]+Table2[[#This Row],[I_2]]*Table2[[#This Row],[t3_Ph_III]])</f>
        <v>9.9690835354429161</v>
      </c>
      <c r="T97" s="354">
        <f>MIN(1,CHOOSE(Table2[[#This Row],[Mode Digit]],(Vout+(Rdson2+Rs+Rdcr)*Table2[[#This Row],[Iout]])/(Table2[[#This Row],[Vin]]+(Rs+Rdson2-Rdson1)*Table2[[#This Row],[Iout]]),1,Fsw*Table2[[#This Row],[t2_Ph_I]]+Table2[[#This Row],[t1_Ph_II]]))</f>
        <v>0.73562896975991687</v>
      </c>
      <c r="U97" s="354">
        <f>MIN(1,CHOOSE(Table2[[#This Row],[Mode Digit]],0,(Vout+(Rdson3+Rdcr)*Table2[[#This Row],[Iin]]-Table2[[#This Row],[Vin]])/(Vout+(Rdson3-Rdson4-Rs)*Table2[[#This Row],[Iin]]),Fsw*Table2[[#This Row],[t1_Ph_II]]+Table2[[#This Row],[t3_Ph_III]]))</f>
        <v>0</v>
      </c>
      <c r="V97" s="4">
        <f>MAX(Table2[[#This Row],[I_0]:[I_2]])-MIN(Table2[[#This Row],[I_0]:[I_1]])</f>
        <v>2.507826033272444</v>
      </c>
      <c r="W97"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10.584786218173228</v>
      </c>
      <c r="X97" s="354">
        <f>(Table2[[#This Row],[Irms Lf]]^2*Rdcr*(1+Ltc*Ta-Ltc*25))/(1-Table2[[#This Row],[Irms Lf]]^2*Rdcr*Ltc*ThetaCa)</f>
        <v>0.6854522274573337</v>
      </c>
      <c r="Y97" s="354">
        <f>ABS(7.759*10^-3*Fsw^0.9458*(0.00787*Table2[[#This Row],[Ripple Current pk-pk]])^2.304)</f>
        <v>0.26735493942798866</v>
      </c>
      <c r="Z97" s="354">
        <f>Table2[[#This Row],[DCR    Loss]]+Table2[[#This Row],[Core Loss]]</f>
        <v>0.95280716688532241</v>
      </c>
      <c r="AA97" s="4">
        <f>IF(Table2[[#This Row],[Vin]]&gt;Vout, Table2[[#This Row],[Ripple Current pk-pk]]/SQRT(12), SQRT(Table2[[#This Row],[Duty Cycle BOOST Leg]]/(1-Table2[[#This Row],[Duty Cycle BOOST Leg]]))*SQRT(Table2[[#This Row],[Iout]]^2+(Table2[[#This Row],[Ripple Current pk-pk]]^2)/12))</f>
        <v>0.72394701769529846</v>
      </c>
      <c r="AB97" s="354">
        <f>RCoutEsr*Table2[[#This Row],[Irms Cout]]^2</f>
        <v>2.6204964221495843E-3</v>
      </c>
      <c r="AC97" s="354">
        <f>Table2[[#This Row],[Cout ESR Loss]]</f>
        <v>2.6204964221495843E-3</v>
      </c>
      <c r="AD97" s="4">
        <f>IF(Table2[[#This Row],[Vin]]&gt;Vout, SQRT(Table2[[#This Row],[Duty Cycle BUCK Leg]]*(1-Table2[[#This Row],[Duty Cycle BUCK Leg]]))*SQRT(Table2[[#This Row],[Iout]]^2+(Table2[[#This Row],[Ripple Current pk-pk]]^2)/12), Table2[[#This Row],[Ripple Current pk-pk]]/SQRT(12))</f>
        <v>4.6678665836775837</v>
      </c>
      <c r="AE97" s="354">
        <f>RCinEsr*Table2[[#This Row],[Irms Cin]]^2</f>
        <v>4.3577956886027669E-2</v>
      </c>
      <c r="AF97" s="549">
        <f>Table2[[#This Row],[Cin ESR Loss]]</f>
        <v>4.3577956886027669E-2</v>
      </c>
      <c r="AG97" s="354">
        <f>Table2[[#This Row],[Irms Lf]]</f>
        <v>10.584786218173228</v>
      </c>
      <c r="AH97" s="354">
        <f>Rdson1*Table2[[#This Row],[Irms BuCtrl]]^2</f>
        <v>0.4705583369946057</v>
      </c>
      <c r="AI97" s="354">
        <f>CHOOSE(Table2[[#This Row],[Mode Digit]], (Table2[[#This Row],[Vin]]*Table2[[#This Row],[Iout]]/2)*(Fsw)*(Tr_buck+Tf_buck), 0, (Table2[[#This Row],[Vin]]*Table2[[#This Row],[Avg IL]]/2)*(Fsw/1)*(Tr_buck+Tf_buck))</f>
        <v>2.0943366983228939</v>
      </c>
      <c r="AJ97">
        <f>IF(Table2[[#This Row],[Vin]]&gt;Vout, IF(Table2[[#This Row],[Iout]]&gt;Table2[[#This Row],[Ripple Current pk-pk]]/2,0,ABS(Table2[[#This Row],[Iout]]-Table2[[#This Row],[Ripple Current pk-pk]]/2)*Vsd_Q1*Deadtime*Fsw),0)</f>
        <v>0</v>
      </c>
      <c r="AK97" s="354">
        <f>(Table2[[#This Row],[Dead Time Loss BuCtrl]]+Table2[[#This Row],[Transition Loss BuCtrl]]+Table2[[#This Row],[RDS(on) Loss BuCtrl]]*(1+RdsonTopTc*Ta-RdsonTopTc*25))/(1-Table2[[#This Row],[RDS(on) Loss BuCtrl]]*RdsonTopTc*ThetaJA_Q1)</f>
        <v>2.8914365310565624</v>
      </c>
      <c r="AL97" s="354">
        <f>Table2[[#This Row],[Irms Lf]]</f>
        <v>10.584786218173228</v>
      </c>
      <c r="AM97" s="354">
        <f>Rdson2*Table2[[#This Row],[Irms BuSync]]^2</f>
        <v>0.4705583369946057</v>
      </c>
      <c r="AN97"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0.50808685714285717</v>
      </c>
      <c r="AO97" s="354">
        <f>(Table2[[#This Row],[Deadtime Loss BuSync]]+Table2[[#This Row],[RDS(on) Loss BuSync]]*(1+RdsonBotTc*Ta-RdsonBotTc*25))/(1-Table2[[#This Row],[RDS(on) Loss BuSync]]*RdsonBotTc*ThetaJA_Q2)</f>
        <v>1.1032383104604215</v>
      </c>
      <c r="AP97" s="354">
        <f>Table2[[#This Row],[Irms Lf]]</f>
        <v>10.584786218173228</v>
      </c>
      <c r="AQ97" s="354">
        <f>Rdson4*Table2[[#This Row],[Irms BoCtlr]]^2</f>
        <v>0.4705583369946057</v>
      </c>
      <c r="AR97" s="354">
        <f>CHOOSE(Table2[[#This Row],[Mode Digit]], 0, (Vout*Table2[[#This Row],[Iin]]/2)*(Fsw)*(Tr_boost+Tf_boost), (Vout*Iout/2)*(Fsw/1)*(Tr_boost+Tf_boost))</f>
        <v>0</v>
      </c>
      <c r="AS97" s="354">
        <f>IF(Table2[[#This Row],[Vin]]&gt;Vout, 0, IF(Table2[[#This Row],[Iin]]&gt;Table2[[#This Row],[Ripple Current pk-pk]]/2,0,ABS(Table2[[#This Row],[Iin]]-Table2[[#This Row],[Ripple Current pk-pk]]/2)*Vsd_Q4*Deadtime*Fsw))</f>
        <v>0</v>
      </c>
      <c r="AT97" s="354">
        <f>(Table2[[#This Row],[Dead Time Loss BoCtlr]]+Table2[[#This Row],[Transition Loss BoCtlr]]+Table2[[#This Row],[RDS(on) Loss BoCtlr]]*(1+RdsonTopTc*Ta-RdsonTopTc*25))/(1-Table2[[#This Row],[RDS(on) Loss BoCtlr]]*RdsonTopTc*ThetaJA_Q4)</f>
        <v>0.53046598275746004</v>
      </c>
      <c r="AU97" s="354">
        <f>Table2[[#This Row],[Irms Lf]]</f>
        <v>10.584786218173228</v>
      </c>
      <c r="AV97" s="354">
        <f>Rdson3*Table2[[#This Row],[Irms BoSync]]^2</f>
        <v>0.4705583369946057</v>
      </c>
      <c r="AW97"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97" s="354">
        <f>(Table2[[#This Row],[Deadtime Loss BoSync]]+Table2[[#This Row],[RDS(on) Loss BoSync]]*(1+RdsonBotTc*Ta-RdsonBotTc*25))/(1-Table2[[#This Row],[RDS(on) Loss BoSync]]*RdsonBotTc*ThetaJA_Q3)</f>
        <v>0.53046598275746004</v>
      </c>
      <c r="AY97" s="354">
        <f>CHOOSE(Table2[[#This Row],[Mode Digit]], Rdson3*Table2[[#This Row],[Irms Lf]]^2, Rdson1*Table2[[#This Row],[Irms Lf]]^2, 0)</f>
        <v>0.4705583369946057</v>
      </c>
      <c r="AZ97" s="354">
        <f>CHOOSE(Table2[[#This Row],[Mode Digit]], 2*Deadtime*Fsw*IF(VfdSky_Q2&gt;0,VfdSky_Q2,0)*Table2[[#This Row],[Iout]], 2*Deadtime*Fsw*IF(VfdSky_Q3&gt;0,VfdSky_Q3,0)*Table2[[#This Row],[Iin]], 2*Deadtime*Fsw*IF(VfdSky_Q2&gt;0,VfdSky_Q2,0)*Table2[[#This Row],[Iout]]+2*Deadtime*Fsw*IF(VfdSky_Q3&gt;0,VfdSky_Q3,0)*Table2[[#This Row],[Iin]])</f>
        <v>0</v>
      </c>
      <c r="BA9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0.21073164288000004</v>
      </c>
      <c r="BB9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0.21073164288000004</v>
      </c>
      <c r="BC97" s="354">
        <f>CHOOSE(Table2[[#This Row],[Mode Digit]], Rs*Table2[[#This Row],[Irms BuSync]]^2, Rs*Table2[[#This Row],[Irms BoCtlr]]^2, Rs*(Table2[[#This Row],[Irms BuSync]]^2+Table2[[#This Row],[Irms BoCtlr]]^2))</f>
        <v>0.28009424821107476</v>
      </c>
      <c r="BD97" s="354">
        <f t="shared" si="9"/>
        <v>1.44</v>
      </c>
      <c r="BE97" s="354">
        <f>IF(Vout&gt;8, Iq*Vout, Iq*Table2[[#This Row],[Vin]])</f>
        <v>4.3799999999999999E-2</v>
      </c>
      <c r="BF97" s="354">
        <f>CHOOSE(Table2[[#This Row],[Mode Digit]], (Qg_Q1+Qg_Q2)*Fsw, (Qg_Q3+Qg_Q4)*Fsw, (Qg_Q1+Qg_Q2+Qg_Q3+Qg_Q4)*Fsw)*IF(Vout&gt;8, Vout, Table2[[#This Row],[Vin]])</f>
        <v>0.47303999999999996</v>
      </c>
      <c r="BG97" s="354">
        <f t="shared" si="10"/>
        <v>0.45605042016806729</v>
      </c>
      <c r="BH97" s="354">
        <f>Table2[[#This Row],[IQ Loss]]+Table2[[#This Row],[Switching Current Loss]]</f>
        <v>0.51683999999999997</v>
      </c>
      <c r="BI97"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8.7130099611964784</v>
      </c>
      <c r="BJ97">
        <f>Vout*Table2[[#This Row],[Iout]]</f>
        <v>154.17600000000002</v>
      </c>
      <c r="BK97" s="550">
        <f>Table2[[#This Row],[Pout]]/(Table2[[#This Row],[Pout]]+Table2[[#This Row],[Total Loss]])</f>
        <v>0.94650952840052183</v>
      </c>
      <c r="BL97" s="559">
        <f>IF(Table2[[#This Row],[Vin]]&gt;Vout,ThetaJA_Q1*(Table2[[#This Row],[Total Control Bu MOSFET Loss]]+Table2[[#This Row],[Reverse Recovery Loss MOSFET D BUCK]]),ThetaJA_Q4*(Table2[[#This Row],[Total Control Bo MOSFET Loss]]+Table2[[#This Row],[Reverse Recovery Loss MOSFET D BOOST]]))</f>
        <v>186.13009043619374</v>
      </c>
      <c r="BM97" s="559">
        <f>IF(Table2[[#This Row],[Vin]]&gt;Vout, Table2[[#This Row],[Total Sync Bu MOSFET Loss]]*ThetaJA_Q2, ThetaJA_Q3*Table2[[#This Row],[Total Sync Bo MOSFET Loss]])</f>
        <v>66.194298627625287</v>
      </c>
      <c r="BN97" s="9"/>
      <c r="BO97" s="4">
        <f>Table2[[#This Row],[EFF, h]]*100</f>
        <v>94.650952840052184</v>
      </c>
      <c r="BP97" s="354">
        <f>Table2[[#This Row],[Total Inductor Loss]]</f>
        <v>0.95280716688532241</v>
      </c>
      <c r="BQ97" s="354">
        <f>Table2[[#This Row],[Total Control Bu MOSFET Loss]]+Table2[[#This Row],[Total Sync Bu MOSFET Loss]]+Table2[[#This Row],[Total Control Bo MOSFET Loss]]+Table2[[#This Row],[Total Sync Bo MOSFET Loss]]+Table2[[#This Row],[Reverse Recovery Loss MOSFET D BUCK]]+Table2[[#This Row],[Reverse Recovery Loss MOSFET D BOOST]]</f>
        <v>5.4770700927919034</v>
      </c>
      <c r="BR97" s="354">
        <f xml:space="preserve"> Table2[[#This Row],[Total Control Bu MOSFET Loss]]+Table2[[#This Row],[Reverse Recovery Loss MOSFET D BUCK]]*0.66</f>
        <v>3.0305194153573622</v>
      </c>
      <c r="BS97" s="354">
        <f>Table2[[#This Row],[Total Sync Bu MOSFET Loss]]+Table2[[#This Row],[Reverse Recovery Loss MOSFET D BUCK]]*0.33</f>
        <v>1.1727797526108215</v>
      </c>
      <c r="BT97" s="354">
        <f xml:space="preserve"> Table2[[#This Row],[Total Control Bo MOSFET Loss]]+Table2[[#This Row],[Reverse Recovery Loss MOSFET D BOOST]]*0.66</f>
        <v>0.66954886705826011</v>
      </c>
      <c r="BU97" s="354">
        <f xml:space="preserve"> Table2[[#This Row],[Total Sync Bo MOSFET Loss]]+Table2[[#This Row],[Reverse Recovery Loss MOSFET D BOOST]]*0.33</f>
        <v>0.60000742490786008</v>
      </c>
      <c r="BV97" s="354">
        <f>Table2[[#This Row],[Isense Shunt Loss]]</f>
        <v>0.28009424821107476</v>
      </c>
      <c r="CB97" s="18"/>
      <c r="CC97" s="19"/>
    </row>
    <row r="98" spans="7:81" x14ac:dyDescent="0.2">
      <c r="G98">
        <v>89</v>
      </c>
      <c r="H98" s="555">
        <f t="shared" si="8"/>
        <v>20</v>
      </c>
      <c r="I98" s="4" t="str">
        <f>IF(Mode = 2,IF(Table2[[#This Row],[Vin]]&gt;Vout, "BUCK","BOOST"),IF(Table2[[#This Row],[Vin]]&gt;VIN_BB_to_buck, "BUCK", IF(Table2[[#This Row],[Vin]]&lt;=VIN_boost_to_BB,"BOOST","BUCK-BST")))</f>
        <v>BUCK</v>
      </c>
      <c r="J98">
        <f>IF(Table2[[#This Row],[Mode]]="BOOST",2, IF(Table2[[#This Row],[Mode]]="BUCK", 1,3))</f>
        <v>1</v>
      </c>
      <c r="K98" s="354">
        <f t="shared" si="11"/>
        <v>10.68</v>
      </c>
      <c r="L98" s="4">
        <f>Vout*Table2[[#This Row],[Iout]]/(Table2[[#This Row],[Vin]]*Efficiency)</f>
        <v>8.2067368421052631</v>
      </c>
      <c r="M98" s="711">
        <f>MIN(1/Fsw,CHOOSE(Table2[[#This Row],[Mode Digit]],(Vout+(Rdson2+Rs+Rdcr)*Table2[[#This Row],[Iout]])/(Table2[[#This Row],[Vin]]+(Rs+Rdson2-Rdson1)*Table2[[#This Row],[Iout]])/Fsw,(Vout+(Rdson3+Rdcr)*Table2[[#This Row],[Iin]]-Table2[[#This Row],[Vin]])/(Vout+(Rdson3-Rdson4-Rs)*Table2[[#This Row],[Iin]])/Fsw,t1_Ph_II))</f>
        <v>1.226154750075316E-6</v>
      </c>
      <c r="N98" s="602">
        <f>CHOOSE(Table2[[#This Row],[Mode Digit]],1/Fsw-Table2[[#This Row],[t1_Ph_II]],1/Fsw-Table2[[#This Row],[t1_Ph_II]],(Vout/Fsw-Table2[[#This Row],[Vin]]*t1_Ph_II)/(Table2[[#This Row],[Vin]]+Vout))</f>
        <v>4.4051191659135063E-7</v>
      </c>
      <c r="O98" s="602">
        <f>1/Fsw-(Table2[[#This Row],[t1_Ph_II]]+Table2[[#This Row],[t2_Ph_I]])</f>
        <v>0</v>
      </c>
      <c r="P98"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9.4259780965138802</v>
      </c>
      <c r="Q98" s="4">
        <f>CHOOSE(Table2[[#This Row],[Mode Digit]],Table2[[#This Row],[I_0]]+1/Lf*(Table2[[#This Row],[Vin]]-Vout)*Table2[[#This Row],[t1_Ph_II]],Table2[[#This Row],[I_0]]+1/Lf*Table2[[#This Row],[Vin]]*Table2[[#This Row],[t1_Ph_II]],Table2[[#This Row],[I_0]]+(Table2[[#This Row],[Vin]]-Vout)/L*Table2[[#This Row],[t1_Ph_II]])</f>
        <v>11.934021903486117</v>
      </c>
      <c r="R98" s="4">
        <f>CHOOSE(Table2[[#This Row],[Mode Digit]],0,0,Table2[[#This Row],[I_1]]+Table2[[#This Row],[Vin]]/L*Table2[[#This Row],[t2_Ph_I]])</f>
        <v>0</v>
      </c>
      <c r="S98" s="409">
        <f>Fsw*(Table2[[#This Row],[I_0]]*Table2[[#This Row],[t1_Ph_II]]+Table2[[#This Row],[I_1]]*Table2[[#This Row],[t2_Ph_I]]+Table2[[#This Row],[I_2]]*Table2[[#This Row],[t3_Ph_III]])</f>
        <v>10.088872007096526</v>
      </c>
      <c r="T98" s="354">
        <f>MIN(1,CHOOSE(Table2[[#This Row],[Mode Digit]],(Vout+(Rdson2+Rs+Rdcr)*Table2[[#This Row],[Iout]])/(Table2[[#This Row],[Vin]]+(Rs+Rdson2-Rdson1)*Table2[[#This Row],[Iout]]),1,Fsw*Table2[[#This Row],[t2_Ph_I]]+Table2[[#This Row],[t1_Ph_II]]))</f>
        <v>0.73569285004518958</v>
      </c>
      <c r="U98" s="354">
        <f>MIN(1,CHOOSE(Table2[[#This Row],[Mode Digit]],0,(Vout+(Rdson3+Rdcr)*Table2[[#This Row],[Iin]]-Table2[[#This Row],[Vin]])/(Vout+(Rdson3-Rdson4-Rs)*Table2[[#This Row],[Iin]]),Fsw*Table2[[#This Row],[t1_Ph_II]]+Table2[[#This Row],[t3_Ph_III]]))</f>
        <v>0</v>
      </c>
      <c r="V98" s="4">
        <f>MAX(Table2[[#This Row],[I_0]:[I_2]])-MIN(Table2[[#This Row],[I_0]:[I_1]])</f>
        <v>2.5080438069722373</v>
      </c>
      <c r="W98"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10.70451261438251</v>
      </c>
      <c r="X98" s="354">
        <f>(Table2[[#This Row],[Irms Lf]]^2*Rdcr*(1+Ltc*Ta-Ltc*25))/(1-Table2[[#This Row],[Irms Lf]]^2*Rdcr*Ltc*ThetaCa)</f>
        <v>0.70192214530315411</v>
      </c>
      <c r="Y98" s="354">
        <f>ABS(7.759*10^-3*Fsw^0.9458*(0.00787*Table2[[#This Row],[Ripple Current pk-pk]])^2.304)</f>
        <v>0.26740843320936852</v>
      </c>
      <c r="Z98" s="354">
        <f>Table2[[#This Row],[DCR    Loss]]+Table2[[#This Row],[Core Loss]]</f>
        <v>0.96933057851252258</v>
      </c>
      <c r="AA98" s="4">
        <f>IF(Table2[[#This Row],[Vin]]&gt;Vout, Table2[[#This Row],[Ripple Current pk-pk]]/SQRT(12), SQRT(Table2[[#This Row],[Duty Cycle BOOST Leg]]/(1-Table2[[#This Row],[Duty Cycle BOOST Leg]]))*SQRT(Table2[[#This Row],[Iout]]^2+(Table2[[#This Row],[Ripple Current pk-pk]]^2)/12))</f>
        <v>0.72400988354739759</v>
      </c>
      <c r="AB98" s="354">
        <f>RCoutEsr*Table2[[#This Row],[Irms Cout]]^2</f>
        <v>2.6209515573715815E-3</v>
      </c>
      <c r="AC98" s="354">
        <f>Table2[[#This Row],[Cout ESR Loss]]</f>
        <v>2.6209515573715815E-3</v>
      </c>
      <c r="AD98" s="4">
        <f>IF(Table2[[#This Row],[Vin]]&gt;Vout, SQRT(Table2[[#This Row],[Duty Cycle BUCK Leg]]*(1-Table2[[#This Row],[Duty Cycle BUCK Leg]]))*SQRT(Table2[[#This Row],[Iout]]^2+(Table2[[#This Row],[Ripple Current pk-pk]]^2)/12), Table2[[#This Row],[Ripple Current pk-pk]]/SQRT(12))</f>
        <v>4.7203002234206828</v>
      </c>
      <c r="AE98" s="354">
        <f>RCinEsr*Table2[[#This Row],[Irms Cin]]^2</f>
        <v>4.4562468398450697E-2</v>
      </c>
      <c r="AF98" s="549">
        <f>Table2[[#This Row],[Cin ESR Loss]]</f>
        <v>4.4562468398450697E-2</v>
      </c>
      <c r="AG98" s="354">
        <f>Table2[[#This Row],[Irms Lf]]</f>
        <v>10.70451261438251</v>
      </c>
      <c r="AH98" s="354">
        <f>Rdson1*Table2[[#This Row],[Irms BuCtrl]]^2</f>
        <v>0.48126367930819203</v>
      </c>
      <c r="AI98" s="354">
        <f>CHOOSE(Table2[[#This Row],[Mode Digit]], (Table2[[#This Row],[Vin]]*Table2[[#This Row],[Iout]]/2)*(Fsw)*(Tr_buck+Tf_buck), 0, (Table2[[#This Row],[Vin]]*Table2[[#This Row],[Avg IL]]/2)*(Fsw/1)*(Tr_buck+Tf_buck))</f>
        <v>2.118135978985654</v>
      </c>
      <c r="AJ98">
        <f>IF(Table2[[#This Row],[Vin]]&gt;Vout, IF(Table2[[#This Row],[Iout]]&gt;Table2[[#This Row],[Ripple Current pk-pk]]/2,0,ABS(Table2[[#This Row],[Iout]]-Table2[[#This Row],[Ripple Current pk-pk]]/2)*Vsd_Q1*Deadtime*Fsw),0)</f>
        <v>0</v>
      </c>
      <c r="AK98" s="354">
        <f>(Table2[[#This Row],[Dead Time Loss BuCtrl]]+Table2[[#This Row],[Transition Loss BuCtrl]]+Table2[[#This Row],[RDS(on) Loss BuCtrl]]*(1+RdsonTopTc*Ta-RdsonTopTc*25))/(1-Table2[[#This Row],[RDS(on) Loss BuCtrl]]*RdsonTopTc*ThetaJA_Q1)</f>
        <v>2.9388460221878554</v>
      </c>
      <c r="AL98" s="354">
        <f>Table2[[#This Row],[Irms Lf]]</f>
        <v>10.70451261438251</v>
      </c>
      <c r="AM98" s="354">
        <f>Rdson2*Table2[[#This Row],[Irms BuSync]]^2</f>
        <v>0.48126367930819203</v>
      </c>
      <c r="AN98"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0.51386057142857144</v>
      </c>
      <c r="AO98" s="354">
        <f>(Table2[[#This Row],[Deadtime Loss BuSync]]+Table2[[#This Row],[RDS(on) Loss BuSync]]*(1+RdsonBotTc*Ta-RdsonBotTc*25))/(1-Table2[[#This Row],[RDS(on) Loss BuSync]]*RdsonBotTc*ThetaJA_Q2)</f>
        <v>1.1250739902689517</v>
      </c>
      <c r="AP98" s="354">
        <f>Table2[[#This Row],[Irms Lf]]</f>
        <v>10.70451261438251</v>
      </c>
      <c r="AQ98" s="354">
        <f>Rdson4*Table2[[#This Row],[Irms BoCtlr]]^2</f>
        <v>0.48126367930819203</v>
      </c>
      <c r="AR98" s="354">
        <f>CHOOSE(Table2[[#This Row],[Mode Digit]], 0, (Vout*Table2[[#This Row],[Iin]]/2)*(Fsw)*(Tr_boost+Tf_boost), (Vout*Iout/2)*(Fsw/1)*(Tr_boost+Tf_boost))</f>
        <v>0</v>
      </c>
      <c r="AS98" s="354">
        <f>IF(Table2[[#This Row],[Vin]]&gt;Vout, 0, IF(Table2[[#This Row],[Iin]]&gt;Table2[[#This Row],[Ripple Current pk-pk]]/2,0,ABS(Table2[[#This Row],[Iin]]-Table2[[#This Row],[Ripple Current pk-pk]]/2)*Vsd_Q4*Deadtime*Fsw))</f>
        <v>0</v>
      </c>
      <c r="AT98" s="354">
        <f>(Table2[[#This Row],[Dead Time Loss BoCtlr]]+Table2[[#This Row],[Transition Loss BoCtlr]]+Table2[[#This Row],[RDS(on) Loss BoCtlr]]*(1+RdsonTopTc*Ta-RdsonTopTc*25))/(1-Table2[[#This Row],[RDS(on) Loss BoCtlr]]*RdsonTopTc*ThetaJA_Q4)</f>
        <v>0.54411019292304885</v>
      </c>
      <c r="AU98" s="354">
        <f>Table2[[#This Row],[Irms Lf]]</f>
        <v>10.70451261438251</v>
      </c>
      <c r="AV98" s="354">
        <f>Rdson3*Table2[[#This Row],[Irms BoSync]]^2</f>
        <v>0.48126367930819203</v>
      </c>
      <c r="AW98"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98" s="354">
        <f>(Table2[[#This Row],[Deadtime Loss BoSync]]+Table2[[#This Row],[RDS(on) Loss BoSync]]*(1+RdsonBotTc*Ta-RdsonBotTc*25))/(1-Table2[[#This Row],[RDS(on) Loss BoSync]]*RdsonBotTc*ThetaJA_Q3)</f>
        <v>0.54411019292304885</v>
      </c>
      <c r="AY98" s="354">
        <f>CHOOSE(Table2[[#This Row],[Mode Digit]], Rdson3*Table2[[#This Row],[Irms Lf]]^2, Rdson1*Table2[[#This Row],[Irms Lf]]^2, 0)</f>
        <v>0.48126367930819203</v>
      </c>
      <c r="AZ98" s="354">
        <f>CHOOSE(Table2[[#This Row],[Mode Digit]], 2*Deadtime*Fsw*IF(VfdSky_Q2&gt;0,VfdSky_Q2,0)*Table2[[#This Row],[Iout]], 2*Deadtime*Fsw*IF(VfdSky_Q3&gt;0,VfdSky_Q3,0)*Table2[[#This Row],[Iin]], 2*Deadtime*Fsw*IF(VfdSky_Q2&gt;0,VfdSky_Q2,0)*Table2[[#This Row],[Iout]]+2*Deadtime*Fsw*IF(VfdSky_Q3&gt;0,VfdSky_Q3,0)*Table2[[#This Row],[Iin]])</f>
        <v>0</v>
      </c>
      <c r="BA9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0.21312093792</v>
      </c>
      <c r="BB9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0.21312093792</v>
      </c>
      <c r="BC98" s="354">
        <f>CHOOSE(Table2[[#This Row],[Mode Digit]], Rs*Table2[[#This Row],[Irms BuSync]]^2, Rs*Table2[[#This Row],[Irms BoCtlr]]^2, Rs*(Table2[[#This Row],[Irms BuSync]]^2+Table2[[#This Row],[Irms BoCtlr]]^2))</f>
        <v>0.28646647577868573</v>
      </c>
      <c r="BD98" s="354">
        <f t="shared" si="9"/>
        <v>1.44</v>
      </c>
      <c r="BE98" s="354">
        <f>IF(Vout&gt;8, Iq*Vout, Iq*Table2[[#This Row],[Vin]])</f>
        <v>4.3799999999999999E-2</v>
      </c>
      <c r="BF98" s="354">
        <f>CHOOSE(Table2[[#This Row],[Mode Digit]], (Qg_Q1+Qg_Q2)*Fsw, (Qg_Q3+Qg_Q4)*Fsw, (Qg_Q1+Qg_Q2+Qg_Q3+Qg_Q4)*Fsw)*IF(Vout&gt;8, Vout, Table2[[#This Row],[Vin]])</f>
        <v>0.47303999999999996</v>
      </c>
      <c r="BG98" s="354">
        <f t="shared" si="10"/>
        <v>0.45605042016806729</v>
      </c>
      <c r="BH98" s="354">
        <f>Table2[[#This Row],[IQ Loss]]+Table2[[#This Row],[Switching Current Loss]]</f>
        <v>0.51683999999999997</v>
      </c>
      <c r="BI98"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8.8382027483899357</v>
      </c>
      <c r="BJ98">
        <f>Vout*Table2[[#This Row],[Iout]]</f>
        <v>155.928</v>
      </c>
      <c r="BK98" s="550">
        <f>Table2[[#This Row],[Pout]]/(Table2[[#This Row],[Pout]]+Table2[[#This Row],[Total Loss]])</f>
        <v>0.94635912826196211</v>
      </c>
      <c r="BL98" s="559">
        <f>IF(Table2[[#This Row],[Vin]]&gt;Vout,ThetaJA_Q1*(Table2[[#This Row],[Total Control Bu MOSFET Loss]]+Table2[[#This Row],[Reverse Recovery Loss MOSFET D BUCK]]),ThetaJA_Q4*(Table2[[#This Row],[Total Control Bo MOSFET Loss]]+Table2[[#This Row],[Reverse Recovery Loss MOSFET D BOOST]]))</f>
        <v>189.11801760647131</v>
      </c>
      <c r="BM98" s="559">
        <f>IF(Table2[[#This Row],[Vin]]&gt;Vout, Table2[[#This Row],[Total Sync Bu MOSFET Loss]]*ThetaJA_Q2, ThetaJA_Q3*Table2[[#This Row],[Total Sync Bo MOSFET Loss]])</f>
        <v>67.504439416137103</v>
      </c>
      <c r="BN98" s="9"/>
      <c r="BO98" s="4">
        <f>Table2[[#This Row],[EFF, h]]*100</f>
        <v>94.635912826196204</v>
      </c>
      <c r="BP98" s="354">
        <f>Table2[[#This Row],[Total Inductor Loss]]</f>
        <v>0.96933057851252258</v>
      </c>
      <c r="BQ98" s="354">
        <f>Table2[[#This Row],[Total Control Bu MOSFET Loss]]+Table2[[#This Row],[Total Sync Bu MOSFET Loss]]+Table2[[#This Row],[Total Control Bo MOSFET Loss]]+Table2[[#This Row],[Total Sync Bo MOSFET Loss]]+Table2[[#This Row],[Reverse Recovery Loss MOSFET D BUCK]]+Table2[[#This Row],[Reverse Recovery Loss MOSFET D BOOST]]</f>
        <v>5.5783822741429052</v>
      </c>
      <c r="BR98" s="354">
        <f xml:space="preserve"> Table2[[#This Row],[Total Control Bu MOSFET Loss]]+Table2[[#This Row],[Reverse Recovery Loss MOSFET D BUCK]]*0.66</f>
        <v>3.0795058412150556</v>
      </c>
      <c r="BS98" s="354">
        <f>Table2[[#This Row],[Total Sync Bu MOSFET Loss]]+Table2[[#This Row],[Reverse Recovery Loss MOSFET D BUCK]]*0.33</f>
        <v>1.1954038997825518</v>
      </c>
      <c r="BT98" s="354">
        <f xml:space="preserve"> Table2[[#This Row],[Total Control Bo MOSFET Loss]]+Table2[[#This Row],[Reverse Recovery Loss MOSFET D BOOST]]*0.66</f>
        <v>0.68477001195024889</v>
      </c>
      <c r="BU98" s="354">
        <f xml:space="preserve"> Table2[[#This Row],[Total Sync Bo MOSFET Loss]]+Table2[[#This Row],[Reverse Recovery Loss MOSFET D BOOST]]*0.33</f>
        <v>0.61444010243664882</v>
      </c>
      <c r="BV98" s="354">
        <f>Table2[[#This Row],[Isense Shunt Loss]]</f>
        <v>0.28646647577868573</v>
      </c>
      <c r="CB98" s="18"/>
      <c r="CC98" s="19"/>
    </row>
    <row r="99" spans="7:81" x14ac:dyDescent="0.2">
      <c r="G99">
        <v>90</v>
      </c>
      <c r="H99" s="555">
        <f t="shared" si="8"/>
        <v>20</v>
      </c>
      <c r="I99" s="4" t="str">
        <f>IF(Mode = 2,IF(Table2[[#This Row],[Vin]]&gt;Vout, "BUCK","BOOST"),IF(Table2[[#This Row],[Vin]]&gt;VIN_BB_to_buck, "BUCK", IF(Table2[[#This Row],[Vin]]&lt;=VIN_boost_to_BB,"BOOST","BUCK-BST")))</f>
        <v>BUCK</v>
      </c>
      <c r="J99">
        <f>IF(Table2[[#This Row],[Mode]]="BOOST",2, IF(Table2[[#This Row],[Mode]]="BUCK", 1,3))</f>
        <v>1</v>
      </c>
      <c r="K99" s="354">
        <f t="shared" si="11"/>
        <v>10.8</v>
      </c>
      <c r="L99" s="4">
        <f>Vout*Table2[[#This Row],[Iout]]/(Table2[[#This Row],[Vin]]*Efficiency)</f>
        <v>8.2989473684210537</v>
      </c>
      <c r="M99" s="711">
        <f>MIN(1/Fsw,CHOOSE(Table2[[#This Row],[Mode Digit]],(Vout+(Rdson2+Rs+Rdcr)*Table2[[#This Row],[Iout]])/(Table2[[#This Row],[Vin]]+(Rs+Rdson2-Rdson1)*Table2[[#This Row],[Iout]])/Fsw,(Vout+(Rdson3+Rdcr)*Table2[[#This Row],[Iin]]-Table2[[#This Row],[Vin]])/(Vout+(Rdson3-Rdson4-Rs)*Table2[[#This Row],[Iin]])/Fsw,t1_Ph_II))</f>
        <v>1.2262612140277292E-6</v>
      </c>
      <c r="N99" s="602">
        <f>CHOOSE(Table2[[#This Row],[Mode Digit]],1/Fsw-Table2[[#This Row],[t1_Ph_II]],1/Fsw-Table2[[#This Row],[t1_Ph_II]],(Vout/Fsw-Table2[[#This Row],[Vin]]*t1_Ph_II)/(Table2[[#This Row],[Vin]]+Vout))</f>
        <v>4.4040545263893742E-7</v>
      </c>
      <c r="O99" s="602">
        <f>1/Fsw-(Table2[[#This Row],[t1_Ph_II]]+Table2[[#This Row],[t2_Ph_I]])</f>
        <v>0</v>
      </c>
      <c r="P99"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9.5458692129261866</v>
      </c>
      <c r="Q99" s="4">
        <f>CHOOSE(Table2[[#This Row],[Mode Digit]],Table2[[#This Row],[I_0]]+1/Lf*(Table2[[#This Row],[Vin]]-Vout)*Table2[[#This Row],[t1_Ph_II]],Table2[[#This Row],[I_0]]+1/Lf*Table2[[#This Row],[Vin]]*Table2[[#This Row],[t1_Ph_II]],Table2[[#This Row],[I_0]]+(Table2[[#This Row],[Vin]]-Vout)/L*Table2[[#This Row],[t1_Ph_II]])</f>
        <v>12.054130787073815</v>
      </c>
      <c r="R99" s="4">
        <f>CHOOSE(Table2[[#This Row],[Mode Digit]],0,0,Table2[[#This Row],[I_1]]+Table2[[#This Row],[Vin]]/L*Table2[[#This Row],[t2_Ph_I]])</f>
        <v>0</v>
      </c>
      <c r="S99" s="409">
        <f>Fsw*(Table2[[#This Row],[I_0]]*Table2[[#This Row],[t1_Ph_II]]+Table2[[#This Row],[I_1]]*Table2[[#This Row],[t2_Ph_I]]+Table2[[#This Row],[I_2]]*Table2[[#This Row],[t3_Ph_III]])</f>
        <v>10.208660457265792</v>
      </c>
      <c r="T99" s="354">
        <f>MIN(1,CHOOSE(Table2[[#This Row],[Mode Digit]],(Vout+(Rdson2+Rs+Rdcr)*Table2[[#This Row],[Iout]])/(Table2[[#This Row],[Vin]]+(Rs+Rdson2-Rdson1)*Table2[[#This Row],[Iout]]),1,Fsw*Table2[[#This Row],[t2_Ph_I]]+Table2[[#This Row],[t1_Ph_II]]))</f>
        <v>0.73575672841663753</v>
      </c>
      <c r="U99" s="354">
        <f>MIN(1,CHOOSE(Table2[[#This Row],[Mode Digit]],0,(Vout+(Rdson3+Rdcr)*Table2[[#This Row],[Iin]]-Table2[[#This Row],[Vin]])/(Vout+(Rdson3-Rdson4-Rs)*Table2[[#This Row],[Iin]]),Fsw*Table2[[#This Row],[t1_Ph_II]]+Table2[[#This Row],[t3_Ph_III]]))</f>
        <v>0</v>
      </c>
      <c r="V99" s="4">
        <f>MAX(Table2[[#This Row],[I_0]:[I_2]])-MIN(Table2[[#This Row],[I_0]:[I_1]])</f>
        <v>2.5082615741476282</v>
      </c>
      <c r="W99"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10.824245070382297</v>
      </c>
      <c r="X99" s="354">
        <f>(Table2[[#This Row],[Irms Lf]]^2*Rdcr*(1+Ltc*Ta-Ltc*25))/(1-Table2[[#This Row],[Irms Lf]]^2*Rdcr*Ltc*ThetaCa)</f>
        <v>0.71862005527720796</v>
      </c>
      <c r="Y99" s="354">
        <f>ABS(7.759*10^-3*Fsw^0.9458*(0.00787*Table2[[#This Row],[Ripple Current pk-pk]])^2.304)</f>
        <v>0.26746193144508079</v>
      </c>
      <c r="Z99" s="354">
        <f>Table2[[#This Row],[DCR    Loss]]+Table2[[#This Row],[Core Loss]]</f>
        <v>0.98608198672228875</v>
      </c>
      <c r="AA99" s="4">
        <f>IF(Table2[[#This Row],[Vin]]&gt;Vout, Table2[[#This Row],[Ripple Current pk-pk]]/SQRT(12), SQRT(Table2[[#This Row],[Duty Cycle BOOST Leg]]/(1-Table2[[#This Row],[Duty Cycle BOOST Leg]]))*SQRT(Table2[[#This Row],[Iout]]^2+(Table2[[#This Row],[Ripple Current pk-pk]]^2)/12))</f>
        <v>0.72407274751606387</v>
      </c>
      <c r="AB99" s="354">
        <f>RCoutEsr*Table2[[#This Row],[Irms Cout]]^2</f>
        <v>2.6214067184773078E-3</v>
      </c>
      <c r="AC99" s="354">
        <f>Table2[[#This Row],[Cout ESR Loss]]</f>
        <v>2.6214067184773078E-3</v>
      </c>
      <c r="AD99" s="4">
        <f>IF(Table2[[#This Row],[Vin]]&gt;Vout, SQRT(Table2[[#This Row],[Duty Cycle BUCK Leg]]*(1-Table2[[#This Row],[Duty Cycle BUCK Leg]]))*SQRT(Table2[[#This Row],[Iout]]^2+(Table2[[#This Row],[Ripple Current pk-pk]]^2)/12), Table2[[#This Row],[Ripple Current pk-pk]]/SQRT(12))</f>
        <v>4.7727282430167817</v>
      </c>
      <c r="AE99" s="354">
        <f>RCinEsr*Table2[[#This Row],[Irms Cin]]^2</f>
        <v>4.555786976338011E-2</v>
      </c>
      <c r="AF99" s="549">
        <f>Table2[[#This Row],[Cin ESR Loss]]</f>
        <v>4.555786976338011E-2</v>
      </c>
      <c r="AG99" s="354">
        <f>Table2[[#This Row],[Irms Lf]]</f>
        <v>10.824245070382297</v>
      </c>
      <c r="AH99" s="354">
        <f>Rdson1*Table2[[#This Row],[Irms BuCtrl]]^2</f>
        <v>0.49208998164352097</v>
      </c>
      <c r="AI99" s="354">
        <f>CHOOSE(Table2[[#This Row],[Mode Digit]], (Table2[[#This Row],[Vin]]*Table2[[#This Row],[Iout]]/2)*(Fsw)*(Tr_buck+Tf_buck), 0, (Table2[[#This Row],[Vin]]*Table2[[#This Row],[Avg IL]]/2)*(Fsw/1)*(Tr_buck+Tf_buck))</f>
        <v>2.141935259648414</v>
      </c>
      <c r="AJ99">
        <f>IF(Table2[[#This Row],[Vin]]&gt;Vout, IF(Table2[[#This Row],[Iout]]&gt;Table2[[#This Row],[Ripple Current pk-pk]]/2,0,ABS(Table2[[#This Row],[Iout]]-Table2[[#This Row],[Ripple Current pk-pk]]/2)*Vsd_Q1*Deadtime*Fsw),0)</f>
        <v>0</v>
      </c>
      <c r="AK99" s="354">
        <f>(Table2[[#This Row],[Dead Time Loss BuCtrl]]+Table2[[#This Row],[Transition Loss BuCtrl]]+Table2[[#This Row],[RDS(on) Loss BuCtrl]]*(1+RdsonTopTc*Ta-RdsonTopTc*25))/(1-Table2[[#This Row],[RDS(on) Loss BuCtrl]]*RdsonTopTc*ThetaJA_Q1)</f>
        <v>2.9867672150596576</v>
      </c>
      <c r="AL99" s="354">
        <f>Table2[[#This Row],[Irms Lf]]</f>
        <v>10.824245070382297</v>
      </c>
      <c r="AM99" s="354">
        <f>Rdson2*Table2[[#This Row],[Irms BuSync]]^2</f>
        <v>0.49208998164352097</v>
      </c>
      <c r="AN99"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0.51963428571428572</v>
      </c>
      <c r="AO99" s="354">
        <f>(Table2[[#This Row],[Deadtime Loss BuSync]]+Table2[[#This Row],[RDS(on) Loss BuSync]]*(1+RdsonBotTc*Ta-RdsonBotTc*25))/(1-Table2[[#This Row],[RDS(on) Loss BuSync]]*RdsonBotTc*ThetaJA_Q2)</f>
        <v>1.147211812952265</v>
      </c>
      <c r="AP99" s="354">
        <f>Table2[[#This Row],[Irms Lf]]</f>
        <v>10.824245070382297</v>
      </c>
      <c r="AQ99" s="354">
        <f>Rdson4*Table2[[#This Row],[Irms BoCtlr]]^2</f>
        <v>0.49208998164352097</v>
      </c>
      <c r="AR99" s="354">
        <f>CHOOSE(Table2[[#This Row],[Mode Digit]], 0, (Vout*Table2[[#This Row],[Iin]]/2)*(Fsw)*(Tr_boost+Tf_boost), (Vout*Iout/2)*(Fsw/1)*(Tr_boost+Tf_boost))</f>
        <v>0</v>
      </c>
      <c r="AS99" s="354">
        <f>IF(Table2[[#This Row],[Vin]]&gt;Vout, 0, IF(Table2[[#This Row],[Iin]]&gt;Table2[[#This Row],[Ripple Current pk-pk]]/2,0,ABS(Table2[[#This Row],[Iin]]-Table2[[#This Row],[Ripple Current pk-pk]]/2)*Vsd_Q4*Deadtime*Fsw))</f>
        <v>0</v>
      </c>
      <c r="AT99" s="354">
        <f>(Table2[[#This Row],[Dead Time Loss BoCtlr]]+Table2[[#This Row],[Transition Loss BoCtlr]]+Table2[[#This Row],[RDS(on) Loss BoCtlr]]*(1+RdsonTopTc*Ta-RdsonTopTc*25))/(1-Table2[[#This Row],[RDS(on) Loss BoCtlr]]*RdsonTopTc*ThetaJA_Q4)</f>
        <v>0.55798942280116148</v>
      </c>
      <c r="AU99" s="354">
        <f>Table2[[#This Row],[Irms Lf]]</f>
        <v>10.824245070382297</v>
      </c>
      <c r="AV99" s="354">
        <f>Rdson3*Table2[[#This Row],[Irms BoSync]]^2</f>
        <v>0.49208998164352097</v>
      </c>
      <c r="AW99"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99" s="354">
        <f>(Table2[[#This Row],[Deadtime Loss BoSync]]+Table2[[#This Row],[RDS(on) Loss BoSync]]*(1+RdsonBotTc*Ta-RdsonBotTc*25))/(1-Table2[[#This Row],[RDS(on) Loss BoSync]]*RdsonBotTc*ThetaJA_Q3)</f>
        <v>0.55798942280116148</v>
      </c>
      <c r="AY99" s="354">
        <f>CHOOSE(Table2[[#This Row],[Mode Digit]], Rdson3*Table2[[#This Row],[Irms Lf]]^2, Rdson1*Table2[[#This Row],[Irms Lf]]^2, 0)</f>
        <v>0.49208998164352097</v>
      </c>
      <c r="AZ99" s="354">
        <f>CHOOSE(Table2[[#This Row],[Mode Digit]], 2*Deadtime*Fsw*IF(VfdSky_Q2&gt;0,VfdSky_Q2,0)*Table2[[#This Row],[Iout]], 2*Deadtime*Fsw*IF(VfdSky_Q3&gt;0,VfdSky_Q3,0)*Table2[[#This Row],[Iin]], 2*Deadtime*Fsw*IF(VfdSky_Q2&gt;0,VfdSky_Q2,0)*Table2[[#This Row],[Iout]]+2*Deadtime*Fsw*IF(VfdSky_Q3&gt;0,VfdSky_Q3,0)*Table2[[#This Row],[Iin]])</f>
        <v>0</v>
      </c>
      <c r="BA9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0.21551011200000003</v>
      </c>
      <c r="BB9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0.21551011200000003</v>
      </c>
      <c r="BC99" s="354">
        <f>CHOOSE(Table2[[#This Row],[Mode Digit]], Rs*Table2[[#This Row],[Irms BuSync]]^2, Rs*Table2[[#This Row],[Irms BoCtlr]]^2, Rs*(Table2[[#This Row],[Irms BuSync]]^2+Table2[[#This Row],[Irms BoCtlr]]^2))</f>
        <v>0.29291070335923863</v>
      </c>
      <c r="BD99" s="354">
        <f t="shared" si="9"/>
        <v>1.44</v>
      </c>
      <c r="BE99" s="354">
        <f>IF(Vout&gt;8, Iq*Vout, Iq*Table2[[#This Row],[Vin]])</f>
        <v>4.3799999999999999E-2</v>
      </c>
      <c r="BF99" s="354">
        <f>CHOOSE(Table2[[#This Row],[Mode Digit]], (Qg_Q1+Qg_Q2)*Fsw, (Qg_Q3+Qg_Q4)*Fsw, (Qg_Q1+Qg_Q2+Qg_Q3+Qg_Q4)*Fsw)*IF(Vout&gt;8, Vout, Table2[[#This Row],[Vin]])</f>
        <v>0.47303999999999996</v>
      </c>
      <c r="BG99" s="354">
        <f t="shared" si="10"/>
        <v>0.45605042016806729</v>
      </c>
      <c r="BH99" s="354">
        <f>Table2[[#This Row],[IQ Loss]]+Table2[[#This Row],[Switching Current Loss]]</f>
        <v>0.51683999999999997</v>
      </c>
      <c r="BI99"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8.9649900641776306</v>
      </c>
      <c r="BJ99">
        <f>Vout*Table2[[#This Row],[Iout]]</f>
        <v>157.68</v>
      </c>
      <c r="BK99" s="550">
        <f>Table2[[#This Row],[Pout]]/(Table2[[#This Row],[Pout]]+Table2[[#This Row],[Total Loss]])</f>
        <v>0.94620306280599809</v>
      </c>
      <c r="BL99" s="559">
        <f>IF(Table2[[#This Row],[Vin]]&gt;Vout,ThetaJA_Q1*(Table2[[#This Row],[Total Control Bu MOSFET Loss]]+Table2[[#This Row],[Reverse Recovery Loss MOSFET D BUCK]]),ThetaJA_Q4*(Table2[[#This Row],[Total Control Bo MOSFET Loss]]+Table2[[#This Row],[Reverse Recovery Loss MOSFET D BOOST]]))</f>
        <v>192.13663962357947</v>
      </c>
      <c r="BM99" s="559">
        <f>IF(Table2[[#This Row],[Vin]]&gt;Vout, Table2[[#This Row],[Total Sync Bu MOSFET Loss]]*ThetaJA_Q2, ThetaJA_Q3*Table2[[#This Row],[Total Sync Bo MOSFET Loss]])</f>
        <v>68.832708777135906</v>
      </c>
      <c r="BN99" s="9"/>
      <c r="BO99" s="4">
        <f>Table2[[#This Row],[EFF, h]]*100</f>
        <v>94.620306280599806</v>
      </c>
      <c r="BP99" s="354">
        <f>Table2[[#This Row],[Total Inductor Loss]]</f>
        <v>0.98608198672228875</v>
      </c>
      <c r="BQ99" s="354">
        <f>Table2[[#This Row],[Total Control Bu MOSFET Loss]]+Table2[[#This Row],[Total Sync Bu MOSFET Loss]]+Table2[[#This Row],[Total Control Bo MOSFET Loss]]+Table2[[#This Row],[Total Sync Bo MOSFET Loss]]+Table2[[#This Row],[Reverse Recovery Loss MOSFET D BUCK]]+Table2[[#This Row],[Reverse Recovery Loss MOSFET D BOOST]]</f>
        <v>5.6809780976142452</v>
      </c>
      <c r="BR99" s="354">
        <f xml:space="preserve"> Table2[[#This Row],[Total Control Bu MOSFET Loss]]+Table2[[#This Row],[Reverse Recovery Loss MOSFET D BUCK]]*0.66</f>
        <v>3.1290038889796574</v>
      </c>
      <c r="BS99" s="354">
        <f>Table2[[#This Row],[Total Sync Bu MOSFET Loss]]+Table2[[#This Row],[Reverse Recovery Loss MOSFET D BUCK]]*0.33</f>
        <v>1.218330149912265</v>
      </c>
      <c r="BT99" s="354">
        <f xml:space="preserve"> Table2[[#This Row],[Total Control Bo MOSFET Loss]]+Table2[[#This Row],[Reverse Recovery Loss MOSFET D BOOST]]*0.66</f>
        <v>0.70022609672116154</v>
      </c>
      <c r="BU99" s="354">
        <f xml:space="preserve"> Table2[[#This Row],[Total Sync Bo MOSFET Loss]]+Table2[[#This Row],[Reverse Recovery Loss MOSFET D BOOST]]*0.33</f>
        <v>0.62910775976116151</v>
      </c>
      <c r="BV99" s="354">
        <f>Table2[[#This Row],[Isense Shunt Loss]]</f>
        <v>0.29291070335923863</v>
      </c>
      <c r="CB99" s="18"/>
      <c r="CC99" s="19"/>
    </row>
    <row r="100" spans="7:81" x14ac:dyDescent="0.2">
      <c r="G100">
        <v>91</v>
      </c>
      <c r="H100" s="555">
        <f t="shared" si="8"/>
        <v>20</v>
      </c>
      <c r="I100" s="4" t="str">
        <f>IF(Mode = 2,IF(Table2[[#This Row],[Vin]]&gt;Vout, "BUCK","BOOST"),IF(Table2[[#This Row],[Vin]]&gt;VIN_BB_to_buck, "BUCK", IF(Table2[[#This Row],[Vin]]&lt;=VIN_boost_to_BB,"BOOST","BUCK-BST")))</f>
        <v>BUCK</v>
      </c>
      <c r="J100">
        <f>IF(Table2[[#This Row],[Mode]]="BOOST",2, IF(Table2[[#This Row],[Mode]]="BUCK", 1,3))</f>
        <v>1</v>
      </c>
      <c r="K100" s="354">
        <f t="shared" si="11"/>
        <v>10.92</v>
      </c>
      <c r="L100" s="4">
        <f>Vout*Table2[[#This Row],[Iout]]/(Table2[[#This Row],[Vin]]*Efficiency)</f>
        <v>8.3911578947368408</v>
      </c>
      <c r="M100" s="711">
        <f>MIN(1/Fsw,CHOOSE(Table2[[#This Row],[Mode Digit]],(Vout+(Rdson2+Rs+Rdcr)*Table2[[#This Row],[Iout]])/(Table2[[#This Row],[Vin]]+(Rs+Rdson2-Rdson1)*Table2[[#This Row],[Iout]])/Fsw,(Vout+(Rdson3+Rdcr)*Table2[[#This Row],[Iin]]-Table2[[#This Row],[Vin]])/(Vout+(Rdson3-Rdson4-Rs)*Table2[[#This Row],[Iin]])/Fsw,t1_Ph_II))</f>
        <v>1.2263676747905776E-6</v>
      </c>
      <c r="N100" s="602">
        <f>CHOOSE(Table2[[#This Row],[Mode Digit]],1/Fsw-Table2[[#This Row],[t1_Ph_II]],1/Fsw-Table2[[#This Row],[t1_Ph_II]],(Vout/Fsw-Table2[[#This Row],[Vin]]*t1_Ph_II)/(Table2[[#This Row],[Vin]]+Vout))</f>
        <v>4.4029899187608902E-7</v>
      </c>
      <c r="O100" s="602">
        <f>1/Fsw-(Table2[[#This Row],[t1_Ph_II]]+Table2[[#This Row],[t2_Ph_I]])</f>
        <v>0</v>
      </c>
      <c r="P100"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9.665760332600545</v>
      </c>
      <c r="Q100" s="4">
        <f>CHOOSE(Table2[[#This Row],[Mode Digit]],Table2[[#This Row],[I_0]]+1/Lf*(Table2[[#This Row],[Vin]]-Vout)*Table2[[#This Row],[t1_Ph_II]],Table2[[#This Row],[I_0]]+1/Lf*Table2[[#This Row],[Vin]]*Table2[[#This Row],[t1_Ph_II]],Table2[[#This Row],[I_0]]+(Table2[[#This Row],[Vin]]-Vout)/L*Table2[[#This Row],[t1_Ph_II]])</f>
        <v>12.174239667399455</v>
      </c>
      <c r="R100" s="4">
        <f>CHOOSE(Table2[[#This Row],[Mode Digit]],0,0,Table2[[#This Row],[I_1]]+Table2[[#This Row],[Vin]]/L*Table2[[#This Row],[t2_Ph_I]])</f>
        <v>0</v>
      </c>
      <c r="S100" s="409">
        <f>Fsw*(Table2[[#This Row],[I_0]]*Table2[[#This Row],[t1_Ph_II]]+Table2[[#This Row],[I_1]]*Table2[[#This Row],[t2_Ph_I]]+Table2[[#This Row],[I_2]]*Table2[[#This Row],[t3_Ph_III]])</f>
        <v>10.328448885952922</v>
      </c>
      <c r="T100" s="354">
        <f>MIN(1,CHOOSE(Table2[[#This Row],[Mode Digit]],(Vout+(Rdson2+Rs+Rdcr)*Table2[[#This Row],[Iout]])/(Table2[[#This Row],[Vin]]+(Rs+Rdson2-Rdson1)*Table2[[#This Row],[Iout]]),1,Fsw*Table2[[#This Row],[t2_Ph_I]]+Table2[[#This Row],[t1_Ph_II]]))</f>
        <v>0.73582060487434653</v>
      </c>
      <c r="U100" s="354">
        <f>MIN(1,CHOOSE(Table2[[#This Row],[Mode Digit]],0,(Vout+(Rdson3+Rdcr)*Table2[[#This Row],[Iin]]-Table2[[#This Row],[Vin]])/(Vout+(Rdson3-Rdson4-Rs)*Table2[[#This Row],[Iin]]),Fsw*Table2[[#This Row],[t1_Ph_II]]+Table2[[#This Row],[t3_Ph_III]]))</f>
        <v>0</v>
      </c>
      <c r="V100" s="4">
        <f>MAX(Table2[[#This Row],[I_0]:[I_2]])-MIN(Table2[[#This Row],[I_0]:[I_1]])</f>
        <v>2.5084793347989098</v>
      </c>
      <c r="W100"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10.943983387281468</v>
      </c>
      <c r="X100" s="354">
        <f>(Table2[[#This Row],[Irms Lf]]^2*Rdcr*(1+Ltc*Ta-Ltc*25))/(1-Table2[[#This Row],[Irms Lf]]^2*Rdcr*Ltc*ThetaCa)</f>
        <v>0.7355475323902454</v>
      </c>
      <c r="Y100" s="354">
        <f>ABS(7.759*10^-3*Fsw^0.9458*(0.00787*Table2[[#This Row],[Ripple Current pk-pk]])^2.304)</f>
        <v>0.26751543413481271</v>
      </c>
      <c r="Z100" s="354">
        <f>Table2[[#This Row],[DCR    Loss]]+Table2[[#This Row],[Core Loss]]</f>
        <v>1.0030629665250581</v>
      </c>
      <c r="AA100" s="4">
        <f>IF(Table2[[#This Row],[Vin]]&gt;Vout, Table2[[#This Row],[Ripple Current pk-pk]]/SQRT(12), SQRT(Table2[[#This Row],[Duty Cycle BOOST Leg]]/(1-Table2[[#This Row],[Duty Cycle BOOST Leg]]))*SQRT(Table2[[#This Row],[Iout]]^2+(Table2[[#This Row],[Ripple Current pk-pk]]^2)/12))</f>
        <v>0.72413560960138201</v>
      </c>
      <c r="AB100" s="354">
        <f>RCoutEsr*Table2[[#This Row],[Irms Cout]]^2</f>
        <v>2.6218619054638259E-3</v>
      </c>
      <c r="AC100" s="354">
        <f>Table2[[#This Row],[Cout ESR Loss]]</f>
        <v>2.6218619054638259E-3</v>
      </c>
      <c r="AD100" s="4">
        <f>IF(Table2[[#This Row],[Vin]]&gt;Vout, SQRT(Table2[[#This Row],[Duty Cycle BUCK Leg]]*(1-Table2[[#This Row],[Duty Cycle BUCK Leg]]))*SQRT(Table2[[#This Row],[Iout]]^2+(Table2[[#This Row],[Ripple Current pk-pk]]^2)/12), Table2[[#This Row],[Ripple Current pk-pk]]/SQRT(12))</f>
        <v>4.825150550229786</v>
      </c>
      <c r="AE100" s="354">
        <f>RCinEsr*Table2[[#This Row],[Irms Cin]]^2</f>
        <v>4.6564155664765614E-2</v>
      </c>
      <c r="AF100" s="549">
        <f>Table2[[#This Row],[Cin ESR Loss]]</f>
        <v>4.6564155664765614E-2</v>
      </c>
      <c r="AG100" s="354">
        <f>Table2[[#This Row],[Irms Lf]]</f>
        <v>10.943983387281468</v>
      </c>
      <c r="AH100" s="354">
        <f>Rdson1*Table2[[#This Row],[Irms BuCtrl]]^2</f>
        <v>0.50303724400058969</v>
      </c>
      <c r="AI100" s="354">
        <f>CHOOSE(Table2[[#This Row],[Mode Digit]], (Table2[[#This Row],[Vin]]*Table2[[#This Row],[Iout]]/2)*(Fsw)*(Tr_buck+Tf_buck), 0, (Table2[[#This Row],[Vin]]*Table2[[#This Row],[Avg IL]]/2)*(Fsw/1)*(Tr_buck+Tf_buck))</f>
        <v>2.1657345403111745</v>
      </c>
      <c r="AJ100">
        <f>IF(Table2[[#This Row],[Vin]]&gt;Vout, IF(Table2[[#This Row],[Iout]]&gt;Table2[[#This Row],[Ripple Current pk-pk]]/2,0,ABS(Table2[[#This Row],[Iout]]-Table2[[#This Row],[Ripple Current pk-pk]]/2)*Vsd_Q1*Deadtime*Fsw),0)</f>
        <v>0</v>
      </c>
      <c r="AK100" s="354">
        <f>(Table2[[#This Row],[Dead Time Loss BuCtrl]]+Table2[[#This Row],[Transition Loss BuCtrl]]+Table2[[#This Row],[RDS(on) Loss BuCtrl]]*(1+RdsonTopTc*Ta-RdsonTopTc*25))/(1-Table2[[#This Row],[RDS(on) Loss BuCtrl]]*RdsonTopTc*ThetaJA_Q1)</f>
        <v>3.0352093925865051</v>
      </c>
      <c r="AL100" s="354">
        <f>Table2[[#This Row],[Irms Lf]]</f>
        <v>10.943983387281468</v>
      </c>
      <c r="AM100" s="354">
        <f>Rdson2*Table2[[#This Row],[Irms BuSync]]^2</f>
        <v>0.50303724400058969</v>
      </c>
      <c r="AN100"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0.52540799999999999</v>
      </c>
      <c r="AO100" s="354">
        <f>(Table2[[#This Row],[Deadtime Loss BuSync]]+Table2[[#This Row],[RDS(on) Loss BuSync]]*(1+RdsonBotTc*Ta-RdsonBotTc*25))/(1-Table2[[#This Row],[RDS(on) Loss BuSync]]*RdsonBotTc*ThetaJA_Q2)</f>
        <v>1.1696566498122314</v>
      </c>
      <c r="AP100" s="354">
        <f>Table2[[#This Row],[Irms Lf]]</f>
        <v>10.943983387281468</v>
      </c>
      <c r="AQ100" s="354">
        <f>Rdson4*Table2[[#This Row],[Irms BoCtlr]]^2</f>
        <v>0.50303724400058969</v>
      </c>
      <c r="AR100" s="354">
        <f>CHOOSE(Table2[[#This Row],[Mode Digit]], 0, (Vout*Table2[[#This Row],[Iin]]/2)*(Fsw)*(Tr_boost+Tf_boost), (Vout*Iout/2)*(Fsw/1)*(Tr_boost+Tf_boost))</f>
        <v>0</v>
      </c>
      <c r="AS100" s="354">
        <f>IF(Table2[[#This Row],[Vin]]&gt;Vout, 0, IF(Table2[[#This Row],[Iin]]&gt;Table2[[#This Row],[Ripple Current pk-pk]]/2,0,ABS(Table2[[#This Row],[Iin]]-Table2[[#This Row],[Ripple Current pk-pk]]/2)*Vsd_Q4*Deadtime*Fsw))</f>
        <v>0</v>
      </c>
      <c r="AT100" s="354">
        <f>(Table2[[#This Row],[Dead Time Loss BoCtlr]]+Table2[[#This Row],[Transition Loss BoCtlr]]+Table2[[#This Row],[RDS(on) Loss BoCtlr]]*(1+RdsonTopTc*Ta-RdsonTopTc*25))/(1-Table2[[#This Row],[RDS(on) Loss BoCtlr]]*RdsonTopTc*ThetaJA_Q4)</f>
        <v>0.57210713062344665</v>
      </c>
      <c r="AU100" s="354">
        <f>Table2[[#This Row],[Irms Lf]]</f>
        <v>10.943983387281468</v>
      </c>
      <c r="AV100" s="354">
        <f>Rdson3*Table2[[#This Row],[Irms BoSync]]^2</f>
        <v>0.50303724400058969</v>
      </c>
      <c r="AW100"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00" s="354">
        <f>(Table2[[#This Row],[Deadtime Loss BoSync]]+Table2[[#This Row],[RDS(on) Loss BoSync]]*(1+RdsonBotTc*Ta-RdsonBotTc*25))/(1-Table2[[#This Row],[RDS(on) Loss BoSync]]*RdsonBotTc*ThetaJA_Q3)</f>
        <v>0.57210713062344665</v>
      </c>
      <c r="AY100" s="354">
        <f>CHOOSE(Table2[[#This Row],[Mode Digit]], Rdson3*Table2[[#This Row],[Irms Lf]]^2, Rdson1*Table2[[#This Row],[Irms Lf]]^2, 0)</f>
        <v>0.50303724400058969</v>
      </c>
      <c r="AZ100" s="354">
        <f>CHOOSE(Table2[[#This Row],[Mode Digit]], 2*Deadtime*Fsw*IF(VfdSky_Q2&gt;0,VfdSky_Q2,0)*Table2[[#This Row],[Iout]], 2*Deadtime*Fsw*IF(VfdSky_Q3&gt;0,VfdSky_Q3,0)*Table2[[#This Row],[Iin]], 2*Deadtime*Fsw*IF(VfdSky_Q2&gt;0,VfdSky_Q2,0)*Table2[[#This Row],[Iout]]+2*Deadtime*Fsw*IF(VfdSky_Q3&gt;0,VfdSky_Q3,0)*Table2[[#This Row],[Iin]])</f>
        <v>0</v>
      </c>
      <c r="BA10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0.21789916511999999</v>
      </c>
      <c r="BB10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0.21789916511999999</v>
      </c>
      <c r="BC100" s="354">
        <f>CHOOSE(Table2[[#This Row],[Mode Digit]], Rs*Table2[[#This Row],[Irms BuSync]]^2, Rs*Table2[[#This Row],[Irms BoCtlr]]^2, Rs*(Table2[[#This Row],[Irms BuSync]]^2+Table2[[#This Row],[Irms BoCtlr]]^2))</f>
        <v>0.29942693095273193</v>
      </c>
      <c r="BD100" s="354">
        <f t="shared" si="9"/>
        <v>1.44</v>
      </c>
      <c r="BE100" s="354">
        <f>IF(Vout&gt;8, Iq*Vout, Iq*Table2[[#This Row],[Vin]])</f>
        <v>4.3799999999999999E-2</v>
      </c>
      <c r="BF100" s="354">
        <f>CHOOSE(Table2[[#This Row],[Mode Digit]], (Qg_Q1+Qg_Q2)*Fsw, (Qg_Q3+Qg_Q4)*Fsw, (Qg_Q1+Qg_Q2+Qg_Q3+Qg_Q4)*Fsw)*IF(Vout&gt;8, Vout, Table2[[#This Row],[Vin]])</f>
        <v>0.47303999999999996</v>
      </c>
      <c r="BG100" s="354">
        <f t="shared" si="10"/>
        <v>0.45605042016806729</v>
      </c>
      <c r="BH100" s="354">
        <f>Table2[[#This Row],[IQ Loss]]+Table2[[#This Row],[Switching Current Loss]]</f>
        <v>0.51683999999999997</v>
      </c>
      <c r="BI100"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9.0933945489336505</v>
      </c>
      <c r="BJ100">
        <f>Vout*Table2[[#This Row],[Iout]]</f>
        <v>159.43199999999999</v>
      </c>
      <c r="BK100" s="550">
        <f>Table2[[#This Row],[Pout]]/(Table2[[#This Row],[Pout]]+Table2[[#This Row],[Total Loss]])</f>
        <v>0.94604139884512628</v>
      </c>
      <c r="BL100" s="559">
        <f>IF(Table2[[#This Row],[Vin]]&gt;Vout,ThetaJA_Q1*(Table2[[#This Row],[Total Control Bu MOSFET Loss]]+Table2[[#This Row],[Reverse Recovery Loss MOSFET D BUCK]]),ThetaJA_Q4*(Table2[[#This Row],[Total Control Bo MOSFET Loss]]+Table2[[#This Row],[Reverse Recovery Loss MOSFET D BOOST]]))</f>
        <v>195.18651346239031</v>
      </c>
      <c r="BM100" s="559">
        <f>IF(Table2[[#This Row],[Vin]]&gt;Vout, Table2[[#This Row],[Total Sync Bu MOSFET Loss]]*ThetaJA_Q2, ThetaJA_Q3*Table2[[#This Row],[Total Sync Bo MOSFET Loss]])</f>
        <v>70.17939898873388</v>
      </c>
      <c r="BN100" s="9"/>
      <c r="BO100" s="4">
        <f>Table2[[#This Row],[EFF, h]]*100</f>
        <v>94.604139884512634</v>
      </c>
      <c r="BP100" s="354">
        <f>Table2[[#This Row],[Total Inductor Loss]]</f>
        <v>1.0030629665250581</v>
      </c>
      <c r="BQ100" s="354">
        <f>Table2[[#This Row],[Total Control Bu MOSFET Loss]]+Table2[[#This Row],[Total Sync Bu MOSFET Loss]]+Table2[[#This Row],[Total Control Bo MOSFET Loss]]+Table2[[#This Row],[Total Sync Bo MOSFET Loss]]+Table2[[#This Row],[Reverse Recovery Loss MOSFET D BUCK]]+Table2[[#This Row],[Reverse Recovery Loss MOSFET D BOOST]]</f>
        <v>5.7848786338856311</v>
      </c>
      <c r="BR100" s="354">
        <f xml:space="preserve"> Table2[[#This Row],[Total Control Bu MOSFET Loss]]+Table2[[#This Row],[Reverse Recovery Loss MOSFET D BUCK]]*0.66</f>
        <v>3.1790228415657049</v>
      </c>
      <c r="BS100" s="354">
        <f>Table2[[#This Row],[Total Sync Bu MOSFET Loss]]+Table2[[#This Row],[Reverse Recovery Loss MOSFET D BUCK]]*0.33</f>
        <v>1.2415633743018315</v>
      </c>
      <c r="BT100" s="354">
        <f xml:space="preserve"> Table2[[#This Row],[Total Control Bo MOSFET Loss]]+Table2[[#This Row],[Reverse Recovery Loss MOSFET D BOOST]]*0.66</f>
        <v>0.71592057960264666</v>
      </c>
      <c r="BU100" s="354">
        <f xml:space="preserve"> Table2[[#This Row],[Total Sync Bo MOSFET Loss]]+Table2[[#This Row],[Reverse Recovery Loss MOSFET D BOOST]]*0.33</f>
        <v>0.64401385511304665</v>
      </c>
      <c r="BV100" s="354">
        <f>Table2[[#This Row],[Isense Shunt Loss]]</f>
        <v>0.29942693095273193</v>
      </c>
      <c r="CB100" s="18"/>
      <c r="CC100" s="19"/>
    </row>
    <row r="101" spans="7:81" x14ac:dyDescent="0.2">
      <c r="G101">
        <v>92</v>
      </c>
      <c r="H101" s="555">
        <f t="shared" si="8"/>
        <v>20</v>
      </c>
      <c r="I101" s="4" t="str">
        <f>IF(Mode = 2,IF(Table2[[#This Row],[Vin]]&gt;Vout, "BUCK","BOOST"),IF(Table2[[#This Row],[Vin]]&gt;VIN_BB_to_buck, "BUCK", IF(Table2[[#This Row],[Vin]]&lt;=VIN_boost_to_BB,"BOOST","BUCK-BST")))</f>
        <v>BUCK</v>
      </c>
      <c r="J101">
        <f>IF(Table2[[#This Row],[Mode]]="BOOST",2, IF(Table2[[#This Row],[Mode]]="BUCK", 1,3))</f>
        <v>1</v>
      </c>
      <c r="K101" s="354">
        <f t="shared" si="11"/>
        <v>11.04</v>
      </c>
      <c r="L101" s="4">
        <f>Vout*Table2[[#This Row],[Iout]]/(Table2[[#This Row],[Vin]]*Efficiency)</f>
        <v>8.4833684210526314</v>
      </c>
      <c r="M101" s="711">
        <f>MIN(1/Fsw,CHOOSE(Table2[[#This Row],[Mode Digit]],(Vout+(Rdson2+Rs+Rdcr)*Table2[[#This Row],[Iout]])/(Table2[[#This Row],[Vin]]+(Rs+Rdson2-Rdson1)*Table2[[#This Row],[Iout]])/Fsw,(Vout+(Rdson3+Rdcr)*Table2[[#This Row],[Iin]]-Table2[[#This Row],[Vin]])/(Vout+(Rdson3-Rdson4-Rs)*Table2[[#This Row],[Iin]])/Fsw,t1_Ph_II))</f>
        <v>1.2264741323640044E-6</v>
      </c>
      <c r="N101" s="602">
        <f>CHOOSE(Table2[[#This Row],[Mode Digit]],1/Fsw-Table2[[#This Row],[t1_Ph_II]],1/Fsw-Table2[[#This Row],[t1_Ph_II]],(Vout/Fsw-Table2[[#This Row],[Vin]]*t1_Ph_II)/(Table2[[#This Row],[Vin]]+Vout))</f>
        <v>4.401925343026623E-7</v>
      </c>
      <c r="O101" s="602">
        <f>1/Fsw-(Table2[[#This Row],[t1_Ph_II]]+Table2[[#This Row],[t2_Ph_I]])</f>
        <v>0</v>
      </c>
      <c r="P101"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9.7856514555368133</v>
      </c>
      <c r="Q101" s="4">
        <f>CHOOSE(Table2[[#This Row],[Mode Digit]],Table2[[#This Row],[I_0]]+1/Lf*(Table2[[#This Row],[Vin]]-Vout)*Table2[[#This Row],[t1_Ph_II]],Table2[[#This Row],[I_0]]+1/Lf*Table2[[#This Row],[Vin]]*Table2[[#This Row],[t1_Ph_II]],Table2[[#This Row],[I_0]]+(Table2[[#This Row],[Vin]]-Vout)/L*Table2[[#This Row],[t1_Ph_II]])</f>
        <v>12.294348544463187</v>
      </c>
      <c r="R101" s="4">
        <f>CHOOSE(Table2[[#This Row],[Mode Digit]],0,0,Table2[[#This Row],[I_1]]+Table2[[#This Row],[Vin]]/L*Table2[[#This Row],[t2_Ph_I]])</f>
        <v>0</v>
      </c>
      <c r="S101" s="409">
        <f>Fsw*(Table2[[#This Row],[I_0]]*Table2[[#This Row],[t1_Ph_II]]+Table2[[#This Row],[I_1]]*Table2[[#This Row],[t2_Ph_I]]+Table2[[#This Row],[I_2]]*Table2[[#This Row],[t3_Ph_III]])</f>
        <v>10.44823729316014</v>
      </c>
      <c r="T101" s="354">
        <f>MIN(1,CHOOSE(Table2[[#This Row],[Mode Digit]],(Vout+(Rdson2+Rs+Rdcr)*Table2[[#This Row],[Iout]])/(Table2[[#This Row],[Vin]]+(Rs+Rdson2-Rdson1)*Table2[[#This Row],[Iout]]),1,Fsw*Table2[[#This Row],[t2_Ph_I]]+Table2[[#This Row],[t1_Ph_II]]))</f>
        <v>0.73588447941840263</v>
      </c>
      <c r="U101" s="354">
        <f>MIN(1,CHOOSE(Table2[[#This Row],[Mode Digit]],0,(Vout+(Rdson3+Rdcr)*Table2[[#This Row],[Iin]]-Table2[[#This Row],[Vin]])/(Vout+(Rdson3-Rdson4-Rs)*Table2[[#This Row],[Iin]]),Fsw*Table2[[#This Row],[t1_Ph_II]]+Table2[[#This Row],[t3_Ph_III]]))</f>
        <v>0</v>
      </c>
      <c r="V101" s="4">
        <f>MAX(Table2[[#This Row],[I_0]:[I_2]])-MIN(Table2[[#This Row],[I_0]:[I_1]])</f>
        <v>2.5086970889263736</v>
      </c>
      <c r="W101"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11.063727374789458</v>
      </c>
      <c r="X101" s="354">
        <f>(Table2[[#This Row],[Irms Lf]]^2*Rdcr*(1+Ltc*Ta-Ltc*25))/(1-Table2[[#This Row],[Irms Lf]]^2*Rdcr*Ltc*ThetaCa)</f>
        <v>0.75270617920143268</v>
      </c>
      <c r="Y101" s="354">
        <f>ABS(7.759*10^-3*Fsw^0.9458*(0.00787*Table2[[#This Row],[Ripple Current pk-pk]])^2.304)</f>
        <v>0.2675689412782512</v>
      </c>
      <c r="Z101" s="354">
        <f>Table2[[#This Row],[DCR    Loss]]+Table2[[#This Row],[Core Loss]]</f>
        <v>1.0202751204796838</v>
      </c>
      <c r="AA101" s="4">
        <f>IF(Table2[[#This Row],[Vin]]&gt;Vout, Table2[[#This Row],[Ripple Current pk-pk]]/SQRT(12), SQRT(Table2[[#This Row],[Duty Cycle BOOST Leg]]/(1-Table2[[#This Row],[Duty Cycle BOOST Leg]]))*SQRT(Table2[[#This Row],[Iout]]^2+(Table2[[#This Row],[Ripple Current pk-pk]]^2)/12))</f>
        <v>0.72419846980343616</v>
      </c>
      <c r="AB101" s="354">
        <f>RCoutEsr*Table2[[#This Row],[Irms Cout]]^2</f>
        <v>2.6223171183281926E-3</v>
      </c>
      <c r="AC101" s="354">
        <f>Table2[[#This Row],[Cout ESR Loss]]</f>
        <v>2.6223171183281926E-3</v>
      </c>
      <c r="AD101" s="4">
        <f>IF(Table2[[#This Row],[Vin]]&gt;Vout, SQRT(Table2[[#This Row],[Duty Cycle BUCK Leg]]*(1-Table2[[#This Row],[Duty Cycle BUCK Leg]]))*SQRT(Table2[[#This Row],[Iout]]^2+(Table2[[#This Row],[Ripple Current pk-pk]]^2)/12), Table2[[#This Row],[Ripple Current pk-pk]]/SQRT(12))</f>
        <v>4.8775670566411931</v>
      </c>
      <c r="AE101" s="354">
        <f>RCinEsr*Table2[[#This Row],[Irms Cin]]^2</f>
        <v>4.758132078406286E-2</v>
      </c>
      <c r="AF101" s="549">
        <f>Table2[[#This Row],[Cin ESR Loss]]</f>
        <v>4.758132078406286E-2</v>
      </c>
      <c r="AG101" s="354">
        <f>Table2[[#This Row],[Irms Lf]]</f>
        <v>11.063727374789458</v>
      </c>
      <c r="AH101" s="354">
        <f>Rdson1*Table2[[#This Row],[Irms BuCtrl]]^2</f>
        <v>0.5141054663793958</v>
      </c>
      <c r="AI101" s="354">
        <f>CHOOSE(Table2[[#This Row],[Mode Digit]], (Table2[[#This Row],[Vin]]*Table2[[#This Row],[Iout]]/2)*(Fsw)*(Tr_buck+Tf_buck), 0, (Table2[[#This Row],[Vin]]*Table2[[#This Row],[Avg IL]]/2)*(Fsw/1)*(Tr_buck+Tf_buck))</f>
        <v>2.1895338209739341</v>
      </c>
      <c r="AJ101">
        <f>IF(Table2[[#This Row],[Vin]]&gt;Vout, IF(Table2[[#This Row],[Iout]]&gt;Table2[[#This Row],[Ripple Current pk-pk]]/2,0,ABS(Table2[[#This Row],[Iout]]-Table2[[#This Row],[Ripple Current pk-pk]]/2)*Vsd_Q1*Deadtime*Fsw),0)</f>
        <v>0</v>
      </c>
      <c r="AK101" s="354">
        <f>(Table2[[#This Row],[Dead Time Loss BuCtrl]]+Table2[[#This Row],[Transition Loss BuCtrl]]+Table2[[#This Row],[RDS(on) Loss BuCtrl]]*(1+RdsonTopTc*Ta-RdsonTopTc*25))/(1-Table2[[#This Row],[RDS(on) Loss BuCtrl]]*RdsonTopTc*ThetaJA_Q1)</f>
        <v>3.0841820518762408</v>
      </c>
      <c r="AL101" s="354">
        <f>Table2[[#This Row],[Irms Lf]]</f>
        <v>11.063727374789458</v>
      </c>
      <c r="AM101" s="354">
        <f>Rdson2*Table2[[#This Row],[Irms BuSync]]^2</f>
        <v>0.5141054663793958</v>
      </c>
      <c r="AN101"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0.53118171428571426</v>
      </c>
      <c r="AO101" s="354">
        <f>(Table2[[#This Row],[Deadtime Loss BuSync]]+Table2[[#This Row],[RDS(on) Loss BuSync]]*(1+RdsonBotTc*Ta-RdsonBotTc*25))/(1-Table2[[#This Row],[RDS(on) Loss BuSync]]*RdsonBotTc*ThetaJA_Q2)</f>
        <v>1.1924134912315079</v>
      </c>
      <c r="AP101" s="354">
        <f>Table2[[#This Row],[Irms Lf]]</f>
        <v>11.063727374789458</v>
      </c>
      <c r="AQ101" s="354">
        <f>Rdson4*Table2[[#This Row],[Irms BoCtlr]]^2</f>
        <v>0.5141054663793958</v>
      </c>
      <c r="AR101" s="354">
        <f>CHOOSE(Table2[[#This Row],[Mode Digit]], 0, (Vout*Table2[[#This Row],[Iin]]/2)*(Fsw)*(Tr_boost+Tf_boost), (Vout*Iout/2)*(Fsw/1)*(Tr_boost+Tf_boost))</f>
        <v>0</v>
      </c>
      <c r="AS101" s="354">
        <f>IF(Table2[[#This Row],[Vin]]&gt;Vout, 0, IF(Table2[[#This Row],[Iin]]&gt;Table2[[#This Row],[Ripple Current pk-pk]]/2,0,ABS(Table2[[#This Row],[Iin]]-Table2[[#This Row],[Ripple Current pk-pk]]/2)*Vsd_Q4*Deadtime*Fsw))</f>
        <v>0</v>
      </c>
      <c r="AT101" s="354">
        <f>(Table2[[#This Row],[Dead Time Loss BoCtlr]]+Table2[[#This Row],[Transition Loss BoCtlr]]+Table2[[#This Row],[RDS(on) Loss BoCtlr]]*(1+RdsonTopTc*Ta-RdsonTopTc*25))/(1-Table2[[#This Row],[RDS(on) Loss BoCtlr]]*RdsonTopTc*ThetaJA_Q4)</f>
        <v>0.58646686323713737</v>
      </c>
      <c r="AU101" s="354">
        <f>Table2[[#This Row],[Irms Lf]]</f>
        <v>11.063727374789458</v>
      </c>
      <c r="AV101" s="354">
        <f>Rdson3*Table2[[#This Row],[Irms BoSync]]^2</f>
        <v>0.5141054663793958</v>
      </c>
      <c r="AW101"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01" s="354">
        <f>(Table2[[#This Row],[Deadtime Loss BoSync]]+Table2[[#This Row],[RDS(on) Loss BoSync]]*(1+RdsonBotTc*Ta-RdsonBotTc*25))/(1-Table2[[#This Row],[RDS(on) Loss BoSync]]*RdsonBotTc*ThetaJA_Q3)</f>
        <v>0.58646686323713737</v>
      </c>
      <c r="AY101" s="354">
        <f>CHOOSE(Table2[[#This Row],[Mode Digit]], Rdson3*Table2[[#This Row],[Irms Lf]]^2, Rdson1*Table2[[#This Row],[Irms Lf]]^2, 0)</f>
        <v>0.5141054663793958</v>
      </c>
      <c r="AZ101" s="354">
        <f>CHOOSE(Table2[[#This Row],[Mode Digit]], 2*Deadtime*Fsw*IF(VfdSky_Q2&gt;0,VfdSky_Q2,0)*Table2[[#This Row],[Iout]], 2*Deadtime*Fsw*IF(VfdSky_Q3&gt;0,VfdSky_Q3,0)*Table2[[#This Row],[Iin]], 2*Deadtime*Fsw*IF(VfdSky_Q2&gt;0,VfdSky_Q2,0)*Table2[[#This Row],[Iout]]+2*Deadtime*Fsw*IF(VfdSky_Q3&gt;0,VfdSky_Q3,0)*Table2[[#This Row],[Iin]])</f>
        <v>0</v>
      </c>
      <c r="BA10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0.22028809727999998</v>
      </c>
      <c r="BB10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0.22028809727999998</v>
      </c>
      <c r="BC101" s="354">
        <f>CHOOSE(Table2[[#This Row],[Mode Digit]], Rs*Table2[[#This Row],[Irms BuSync]]^2, Rs*Table2[[#This Row],[Irms BoCtlr]]^2, Rs*(Table2[[#This Row],[Irms BuSync]]^2+Table2[[#This Row],[Irms BoCtlr]]^2))</f>
        <v>0.30601515855916411</v>
      </c>
      <c r="BD101" s="354">
        <f t="shared" si="9"/>
        <v>1.44</v>
      </c>
      <c r="BE101" s="354">
        <f>IF(Vout&gt;8, Iq*Vout, Iq*Table2[[#This Row],[Vin]])</f>
        <v>4.3799999999999999E-2</v>
      </c>
      <c r="BF101" s="354">
        <f>CHOOSE(Table2[[#This Row],[Mode Digit]], (Qg_Q1+Qg_Q2)*Fsw, (Qg_Q3+Qg_Q4)*Fsw, (Qg_Q1+Qg_Q2+Qg_Q3+Qg_Q4)*Fsw)*IF(Vout&gt;8, Vout, Table2[[#This Row],[Vin]])</f>
        <v>0.47303999999999996</v>
      </c>
      <c r="BG101" s="354">
        <f t="shared" si="10"/>
        <v>0.45605042016806729</v>
      </c>
      <c r="BH101" s="354">
        <f>Table2[[#This Row],[IQ Loss]]+Table2[[#This Row],[Switching Current Loss]]</f>
        <v>0.51683999999999997</v>
      </c>
      <c r="BI101"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9.2234393810832636</v>
      </c>
      <c r="BJ101">
        <f>Vout*Table2[[#This Row],[Iout]]</f>
        <v>161.184</v>
      </c>
      <c r="BK101" s="550">
        <f>Table2[[#This Row],[Pout]]/(Table2[[#This Row],[Pout]]+Table2[[#This Row],[Total Loss]])</f>
        <v>0.94587419766072045</v>
      </c>
      <c r="BL101" s="559">
        <f>IF(Table2[[#This Row],[Vin]]&gt;Vout,ThetaJA_Q1*(Table2[[#This Row],[Total Control Bu MOSFET Loss]]+Table2[[#This Row],[Reverse Recovery Loss MOSFET D BUCK]]),ThetaJA_Q4*(Table2[[#This Row],[Total Control Bo MOSFET Loss]]+Table2[[#This Row],[Reverse Recovery Loss MOSFET D BOOST]]))</f>
        <v>198.26820894937447</v>
      </c>
      <c r="BM101" s="559">
        <f>IF(Table2[[#This Row],[Vin]]&gt;Vout, Table2[[#This Row],[Total Sync Bu MOSFET Loss]]*ThetaJA_Q2, ThetaJA_Q3*Table2[[#This Row],[Total Sync Bo MOSFET Loss]])</f>
        <v>71.544809473890467</v>
      </c>
      <c r="BN101" s="9"/>
      <c r="BO101" s="4">
        <f>Table2[[#This Row],[EFF, h]]*100</f>
        <v>94.587419766072045</v>
      </c>
      <c r="BP101" s="354">
        <f>Table2[[#This Row],[Total Inductor Loss]]</f>
        <v>1.0202751204796838</v>
      </c>
      <c r="BQ101" s="354">
        <f>Table2[[#This Row],[Total Control Bu MOSFET Loss]]+Table2[[#This Row],[Total Sync Bu MOSFET Loss]]+Table2[[#This Row],[Total Control Bo MOSFET Loss]]+Table2[[#This Row],[Total Sync Bo MOSFET Loss]]+Table2[[#This Row],[Reverse Recovery Loss MOSFET D BUCK]]+Table2[[#This Row],[Reverse Recovery Loss MOSFET D BOOST]]</f>
        <v>5.8901054641420236</v>
      </c>
      <c r="BR101" s="354">
        <f xml:space="preserve"> Table2[[#This Row],[Total Control Bu MOSFET Loss]]+Table2[[#This Row],[Reverse Recovery Loss MOSFET D BUCK]]*0.66</f>
        <v>3.2295721960810408</v>
      </c>
      <c r="BS101" s="354">
        <f>Table2[[#This Row],[Total Sync Bu MOSFET Loss]]+Table2[[#This Row],[Reverse Recovery Loss MOSFET D BUCK]]*0.33</f>
        <v>1.2651085633339079</v>
      </c>
      <c r="BT101" s="354">
        <f xml:space="preserve"> Table2[[#This Row],[Total Control Bo MOSFET Loss]]+Table2[[#This Row],[Reverse Recovery Loss MOSFET D BOOST]]*0.66</f>
        <v>0.73185700744193738</v>
      </c>
      <c r="BU101" s="354">
        <f xml:space="preserve"> Table2[[#This Row],[Total Sync Bo MOSFET Loss]]+Table2[[#This Row],[Reverse Recovery Loss MOSFET D BOOST]]*0.33</f>
        <v>0.65916193533953737</v>
      </c>
      <c r="BV101" s="354">
        <f>Table2[[#This Row],[Isense Shunt Loss]]</f>
        <v>0.30601515855916411</v>
      </c>
      <c r="CB101" s="18"/>
      <c r="CC101" s="19"/>
    </row>
    <row r="102" spans="7:81" x14ac:dyDescent="0.2">
      <c r="G102">
        <v>93</v>
      </c>
      <c r="H102" s="555">
        <f t="shared" si="8"/>
        <v>20</v>
      </c>
      <c r="I102" s="4" t="str">
        <f>IF(Mode = 2,IF(Table2[[#This Row],[Vin]]&gt;Vout, "BUCK","BOOST"),IF(Table2[[#This Row],[Vin]]&gt;VIN_BB_to_buck, "BUCK", IF(Table2[[#This Row],[Vin]]&lt;=VIN_boost_to_BB,"BOOST","BUCK-BST")))</f>
        <v>BUCK</v>
      </c>
      <c r="J102">
        <f>IF(Table2[[#This Row],[Mode]]="BOOST",2, IF(Table2[[#This Row],[Mode]]="BUCK", 1,3))</f>
        <v>1</v>
      </c>
      <c r="K102" s="354">
        <f t="shared" si="11"/>
        <v>11.16</v>
      </c>
      <c r="L102" s="4">
        <f>Vout*Table2[[#This Row],[Iout]]/(Table2[[#This Row],[Vin]]*Efficiency)</f>
        <v>8.5755789473684221</v>
      </c>
      <c r="M102" s="711">
        <f>MIN(1/Fsw,CHOOSE(Table2[[#This Row],[Mode Digit]],(Vout+(Rdson2+Rs+Rdcr)*Table2[[#This Row],[Iout]])/(Table2[[#This Row],[Vin]]+(Rs+Rdson2-Rdson1)*Table2[[#This Row],[Iout]])/Fsw,(Vout+(Rdson3+Rdcr)*Table2[[#This Row],[Iin]]-Table2[[#This Row],[Vin]])/(Vout+(Rdson3-Rdson4-Rs)*Table2[[#This Row],[Iin]])/Fsw,t1_Ph_II))</f>
        <v>1.2265805867481532E-6</v>
      </c>
      <c r="N102" s="602">
        <f>CHOOSE(Table2[[#This Row],[Mode Digit]],1/Fsw-Table2[[#This Row],[t1_Ph_II]],1/Fsw-Table2[[#This Row],[t1_Ph_II]],(Vout/Fsw-Table2[[#This Row],[Vin]]*t1_Ph_II)/(Table2[[#This Row],[Vin]]+Vout))</f>
        <v>4.4008607991851346E-7</v>
      </c>
      <c r="O102" s="602">
        <f>1/Fsw-(Table2[[#This Row],[t1_Ph_II]]+Table2[[#This Row],[t2_Ph_I]])</f>
        <v>0</v>
      </c>
      <c r="P102"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9.9055425817348439</v>
      </c>
      <c r="Q102" s="4">
        <f>CHOOSE(Table2[[#This Row],[Mode Digit]],Table2[[#This Row],[I_0]]+1/Lf*(Table2[[#This Row],[Vin]]-Vout)*Table2[[#This Row],[t1_Ph_II]],Table2[[#This Row],[I_0]]+1/Lf*Table2[[#This Row],[Vin]]*Table2[[#This Row],[t1_Ph_II]],Table2[[#This Row],[I_0]]+(Table2[[#This Row],[Vin]]-Vout)/L*Table2[[#This Row],[t1_Ph_II]])</f>
        <v>12.414457418265158</v>
      </c>
      <c r="R102" s="4">
        <f>CHOOSE(Table2[[#This Row],[Mode Digit]],0,0,Table2[[#This Row],[I_1]]+Table2[[#This Row],[Vin]]/L*Table2[[#This Row],[t2_Ph_I]])</f>
        <v>0</v>
      </c>
      <c r="S102" s="409">
        <f>Fsw*(Table2[[#This Row],[I_0]]*Table2[[#This Row],[t1_Ph_II]]+Table2[[#This Row],[I_1]]*Table2[[#This Row],[t2_Ph_I]]+Table2[[#This Row],[I_2]]*Table2[[#This Row],[t3_Ph_III]])</f>
        <v>10.568025678889658</v>
      </c>
      <c r="T102" s="354">
        <f>MIN(1,CHOOSE(Table2[[#This Row],[Mode Digit]],(Vout+(Rdson2+Rs+Rdcr)*Table2[[#This Row],[Iout]])/(Table2[[#This Row],[Vin]]+(Rs+Rdson2-Rdson1)*Table2[[#This Row],[Iout]]),1,Fsw*Table2[[#This Row],[t2_Ph_I]]+Table2[[#This Row],[t1_Ph_II]]))</f>
        <v>0.73594835204889186</v>
      </c>
      <c r="U102" s="354">
        <f>MIN(1,CHOOSE(Table2[[#This Row],[Mode Digit]],0,(Vout+(Rdson3+Rdcr)*Table2[[#This Row],[Iin]]-Table2[[#This Row],[Vin]])/(Vout+(Rdson3-Rdson4-Rs)*Table2[[#This Row],[Iin]]),Fsw*Table2[[#This Row],[t1_Ph_II]]+Table2[[#This Row],[t3_Ph_III]]))</f>
        <v>0</v>
      </c>
      <c r="V102" s="4">
        <f>MAX(Table2[[#This Row],[I_0]:[I_2]])-MIN(Table2[[#This Row],[I_0]:[I_1]])</f>
        <v>2.5089148365303142</v>
      </c>
      <c r="W102"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11.183476850756813</v>
      </c>
      <c r="X102" s="354">
        <f>(Table2[[#This Row],[Irms Lf]]^2*Rdcr*(1+Ltc*Ta-Ltc*25))/(1-Table2[[#This Row],[Irms Lf]]^2*Rdcr*Ltc*ThetaCa)</f>
        <v>0.77009762622254996</v>
      </c>
      <c r="Y102" s="354">
        <f>ABS(7.759*10^-3*Fsw^0.9458*(0.00787*Table2[[#This Row],[Ripple Current pk-pk]])^2.304)</f>
        <v>0.26762245287508402</v>
      </c>
      <c r="Z102" s="354">
        <f>Table2[[#This Row],[DCR    Loss]]+Table2[[#This Row],[Core Loss]]</f>
        <v>1.037720079097634</v>
      </c>
      <c r="AA102" s="4">
        <f>IF(Table2[[#This Row],[Vin]]&gt;Vout, Table2[[#This Row],[Ripple Current pk-pk]]/SQRT(12), SQRT(Table2[[#This Row],[Duty Cycle BOOST Leg]]/(1-Table2[[#This Row],[Duty Cycle BOOST Leg]]))*SQRT(Table2[[#This Row],[Iout]]^2+(Table2[[#This Row],[Ripple Current pk-pk]]^2)/12))</f>
        <v>0.72426132812231148</v>
      </c>
      <c r="AB102" s="354">
        <f>RCoutEsr*Table2[[#This Row],[Irms Cout]]^2</f>
        <v>2.6227723570674726E-3</v>
      </c>
      <c r="AC102" s="354">
        <f>Table2[[#This Row],[Cout ESR Loss]]</f>
        <v>2.6227723570674726E-3</v>
      </c>
      <c r="AD102" s="4">
        <f>IF(Table2[[#This Row],[Vin]]&gt;Vout, SQRT(Table2[[#This Row],[Duty Cycle BUCK Leg]]*(1-Table2[[#This Row],[Duty Cycle BUCK Leg]]))*SQRT(Table2[[#This Row],[Iout]]^2+(Table2[[#This Row],[Ripple Current pk-pk]]^2)/12), Table2[[#This Row],[Ripple Current pk-pk]]/SQRT(12))</f>
        <v>4.9299776774461055</v>
      </c>
      <c r="AE102" s="354">
        <f>RCinEsr*Table2[[#This Row],[Irms Cin]]^2</f>
        <v>4.8609359800233794E-2</v>
      </c>
      <c r="AF102" s="549">
        <f>Table2[[#This Row],[Cin ESR Loss]]</f>
        <v>4.8609359800233794E-2</v>
      </c>
      <c r="AG102" s="354">
        <f>Table2[[#This Row],[Irms Lf]]</f>
        <v>11.183476850756813</v>
      </c>
      <c r="AH102" s="354">
        <f>Rdson1*Table2[[#This Row],[Irms BuCtrl]]^2</f>
        <v>0.52529464877993692</v>
      </c>
      <c r="AI102" s="354">
        <f>CHOOSE(Table2[[#This Row],[Mode Digit]], (Table2[[#This Row],[Vin]]*Table2[[#This Row],[Iout]]/2)*(Fsw)*(Tr_buck+Tf_buck), 0, (Table2[[#This Row],[Vin]]*Table2[[#This Row],[Avg IL]]/2)*(Fsw/1)*(Tr_buck+Tf_buck))</f>
        <v>2.2133331016366946</v>
      </c>
      <c r="AJ102">
        <f>IF(Table2[[#This Row],[Vin]]&gt;Vout, IF(Table2[[#This Row],[Iout]]&gt;Table2[[#This Row],[Ripple Current pk-pk]]/2,0,ABS(Table2[[#This Row],[Iout]]-Table2[[#This Row],[Ripple Current pk-pk]]/2)*Vsd_Q1*Deadtime*Fsw),0)</f>
        <v>0</v>
      </c>
      <c r="AK102" s="354">
        <f>(Table2[[#This Row],[Dead Time Loss BuCtrl]]+Table2[[#This Row],[Transition Loss BuCtrl]]+Table2[[#This Row],[RDS(on) Loss BuCtrl]]*(1+RdsonTopTc*Ta-RdsonTopTc*25))/(1-Table2[[#This Row],[RDS(on) Loss BuCtrl]]*RdsonTopTc*ThetaJA_Q1)</f>
        <v>3.133694910604504</v>
      </c>
      <c r="AL102" s="354">
        <f>Table2[[#This Row],[Irms Lf]]</f>
        <v>11.183476850756813</v>
      </c>
      <c r="AM102" s="354">
        <f>Rdson2*Table2[[#This Row],[Irms BuSync]]^2</f>
        <v>0.52529464877993692</v>
      </c>
      <c r="AN102"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0.53695542857142853</v>
      </c>
      <c r="AO102" s="354">
        <f>(Table2[[#This Row],[Deadtime Loss BuSync]]+Table2[[#This Row],[RDS(on) Loss BuSync]]*(1+RdsonBotTc*Ta-RdsonBotTc*25))/(1-Table2[[#This Row],[RDS(on) Loss BuSync]]*RdsonBotTc*ThetaJA_Q2)</f>
        <v>1.2154874501212529</v>
      </c>
      <c r="AP102" s="354">
        <f>Table2[[#This Row],[Irms Lf]]</f>
        <v>11.183476850756813</v>
      </c>
      <c r="AQ102" s="354">
        <f>Rdson4*Table2[[#This Row],[Irms BoCtlr]]^2</f>
        <v>0.52529464877993692</v>
      </c>
      <c r="AR102" s="354">
        <f>CHOOSE(Table2[[#This Row],[Mode Digit]], 0, (Vout*Table2[[#This Row],[Iin]]/2)*(Fsw)*(Tr_boost+Tf_boost), (Vout*Iout/2)*(Fsw/1)*(Tr_boost+Tf_boost))</f>
        <v>0</v>
      </c>
      <c r="AS102" s="354">
        <f>IF(Table2[[#This Row],[Vin]]&gt;Vout, 0, IF(Table2[[#This Row],[Iin]]&gt;Table2[[#This Row],[Ripple Current pk-pk]]/2,0,ABS(Table2[[#This Row],[Iin]]-Table2[[#This Row],[Ripple Current pk-pk]]/2)*Vsd_Q4*Deadtime*Fsw))</f>
        <v>0</v>
      </c>
      <c r="AT102" s="354">
        <f>(Table2[[#This Row],[Dead Time Loss BoCtlr]]+Table2[[#This Row],[Transition Loss BoCtlr]]+Table2[[#This Row],[RDS(on) Loss BoCtlr]]*(1+RdsonTopTc*Ta-RdsonTopTc*25))/(1-Table2[[#This Row],[RDS(on) Loss BoCtlr]]*RdsonTopTc*ThetaJA_Q4)</f>
        <v>0.60107225861530222</v>
      </c>
      <c r="AU102" s="354">
        <f>Table2[[#This Row],[Irms Lf]]</f>
        <v>11.183476850756813</v>
      </c>
      <c r="AV102" s="354">
        <f>Rdson3*Table2[[#This Row],[Irms BoSync]]^2</f>
        <v>0.52529464877993692</v>
      </c>
      <c r="AW102"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02" s="354">
        <f>(Table2[[#This Row],[Deadtime Loss BoSync]]+Table2[[#This Row],[RDS(on) Loss BoSync]]*(1+RdsonBotTc*Ta-RdsonBotTc*25))/(1-Table2[[#This Row],[RDS(on) Loss BoSync]]*RdsonBotTc*ThetaJA_Q3)</f>
        <v>0.60107225861530222</v>
      </c>
      <c r="AY102" s="354">
        <f>CHOOSE(Table2[[#This Row],[Mode Digit]], Rdson3*Table2[[#This Row],[Irms Lf]]^2, Rdson1*Table2[[#This Row],[Irms Lf]]^2, 0)</f>
        <v>0.52529464877993692</v>
      </c>
      <c r="AZ102" s="354">
        <f>CHOOSE(Table2[[#This Row],[Mode Digit]], 2*Deadtime*Fsw*IF(VfdSky_Q2&gt;0,VfdSky_Q2,0)*Table2[[#This Row],[Iout]], 2*Deadtime*Fsw*IF(VfdSky_Q3&gt;0,VfdSky_Q3,0)*Table2[[#This Row],[Iin]], 2*Deadtime*Fsw*IF(VfdSky_Q2&gt;0,VfdSky_Q2,0)*Table2[[#This Row],[Iout]]+2*Deadtime*Fsw*IF(VfdSky_Q3&gt;0,VfdSky_Q3,0)*Table2[[#This Row],[Iin]])</f>
        <v>0</v>
      </c>
      <c r="BA10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0.22267690848000002</v>
      </c>
      <c r="BB10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0.22267690848000002</v>
      </c>
      <c r="BC102" s="354">
        <f>CHOOSE(Table2[[#This Row],[Mode Digit]], Rs*Table2[[#This Row],[Irms BuSync]]^2, Rs*Table2[[#This Row],[Irms BoCtlr]]^2, Rs*(Table2[[#This Row],[Irms BuSync]]^2+Table2[[#This Row],[Irms BoCtlr]]^2))</f>
        <v>0.31267538617853385</v>
      </c>
      <c r="BD102" s="354">
        <f t="shared" si="9"/>
        <v>1.44</v>
      </c>
      <c r="BE102" s="354">
        <f>IF(Vout&gt;8, Iq*Vout, Iq*Table2[[#This Row],[Vin]])</f>
        <v>4.3799999999999999E-2</v>
      </c>
      <c r="BF102" s="354">
        <f>CHOOSE(Table2[[#This Row],[Mode Digit]], (Qg_Q1+Qg_Q2)*Fsw, (Qg_Q3+Qg_Q4)*Fsw, (Qg_Q1+Qg_Q2+Qg_Q3+Qg_Q4)*Fsw)*IF(Vout&gt;8, Vout, Table2[[#This Row],[Vin]])</f>
        <v>0.47303999999999996</v>
      </c>
      <c r="BG102" s="354">
        <f t="shared" si="10"/>
        <v>0.45605042016806729</v>
      </c>
      <c r="BH102" s="354">
        <f>Table2[[#This Row],[IQ Loss]]+Table2[[#This Row],[Switching Current Loss]]</f>
        <v>0.51683999999999997</v>
      </c>
      <c r="BI102"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9.3551482923498313</v>
      </c>
      <c r="BJ102">
        <f>Vout*Table2[[#This Row],[Iout]]</f>
        <v>162.93600000000001</v>
      </c>
      <c r="BK102" s="550">
        <f>Table2[[#This Row],[Pout]]/(Table2[[#This Row],[Pout]]+Table2[[#This Row],[Total Loss]])</f>
        <v>0.94570151522540391</v>
      </c>
      <c r="BL102" s="559">
        <f>IF(Table2[[#This Row],[Vin]]&gt;Vout,ThetaJA_Q1*(Table2[[#This Row],[Total Control Bu MOSFET Loss]]+Table2[[#This Row],[Reverse Recovery Loss MOSFET D BUCK]]),ThetaJA_Q4*(Table2[[#This Row],[Total Control Bo MOSFET Loss]]+Table2[[#This Row],[Reverse Recovery Loss MOSFET D BOOST]]))</f>
        <v>201.38230914507025</v>
      </c>
      <c r="BM102" s="559">
        <f>IF(Table2[[#This Row],[Vin]]&gt;Vout, Table2[[#This Row],[Total Sync Bu MOSFET Loss]]*ThetaJA_Q2, ThetaJA_Q3*Table2[[#This Row],[Total Sync Bo MOSFET Loss]])</f>
        <v>72.92924700727518</v>
      </c>
      <c r="BN102" s="9"/>
      <c r="BO102" s="4">
        <f>Table2[[#This Row],[EFF, h]]*100</f>
        <v>94.570151522540385</v>
      </c>
      <c r="BP102" s="354">
        <f>Table2[[#This Row],[Total Inductor Loss]]</f>
        <v>1.037720079097634</v>
      </c>
      <c r="BQ102" s="354">
        <f>Table2[[#This Row],[Total Control Bu MOSFET Loss]]+Table2[[#This Row],[Total Sync Bu MOSFET Loss]]+Table2[[#This Row],[Total Control Bo MOSFET Loss]]+Table2[[#This Row],[Total Sync Bo MOSFET Loss]]+Table2[[#This Row],[Reverse Recovery Loss MOSFET D BUCK]]+Table2[[#This Row],[Reverse Recovery Loss MOSFET D BOOST]]</f>
        <v>5.9966806949163614</v>
      </c>
      <c r="BR102" s="354">
        <f xml:space="preserve"> Table2[[#This Row],[Total Control Bu MOSFET Loss]]+Table2[[#This Row],[Reverse Recovery Loss MOSFET D BUCK]]*0.66</f>
        <v>3.2806616702013041</v>
      </c>
      <c r="BS102" s="354">
        <f>Table2[[#This Row],[Total Sync Bu MOSFET Loss]]+Table2[[#This Row],[Reverse Recovery Loss MOSFET D BUCK]]*0.33</f>
        <v>1.2889708299196529</v>
      </c>
      <c r="BT102" s="354">
        <f xml:space="preserve"> Table2[[#This Row],[Total Control Bo MOSFET Loss]]+Table2[[#This Row],[Reverse Recovery Loss MOSFET D BOOST]]*0.66</f>
        <v>0.74803901821210228</v>
      </c>
      <c r="BU102" s="354">
        <f xml:space="preserve"> Table2[[#This Row],[Total Sync Bo MOSFET Loss]]+Table2[[#This Row],[Reverse Recovery Loss MOSFET D BOOST]]*0.33</f>
        <v>0.67455563841370225</v>
      </c>
      <c r="BV102" s="354">
        <f>Table2[[#This Row],[Isense Shunt Loss]]</f>
        <v>0.31267538617853385</v>
      </c>
      <c r="CB102" s="18"/>
      <c r="CC102" s="19"/>
    </row>
    <row r="103" spans="7:81" x14ac:dyDescent="0.2">
      <c r="G103">
        <v>94</v>
      </c>
      <c r="H103" s="555">
        <f t="shared" si="8"/>
        <v>20</v>
      </c>
      <c r="I103" s="4" t="str">
        <f>IF(Mode = 2,IF(Table2[[#This Row],[Vin]]&gt;Vout, "BUCK","BOOST"),IF(Table2[[#This Row],[Vin]]&gt;VIN_BB_to_buck, "BUCK", IF(Table2[[#This Row],[Vin]]&lt;=VIN_boost_to_BB,"BOOST","BUCK-BST")))</f>
        <v>BUCK</v>
      </c>
      <c r="J103">
        <f>IF(Table2[[#This Row],[Mode]]="BOOST",2, IF(Table2[[#This Row],[Mode]]="BUCK", 1,3))</f>
        <v>1</v>
      </c>
      <c r="K103" s="354">
        <f t="shared" si="11"/>
        <v>11.28</v>
      </c>
      <c r="L103" s="4">
        <f>Vout*Table2[[#This Row],[Iout]]/(Table2[[#This Row],[Vin]]*Efficiency)</f>
        <v>8.6677894736842092</v>
      </c>
      <c r="M103" s="711">
        <f>MIN(1/Fsw,CHOOSE(Table2[[#This Row],[Mode Digit]],(Vout+(Rdson2+Rs+Rdcr)*Table2[[#This Row],[Iout]])/(Table2[[#This Row],[Vin]]+(Rs+Rdson2-Rdson1)*Table2[[#This Row],[Iout]])/Fsw,(Vout+(Rdson3+Rdcr)*Table2[[#This Row],[Iin]]-Table2[[#This Row],[Vin]])/(Vout+(Rdson3-Rdson4-Rs)*Table2[[#This Row],[Iin]])/Fsw,t1_Ph_II))</f>
        <v>1.2266870379431669E-6</v>
      </c>
      <c r="N103" s="602">
        <f>CHOOSE(Table2[[#This Row],[Mode Digit]],1/Fsw-Table2[[#This Row],[t1_Ph_II]],1/Fsw-Table2[[#This Row],[t1_Ph_II]],(Vout/Fsw-Table2[[#This Row],[Vin]]*t1_Ph_II)/(Table2[[#This Row],[Vin]]+Vout))</f>
        <v>4.3997962872349978E-7</v>
      </c>
      <c r="O103" s="602">
        <f>1/Fsw-(Table2[[#This Row],[t1_Ph_II]]+Table2[[#This Row],[t2_Ph_I]])</f>
        <v>0</v>
      </c>
      <c r="P103"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10.025433711194488</v>
      </c>
      <c r="Q103" s="4">
        <f>CHOOSE(Table2[[#This Row],[Mode Digit]],Table2[[#This Row],[I_0]]+1/Lf*(Table2[[#This Row],[Vin]]-Vout)*Table2[[#This Row],[t1_Ph_II]],Table2[[#This Row],[I_0]]+1/Lf*Table2[[#This Row],[Vin]]*Table2[[#This Row],[t1_Ph_II]],Table2[[#This Row],[I_0]]+(Table2[[#This Row],[Vin]]-Vout)/L*Table2[[#This Row],[t1_Ph_II]])</f>
        <v>12.534566288805511</v>
      </c>
      <c r="R103" s="4">
        <f>CHOOSE(Table2[[#This Row],[Mode Digit]],0,0,Table2[[#This Row],[I_1]]+Table2[[#This Row],[Vin]]/L*Table2[[#This Row],[t2_Ph_I]])</f>
        <v>0</v>
      </c>
      <c r="S103" s="409">
        <f>Fsw*(Table2[[#This Row],[I_0]]*Table2[[#This Row],[t1_Ph_II]]+Table2[[#This Row],[I_1]]*Table2[[#This Row],[t2_Ph_I]]+Table2[[#This Row],[I_2]]*Table2[[#This Row],[t3_Ph_III]])</f>
        <v>10.687814043143689</v>
      </c>
      <c r="T103" s="354">
        <f>MIN(1,CHOOSE(Table2[[#This Row],[Mode Digit]],(Vout+(Rdson2+Rs+Rdcr)*Table2[[#This Row],[Iout]])/(Table2[[#This Row],[Vin]]+(Rs+Rdson2-Rdson1)*Table2[[#This Row],[Iout]]),1,Fsw*Table2[[#This Row],[t2_Ph_I]]+Table2[[#This Row],[t1_Ph_II]]))</f>
        <v>0.73601222276590017</v>
      </c>
      <c r="U103" s="354">
        <f>MIN(1,CHOOSE(Table2[[#This Row],[Mode Digit]],0,(Vout+(Rdson3+Rdcr)*Table2[[#This Row],[Iin]]-Table2[[#This Row],[Vin]])/(Vout+(Rdson3-Rdson4-Rs)*Table2[[#This Row],[Iin]]),Fsw*Table2[[#This Row],[t1_Ph_II]]+Table2[[#This Row],[t3_Ph_III]]))</f>
        <v>0</v>
      </c>
      <c r="V103" s="4">
        <f>MAX(Table2[[#This Row],[I_0]:[I_2]])-MIN(Table2[[#This Row],[I_0]:[I_1]])</f>
        <v>2.5091325776110232</v>
      </c>
      <c r="W103"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11.30323164074486</v>
      </c>
      <c r="X103" s="354">
        <f>(Table2[[#This Row],[Irms Lf]]^2*Rdcr*(1+Ltc*Ta-Ltc*25))/(1-Table2[[#This Row],[Irms Lf]]^2*Rdcr*Ltc*ThetaCa)</f>
        <v>0.78772353233127712</v>
      </c>
      <c r="Y103" s="354">
        <f>ABS(7.759*10^-3*Fsw^0.9458*(0.00787*Table2[[#This Row],[Ripple Current pk-pk]])^2.304)</f>
        <v>0.26767596892499912</v>
      </c>
      <c r="Z103" s="354">
        <f>Table2[[#This Row],[DCR    Loss]]+Table2[[#This Row],[Core Loss]]</f>
        <v>1.0553995012562762</v>
      </c>
      <c r="AA103" s="4">
        <f>IF(Table2[[#This Row],[Vin]]&gt;Vout, Table2[[#This Row],[Ripple Current pk-pk]]/SQRT(12), SQRT(Table2[[#This Row],[Duty Cycle BOOST Leg]]/(1-Table2[[#This Row],[Duty Cycle BOOST Leg]]))*SQRT(Table2[[#This Row],[Iout]]^2+(Table2[[#This Row],[Ripple Current pk-pk]]^2)/12))</f>
        <v>0.72432418455809189</v>
      </c>
      <c r="AB103" s="354">
        <f>RCoutEsr*Table2[[#This Row],[Irms Cout]]^2</f>
        <v>2.6232276216787238E-3</v>
      </c>
      <c r="AC103" s="354">
        <f>Table2[[#This Row],[Cout ESR Loss]]</f>
        <v>2.6232276216787238E-3</v>
      </c>
      <c r="AD103" s="4">
        <f>IF(Table2[[#This Row],[Vin]]&gt;Vout, SQRT(Table2[[#This Row],[Duty Cycle BUCK Leg]]*(1-Table2[[#This Row],[Duty Cycle BUCK Leg]]))*SQRT(Table2[[#This Row],[Iout]]^2+(Table2[[#This Row],[Ripple Current pk-pk]]^2)/12), Table2[[#This Row],[Ripple Current pk-pk]]/SQRT(12))</f>
        <v>4.9823823312621709</v>
      </c>
      <c r="AE103" s="354">
        <f>RCinEsr*Table2[[#This Row],[Irms Cin]]^2</f>
        <v>4.9648267389746925E-2</v>
      </c>
      <c r="AF103" s="549">
        <f>Table2[[#This Row],[Cin ESR Loss]]</f>
        <v>4.9648267389746925E-2</v>
      </c>
      <c r="AG103" s="354">
        <f>Table2[[#This Row],[Irms Lf]]</f>
        <v>11.30323164074486</v>
      </c>
      <c r="AH103" s="354">
        <f>Rdson1*Table2[[#This Row],[Irms BuCtrl]]^2</f>
        <v>0.53660479120221016</v>
      </c>
      <c r="AI103" s="354">
        <f>CHOOSE(Table2[[#This Row],[Mode Digit]], (Table2[[#This Row],[Vin]]*Table2[[#This Row],[Iout]]/2)*(Fsw)*(Tr_buck+Tf_buck), 0, (Table2[[#This Row],[Vin]]*Table2[[#This Row],[Avg IL]]/2)*(Fsw/1)*(Tr_buck+Tf_buck))</f>
        <v>2.2371323822994547</v>
      </c>
      <c r="AJ103">
        <f>IF(Table2[[#This Row],[Vin]]&gt;Vout, IF(Table2[[#This Row],[Iout]]&gt;Table2[[#This Row],[Ripple Current pk-pk]]/2,0,ABS(Table2[[#This Row],[Iout]]-Table2[[#This Row],[Ripple Current pk-pk]]/2)*Vsd_Q1*Deadtime*Fsw),0)</f>
        <v>0</v>
      </c>
      <c r="AK103" s="354">
        <f>(Table2[[#This Row],[Dead Time Loss BuCtrl]]+Table2[[#This Row],[Transition Loss BuCtrl]]+Table2[[#This Row],[RDS(on) Loss BuCtrl]]*(1+RdsonTopTc*Ta-RdsonTopTc*25))/(1-Table2[[#This Row],[RDS(on) Loss BuCtrl]]*RdsonTopTc*ThetaJA_Q1)</f>
        <v>3.1837579136154215</v>
      </c>
      <c r="AL103" s="354">
        <f>Table2[[#This Row],[Irms Lf]]</f>
        <v>11.30323164074486</v>
      </c>
      <c r="AM103" s="354">
        <f>Rdson2*Table2[[#This Row],[Irms BuSync]]^2</f>
        <v>0.53660479120221016</v>
      </c>
      <c r="AN103"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0.5427291428571428</v>
      </c>
      <c r="AO103" s="354">
        <f>(Table2[[#This Row],[Deadtime Loss BuSync]]+Table2[[#This Row],[RDS(on) Loss BuSync]]*(1+RdsonBotTc*Ta-RdsonBotTc*25))/(1-Table2[[#This Row],[RDS(on) Loss BuSync]]*RdsonBotTc*ThetaJA_Q2)</f>
        <v>1.2388837654928118</v>
      </c>
      <c r="AP103" s="354">
        <f>Table2[[#This Row],[Irms Lf]]</f>
        <v>11.30323164074486</v>
      </c>
      <c r="AQ103" s="354">
        <f>Rdson4*Table2[[#This Row],[Irms BoCtlr]]^2</f>
        <v>0.53660479120221016</v>
      </c>
      <c r="AR103" s="354">
        <f>CHOOSE(Table2[[#This Row],[Mode Digit]], 0, (Vout*Table2[[#This Row],[Iin]]/2)*(Fsw)*(Tr_boost+Tf_boost), (Vout*Iout/2)*(Fsw/1)*(Tr_boost+Tf_boost))</f>
        <v>0</v>
      </c>
      <c r="AS103" s="354">
        <f>IF(Table2[[#This Row],[Vin]]&gt;Vout, 0, IF(Table2[[#This Row],[Iin]]&gt;Table2[[#This Row],[Ripple Current pk-pk]]/2,0,ABS(Table2[[#This Row],[Iin]]-Table2[[#This Row],[Ripple Current pk-pk]]/2)*Vsd_Q4*Deadtime*Fsw))</f>
        <v>0</v>
      </c>
      <c r="AT103" s="354">
        <f>(Table2[[#This Row],[Dead Time Loss BoCtlr]]+Table2[[#This Row],[Transition Loss BoCtlr]]+Table2[[#This Row],[RDS(on) Loss BoCtlr]]*(1+RdsonTopTc*Ta-RdsonTopTc*25))/(1-Table2[[#This Row],[RDS(on) Loss BoCtlr]]*RdsonTopTc*ThetaJA_Q4)</f>
        <v>0.61592704845831425</v>
      </c>
      <c r="AU103" s="354">
        <f>Table2[[#This Row],[Irms Lf]]</f>
        <v>11.30323164074486</v>
      </c>
      <c r="AV103" s="354">
        <f>Rdson3*Table2[[#This Row],[Irms BoSync]]^2</f>
        <v>0.53660479120221016</v>
      </c>
      <c r="AW103"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03" s="354">
        <f>(Table2[[#This Row],[Deadtime Loss BoSync]]+Table2[[#This Row],[RDS(on) Loss BoSync]]*(1+RdsonBotTc*Ta-RdsonBotTc*25))/(1-Table2[[#This Row],[RDS(on) Loss BoSync]]*RdsonBotTc*ThetaJA_Q3)</f>
        <v>0.61592704845831425</v>
      </c>
      <c r="AY103" s="354">
        <f>CHOOSE(Table2[[#This Row],[Mode Digit]], Rdson3*Table2[[#This Row],[Irms Lf]]^2, Rdson1*Table2[[#This Row],[Irms Lf]]^2, 0)</f>
        <v>0.53660479120221016</v>
      </c>
      <c r="AZ103" s="354">
        <f>CHOOSE(Table2[[#This Row],[Mode Digit]], 2*Deadtime*Fsw*IF(VfdSky_Q2&gt;0,VfdSky_Q2,0)*Table2[[#This Row],[Iout]], 2*Deadtime*Fsw*IF(VfdSky_Q3&gt;0,VfdSky_Q3,0)*Table2[[#This Row],[Iin]], 2*Deadtime*Fsw*IF(VfdSky_Q2&gt;0,VfdSky_Q2,0)*Table2[[#This Row],[Iout]]+2*Deadtime*Fsw*IF(VfdSky_Q3&gt;0,VfdSky_Q3,0)*Table2[[#This Row],[Iin]])</f>
        <v>0</v>
      </c>
      <c r="BA10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0.22506559872000001</v>
      </c>
      <c r="BB10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0.22506559872000001</v>
      </c>
      <c r="BC103" s="354">
        <f>CHOOSE(Table2[[#This Row],[Mode Digit]], Rs*Table2[[#This Row],[Irms BuSync]]^2, Rs*Table2[[#This Row],[Irms BoCtlr]]^2, Rs*(Table2[[#This Row],[Irms BuSync]]^2+Table2[[#This Row],[Irms BoCtlr]]^2))</f>
        <v>0.31940761381083937</v>
      </c>
      <c r="BD103" s="354">
        <f t="shared" si="9"/>
        <v>1.44</v>
      </c>
      <c r="BE103" s="354">
        <f>IF(Vout&gt;8, Iq*Vout, Iq*Table2[[#This Row],[Vin]])</f>
        <v>4.3799999999999999E-2</v>
      </c>
      <c r="BF103" s="354">
        <f>CHOOSE(Table2[[#This Row],[Mode Digit]], (Qg_Q1+Qg_Q2)*Fsw, (Qg_Q3+Qg_Q4)*Fsw, (Qg_Q1+Qg_Q2+Qg_Q3+Qg_Q4)*Fsw)*IF(Vout&gt;8, Vout, Table2[[#This Row],[Vin]])</f>
        <v>0.47303999999999996</v>
      </c>
      <c r="BG103" s="354">
        <f t="shared" si="10"/>
        <v>0.45605042016806729</v>
      </c>
      <c r="BH103" s="354">
        <f>Table2[[#This Row],[IQ Loss]]+Table2[[#This Row],[Switching Current Loss]]</f>
        <v>0.51683999999999997</v>
      </c>
      <c r="BI103"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9.4885455835434005</v>
      </c>
      <c r="BJ103">
        <f>Vout*Table2[[#This Row],[Iout]]</f>
        <v>164.68799999999999</v>
      </c>
      <c r="BK103" s="550">
        <f>Table2[[#This Row],[Pout]]/(Table2[[#This Row],[Pout]]+Table2[[#This Row],[Total Loss]])</f>
        <v>0.94552340240901001</v>
      </c>
      <c r="BL103" s="559">
        <f>IF(Table2[[#This Row],[Vin]]&gt;Vout,ThetaJA_Q1*(Table2[[#This Row],[Total Control Bu MOSFET Loss]]+Table2[[#This Row],[Reverse Recovery Loss MOSFET D BUCK]]),ThetaJA_Q4*(Table2[[#This Row],[Total Control Bo MOSFET Loss]]+Table2[[#This Row],[Reverse Recovery Loss MOSFET D BOOST]]))</f>
        <v>204.52941074012529</v>
      </c>
      <c r="BM103" s="559">
        <f>IF(Table2[[#This Row],[Vin]]&gt;Vout, Table2[[#This Row],[Total Sync Bu MOSFET Loss]]*ThetaJA_Q2, ThetaJA_Q3*Table2[[#This Row],[Total Sync Bo MOSFET Loss]])</f>
        <v>74.333025929568706</v>
      </c>
      <c r="BN103" s="9"/>
      <c r="BO103" s="4">
        <f>Table2[[#This Row],[EFF, h]]*100</f>
        <v>94.552340240901003</v>
      </c>
      <c r="BP103" s="354">
        <f>Table2[[#This Row],[Total Inductor Loss]]</f>
        <v>1.0553995012562762</v>
      </c>
      <c r="BQ103" s="354">
        <f>Table2[[#This Row],[Total Control Bu MOSFET Loss]]+Table2[[#This Row],[Total Sync Bu MOSFET Loss]]+Table2[[#This Row],[Total Control Bo MOSFET Loss]]+Table2[[#This Row],[Total Sync Bo MOSFET Loss]]+Table2[[#This Row],[Reverse Recovery Loss MOSFET D BUCK]]+Table2[[#This Row],[Reverse Recovery Loss MOSFET D BOOST]]</f>
        <v>6.1046269734648604</v>
      </c>
      <c r="BR103" s="354">
        <f xml:space="preserve"> Table2[[#This Row],[Total Control Bu MOSFET Loss]]+Table2[[#This Row],[Reverse Recovery Loss MOSFET D BUCK]]*0.66</f>
        <v>3.3323012087706214</v>
      </c>
      <c r="BS103" s="354">
        <f>Table2[[#This Row],[Total Sync Bu MOSFET Loss]]+Table2[[#This Row],[Reverse Recovery Loss MOSFET D BUCK]]*0.33</f>
        <v>1.3131554130704117</v>
      </c>
      <c r="BT103" s="354">
        <f xml:space="preserve"> Table2[[#This Row],[Total Control Bo MOSFET Loss]]+Table2[[#This Row],[Reverse Recovery Loss MOSFET D BOOST]]*0.66</f>
        <v>0.76447034361351429</v>
      </c>
      <c r="BU103" s="354">
        <f xml:space="preserve"> Table2[[#This Row],[Total Sync Bo MOSFET Loss]]+Table2[[#This Row],[Reverse Recovery Loss MOSFET D BOOST]]*0.33</f>
        <v>0.69019869603591422</v>
      </c>
      <c r="BV103" s="354">
        <f>Table2[[#This Row],[Isense Shunt Loss]]</f>
        <v>0.31940761381083937</v>
      </c>
      <c r="CB103" s="18"/>
      <c r="CC103" s="19"/>
    </row>
    <row r="104" spans="7:81" x14ac:dyDescent="0.2">
      <c r="G104">
        <v>95</v>
      </c>
      <c r="H104" s="555">
        <f t="shared" si="8"/>
        <v>20</v>
      </c>
      <c r="I104" s="4" t="str">
        <f>IF(Mode = 2,IF(Table2[[#This Row],[Vin]]&gt;Vout, "BUCK","BOOST"),IF(Table2[[#This Row],[Vin]]&gt;VIN_BB_to_buck, "BUCK", IF(Table2[[#This Row],[Vin]]&lt;=VIN_boost_to_BB,"BOOST","BUCK-BST")))</f>
        <v>BUCK</v>
      </c>
      <c r="J104">
        <f>IF(Table2[[#This Row],[Mode]]="BOOST",2, IF(Table2[[#This Row],[Mode]]="BUCK", 1,3))</f>
        <v>1</v>
      </c>
      <c r="K104" s="354">
        <f t="shared" si="11"/>
        <v>11.4</v>
      </c>
      <c r="L104" s="4">
        <f>Vout*Table2[[#This Row],[Iout]]/(Table2[[#This Row],[Vin]]*Efficiency)</f>
        <v>8.76</v>
      </c>
      <c r="M104" s="711">
        <f>MIN(1/Fsw,CHOOSE(Table2[[#This Row],[Mode Digit]],(Vout+(Rdson2+Rs+Rdcr)*Table2[[#This Row],[Iout]])/(Table2[[#This Row],[Vin]]+(Rs+Rdson2-Rdson1)*Table2[[#This Row],[Iout]])/Fsw,(Vout+(Rdson3+Rdcr)*Table2[[#This Row],[Iin]]-Table2[[#This Row],[Vin]])/(Vout+(Rdson3-Rdson4-Rs)*Table2[[#This Row],[Iin]])/Fsw,t1_Ph_II))</f>
        <v>1.226793485949189E-6</v>
      </c>
      <c r="N104" s="602">
        <f>CHOOSE(Table2[[#This Row],[Mode Digit]],1/Fsw-Table2[[#This Row],[t1_Ph_II]],1/Fsw-Table2[[#This Row],[t1_Ph_II]],(Vout/Fsw-Table2[[#This Row],[Vin]]*t1_Ph_II)/(Table2[[#This Row],[Vin]]+Vout))</f>
        <v>4.398731807174777E-7</v>
      </c>
      <c r="O104" s="602">
        <f>1/Fsw-(Table2[[#This Row],[t1_Ph_II]]+Table2[[#This Row],[t2_Ph_I]])</f>
        <v>0</v>
      </c>
      <c r="P104"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10.145324843915603</v>
      </c>
      <c r="Q104" s="4">
        <f>CHOOSE(Table2[[#This Row],[Mode Digit]],Table2[[#This Row],[I_0]]+1/Lf*(Table2[[#This Row],[Vin]]-Vout)*Table2[[#This Row],[t1_Ph_II]],Table2[[#This Row],[I_0]]+1/Lf*Table2[[#This Row],[Vin]]*Table2[[#This Row],[t1_Ph_II]],Table2[[#This Row],[I_0]]+(Table2[[#This Row],[Vin]]-Vout)/L*Table2[[#This Row],[t1_Ph_II]])</f>
        <v>12.654675156084398</v>
      </c>
      <c r="R104" s="4">
        <f>CHOOSE(Table2[[#This Row],[Mode Digit]],0,0,Table2[[#This Row],[I_1]]+Table2[[#This Row],[Vin]]/L*Table2[[#This Row],[t2_Ph_I]])</f>
        <v>0</v>
      </c>
      <c r="S104" s="409">
        <f>Fsw*(Table2[[#This Row],[I_0]]*Table2[[#This Row],[t1_Ph_II]]+Table2[[#This Row],[I_1]]*Table2[[#This Row],[t2_Ph_I]]+Table2[[#This Row],[I_2]]*Table2[[#This Row],[t3_Ph_III]])</f>
        <v>10.807602385924453</v>
      </c>
      <c r="T104" s="354">
        <f>MIN(1,CHOOSE(Table2[[#This Row],[Mode Digit]],(Vout+(Rdson2+Rs+Rdcr)*Table2[[#This Row],[Iout]])/(Table2[[#This Row],[Vin]]+(Rs+Rdson2-Rdson1)*Table2[[#This Row],[Iout]]),1,Fsw*Table2[[#This Row],[t2_Ph_I]]+Table2[[#This Row],[t1_Ph_II]]))</f>
        <v>0.73607609156951337</v>
      </c>
      <c r="U104" s="354">
        <f>MIN(1,CHOOSE(Table2[[#This Row],[Mode Digit]],0,(Vout+(Rdson3+Rdcr)*Table2[[#This Row],[Iin]]-Table2[[#This Row],[Vin]])/(Vout+(Rdson3-Rdson4-Rs)*Table2[[#This Row],[Iin]]),Fsw*Table2[[#This Row],[t1_Ph_II]]+Table2[[#This Row],[t3_Ph_III]]))</f>
        <v>0</v>
      </c>
      <c r="V104" s="4">
        <f>MAX(Table2[[#This Row],[I_0]:[I_2]])-MIN(Table2[[#This Row],[I_0]:[I_1]])</f>
        <v>2.5093503121687952</v>
      </c>
      <c r="W104"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11.422991577622378</v>
      </c>
      <c r="X104" s="354">
        <f>(Table2[[#This Row],[Irms Lf]]^2*Rdcr*(1+Ltc*Ta-Ltc*25))/(1-Table2[[#This Row],[Irms Lf]]^2*Rdcr*Ltc*ThetaCa)</f>
        <v>0.80558558519378154</v>
      </c>
      <c r="Y104" s="354">
        <f>ABS(7.759*10^-3*Fsw^0.9458*(0.00787*Table2[[#This Row],[Ripple Current pk-pk]])^2.304)</f>
        <v>0.26772948942768326</v>
      </c>
      <c r="Z104" s="354">
        <f>Table2[[#This Row],[DCR    Loss]]+Table2[[#This Row],[Core Loss]]</f>
        <v>1.0733150746214648</v>
      </c>
      <c r="AA104" s="4">
        <f>IF(Table2[[#This Row],[Vin]]&gt;Vout, Table2[[#This Row],[Ripple Current pk-pk]]/SQRT(12), SQRT(Table2[[#This Row],[Duty Cycle BOOST Leg]]/(1-Table2[[#This Row],[Duty Cycle BOOST Leg]]))*SQRT(Table2[[#This Row],[Iout]]^2+(Table2[[#This Row],[Ripple Current pk-pk]]^2)/12))</f>
        <v>0.72438703911086277</v>
      </c>
      <c r="AB104" s="354">
        <f>RCoutEsr*Table2[[#This Row],[Irms Cout]]^2</f>
        <v>2.6236829121590133E-3</v>
      </c>
      <c r="AC104" s="354">
        <f>Table2[[#This Row],[Cout ESR Loss]]</f>
        <v>2.6236829121590133E-3</v>
      </c>
      <c r="AD104" s="4">
        <f>IF(Table2[[#This Row],[Vin]]&gt;Vout, SQRT(Table2[[#This Row],[Duty Cycle BUCK Leg]]*(1-Table2[[#This Row],[Duty Cycle BUCK Leg]]))*SQRT(Table2[[#This Row],[Iout]]^2+(Table2[[#This Row],[Ripple Current pk-pk]]^2)/12), Table2[[#This Row],[Ripple Current pk-pk]]/SQRT(12))</f>
        <v>5.0347809399505161</v>
      </c>
      <c r="AE104" s="354">
        <f>RCinEsr*Table2[[#This Row],[Irms Cin]]^2</f>
        <v>5.0698038226578007E-2</v>
      </c>
      <c r="AF104" s="549">
        <f>Table2[[#This Row],[Cin ESR Loss]]</f>
        <v>5.0698038226578007E-2</v>
      </c>
      <c r="AG104" s="354">
        <f>Table2[[#This Row],[Irms Lf]]</f>
        <v>11.422991577622378</v>
      </c>
      <c r="AH104" s="354">
        <f>Rdson1*Table2[[#This Row],[Irms BuCtrl]]^2</f>
        <v>0.54803589364621363</v>
      </c>
      <c r="AI104" s="354">
        <f>CHOOSE(Table2[[#This Row],[Mode Digit]], (Table2[[#This Row],[Vin]]*Table2[[#This Row],[Iout]]/2)*(Fsw)*(Tr_buck+Tf_buck), 0, (Table2[[#This Row],[Vin]]*Table2[[#This Row],[Avg IL]]/2)*(Fsw/1)*(Tr_buck+Tf_buck))</f>
        <v>2.2609316629622151</v>
      </c>
      <c r="AJ104">
        <f>IF(Table2[[#This Row],[Vin]]&gt;Vout, IF(Table2[[#This Row],[Iout]]&gt;Table2[[#This Row],[Ripple Current pk-pk]]/2,0,ABS(Table2[[#This Row],[Iout]]-Table2[[#This Row],[Ripple Current pk-pk]]/2)*Vsd_Q1*Deadtime*Fsw),0)</f>
        <v>0</v>
      </c>
      <c r="AK104" s="354">
        <f>(Table2[[#This Row],[Dead Time Loss BuCtrl]]+Table2[[#This Row],[Transition Loss BuCtrl]]+Table2[[#This Row],[RDS(on) Loss BuCtrl]]*(1+RdsonTopTc*Ta-RdsonTopTc*25))/(1-Table2[[#This Row],[RDS(on) Loss BuCtrl]]*RdsonTopTc*ThetaJA_Q1)</f>
        <v>3.2343812397580307</v>
      </c>
      <c r="AL104" s="354">
        <f>Table2[[#This Row],[Irms Lf]]</f>
        <v>11.422991577622378</v>
      </c>
      <c r="AM104" s="354">
        <f>Rdson2*Table2[[#This Row],[Irms BuSync]]^2</f>
        <v>0.54803589364621363</v>
      </c>
      <c r="AN104"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0.54850285714285718</v>
      </c>
      <c r="AO104" s="354">
        <f>(Table2[[#This Row],[Deadtime Loss BuSync]]+Table2[[#This Row],[RDS(on) Loss BuSync]]*(1+RdsonBotTc*Ta-RdsonBotTc*25))/(1-Table2[[#This Row],[RDS(on) Loss BuSync]]*RdsonBotTc*ThetaJA_Q2)</f>
        <v>1.262607806158538</v>
      </c>
      <c r="AP104" s="354">
        <f>Table2[[#This Row],[Irms Lf]]</f>
        <v>11.422991577622378</v>
      </c>
      <c r="AQ104" s="354">
        <f>Rdson4*Table2[[#This Row],[Irms BoCtlr]]^2</f>
        <v>0.54803589364621363</v>
      </c>
      <c r="AR104" s="354">
        <f>CHOOSE(Table2[[#This Row],[Mode Digit]], 0, (Vout*Table2[[#This Row],[Iin]]/2)*(Fsw)*(Tr_boost+Tf_boost), (Vout*Iout/2)*(Fsw/1)*(Tr_boost+Tf_boost))</f>
        <v>0</v>
      </c>
      <c r="AS104" s="354">
        <f>IF(Table2[[#This Row],[Vin]]&gt;Vout, 0, IF(Table2[[#This Row],[Iin]]&gt;Table2[[#This Row],[Ripple Current pk-pk]]/2,0,ABS(Table2[[#This Row],[Iin]]-Table2[[#This Row],[Ripple Current pk-pk]]/2)*Vsd_Q4*Deadtime*Fsw))</f>
        <v>0</v>
      </c>
      <c r="AT104" s="354">
        <f>(Table2[[#This Row],[Dead Time Loss BoCtlr]]+Table2[[#This Row],[Transition Loss BoCtlr]]+Table2[[#This Row],[RDS(on) Loss BoCtlr]]*(1+RdsonTopTc*Ta-RdsonTopTc*25))/(1-Table2[[#This Row],[RDS(on) Loss BoCtlr]]*RdsonTopTc*ThetaJA_Q4)</f>
        <v>0.63103506089032269</v>
      </c>
      <c r="AU104" s="354">
        <f>Table2[[#This Row],[Irms Lf]]</f>
        <v>11.422991577622378</v>
      </c>
      <c r="AV104" s="354">
        <f>Rdson3*Table2[[#This Row],[Irms BoSync]]^2</f>
        <v>0.54803589364621363</v>
      </c>
      <c r="AW104"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04" s="354">
        <f>(Table2[[#This Row],[Deadtime Loss BoSync]]+Table2[[#This Row],[RDS(on) Loss BoSync]]*(1+RdsonBotTc*Ta-RdsonBotTc*25))/(1-Table2[[#This Row],[RDS(on) Loss BoSync]]*RdsonBotTc*ThetaJA_Q3)</f>
        <v>0.63103506089032269</v>
      </c>
      <c r="AY104" s="354">
        <f>CHOOSE(Table2[[#This Row],[Mode Digit]], Rdson3*Table2[[#This Row],[Irms Lf]]^2, Rdson1*Table2[[#This Row],[Irms Lf]]^2, 0)</f>
        <v>0.54803589364621363</v>
      </c>
      <c r="AZ104" s="354">
        <f>CHOOSE(Table2[[#This Row],[Mode Digit]], 2*Deadtime*Fsw*IF(VfdSky_Q2&gt;0,VfdSky_Q2,0)*Table2[[#This Row],[Iout]], 2*Deadtime*Fsw*IF(VfdSky_Q3&gt;0,VfdSky_Q3,0)*Table2[[#This Row],[Iin]], 2*Deadtime*Fsw*IF(VfdSky_Q2&gt;0,VfdSky_Q2,0)*Table2[[#This Row],[Iout]]+2*Deadtime*Fsw*IF(VfdSky_Q3&gt;0,VfdSky_Q3,0)*Table2[[#This Row],[Iin]])</f>
        <v>0</v>
      </c>
      <c r="BA10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0.22745416800000001</v>
      </c>
      <c r="BB10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0.22745416800000001</v>
      </c>
      <c r="BC104" s="354">
        <f>CHOOSE(Table2[[#This Row],[Mode Digit]], Rs*Table2[[#This Row],[Irms BuSync]]^2, Rs*Table2[[#This Row],[Irms BoCtlr]]^2, Rs*(Table2[[#This Row],[Irms BuSync]]^2+Table2[[#This Row],[Irms BoCtlr]]^2))</f>
        <v>0.32621184145607951</v>
      </c>
      <c r="BD104" s="354">
        <f t="shared" si="9"/>
        <v>1.44</v>
      </c>
      <c r="BE104" s="354">
        <f>IF(Vout&gt;8, Iq*Vout, Iq*Table2[[#This Row],[Vin]])</f>
        <v>4.3799999999999999E-2</v>
      </c>
      <c r="BF104" s="354">
        <f>CHOOSE(Table2[[#This Row],[Mode Digit]], (Qg_Q1+Qg_Q2)*Fsw, (Qg_Q3+Qg_Q4)*Fsw, (Qg_Q1+Qg_Q2+Qg_Q3+Qg_Q4)*Fsw)*IF(Vout&gt;8, Vout, Table2[[#This Row],[Vin]])</f>
        <v>0.47303999999999996</v>
      </c>
      <c r="BG104" s="354">
        <f t="shared" si="10"/>
        <v>0.45605042016806729</v>
      </c>
      <c r="BH104" s="354">
        <f>Table2[[#This Row],[IQ Loss]]+Table2[[#This Row],[Switching Current Loss]]</f>
        <v>0.51683999999999997</v>
      </c>
      <c r="BI104"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9.6236561409134964</v>
      </c>
      <c r="BJ104">
        <f>Vout*Table2[[#This Row],[Iout]]</f>
        <v>166.44</v>
      </c>
      <c r="BK104" s="550">
        <f>Table2[[#This Row],[Pout]]/(Table2[[#This Row],[Pout]]+Table2[[#This Row],[Total Loss]])</f>
        <v>0.94533990516923516</v>
      </c>
      <c r="BL104" s="559">
        <f>IF(Table2[[#This Row],[Vin]]&gt;Vout,ThetaJA_Q1*(Table2[[#This Row],[Total Control Bu MOSFET Loss]]+Table2[[#This Row],[Reverse Recovery Loss MOSFET D BUCK]]),ThetaJA_Q4*(Table2[[#This Row],[Total Control Bo MOSFET Loss]]+Table2[[#This Row],[Reverse Recovery Loss MOSFET D BOOST]]))</f>
        <v>207.71012446548184</v>
      </c>
      <c r="BM104" s="559">
        <f>IF(Table2[[#This Row],[Vin]]&gt;Vout, Table2[[#This Row],[Total Sync Bu MOSFET Loss]]*ThetaJA_Q2, ThetaJA_Q3*Table2[[#This Row],[Total Sync Bo MOSFET Loss]])</f>
        <v>75.756468369512277</v>
      </c>
      <c r="BN104" s="9"/>
      <c r="BO104" s="4">
        <f>Table2[[#This Row],[EFF, h]]*100</f>
        <v>94.53399051692351</v>
      </c>
      <c r="BP104" s="354">
        <f>Table2[[#This Row],[Total Inductor Loss]]</f>
        <v>1.0733150746214648</v>
      </c>
      <c r="BQ104" s="354">
        <f>Table2[[#This Row],[Total Control Bu MOSFET Loss]]+Table2[[#This Row],[Total Sync Bu MOSFET Loss]]+Table2[[#This Row],[Total Control Bo MOSFET Loss]]+Table2[[#This Row],[Total Sync Bo MOSFET Loss]]+Table2[[#This Row],[Reverse Recovery Loss MOSFET D BUCK]]+Table2[[#This Row],[Reverse Recovery Loss MOSFET D BOOST]]</f>
        <v>6.2139675036972148</v>
      </c>
      <c r="BR104" s="354">
        <f xml:space="preserve"> Table2[[#This Row],[Total Control Bu MOSFET Loss]]+Table2[[#This Row],[Reverse Recovery Loss MOSFET D BUCK]]*0.66</f>
        <v>3.3845009906380308</v>
      </c>
      <c r="BS104" s="354">
        <f>Table2[[#This Row],[Total Sync Bu MOSFET Loss]]+Table2[[#This Row],[Reverse Recovery Loss MOSFET D BUCK]]*0.33</f>
        <v>1.337667681598538</v>
      </c>
      <c r="BT104" s="354">
        <f xml:space="preserve"> Table2[[#This Row],[Total Control Bo MOSFET Loss]]+Table2[[#This Row],[Reverse Recovery Loss MOSFET D BOOST]]*0.66</f>
        <v>0.78115481177032264</v>
      </c>
      <c r="BU104" s="354">
        <f xml:space="preserve"> Table2[[#This Row],[Total Sync Bo MOSFET Loss]]+Table2[[#This Row],[Reverse Recovery Loss MOSFET D BOOST]]*0.33</f>
        <v>0.70609493633032272</v>
      </c>
      <c r="BV104" s="354">
        <f>Table2[[#This Row],[Isense Shunt Loss]]</f>
        <v>0.32621184145607951</v>
      </c>
      <c r="CB104" s="18"/>
      <c r="CC104" s="19"/>
    </row>
    <row r="105" spans="7:81" x14ac:dyDescent="0.2">
      <c r="G105">
        <v>96</v>
      </c>
      <c r="H105" s="555">
        <f t="shared" si="8"/>
        <v>20</v>
      </c>
      <c r="I105" s="4" t="str">
        <f>IF(Mode = 2,IF(Table2[[#This Row],[Vin]]&gt;Vout, "BUCK","BOOST"),IF(Table2[[#This Row],[Vin]]&gt;VIN_BB_to_buck, "BUCK", IF(Table2[[#This Row],[Vin]]&lt;=VIN_boost_to_BB,"BOOST","BUCK-BST")))</f>
        <v>BUCK</v>
      </c>
      <c r="J105">
        <f>IF(Table2[[#This Row],[Mode]]="BOOST",2, IF(Table2[[#This Row],[Mode]]="BUCK", 1,3))</f>
        <v>1</v>
      </c>
      <c r="K105" s="354">
        <f t="shared" si="11"/>
        <v>11.52</v>
      </c>
      <c r="L105" s="4">
        <f>Vout*Table2[[#This Row],[Iout]]/(Table2[[#This Row],[Vin]]*Efficiency)</f>
        <v>8.8522105263157886</v>
      </c>
      <c r="M105" s="711">
        <f>MIN(1/Fsw,CHOOSE(Table2[[#This Row],[Mode Digit]],(Vout+(Rdson2+Rs+Rdcr)*Table2[[#This Row],[Iout]])/(Table2[[#This Row],[Vin]]+(Rs+Rdson2-Rdson1)*Table2[[#This Row],[Iout]])/Fsw,(Vout+(Rdson3+Rdcr)*Table2[[#This Row],[Iin]]-Table2[[#This Row],[Vin]])/(Vout+(Rdson3-Rdson4-Rs)*Table2[[#This Row],[Iin]])/Fsw,t1_Ph_II))</f>
        <v>1.226899930766363E-6</v>
      </c>
      <c r="N105" s="602">
        <f>CHOOSE(Table2[[#This Row],[Mode Digit]],1/Fsw-Table2[[#This Row],[t1_Ph_II]],1/Fsw-Table2[[#This Row],[t1_Ph_II]],(Vout/Fsw-Table2[[#This Row],[Vin]]*t1_Ph_II)/(Table2[[#This Row],[Vin]]+Vout))</f>
        <v>4.3976673590030363E-7</v>
      </c>
      <c r="O105" s="602">
        <f>1/Fsw-(Table2[[#This Row],[t1_Ph_II]]+Table2[[#This Row],[t2_Ph_I]])</f>
        <v>0</v>
      </c>
      <c r="P105"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10.265215979898038</v>
      </c>
      <c r="Q105" s="4">
        <f>CHOOSE(Table2[[#This Row],[Mode Digit]],Table2[[#This Row],[I_0]]+1/Lf*(Table2[[#This Row],[Vin]]-Vout)*Table2[[#This Row],[t1_Ph_II]],Table2[[#This Row],[I_0]]+1/Lf*Table2[[#This Row],[Vin]]*Table2[[#This Row],[t1_Ph_II]],Table2[[#This Row],[I_0]]+(Table2[[#This Row],[Vin]]-Vout)/L*Table2[[#This Row],[t1_Ph_II]])</f>
        <v>12.774784020101961</v>
      </c>
      <c r="R105" s="4">
        <f>CHOOSE(Table2[[#This Row],[Mode Digit]],0,0,Table2[[#This Row],[I_1]]+Table2[[#This Row],[Vin]]/L*Table2[[#This Row],[t2_Ph_I]])</f>
        <v>0</v>
      </c>
      <c r="S105" s="409">
        <f>Fsw*(Table2[[#This Row],[I_0]]*Table2[[#This Row],[t1_Ph_II]]+Table2[[#This Row],[I_1]]*Table2[[#This Row],[t2_Ph_I]]+Table2[[#This Row],[I_2]]*Table2[[#This Row],[t3_Ph_III]])</f>
        <v>10.927390707234158</v>
      </c>
      <c r="T105" s="354">
        <f>MIN(1,CHOOSE(Table2[[#This Row],[Mode Digit]],(Vout+(Rdson2+Rs+Rdcr)*Table2[[#This Row],[Iout]])/(Table2[[#This Row],[Vin]]+(Rs+Rdson2-Rdson1)*Table2[[#This Row],[Iout]]),1,Fsw*Table2[[#This Row],[t2_Ph_I]]+Table2[[#This Row],[t1_Ph_II]]))</f>
        <v>0.73613995845981783</v>
      </c>
      <c r="U105" s="354">
        <f>MIN(1,CHOOSE(Table2[[#This Row],[Mode Digit]],0,(Vout+(Rdson3+Rdcr)*Table2[[#This Row],[Iin]]-Table2[[#This Row],[Vin]])/(Vout+(Rdson3-Rdson4-Rs)*Table2[[#This Row],[Iin]]),Fsw*Table2[[#This Row],[t1_Ph_II]]+Table2[[#This Row],[t3_Ph_III]]))</f>
        <v>0</v>
      </c>
      <c r="V105" s="4">
        <f>MAX(Table2[[#This Row],[I_0]:[I_2]])-MIN(Table2[[#This Row],[I_0]:[I_1]])</f>
        <v>2.5095680402039235</v>
      </c>
      <c r="W105"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11.542756501187274</v>
      </c>
      <c r="X105" s="354">
        <f>(Table2[[#This Row],[Irms Lf]]^2*Rdcr*(1+Ltc*Ta-Ltc*25))/(1-Table2[[#This Row],[Irms Lf]]^2*Rdcr*Ltc*ThetaCa)</f>
        <v>0.82368550169681176</v>
      </c>
      <c r="Y105" s="354">
        <f>ABS(7.759*10^-3*Fsw^0.9458*(0.00787*Table2[[#This Row],[Ripple Current pk-pk]])^2.304)</f>
        <v>0.26778301438282481</v>
      </c>
      <c r="Z105" s="354">
        <f>Table2[[#This Row],[DCR    Loss]]+Table2[[#This Row],[Core Loss]]</f>
        <v>1.0914685160796367</v>
      </c>
      <c r="AA105" s="4">
        <f>IF(Table2[[#This Row],[Vin]]&gt;Vout, Table2[[#This Row],[Ripple Current pk-pk]]/SQRT(12), SQRT(Table2[[#This Row],[Duty Cycle BOOST Leg]]/(1-Table2[[#This Row],[Duty Cycle BOOST Leg]]))*SQRT(Table2[[#This Row],[Iout]]^2+(Table2[[#This Row],[Ripple Current pk-pk]]^2)/12))</f>
        <v>0.72444989178070851</v>
      </c>
      <c r="AB105" s="354">
        <f>RCoutEsr*Table2[[#This Row],[Irms Cout]]^2</f>
        <v>2.6241382285054015E-3</v>
      </c>
      <c r="AC105" s="354">
        <f>Table2[[#This Row],[Cout ESR Loss]]</f>
        <v>2.6241382285054015E-3</v>
      </c>
      <c r="AD105" s="4">
        <f>IF(Table2[[#This Row],[Vin]]&gt;Vout, SQRT(Table2[[#This Row],[Duty Cycle BUCK Leg]]*(1-Table2[[#This Row],[Duty Cycle BUCK Leg]]))*SQRT(Table2[[#This Row],[Iout]]^2+(Table2[[#This Row],[Ripple Current pk-pk]]^2)/12), Table2[[#This Row],[Ripple Current pk-pk]]/SQRT(12))</f>
        <v>5.0871734284477705</v>
      </c>
      <c r="AE105" s="354">
        <f>RCinEsr*Table2[[#This Row],[Irms Cin]]^2</f>
        <v>5.1758666982210086E-2</v>
      </c>
      <c r="AF105" s="549">
        <f>Table2[[#This Row],[Cin ESR Loss]]</f>
        <v>5.1758666982210086E-2</v>
      </c>
      <c r="AG105" s="354">
        <f>Table2[[#This Row],[Irms Lf]]</f>
        <v>11.542756501187274</v>
      </c>
      <c r="AH105" s="354">
        <f>Rdson1*Table2[[#This Row],[Irms BuCtrl]]^2</f>
        <v>0.55958795611194456</v>
      </c>
      <c r="AI105" s="354">
        <f>CHOOSE(Table2[[#This Row],[Mode Digit]], (Table2[[#This Row],[Vin]]*Table2[[#This Row],[Iout]]/2)*(Fsw)*(Tr_buck+Tf_buck), 0, (Table2[[#This Row],[Vin]]*Table2[[#This Row],[Avg IL]]/2)*(Fsw/1)*(Tr_buck+Tf_buck))</f>
        <v>2.2847309436249752</v>
      </c>
      <c r="AJ105">
        <f>IF(Table2[[#This Row],[Vin]]&gt;Vout, IF(Table2[[#This Row],[Iout]]&gt;Table2[[#This Row],[Ripple Current pk-pk]]/2,0,ABS(Table2[[#This Row],[Iout]]-Table2[[#This Row],[Ripple Current pk-pk]]/2)*Vsd_Q1*Deadtime*Fsw),0)</f>
        <v>0</v>
      </c>
      <c r="AK105" s="354">
        <f>(Table2[[#This Row],[Dead Time Loss BuCtrl]]+Table2[[#This Row],[Transition Loss BuCtrl]]+Table2[[#This Row],[RDS(on) Loss BuCtrl]]*(1+RdsonTopTc*Ta-RdsonTopTc*25))/(1-Table2[[#This Row],[RDS(on) Loss BuCtrl]]*RdsonTopTc*ThetaJA_Q1)</f>
        <v>3.2855753089683071</v>
      </c>
      <c r="AL105" s="354">
        <f>Table2[[#This Row],[Irms Lf]]</f>
        <v>11.542756501187274</v>
      </c>
      <c r="AM105" s="354">
        <f>Rdson2*Table2[[#This Row],[Irms BuSync]]^2</f>
        <v>0.55958795611194456</v>
      </c>
      <c r="AN105"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0.55427657142857145</v>
      </c>
      <c r="AO105" s="354">
        <f>(Table2[[#This Row],[Deadtime Loss BuSync]]+Table2[[#This Row],[RDS(on) Loss BuSync]]*(1+RdsonBotTc*Ta-RdsonBotTc*25))/(1-Table2[[#This Row],[RDS(on) Loss BuSync]]*RdsonBotTc*ThetaJA_Q2)</f>
        <v>1.2866650745671535</v>
      </c>
      <c r="AP105" s="354">
        <f>Table2[[#This Row],[Irms Lf]]</f>
        <v>11.542756501187274</v>
      </c>
      <c r="AQ105" s="354">
        <f>Rdson4*Table2[[#This Row],[Irms BoCtlr]]^2</f>
        <v>0.55958795611194456</v>
      </c>
      <c r="AR105" s="354">
        <f>CHOOSE(Table2[[#This Row],[Mode Digit]], 0, (Vout*Table2[[#This Row],[Iin]]/2)*(Fsw)*(Tr_boost+Tf_boost), (Vout*Iout/2)*(Fsw/1)*(Tr_boost+Tf_boost))</f>
        <v>0</v>
      </c>
      <c r="AS105" s="354">
        <f>IF(Table2[[#This Row],[Vin]]&gt;Vout, 0, IF(Table2[[#This Row],[Iin]]&gt;Table2[[#This Row],[Ripple Current pk-pk]]/2,0,ABS(Table2[[#This Row],[Iin]]-Table2[[#This Row],[Ripple Current pk-pk]]/2)*Vsd_Q4*Deadtime*Fsw))</f>
        <v>0</v>
      </c>
      <c r="AT105" s="354">
        <f>(Table2[[#This Row],[Dead Time Loss BoCtlr]]+Table2[[#This Row],[Transition Loss BoCtlr]]+Table2[[#This Row],[RDS(on) Loss BoCtlr]]*(1+RdsonTopTc*Ta-RdsonTopTc*25))/(1-Table2[[#This Row],[RDS(on) Loss BoCtlr]]*RdsonTopTc*ThetaJA_Q4)</f>
        <v>0.64640022325467816</v>
      </c>
      <c r="AU105" s="354">
        <f>Table2[[#This Row],[Irms Lf]]</f>
        <v>11.542756501187274</v>
      </c>
      <c r="AV105" s="354">
        <f>Rdson3*Table2[[#This Row],[Irms BoSync]]^2</f>
        <v>0.55958795611194456</v>
      </c>
      <c r="AW105"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05" s="354">
        <f>(Table2[[#This Row],[Deadtime Loss BoSync]]+Table2[[#This Row],[RDS(on) Loss BoSync]]*(1+RdsonBotTc*Ta-RdsonBotTc*25))/(1-Table2[[#This Row],[RDS(on) Loss BoSync]]*RdsonBotTc*ThetaJA_Q3)</f>
        <v>0.64640022325467816</v>
      </c>
      <c r="AY105" s="354">
        <f>CHOOSE(Table2[[#This Row],[Mode Digit]], Rdson3*Table2[[#This Row],[Irms Lf]]^2, Rdson1*Table2[[#This Row],[Irms Lf]]^2, 0)</f>
        <v>0.55958795611194456</v>
      </c>
      <c r="AZ105" s="354">
        <f>CHOOSE(Table2[[#This Row],[Mode Digit]], 2*Deadtime*Fsw*IF(VfdSky_Q2&gt;0,VfdSky_Q2,0)*Table2[[#This Row],[Iout]], 2*Deadtime*Fsw*IF(VfdSky_Q3&gt;0,VfdSky_Q3,0)*Table2[[#This Row],[Iin]], 2*Deadtime*Fsw*IF(VfdSky_Q2&gt;0,VfdSky_Q2,0)*Table2[[#This Row],[Iout]]+2*Deadtime*Fsw*IF(VfdSky_Q3&gt;0,VfdSky_Q3,0)*Table2[[#This Row],[Iin]])</f>
        <v>0</v>
      </c>
      <c r="BA10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0.22984261632000003</v>
      </c>
      <c r="BB10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0.22984261632000003</v>
      </c>
      <c r="BC105" s="354">
        <f>CHOOSE(Table2[[#This Row],[Mode Digit]], Rs*Table2[[#This Row],[Irms BuSync]]^2, Rs*Table2[[#This Row],[Irms BoCtlr]]^2, Rs*(Table2[[#This Row],[Irms BuSync]]^2+Table2[[#This Row],[Irms BoCtlr]]^2))</f>
        <v>0.33308806911425265</v>
      </c>
      <c r="BD105" s="354">
        <f t="shared" si="9"/>
        <v>1.44</v>
      </c>
      <c r="BE105" s="354">
        <f>IF(Vout&gt;8, Iq*Vout, Iq*Table2[[#This Row],[Vin]])</f>
        <v>4.3799999999999999E-2</v>
      </c>
      <c r="BF105" s="354">
        <f>CHOOSE(Table2[[#This Row],[Mode Digit]], (Qg_Q1+Qg_Q2)*Fsw, (Qg_Q3+Qg_Q4)*Fsw, (Qg_Q1+Qg_Q2+Qg_Q3+Qg_Q4)*Fsw)*IF(Vout&gt;8, Vout, Table2[[#This Row],[Vin]])</f>
        <v>0.47303999999999996</v>
      </c>
      <c r="BG105" s="354">
        <f t="shared" si="10"/>
        <v>0.45605042016806729</v>
      </c>
      <c r="BH105" s="354">
        <f>Table2[[#This Row],[IQ Loss]]+Table2[[#This Row],[Switching Current Loss]]</f>
        <v>0.51683999999999997</v>
      </c>
      <c r="BI105"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9.7605054530894222</v>
      </c>
      <c r="BJ105">
        <f>Vout*Table2[[#This Row],[Iout]]</f>
        <v>168.19199999999998</v>
      </c>
      <c r="BK105" s="550">
        <f>Table2[[#This Row],[Pout]]/(Table2[[#This Row],[Pout]]+Table2[[#This Row],[Total Loss]])</f>
        <v>0.94515106472798482</v>
      </c>
      <c r="BL105" s="559">
        <f>IF(Table2[[#This Row],[Vin]]&gt;Vout,ThetaJA_Q1*(Table2[[#This Row],[Total Control Bu MOSFET Loss]]+Table2[[#This Row],[Reverse Recovery Loss MOSFET D BUCK]]),ThetaJA_Q4*(Table2[[#This Row],[Total Control Bo MOSFET Loss]]+Table2[[#This Row],[Reverse Recovery Loss MOSFET D BOOST]]))</f>
        <v>210.92507551729844</v>
      </c>
      <c r="BM105" s="559">
        <f>IF(Table2[[#This Row],[Vin]]&gt;Vout, Table2[[#This Row],[Total Sync Bu MOSFET Loss]]*ThetaJA_Q2, ThetaJA_Q3*Table2[[#This Row],[Total Sync Bo MOSFET Loss]])</f>
        <v>77.199904474029211</v>
      </c>
      <c r="BN105" s="9"/>
      <c r="BO105" s="4">
        <f>Table2[[#This Row],[EFF, h]]*100</f>
        <v>94.515106472798479</v>
      </c>
      <c r="BP105" s="354">
        <f>Table2[[#This Row],[Total Inductor Loss]]</f>
        <v>1.0914685160796367</v>
      </c>
      <c r="BQ105" s="354">
        <f>Table2[[#This Row],[Total Control Bu MOSFET Loss]]+Table2[[#This Row],[Total Sync Bu MOSFET Loss]]+Table2[[#This Row],[Total Control Bo MOSFET Loss]]+Table2[[#This Row],[Total Sync Bo MOSFET Loss]]+Table2[[#This Row],[Reverse Recovery Loss MOSFET D BUCK]]+Table2[[#This Row],[Reverse Recovery Loss MOSFET D BOOST]]</f>
        <v>6.3247260626848174</v>
      </c>
      <c r="BR105" s="354">
        <f xml:space="preserve"> Table2[[#This Row],[Total Control Bu MOSFET Loss]]+Table2[[#This Row],[Reverse Recovery Loss MOSFET D BUCK]]*0.66</f>
        <v>3.4372714357395071</v>
      </c>
      <c r="BS105" s="354">
        <f>Table2[[#This Row],[Total Sync Bu MOSFET Loss]]+Table2[[#This Row],[Reverse Recovery Loss MOSFET D BUCK]]*0.33</f>
        <v>1.3625131379527535</v>
      </c>
      <c r="BT105" s="354">
        <f xml:space="preserve"> Table2[[#This Row],[Total Control Bo MOSFET Loss]]+Table2[[#This Row],[Reverse Recovery Loss MOSFET D BOOST]]*0.66</f>
        <v>0.7980963500258782</v>
      </c>
      <c r="BU105" s="354">
        <f xml:space="preserve"> Table2[[#This Row],[Total Sync Bo MOSFET Loss]]+Table2[[#This Row],[Reverse Recovery Loss MOSFET D BOOST]]*0.33</f>
        <v>0.72224828664027818</v>
      </c>
      <c r="BV105" s="354">
        <f>Table2[[#This Row],[Isense Shunt Loss]]</f>
        <v>0.33308806911425265</v>
      </c>
      <c r="CB105" s="18"/>
      <c r="CC105" s="19"/>
    </row>
    <row r="106" spans="7:81" x14ac:dyDescent="0.2">
      <c r="G106">
        <v>97</v>
      </c>
      <c r="H106" s="555">
        <f t="shared" si="8"/>
        <v>20</v>
      </c>
      <c r="I106" s="4" t="str">
        <f>IF(Mode = 2,IF(Table2[[#This Row],[Vin]]&gt;Vout, "BUCK","BOOST"),IF(Table2[[#This Row],[Vin]]&gt;VIN_BB_to_buck, "BUCK", IF(Table2[[#This Row],[Vin]]&lt;=VIN_boost_to_BB,"BOOST","BUCK-BST")))</f>
        <v>BUCK</v>
      </c>
      <c r="J106">
        <f>IF(Table2[[#This Row],[Mode]]="BOOST",2, IF(Table2[[#This Row],[Mode]]="BUCK", 1,3))</f>
        <v>1</v>
      </c>
      <c r="K106" s="354">
        <f t="shared" si="11"/>
        <v>11.64</v>
      </c>
      <c r="L106" s="4">
        <f>Vout*Table2[[#This Row],[Iout]]/(Table2[[#This Row],[Vin]]*Efficiency)</f>
        <v>8.9444210526315793</v>
      </c>
      <c r="M106" s="711">
        <f>MIN(1/Fsw,CHOOSE(Table2[[#This Row],[Mode Digit]],(Vout+(Rdson2+Rs+Rdcr)*Table2[[#This Row],[Iout]])/(Table2[[#This Row],[Vin]]+(Rs+Rdson2-Rdson1)*Table2[[#This Row],[Iout]])/Fsw,(Vout+(Rdson3+Rdcr)*Table2[[#This Row],[Iin]]-Table2[[#This Row],[Vin]])/(Vout+(Rdson3-Rdson4-Rs)*Table2[[#This Row],[Iin]])/Fsw,t1_Ph_II))</f>
        <v>1.2270063723948322E-6</v>
      </c>
      <c r="N106" s="602">
        <f>CHOOSE(Table2[[#This Row],[Mode Digit]],1/Fsw-Table2[[#This Row],[t1_Ph_II]],1/Fsw-Table2[[#This Row],[t1_Ph_II]],(Vout/Fsw-Table2[[#This Row],[Vin]]*t1_Ph_II)/(Table2[[#This Row],[Vin]]+Vout))</f>
        <v>4.3966029427183443E-7</v>
      </c>
      <c r="O106" s="602">
        <f>1/Fsw-(Table2[[#This Row],[t1_Ph_II]]+Table2[[#This Row],[t2_Ph_I]])</f>
        <v>0</v>
      </c>
      <c r="P106"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10.385107119141649</v>
      </c>
      <c r="Q106" s="4">
        <f>CHOOSE(Table2[[#This Row],[Mode Digit]],Table2[[#This Row],[I_0]]+1/Lf*(Table2[[#This Row],[Vin]]-Vout)*Table2[[#This Row],[t1_Ph_II]],Table2[[#This Row],[I_0]]+1/Lf*Table2[[#This Row],[Vin]]*Table2[[#This Row],[t1_Ph_II]],Table2[[#This Row],[I_0]]+(Table2[[#This Row],[Vin]]-Vout)/L*Table2[[#This Row],[t1_Ph_II]])</f>
        <v>12.894892880858352</v>
      </c>
      <c r="R106" s="4">
        <f>CHOOSE(Table2[[#This Row],[Mode Digit]],0,0,Table2[[#This Row],[I_1]]+Table2[[#This Row],[Vin]]/L*Table2[[#This Row],[t2_Ph_I]])</f>
        <v>0</v>
      </c>
      <c r="S106" s="409">
        <f>Fsw*(Table2[[#This Row],[I_0]]*Table2[[#This Row],[t1_Ph_II]]+Table2[[#This Row],[I_1]]*Table2[[#This Row],[t2_Ph_I]]+Table2[[#This Row],[I_2]]*Table2[[#This Row],[t3_Ph_III]])</f>
        <v>11.047179007075025</v>
      </c>
      <c r="T106" s="354">
        <f>MIN(1,CHOOSE(Table2[[#This Row],[Mode Digit]],(Vout+(Rdson2+Rs+Rdcr)*Table2[[#This Row],[Iout]])/(Table2[[#This Row],[Vin]]+(Rs+Rdson2-Rdson1)*Table2[[#This Row],[Iout]]),1,Fsw*Table2[[#This Row],[t2_Ph_I]]+Table2[[#This Row],[t1_Ph_II]]))</f>
        <v>0.73620382343689927</v>
      </c>
      <c r="U106" s="354">
        <f>MIN(1,CHOOSE(Table2[[#This Row],[Mode Digit]],0,(Vout+(Rdson3+Rdcr)*Table2[[#This Row],[Iin]]-Table2[[#This Row],[Vin]])/(Vout+(Rdson3-Rdson4-Rs)*Table2[[#This Row],[Iin]]),Fsw*Table2[[#This Row],[t1_Ph_II]]+Table2[[#This Row],[t3_Ph_III]]))</f>
        <v>0</v>
      </c>
      <c r="V106" s="4">
        <f>MAX(Table2[[#This Row],[I_0]:[I_2]])-MIN(Table2[[#This Row],[I_0]:[I_1]])</f>
        <v>2.509785761716703</v>
      </c>
      <c r="W106"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11.662526257811512</v>
      </c>
      <c r="X106" s="354">
        <f>(Table2[[#This Row],[Irms Lf]]^2*Rdcr*(1+Ltc*Ta-Ltc*25))/(1-Table2[[#This Row],[Irms Lf]]^2*Rdcr*Ltc*ThetaCa)</f>
        <v>0.84202502838952109</v>
      </c>
      <c r="Y106" s="354">
        <f>ABS(7.759*10^-3*Fsw^0.9458*(0.00787*Table2[[#This Row],[Ripple Current pk-pk]])^2.304)</f>
        <v>0.26783654379011168</v>
      </c>
      <c r="Z106" s="354">
        <f>Table2[[#This Row],[DCR    Loss]]+Table2[[#This Row],[Core Loss]]</f>
        <v>1.1098615721796328</v>
      </c>
      <c r="AA106" s="4">
        <f>IF(Table2[[#This Row],[Vin]]&gt;Vout, Table2[[#This Row],[Ripple Current pk-pk]]/SQRT(12), SQRT(Table2[[#This Row],[Duty Cycle BOOST Leg]]/(1-Table2[[#This Row],[Duty Cycle BOOST Leg]]))*SQRT(Table2[[#This Row],[Iout]]^2+(Table2[[#This Row],[Ripple Current pk-pk]]^2)/12))</f>
        <v>0.72451274256771425</v>
      </c>
      <c r="AB106" s="354">
        <f>RCoutEsr*Table2[[#This Row],[Irms Cout]]^2</f>
        <v>2.624593570714955E-3</v>
      </c>
      <c r="AC106" s="354">
        <f>Table2[[#This Row],[Cout ESR Loss]]</f>
        <v>2.624593570714955E-3</v>
      </c>
      <c r="AD106" s="4">
        <f>IF(Table2[[#This Row],[Vin]]&gt;Vout, SQRT(Table2[[#This Row],[Duty Cycle BUCK Leg]]*(1-Table2[[#This Row],[Duty Cycle BUCK Leg]]))*SQRT(Table2[[#This Row],[Iout]]^2+(Table2[[#This Row],[Ripple Current pk-pk]]^2)/12), Table2[[#This Row],[Ripple Current pk-pk]]/SQRT(12))</f>
        <v>5.1395597246084357</v>
      </c>
      <c r="AE106" s="354">
        <f>RCinEsr*Table2[[#This Row],[Irms Cin]]^2</f>
        <v>5.2830148325634277E-2</v>
      </c>
      <c r="AF106" s="549">
        <f>Table2[[#This Row],[Cin ESR Loss]]</f>
        <v>5.2830148325634277E-2</v>
      </c>
      <c r="AG106" s="354">
        <f>Table2[[#This Row],[Irms Lf]]</f>
        <v>11.662526257811512</v>
      </c>
      <c r="AH106" s="354">
        <f>Rdson1*Table2[[#This Row],[Irms BuCtrl]]^2</f>
        <v>0.57126097859940073</v>
      </c>
      <c r="AI106" s="354">
        <f>CHOOSE(Table2[[#This Row],[Mode Digit]], (Table2[[#This Row],[Vin]]*Table2[[#This Row],[Iout]]/2)*(Fsw)*(Tr_buck+Tf_buck), 0, (Table2[[#This Row],[Vin]]*Table2[[#This Row],[Avg IL]]/2)*(Fsw/1)*(Tr_buck+Tf_buck))</f>
        <v>2.3085302242877352</v>
      </c>
      <c r="AJ106">
        <f>IF(Table2[[#This Row],[Vin]]&gt;Vout, IF(Table2[[#This Row],[Iout]]&gt;Table2[[#This Row],[Ripple Current pk-pk]]/2,0,ABS(Table2[[#This Row],[Iout]]-Table2[[#This Row],[Ripple Current pk-pk]]/2)*Vsd_Q1*Deadtime*Fsw),0)</f>
        <v>0</v>
      </c>
      <c r="AK106" s="354">
        <f>(Table2[[#This Row],[Dead Time Loss BuCtrl]]+Table2[[#This Row],[Transition Loss BuCtrl]]+Table2[[#This Row],[RDS(on) Loss BuCtrl]]*(1+RdsonTopTc*Ta-RdsonTopTc*25))/(1-Table2[[#This Row],[RDS(on) Loss BuCtrl]]*RdsonTopTc*ThetaJA_Q1)</f>
        <v>3.3373507896072625</v>
      </c>
      <c r="AL106" s="354">
        <f>Table2[[#This Row],[Irms Lf]]</f>
        <v>11.662526257811512</v>
      </c>
      <c r="AM106" s="354">
        <f>Rdson2*Table2[[#This Row],[Irms BuSync]]^2</f>
        <v>0.57126097859940073</v>
      </c>
      <c r="AN106"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0.56005028571428572</v>
      </c>
      <c r="AO106" s="354">
        <f>(Table2[[#This Row],[Deadtime Loss BuSync]]+Table2[[#This Row],[RDS(on) Loss BuSync]]*(1+RdsonBotTc*Ta-RdsonBotTc*25))/(1-Table2[[#This Row],[RDS(on) Loss BuSync]]*RdsonBotTc*ThetaJA_Q2)</f>
        <v>1.3110612107793302</v>
      </c>
      <c r="AP106" s="354">
        <f>Table2[[#This Row],[Irms Lf]]</f>
        <v>11.662526257811512</v>
      </c>
      <c r="AQ106" s="354">
        <f>Rdson4*Table2[[#This Row],[Irms BoCtlr]]^2</f>
        <v>0.57126097859940073</v>
      </c>
      <c r="AR106" s="354">
        <f>CHOOSE(Table2[[#This Row],[Mode Digit]], 0, (Vout*Table2[[#This Row],[Iin]]/2)*(Fsw)*(Tr_boost+Tf_boost), (Vout*Iout/2)*(Fsw/1)*(Tr_boost+Tf_boost))</f>
        <v>0</v>
      </c>
      <c r="AS106" s="354">
        <f>IF(Table2[[#This Row],[Vin]]&gt;Vout, 0, IF(Table2[[#This Row],[Iin]]&gt;Table2[[#This Row],[Ripple Current pk-pk]]/2,0,ABS(Table2[[#This Row],[Iin]]-Table2[[#This Row],[Ripple Current pk-pk]]/2)*Vsd_Q4*Deadtime*Fsw))</f>
        <v>0</v>
      </c>
      <c r="AT106" s="354">
        <f>(Table2[[#This Row],[Dead Time Loss BoCtlr]]+Table2[[#This Row],[Transition Loss BoCtlr]]+Table2[[#This Row],[RDS(on) Loss BoCtlr]]*(1+RdsonTopTc*Ta-RdsonTopTc*25))/(1-Table2[[#This Row],[RDS(on) Loss BoCtlr]]*RdsonTopTc*ThetaJA_Q4)</f>
        <v>0.6620265650124797</v>
      </c>
      <c r="AU106" s="354">
        <f>Table2[[#This Row],[Irms Lf]]</f>
        <v>11.662526257811512</v>
      </c>
      <c r="AV106" s="354">
        <f>Rdson3*Table2[[#This Row],[Irms BoSync]]^2</f>
        <v>0.57126097859940073</v>
      </c>
      <c r="AW106"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06" s="354">
        <f>(Table2[[#This Row],[Deadtime Loss BoSync]]+Table2[[#This Row],[RDS(on) Loss BoSync]]*(1+RdsonBotTc*Ta-RdsonBotTc*25))/(1-Table2[[#This Row],[RDS(on) Loss BoSync]]*RdsonBotTc*ThetaJA_Q3)</f>
        <v>0.6620265650124797</v>
      </c>
      <c r="AY106" s="354">
        <f>CHOOSE(Table2[[#This Row],[Mode Digit]], Rdson3*Table2[[#This Row],[Irms Lf]]^2, Rdson1*Table2[[#This Row],[Irms Lf]]^2, 0)</f>
        <v>0.57126097859940073</v>
      </c>
      <c r="AZ106" s="354">
        <f>CHOOSE(Table2[[#This Row],[Mode Digit]], 2*Deadtime*Fsw*IF(VfdSky_Q2&gt;0,VfdSky_Q2,0)*Table2[[#This Row],[Iout]], 2*Deadtime*Fsw*IF(VfdSky_Q3&gt;0,VfdSky_Q3,0)*Table2[[#This Row],[Iin]], 2*Deadtime*Fsw*IF(VfdSky_Q2&gt;0,VfdSky_Q2,0)*Table2[[#This Row],[Iout]]+2*Deadtime*Fsw*IF(VfdSky_Q3&gt;0,VfdSky_Q3,0)*Table2[[#This Row],[Iin]])</f>
        <v>0</v>
      </c>
      <c r="BA10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0.23223094368</v>
      </c>
      <c r="BB10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0.23223094368</v>
      </c>
      <c r="BC106" s="354">
        <f>CHOOSE(Table2[[#This Row],[Mode Digit]], Rs*Table2[[#This Row],[Irms BuSync]]^2, Rs*Table2[[#This Row],[Irms BoCtlr]]^2, Rs*(Table2[[#This Row],[Irms BuSync]]^2+Table2[[#This Row],[Irms BoCtlr]]^2))</f>
        <v>0.34003629678535752</v>
      </c>
      <c r="BD106" s="354">
        <f t="shared" si="9"/>
        <v>1.44</v>
      </c>
      <c r="BE106" s="354">
        <f>IF(Vout&gt;8, Iq*Vout, Iq*Table2[[#This Row],[Vin]])</f>
        <v>4.3799999999999999E-2</v>
      </c>
      <c r="BF106" s="354">
        <f>CHOOSE(Table2[[#This Row],[Mode Digit]], (Qg_Q1+Qg_Q2)*Fsw, (Qg_Q3+Qg_Q4)*Fsw, (Qg_Q1+Qg_Q2+Qg_Q3+Qg_Q4)*Fsw)*IF(Vout&gt;8, Vout, Table2[[#This Row],[Vin]])</f>
        <v>0.47303999999999996</v>
      </c>
      <c r="BG106" s="354">
        <f t="shared" si="10"/>
        <v>0.45605042016806729</v>
      </c>
      <c r="BH106" s="354">
        <f>Table2[[#This Row],[IQ Loss]]+Table2[[#This Row],[Switching Current Loss]]</f>
        <v>0.51683999999999997</v>
      </c>
      <c r="BI106"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9.8991196286328904</v>
      </c>
      <c r="BJ106">
        <f>Vout*Table2[[#This Row],[Iout]]</f>
        <v>169.94400000000002</v>
      </c>
      <c r="BK106" s="550">
        <f>Table2[[#This Row],[Pout]]/(Table2[[#This Row],[Pout]]+Table2[[#This Row],[Total Loss]])</f>
        <v>0.94495691773433377</v>
      </c>
      <c r="BL106" s="559">
        <f>IF(Table2[[#This Row],[Vin]]&gt;Vout,ThetaJA_Q1*(Table2[[#This Row],[Total Control Bu MOSFET Loss]]+Table2[[#This Row],[Reverse Recovery Loss MOSFET D BUCK]]),ThetaJA_Q4*(Table2[[#This Row],[Total Control Bo MOSFET Loss]]+Table2[[#This Row],[Reverse Recovery Loss MOSFET D BOOST]]))</f>
        <v>214.17490399723573</v>
      </c>
      <c r="BM106" s="559">
        <f>IF(Table2[[#This Row],[Vin]]&gt;Vout, Table2[[#This Row],[Total Sync Bu MOSFET Loss]]*ThetaJA_Q2, ThetaJA_Q3*Table2[[#This Row],[Total Sync Bo MOSFET Loss]])</f>
        <v>78.663672646759821</v>
      </c>
      <c r="BN106" s="9"/>
      <c r="BO106" s="4">
        <f>Table2[[#This Row],[EFF, h]]*100</f>
        <v>94.495691773433379</v>
      </c>
      <c r="BP106" s="354">
        <f>Table2[[#This Row],[Total Inductor Loss]]</f>
        <v>1.1098615721796328</v>
      </c>
      <c r="BQ106" s="354">
        <f>Table2[[#This Row],[Total Control Bu MOSFET Loss]]+Table2[[#This Row],[Total Sync Bu MOSFET Loss]]+Table2[[#This Row],[Total Control Bo MOSFET Loss]]+Table2[[#This Row],[Total Sync Bo MOSFET Loss]]+Table2[[#This Row],[Reverse Recovery Loss MOSFET D BUCK]]+Table2[[#This Row],[Reverse Recovery Loss MOSFET D BOOST]]</f>
        <v>6.4369270177715521</v>
      </c>
      <c r="BR106" s="354">
        <f xml:space="preserve"> Table2[[#This Row],[Total Control Bu MOSFET Loss]]+Table2[[#This Row],[Reverse Recovery Loss MOSFET D BUCK]]*0.66</f>
        <v>3.4906232124360623</v>
      </c>
      <c r="BS106" s="354">
        <f>Table2[[#This Row],[Total Sync Bu MOSFET Loss]]+Table2[[#This Row],[Reverse Recovery Loss MOSFET D BUCK]]*0.33</f>
        <v>1.3876974221937302</v>
      </c>
      <c r="BT106" s="354">
        <f xml:space="preserve"> Table2[[#This Row],[Total Control Bo MOSFET Loss]]+Table2[[#This Row],[Reverse Recovery Loss MOSFET D BOOST]]*0.66</f>
        <v>0.81529898784127974</v>
      </c>
      <c r="BU106" s="354">
        <f xml:space="preserve"> Table2[[#This Row],[Total Sync Bo MOSFET Loss]]+Table2[[#This Row],[Reverse Recovery Loss MOSFET D BOOST]]*0.33</f>
        <v>0.73866277642687972</v>
      </c>
      <c r="BV106" s="354">
        <f>Table2[[#This Row],[Isense Shunt Loss]]</f>
        <v>0.34003629678535752</v>
      </c>
      <c r="CB106" s="18"/>
      <c r="CC106" s="19"/>
    </row>
    <row r="107" spans="7:81" x14ac:dyDescent="0.2">
      <c r="G107">
        <v>98</v>
      </c>
      <c r="H107" s="555">
        <f t="shared" si="8"/>
        <v>20</v>
      </c>
      <c r="I107" s="4" t="str">
        <f>IF(Mode = 2,IF(Table2[[#This Row],[Vin]]&gt;Vout, "BUCK","BOOST"),IF(Table2[[#This Row],[Vin]]&gt;VIN_BB_to_buck, "BUCK", IF(Table2[[#This Row],[Vin]]&lt;=VIN_boost_to_BB,"BOOST","BUCK-BST")))</f>
        <v>BUCK</v>
      </c>
      <c r="J107">
        <f>IF(Table2[[#This Row],[Mode]]="BOOST",2, IF(Table2[[#This Row],[Mode]]="BUCK", 1,3))</f>
        <v>1</v>
      </c>
      <c r="K107" s="354">
        <f t="shared" si="11"/>
        <v>11.76</v>
      </c>
      <c r="L107" s="4">
        <f>Vout*Table2[[#This Row],[Iout]]/(Table2[[#This Row],[Vin]]*Efficiency)</f>
        <v>9.0366315789473681</v>
      </c>
      <c r="M107" s="711">
        <f>MIN(1/Fsw,CHOOSE(Table2[[#This Row],[Mode Digit]],(Vout+(Rdson2+Rs+Rdcr)*Table2[[#This Row],[Iout]])/(Table2[[#This Row],[Vin]]+(Rs+Rdson2-Rdson1)*Table2[[#This Row],[Iout]])/Fsw,(Vout+(Rdson3+Rdcr)*Table2[[#This Row],[Iin]]-Table2[[#This Row],[Vin]])/(Vout+(Rdson3-Rdson4-Rs)*Table2[[#This Row],[Iin]])/Fsw,t1_Ph_II))</f>
        <v>1.2271128108347397E-6</v>
      </c>
      <c r="N107" s="602">
        <f>CHOOSE(Table2[[#This Row],[Mode Digit]],1/Fsw-Table2[[#This Row],[t1_Ph_II]],1/Fsw-Table2[[#This Row],[t1_Ph_II]],(Vout/Fsw-Table2[[#This Row],[Vin]]*t1_Ph_II)/(Table2[[#This Row],[Vin]]+Vout))</f>
        <v>4.3955385583192696E-7</v>
      </c>
      <c r="O107" s="602">
        <f>1/Fsw-(Table2[[#This Row],[t1_Ph_II]]+Table2[[#This Row],[t2_Ph_I]])</f>
        <v>0</v>
      </c>
      <c r="P107"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10.504998261646289</v>
      </c>
      <c r="Q107" s="4">
        <f>CHOOSE(Table2[[#This Row],[Mode Digit]],Table2[[#This Row],[I_0]]+1/Lf*(Table2[[#This Row],[Vin]]-Vout)*Table2[[#This Row],[t1_Ph_II]],Table2[[#This Row],[I_0]]+1/Lf*Table2[[#This Row],[Vin]]*Table2[[#This Row],[t1_Ph_II]],Table2[[#This Row],[I_0]]+(Table2[[#This Row],[Vin]]-Vout)/L*Table2[[#This Row],[t1_Ph_II]])</f>
        <v>13.01500173835371</v>
      </c>
      <c r="R107" s="4">
        <f>CHOOSE(Table2[[#This Row],[Mode Digit]],0,0,Table2[[#This Row],[I_1]]+Table2[[#This Row],[Vin]]/L*Table2[[#This Row],[t2_Ph_I]])</f>
        <v>0</v>
      </c>
      <c r="S107" s="409">
        <f>Fsw*(Table2[[#This Row],[I_0]]*Table2[[#This Row],[t1_Ph_II]]+Table2[[#This Row],[I_1]]*Table2[[#This Row],[t2_Ph_I]]+Table2[[#This Row],[I_2]]*Table2[[#This Row],[t3_Ph_III]])</f>
        <v>11.166967285449262</v>
      </c>
      <c r="T107" s="354">
        <f>MIN(1,CHOOSE(Table2[[#This Row],[Mode Digit]],(Vout+(Rdson2+Rs+Rdcr)*Table2[[#This Row],[Iout]])/(Table2[[#This Row],[Vin]]+(Rs+Rdson2-Rdson1)*Table2[[#This Row],[Iout]]),1,Fsw*Table2[[#This Row],[t2_Ph_I]]+Table2[[#This Row],[t1_Ph_II]]))</f>
        <v>0.73626768650084384</v>
      </c>
      <c r="U107" s="354">
        <f>MIN(1,CHOOSE(Table2[[#This Row],[Mode Digit]],0,(Vout+(Rdson3+Rdcr)*Table2[[#This Row],[Iin]]-Table2[[#This Row],[Vin]])/(Vout+(Rdson3-Rdson4-Rs)*Table2[[#This Row],[Iin]]),Fsw*Table2[[#This Row],[t1_Ph_II]]+Table2[[#This Row],[t3_Ph_III]]))</f>
        <v>0</v>
      </c>
      <c r="V107" s="4">
        <f>MAX(Table2[[#This Row],[I_0]:[I_2]])-MIN(Table2[[#This Row],[I_0]:[I_1]])</f>
        <v>2.5100034767074213</v>
      </c>
      <c r="W107"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11.782300700107637</v>
      </c>
      <c r="X107" s="354">
        <f>(Table2[[#This Row],[Irms Lf]]^2*Rdcr*(1+Ltc*Ta-Ltc*25))/(1-Table2[[#This Row],[Irms Lf]]^2*Rdcr*Ltc*ThetaCa)</f>
        <v>0.86060594193524165</v>
      </c>
      <c r="Y107" s="354">
        <f>ABS(7.759*10^-3*Fsw^0.9458*(0.00787*Table2[[#This Row],[Ripple Current pk-pk]])^2.304)</f>
        <v>0.26789007764922979</v>
      </c>
      <c r="Z107" s="354">
        <f>Table2[[#This Row],[DCR    Loss]]+Table2[[#This Row],[Core Loss]]</f>
        <v>1.1284960195844715</v>
      </c>
      <c r="AA107" s="4">
        <f>IF(Table2[[#This Row],[Vin]]&gt;Vout, Table2[[#This Row],[Ripple Current pk-pk]]/SQRT(12), SQRT(Table2[[#This Row],[Duty Cycle BOOST Leg]]/(1-Table2[[#This Row],[Duty Cycle BOOST Leg]]))*SQRT(Table2[[#This Row],[Iout]]^2+(Table2[[#This Row],[Ripple Current pk-pk]]^2)/12))</f>
        <v>0.72457559147196315</v>
      </c>
      <c r="AB107" s="354">
        <f>RCoutEsr*Table2[[#This Row],[Irms Cout]]^2</f>
        <v>2.6250489387847267E-3</v>
      </c>
      <c r="AC107" s="354">
        <f>Table2[[#This Row],[Cout ESR Loss]]</f>
        <v>2.6250489387847267E-3</v>
      </c>
      <c r="AD107" s="4">
        <f>IF(Table2[[#This Row],[Vin]]&gt;Vout, SQRT(Table2[[#This Row],[Duty Cycle BUCK Leg]]*(1-Table2[[#This Row],[Duty Cycle BUCK Leg]]))*SQRT(Table2[[#This Row],[Iout]]^2+(Table2[[#This Row],[Ripple Current pk-pk]]^2)/12), Table2[[#This Row],[Ripple Current pk-pk]]/SQRT(12))</f>
        <v>5.1919397590568108</v>
      </c>
      <c r="AE107" s="354">
        <f>RCinEsr*Table2[[#This Row],[Irms Cin]]^2</f>
        <v>5.3912476923349793E-2</v>
      </c>
      <c r="AF107" s="549">
        <f>Table2[[#This Row],[Cin ESR Loss]]</f>
        <v>5.3912476923349793E-2</v>
      </c>
      <c r="AG107" s="354">
        <f>Table2[[#This Row],[Irms Lf]]</f>
        <v>11.782300700107637</v>
      </c>
      <c r="AH107" s="354">
        <f>Rdson1*Table2[[#This Row],[Irms BuCtrl]]^2</f>
        <v>0.58305496110857913</v>
      </c>
      <c r="AI107" s="354">
        <f>CHOOSE(Table2[[#This Row],[Mode Digit]], (Table2[[#This Row],[Vin]]*Table2[[#This Row],[Iout]]/2)*(Fsw)*(Tr_buck+Tf_buck), 0, (Table2[[#This Row],[Vin]]*Table2[[#This Row],[Avg IL]]/2)*(Fsw/1)*(Tr_buck+Tf_buck))</f>
        <v>2.3323295049504953</v>
      </c>
      <c r="AJ107">
        <f>IF(Table2[[#This Row],[Vin]]&gt;Vout, IF(Table2[[#This Row],[Iout]]&gt;Table2[[#This Row],[Ripple Current pk-pk]]/2,0,ABS(Table2[[#This Row],[Iout]]-Table2[[#This Row],[Ripple Current pk-pk]]/2)*Vsd_Q1*Deadtime*Fsw),0)</f>
        <v>0</v>
      </c>
      <c r="AK107" s="354">
        <f>(Table2[[#This Row],[Dead Time Loss BuCtrl]]+Table2[[#This Row],[Transition Loss BuCtrl]]+Table2[[#This Row],[RDS(on) Loss BuCtrl]]*(1+RdsonTopTc*Ta-RdsonTopTc*25))/(1-Table2[[#This Row],[RDS(on) Loss BuCtrl]]*RdsonTopTc*ThetaJA_Q1)</f>
        <v>3.389718606065995</v>
      </c>
      <c r="AL107" s="354">
        <f>Table2[[#This Row],[Irms Lf]]</f>
        <v>11.782300700107637</v>
      </c>
      <c r="AM107" s="354">
        <f>Rdson2*Table2[[#This Row],[Irms BuSync]]^2</f>
        <v>0.58305496110857913</v>
      </c>
      <c r="AN107"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0.56582399999999999</v>
      </c>
      <c r="AO107" s="354">
        <f>(Table2[[#This Row],[Deadtime Loss BuSync]]+Table2[[#This Row],[RDS(on) Loss BuSync]]*(1+RdsonBotTc*Ta-RdsonBotTc*25))/(1-Table2[[#This Row],[RDS(on) Loss BuSync]]*RdsonBotTc*ThetaJA_Q2)</f>
        <v>1.3358019965894303</v>
      </c>
      <c r="AP107" s="354">
        <f>Table2[[#This Row],[Irms Lf]]</f>
        <v>11.782300700107637</v>
      </c>
      <c r="AQ107" s="354">
        <f>Rdson4*Table2[[#This Row],[Irms BoCtlr]]^2</f>
        <v>0.58305496110857913</v>
      </c>
      <c r="AR107" s="354">
        <f>CHOOSE(Table2[[#This Row],[Mode Digit]], 0, (Vout*Table2[[#This Row],[Iin]]/2)*(Fsw)*(Tr_boost+Tf_boost), (Vout*Iout/2)*(Fsw/1)*(Tr_boost+Tf_boost))</f>
        <v>0</v>
      </c>
      <c r="AS107" s="354">
        <f>IF(Table2[[#This Row],[Vin]]&gt;Vout, 0, IF(Table2[[#This Row],[Iin]]&gt;Table2[[#This Row],[Ripple Current pk-pk]]/2,0,ABS(Table2[[#This Row],[Iin]]-Table2[[#This Row],[Ripple Current pk-pk]]/2)*Vsd_Q4*Deadtime*Fsw))</f>
        <v>0</v>
      </c>
      <c r="AT107" s="354">
        <f>(Table2[[#This Row],[Dead Time Loss BoCtlr]]+Table2[[#This Row],[Transition Loss BoCtlr]]+Table2[[#This Row],[RDS(on) Loss BoCtlr]]*(1+RdsonTopTc*Ta-RdsonTopTc*25))/(1-Table2[[#This Row],[RDS(on) Loss BoCtlr]]*RdsonTopTc*ThetaJA_Q4)</f>
        <v>0.67791822074858654</v>
      </c>
      <c r="AU107" s="354">
        <f>Table2[[#This Row],[Irms Lf]]</f>
        <v>11.782300700107637</v>
      </c>
      <c r="AV107" s="354">
        <f>Rdson3*Table2[[#This Row],[Irms BoSync]]^2</f>
        <v>0.58305496110857913</v>
      </c>
      <c r="AW107"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07" s="354">
        <f>(Table2[[#This Row],[Deadtime Loss BoSync]]+Table2[[#This Row],[RDS(on) Loss BoSync]]*(1+RdsonBotTc*Ta-RdsonBotTc*25))/(1-Table2[[#This Row],[RDS(on) Loss BoSync]]*RdsonBotTc*ThetaJA_Q3)</f>
        <v>0.67791822074858654</v>
      </c>
      <c r="AY107" s="354">
        <f>CHOOSE(Table2[[#This Row],[Mode Digit]], Rdson3*Table2[[#This Row],[Irms Lf]]^2, Rdson1*Table2[[#This Row],[Irms Lf]]^2, 0)</f>
        <v>0.58305496110857913</v>
      </c>
      <c r="AZ107" s="354">
        <f>CHOOSE(Table2[[#This Row],[Mode Digit]], 2*Deadtime*Fsw*IF(VfdSky_Q2&gt;0,VfdSky_Q2,0)*Table2[[#This Row],[Iout]], 2*Deadtime*Fsw*IF(VfdSky_Q3&gt;0,VfdSky_Q3,0)*Table2[[#This Row],[Iin]], 2*Deadtime*Fsw*IF(VfdSky_Q2&gt;0,VfdSky_Q2,0)*Table2[[#This Row],[Iout]]+2*Deadtime*Fsw*IF(VfdSky_Q3&gt;0,VfdSky_Q3,0)*Table2[[#This Row],[Iin]])</f>
        <v>0</v>
      </c>
      <c r="BA10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0.23461915007999998</v>
      </c>
      <c r="BB10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0.23461915007999998</v>
      </c>
      <c r="BC107" s="354">
        <f>CHOOSE(Table2[[#This Row],[Mode Digit]], Rs*Table2[[#This Row],[Irms BuSync]]^2, Rs*Table2[[#This Row],[Irms BoCtlr]]^2, Rs*(Table2[[#This Row],[Irms BuSync]]^2+Table2[[#This Row],[Irms BoCtlr]]^2))</f>
        <v>0.34705652446939228</v>
      </c>
      <c r="BD107" s="354">
        <f t="shared" si="9"/>
        <v>1.44</v>
      </c>
      <c r="BE107" s="354">
        <f>IF(Vout&gt;8, Iq*Vout, Iq*Table2[[#This Row],[Vin]])</f>
        <v>4.3799999999999999E-2</v>
      </c>
      <c r="BF107" s="354">
        <f>CHOOSE(Table2[[#This Row],[Mode Digit]], (Qg_Q1+Qg_Q2)*Fsw, (Qg_Q3+Qg_Q4)*Fsw, (Qg_Q1+Qg_Q2+Qg_Q3+Qg_Q4)*Fsw)*IF(Vout&gt;8, Vout, Table2[[#This Row],[Vin]])</f>
        <v>0.47303999999999996</v>
      </c>
      <c r="BG107" s="354">
        <f t="shared" si="10"/>
        <v>0.45605042016806729</v>
      </c>
      <c r="BH107" s="354">
        <f>Table2[[#This Row],[IQ Loss]]+Table2[[#This Row],[Switching Current Loss]]</f>
        <v>0.51683999999999997</v>
      </c>
      <c r="BI107"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10.039525414228597</v>
      </c>
      <c r="BJ107">
        <f>Vout*Table2[[#This Row],[Iout]]</f>
        <v>171.696</v>
      </c>
      <c r="BK107" s="550">
        <f>Table2[[#This Row],[Pout]]/(Table2[[#This Row],[Pout]]+Table2[[#This Row],[Total Loss]])</f>
        <v>0.94475749641493834</v>
      </c>
      <c r="BL107" s="559">
        <f>IF(Table2[[#This Row],[Vin]]&gt;Vout,ThetaJA_Q1*(Table2[[#This Row],[Total Control Bu MOSFET Loss]]+Table2[[#This Row],[Reverse Recovery Loss MOSFET D BUCK]]),ThetaJA_Q4*(Table2[[#This Row],[Total Control Bo MOSFET Loss]]+Table2[[#This Row],[Reverse Recovery Loss MOSFET D BOOST]]))</f>
        <v>217.46026536875968</v>
      </c>
      <c r="BM107" s="559">
        <f>IF(Table2[[#This Row],[Vin]]&gt;Vout, Table2[[#This Row],[Total Sync Bu MOSFET Loss]]*ThetaJA_Q2, ThetaJA_Q3*Table2[[#This Row],[Total Sync Bo MOSFET Loss]])</f>
        <v>80.148119795365815</v>
      </c>
      <c r="BN107" s="9"/>
      <c r="BO107" s="4">
        <f>Table2[[#This Row],[EFF, h]]*100</f>
        <v>94.475749641493834</v>
      </c>
      <c r="BP107" s="354">
        <f>Table2[[#This Row],[Total Inductor Loss]]</f>
        <v>1.1284960195844715</v>
      </c>
      <c r="BQ107" s="354">
        <f>Table2[[#This Row],[Total Control Bu MOSFET Loss]]+Table2[[#This Row],[Total Sync Bu MOSFET Loss]]+Table2[[#This Row],[Total Control Bo MOSFET Loss]]+Table2[[#This Row],[Total Sync Bo MOSFET Loss]]+Table2[[#This Row],[Reverse Recovery Loss MOSFET D BUCK]]+Table2[[#This Row],[Reverse Recovery Loss MOSFET D BOOST]]</f>
        <v>6.5505953443125993</v>
      </c>
      <c r="BR107" s="354">
        <f xml:space="preserve"> Table2[[#This Row],[Total Control Bu MOSFET Loss]]+Table2[[#This Row],[Reverse Recovery Loss MOSFET D BUCK]]*0.66</f>
        <v>3.5445672451187948</v>
      </c>
      <c r="BS107" s="354">
        <f>Table2[[#This Row],[Total Sync Bu MOSFET Loss]]+Table2[[#This Row],[Reverse Recovery Loss MOSFET D BUCK]]*0.33</f>
        <v>1.4132263161158303</v>
      </c>
      <c r="BT107" s="354">
        <f xml:space="preserve"> Table2[[#This Row],[Total Control Bo MOSFET Loss]]+Table2[[#This Row],[Reverse Recovery Loss MOSFET D BOOST]]*0.66</f>
        <v>0.83276685980138654</v>
      </c>
      <c r="BU107" s="354">
        <f xml:space="preserve"> Table2[[#This Row],[Total Sync Bo MOSFET Loss]]+Table2[[#This Row],[Reverse Recovery Loss MOSFET D BOOST]]*0.33</f>
        <v>0.75534254027498648</v>
      </c>
      <c r="BV107" s="354">
        <f>Table2[[#This Row],[Isense Shunt Loss]]</f>
        <v>0.34705652446939228</v>
      </c>
      <c r="CB107" s="18"/>
      <c r="CC107" s="19"/>
    </row>
    <row r="108" spans="7:81" x14ac:dyDescent="0.2">
      <c r="G108">
        <v>99</v>
      </c>
      <c r="H108" s="555">
        <f t="shared" si="8"/>
        <v>20</v>
      </c>
      <c r="I108" s="4" t="str">
        <f>IF(Mode = 2,IF(Table2[[#This Row],[Vin]]&gt;Vout, "BUCK","BOOST"),IF(Table2[[#This Row],[Vin]]&gt;VIN_BB_to_buck, "BUCK", IF(Table2[[#This Row],[Vin]]&lt;=VIN_boost_to_BB,"BOOST","BUCK-BST")))</f>
        <v>BUCK</v>
      </c>
      <c r="J108">
        <f>IF(Table2[[#This Row],[Mode]]="BOOST",2, IF(Table2[[#This Row],[Mode]]="BUCK", 1,3))</f>
        <v>1</v>
      </c>
      <c r="K108" s="354">
        <f t="shared" si="11"/>
        <v>11.88</v>
      </c>
      <c r="L108" s="4">
        <f>Vout*Table2[[#This Row],[Iout]]/(Table2[[#This Row],[Vin]]*Efficiency)</f>
        <v>9.1288421052631588</v>
      </c>
      <c r="M108" s="711">
        <f>MIN(1/Fsw,CHOOSE(Table2[[#This Row],[Mode Digit]],(Vout+(Rdson2+Rs+Rdcr)*Table2[[#This Row],[Iout]])/(Table2[[#This Row],[Vin]]+(Rs+Rdson2-Rdson1)*Table2[[#This Row],[Iout]])/Fsw,(Vout+(Rdson3+Rdcr)*Table2[[#This Row],[Iin]]-Table2[[#This Row],[Vin]])/(Vout+(Rdson3-Rdson4-Rs)*Table2[[#This Row],[Iin]])/Fsw,t1_Ph_II))</f>
        <v>1.2272192460862288E-6</v>
      </c>
      <c r="N108" s="602">
        <f>CHOOSE(Table2[[#This Row],[Mode Digit]],1/Fsw-Table2[[#This Row],[t1_Ph_II]],1/Fsw-Table2[[#This Row],[t1_Ph_II]],(Vout/Fsw-Table2[[#This Row],[Vin]]*t1_Ph_II)/(Table2[[#This Row],[Vin]]+Vout))</f>
        <v>4.3944742058043784E-7</v>
      </c>
      <c r="O108" s="602">
        <f>1/Fsw-(Table2[[#This Row],[t1_Ph_II]]+Table2[[#This Row],[t2_Ph_I]])</f>
        <v>0</v>
      </c>
      <c r="P108"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10.624889407411812</v>
      </c>
      <c r="Q108" s="4">
        <f>CHOOSE(Table2[[#This Row],[Mode Digit]],Table2[[#This Row],[I_0]]+1/Lf*(Table2[[#This Row],[Vin]]-Vout)*Table2[[#This Row],[t1_Ph_II]],Table2[[#This Row],[I_0]]+1/Lf*Table2[[#This Row],[Vin]]*Table2[[#This Row],[t1_Ph_II]],Table2[[#This Row],[I_0]]+(Table2[[#This Row],[Vin]]-Vout)/L*Table2[[#This Row],[t1_Ph_II]])</f>
        <v>13.135110592588189</v>
      </c>
      <c r="R108" s="4">
        <f>CHOOSE(Table2[[#This Row],[Mode Digit]],0,0,Table2[[#This Row],[I_1]]+Table2[[#This Row],[Vin]]/L*Table2[[#This Row],[t2_Ph_I]])</f>
        <v>0</v>
      </c>
      <c r="S108" s="409">
        <f>Fsw*(Table2[[#This Row],[I_0]]*Table2[[#This Row],[t1_Ph_II]]+Table2[[#This Row],[I_1]]*Table2[[#This Row],[t2_Ph_I]]+Table2[[#This Row],[I_2]]*Table2[[#This Row],[t3_Ph_III]])</f>
        <v>11.286755542359089</v>
      </c>
      <c r="T108" s="354">
        <f>MIN(1,CHOOSE(Table2[[#This Row],[Mode Digit]],(Vout+(Rdson2+Rs+Rdcr)*Table2[[#This Row],[Iout]])/(Table2[[#This Row],[Vin]]+(Rs+Rdson2-Rdson1)*Table2[[#This Row],[Iout]]),1,Fsw*Table2[[#This Row],[t2_Ph_I]]+Table2[[#This Row],[t1_Ph_II]]))</f>
        <v>0.73633154765173725</v>
      </c>
      <c r="U108" s="354">
        <f>MIN(1,CHOOSE(Table2[[#This Row],[Mode Digit]],0,(Vout+(Rdson3+Rdcr)*Table2[[#This Row],[Iin]]-Table2[[#This Row],[Vin]])/(Vout+(Rdson3-Rdson4-Rs)*Table2[[#This Row],[Iin]]),Fsw*Table2[[#This Row],[t1_Ph_II]]+Table2[[#This Row],[t3_Ph_III]]))</f>
        <v>0</v>
      </c>
      <c r="V108" s="4">
        <f>MAX(Table2[[#This Row],[I_0]:[I_2]])-MIN(Table2[[#This Row],[I_0]:[I_1]])</f>
        <v>2.5102211851763769</v>
      </c>
      <c r="W108"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11.902079686615377</v>
      </c>
      <c r="X108" s="354">
        <f>(Table2[[#This Row],[Irms Lf]]^2*Rdcr*(1+Ltc*Ta-Ltc*25))/(1-Table2[[#This Row],[Irms Lf]]^2*Rdcr*Ltc*ThetaCa)</f>
        <v>0.87943004957344606</v>
      </c>
      <c r="Y108" s="354">
        <f>ABS(7.759*10^-3*Fsw^0.9458*(0.00787*Table2[[#This Row],[Ripple Current pk-pk]])^2.304)</f>
        <v>0.26794361595986782</v>
      </c>
      <c r="Z108" s="354">
        <f>Table2[[#This Row],[DCR    Loss]]+Table2[[#This Row],[Core Loss]]</f>
        <v>1.1473736655333138</v>
      </c>
      <c r="AA108" s="4">
        <f>IF(Table2[[#This Row],[Vin]]&gt;Vout, Table2[[#This Row],[Ripple Current pk-pk]]/SQRT(12), SQRT(Table2[[#This Row],[Duty Cycle BOOST Leg]]/(1-Table2[[#This Row],[Duty Cycle BOOST Leg]]))*SQRT(Table2[[#This Row],[Iout]]^2+(Table2[[#This Row],[Ripple Current pk-pk]]^2)/12))</f>
        <v>0.72463843849354137</v>
      </c>
      <c r="AB108" s="354">
        <f>RCoutEsr*Table2[[#This Row],[Irms Cout]]^2</f>
        <v>2.6255043327117898E-3</v>
      </c>
      <c r="AC108" s="354">
        <f>Table2[[#This Row],[Cout ESR Loss]]</f>
        <v>2.6255043327117898E-3</v>
      </c>
      <c r="AD108" s="4">
        <f>IF(Table2[[#This Row],[Vin]]&gt;Vout, SQRT(Table2[[#This Row],[Duty Cycle BUCK Leg]]*(1-Table2[[#This Row],[Duty Cycle BUCK Leg]]))*SQRT(Table2[[#This Row],[Iout]]^2+(Table2[[#This Row],[Ripple Current pk-pk]]^2)/12), Table2[[#This Row],[Ripple Current pk-pk]]/SQRT(12))</f>
        <v>5.2443134650478642</v>
      </c>
      <c r="AE108" s="354">
        <f>RCinEsr*Table2[[#This Row],[Irms Cin]]^2</f>
        <v>5.5005647439364674E-2</v>
      </c>
      <c r="AF108" s="549">
        <f>Table2[[#This Row],[Cin ESR Loss]]</f>
        <v>5.5005647439364674E-2</v>
      </c>
      <c r="AG108" s="354">
        <f>Table2[[#This Row],[Irms Lf]]</f>
        <v>11.902079686615377</v>
      </c>
      <c r="AH108" s="354">
        <f>Rdson1*Table2[[#This Row],[Irms BuCtrl]]^2</f>
        <v>0.5949699036394781</v>
      </c>
      <c r="AI108" s="354">
        <f>CHOOSE(Table2[[#This Row],[Mode Digit]], (Table2[[#This Row],[Vin]]*Table2[[#This Row],[Iout]]/2)*(Fsw)*(Tr_buck+Tf_buck), 0, (Table2[[#This Row],[Vin]]*Table2[[#This Row],[Avg IL]]/2)*(Fsw/1)*(Tr_buck+Tf_buck))</f>
        <v>2.3561287856132558</v>
      </c>
      <c r="AJ108">
        <f>IF(Table2[[#This Row],[Vin]]&gt;Vout, IF(Table2[[#This Row],[Iout]]&gt;Table2[[#This Row],[Ripple Current pk-pk]]/2,0,ABS(Table2[[#This Row],[Iout]]-Table2[[#This Row],[Ripple Current pk-pk]]/2)*Vsd_Q1*Deadtime*Fsw),0)</f>
        <v>0</v>
      </c>
      <c r="AK108" s="354">
        <f>(Table2[[#This Row],[Dead Time Loss BuCtrl]]+Table2[[#This Row],[Transition Loss BuCtrl]]+Table2[[#This Row],[RDS(on) Loss BuCtrl]]*(1+RdsonTopTc*Ta-RdsonTopTc*25))/(1-Table2[[#This Row],[RDS(on) Loss BuCtrl]]*RdsonTopTc*ThetaJA_Q1)</f>
        <v>3.4426899466491623</v>
      </c>
      <c r="AL108" s="354">
        <f>Table2[[#This Row],[Irms Lf]]</f>
        <v>11.902079686615377</v>
      </c>
      <c r="AM108" s="354">
        <f>Rdson2*Table2[[#This Row],[Irms BuSync]]^2</f>
        <v>0.5949699036394781</v>
      </c>
      <c r="AN108"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0.57159771428571426</v>
      </c>
      <c r="AO108" s="354">
        <f>(Table2[[#This Row],[Deadtime Loss BuSync]]+Table2[[#This Row],[RDS(on) Loss BuSync]]*(1+RdsonBotTc*Ta-RdsonBotTc*25))/(1-Table2[[#This Row],[RDS(on) Loss BuSync]]*RdsonBotTc*ThetaJA_Q2)</f>
        <v>1.3608933597996584</v>
      </c>
      <c r="AP108" s="354">
        <f>Table2[[#This Row],[Irms Lf]]</f>
        <v>11.902079686615377</v>
      </c>
      <c r="AQ108" s="354">
        <f>Rdson4*Table2[[#This Row],[Irms BoCtlr]]^2</f>
        <v>0.5949699036394781</v>
      </c>
      <c r="AR108" s="354">
        <f>CHOOSE(Table2[[#This Row],[Mode Digit]], 0, (Vout*Table2[[#This Row],[Iin]]/2)*(Fsw)*(Tr_boost+Tf_boost), (Vout*Iout/2)*(Fsw/1)*(Tr_boost+Tf_boost))</f>
        <v>0</v>
      </c>
      <c r="AS108" s="354">
        <f>IF(Table2[[#This Row],[Vin]]&gt;Vout, 0, IF(Table2[[#This Row],[Iin]]&gt;Table2[[#This Row],[Ripple Current pk-pk]]/2,0,ABS(Table2[[#This Row],[Iin]]-Table2[[#This Row],[Ripple Current pk-pk]]/2)*Vsd_Q4*Deadtime*Fsw))</f>
        <v>0</v>
      </c>
      <c r="AT108" s="354">
        <f>(Table2[[#This Row],[Dead Time Loss BoCtlr]]+Table2[[#This Row],[Transition Loss BoCtlr]]+Table2[[#This Row],[RDS(on) Loss BoCtlr]]*(1+RdsonTopTc*Ta-RdsonTopTc*25))/(1-Table2[[#This Row],[RDS(on) Loss BoCtlr]]*RdsonTopTc*ThetaJA_Q4)</f>
        <v>0.69407943328967903</v>
      </c>
      <c r="AU108" s="354">
        <f>Table2[[#This Row],[Irms Lf]]</f>
        <v>11.902079686615377</v>
      </c>
      <c r="AV108" s="354">
        <f>Rdson3*Table2[[#This Row],[Irms BoSync]]^2</f>
        <v>0.5949699036394781</v>
      </c>
      <c r="AW108"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08" s="354">
        <f>(Table2[[#This Row],[Deadtime Loss BoSync]]+Table2[[#This Row],[RDS(on) Loss BoSync]]*(1+RdsonBotTc*Ta-RdsonBotTc*25))/(1-Table2[[#This Row],[RDS(on) Loss BoSync]]*RdsonBotTc*ThetaJA_Q3)</f>
        <v>0.69407943328967903</v>
      </c>
      <c r="AY108" s="354">
        <f>CHOOSE(Table2[[#This Row],[Mode Digit]], Rdson3*Table2[[#This Row],[Irms Lf]]^2, Rdson1*Table2[[#This Row],[Irms Lf]]^2, 0)</f>
        <v>0.5949699036394781</v>
      </c>
      <c r="AZ108" s="354">
        <f>CHOOSE(Table2[[#This Row],[Mode Digit]], 2*Deadtime*Fsw*IF(VfdSky_Q2&gt;0,VfdSky_Q2,0)*Table2[[#This Row],[Iout]], 2*Deadtime*Fsw*IF(VfdSky_Q3&gt;0,VfdSky_Q3,0)*Table2[[#This Row],[Iin]], 2*Deadtime*Fsw*IF(VfdSky_Q2&gt;0,VfdSky_Q2,0)*Table2[[#This Row],[Iout]]+2*Deadtime*Fsw*IF(VfdSky_Q3&gt;0,VfdSky_Q3,0)*Table2[[#This Row],[Iin]])</f>
        <v>0</v>
      </c>
      <c r="BA10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0.23700723552000003</v>
      </c>
      <c r="BB10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0.23700723552000003</v>
      </c>
      <c r="BC108" s="354">
        <f>CHOOSE(Table2[[#This Row],[Mode Digit]], Rs*Table2[[#This Row],[Irms BuSync]]^2, Rs*Table2[[#This Row],[Irms BoCtlr]]^2, Rs*(Table2[[#This Row],[Irms BuSync]]^2+Table2[[#This Row],[Irms BoCtlr]]^2))</f>
        <v>0.35414875216635594</v>
      </c>
      <c r="BD108" s="354">
        <f t="shared" si="9"/>
        <v>1.44</v>
      </c>
      <c r="BE108" s="354">
        <f>IF(Vout&gt;8, Iq*Vout, Iq*Table2[[#This Row],[Vin]])</f>
        <v>4.3799999999999999E-2</v>
      </c>
      <c r="BF108" s="354">
        <f>CHOOSE(Table2[[#This Row],[Mode Digit]], (Qg_Q1+Qg_Q2)*Fsw, (Qg_Q3+Qg_Q4)*Fsw, (Qg_Q1+Qg_Q2+Qg_Q3+Qg_Q4)*Fsw)*IF(Vout&gt;8, Vout, Table2[[#This Row],[Vin]])</f>
        <v>0.47303999999999996</v>
      </c>
      <c r="BG108" s="354">
        <f t="shared" si="10"/>
        <v>0.45605042016806729</v>
      </c>
      <c r="BH108" s="354">
        <f>Table2[[#This Row],[IQ Loss]]+Table2[[#This Row],[Switching Current Loss]]</f>
        <v>0.51683999999999997</v>
      </c>
      <c r="BI108"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10.181750213539924</v>
      </c>
      <c r="BJ108">
        <f>Vout*Table2[[#This Row],[Iout]]</f>
        <v>173.44800000000001</v>
      </c>
      <c r="BK108" s="550">
        <f>Table2[[#This Row],[Pout]]/(Table2[[#This Row],[Pout]]+Table2[[#This Row],[Total Loss]])</f>
        <v>0.94455282871266921</v>
      </c>
      <c r="BL108" s="559">
        <f>IF(Table2[[#This Row],[Vin]]&gt;Vout,ThetaJA_Q1*(Table2[[#This Row],[Total Control Bu MOSFET Loss]]+Table2[[#This Row],[Reverse Recovery Loss MOSFET D BUCK]]),ThetaJA_Q4*(Table2[[#This Row],[Total Control Bo MOSFET Loss]]+Table2[[#This Row],[Reverse Recovery Loss MOSFET D BOOST]]))</f>
        <v>220.78183093014974</v>
      </c>
      <c r="BM108" s="559">
        <f>IF(Table2[[#This Row],[Vin]]&gt;Vout, Table2[[#This Row],[Total Sync Bu MOSFET Loss]]*ThetaJA_Q2, ThetaJA_Q3*Table2[[#This Row],[Total Sync Bo MOSFET Loss]])</f>
        <v>81.653601587979509</v>
      </c>
      <c r="BN108" s="9"/>
      <c r="BO108" s="4">
        <f>Table2[[#This Row],[EFF, h]]*100</f>
        <v>94.455282871266917</v>
      </c>
      <c r="BP108" s="354">
        <f>Table2[[#This Row],[Total Inductor Loss]]</f>
        <v>1.1473736655333138</v>
      </c>
      <c r="BQ108" s="354">
        <f>Table2[[#This Row],[Total Control Bu MOSFET Loss]]+Table2[[#This Row],[Total Sync Bu MOSFET Loss]]+Table2[[#This Row],[Total Control Bo MOSFET Loss]]+Table2[[#This Row],[Total Sync Bo MOSFET Loss]]+Table2[[#This Row],[Reverse Recovery Loss MOSFET D BUCK]]+Table2[[#This Row],[Reverse Recovery Loss MOSFET D BOOST]]</f>
        <v>6.6657566440681792</v>
      </c>
      <c r="BR108" s="354">
        <f xml:space="preserve"> Table2[[#This Row],[Total Control Bu MOSFET Loss]]+Table2[[#This Row],[Reverse Recovery Loss MOSFET D BUCK]]*0.66</f>
        <v>3.5991147220923625</v>
      </c>
      <c r="BS108" s="354">
        <f>Table2[[#This Row],[Total Sync Bu MOSFET Loss]]+Table2[[#This Row],[Reverse Recovery Loss MOSFET D BUCK]]*0.33</f>
        <v>1.4391057475212585</v>
      </c>
      <c r="BT108" s="354">
        <f xml:space="preserve"> Table2[[#This Row],[Total Control Bo MOSFET Loss]]+Table2[[#This Row],[Reverse Recovery Loss MOSFET D BOOST]]*0.66</f>
        <v>0.85050420873287902</v>
      </c>
      <c r="BU108" s="354">
        <f xml:space="preserve"> Table2[[#This Row],[Total Sync Bo MOSFET Loss]]+Table2[[#This Row],[Reverse Recovery Loss MOSFET D BOOST]]*0.33</f>
        <v>0.77229182101127902</v>
      </c>
      <c r="BV108" s="354">
        <f>Table2[[#This Row],[Isense Shunt Loss]]</f>
        <v>0.35414875216635594</v>
      </c>
      <c r="CB108" s="18"/>
      <c r="CC108" s="19"/>
    </row>
    <row r="109" spans="7:81" x14ac:dyDescent="0.2">
      <c r="G109">
        <v>100</v>
      </c>
      <c r="H109" s="555">
        <f t="shared" si="8"/>
        <v>20</v>
      </c>
      <c r="I109" s="4" t="str">
        <f>IF(Mode = 2,IF(Table2[[#This Row],[Vin]]&gt;Vout, "BUCK","BOOST"),IF(Table2[[#This Row],[Vin]]&gt;VIN_BB_to_buck, "BUCK", IF(Table2[[#This Row],[Vin]]&lt;=VIN_boost_to_BB,"BOOST","BUCK-BST")))</f>
        <v>BUCK</v>
      </c>
      <c r="J109">
        <f>IF(Table2[[#This Row],[Mode]]="BOOST",2, IF(Table2[[#This Row],[Mode]]="BUCK", 1,3))</f>
        <v>1</v>
      </c>
      <c r="K109" s="354">
        <f t="shared" si="11"/>
        <v>12</v>
      </c>
      <c r="L109" s="4">
        <f>Vout*Table2[[#This Row],[Iout]]/(Table2[[#This Row],[Vin]]*Efficiency)</f>
        <v>9.2210526315789476</v>
      </c>
      <c r="M109" s="711">
        <f>MIN(1/Fsw,CHOOSE(Table2[[#This Row],[Mode Digit]],(Vout+(Rdson2+Rs+Rdcr)*Table2[[#This Row],[Iout]])/(Table2[[#This Row],[Vin]]+(Rs+Rdson2-Rdson1)*Table2[[#This Row],[Iout]])/Fsw,(Vout+(Rdson3+Rdcr)*Table2[[#This Row],[Iin]]-Table2[[#This Row],[Vin]])/(Vout+(Rdson3-Rdson4-Rs)*Table2[[#This Row],[Iin]])/Fsw,t1_Ph_II))</f>
        <v>1.2273256781494423E-6</v>
      </c>
      <c r="N109" s="602">
        <f>CHOOSE(Table2[[#This Row],[Mode Digit]],1/Fsw-Table2[[#This Row],[t1_Ph_II]],1/Fsw-Table2[[#This Row],[t1_Ph_II]],(Vout/Fsw-Table2[[#This Row],[Vin]]*t1_Ph_II)/(Table2[[#This Row],[Vin]]+Vout))</f>
        <v>4.3934098851722436E-7</v>
      </c>
      <c r="O109" s="602">
        <f>1/Fsw-(Table2[[#This Row],[t1_Ph_II]]+Table2[[#This Row],[t2_Ph_I]])</f>
        <v>0</v>
      </c>
      <c r="P109"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10.744780556438069</v>
      </c>
      <c r="Q109" s="4">
        <f>CHOOSE(Table2[[#This Row],[Mode Digit]],Table2[[#This Row],[I_0]]+1/Lf*(Table2[[#This Row],[Vin]]-Vout)*Table2[[#This Row],[t1_Ph_II]],Table2[[#This Row],[I_0]]+1/Lf*Table2[[#This Row],[Vin]]*Table2[[#This Row],[t1_Ph_II]],Table2[[#This Row],[I_0]]+(Table2[[#This Row],[Vin]]-Vout)/L*Table2[[#This Row],[t1_Ph_II]])</f>
        <v>13.255219443561929</v>
      </c>
      <c r="R109" s="4">
        <f>CHOOSE(Table2[[#This Row],[Mode Digit]],0,0,Table2[[#This Row],[I_1]]+Table2[[#This Row],[Vin]]/L*Table2[[#This Row],[t2_Ph_I]])</f>
        <v>0</v>
      </c>
      <c r="S109" s="409">
        <f>Fsw*(Table2[[#This Row],[I_0]]*Table2[[#This Row],[t1_Ph_II]]+Table2[[#This Row],[I_1]]*Table2[[#This Row],[t2_Ph_I]]+Table2[[#This Row],[I_2]]*Table2[[#This Row],[t3_Ph_III]])</f>
        <v>11.406543777806716</v>
      </c>
      <c r="T109" s="354">
        <f>MIN(1,CHOOSE(Table2[[#This Row],[Mode Digit]],(Vout+(Rdson2+Rs+Rdcr)*Table2[[#This Row],[Iout]])/(Table2[[#This Row],[Vin]]+(Rs+Rdson2-Rdson1)*Table2[[#This Row],[Iout]]),1,Fsw*Table2[[#This Row],[t2_Ph_I]]+Table2[[#This Row],[t1_Ph_II]]))</f>
        <v>0.73639540688966543</v>
      </c>
      <c r="U109" s="354">
        <f>MIN(1,CHOOSE(Table2[[#This Row],[Mode Digit]],0,(Vout+(Rdson3+Rdcr)*Table2[[#This Row],[Iin]]-Table2[[#This Row],[Vin]])/(Vout+(Rdson3-Rdson4-Rs)*Table2[[#This Row],[Iin]]),Fsw*Table2[[#This Row],[t1_Ph_II]]+Table2[[#This Row],[t3_Ph_III]]))</f>
        <v>0</v>
      </c>
      <c r="V109" s="4">
        <f>MAX(Table2[[#This Row],[I_0]:[I_2]])-MIN(Table2[[#This Row],[I_0]:[I_1]])</f>
        <v>2.5104388871238594</v>
      </c>
      <c r="W109"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12.021863081506901</v>
      </c>
      <c r="X109" s="354">
        <f>(Table2[[#This Row],[Irms Lf]]^2*Rdcr*(1+Ltc*Ta-Ltc*25))/(1-Table2[[#This Row],[Irms Lf]]^2*Rdcr*Ltc*ThetaCa)</f>
        <v>0.89849918959212216</v>
      </c>
      <c r="Y109" s="354">
        <f>ABS(7.759*10^-3*Fsw^0.9458*(0.00787*Table2[[#This Row],[Ripple Current pk-pk]])^2.304)</f>
        <v>0.26799715872171348</v>
      </c>
      <c r="Z109" s="354">
        <f>Table2[[#This Row],[DCR    Loss]]+Table2[[#This Row],[Core Loss]]</f>
        <v>1.1664963483138355</v>
      </c>
      <c r="AA109" s="4">
        <f>IF(Table2[[#This Row],[Vin]]&gt;Vout, Table2[[#This Row],[Ripple Current pk-pk]]/SQRT(12), SQRT(Table2[[#This Row],[Duty Cycle BOOST Leg]]/(1-Table2[[#This Row],[Duty Cycle BOOST Leg]]))*SQRT(Table2[[#This Row],[Iout]]^2+(Table2[[#This Row],[Ripple Current pk-pk]]^2)/12))</f>
        <v>0.72470128363253239</v>
      </c>
      <c r="AB109" s="354">
        <f>RCoutEsr*Table2[[#This Row],[Irms Cout]]^2</f>
        <v>2.6259597524932012E-3</v>
      </c>
      <c r="AC109" s="354">
        <f>Table2[[#This Row],[Cout ESR Loss]]</f>
        <v>2.6259597524932012E-3</v>
      </c>
      <c r="AD109" s="4">
        <f>IF(Table2[[#This Row],[Vin]]&gt;Vout, SQRT(Table2[[#This Row],[Duty Cycle BUCK Leg]]*(1-Table2[[#This Row],[Duty Cycle BUCK Leg]]))*SQRT(Table2[[#This Row],[Iout]]^2+(Table2[[#This Row],[Ripple Current pk-pk]]^2)/12), Table2[[#This Row],[Ripple Current pk-pk]]/SQRT(12))</f>
        <v>5.2966807783363672</v>
      </c>
      <c r="AE109" s="354">
        <f>RCinEsr*Table2[[#This Row],[Irms Cin]]^2</f>
        <v>5.6109654535195889E-2</v>
      </c>
      <c r="AF109" s="549">
        <f>Table2[[#This Row],[Cin ESR Loss]]</f>
        <v>5.6109654535195889E-2</v>
      </c>
      <c r="AG109" s="354">
        <f>Table2[[#This Row],[Irms Lf]]</f>
        <v>12.021863081506901</v>
      </c>
      <c r="AH109" s="354">
        <f>Rdson1*Table2[[#This Row],[Irms BuCtrl]]^2</f>
        <v>0.60700580619209421</v>
      </c>
      <c r="AI109" s="354">
        <f>CHOOSE(Table2[[#This Row],[Mode Digit]], (Table2[[#This Row],[Vin]]*Table2[[#This Row],[Iout]]/2)*(Fsw)*(Tr_buck+Tf_buck), 0, (Table2[[#This Row],[Vin]]*Table2[[#This Row],[Avg IL]]/2)*(Fsw/1)*(Tr_buck+Tf_buck))</f>
        <v>2.3799280662760158</v>
      </c>
      <c r="AJ109">
        <f>IF(Table2[[#This Row],[Vin]]&gt;Vout, IF(Table2[[#This Row],[Iout]]&gt;Table2[[#This Row],[Ripple Current pk-pk]]/2,0,ABS(Table2[[#This Row],[Iout]]-Table2[[#This Row],[Ripple Current pk-pk]]/2)*Vsd_Q1*Deadtime*Fsw),0)</f>
        <v>0</v>
      </c>
      <c r="AK109" s="354">
        <f>(Table2[[#This Row],[Dead Time Loss BuCtrl]]+Table2[[#This Row],[Transition Loss BuCtrl]]+Table2[[#This Row],[RDS(on) Loss BuCtrl]]*(1+RdsonTopTc*Ta-RdsonTopTc*25))/(1-Table2[[#This Row],[RDS(on) Loss BuCtrl]]*RdsonTopTc*ThetaJA_Q1)</f>
        <v>3.4962762717488824</v>
      </c>
      <c r="AL109" s="354">
        <f>Table2[[#This Row],[Irms Lf]]</f>
        <v>12.021863081506901</v>
      </c>
      <c r="AM109" s="354">
        <f>Rdson2*Table2[[#This Row],[Irms BuSync]]^2</f>
        <v>0.60700580619209421</v>
      </c>
      <c r="AN109"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0.57737142857142854</v>
      </c>
      <c r="AO109" s="354">
        <f>(Table2[[#This Row],[Deadtime Loss BuSync]]+Table2[[#This Row],[RDS(on) Loss BuSync]]*(1+RdsonBotTc*Ta-RdsonBotTc*25))/(1-Table2[[#This Row],[RDS(on) Loss BuSync]]*RdsonBotTc*ThetaJA_Q2)</f>
        <v>1.3863413786531598</v>
      </c>
      <c r="AP109" s="354">
        <f>Table2[[#This Row],[Irms Lf]]</f>
        <v>12.021863081506901</v>
      </c>
      <c r="AQ109" s="354">
        <f>Rdson4*Table2[[#This Row],[Irms BoCtlr]]^2</f>
        <v>0.60700580619209421</v>
      </c>
      <c r="AR109" s="354">
        <f>CHOOSE(Table2[[#This Row],[Mode Digit]], 0, (Vout*Table2[[#This Row],[Iin]]/2)*(Fsw)*(Tr_boost+Tf_boost), (Vout*Iout/2)*(Fsw/1)*(Tr_boost+Tf_boost))</f>
        <v>0</v>
      </c>
      <c r="AS109" s="354">
        <f>IF(Table2[[#This Row],[Vin]]&gt;Vout, 0, IF(Table2[[#This Row],[Iin]]&gt;Table2[[#This Row],[Ripple Current pk-pk]]/2,0,ABS(Table2[[#This Row],[Iin]]-Table2[[#This Row],[Ripple Current pk-pk]]/2)*Vsd_Q4*Deadtime*Fsw))</f>
        <v>0</v>
      </c>
      <c r="AT109" s="354">
        <f>(Table2[[#This Row],[Dead Time Loss BoCtlr]]+Table2[[#This Row],[Transition Loss BoCtlr]]+Table2[[#This Row],[RDS(on) Loss BoCtlr]]*(1+RdsonTopTc*Ta-RdsonTopTc*25))/(1-Table2[[#This Row],[RDS(on) Loss BoCtlr]]*RdsonTopTc*ThetaJA_Q4)</f>
        <v>0.71051455693915033</v>
      </c>
      <c r="AU109" s="354">
        <f>Table2[[#This Row],[Irms Lf]]</f>
        <v>12.021863081506901</v>
      </c>
      <c r="AV109" s="354">
        <f>Rdson3*Table2[[#This Row],[Irms BoSync]]^2</f>
        <v>0.60700580619209421</v>
      </c>
      <c r="AW109"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09" s="354">
        <f>(Table2[[#This Row],[Deadtime Loss BoSync]]+Table2[[#This Row],[RDS(on) Loss BoSync]]*(1+RdsonBotTc*Ta-RdsonBotTc*25))/(1-Table2[[#This Row],[RDS(on) Loss BoSync]]*RdsonBotTc*ThetaJA_Q3)</f>
        <v>0.71051455693915033</v>
      </c>
      <c r="AY109" s="354">
        <f>CHOOSE(Table2[[#This Row],[Mode Digit]], Rdson3*Table2[[#This Row],[Irms Lf]]^2, Rdson1*Table2[[#This Row],[Irms Lf]]^2, 0)</f>
        <v>0.60700580619209421</v>
      </c>
      <c r="AZ109" s="354">
        <f>CHOOSE(Table2[[#This Row],[Mode Digit]], 2*Deadtime*Fsw*IF(VfdSky_Q2&gt;0,VfdSky_Q2,0)*Table2[[#This Row],[Iout]], 2*Deadtime*Fsw*IF(VfdSky_Q3&gt;0,VfdSky_Q3,0)*Table2[[#This Row],[Iin]], 2*Deadtime*Fsw*IF(VfdSky_Q2&gt;0,VfdSky_Q2,0)*Table2[[#This Row],[Iout]]+2*Deadtime*Fsw*IF(VfdSky_Q3&gt;0,VfdSky_Q3,0)*Table2[[#This Row],[Iin]])</f>
        <v>0</v>
      </c>
      <c r="BA10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0.23939520000000003</v>
      </c>
      <c r="BB10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0.23939520000000003</v>
      </c>
      <c r="BC109" s="354">
        <f>CHOOSE(Table2[[#This Row],[Mode Digit]], Rs*Table2[[#This Row],[Irms BuSync]]^2, Rs*Table2[[#This Row],[Irms BoCtlr]]^2, Rs*(Table2[[#This Row],[Irms BuSync]]^2+Table2[[#This Row],[Irms BoCtlr]]^2))</f>
        <v>0.3613129798762465</v>
      </c>
      <c r="BD109" s="354">
        <f t="shared" si="9"/>
        <v>1.44</v>
      </c>
      <c r="BE109" s="354">
        <f>IF(Vout&gt;8, Iq*Vout, Iq*Table2[[#This Row],[Vin]])</f>
        <v>4.3799999999999999E-2</v>
      </c>
      <c r="BF109" s="354">
        <f>CHOOSE(Table2[[#This Row],[Mode Digit]], (Qg_Q1+Qg_Q2)*Fsw, (Qg_Q3+Qg_Q4)*Fsw, (Qg_Q1+Qg_Q2+Qg_Q3+Qg_Q4)*Fsw)*IF(Vout&gt;8, Vout, Table2[[#This Row],[Vin]])</f>
        <v>0.47303999999999996</v>
      </c>
      <c r="BG109" s="354">
        <f t="shared" si="10"/>
        <v>0.45605042016806729</v>
      </c>
      <c r="BH109" s="354">
        <f>Table2[[#This Row],[IQ Loss]]+Table2[[#This Row],[Switching Current Loss]]</f>
        <v>0.51683999999999997</v>
      </c>
      <c r="BI109"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10.325822106758112</v>
      </c>
      <c r="BJ109">
        <f>Vout*Table2[[#This Row],[Iout]]</f>
        <v>175.2</v>
      </c>
      <c r="BK109" s="550">
        <f>Table2[[#This Row],[Pout]]/(Table2[[#This Row],[Pout]]+Table2[[#This Row],[Total Loss]])</f>
        <v>0.94434293841416705</v>
      </c>
      <c r="BL109" s="559">
        <f>IF(Table2[[#This Row],[Vin]]&gt;Vout,ThetaJA_Q1*(Table2[[#This Row],[Total Control Bu MOSFET Loss]]+Table2[[#This Row],[Reverse Recovery Loss MOSFET D BUCK]]),ThetaJA_Q4*(Table2[[#This Row],[Total Control Bo MOSFET Loss]]+Table2[[#This Row],[Reverse Recovery Loss MOSFET D BOOST]]))</f>
        <v>224.14028830493297</v>
      </c>
      <c r="BM109" s="559">
        <f>IF(Table2[[#This Row],[Vin]]&gt;Vout, Table2[[#This Row],[Total Sync Bu MOSFET Loss]]*ThetaJA_Q2, ThetaJA_Q3*Table2[[#This Row],[Total Sync Bo MOSFET Loss]])</f>
        <v>83.180482719189584</v>
      </c>
      <c r="BN109" s="9"/>
      <c r="BO109" s="4">
        <f>Table2[[#This Row],[EFF, h]]*100</f>
        <v>94.434293841416704</v>
      </c>
      <c r="BP109" s="354">
        <f>Table2[[#This Row],[Total Inductor Loss]]</f>
        <v>1.1664963483138355</v>
      </c>
      <c r="BQ109" s="354">
        <f>Table2[[#This Row],[Total Control Bu MOSFET Loss]]+Table2[[#This Row],[Total Sync Bu MOSFET Loss]]+Table2[[#This Row],[Total Control Bo MOSFET Loss]]+Table2[[#This Row],[Total Sync Bo MOSFET Loss]]+Table2[[#This Row],[Reverse Recovery Loss MOSFET D BUCK]]+Table2[[#This Row],[Reverse Recovery Loss MOSFET D BOOST]]</f>
        <v>6.7824371642803429</v>
      </c>
      <c r="BR109" s="354">
        <f xml:space="preserve"> Table2[[#This Row],[Total Control Bu MOSFET Loss]]+Table2[[#This Row],[Reverse Recovery Loss MOSFET D BUCK]]*0.66</f>
        <v>3.6542771037488824</v>
      </c>
      <c r="BS109" s="354">
        <f>Table2[[#This Row],[Total Sync Bu MOSFET Loss]]+Table2[[#This Row],[Reverse Recovery Loss MOSFET D BUCK]]*0.33</f>
        <v>1.4653417946531597</v>
      </c>
      <c r="BT109" s="354">
        <f xml:space="preserve"> Table2[[#This Row],[Total Control Bo MOSFET Loss]]+Table2[[#This Row],[Reverse Recovery Loss MOSFET D BOOST]]*0.66</f>
        <v>0.86851538893915037</v>
      </c>
      <c r="BU109" s="354">
        <f xml:space="preserve"> Table2[[#This Row],[Total Sync Bo MOSFET Loss]]+Table2[[#This Row],[Reverse Recovery Loss MOSFET D BOOST]]*0.33</f>
        <v>0.78951497293915041</v>
      </c>
      <c r="BV109" s="354">
        <f>Table2[[#This Row],[Isense Shunt Loss]]</f>
        <v>0.3613129798762465</v>
      </c>
      <c r="CB109" s="18"/>
      <c r="CC109" s="19"/>
    </row>
    <row r="110" spans="7:81" x14ac:dyDescent="0.2">
      <c r="H110" s="555"/>
      <c r="I110" s="4"/>
      <c r="L110" s="4"/>
      <c r="M110" s="4"/>
      <c r="N110" s="4"/>
      <c r="O110" s="4"/>
      <c r="P110" s="4"/>
      <c r="Q110" s="4"/>
      <c r="R110" s="4"/>
      <c r="S110" s="4"/>
      <c r="W110" s="354"/>
      <c r="X110" s="354"/>
      <c r="Y110" s="354"/>
      <c r="Z110" s="354"/>
      <c r="AB110" s="354"/>
      <c r="AC110" s="354"/>
      <c r="AD110" s="354"/>
      <c r="AE110" s="354"/>
      <c r="AF110" s="549"/>
      <c r="AG110" s="354"/>
      <c r="AH110" s="354"/>
      <c r="AI110" s="354"/>
      <c r="AK110" s="354"/>
      <c r="AL110" s="354"/>
      <c r="AM110" s="354"/>
      <c r="AN110" s="354"/>
      <c r="AO110" s="354"/>
      <c r="AP110" s="354"/>
      <c r="AQ110" s="354"/>
      <c r="AR110" s="354"/>
      <c r="AT110" s="354"/>
      <c r="AU110" s="354"/>
      <c r="AV110" s="354"/>
      <c r="AW110" s="354"/>
      <c r="AX110" s="354"/>
      <c r="AY110" s="354"/>
      <c r="AZ110" s="354"/>
      <c r="BA110" s="354"/>
      <c r="BB110" s="354"/>
      <c r="BC110" s="354"/>
      <c r="BD110" s="354"/>
      <c r="BE110" s="354"/>
      <c r="BF110" s="354"/>
      <c r="BG110" s="354"/>
      <c r="BH110" s="354"/>
      <c r="BI110" s="354"/>
      <c r="BK110" s="550"/>
      <c r="BL110" s="559"/>
      <c r="BM110" s="559"/>
      <c r="BN110" s="9"/>
      <c r="BO110" s="48"/>
      <c r="BP110" s="354"/>
      <c r="BQ110" s="354"/>
      <c r="BR110" s="354"/>
      <c r="BS110" s="354"/>
      <c r="BT110" s="354"/>
      <c r="BU110" s="354"/>
      <c r="BV110" s="354"/>
    </row>
    <row r="111" spans="7:81" x14ac:dyDescent="0.2">
      <c r="H111" s="555"/>
      <c r="I111" s="4"/>
      <c r="L111" s="4"/>
      <c r="M111" s="4"/>
      <c r="N111" s="4"/>
      <c r="O111" s="4"/>
      <c r="P111" s="4"/>
      <c r="Q111" s="4"/>
      <c r="R111" s="4"/>
      <c r="S111" s="4"/>
      <c r="W111" s="354"/>
      <c r="X111" s="354"/>
      <c r="Y111" s="354"/>
      <c r="Z111" s="354"/>
      <c r="AB111" s="354"/>
      <c r="AC111" s="354"/>
      <c r="AD111" s="354"/>
      <c r="AE111" s="354"/>
      <c r="AF111" s="549"/>
      <c r="AG111" s="354"/>
      <c r="AH111" s="354"/>
      <c r="AI111" s="354"/>
      <c r="AK111" s="354"/>
      <c r="AL111" s="354"/>
      <c r="AM111" s="354"/>
      <c r="AN111" s="354"/>
      <c r="AO111" s="354"/>
      <c r="AP111" s="354"/>
      <c r="AQ111" s="354"/>
      <c r="AR111" s="354"/>
      <c r="AT111" s="354"/>
      <c r="AU111" s="354"/>
      <c r="AV111" s="354"/>
      <c r="AW111" s="354"/>
      <c r="AX111" s="354"/>
      <c r="AY111" s="354"/>
      <c r="AZ111" s="354"/>
      <c r="BA111" s="354"/>
      <c r="BB111" s="354"/>
      <c r="BC111" s="354"/>
      <c r="BD111" s="354"/>
      <c r="BE111" s="354"/>
      <c r="BF111" s="354"/>
      <c r="BG111" s="354"/>
      <c r="BH111" s="354"/>
      <c r="BI111" s="354"/>
      <c r="BK111" s="550"/>
      <c r="BL111" s="559"/>
      <c r="BM111" s="559"/>
      <c r="BN111" s="9"/>
      <c r="BO111" s="48"/>
      <c r="BP111" s="354"/>
      <c r="BQ111" s="354"/>
      <c r="BR111" s="354"/>
      <c r="BS111" s="354"/>
      <c r="BT111" s="354"/>
      <c r="BU111" s="354"/>
      <c r="BV111" s="354"/>
    </row>
    <row r="112" spans="7:81" x14ac:dyDescent="0.2">
      <c r="H112" s="555"/>
      <c r="I112" s="4"/>
      <c r="L112" s="4"/>
      <c r="M112" s="4"/>
      <c r="N112" s="4"/>
      <c r="O112" s="4"/>
      <c r="P112" s="4"/>
      <c r="Q112" s="4"/>
      <c r="R112" s="4"/>
      <c r="S112" s="4"/>
      <c r="W112" s="354"/>
      <c r="X112" s="354"/>
      <c r="Y112" s="354"/>
      <c r="Z112" s="354"/>
      <c r="AB112" s="354"/>
      <c r="AC112" s="354"/>
      <c r="AD112" s="354"/>
      <c r="AE112" s="354"/>
      <c r="AF112" s="549"/>
      <c r="AG112" s="354"/>
      <c r="AH112" s="354"/>
      <c r="AI112" s="354"/>
      <c r="AK112" s="354"/>
      <c r="AL112" s="354"/>
      <c r="AM112" s="354"/>
      <c r="AN112" s="354"/>
      <c r="AO112" s="354"/>
      <c r="AP112" s="354"/>
      <c r="AQ112" s="354"/>
      <c r="AR112" s="354"/>
      <c r="AT112" s="354"/>
      <c r="AU112" s="354"/>
      <c r="AV112" s="354"/>
      <c r="AW112" s="354"/>
      <c r="AX112" s="354"/>
      <c r="AY112" s="354"/>
      <c r="AZ112" s="354"/>
      <c r="BA112" s="354"/>
      <c r="BB112" s="354"/>
      <c r="BC112" s="354"/>
      <c r="BD112" s="354"/>
      <c r="BE112" s="354"/>
      <c r="BF112" s="354"/>
      <c r="BG112" s="354"/>
      <c r="BH112" s="354"/>
      <c r="BI112" s="354"/>
      <c r="BK112" s="550"/>
      <c r="BL112" s="559"/>
      <c r="BM112" s="559"/>
      <c r="BN112" s="9"/>
      <c r="BO112" s="48"/>
      <c r="BP112" s="354"/>
      <c r="BQ112" s="354"/>
      <c r="BR112" s="354"/>
      <c r="BS112" s="354"/>
      <c r="BT112" s="354"/>
      <c r="BU112" s="354"/>
      <c r="BV112" s="354"/>
    </row>
    <row r="113" spans="8:74" x14ac:dyDescent="0.2">
      <c r="H113" s="555"/>
      <c r="I113" s="4"/>
      <c r="L113" s="4"/>
      <c r="M113" s="4"/>
      <c r="N113" s="4"/>
      <c r="O113" s="4"/>
      <c r="P113" s="4"/>
      <c r="Q113" s="4"/>
      <c r="R113" s="4"/>
      <c r="S113" s="4"/>
      <c r="W113" s="354"/>
      <c r="X113" s="354"/>
      <c r="Y113" s="354"/>
      <c r="Z113" s="354"/>
      <c r="AB113" s="354"/>
      <c r="AC113" s="354"/>
      <c r="AD113" s="354"/>
      <c r="AE113" s="354"/>
      <c r="AF113" s="549"/>
      <c r="AG113" s="354"/>
      <c r="AH113" s="354"/>
      <c r="AI113" s="354"/>
      <c r="AK113" s="354"/>
      <c r="AL113" s="354"/>
      <c r="AM113" s="354"/>
      <c r="AN113" s="354"/>
      <c r="AO113" s="354"/>
      <c r="AP113" s="354"/>
      <c r="AQ113" s="354"/>
      <c r="AR113" s="354"/>
      <c r="AT113" s="354"/>
      <c r="AU113" s="354"/>
      <c r="AV113" s="354"/>
      <c r="AW113" s="354"/>
      <c r="AX113" s="354"/>
      <c r="AY113" s="354"/>
      <c r="AZ113" s="354"/>
      <c r="BA113" s="354"/>
      <c r="BB113" s="354"/>
      <c r="BC113" s="354"/>
      <c r="BD113" s="354"/>
      <c r="BE113" s="354"/>
      <c r="BF113" s="354"/>
      <c r="BG113" s="354"/>
      <c r="BH113" s="354"/>
      <c r="BI113" s="354"/>
      <c r="BK113" s="550"/>
      <c r="BL113" s="559"/>
      <c r="BM113" s="559"/>
      <c r="BN113" s="9"/>
      <c r="BO113" s="48"/>
      <c r="BP113" s="354"/>
      <c r="BQ113" s="354"/>
      <c r="BR113" s="354"/>
      <c r="BS113" s="354"/>
      <c r="BT113" s="354"/>
      <c r="BU113" s="354"/>
      <c r="BV113" s="354"/>
    </row>
    <row r="114" spans="8:74" x14ac:dyDescent="0.2">
      <c r="H114" s="555"/>
      <c r="I114" s="4"/>
      <c r="L114" s="4"/>
      <c r="M114" s="4"/>
      <c r="N114" s="4"/>
      <c r="O114" s="4"/>
      <c r="P114" s="4"/>
      <c r="Q114" s="4"/>
      <c r="R114" s="4"/>
      <c r="S114" s="4"/>
      <c r="W114" s="354"/>
      <c r="X114" s="354"/>
      <c r="Y114" s="354"/>
      <c r="Z114" s="354"/>
      <c r="AB114" s="354"/>
      <c r="AC114" s="354"/>
      <c r="AD114" s="354"/>
      <c r="AE114" s="354"/>
      <c r="AF114" s="549"/>
      <c r="AG114" s="354"/>
      <c r="AH114" s="354"/>
      <c r="AI114" s="354"/>
      <c r="AK114" s="354"/>
      <c r="AL114" s="354"/>
      <c r="AM114" s="354"/>
      <c r="AN114" s="354"/>
      <c r="AO114" s="354"/>
      <c r="AP114" s="354"/>
      <c r="AQ114" s="354"/>
      <c r="AR114" s="354"/>
      <c r="AT114" s="354"/>
      <c r="AU114" s="354"/>
      <c r="AV114" s="354"/>
      <c r="AW114" s="354"/>
      <c r="AX114" s="354"/>
      <c r="AY114" s="354"/>
      <c r="AZ114" s="354"/>
      <c r="BA114" s="354"/>
      <c r="BB114" s="354"/>
      <c r="BC114" s="354"/>
      <c r="BD114" s="354"/>
      <c r="BE114" s="354"/>
      <c r="BF114" s="354"/>
      <c r="BG114" s="354"/>
      <c r="BH114" s="354"/>
      <c r="BI114" s="354"/>
      <c r="BK114" s="550"/>
      <c r="BL114" s="559"/>
      <c r="BM114" s="559"/>
      <c r="BN114" s="9"/>
      <c r="BO114" s="48"/>
      <c r="BP114" s="354"/>
      <c r="BQ114" s="354"/>
      <c r="BR114" s="354"/>
      <c r="BS114" s="354"/>
      <c r="BT114" s="354"/>
      <c r="BU114" s="354"/>
      <c r="BV114" s="354"/>
    </row>
    <row r="115" spans="8:74" x14ac:dyDescent="0.2">
      <c r="H115" s="555"/>
      <c r="I115" s="4"/>
      <c r="L115" s="4"/>
      <c r="M115" s="4"/>
      <c r="N115" s="4"/>
      <c r="O115" s="4"/>
      <c r="P115" s="4"/>
      <c r="Q115" s="4"/>
      <c r="R115" s="4"/>
      <c r="S115" s="4"/>
      <c r="W115" s="354"/>
      <c r="X115" s="354"/>
      <c r="Y115" s="354"/>
      <c r="Z115" s="354"/>
      <c r="AB115" s="354"/>
      <c r="AC115" s="354"/>
      <c r="AD115" s="354"/>
      <c r="AE115" s="354"/>
      <c r="AF115" s="549"/>
      <c r="AG115" s="354"/>
      <c r="AH115" s="354"/>
      <c r="AI115" s="354"/>
      <c r="AK115" s="354"/>
      <c r="AL115" s="354"/>
      <c r="AM115" s="354"/>
      <c r="AN115" s="354"/>
      <c r="AO115" s="354"/>
      <c r="AP115" s="354"/>
      <c r="AQ115" s="354"/>
      <c r="AR115" s="354"/>
      <c r="AT115" s="354"/>
      <c r="AU115" s="354"/>
      <c r="AV115" s="354"/>
      <c r="AW115" s="354"/>
      <c r="AX115" s="354"/>
      <c r="AY115" s="354"/>
      <c r="AZ115" s="354"/>
      <c r="BA115" s="354"/>
      <c r="BB115" s="354"/>
      <c r="BC115" s="354"/>
      <c r="BD115" s="354"/>
      <c r="BE115" s="354"/>
      <c r="BF115" s="354"/>
      <c r="BG115" s="354"/>
      <c r="BH115" s="354"/>
      <c r="BI115" s="354"/>
      <c r="BK115" s="550"/>
      <c r="BL115" s="559"/>
      <c r="BM115" s="559"/>
      <c r="BN115" s="9"/>
      <c r="BO115" s="48"/>
      <c r="BP115" s="354"/>
      <c r="BQ115" s="354"/>
      <c r="BR115" s="354"/>
      <c r="BS115" s="354"/>
      <c r="BT115" s="354"/>
      <c r="BU115" s="354"/>
      <c r="BV115" s="354"/>
    </row>
    <row r="116" spans="8:74" x14ac:dyDescent="0.2">
      <c r="H116" s="555"/>
      <c r="I116" s="4"/>
      <c r="L116" s="4"/>
      <c r="M116" s="4"/>
      <c r="N116" s="4"/>
      <c r="O116" s="4"/>
      <c r="P116" s="4"/>
      <c r="Q116" s="4"/>
      <c r="R116" s="4"/>
      <c r="S116" s="4"/>
      <c r="W116" s="354"/>
      <c r="X116" s="354"/>
      <c r="Y116" s="354"/>
      <c r="Z116" s="354"/>
      <c r="AB116" s="354"/>
      <c r="AC116" s="354"/>
      <c r="AD116" s="354"/>
      <c r="AE116" s="354"/>
      <c r="AF116" s="549"/>
      <c r="AG116" s="354"/>
      <c r="AH116" s="354"/>
      <c r="AI116" s="354"/>
      <c r="AK116" s="354"/>
      <c r="AL116" s="354"/>
      <c r="AM116" s="354"/>
      <c r="AN116" s="354"/>
      <c r="AO116" s="354"/>
      <c r="AP116" s="354"/>
      <c r="AQ116" s="354"/>
      <c r="AR116" s="354"/>
      <c r="AT116" s="354"/>
      <c r="AU116" s="354"/>
      <c r="AV116" s="354"/>
      <c r="AW116" s="354"/>
      <c r="AX116" s="354"/>
      <c r="AY116" s="354"/>
      <c r="AZ116" s="354"/>
      <c r="BA116" s="354"/>
      <c r="BB116" s="354"/>
      <c r="BC116" s="354"/>
      <c r="BD116" s="354"/>
      <c r="BE116" s="354"/>
      <c r="BF116" s="354"/>
      <c r="BG116" s="354"/>
      <c r="BH116" s="354"/>
      <c r="BI116" s="354"/>
      <c r="BK116" s="550"/>
      <c r="BL116" s="559"/>
      <c r="BM116" s="559"/>
      <c r="BN116" s="9"/>
      <c r="BO116" s="48"/>
      <c r="BP116" s="354"/>
      <c r="BQ116" s="354"/>
      <c r="BR116" s="354"/>
      <c r="BS116" s="354"/>
      <c r="BT116" s="354"/>
      <c r="BU116" s="354"/>
      <c r="BV116" s="354"/>
    </row>
    <row r="117" spans="8:74" x14ac:dyDescent="0.2">
      <c r="H117" s="555"/>
      <c r="I117" s="4"/>
      <c r="L117" s="4"/>
      <c r="M117" s="4"/>
      <c r="N117" s="4"/>
      <c r="O117" s="4"/>
      <c r="P117" s="4"/>
      <c r="Q117" s="4"/>
      <c r="R117" s="4"/>
      <c r="S117" s="4"/>
      <c r="W117" s="354"/>
      <c r="X117" s="354"/>
      <c r="Y117" s="354"/>
      <c r="Z117" s="354"/>
      <c r="AB117" s="354"/>
      <c r="AC117" s="354"/>
      <c r="AD117" s="354"/>
      <c r="AE117" s="354"/>
      <c r="AF117" s="549"/>
      <c r="AG117" s="354"/>
      <c r="AH117" s="354"/>
      <c r="AI117" s="354"/>
      <c r="AK117" s="354"/>
      <c r="AL117" s="354"/>
      <c r="AM117" s="354"/>
      <c r="AN117" s="354"/>
      <c r="AO117" s="354"/>
      <c r="AP117" s="354"/>
      <c r="AQ117" s="354"/>
      <c r="AR117" s="354"/>
      <c r="AT117" s="354"/>
      <c r="AU117" s="354"/>
      <c r="AV117" s="354"/>
      <c r="AW117" s="354"/>
      <c r="AX117" s="354"/>
      <c r="AY117" s="354"/>
      <c r="AZ117" s="354"/>
      <c r="BA117" s="354"/>
      <c r="BB117" s="354"/>
      <c r="BC117" s="354"/>
      <c r="BD117" s="354"/>
      <c r="BE117" s="354"/>
      <c r="BF117" s="354"/>
      <c r="BG117" s="354"/>
      <c r="BH117" s="354"/>
      <c r="BI117" s="354"/>
      <c r="BK117" s="550"/>
      <c r="BL117" s="559"/>
      <c r="BM117" s="559"/>
      <c r="BN117" s="9"/>
      <c r="BO117" s="48"/>
      <c r="BP117" s="354"/>
      <c r="BQ117" s="354"/>
      <c r="BR117" s="354"/>
      <c r="BS117" s="354"/>
      <c r="BT117" s="354"/>
      <c r="BU117" s="354"/>
      <c r="BV117" s="354"/>
    </row>
    <row r="118" spans="8:74" x14ac:dyDescent="0.2">
      <c r="H118" s="555"/>
      <c r="I118" s="4"/>
      <c r="L118" s="4"/>
      <c r="M118" s="4"/>
      <c r="N118" s="4"/>
      <c r="O118" s="4"/>
      <c r="P118" s="4"/>
      <c r="Q118" s="4"/>
      <c r="R118" s="4"/>
      <c r="S118" s="4"/>
      <c r="W118" s="354"/>
      <c r="X118" s="354"/>
      <c r="Y118" s="354"/>
      <c r="Z118" s="354"/>
      <c r="AB118" s="354"/>
      <c r="AC118" s="354"/>
      <c r="AD118" s="354"/>
      <c r="AE118" s="354"/>
      <c r="AF118" s="549"/>
      <c r="AG118" s="354"/>
      <c r="AH118" s="354"/>
      <c r="AI118" s="354"/>
      <c r="AK118" s="354"/>
      <c r="AL118" s="354"/>
      <c r="AM118" s="354"/>
      <c r="AN118" s="354"/>
      <c r="AO118" s="354"/>
      <c r="AP118" s="354"/>
      <c r="AQ118" s="354"/>
      <c r="AR118" s="354"/>
      <c r="AT118" s="354"/>
      <c r="AU118" s="354"/>
      <c r="AV118" s="354"/>
      <c r="AW118" s="354"/>
      <c r="AX118" s="354"/>
      <c r="AY118" s="354"/>
      <c r="AZ118" s="354"/>
      <c r="BA118" s="354"/>
      <c r="BB118" s="354"/>
      <c r="BC118" s="354"/>
      <c r="BD118" s="354"/>
      <c r="BE118" s="354"/>
      <c r="BF118" s="354"/>
      <c r="BG118" s="354"/>
      <c r="BH118" s="354"/>
      <c r="BI118" s="354"/>
      <c r="BK118" s="550"/>
      <c r="BL118" s="559"/>
      <c r="BM118" s="559"/>
      <c r="BN118" s="9"/>
      <c r="BO118" s="48"/>
      <c r="BP118" s="354"/>
      <c r="BQ118" s="354"/>
      <c r="BR118" s="354"/>
      <c r="BS118" s="354"/>
      <c r="BT118" s="354"/>
      <c r="BU118" s="354"/>
      <c r="BV118" s="354"/>
    </row>
    <row r="119" spans="8:74" x14ac:dyDescent="0.2">
      <c r="H119" s="555"/>
      <c r="I119" s="4"/>
      <c r="L119" s="4"/>
      <c r="M119" s="4"/>
      <c r="N119" s="4"/>
      <c r="O119" s="4"/>
      <c r="P119" s="4"/>
      <c r="Q119" s="4"/>
      <c r="R119" s="4"/>
      <c r="S119" s="4"/>
      <c r="W119" s="354"/>
      <c r="X119" s="354"/>
      <c r="Y119" s="354"/>
      <c r="Z119" s="354"/>
      <c r="AB119" s="354"/>
      <c r="AC119" s="354"/>
      <c r="AD119" s="354"/>
      <c r="AE119" s="354"/>
      <c r="AF119" s="549"/>
      <c r="AG119" s="354"/>
      <c r="AH119" s="354"/>
      <c r="AI119" s="354"/>
      <c r="AK119" s="354"/>
      <c r="AL119" s="354"/>
      <c r="AM119" s="354"/>
      <c r="AN119" s="354"/>
      <c r="AO119" s="354"/>
      <c r="AP119" s="354"/>
      <c r="AQ119" s="354"/>
      <c r="AR119" s="354"/>
      <c r="AT119" s="354"/>
      <c r="AU119" s="354"/>
      <c r="AV119" s="354"/>
      <c r="AW119" s="354"/>
      <c r="AX119" s="354"/>
      <c r="AY119" s="354"/>
      <c r="AZ119" s="354"/>
      <c r="BA119" s="354"/>
      <c r="BB119" s="354"/>
      <c r="BC119" s="354"/>
      <c r="BD119" s="354"/>
      <c r="BE119" s="354"/>
      <c r="BF119" s="354"/>
      <c r="BG119" s="354"/>
      <c r="BH119" s="354"/>
      <c r="BI119" s="354"/>
      <c r="BK119" s="550"/>
      <c r="BL119" s="559"/>
      <c r="BM119" s="559"/>
      <c r="BN119" s="9"/>
      <c r="BO119" s="48"/>
      <c r="BP119" s="354"/>
      <c r="BQ119" s="354"/>
      <c r="BR119" s="354"/>
      <c r="BS119" s="354"/>
      <c r="BT119" s="354"/>
      <c r="BU119" s="354"/>
      <c r="BV119" s="354"/>
    </row>
    <row r="120" spans="8:74" x14ac:dyDescent="0.2">
      <c r="H120" s="555"/>
      <c r="I120" s="4"/>
      <c r="L120" s="4"/>
      <c r="M120" s="4"/>
      <c r="N120" s="4"/>
      <c r="O120" s="4"/>
      <c r="P120" s="4"/>
      <c r="Q120" s="4"/>
      <c r="R120" s="4"/>
      <c r="S120" s="4"/>
      <c r="W120" s="354"/>
      <c r="X120" s="354"/>
      <c r="Y120" s="354"/>
      <c r="Z120" s="354"/>
      <c r="AB120" s="354"/>
      <c r="AC120" s="354"/>
      <c r="AD120" s="354"/>
      <c r="AE120" s="354"/>
      <c r="AF120" s="549"/>
      <c r="AG120" s="354"/>
      <c r="AH120" s="354"/>
      <c r="AI120" s="354"/>
      <c r="AK120" s="354"/>
      <c r="AL120" s="354"/>
      <c r="AM120" s="354"/>
      <c r="AN120" s="354"/>
      <c r="AO120" s="354"/>
      <c r="AP120" s="354"/>
      <c r="AQ120" s="354"/>
      <c r="AR120" s="354"/>
      <c r="AT120" s="354"/>
      <c r="AU120" s="354"/>
      <c r="AV120" s="354"/>
      <c r="AW120" s="354"/>
      <c r="AX120" s="354"/>
      <c r="AY120" s="354"/>
      <c r="AZ120" s="354"/>
      <c r="BA120" s="354"/>
      <c r="BB120" s="354"/>
      <c r="BC120" s="354"/>
      <c r="BD120" s="354"/>
      <c r="BE120" s="354"/>
      <c r="BF120" s="354"/>
      <c r="BG120" s="354"/>
      <c r="BH120" s="354"/>
      <c r="BI120" s="354"/>
      <c r="BK120" s="550"/>
      <c r="BL120" s="559"/>
      <c r="BM120" s="559"/>
      <c r="BN120" s="9"/>
      <c r="BO120" s="48"/>
      <c r="BP120" s="354"/>
      <c r="BQ120" s="354"/>
      <c r="BR120" s="354"/>
      <c r="BS120" s="354"/>
      <c r="BT120" s="354"/>
      <c r="BU120" s="354"/>
      <c r="BV120" s="354"/>
    </row>
    <row r="121" spans="8:74" x14ac:dyDescent="0.2">
      <c r="H121" s="555"/>
      <c r="I121" s="4"/>
      <c r="L121" s="4"/>
      <c r="M121" s="4"/>
      <c r="N121" s="4"/>
      <c r="O121" s="4"/>
      <c r="P121" s="4"/>
      <c r="Q121" s="4"/>
      <c r="R121" s="4"/>
      <c r="S121" s="4"/>
      <c r="W121" s="354"/>
      <c r="X121" s="354"/>
      <c r="Y121" s="354"/>
      <c r="Z121" s="354"/>
      <c r="AB121" s="354"/>
      <c r="AC121" s="354"/>
      <c r="AD121" s="354"/>
      <c r="AE121" s="354"/>
      <c r="AF121" s="549"/>
      <c r="AG121" s="354"/>
      <c r="AH121" s="354"/>
      <c r="AI121" s="354"/>
      <c r="AK121" s="354"/>
      <c r="AL121" s="354"/>
      <c r="AM121" s="354"/>
      <c r="AN121" s="354"/>
      <c r="AO121" s="354"/>
      <c r="AP121" s="354"/>
      <c r="AQ121" s="354"/>
      <c r="AR121" s="354"/>
      <c r="AT121" s="354"/>
      <c r="AU121" s="354"/>
      <c r="AV121" s="354"/>
      <c r="AW121" s="354"/>
      <c r="AX121" s="354"/>
      <c r="AY121" s="354"/>
      <c r="AZ121" s="354"/>
      <c r="BA121" s="354"/>
      <c r="BB121" s="354"/>
      <c r="BC121" s="354"/>
      <c r="BD121" s="354"/>
      <c r="BE121" s="354"/>
      <c r="BF121" s="354"/>
      <c r="BG121" s="354"/>
      <c r="BH121" s="354"/>
      <c r="BI121" s="354"/>
      <c r="BK121" s="550"/>
      <c r="BL121" s="559"/>
      <c r="BM121" s="559"/>
      <c r="BN121" s="9"/>
      <c r="BO121" s="48"/>
      <c r="BP121" s="354"/>
      <c r="BQ121" s="354"/>
      <c r="BR121" s="354"/>
      <c r="BS121" s="354"/>
      <c r="BT121" s="354"/>
      <c r="BU121" s="354"/>
      <c r="BV121" s="354"/>
    </row>
    <row r="122" spans="8:74" x14ac:dyDescent="0.2">
      <c r="H122" s="555"/>
      <c r="I122" s="4"/>
      <c r="L122" s="4"/>
      <c r="M122" s="4"/>
      <c r="N122" s="4"/>
      <c r="O122" s="4"/>
      <c r="P122" s="4"/>
      <c r="Q122" s="4"/>
      <c r="R122" s="4"/>
      <c r="S122" s="4"/>
      <c r="W122" s="354"/>
      <c r="X122" s="354"/>
      <c r="Y122" s="354"/>
      <c r="Z122" s="354"/>
      <c r="AB122" s="354"/>
      <c r="AC122" s="354"/>
      <c r="AD122" s="354"/>
      <c r="AE122" s="354"/>
      <c r="AF122" s="549"/>
      <c r="AG122" s="354"/>
      <c r="AH122" s="354"/>
      <c r="AI122" s="354"/>
      <c r="AK122" s="354"/>
      <c r="AL122" s="354"/>
      <c r="AM122" s="354"/>
      <c r="AN122" s="354"/>
      <c r="AO122" s="354"/>
      <c r="AP122" s="354"/>
      <c r="AQ122" s="354"/>
      <c r="AR122" s="354"/>
      <c r="AT122" s="354"/>
      <c r="AU122" s="354"/>
      <c r="AV122" s="354"/>
      <c r="AW122" s="354"/>
      <c r="AX122" s="354"/>
      <c r="AY122" s="354"/>
      <c r="AZ122" s="354"/>
      <c r="BA122" s="354"/>
      <c r="BB122" s="354"/>
      <c r="BC122" s="354"/>
      <c r="BD122" s="354"/>
      <c r="BE122" s="354"/>
      <c r="BF122" s="354"/>
      <c r="BG122" s="354"/>
      <c r="BH122" s="354"/>
      <c r="BI122" s="354"/>
      <c r="BK122" s="550"/>
      <c r="BL122" s="559"/>
      <c r="BM122" s="559"/>
      <c r="BN122" s="9"/>
      <c r="BO122" s="48"/>
      <c r="BP122" s="354"/>
      <c r="BQ122" s="354"/>
      <c r="BR122" s="354"/>
      <c r="BS122" s="354"/>
      <c r="BT122" s="354"/>
      <c r="BU122" s="354"/>
      <c r="BV122" s="354"/>
    </row>
    <row r="123" spans="8:74" x14ac:dyDescent="0.2">
      <c r="H123" s="555"/>
      <c r="I123" s="4"/>
      <c r="L123" s="4"/>
      <c r="M123" s="4"/>
      <c r="N123" s="4"/>
      <c r="O123" s="4"/>
      <c r="P123" s="4"/>
      <c r="Q123" s="4"/>
      <c r="R123" s="4"/>
      <c r="S123" s="4"/>
      <c r="W123" s="354"/>
      <c r="X123" s="354"/>
      <c r="Y123" s="354"/>
      <c r="Z123" s="354"/>
      <c r="AB123" s="354"/>
      <c r="AC123" s="354"/>
      <c r="AD123" s="354"/>
      <c r="AE123" s="354"/>
      <c r="AF123" s="549"/>
      <c r="AG123" s="354"/>
      <c r="AH123" s="354"/>
      <c r="AI123" s="354"/>
      <c r="AK123" s="354"/>
      <c r="AL123" s="354"/>
      <c r="AM123" s="354"/>
      <c r="AN123" s="354"/>
      <c r="AO123" s="354"/>
      <c r="AP123" s="354"/>
      <c r="AQ123" s="354"/>
      <c r="AR123" s="354"/>
      <c r="AT123" s="354"/>
      <c r="AU123" s="354"/>
      <c r="AV123" s="354"/>
      <c r="AW123" s="354"/>
      <c r="AX123" s="354"/>
      <c r="AY123" s="354"/>
      <c r="AZ123" s="354"/>
      <c r="BA123" s="354"/>
      <c r="BB123" s="354"/>
      <c r="BC123" s="354"/>
      <c r="BD123" s="354"/>
      <c r="BE123" s="354"/>
      <c r="BF123" s="354"/>
      <c r="BG123" s="354"/>
      <c r="BH123" s="354"/>
      <c r="BI123" s="354"/>
      <c r="BK123" s="550"/>
      <c r="BL123" s="559"/>
      <c r="BM123" s="559"/>
      <c r="BN123" s="9"/>
      <c r="BO123" s="48"/>
      <c r="BP123" s="354"/>
      <c r="BQ123" s="354"/>
      <c r="BR123" s="354"/>
      <c r="BS123" s="354"/>
      <c r="BT123" s="354"/>
      <c r="BU123" s="354"/>
      <c r="BV123" s="354"/>
    </row>
    <row r="124" spans="8:74" x14ac:dyDescent="0.2">
      <c r="H124" s="555"/>
      <c r="I124" s="4"/>
      <c r="L124" s="4"/>
      <c r="M124" s="4"/>
      <c r="N124" s="4"/>
      <c r="O124" s="4"/>
      <c r="P124" s="4"/>
      <c r="Q124" s="4"/>
      <c r="R124" s="4"/>
      <c r="S124" s="4"/>
      <c r="W124" s="354"/>
      <c r="X124" s="354"/>
      <c r="Y124" s="354"/>
      <c r="Z124" s="354"/>
      <c r="AB124" s="354"/>
      <c r="AC124" s="354"/>
      <c r="AD124" s="354"/>
      <c r="AE124" s="354"/>
      <c r="AF124" s="549"/>
      <c r="AG124" s="354"/>
      <c r="AH124" s="354"/>
      <c r="AI124" s="354"/>
      <c r="AK124" s="354"/>
      <c r="AL124" s="354"/>
      <c r="AM124" s="354"/>
      <c r="AN124" s="354"/>
      <c r="AO124" s="354"/>
      <c r="AP124" s="354"/>
      <c r="AQ124" s="354"/>
      <c r="AR124" s="354"/>
      <c r="AT124" s="354"/>
      <c r="AU124" s="354"/>
      <c r="AV124" s="354"/>
      <c r="AW124" s="354"/>
      <c r="AX124" s="354"/>
      <c r="AY124" s="354"/>
      <c r="AZ124" s="354"/>
      <c r="BA124" s="354"/>
      <c r="BB124" s="354"/>
      <c r="BC124" s="354"/>
      <c r="BD124" s="354"/>
      <c r="BE124" s="354"/>
      <c r="BF124" s="354"/>
      <c r="BG124" s="354"/>
      <c r="BH124" s="354"/>
      <c r="BI124" s="354"/>
      <c r="BK124" s="550"/>
      <c r="BL124" s="559"/>
      <c r="BM124" s="559"/>
      <c r="BN124" s="9"/>
      <c r="BO124" s="48"/>
      <c r="BP124" s="354"/>
      <c r="BQ124" s="354"/>
      <c r="BR124" s="354"/>
      <c r="BS124" s="354"/>
      <c r="BT124" s="354"/>
      <c r="BU124" s="354"/>
      <c r="BV124" s="354"/>
    </row>
    <row r="125" spans="8:74" x14ac:dyDescent="0.2">
      <c r="H125" s="555"/>
      <c r="I125" s="4"/>
      <c r="L125" s="4"/>
      <c r="M125" s="4"/>
      <c r="N125" s="4"/>
      <c r="O125" s="4"/>
      <c r="P125" s="4"/>
      <c r="Q125" s="4"/>
      <c r="R125" s="4"/>
      <c r="S125" s="4"/>
      <c r="W125" s="354"/>
      <c r="X125" s="354"/>
      <c r="Y125" s="354"/>
      <c r="Z125" s="354"/>
      <c r="AB125" s="354"/>
      <c r="AC125" s="354"/>
      <c r="AD125" s="354"/>
      <c r="AE125" s="354"/>
      <c r="AF125" s="549"/>
      <c r="AG125" s="354"/>
      <c r="AH125" s="354"/>
      <c r="AI125" s="354"/>
      <c r="AK125" s="354"/>
      <c r="AL125" s="354"/>
      <c r="AM125" s="354"/>
      <c r="AN125" s="354"/>
      <c r="AO125" s="354"/>
      <c r="AP125" s="354"/>
      <c r="AQ125" s="354"/>
      <c r="AR125" s="354"/>
      <c r="AT125" s="354"/>
      <c r="AU125" s="354"/>
      <c r="AV125" s="354"/>
      <c r="AW125" s="354"/>
      <c r="AX125" s="354"/>
      <c r="AY125" s="354"/>
      <c r="AZ125" s="354"/>
      <c r="BA125" s="354"/>
      <c r="BB125" s="354"/>
      <c r="BC125" s="354"/>
      <c r="BD125" s="354"/>
      <c r="BE125" s="354"/>
      <c r="BF125" s="354"/>
      <c r="BG125" s="354"/>
      <c r="BH125" s="354"/>
      <c r="BI125" s="354"/>
      <c r="BK125" s="550"/>
      <c r="BL125" s="559"/>
      <c r="BM125" s="559"/>
      <c r="BN125" s="9"/>
      <c r="BO125" s="48"/>
      <c r="BP125" s="354"/>
      <c r="BQ125" s="354"/>
      <c r="BR125" s="354"/>
      <c r="BS125" s="354"/>
      <c r="BT125" s="354"/>
      <c r="BU125" s="354"/>
      <c r="BV125" s="354"/>
    </row>
    <row r="126" spans="8:74" x14ac:dyDescent="0.2">
      <c r="H126" s="555"/>
      <c r="I126" s="4"/>
      <c r="L126" s="4"/>
      <c r="M126" s="4"/>
      <c r="N126" s="4"/>
      <c r="O126" s="4"/>
      <c r="P126" s="4"/>
      <c r="Q126" s="4"/>
      <c r="R126" s="4"/>
      <c r="S126" s="4"/>
      <c r="W126" s="354"/>
      <c r="X126" s="354"/>
      <c r="Y126" s="354"/>
      <c r="Z126" s="354"/>
      <c r="AB126" s="354"/>
      <c r="AC126" s="354"/>
      <c r="AD126" s="354"/>
      <c r="AE126" s="354"/>
      <c r="AF126" s="549"/>
      <c r="AG126" s="354"/>
      <c r="AH126" s="354"/>
      <c r="AI126" s="354"/>
      <c r="AK126" s="354"/>
      <c r="AL126" s="354"/>
      <c r="AM126" s="354"/>
      <c r="AN126" s="354"/>
      <c r="AO126" s="354"/>
      <c r="AP126" s="354"/>
      <c r="AQ126" s="354"/>
      <c r="AR126" s="354"/>
      <c r="AT126" s="354"/>
      <c r="AU126" s="354"/>
      <c r="AV126" s="354"/>
      <c r="AW126" s="354"/>
      <c r="AX126" s="354"/>
      <c r="AY126" s="354"/>
      <c r="AZ126" s="354"/>
      <c r="BA126" s="354"/>
      <c r="BB126" s="354"/>
      <c r="BC126" s="354"/>
      <c r="BD126" s="354"/>
      <c r="BE126" s="354"/>
      <c r="BF126" s="354"/>
      <c r="BG126" s="354"/>
      <c r="BH126" s="354"/>
      <c r="BI126" s="354"/>
      <c r="BK126" s="550"/>
      <c r="BL126" s="559"/>
      <c r="BM126" s="559"/>
      <c r="BN126" s="9"/>
      <c r="BO126" s="48"/>
      <c r="BP126" s="354"/>
      <c r="BQ126" s="354"/>
      <c r="BR126" s="354"/>
      <c r="BS126" s="354"/>
      <c r="BT126" s="354"/>
      <c r="BU126" s="354"/>
      <c r="BV126" s="354"/>
    </row>
    <row r="127" spans="8:74" x14ac:dyDescent="0.2">
      <c r="H127" s="555"/>
      <c r="I127" s="4"/>
      <c r="L127" s="4"/>
      <c r="M127" s="4"/>
      <c r="N127" s="4"/>
      <c r="O127" s="4"/>
      <c r="P127" s="4"/>
      <c r="Q127" s="4"/>
      <c r="R127" s="4"/>
      <c r="S127" s="4"/>
      <c r="W127" s="354"/>
      <c r="X127" s="354"/>
      <c r="Y127" s="354"/>
      <c r="Z127" s="354"/>
      <c r="AB127" s="354"/>
      <c r="AC127" s="354"/>
      <c r="AD127" s="354"/>
      <c r="AE127" s="354"/>
      <c r="AF127" s="549"/>
      <c r="AG127" s="354"/>
      <c r="AH127" s="354"/>
      <c r="AI127" s="354"/>
      <c r="AK127" s="354"/>
      <c r="AL127" s="354"/>
      <c r="AM127" s="354"/>
      <c r="AN127" s="354"/>
      <c r="AO127" s="354"/>
      <c r="AP127" s="354"/>
      <c r="AQ127" s="354"/>
      <c r="AR127" s="354"/>
      <c r="AT127" s="354"/>
      <c r="AU127" s="354"/>
      <c r="AV127" s="354"/>
      <c r="AW127" s="354"/>
      <c r="AX127" s="354"/>
      <c r="AY127" s="354"/>
      <c r="AZ127" s="354"/>
      <c r="BA127" s="354"/>
      <c r="BB127" s="354"/>
      <c r="BC127" s="354"/>
      <c r="BD127" s="354"/>
      <c r="BE127" s="354"/>
      <c r="BF127" s="354"/>
      <c r="BG127" s="354"/>
      <c r="BH127" s="354"/>
      <c r="BI127" s="354"/>
      <c r="BK127" s="550"/>
      <c r="BL127" s="559"/>
      <c r="BM127" s="559"/>
      <c r="BN127" s="9"/>
      <c r="BO127" s="48"/>
      <c r="BP127" s="354"/>
      <c r="BQ127" s="354"/>
      <c r="BR127" s="354"/>
      <c r="BS127" s="354"/>
      <c r="BT127" s="354"/>
      <c r="BU127" s="354"/>
      <c r="BV127" s="354"/>
    </row>
    <row r="128" spans="8:74" x14ac:dyDescent="0.2">
      <c r="H128" s="555"/>
      <c r="I128" s="4"/>
      <c r="L128" s="4"/>
      <c r="M128" s="4"/>
      <c r="N128" s="4"/>
      <c r="O128" s="4"/>
      <c r="P128" s="4"/>
      <c r="Q128" s="4"/>
      <c r="R128" s="4"/>
      <c r="S128" s="4"/>
      <c r="W128" s="354"/>
      <c r="X128" s="354"/>
      <c r="Y128" s="354"/>
      <c r="Z128" s="354"/>
      <c r="AB128" s="354"/>
      <c r="AC128" s="354"/>
      <c r="AD128" s="354"/>
      <c r="AE128" s="354"/>
      <c r="AF128" s="549"/>
      <c r="AG128" s="354"/>
      <c r="AH128" s="354"/>
      <c r="AI128" s="354"/>
      <c r="AK128" s="354"/>
      <c r="AL128" s="354"/>
      <c r="AM128" s="354"/>
      <c r="AN128" s="354"/>
      <c r="AO128" s="354"/>
      <c r="AP128" s="354"/>
      <c r="AQ128" s="354"/>
      <c r="AR128" s="354"/>
      <c r="AT128" s="354"/>
      <c r="AU128" s="354"/>
      <c r="AV128" s="354"/>
      <c r="AW128" s="354"/>
      <c r="AX128" s="354"/>
      <c r="AY128" s="354"/>
      <c r="AZ128" s="354"/>
      <c r="BA128" s="354"/>
      <c r="BB128" s="354"/>
      <c r="BC128" s="354"/>
      <c r="BD128" s="354"/>
      <c r="BE128" s="354"/>
      <c r="BF128" s="354"/>
      <c r="BG128" s="354"/>
      <c r="BH128" s="354"/>
      <c r="BI128" s="354"/>
      <c r="BK128" s="550"/>
      <c r="BL128" s="559"/>
      <c r="BM128" s="559"/>
      <c r="BN128" s="9"/>
      <c r="BO128" s="48"/>
      <c r="BP128" s="354"/>
      <c r="BQ128" s="354"/>
      <c r="BR128" s="354"/>
      <c r="BS128" s="354"/>
      <c r="BT128" s="354"/>
      <c r="BU128" s="354"/>
      <c r="BV128" s="354"/>
    </row>
    <row r="129" spans="8:74" x14ac:dyDescent="0.2">
      <c r="H129" s="555"/>
      <c r="I129" s="4"/>
      <c r="L129" s="4"/>
      <c r="M129" s="4"/>
      <c r="N129" s="4"/>
      <c r="O129" s="4"/>
      <c r="P129" s="4"/>
      <c r="Q129" s="4"/>
      <c r="R129" s="4"/>
      <c r="S129" s="4"/>
      <c r="W129" s="354"/>
      <c r="X129" s="354"/>
      <c r="Y129" s="354"/>
      <c r="Z129" s="354"/>
      <c r="AB129" s="354"/>
      <c r="AC129" s="354"/>
      <c r="AD129" s="354"/>
      <c r="AE129" s="354"/>
      <c r="AF129" s="549"/>
      <c r="AG129" s="354"/>
      <c r="AH129" s="354"/>
      <c r="AI129" s="354"/>
      <c r="AK129" s="354"/>
      <c r="AL129" s="354"/>
      <c r="AM129" s="354"/>
      <c r="AN129" s="354"/>
      <c r="AO129" s="354"/>
      <c r="AP129" s="354"/>
      <c r="AQ129" s="354"/>
      <c r="AR129" s="354"/>
      <c r="AT129" s="354"/>
      <c r="AU129" s="354"/>
      <c r="AV129" s="354"/>
      <c r="AW129" s="354"/>
      <c r="AX129" s="354"/>
      <c r="AY129" s="354"/>
      <c r="AZ129" s="354"/>
      <c r="BA129" s="354"/>
      <c r="BB129" s="354"/>
      <c r="BC129" s="354"/>
      <c r="BD129" s="354"/>
      <c r="BE129" s="354"/>
      <c r="BF129" s="354"/>
      <c r="BG129" s="354"/>
      <c r="BH129" s="354"/>
      <c r="BI129" s="354"/>
      <c r="BK129" s="550"/>
      <c r="BL129" s="559"/>
      <c r="BM129" s="559"/>
      <c r="BN129" s="9"/>
      <c r="BO129" s="48"/>
      <c r="BP129" s="354"/>
      <c r="BQ129" s="354"/>
      <c r="BR129" s="354"/>
      <c r="BS129" s="354"/>
      <c r="BT129" s="354"/>
      <c r="BU129" s="354"/>
      <c r="BV129" s="354"/>
    </row>
    <row r="130" spans="8:74" x14ac:dyDescent="0.2">
      <c r="H130" s="555"/>
      <c r="I130" s="4"/>
      <c r="L130" s="4"/>
      <c r="M130" s="4"/>
      <c r="N130" s="4"/>
      <c r="O130" s="4"/>
      <c r="P130" s="4"/>
      <c r="Q130" s="4"/>
      <c r="R130" s="4"/>
      <c r="S130" s="4"/>
      <c r="W130" s="354"/>
      <c r="X130" s="354"/>
      <c r="Y130" s="354"/>
      <c r="Z130" s="354"/>
      <c r="AB130" s="354"/>
      <c r="AC130" s="354"/>
      <c r="AD130" s="354"/>
      <c r="AE130" s="354"/>
      <c r="AF130" s="549"/>
      <c r="AG130" s="354"/>
      <c r="AH130" s="354"/>
      <c r="AI130" s="354"/>
      <c r="AK130" s="354"/>
      <c r="AL130" s="354"/>
      <c r="AM130" s="354"/>
      <c r="AN130" s="354"/>
      <c r="AO130" s="354"/>
      <c r="AP130" s="354"/>
      <c r="AQ130" s="354"/>
      <c r="AR130" s="354"/>
      <c r="AT130" s="354"/>
      <c r="AU130" s="354"/>
      <c r="AV130" s="354"/>
      <c r="AW130" s="354"/>
      <c r="AX130" s="354"/>
      <c r="AY130" s="354"/>
      <c r="AZ130" s="354"/>
      <c r="BA130" s="354"/>
      <c r="BB130" s="354"/>
      <c r="BC130" s="354"/>
      <c r="BD130" s="354"/>
      <c r="BE130" s="354"/>
      <c r="BF130" s="354"/>
      <c r="BG130" s="354"/>
      <c r="BH130" s="354"/>
      <c r="BI130" s="354"/>
      <c r="BK130" s="550"/>
      <c r="BL130" s="559"/>
      <c r="BM130" s="559"/>
      <c r="BN130" s="9"/>
      <c r="BO130" s="48"/>
      <c r="BP130" s="354"/>
      <c r="BQ130" s="354"/>
      <c r="BR130" s="354"/>
      <c r="BS130" s="354"/>
      <c r="BT130" s="354"/>
      <c r="BU130" s="354"/>
      <c r="BV130" s="354"/>
    </row>
    <row r="131" spans="8:74" x14ac:dyDescent="0.2">
      <c r="H131" s="555"/>
      <c r="I131" s="4"/>
      <c r="L131" s="4"/>
      <c r="M131" s="4"/>
      <c r="N131" s="4"/>
      <c r="O131" s="4"/>
      <c r="P131" s="4"/>
      <c r="Q131" s="4"/>
      <c r="R131" s="4"/>
      <c r="S131" s="4"/>
      <c r="W131" s="354"/>
      <c r="X131" s="354"/>
      <c r="Y131" s="354"/>
      <c r="Z131" s="354"/>
      <c r="AB131" s="354"/>
      <c r="AC131" s="354"/>
      <c r="AD131" s="354"/>
      <c r="AE131" s="354"/>
      <c r="AF131" s="549"/>
      <c r="AG131" s="354"/>
      <c r="AH131" s="354"/>
      <c r="AI131" s="354"/>
      <c r="AK131" s="354"/>
      <c r="AL131" s="354"/>
      <c r="AM131" s="354"/>
      <c r="AN131" s="354"/>
      <c r="AO131" s="354"/>
      <c r="AP131" s="354"/>
      <c r="AQ131" s="354"/>
      <c r="AR131" s="354"/>
      <c r="AT131" s="354"/>
      <c r="AU131" s="354"/>
      <c r="AV131" s="354"/>
      <c r="AW131" s="354"/>
      <c r="AX131" s="354"/>
      <c r="AY131" s="354"/>
      <c r="AZ131" s="354"/>
      <c r="BA131" s="354"/>
      <c r="BB131" s="354"/>
      <c r="BC131" s="354"/>
      <c r="BD131" s="354"/>
      <c r="BE131" s="354"/>
      <c r="BF131" s="354"/>
      <c r="BG131" s="354"/>
      <c r="BH131" s="354"/>
      <c r="BI131" s="354"/>
      <c r="BK131" s="550"/>
      <c r="BL131" s="559"/>
      <c r="BM131" s="559"/>
      <c r="BN131" s="9"/>
      <c r="BO131" s="48"/>
      <c r="BP131" s="354"/>
      <c r="BQ131" s="354"/>
      <c r="BR131" s="354"/>
      <c r="BS131" s="354"/>
      <c r="BT131" s="354"/>
      <c r="BU131" s="354"/>
      <c r="BV131" s="354"/>
    </row>
    <row r="132" spans="8:74" x14ac:dyDescent="0.2">
      <c r="H132" s="555"/>
      <c r="I132" s="4"/>
      <c r="L132" s="4"/>
      <c r="M132" s="4"/>
      <c r="N132" s="4"/>
      <c r="O132" s="4"/>
      <c r="P132" s="4"/>
      <c r="Q132" s="4"/>
      <c r="R132" s="4"/>
      <c r="S132" s="4"/>
      <c r="W132" s="354"/>
      <c r="X132" s="354"/>
      <c r="Y132" s="354"/>
      <c r="Z132" s="354"/>
      <c r="AB132" s="354"/>
      <c r="AC132" s="354"/>
      <c r="AD132" s="354"/>
      <c r="AE132" s="354"/>
      <c r="AF132" s="549"/>
      <c r="AG132" s="354"/>
      <c r="AH132" s="354"/>
      <c r="AI132" s="354"/>
      <c r="AK132" s="354"/>
      <c r="AL132" s="354"/>
      <c r="AM132" s="354"/>
      <c r="AN132" s="354"/>
      <c r="AO132" s="354"/>
      <c r="AP132" s="354"/>
      <c r="AQ132" s="354"/>
      <c r="AR132" s="354"/>
      <c r="AT132" s="354"/>
      <c r="AU132" s="354"/>
      <c r="AV132" s="354"/>
      <c r="AW132" s="354"/>
      <c r="AX132" s="354"/>
      <c r="AY132" s="354"/>
      <c r="AZ132" s="354"/>
      <c r="BA132" s="354"/>
      <c r="BB132" s="354"/>
      <c r="BC132" s="354"/>
      <c r="BD132" s="354"/>
      <c r="BE132" s="354"/>
      <c r="BF132" s="354"/>
      <c r="BG132" s="354"/>
      <c r="BH132" s="354"/>
      <c r="BI132" s="354"/>
      <c r="BK132" s="550"/>
      <c r="BL132" s="559"/>
      <c r="BM132" s="559"/>
      <c r="BN132" s="9"/>
      <c r="BO132" s="48"/>
      <c r="BP132" s="354"/>
      <c r="BQ132" s="354"/>
      <c r="BR132" s="354"/>
      <c r="BS132" s="354"/>
      <c r="BT132" s="354"/>
      <c r="BU132" s="354"/>
      <c r="BV132" s="354"/>
    </row>
    <row r="133" spans="8:74" x14ac:dyDescent="0.2">
      <c r="H133" s="555"/>
      <c r="I133" s="4"/>
      <c r="L133" s="4"/>
      <c r="M133" s="4"/>
      <c r="N133" s="4"/>
      <c r="O133" s="4"/>
      <c r="P133" s="4"/>
      <c r="Q133" s="4"/>
      <c r="R133" s="4"/>
      <c r="S133" s="4"/>
      <c r="W133" s="354"/>
      <c r="X133" s="354"/>
      <c r="Y133" s="354"/>
      <c r="Z133" s="354"/>
      <c r="AB133" s="354"/>
      <c r="AC133" s="354"/>
      <c r="AD133" s="354"/>
      <c r="AE133" s="354"/>
      <c r="AF133" s="549"/>
      <c r="AG133" s="354"/>
      <c r="AH133" s="354"/>
      <c r="AI133" s="354"/>
      <c r="AK133" s="354"/>
      <c r="AL133" s="354"/>
      <c r="AM133" s="354"/>
      <c r="AN133" s="354"/>
      <c r="AO133" s="354"/>
      <c r="AP133" s="354"/>
      <c r="AQ133" s="354"/>
      <c r="AR133" s="354"/>
      <c r="AT133" s="354"/>
      <c r="AU133" s="354"/>
      <c r="AV133" s="354"/>
      <c r="AW133" s="354"/>
      <c r="AX133" s="354"/>
      <c r="AY133" s="354"/>
      <c r="AZ133" s="354"/>
      <c r="BA133" s="354"/>
      <c r="BB133" s="354"/>
      <c r="BC133" s="354"/>
      <c r="BD133" s="354"/>
      <c r="BE133" s="354"/>
      <c r="BF133" s="354"/>
      <c r="BG133" s="354"/>
      <c r="BH133" s="354"/>
      <c r="BI133" s="354"/>
      <c r="BK133" s="550"/>
      <c r="BL133" s="559"/>
      <c r="BM133" s="559"/>
      <c r="BN133" s="9"/>
      <c r="BO133" s="48"/>
      <c r="BP133" s="354"/>
      <c r="BQ133" s="354"/>
      <c r="BR133" s="354"/>
      <c r="BS133" s="354"/>
      <c r="BT133" s="354"/>
      <c r="BU133" s="354"/>
      <c r="BV133" s="354"/>
    </row>
    <row r="134" spans="8:74" x14ac:dyDescent="0.2">
      <c r="H134" s="555"/>
      <c r="I134" s="4"/>
      <c r="L134" s="4"/>
      <c r="M134" s="4"/>
      <c r="N134" s="4"/>
      <c r="O134" s="4"/>
      <c r="P134" s="4"/>
      <c r="Q134" s="4"/>
      <c r="R134" s="4"/>
      <c r="S134" s="4"/>
      <c r="W134" s="354"/>
      <c r="X134" s="354"/>
      <c r="Y134" s="354"/>
      <c r="Z134" s="354"/>
      <c r="AB134" s="354"/>
      <c r="AC134" s="354"/>
      <c r="AD134" s="354"/>
      <c r="AE134" s="354"/>
      <c r="AF134" s="549"/>
      <c r="AG134" s="354"/>
      <c r="AH134" s="354"/>
      <c r="AI134" s="354"/>
      <c r="AK134" s="354"/>
      <c r="AL134" s="354"/>
      <c r="AM134" s="354"/>
      <c r="AN134" s="354"/>
      <c r="AO134" s="354"/>
      <c r="AP134" s="354"/>
      <c r="AQ134" s="354"/>
      <c r="AR134" s="354"/>
      <c r="AT134" s="354"/>
      <c r="AU134" s="354"/>
      <c r="AV134" s="354"/>
      <c r="AW134" s="354"/>
      <c r="AX134" s="354"/>
      <c r="AY134" s="354"/>
      <c r="AZ134" s="354"/>
      <c r="BA134" s="354"/>
      <c r="BB134" s="354"/>
      <c r="BC134" s="354"/>
      <c r="BD134" s="354"/>
      <c r="BE134" s="354"/>
      <c r="BF134" s="354"/>
      <c r="BG134" s="354"/>
      <c r="BH134" s="354"/>
      <c r="BI134" s="354"/>
      <c r="BK134" s="550"/>
      <c r="BL134" s="559"/>
      <c r="BM134" s="559"/>
      <c r="BN134" s="9"/>
      <c r="BO134" s="48"/>
      <c r="BP134" s="354"/>
      <c r="BQ134" s="354"/>
      <c r="BR134" s="354"/>
      <c r="BS134" s="354"/>
      <c r="BT134" s="354"/>
      <c r="BU134" s="354"/>
      <c r="BV134" s="354"/>
    </row>
    <row r="135" spans="8:74" x14ac:dyDescent="0.2">
      <c r="H135" s="555"/>
      <c r="I135" s="4"/>
      <c r="L135" s="4"/>
      <c r="M135" s="4"/>
      <c r="N135" s="4"/>
      <c r="O135" s="4"/>
      <c r="P135" s="4"/>
      <c r="Q135" s="4"/>
      <c r="R135" s="4"/>
      <c r="S135" s="4"/>
      <c r="W135" s="354"/>
      <c r="X135" s="354"/>
      <c r="Y135" s="354"/>
      <c r="Z135" s="354"/>
      <c r="AB135" s="354"/>
      <c r="AC135" s="354"/>
      <c r="AD135" s="354"/>
      <c r="AE135" s="354"/>
      <c r="AF135" s="549"/>
      <c r="AG135" s="354"/>
      <c r="AH135" s="354"/>
      <c r="AI135" s="354"/>
      <c r="AK135" s="354"/>
      <c r="AL135" s="354"/>
      <c r="AM135" s="354"/>
      <c r="AN135" s="354"/>
      <c r="AO135" s="354"/>
      <c r="AP135" s="354"/>
      <c r="AQ135" s="354"/>
      <c r="AR135" s="354"/>
      <c r="AT135" s="354"/>
      <c r="AU135" s="354"/>
      <c r="AV135" s="354"/>
      <c r="AW135" s="354"/>
      <c r="AX135" s="354"/>
      <c r="AY135" s="354"/>
      <c r="AZ135" s="354"/>
      <c r="BA135" s="354"/>
      <c r="BB135" s="354"/>
      <c r="BC135" s="354"/>
      <c r="BD135" s="354"/>
      <c r="BE135" s="354"/>
      <c r="BF135" s="354"/>
      <c r="BG135" s="354"/>
      <c r="BH135" s="354"/>
      <c r="BI135" s="354"/>
      <c r="BK135" s="550"/>
      <c r="BL135" s="559"/>
      <c r="BM135" s="559"/>
      <c r="BN135" s="9"/>
      <c r="BO135" s="48"/>
      <c r="BP135" s="354"/>
      <c r="BQ135" s="354"/>
      <c r="BR135" s="354"/>
      <c r="BS135" s="354"/>
      <c r="BT135" s="354"/>
      <c r="BU135" s="354"/>
      <c r="BV135" s="354"/>
    </row>
    <row r="136" spans="8:74" x14ac:dyDescent="0.2">
      <c r="H136" s="555"/>
      <c r="I136" s="4"/>
      <c r="L136" s="4"/>
      <c r="M136" s="4"/>
      <c r="N136" s="4"/>
      <c r="O136" s="4"/>
      <c r="P136" s="4"/>
      <c r="Q136" s="4"/>
      <c r="R136" s="4"/>
      <c r="S136" s="4"/>
      <c r="W136" s="354"/>
      <c r="X136" s="354"/>
      <c r="Y136" s="354"/>
      <c r="Z136" s="354"/>
      <c r="AB136" s="354"/>
      <c r="AC136" s="354"/>
      <c r="AD136" s="354"/>
      <c r="AE136" s="354"/>
      <c r="AF136" s="549"/>
      <c r="AG136" s="354"/>
      <c r="AH136" s="354"/>
      <c r="AI136" s="354"/>
      <c r="AK136" s="354"/>
      <c r="AL136" s="354"/>
      <c r="AM136" s="354"/>
      <c r="AN136" s="354"/>
      <c r="AO136" s="354"/>
      <c r="AP136" s="354"/>
      <c r="AQ136" s="354"/>
      <c r="AR136" s="354"/>
      <c r="AT136" s="354"/>
      <c r="AU136" s="354"/>
      <c r="AV136" s="354"/>
      <c r="AW136" s="354"/>
      <c r="AX136" s="354"/>
      <c r="AY136" s="354"/>
      <c r="AZ136" s="354"/>
      <c r="BA136" s="354"/>
      <c r="BB136" s="354"/>
      <c r="BC136" s="354"/>
      <c r="BD136" s="354"/>
      <c r="BE136" s="354"/>
      <c r="BF136" s="354"/>
      <c r="BG136" s="354"/>
      <c r="BH136" s="354"/>
      <c r="BI136" s="354"/>
      <c r="BK136" s="550"/>
      <c r="BL136" s="559"/>
      <c r="BM136" s="559"/>
      <c r="BN136" s="9"/>
      <c r="BO136" s="48"/>
      <c r="BP136" s="354"/>
      <c r="BQ136" s="354"/>
      <c r="BR136" s="354"/>
      <c r="BS136" s="354"/>
      <c r="BT136" s="354"/>
      <c r="BU136" s="354"/>
      <c r="BV136" s="354"/>
    </row>
    <row r="137" spans="8:74" x14ac:dyDescent="0.2">
      <c r="H137" s="555"/>
      <c r="I137" s="4"/>
      <c r="L137" s="4"/>
      <c r="M137" s="4"/>
      <c r="N137" s="4"/>
      <c r="O137" s="4"/>
      <c r="P137" s="4"/>
      <c r="Q137" s="4"/>
      <c r="R137" s="4"/>
      <c r="S137" s="4"/>
      <c r="W137" s="354"/>
      <c r="X137" s="354"/>
      <c r="Y137" s="354"/>
      <c r="Z137" s="354"/>
      <c r="AB137" s="354"/>
      <c r="AC137" s="354"/>
      <c r="AD137" s="354"/>
      <c r="AE137" s="354"/>
      <c r="AF137" s="549"/>
      <c r="AG137" s="354"/>
      <c r="AH137" s="354"/>
      <c r="AI137" s="354"/>
      <c r="AK137" s="354"/>
      <c r="AL137" s="354"/>
      <c r="AM137" s="354"/>
      <c r="AN137" s="354"/>
      <c r="AO137" s="354"/>
      <c r="AP137" s="354"/>
      <c r="AQ137" s="354"/>
      <c r="AR137" s="354"/>
      <c r="AT137" s="354"/>
      <c r="AU137" s="354"/>
      <c r="AV137" s="354"/>
      <c r="AW137" s="354"/>
      <c r="AX137" s="354"/>
      <c r="AY137" s="354"/>
      <c r="AZ137" s="354"/>
      <c r="BA137" s="354"/>
      <c r="BB137" s="354"/>
      <c r="BC137" s="354"/>
      <c r="BD137" s="354"/>
      <c r="BE137" s="354"/>
      <c r="BF137" s="354"/>
      <c r="BG137" s="354"/>
      <c r="BH137" s="354"/>
      <c r="BI137" s="354"/>
      <c r="BK137" s="550"/>
      <c r="BL137" s="559"/>
      <c r="BM137" s="559"/>
      <c r="BN137" s="9"/>
      <c r="BO137" s="48"/>
      <c r="BP137" s="354"/>
      <c r="BQ137" s="354"/>
      <c r="BR137" s="354"/>
      <c r="BS137" s="354"/>
      <c r="BT137" s="354"/>
      <c r="BU137" s="354"/>
      <c r="BV137" s="354"/>
    </row>
    <row r="138" spans="8:74" x14ac:dyDescent="0.2">
      <c r="H138" s="555"/>
      <c r="I138" s="4"/>
      <c r="L138" s="4"/>
      <c r="M138" s="4"/>
      <c r="N138" s="4"/>
      <c r="O138" s="4"/>
      <c r="P138" s="4"/>
      <c r="Q138" s="4"/>
      <c r="R138" s="4"/>
      <c r="S138" s="4"/>
      <c r="W138" s="354"/>
      <c r="X138" s="354"/>
      <c r="Y138" s="354"/>
      <c r="Z138" s="354"/>
      <c r="AB138" s="354"/>
      <c r="AC138" s="354"/>
      <c r="AD138" s="354"/>
      <c r="AE138" s="354"/>
      <c r="AF138" s="549"/>
      <c r="AG138" s="354"/>
      <c r="AH138" s="354"/>
      <c r="AI138" s="354"/>
      <c r="AK138" s="354"/>
      <c r="AL138" s="354"/>
      <c r="AM138" s="354"/>
      <c r="AN138" s="354"/>
      <c r="AO138" s="354"/>
      <c r="AP138" s="354"/>
      <c r="AQ138" s="354"/>
      <c r="AR138" s="354"/>
      <c r="AT138" s="354"/>
      <c r="AU138" s="354"/>
      <c r="AV138" s="354"/>
      <c r="AW138" s="354"/>
      <c r="AX138" s="354"/>
      <c r="AY138" s="354"/>
      <c r="AZ138" s="354"/>
      <c r="BA138" s="354"/>
      <c r="BB138" s="354"/>
      <c r="BC138" s="354"/>
      <c r="BD138" s="354"/>
      <c r="BE138" s="354"/>
      <c r="BF138" s="354"/>
      <c r="BG138" s="354"/>
      <c r="BH138" s="354"/>
      <c r="BI138" s="354"/>
      <c r="BK138" s="550"/>
      <c r="BL138" s="559"/>
      <c r="BM138" s="559"/>
      <c r="BN138" s="9"/>
      <c r="BO138" s="48"/>
      <c r="BP138" s="354"/>
      <c r="BQ138" s="354"/>
      <c r="BR138" s="354"/>
      <c r="BS138" s="354"/>
      <c r="BT138" s="354"/>
      <c r="BU138" s="354"/>
      <c r="BV138" s="354"/>
    </row>
    <row r="139" spans="8:74" x14ac:dyDescent="0.2">
      <c r="H139" s="555"/>
      <c r="I139" s="4"/>
      <c r="L139" s="4"/>
      <c r="M139" s="4"/>
      <c r="N139" s="4"/>
      <c r="O139" s="4"/>
      <c r="P139" s="4"/>
      <c r="Q139" s="4"/>
      <c r="R139" s="4"/>
      <c r="S139" s="4"/>
      <c r="W139" s="354"/>
      <c r="X139" s="354"/>
      <c r="Y139" s="354"/>
      <c r="Z139" s="354"/>
      <c r="AB139" s="354"/>
      <c r="AC139" s="354"/>
      <c r="AD139" s="354"/>
      <c r="AE139" s="354"/>
      <c r="AF139" s="549"/>
      <c r="AG139" s="354"/>
      <c r="AH139" s="354"/>
      <c r="AI139" s="354"/>
      <c r="AK139" s="354"/>
      <c r="AL139" s="354"/>
      <c r="AM139" s="354"/>
      <c r="AN139" s="354"/>
      <c r="AO139" s="354"/>
      <c r="AP139" s="354"/>
      <c r="AQ139" s="354"/>
      <c r="AR139" s="354"/>
      <c r="AT139" s="354"/>
      <c r="AU139" s="354"/>
      <c r="AV139" s="354"/>
      <c r="AW139" s="354"/>
      <c r="AX139" s="354"/>
      <c r="AY139" s="354"/>
      <c r="AZ139" s="354"/>
      <c r="BA139" s="354"/>
      <c r="BB139" s="354"/>
      <c r="BC139" s="354"/>
      <c r="BD139" s="354"/>
      <c r="BE139" s="354"/>
      <c r="BF139" s="354"/>
      <c r="BG139" s="354"/>
      <c r="BH139" s="354"/>
      <c r="BI139" s="354"/>
      <c r="BK139" s="550"/>
      <c r="BL139" s="559"/>
      <c r="BM139" s="559"/>
      <c r="BN139" s="9"/>
      <c r="BO139" s="48"/>
      <c r="BP139" s="354"/>
      <c r="BQ139" s="354"/>
      <c r="BR139" s="354"/>
      <c r="BS139" s="354"/>
      <c r="BT139" s="354"/>
      <c r="BU139" s="354"/>
      <c r="BV139" s="354"/>
    </row>
    <row r="140" spans="8:74" x14ac:dyDescent="0.2">
      <c r="H140" s="555"/>
      <c r="I140" s="4"/>
      <c r="L140" s="4"/>
      <c r="M140" s="4"/>
      <c r="N140" s="4"/>
      <c r="O140" s="4"/>
      <c r="P140" s="4"/>
      <c r="Q140" s="4"/>
      <c r="R140" s="4"/>
      <c r="S140" s="4"/>
      <c r="W140" s="354"/>
      <c r="X140" s="354"/>
      <c r="Y140" s="354"/>
      <c r="Z140" s="354"/>
      <c r="AB140" s="354"/>
      <c r="AC140" s="354"/>
      <c r="AD140" s="354"/>
      <c r="AE140" s="354"/>
      <c r="AF140" s="549"/>
      <c r="AG140" s="354"/>
      <c r="AH140" s="354"/>
      <c r="AI140" s="354"/>
      <c r="AK140" s="354"/>
      <c r="AL140" s="354"/>
      <c r="AM140" s="354"/>
      <c r="AN140" s="354"/>
      <c r="AO140" s="354"/>
      <c r="AP140" s="354"/>
      <c r="AQ140" s="354"/>
      <c r="AR140" s="354"/>
      <c r="AT140" s="354"/>
      <c r="AU140" s="354"/>
      <c r="AV140" s="354"/>
      <c r="AW140" s="354"/>
      <c r="AX140" s="354"/>
      <c r="AY140" s="354"/>
      <c r="AZ140" s="354"/>
      <c r="BA140" s="354"/>
      <c r="BB140" s="354"/>
      <c r="BC140" s="354"/>
      <c r="BD140" s="354"/>
      <c r="BE140" s="354"/>
      <c r="BF140" s="354"/>
      <c r="BG140" s="354"/>
      <c r="BH140" s="354"/>
      <c r="BI140" s="354"/>
      <c r="BK140" s="550"/>
      <c r="BL140" s="559"/>
      <c r="BM140" s="559"/>
      <c r="BN140" s="9"/>
      <c r="BO140" s="48"/>
      <c r="BP140" s="354"/>
      <c r="BQ140" s="354"/>
      <c r="BR140" s="354"/>
      <c r="BS140" s="354"/>
      <c r="BT140" s="354"/>
      <c r="BU140" s="354"/>
      <c r="BV140" s="354"/>
    </row>
    <row r="141" spans="8:74" x14ac:dyDescent="0.2">
      <c r="H141" s="555"/>
      <c r="I141" s="4"/>
      <c r="L141" s="4"/>
      <c r="M141" s="4"/>
      <c r="N141" s="4"/>
      <c r="O141" s="4"/>
      <c r="P141" s="4"/>
      <c r="Q141" s="4"/>
      <c r="R141" s="4"/>
      <c r="S141" s="4"/>
      <c r="W141" s="354"/>
      <c r="X141" s="354"/>
      <c r="Y141" s="354"/>
      <c r="Z141" s="354"/>
      <c r="AB141" s="354"/>
      <c r="AC141" s="354"/>
      <c r="AD141" s="354"/>
      <c r="AE141" s="354"/>
      <c r="AF141" s="549"/>
      <c r="AG141" s="354"/>
      <c r="AH141" s="354"/>
      <c r="AI141" s="354"/>
      <c r="AK141" s="354"/>
      <c r="AL141" s="354"/>
      <c r="AM141" s="354"/>
      <c r="AN141" s="354"/>
      <c r="AO141" s="354"/>
      <c r="AP141" s="354"/>
      <c r="AQ141" s="354"/>
      <c r="AR141" s="354"/>
      <c r="AT141" s="354"/>
      <c r="AU141" s="354"/>
      <c r="AV141" s="354"/>
      <c r="AW141" s="354"/>
      <c r="AX141" s="354"/>
      <c r="AY141" s="354"/>
      <c r="AZ141" s="354"/>
      <c r="BA141" s="354"/>
      <c r="BB141" s="354"/>
      <c r="BC141" s="354"/>
      <c r="BD141" s="354"/>
      <c r="BE141" s="354"/>
      <c r="BF141" s="354"/>
      <c r="BG141" s="354"/>
      <c r="BH141" s="354"/>
      <c r="BI141" s="354"/>
      <c r="BK141" s="550"/>
      <c r="BL141" s="559"/>
      <c r="BM141" s="559"/>
      <c r="BN141" s="9"/>
      <c r="BO141" s="48"/>
      <c r="BP141" s="354"/>
      <c r="BQ141" s="354"/>
      <c r="BR141" s="354"/>
      <c r="BS141" s="354"/>
      <c r="BT141" s="354"/>
      <c r="BU141" s="354"/>
      <c r="BV141" s="354"/>
    </row>
    <row r="142" spans="8:74" x14ac:dyDescent="0.2">
      <c r="H142" s="555"/>
      <c r="I142" s="4"/>
      <c r="L142" s="4"/>
      <c r="M142" s="4"/>
      <c r="N142" s="4"/>
      <c r="O142" s="4"/>
      <c r="P142" s="4"/>
      <c r="Q142" s="4"/>
      <c r="R142" s="4"/>
      <c r="S142" s="4"/>
      <c r="W142" s="354"/>
      <c r="X142" s="354"/>
      <c r="Y142" s="354"/>
      <c r="Z142" s="354"/>
      <c r="AB142" s="354"/>
      <c r="AC142" s="354"/>
      <c r="AD142" s="354"/>
      <c r="AE142" s="354"/>
      <c r="AF142" s="549"/>
      <c r="AG142" s="354"/>
      <c r="AH142" s="354"/>
      <c r="AI142" s="354"/>
      <c r="AK142" s="354"/>
      <c r="AL142" s="354"/>
      <c r="AM142" s="354"/>
      <c r="AN142" s="354"/>
      <c r="AO142" s="354"/>
      <c r="AP142" s="354"/>
      <c r="AQ142" s="354"/>
      <c r="AR142" s="354"/>
      <c r="AT142" s="354"/>
      <c r="AU142" s="354"/>
      <c r="AV142" s="354"/>
      <c r="AW142" s="354"/>
      <c r="AX142" s="354"/>
      <c r="AY142" s="354"/>
      <c r="AZ142" s="354"/>
      <c r="BA142" s="354"/>
      <c r="BB142" s="354"/>
      <c r="BC142" s="354"/>
      <c r="BD142" s="354"/>
      <c r="BE142" s="354"/>
      <c r="BF142" s="354"/>
      <c r="BG142" s="354"/>
      <c r="BH142" s="354"/>
      <c r="BI142" s="354"/>
      <c r="BK142" s="550"/>
      <c r="BL142" s="559"/>
      <c r="BM142" s="559"/>
      <c r="BN142" s="9"/>
      <c r="BO142" s="48"/>
      <c r="BP142" s="354"/>
      <c r="BQ142" s="354"/>
      <c r="BR142" s="354"/>
      <c r="BS142" s="354"/>
      <c r="BT142" s="354"/>
      <c r="BU142" s="354"/>
      <c r="BV142" s="354"/>
    </row>
    <row r="143" spans="8:74" x14ac:dyDescent="0.2">
      <c r="H143" s="555"/>
      <c r="I143" s="4"/>
      <c r="L143" s="4"/>
      <c r="M143" s="4"/>
      <c r="N143" s="4"/>
      <c r="O143" s="4"/>
      <c r="P143" s="4"/>
      <c r="Q143" s="4"/>
      <c r="R143" s="4"/>
      <c r="S143" s="4"/>
      <c r="W143" s="354"/>
      <c r="X143" s="354"/>
      <c r="Y143" s="354"/>
      <c r="Z143" s="354"/>
      <c r="AB143" s="354"/>
      <c r="AC143" s="354"/>
      <c r="AD143" s="354"/>
      <c r="AE143" s="354"/>
      <c r="AF143" s="549"/>
      <c r="AG143" s="354"/>
      <c r="AH143" s="354"/>
      <c r="AI143" s="354"/>
      <c r="AK143" s="354"/>
      <c r="AL143" s="354"/>
      <c r="AM143" s="354"/>
      <c r="AN143" s="354"/>
      <c r="AO143" s="354"/>
      <c r="AP143" s="354"/>
      <c r="AQ143" s="354"/>
      <c r="AR143" s="354"/>
      <c r="AT143" s="354"/>
      <c r="AU143" s="354"/>
      <c r="AV143" s="354"/>
      <c r="AW143" s="354"/>
      <c r="AX143" s="354"/>
      <c r="AY143" s="354"/>
      <c r="AZ143" s="354"/>
      <c r="BA143" s="354"/>
      <c r="BB143" s="354"/>
      <c r="BC143" s="354"/>
      <c r="BD143" s="354"/>
      <c r="BE143" s="354"/>
      <c r="BF143" s="354"/>
      <c r="BG143" s="354"/>
      <c r="BH143" s="354"/>
      <c r="BI143" s="354"/>
      <c r="BK143" s="550"/>
      <c r="BL143" s="559"/>
      <c r="BM143" s="559"/>
      <c r="BN143" s="9"/>
      <c r="BO143" s="48"/>
      <c r="BP143" s="354"/>
      <c r="BQ143" s="354"/>
      <c r="BR143" s="354"/>
      <c r="BS143" s="354"/>
      <c r="BT143" s="354"/>
      <c r="BU143" s="354"/>
      <c r="BV143" s="354"/>
    </row>
    <row r="144" spans="8:74" x14ac:dyDescent="0.2">
      <c r="H144" s="555"/>
      <c r="I144" s="4"/>
      <c r="L144" s="4"/>
      <c r="M144" s="4"/>
      <c r="N144" s="4"/>
      <c r="O144" s="4"/>
      <c r="P144" s="4"/>
      <c r="Q144" s="4"/>
      <c r="R144" s="4"/>
      <c r="S144" s="4"/>
      <c r="W144" s="354"/>
      <c r="X144" s="354"/>
      <c r="Y144" s="354"/>
      <c r="Z144" s="354"/>
      <c r="AB144" s="354"/>
      <c r="AC144" s="354"/>
      <c r="AD144" s="354"/>
      <c r="AE144" s="354"/>
      <c r="AF144" s="549"/>
      <c r="AG144" s="354"/>
      <c r="AH144" s="354"/>
      <c r="AI144" s="354"/>
      <c r="AK144" s="354"/>
      <c r="AL144" s="354"/>
      <c r="AM144" s="354"/>
      <c r="AN144" s="354"/>
      <c r="AO144" s="354"/>
      <c r="AP144" s="354"/>
      <c r="AQ144" s="354"/>
      <c r="AR144" s="354"/>
      <c r="AT144" s="354"/>
      <c r="AU144" s="354"/>
      <c r="AV144" s="354"/>
      <c r="AW144" s="354"/>
      <c r="AX144" s="354"/>
      <c r="AY144" s="354"/>
      <c r="AZ144" s="354"/>
      <c r="BA144" s="354"/>
      <c r="BB144" s="354"/>
      <c r="BC144" s="354"/>
      <c r="BD144" s="354"/>
      <c r="BE144" s="354"/>
      <c r="BF144" s="354"/>
      <c r="BG144" s="354"/>
      <c r="BH144" s="354"/>
      <c r="BI144" s="354"/>
      <c r="BK144" s="550"/>
      <c r="BL144" s="559"/>
      <c r="BM144" s="559"/>
      <c r="BN144" s="9"/>
      <c r="BO144" s="48"/>
      <c r="BP144" s="354"/>
      <c r="BQ144" s="354"/>
      <c r="BR144" s="354"/>
      <c r="BS144" s="354"/>
      <c r="BT144" s="354"/>
      <c r="BU144" s="354"/>
      <c r="BV144" s="354"/>
    </row>
    <row r="145" spans="8:74" x14ac:dyDescent="0.2">
      <c r="H145" s="555"/>
      <c r="I145" s="4"/>
      <c r="L145" s="4"/>
      <c r="M145" s="4"/>
      <c r="N145" s="4"/>
      <c r="O145" s="4"/>
      <c r="P145" s="4"/>
      <c r="Q145" s="4"/>
      <c r="R145" s="4"/>
      <c r="S145" s="4"/>
      <c r="W145" s="354"/>
      <c r="X145" s="354"/>
      <c r="Y145" s="354"/>
      <c r="Z145" s="354"/>
      <c r="AB145" s="354"/>
      <c r="AC145" s="354"/>
      <c r="AD145" s="354"/>
      <c r="AE145" s="354"/>
      <c r="AF145" s="549"/>
      <c r="AG145" s="354"/>
      <c r="AH145" s="354"/>
      <c r="AI145" s="354"/>
      <c r="AK145" s="354"/>
      <c r="AL145" s="354"/>
      <c r="AM145" s="354"/>
      <c r="AN145" s="354"/>
      <c r="AO145" s="354"/>
      <c r="AP145" s="354"/>
      <c r="AQ145" s="354"/>
      <c r="AR145" s="354"/>
      <c r="AT145" s="354"/>
      <c r="AU145" s="354"/>
      <c r="AV145" s="354"/>
      <c r="AW145" s="354"/>
      <c r="AX145" s="354"/>
      <c r="AY145" s="354"/>
      <c r="AZ145" s="354"/>
      <c r="BA145" s="354"/>
      <c r="BB145" s="354"/>
      <c r="BC145" s="354"/>
      <c r="BD145" s="354"/>
      <c r="BE145" s="354"/>
      <c r="BF145" s="354"/>
      <c r="BG145" s="354"/>
      <c r="BH145" s="354"/>
      <c r="BI145" s="354"/>
      <c r="BK145" s="550"/>
      <c r="BL145" s="559"/>
      <c r="BM145" s="559"/>
      <c r="BN145" s="9"/>
      <c r="BO145" s="48"/>
      <c r="BP145" s="354"/>
      <c r="BQ145" s="354"/>
      <c r="BR145" s="354"/>
      <c r="BS145" s="354"/>
      <c r="BT145" s="354"/>
      <c r="BU145" s="354"/>
      <c r="BV145" s="354"/>
    </row>
    <row r="146" spans="8:74" x14ac:dyDescent="0.2">
      <c r="H146" s="555"/>
      <c r="I146" s="4"/>
      <c r="L146" s="4"/>
      <c r="M146" s="4"/>
      <c r="N146" s="4"/>
      <c r="O146" s="4"/>
      <c r="P146" s="4"/>
      <c r="Q146" s="4"/>
      <c r="R146" s="4"/>
      <c r="S146" s="4"/>
      <c r="W146" s="354"/>
      <c r="X146" s="354"/>
      <c r="Y146" s="354"/>
      <c r="Z146" s="354"/>
      <c r="AB146" s="354"/>
      <c r="AC146" s="354"/>
      <c r="AD146" s="354"/>
      <c r="AE146" s="354"/>
      <c r="AF146" s="549"/>
      <c r="AG146" s="354"/>
      <c r="AH146" s="354"/>
      <c r="AI146" s="354"/>
      <c r="AK146" s="354"/>
      <c r="AL146" s="354"/>
      <c r="AM146" s="354"/>
      <c r="AN146" s="354"/>
      <c r="AO146" s="354"/>
      <c r="AP146" s="354"/>
      <c r="AQ146" s="354"/>
      <c r="AR146" s="354"/>
      <c r="AT146" s="354"/>
      <c r="AU146" s="354"/>
      <c r="AV146" s="354"/>
      <c r="AW146" s="354"/>
      <c r="AX146" s="354"/>
      <c r="AY146" s="354"/>
      <c r="AZ146" s="354"/>
      <c r="BA146" s="354"/>
      <c r="BB146" s="354"/>
      <c r="BC146" s="354"/>
      <c r="BD146" s="354"/>
      <c r="BE146" s="354"/>
      <c r="BF146" s="354"/>
      <c r="BG146" s="354"/>
      <c r="BH146" s="354"/>
      <c r="BI146" s="354"/>
      <c r="BK146" s="550"/>
      <c r="BL146" s="559"/>
      <c r="BM146" s="559"/>
      <c r="BN146" s="9"/>
      <c r="BO146" s="48"/>
      <c r="BP146" s="354"/>
      <c r="BQ146" s="354"/>
      <c r="BR146" s="354"/>
      <c r="BS146" s="354"/>
      <c r="BT146" s="354"/>
      <c r="BU146" s="354"/>
      <c r="BV146" s="354"/>
    </row>
    <row r="147" spans="8:74" x14ac:dyDescent="0.2">
      <c r="H147" s="555"/>
      <c r="I147" s="4"/>
      <c r="L147" s="4"/>
      <c r="M147" s="4"/>
      <c r="N147" s="4"/>
      <c r="O147" s="4"/>
      <c r="P147" s="4"/>
      <c r="Q147" s="4"/>
      <c r="R147" s="4"/>
      <c r="S147" s="4"/>
      <c r="W147" s="354"/>
      <c r="X147" s="354"/>
      <c r="Y147" s="354"/>
      <c r="Z147" s="354"/>
      <c r="AB147" s="354"/>
      <c r="AC147" s="354"/>
      <c r="AD147" s="354"/>
      <c r="AE147" s="354"/>
      <c r="AF147" s="549"/>
      <c r="AG147" s="354"/>
      <c r="AH147" s="354"/>
      <c r="AI147" s="354"/>
      <c r="AK147" s="354"/>
      <c r="AL147" s="354"/>
      <c r="AM147" s="354"/>
      <c r="AN147" s="354"/>
      <c r="AO147" s="354"/>
      <c r="AP147" s="354"/>
      <c r="AQ147" s="354"/>
      <c r="AR147" s="354"/>
      <c r="AT147" s="354"/>
      <c r="AU147" s="354"/>
      <c r="AV147" s="354"/>
      <c r="AW147" s="354"/>
      <c r="AX147" s="354"/>
      <c r="AY147" s="354"/>
      <c r="AZ147" s="354"/>
      <c r="BA147" s="354"/>
      <c r="BB147" s="354"/>
      <c r="BC147" s="354"/>
      <c r="BD147" s="354"/>
      <c r="BE147" s="354"/>
      <c r="BF147" s="354"/>
      <c r="BG147" s="354"/>
      <c r="BH147" s="354"/>
      <c r="BI147" s="354"/>
      <c r="BK147" s="550"/>
      <c r="BL147" s="559"/>
      <c r="BM147" s="559"/>
      <c r="BN147" s="9"/>
      <c r="BO147" s="48"/>
      <c r="BP147" s="354"/>
      <c r="BQ147" s="354"/>
      <c r="BR147" s="354"/>
      <c r="BS147" s="354"/>
      <c r="BT147" s="354"/>
      <c r="BU147" s="354"/>
      <c r="BV147" s="354"/>
    </row>
    <row r="148" spans="8:74" x14ac:dyDescent="0.2">
      <c r="H148" s="555"/>
      <c r="I148" s="4"/>
      <c r="L148" s="4"/>
      <c r="M148" s="4"/>
      <c r="N148" s="4"/>
      <c r="O148" s="4"/>
      <c r="P148" s="4"/>
      <c r="Q148" s="4"/>
      <c r="R148" s="4"/>
      <c r="S148" s="4"/>
      <c r="W148" s="354"/>
      <c r="X148" s="354"/>
      <c r="Y148" s="354"/>
      <c r="Z148" s="354"/>
      <c r="AB148" s="354"/>
      <c r="AC148" s="354"/>
      <c r="AD148" s="354"/>
      <c r="AE148" s="354"/>
      <c r="AF148" s="549"/>
      <c r="AG148" s="354"/>
      <c r="AH148" s="354"/>
      <c r="AI148" s="354"/>
      <c r="AK148" s="354"/>
      <c r="AL148" s="354"/>
      <c r="AM148" s="354"/>
      <c r="AN148" s="354"/>
      <c r="AO148" s="354"/>
      <c r="AP148" s="354"/>
      <c r="AQ148" s="354"/>
      <c r="AR148" s="354"/>
      <c r="AT148" s="354"/>
      <c r="AU148" s="354"/>
      <c r="AV148" s="354"/>
      <c r="AW148" s="354"/>
      <c r="AX148" s="354"/>
      <c r="AY148" s="354"/>
      <c r="AZ148" s="354"/>
      <c r="BA148" s="354"/>
      <c r="BB148" s="354"/>
      <c r="BC148" s="354"/>
      <c r="BD148" s="354"/>
      <c r="BE148" s="354"/>
      <c r="BF148" s="354"/>
      <c r="BG148" s="354"/>
      <c r="BH148" s="354"/>
      <c r="BI148" s="354"/>
      <c r="BK148" s="550"/>
      <c r="BL148" s="559"/>
      <c r="BM148" s="559"/>
      <c r="BN148" s="9"/>
      <c r="BO148" s="48"/>
      <c r="BP148" s="354"/>
      <c r="BQ148" s="354"/>
      <c r="BR148" s="354"/>
      <c r="BS148" s="354"/>
      <c r="BT148" s="354"/>
      <c r="BU148" s="354"/>
      <c r="BV148" s="354"/>
    </row>
    <row r="149" spans="8:74" x14ac:dyDescent="0.2">
      <c r="H149" s="555"/>
      <c r="I149" s="4"/>
      <c r="L149" s="4"/>
      <c r="M149" s="4"/>
      <c r="N149" s="4"/>
      <c r="O149" s="4"/>
      <c r="P149" s="4"/>
      <c r="Q149" s="4"/>
      <c r="R149" s="4"/>
      <c r="S149" s="4"/>
      <c r="W149" s="354"/>
      <c r="X149" s="354"/>
      <c r="Y149" s="354"/>
      <c r="Z149" s="354"/>
      <c r="AB149" s="354"/>
      <c r="AC149" s="354"/>
      <c r="AD149" s="354"/>
      <c r="AE149" s="354"/>
      <c r="AF149" s="549"/>
      <c r="AG149" s="354"/>
      <c r="AH149" s="354"/>
      <c r="AI149" s="354"/>
      <c r="AK149" s="354"/>
      <c r="AL149" s="354"/>
      <c r="AM149" s="354"/>
      <c r="AN149" s="354"/>
      <c r="AO149" s="354"/>
      <c r="AP149" s="354"/>
      <c r="AQ149" s="354"/>
      <c r="AR149" s="354"/>
      <c r="AT149" s="354"/>
      <c r="AU149" s="354"/>
      <c r="AV149" s="354"/>
      <c r="AW149" s="354"/>
      <c r="AX149" s="354"/>
      <c r="AY149" s="354"/>
      <c r="AZ149" s="354"/>
      <c r="BA149" s="354"/>
      <c r="BB149" s="354"/>
      <c r="BC149" s="354"/>
      <c r="BD149" s="354"/>
      <c r="BE149" s="354"/>
      <c r="BF149" s="354"/>
      <c r="BG149" s="354"/>
      <c r="BH149" s="354"/>
      <c r="BI149" s="354"/>
      <c r="BK149" s="550"/>
      <c r="BL149" s="559"/>
      <c r="BM149" s="559"/>
      <c r="BN149" s="9"/>
      <c r="BO149" s="48"/>
      <c r="BP149" s="354"/>
      <c r="BQ149" s="354"/>
      <c r="BR149" s="354"/>
      <c r="BS149" s="354"/>
      <c r="BT149" s="354"/>
      <c r="BU149" s="354"/>
      <c r="BV149" s="354"/>
    </row>
    <row r="150" spans="8:74" x14ac:dyDescent="0.2">
      <c r="H150" s="555"/>
      <c r="I150" s="4"/>
      <c r="L150" s="4"/>
      <c r="M150" s="4"/>
      <c r="N150" s="4"/>
      <c r="O150" s="4"/>
      <c r="P150" s="4"/>
      <c r="Q150" s="4"/>
      <c r="R150" s="4"/>
      <c r="S150" s="4"/>
      <c r="W150" s="354"/>
      <c r="X150" s="354"/>
      <c r="Y150" s="354"/>
      <c r="Z150" s="354"/>
      <c r="AB150" s="354"/>
      <c r="AC150" s="354"/>
      <c r="AD150" s="354"/>
      <c r="AE150" s="354"/>
      <c r="AF150" s="549"/>
      <c r="AG150" s="354"/>
      <c r="AH150" s="354"/>
      <c r="AI150" s="354"/>
      <c r="AK150" s="354"/>
      <c r="AL150" s="354"/>
      <c r="AM150" s="354"/>
      <c r="AN150" s="354"/>
      <c r="AO150" s="354"/>
      <c r="AP150" s="354"/>
      <c r="AQ150" s="354"/>
      <c r="AR150" s="354"/>
      <c r="AT150" s="354"/>
      <c r="AU150" s="354"/>
      <c r="AV150" s="354"/>
      <c r="AW150" s="354"/>
      <c r="AX150" s="354"/>
      <c r="AY150" s="354"/>
      <c r="AZ150" s="354"/>
      <c r="BA150" s="354"/>
      <c r="BB150" s="354"/>
      <c r="BC150" s="354"/>
      <c r="BD150" s="354"/>
      <c r="BE150" s="354"/>
      <c r="BF150" s="354"/>
      <c r="BG150" s="354"/>
      <c r="BH150" s="354"/>
      <c r="BI150" s="354"/>
      <c r="BK150" s="550"/>
      <c r="BL150" s="559"/>
      <c r="BM150" s="559"/>
      <c r="BN150" s="9"/>
      <c r="BO150" s="48"/>
      <c r="BP150" s="354"/>
      <c r="BQ150" s="354"/>
      <c r="BR150" s="354"/>
      <c r="BS150" s="354"/>
      <c r="BT150" s="354"/>
      <c r="BU150" s="354"/>
      <c r="BV150" s="354"/>
    </row>
    <row r="151" spans="8:74" x14ac:dyDescent="0.2">
      <c r="H151" s="555"/>
      <c r="I151" s="4"/>
      <c r="L151" s="4"/>
      <c r="M151" s="4"/>
      <c r="N151" s="4"/>
      <c r="O151" s="4"/>
      <c r="P151" s="4"/>
      <c r="Q151" s="4"/>
      <c r="R151" s="4"/>
      <c r="S151" s="4"/>
      <c r="W151" s="354"/>
      <c r="X151" s="354"/>
      <c r="Y151" s="354"/>
      <c r="Z151" s="354"/>
      <c r="AB151" s="354"/>
      <c r="AC151" s="354"/>
      <c r="AD151" s="354"/>
      <c r="AE151" s="354"/>
      <c r="AF151" s="549"/>
      <c r="AG151" s="354"/>
      <c r="AH151" s="354"/>
      <c r="AI151" s="354"/>
      <c r="AK151" s="354"/>
      <c r="AL151" s="354"/>
      <c r="AM151" s="354"/>
      <c r="AN151" s="354"/>
      <c r="AO151" s="354"/>
      <c r="AP151" s="354"/>
      <c r="AQ151" s="354"/>
      <c r="AR151" s="354"/>
      <c r="AT151" s="354"/>
      <c r="AU151" s="354"/>
      <c r="AV151" s="354"/>
      <c r="AW151" s="354"/>
      <c r="AX151" s="354"/>
      <c r="AY151" s="354"/>
      <c r="AZ151" s="354"/>
      <c r="BA151" s="354"/>
      <c r="BB151" s="354"/>
      <c r="BC151" s="354"/>
      <c r="BD151" s="354"/>
      <c r="BE151" s="354"/>
      <c r="BF151" s="354"/>
      <c r="BG151" s="354"/>
      <c r="BH151" s="354"/>
      <c r="BI151" s="354"/>
      <c r="BK151" s="550"/>
      <c r="BL151" s="559"/>
      <c r="BM151" s="559"/>
      <c r="BN151" s="9"/>
      <c r="BO151" s="48"/>
      <c r="BP151" s="354"/>
      <c r="BQ151" s="354"/>
      <c r="BR151" s="354"/>
      <c r="BS151" s="354"/>
      <c r="BT151" s="354"/>
      <c r="BU151" s="354"/>
      <c r="BV151" s="354"/>
    </row>
    <row r="152" spans="8:74" x14ac:dyDescent="0.2">
      <c r="H152" s="555"/>
      <c r="I152" s="4"/>
      <c r="L152" s="4"/>
      <c r="M152" s="4"/>
      <c r="N152" s="4"/>
      <c r="O152" s="4"/>
      <c r="P152" s="4"/>
      <c r="Q152" s="4"/>
      <c r="R152" s="4"/>
      <c r="S152" s="4"/>
      <c r="W152" s="354"/>
      <c r="X152" s="354"/>
      <c r="Y152" s="354"/>
      <c r="Z152" s="354"/>
      <c r="AB152" s="354"/>
      <c r="AC152" s="354"/>
      <c r="AD152" s="354"/>
      <c r="AE152" s="354"/>
      <c r="AF152" s="549"/>
      <c r="AG152" s="354"/>
      <c r="AH152" s="354"/>
      <c r="AI152" s="354"/>
      <c r="AK152" s="354"/>
      <c r="AL152" s="354"/>
      <c r="AM152" s="354"/>
      <c r="AN152" s="354"/>
      <c r="AO152" s="354"/>
      <c r="AP152" s="354"/>
      <c r="AQ152" s="354"/>
      <c r="AR152" s="354"/>
      <c r="AT152" s="354"/>
      <c r="AU152" s="354"/>
      <c r="AV152" s="354"/>
      <c r="AW152" s="354"/>
      <c r="AX152" s="354"/>
      <c r="AY152" s="354"/>
      <c r="AZ152" s="354"/>
      <c r="BA152" s="354"/>
      <c r="BB152" s="354"/>
      <c r="BC152" s="354"/>
      <c r="BD152" s="354"/>
      <c r="BE152" s="354"/>
      <c r="BF152" s="354"/>
      <c r="BG152" s="354"/>
      <c r="BH152" s="354"/>
      <c r="BI152" s="354"/>
      <c r="BK152" s="550"/>
      <c r="BL152" s="559"/>
      <c r="BM152" s="559"/>
      <c r="BN152" s="9"/>
      <c r="BO152" s="48"/>
      <c r="BP152" s="354"/>
      <c r="BQ152" s="354"/>
      <c r="BR152" s="354"/>
      <c r="BS152" s="354"/>
      <c r="BT152" s="354"/>
      <c r="BU152" s="354"/>
      <c r="BV152" s="354"/>
    </row>
    <row r="153" spans="8:74" x14ac:dyDescent="0.2">
      <c r="H153" s="555"/>
      <c r="I153" s="4"/>
      <c r="L153" s="4"/>
      <c r="M153" s="4"/>
      <c r="N153" s="4"/>
      <c r="O153" s="4"/>
      <c r="P153" s="4"/>
      <c r="Q153" s="4"/>
      <c r="R153" s="4"/>
      <c r="S153" s="4"/>
      <c r="W153" s="354"/>
      <c r="X153" s="354"/>
      <c r="Y153" s="354"/>
      <c r="Z153" s="354"/>
      <c r="AB153" s="354"/>
      <c r="AC153" s="354"/>
      <c r="AD153" s="354"/>
      <c r="AE153" s="354"/>
      <c r="AF153" s="549"/>
      <c r="AG153" s="354"/>
      <c r="AH153" s="354"/>
      <c r="AI153" s="354"/>
      <c r="AK153" s="354"/>
      <c r="AL153" s="354"/>
      <c r="AM153" s="354"/>
      <c r="AN153" s="354"/>
      <c r="AO153" s="354"/>
      <c r="AP153" s="354"/>
      <c r="AQ153" s="354"/>
      <c r="AR153" s="354"/>
      <c r="AT153" s="354"/>
      <c r="AU153" s="354"/>
      <c r="AV153" s="354"/>
      <c r="AW153" s="354"/>
      <c r="AX153" s="354"/>
      <c r="AY153" s="354"/>
      <c r="AZ153" s="354"/>
      <c r="BA153" s="354"/>
      <c r="BB153" s="354"/>
      <c r="BC153" s="354"/>
      <c r="BD153" s="354"/>
      <c r="BE153" s="354"/>
      <c r="BF153" s="354"/>
      <c r="BG153" s="354"/>
      <c r="BH153" s="354"/>
      <c r="BI153" s="354"/>
      <c r="BK153" s="550"/>
      <c r="BL153" s="559"/>
      <c r="BM153" s="559"/>
      <c r="BN153" s="9"/>
      <c r="BO153" s="48"/>
      <c r="BP153" s="354"/>
      <c r="BQ153" s="354"/>
      <c r="BR153" s="354"/>
      <c r="BS153" s="354"/>
      <c r="BT153" s="354"/>
      <c r="BU153" s="354"/>
      <c r="BV153" s="354"/>
    </row>
    <row r="154" spans="8:74" x14ac:dyDescent="0.2">
      <c r="H154" s="555"/>
      <c r="I154" s="4"/>
      <c r="L154" s="4"/>
      <c r="M154" s="4"/>
      <c r="N154" s="4"/>
      <c r="O154" s="4"/>
      <c r="P154" s="4"/>
      <c r="Q154" s="4"/>
      <c r="R154" s="4"/>
      <c r="S154" s="4"/>
      <c r="W154" s="354"/>
      <c r="X154" s="354"/>
      <c r="Y154" s="354"/>
      <c r="Z154" s="354"/>
      <c r="AB154" s="354"/>
      <c r="AC154" s="354"/>
      <c r="AD154" s="354"/>
      <c r="AE154" s="354"/>
      <c r="AF154" s="549"/>
      <c r="AG154" s="354"/>
      <c r="AH154" s="354"/>
      <c r="AI154" s="354"/>
      <c r="AK154" s="354"/>
      <c r="AL154" s="354"/>
      <c r="AM154" s="354"/>
      <c r="AN154" s="354"/>
      <c r="AO154" s="354"/>
      <c r="AP154" s="354"/>
      <c r="AQ154" s="354"/>
      <c r="AR154" s="354"/>
      <c r="AT154" s="354"/>
      <c r="AU154" s="354"/>
      <c r="AV154" s="354"/>
      <c r="AW154" s="354"/>
      <c r="AX154" s="354"/>
      <c r="AY154" s="354"/>
      <c r="AZ154" s="354"/>
      <c r="BA154" s="354"/>
      <c r="BB154" s="354"/>
      <c r="BC154" s="354"/>
      <c r="BD154" s="354"/>
      <c r="BE154" s="354"/>
      <c r="BF154" s="354"/>
      <c r="BG154" s="354"/>
      <c r="BH154" s="354"/>
      <c r="BI154" s="354"/>
      <c r="BK154" s="550"/>
      <c r="BL154" s="559"/>
      <c r="BM154" s="559"/>
      <c r="BN154" s="9"/>
      <c r="BO154" s="48"/>
      <c r="BP154" s="354"/>
      <c r="BQ154" s="354"/>
      <c r="BR154" s="354"/>
      <c r="BS154" s="354"/>
      <c r="BT154" s="354"/>
      <c r="BU154" s="354"/>
      <c r="BV154" s="354"/>
    </row>
    <row r="155" spans="8:74" x14ac:dyDescent="0.2">
      <c r="H155" s="555"/>
      <c r="I155" s="4"/>
      <c r="L155" s="4"/>
      <c r="M155" s="4"/>
      <c r="N155" s="4"/>
      <c r="O155" s="4"/>
      <c r="P155" s="4"/>
      <c r="Q155" s="4"/>
      <c r="R155" s="4"/>
      <c r="S155" s="4"/>
      <c r="W155" s="354"/>
      <c r="X155" s="354"/>
      <c r="Y155" s="354"/>
      <c r="Z155" s="354"/>
      <c r="AB155" s="354"/>
      <c r="AC155" s="354"/>
      <c r="AD155" s="354"/>
      <c r="AE155" s="354"/>
      <c r="AF155" s="549"/>
      <c r="AG155" s="354"/>
      <c r="AH155" s="354"/>
      <c r="AI155" s="354"/>
      <c r="AK155" s="354"/>
      <c r="AL155" s="354"/>
      <c r="AM155" s="354"/>
      <c r="AN155" s="354"/>
      <c r="AO155" s="354"/>
      <c r="AP155" s="354"/>
      <c r="AQ155" s="354"/>
      <c r="AR155" s="354"/>
      <c r="AT155" s="354"/>
      <c r="AU155" s="354"/>
      <c r="AV155" s="354"/>
      <c r="AW155" s="354"/>
      <c r="AX155" s="354"/>
      <c r="AY155" s="354"/>
      <c r="AZ155" s="354"/>
      <c r="BA155" s="354"/>
      <c r="BB155" s="354"/>
      <c r="BC155" s="354"/>
      <c r="BD155" s="354"/>
      <c r="BE155" s="354"/>
      <c r="BF155" s="354"/>
      <c r="BG155" s="354"/>
      <c r="BH155" s="354"/>
      <c r="BI155" s="354"/>
      <c r="BK155" s="550"/>
      <c r="BL155" s="559"/>
      <c r="BM155" s="559"/>
      <c r="BN155" s="9"/>
      <c r="BO155" s="48"/>
      <c r="BP155" s="354"/>
      <c r="BQ155" s="354"/>
      <c r="BR155" s="354"/>
      <c r="BS155" s="354"/>
      <c r="BT155" s="354"/>
      <c r="BU155" s="354"/>
      <c r="BV155" s="354"/>
    </row>
    <row r="156" spans="8:74" x14ac:dyDescent="0.2">
      <c r="H156" s="555"/>
      <c r="I156" s="4"/>
      <c r="L156" s="4"/>
      <c r="M156" s="4"/>
      <c r="N156" s="4"/>
      <c r="O156" s="4"/>
      <c r="P156" s="4"/>
      <c r="Q156" s="4"/>
      <c r="R156" s="4"/>
      <c r="S156" s="4"/>
      <c r="W156" s="354"/>
      <c r="X156" s="354"/>
      <c r="Y156" s="354"/>
      <c r="Z156" s="354"/>
      <c r="AB156" s="354"/>
      <c r="AC156" s="354"/>
      <c r="AD156" s="354"/>
      <c r="AE156" s="354"/>
      <c r="AF156" s="549"/>
      <c r="AG156" s="354"/>
      <c r="AH156" s="354"/>
      <c r="AI156" s="354"/>
      <c r="AK156" s="354"/>
      <c r="AL156" s="354"/>
      <c r="AM156" s="354"/>
      <c r="AN156" s="354"/>
      <c r="AO156" s="354"/>
      <c r="AP156" s="354"/>
      <c r="AQ156" s="354"/>
      <c r="AR156" s="354"/>
      <c r="AT156" s="354"/>
      <c r="AU156" s="354"/>
      <c r="AV156" s="354"/>
      <c r="AW156" s="354"/>
      <c r="AX156" s="354"/>
      <c r="AY156" s="354"/>
      <c r="AZ156" s="354"/>
      <c r="BA156" s="354"/>
      <c r="BB156" s="354"/>
      <c r="BC156" s="354"/>
      <c r="BD156" s="354"/>
      <c r="BE156" s="354"/>
      <c r="BF156" s="354"/>
      <c r="BG156" s="354"/>
      <c r="BH156" s="354"/>
      <c r="BI156" s="354"/>
      <c r="BK156" s="550"/>
      <c r="BL156" s="559"/>
      <c r="BM156" s="559"/>
      <c r="BN156" s="9"/>
      <c r="BO156" s="48"/>
      <c r="BP156" s="354"/>
      <c r="BQ156" s="354"/>
      <c r="BR156" s="354"/>
      <c r="BS156" s="354"/>
      <c r="BT156" s="354"/>
      <c r="BU156" s="354"/>
      <c r="BV156" s="354"/>
    </row>
    <row r="157" spans="8:74" x14ac:dyDescent="0.2">
      <c r="H157" s="555"/>
      <c r="I157" s="4"/>
      <c r="L157" s="4"/>
      <c r="M157" s="4"/>
      <c r="N157" s="4"/>
      <c r="O157" s="4"/>
      <c r="P157" s="4"/>
      <c r="Q157" s="4"/>
      <c r="R157" s="4"/>
      <c r="S157" s="4"/>
      <c r="W157" s="354"/>
      <c r="X157" s="354"/>
      <c r="Y157" s="354"/>
      <c r="Z157" s="354"/>
      <c r="AB157" s="354"/>
      <c r="AC157" s="354"/>
      <c r="AD157" s="354"/>
      <c r="AE157" s="354"/>
      <c r="AF157" s="549"/>
      <c r="AG157" s="354"/>
      <c r="AH157" s="354"/>
      <c r="AI157" s="354"/>
      <c r="AK157" s="354"/>
      <c r="AL157" s="354"/>
      <c r="AM157" s="354"/>
      <c r="AN157" s="354"/>
      <c r="AO157" s="354"/>
      <c r="AP157" s="354"/>
      <c r="AQ157" s="354"/>
      <c r="AR157" s="354"/>
      <c r="AT157" s="354"/>
      <c r="AU157" s="354"/>
      <c r="AV157" s="354"/>
      <c r="AW157" s="354"/>
      <c r="AX157" s="354"/>
      <c r="AY157" s="354"/>
      <c r="AZ157" s="354"/>
      <c r="BA157" s="354"/>
      <c r="BB157" s="354"/>
      <c r="BC157" s="354"/>
      <c r="BD157" s="354"/>
      <c r="BE157" s="354"/>
      <c r="BF157" s="354"/>
      <c r="BG157" s="354"/>
      <c r="BH157" s="354"/>
      <c r="BI157" s="354"/>
      <c r="BK157" s="550"/>
      <c r="BL157" s="559"/>
      <c r="BM157" s="559"/>
      <c r="BN157" s="9"/>
      <c r="BO157" s="48"/>
      <c r="BP157" s="354"/>
      <c r="BQ157" s="354"/>
      <c r="BR157" s="354"/>
      <c r="BS157" s="354"/>
      <c r="BT157" s="354"/>
      <c r="BU157" s="354"/>
      <c r="BV157" s="354"/>
    </row>
    <row r="158" spans="8:74" x14ac:dyDescent="0.2">
      <c r="H158" s="555"/>
      <c r="I158" s="4"/>
      <c r="L158" s="4"/>
      <c r="M158" s="4"/>
      <c r="N158" s="4"/>
      <c r="O158" s="4"/>
      <c r="P158" s="4"/>
      <c r="Q158" s="4"/>
      <c r="R158" s="4"/>
      <c r="S158" s="4"/>
      <c r="W158" s="354"/>
      <c r="X158" s="354"/>
      <c r="Y158" s="354"/>
      <c r="Z158" s="354"/>
      <c r="AB158" s="354"/>
      <c r="AC158" s="354"/>
      <c r="AD158" s="354"/>
      <c r="AE158" s="354"/>
      <c r="AF158" s="549"/>
      <c r="AG158" s="354"/>
      <c r="AH158" s="354"/>
      <c r="AI158" s="354"/>
      <c r="AK158" s="354"/>
      <c r="AL158" s="354"/>
      <c r="AM158" s="354"/>
      <c r="AN158" s="354"/>
      <c r="AO158" s="354"/>
      <c r="AP158" s="354"/>
      <c r="AQ158" s="354"/>
      <c r="AR158" s="354"/>
      <c r="AT158" s="354"/>
      <c r="AU158" s="354"/>
      <c r="AV158" s="354"/>
      <c r="AW158" s="354"/>
      <c r="AX158" s="354"/>
      <c r="AY158" s="354"/>
      <c r="AZ158" s="354"/>
      <c r="BA158" s="354"/>
      <c r="BB158" s="354"/>
      <c r="BC158" s="354"/>
      <c r="BD158" s="354"/>
      <c r="BE158" s="354"/>
      <c r="BF158" s="354"/>
      <c r="BG158" s="354"/>
      <c r="BH158" s="354"/>
      <c r="BI158" s="354"/>
      <c r="BK158" s="550"/>
      <c r="BL158" s="559"/>
      <c r="BM158" s="559"/>
      <c r="BN158" s="9"/>
      <c r="BO158" s="48"/>
      <c r="BP158" s="354"/>
      <c r="BQ158" s="354"/>
      <c r="BR158" s="354"/>
      <c r="BS158" s="354"/>
      <c r="BT158" s="354"/>
      <c r="BU158" s="354"/>
      <c r="BV158" s="354"/>
    </row>
    <row r="159" spans="8:74" x14ac:dyDescent="0.2">
      <c r="H159" s="555"/>
      <c r="I159" s="4"/>
      <c r="L159" s="4"/>
      <c r="M159" s="4"/>
      <c r="N159" s="4"/>
      <c r="O159" s="4"/>
      <c r="P159" s="4"/>
      <c r="Q159" s="4"/>
      <c r="R159" s="4"/>
      <c r="S159" s="4"/>
      <c r="W159" s="354"/>
      <c r="X159" s="354"/>
      <c r="Y159" s="354"/>
      <c r="Z159" s="354"/>
      <c r="AB159" s="354"/>
      <c r="AC159" s="354"/>
      <c r="AD159" s="354"/>
      <c r="AE159" s="354"/>
      <c r="AF159" s="549"/>
      <c r="AG159" s="354"/>
      <c r="AH159" s="354"/>
      <c r="AI159" s="354"/>
      <c r="AK159" s="354"/>
      <c r="AL159" s="354"/>
      <c r="AM159" s="354"/>
      <c r="AN159" s="354"/>
      <c r="AO159" s="354"/>
      <c r="AP159" s="354"/>
      <c r="AQ159" s="354"/>
      <c r="AR159" s="354"/>
      <c r="AT159" s="354"/>
      <c r="AU159" s="354"/>
      <c r="AV159" s="354"/>
      <c r="AW159" s="354"/>
      <c r="AX159" s="354"/>
      <c r="AY159" s="354"/>
      <c r="AZ159" s="354"/>
      <c r="BA159" s="354"/>
      <c r="BB159" s="354"/>
      <c r="BC159" s="354"/>
      <c r="BD159" s="354"/>
      <c r="BE159" s="354"/>
      <c r="BF159" s="354"/>
      <c r="BG159" s="354"/>
      <c r="BH159" s="354"/>
      <c r="BI159" s="354"/>
      <c r="BK159" s="550"/>
      <c r="BL159" s="559"/>
      <c r="BM159" s="559"/>
      <c r="BN159" s="9"/>
      <c r="BO159" s="48"/>
      <c r="BP159" s="354"/>
      <c r="BQ159" s="354"/>
      <c r="BR159" s="354"/>
      <c r="BS159" s="354"/>
      <c r="BT159" s="354"/>
      <c r="BU159" s="354"/>
      <c r="BV159" s="354"/>
    </row>
    <row r="160" spans="8:74" x14ac:dyDescent="0.2">
      <c r="H160" s="555"/>
      <c r="I160" s="4"/>
      <c r="L160" s="4"/>
      <c r="M160" s="4"/>
      <c r="N160" s="4"/>
      <c r="O160" s="4"/>
      <c r="P160" s="4"/>
      <c r="Q160" s="4"/>
      <c r="R160" s="4"/>
      <c r="S160" s="4"/>
      <c r="W160" s="354"/>
      <c r="X160" s="354"/>
      <c r="Y160" s="354"/>
      <c r="Z160" s="354"/>
      <c r="AB160" s="354"/>
      <c r="AC160" s="354"/>
      <c r="AD160" s="354"/>
      <c r="AE160" s="354"/>
      <c r="AF160" s="549"/>
      <c r="AG160" s="354"/>
      <c r="AH160" s="354"/>
      <c r="AI160" s="354"/>
      <c r="AK160" s="354"/>
      <c r="AL160" s="354"/>
      <c r="AM160" s="354"/>
      <c r="AN160" s="354"/>
      <c r="AO160" s="354"/>
      <c r="AP160" s="354"/>
      <c r="AQ160" s="354"/>
      <c r="AR160" s="354"/>
      <c r="AT160" s="354"/>
      <c r="AU160" s="354"/>
      <c r="AV160" s="354"/>
      <c r="AW160" s="354"/>
      <c r="AX160" s="354"/>
      <c r="AY160" s="354"/>
      <c r="AZ160" s="354"/>
      <c r="BA160" s="354"/>
      <c r="BB160" s="354"/>
      <c r="BC160" s="354"/>
      <c r="BD160" s="354"/>
      <c r="BE160" s="354"/>
      <c r="BF160" s="354"/>
      <c r="BG160" s="354"/>
      <c r="BH160" s="354"/>
      <c r="BI160" s="354"/>
      <c r="BK160" s="550"/>
      <c r="BL160" s="559"/>
      <c r="BM160" s="559"/>
      <c r="BN160" s="9"/>
      <c r="BO160" s="48"/>
      <c r="BP160" s="354"/>
      <c r="BQ160" s="354"/>
      <c r="BR160" s="354"/>
      <c r="BS160" s="354"/>
      <c r="BT160" s="354"/>
      <c r="BU160" s="354"/>
      <c r="BV160" s="354"/>
    </row>
    <row r="161" spans="8:74" x14ac:dyDescent="0.2">
      <c r="H161" s="555"/>
      <c r="I161" s="4"/>
      <c r="L161" s="4"/>
      <c r="M161" s="4"/>
      <c r="N161" s="4"/>
      <c r="O161" s="4"/>
      <c r="P161" s="4"/>
      <c r="Q161" s="4"/>
      <c r="R161" s="4"/>
      <c r="S161" s="4"/>
      <c r="W161" s="354"/>
      <c r="X161" s="354"/>
      <c r="Y161" s="354"/>
      <c r="Z161" s="354"/>
      <c r="AB161" s="354"/>
      <c r="AC161" s="354"/>
      <c r="AD161" s="354"/>
      <c r="AE161" s="354"/>
      <c r="AF161" s="549"/>
      <c r="AG161" s="354"/>
      <c r="AH161" s="354"/>
      <c r="AI161" s="354"/>
      <c r="AK161" s="354"/>
      <c r="AL161" s="354"/>
      <c r="AM161" s="354"/>
      <c r="AN161" s="354"/>
      <c r="AO161" s="354"/>
      <c r="AP161" s="354"/>
      <c r="AQ161" s="354"/>
      <c r="AR161" s="354"/>
      <c r="AT161" s="354"/>
      <c r="AU161" s="354"/>
      <c r="AV161" s="354"/>
      <c r="AW161" s="354"/>
      <c r="AX161" s="354"/>
      <c r="AY161" s="354"/>
      <c r="AZ161" s="354"/>
      <c r="BA161" s="354"/>
      <c r="BB161" s="354"/>
      <c r="BC161" s="354"/>
      <c r="BD161" s="354"/>
      <c r="BE161" s="354"/>
      <c r="BF161" s="354"/>
      <c r="BG161" s="354"/>
      <c r="BH161" s="354"/>
      <c r="BI161" s="354"/>
      <c r="BK161" s="550"/>
      <c r="BL161" s="559"/>
      <c r="BM161" s="559"/>
      <c r="BN161" s="9"/>
      <c r="BO161" s="48"/>
      <c r="BP161" s="354"/>
      <c r="BQ161" s="354"/>
      <c r="BR161" s="354"/>
      <c r="BS161" s="354"/>
      <c r="BT161" s="354"/>
      <c r="BU161" s="354"/>
      <c r="BV161" s="354"/>
    </row>
    <row r="162" spans="8:74" x14ac:dyDescent="0.2">
      <c r="H162" s="555"/>
      <c r="I162" s="4"/>
      <c r="L162" s="4"/>
      <c r="M162" s="4"/>
      <c r="N162" s="4"/>
      <c r="O162" s="4"/>
      <c r="P162" s="4"/>
      <c r="Q162" s="4"/>
      <c r="R162" s="4"/>
      <c r="S162" s="4"/>
      <c r="W162" s="354"/>
      <c r="X162" s="354"/>
      <c r="Y162" s="354"/>
      <c r="Z162" s="354"/>
      <c r="AB162" s="354"/>
      <c r="AC162" s="354"/>
      <c r="AD162" s="354"/>
      <c r="AE162" s="354"/>
      <c r="AF162" s="549"/>
      <c r="AG162" s="354"/>
      <c r="AH162" s="354"/>
      <c r="AI162" s="354"/>
      <c r="AK162" s="354"/>
      <c r="AL162" s="354"/>
      <c r="AM162" s="354"/>
      <c r="AN162" s="354"/>
      <c r="AO162" s="354"/>
      <c r="AP162" s="354"/>
      <c r="AQ162" s="354"/>
      <c r="AR162" s="354"/>
      <c r="AT162" s="354"/>
      <c r="AU162" s="354"/>
      <c r="AV162" s="354"/>
      <c r="AW162" s="354"/>
      <c r="AX162" s="354"/>
      <c r="AY162" s="354"/>
      <c r="AZ162" s="354"/>
      <c r="BA162" s="354"/>
      <c r="BB162" s="354"/>
      <c r="BC162" s="354"/>
      <c r="BD162" s="354"/>
      <c r="BE162" s="354"/>
      <c r="BF162" s="354"/>
      <c r="BG162" s="354"/>
      <c r="BH162" s="354"/>
      <c r="BI162" s="354"/>
      <c r="BK162" s="550"/>
      <c r="BL162" s="559"/>
      <c r="BM162" s="559"/>
      <c r="BN162" s="9"/>
      <c r="BO162" s="48"/>
      <c r="BP162" s="354"/>
      <c r="BQ162" s="354"/>
      <c r="BR162" s="354"/>
      <c r="BS162" s="354"/>
      <c r="BT162" s="354"/>
      <c r="BU162" s="354"/>
      <c r="BV162" s="354"/>
    </row>
    <row r="163" spans="8:74" x14ac:dyDescent="0.2">
      <c r="H163" s="555"/>
      <c r="I163" s="4"/>
      <c r="L163" s="4"/>
      <c r="M163" s="4"/>
      <c r="N163" s="4"/>
      <c r="O163" s="4"/>
      <c r="P163" s="4"/>
      <c r="Q163" s="4"/>
      <c r="R163" s="4"/>
      <c r="S163" s="4"/>
      <c r="W163" s="354"/>
      <c r="X163" s="354"/>
      <c r="Y163" s="354"/>
      <c r="Z163" s="354"/>
      <c r="AB163" s="354"/>
      <c r="AC163" s="354"/>
      <c r="AD163" s="354"/>
      <c r="AE163" s="354"/>
      <c r="AF163" s="549"/>
      <c r="AG163" s="354"/>
      <c r="AH163" s="354"/>
      <c r="AI163" s="354"/>
      <c r="AK163" s="354"/>
      <c r="AL163" s="354"/>
      <c r="AM163" s="354"/>
      <c r="AN163" s="354"/>
      <c r="AO163" s="354"/>
      <c r="AP163" s="354"/>
      <c r="AQ163" s="354"/>
      <c r="AR163" s="354"/>
      <c r="AT163" s="354"/>
      <c r="AU163" s="354"/>
      <c r="AV163" s="354"/>
      <c r="AW163" s="354"/>
      <c r="AX163" s="354"/>
      <c r="AY163" s="354"/>
      <c r="AZ163" s="354"/>
      <c r="BA163" s="354"/>
      <c r="BB163" s="354"/>
      <c r="BC163" s="354"/>
      <c r="BD163" s="354"/>
      <c r="BE163" s="354"/>
      <c r="BF163" s="354"/>
      <c r="BG163" s="354"/>
      <c r="BH163" s="354"/>
      <c r="BI163" s="354"/>
      <c r="BK163" s="550"/>
      <c r="BL163" s="559"/>
      <c r="BM163" s="559"/>
      <c r="BN163" s="9"/>
      <c r="BO163" s="48"/>
      <c r="BP163" s="354"/>
      <c r="BQ163" s="354"/>
      <c r="BR163" s="354"/>
      <c r="BS163" s="354"/>
      <c r="BT163" s="354"/>
      <c r="BU163" s="354"/>
      <c r="BV163" s="354"/>
    </row>
    <row r="164" spans="8:74" x14ac:dyDescent="0.2">
      <c r="H164" s="555"/>
      <c r="I164" s="4"/>
      <c r="L164" s="4"/>
      <c r="M164" s="4"/>
      <c r="N164" s="4"/>
      <c r="O164" s="4"/>
      <c r="P164" s="4"/>
      <c r="Q164" s="4"/>
      <c r="R164" s="4"/>
      <c r="S164" s="4"/>
      <c r="W164" s="354"/>
      <c r="X164" s="354"/>
      <c r="Y164" s="354"/>
      <c r="Z164" s="354"/>
      <c r="AB164" s="354"/>
      <c r="AC164" s="354"/>
      <c r="AD164" s="354"/>
      <c r="AE164" s="354"/>
      <c r="AF164" s="549"/>
      <c r="AG164" s="354"/>
      <c r="AH164" s="354"/>
      <c r="AI164" s="354"/>
      <c r="AK164" s="354"/>
      <c r="AL164" s="354"/>
      <c r="AM164" s="354"/>
      <c r="AN164" s="354"/>
      <c r="AO164" s="354"/>
      <c r="AP164" s="354"/>
      <c r="AQ164" s="354"/>
      <c r="AR164" s="354"/>
      <c r="AT164" s="354"/>
      <c r="AU164" s="354"/>
      <c r="AV164" s="354"/>
      <c r="AW164" s="354"/>
      <c r="AX164" s="354"/>
      <c r="AY164" s="354"/>
      <c r="AZ164" s="354"/>
      <c r="BA164" s="354"/>
      <c r="BB164" s="354"/>
      <c r="BC164" s="354"/>
      <c r="BD164" s="354"/>
      <c r="BE164" s="354"/>
      <c r="BF164" s="354"/>
      <c r="BG164" s="354"/>
      <c r="BH164" s="354"/>
      <c r="BI164" s="354"/>
      <c r="BK164" s="550"/>
      <c r="BL164" s="559"/>
      <c r="BM164" s="559"/>
      <c r="BN164" s="9"/>
      <c r="BO164" s="48"/>
      <c r="BP164" s="354"/>
      <c r="BQ164" s="354"/>
      <c r="BR164" s="354"/>
      <c r="BS164" s="354"/>
      <c r="BT164" s="354"/>
      <c r="BU164" s="354"/>
      <c r="BV164" s="354"/>
    </row>
    <row r="165" spans="8:74" x14ac:dyDescent="0.2">
      <c r="H165" s="555"/>
      <c r="I165" s="4"/>
      <c r="L165" s="4"/>
      <c r="M165" s="4"/>
      <c r="N165" s="4"/>
      <c r="O165" s="4"/>
      <c r="P165" s="4"/>
      <c r="Q165" s="4"/>
      <c r="R165" s="4"/>
      <c r="S165" s="4"/>
      <c r="W165" s="354"/>
      <c r="X165" s="354"/>
      <c r="Y165" s="354"/>
      <c r="Z165" s="354"/>
      <c r="AB165" s="354"/>
      <c r="AC165" s="354"/>
      <c r="AD165" s="354"/>
      <c r="AE165" s="354"/>
      <c r="AF165" s="549"/>
      <c r="AG165" s="354"/>
      <c r="AH165" s="354"/>
      <c r="AI165" s="354"/>
      <c r="AK165" s="354"/>
      <c r="AL165" s="354"/>
      <c r="AM165" s="354"/>
      <c r="AN165" s="354"/>
      <c r="AO165" s="354"/>
      <c r="AP165" s="354"/>
      <c r="AQ165" s="354"/>
      <c r="AR165" s="354"/>
      <c r="AT165" s="354"/>
      <c r="AU165" s="354"/>
      <c r="AV165" s="354"/>
      <c r="AW165" s="354"/>
      <c r="AX165" s="354"/>
      <c r="AY165" s="354"/>
      <c r="AZ165" s="354"/>
      <c r="BA165" s="354"/>
      <c r="BB165" s="354"/>
      <c r="BC165" s="354"/>
      <c r="BD165" s="354"/>
      <c r="BE165" s="354"/>
      <c r="BF165" s="354"/>
      <c r="BG165" s="354"/>
      <c r="BH165" s="354"/>
      <c r="BI165" s="354"/>
      <c r="BK165" s="550"/>
      <c r="BL165" s="559"/>
      <c r="BM165" s="559"/>
      <c r="BN165" s="9"/>
      <c r="BO165" s="48"/>
      <c r="BP165" s="354"/>
      <c r="BQ165" s="354"/>
      <c r="BR165" s="354"/>
      <c r="BS165" s="354"/>
      <c r="BT165" s="354"/>
      <c r="BU165" s="354"/>
      <c r="BV165" s="354"/>
    </row>
    <row r="166" spans="8:74" x14ac:dyDescent="0.2">
      <c r="H166" s="555"/>
      <c r="I166" s="4"/>
      <c r="L166" s="4"/>
      <c r="M166" s="4"/>
      <c r="N166" s="4"/>
      <c r="O166" s="4"/>
      <c r="P166" s="4"/>
      <c r="Q166" s="4"/>
      <c r="R166" s="4"/>
      <c r="S166" s="4"/>
      <c r="W166" s="354"/>
      <c r="X166" s="354"/>
      <c r="Y166" s="354"/>
      <c r="Z166" s="354"/>
      <c r="AB166" s="354"/>
      <c r="AC166" s="354"/>
      <c r="AD166" s="354"/>
      <c r="AE166" s="354"/>
      <c r="AF166" s="549"/>
      <c r="AG166" s="354"/>
      <c r="AH166" s="354"/>
      <c r="AI166" s="354"/>
      <c r="AK166" s="354"/>
      <c r="AL166" s="354"/>
      <c r="AM166" s="354"/>
      <c r="AN166" s="354"/>
      <c r="AO166" s="354"/>
      <c r="AP166" s="354"/>
      <c r="AQ166" s="354"/>
      <c r="AR166" s="354"/>
      <c r="AT166" s="354"/>
      <c r="AU166" s="354"/>
      <c r="AV166" s="354"/>
      <c r="AW166" s="354"/>
      <c r="AX166" s="354"/>
      <c r="AY166" s="354"/>
      <c r="AZ166" s="354"/>
      <c r="BA166" s="354"/>
      <c r="BB166" s="354"/>
      <c r="BC166" s="354"/>
      <c r="BD166" s="354"/>
      <c r="BE166" s="354"/>
      <c r="BF166" s="354"/>
      <c r="BG166" s="354"/>
      <c r="BH166" s="354"/>
      <c r="BI166" s="354"/>
      <c r="BK166" s="550"/>
      <c r="BL166" s="559"/>
      <c r="BM166" s="559"/>
      <c r="BN166" s="9"/>
      <c r="BO166" s="48"/>
      <c r="BP166" s="354"/>
      <c r="BQ166" s="354"/>
      <c r="BR166" s="354"/>
      <c r="BS166" s="354"/>
      <c r="BT166" s="354"/>
      <c r="BU166" s="354"/>
      <c r="BV166" s="354"/>
    </row>
    <row r="167" spans="8:74" x14ac:dyDescent="0.2">
      <c r="H167" s="555"/>
      <c r="I167" s="4"/>
      <c r="L167" s="4"/>
      <c r="M167" s="4"/>
      <c r="N167" s="4"/>
      <c r="O167" s="4"/>
      <c r="P167" s="4"/>
      <c r="Q167" s="4"/>
      <c r="R167" s="4"/>
      <c r="S167" s="4"/>
      <c r="W167" s="354"/>
      <c r="X167" s="354"/>
      <c r="Y167" s="354"/>
      <c r="Z167" s="354"/>
      <c r="AB167" s="354"/>
      <c r="AC167" s="354"/>
      <c r="AD167" s="354"/>
      <c r="AE167" s="354"/>
      <c r="AF167" s="549"/>
      <c r="AG167" s="354"/>
      <c r="AH167" s="354"/>
      <c r="AI167" s="354"/>
      <c r="AK167" s="354"/>
      <c r="AL167" s="354"/>
      <c r="AM167" s="354"/>
      <c r="AN167" s="354"/>
      <c r="AO167" s="354"/>
      <c r="AP167" s="354"/>
      <c r="AQ167" s="354"/>
      <c r="AR167" s="354"/>
      <c r="AT167" s="354"/>
      <c r="AU167" s="354"/>
      <c r="AV167" s="354"/>
      <c r="AW167" s="354"/>
      <c r="AX167" s="354"/>
      <c r="AY167" s="354"/>
      <c r="AZ167" s="354"/>
      <c r="BA167" s="354"/>
      <c r="BB167" s="354"/>
      <c r="BC167" s="354"/>
      <c r="BD167" s="354"/>
      <c r="BE167" s="354"/>
      <c r="BF167" s="354"/>
      <c r="BG167" s="354"/>
      <c r="BH167" s="354"/>
      <c r="BI167" s="354"/>
      <c r="BK167" s="550"/>
      <c r="BL167" s="559"/>
      <c r="BM167" s="559"/>
      <c r="BN167" s="9"/>
      <c r="BO167" s="48"/>
      <c r="BP167" s="354"/>
      <c r="BQ167" s="354"/>
      <c r="BR167" s="354"/>
      <c r="BS167" s="354"/>
      <c r="BT167" s="354"/>
      <c r="BU167" s="354"/>
      <c r="BV167" s="354"/>
    </row>
    <row r="168" spans="8:74" x14ac:dyDescent="0.2">
      <c r="H168" s="555"/>
      <c r="I168" s="4"/>
      <c r="L168" s="4"/>
      <c r="M168" s="4"/>
      <c r="N168" s="4"/>
      <c r="O168" s="4"/>
      <c r="P168" s="4"/>
      <c r="Q168" s="4"/>
      <c r="R168" s="4"/>
      <c r="S168" s="4"/>
      <c r="W168" s="354"/>
      <c r="X168" s="354"/>
      <c r="Y168" s="354"/>
      <c r="Z168" s="354"/>
      <c r="AB168" s="354"/>
      <c r="AC168" s="354"/>
      <c r="AD168" s="354"/>
      <c r="AE168" s="354"/>
      <c r="AF168" s="549"/>
      <c r="AG168" s="354"/>
      <c r="AH168" s="354"/>
      <c r="AI168" s="354"/>
      <c r="AK168" s="354"/>
      <c r="AL168" s="354"/>
      <c r="AM168" s="354"/>
      <c r="AN168" s="354"/>
      <c r="AO168" s="354"/>
      <c r="AP168" s="354"/>
      <c r="AQ168" s="354"/>
      <c r="AR168" s="354"/>
      <c r="AT168" s="354"/>
      <c r="AU168" s="354"/>
      <c r="AV168" s="354"/>
      <c r="AW168" s="354"/>
      <c r="AX168" s="354"/>
      <c r="AY168" s="354"/>
      <c r="AZ168" s="354"/>
      <c r="BA168" s="354"/>
      <c r="BB168" s="354"/>
      <c r="BC168" s="354"/>
      <c r="BD168" s="354"/>
      <c r="BE168" s="354"/>
      <c r="BF168" s="354"/>
      <c r="BG168" s="354"/>
      <c r="BH168" s="354"/>
      <c r="BI168" s="354"/>
      <c r="BK168" s="550"/>
      <c r="BL168" s="559"/>
      <c r="BM168" s="559"/>
      <c r="BN168" s="9"/>
      <c r="BO168" s="48"/>
      <c r="BP168" s="354"/>
      <c r="BQ168" s="354"/>
      <c r="BR168" s="354"/>
      <c r="BS168" s="354"/>
      <c r="BT168" s="354"/>
      <c r="BU168" s="354"/>
      <c r="BV168" s="354"/>
    </row>
    <row r="169" spans="8:74" x14ac:dyDescent="0.2">
      <c r="H169" s="555"/>
      <c r="I169" s="4"/>
      <c r="L169" s="4"/>
      <c r="M169" s="4"/>
      <c r="N169" s="4"/>
      <c r="O169" s="4"/>
      <c r="P169" s="4"/>
      <c r="Q169" s="4"/>
      <c r="R169" s="4"/>
      <c r="S169" s="4"/>
      <c r="W169" s="354"/>
      <c r="X169" s="354"/>
      <c r="Y169" s="354"/>
      <c r="Z169" s="354"/>
      <c r="AB169" s="354"/>
      <c r="AC169" s="354"/>
      <c r="AD169" s="354"/>
      <c r="AE169" s="354"/>
      <c r="AF169" s="549"/>
      <c r="AG169" s="354"/>
      <c r="AH169" s="354"/>
      <c r="AI169" s="354"/>
      <c r="AK169" s="354"/>
      <c r="AL169" s="354"/>
      <c r="AM169" s="354"/>
      <c r="AN169" s="354"/>
      <c r="AO169" s="354"/>
      <c r="AP169" s="354"/>
      <c r="AQ169" s="354"/>
      <c r="AR169" s="354"/>
      <c r="AT169" s="354"/>
      <c r="AU169" s="354"/>
      <c r="AV169" s="354"/>
      <c r="AW169" s="354"/>
      <c r="AX169" s="354"/>
      <c r="AY169" s="354"/>
      <c r="AZ169" s="354"/>
      <c r="BA169" s="354"/>
      <c r="BB169" s="354"/>
      <c r="BC169" s="354"/>
      <c r="BD169" s="354"/>
      <c r="BE169" s="354"/>
      <c r="BF169" s="354"/>
      <c r="BG169" s="354"/>
      <c r="BH169" s="354"/>
      <c r="BI169" s="354"/>
      <c r="BK169" s="550"/>
      <c r="BL169" s="559"/>
      <c r="BM169" s="559"/>
      <c r="BN169" s="9"/>
      <c r="BO169" s="48"/>
      <c r="BP169" s="354"/>
      <c r="BQ169" s="354"/>
      <c r="BR169" s="354"/>
      <c r="BS169" s="354"/>
      <c r="BT169" s="354"/>
      <c r="BU169" s="354"/>
      <c r="BV169" s="354"/>
    </row>
    <row r="170" spans="8:74" x14ac:dyDescent="0.2">
      <c r="H170" s="555"/>
      <c r="I170" s="4"/>
      <c r="L170" s="4"/>
      <c r="M170" s="4"/>
      <c r="N170" s="4"/>
      <c r="O170" s="4"/>
      <c r="P170" s="4"/>
      <c r="Q170" s="4"/>
      <c r="R170" s="4"/>
      <c r="S170" s="4"/>
      <c r="W170" s="354"/>
      <c r="X170" s="354"/>
      <c r="Y170" s="354"/>
      <c r="Z170" s="354"/>
      <c r="AB170" s="354"/>
      <c r="AC170" s="354"/>
      <c r="AD170" s="354"/>
      <c r="AE170" s="354"/>
      <c r="AF170" s="549"/>
      <c r="AG170" s="354"/>
      <c r="AH170" s="354"/>
      <c r="AI170" s="354"/>
      <c r="AK170" s="354"/>
      <c r="AL170" s="354"/>
      <c r="AM170" s="354"/>
      <c r="AN170" s="354"/>
      <c r="AO170" s="354"/>
      <c r="AP170" s="354"/>
      <c r="AQ170" s="354"/>
      <c r="AR170" s="354"/>
      <c r="AT170" s="354"/>
      <c r="AU170" s="354"/>
      <c r="AV170" s="354"/>
      <c r="AW170" s="354"/>
      <c r="AX170" s="354"/>
      <c r="AY170" s="354"/>
      <c r="AZ170" s="354"/>
      <c r="BA170" s="354"/>
      <c r="BB170" s="354"/>
      <c r="BC170" s="354"/>
      <c r="BD170" s="354"/>
      <c r="BE170" s="354"/>
      <c r="BF170" s="354"/>
      <c r="BG170" s="354"/>
      <c r="BH170" s="354"/>
      <c r="BI170" s="354"/>
      <c r="BK170" s="550"/>
      <c r="BL170" s="559"/>
      <c r="BM170" s="559"/>
      <c r="BN170" s="9"/>
      <c r="BO170" s="48"/>
      <c r="BP170" s="354"/>
      <c r="BQ170" s="354"/>
      <c r="BR170" s="354"/>
      <c r="BS170" s="354"/>
      <c r="BT170" s="354"/>
      <c r="BU170" s="354"/>
      <c r="BV170" s="354"/>
    </row>
    <row r="171" spans="8:74" x14ac:dyDescent="0.2">
      <c r="H171" s="555"/>
      <c r="I171" s="4"/>
      <c r="L171" s="4"/>
      <c r="M171" s="4"/>
      <c r="N171" s="4"/>
      <c r="O171" s="4"/>
      <c r="P171" s="4"/>
      <c r="Q171" s="4"/>
      <c r="R171" s="4"/>
      <c r="S171" s="4"/>
      <c r="W171" s="354"/>
      <c r="X171" s="354"/>
      <c r="Y171" s="354"/>
      <c r="Z171" s="354"/>
      <c r="AB171" s="354"/>
      <c r="AC171" s="354"/>
      <c r="AD171" s="354"/>
      <c r="AE171" s="354"/>
      <c r="AF171" s="549"/>
      <c r="AG171" s="354"/>
      <c r="AH171" s="354"/>
      <c r="AI171" s="354"/>
      <c r="AK171" s="354"/>
      <c r="AL171" s="354"/>
      <c r="AM171" s="354"/>
      <c r="AN171" s="354"/>
      <c r="AO171" s="354"/>
      <c r="AP171" s="354"/>
      <c r="AQ171" s="354"/>
      <c r="AR171" s="354"/>
      <c r="AT171" s="354"/>
      <c r="AU171" s="354"/>
      <c r="AV171" s="354"/>
      <c r="AW171" s="354"/>
      <c r="AX171" s="354"/>
      <c r="AY171" s="354"/>
      <c r="AZ171" s="354"/>
      <c r="BA171" s="354"/>
      <c r="BB171" s="354"/>
      <c r="BC171" s="354"/>
      <c r="BD171" s="354"/>
      <c r="BE171" s="354"/>
      <c r="BF171" s="354"/>
      <c r="BG171" s="354"/>
      <c r="BH171" s="354"/>
      <c r="BI171" s="354"/>
      <c r="BK171" s="550"/>
      <c r="BL171" s="559"/>
      <c r="BM171" s="559"/>
      <c r="BN171" s="9"/>
      <c r="BO171" s="48"/>
      <c r="BP171" s="354"/>
      <c r="BQ171" s="354"/>
      <c r="BR171" s="354"/>
      <c r="BS171" s="354"/>
      <c r="BT171" s="354"/>
      <c r="BU171" s="354"/>
      <c r="BV171" s="354"/>
    </row>
    <row r="172" spans="8:74" x14ac:dyDescent="0.2">
      <c r="H172" s="555"/>
      <c r="I172" s="4"/>
      <c r="L172" s="4"/>
      <c r="M172" s="4"/>
      <c r="N172" s="4"/>
      <c r="O172" s="4"/>
      <c r="P172" s="4"/>
      <c r="Q172" s="4"/>
      <c r="R172" s="4"/>
      <c r="S172" s="4"/>
      <c r="W172" s="354"/>
      <c r="X172" s="354"/>
      <c r="Y172" s="354"/>
      <c r="Z172" s="354"/>
      <c r="AB172" s="354"/>
      <c r="AC172" s="354"/>
      <c r="AD172" s="354"/>
      <c r="AE172" s="354"/>
      <c r="AF172" s="549"/>
      <c r="AG172" s="354"/>
      <c r="AH172" s="354"/>
      <c r="AI172" s="354"/>
      <c r="AK172" s="354"/>
      <c r="AL172" s="354"/>
      <c r="AM172" s="354"/>
      <c r="AN172" s="354"/>
      <c r="AO172" s="354"/>
      <c r="AP172" s="354"/>
      <c r="AQ172" s="354"/>
      <c r="AR172" s="354"/>
      <c r="AT172" s="354"/>
      <c r="AU172" s="354"/>
      <c r="AV172" s="354"/>
      <c r="AW172" s="354"/>
      <c r="AX172" s="354"/>
      <c r="AY172" s="354"/>
      <c r="AZ172" s="354"/>
      <c r="BA172" s="354"/>
      <c r="BB172" s="354"/>
      <c r="BC172" s="354"/>
      <c r="BD172" s="354"/>
      <c r="BE172" s="354"/>
      <c r="BF172" s="354"/>
      <c r="BG172" s="354"/>
      <c r="BH172" s="354"/>
      <c r="BI172" s="354"/>
      <c r="BK172" s="550"/>
      <c r="BL172" s="559"/>
      <c r="BM172" s="559"/>
      <c r="BN172" s="9"/>
      <c r="BO172" s="48"/>
      <c r="BP172" s="354"/>
      <c r="BQ172" s="354"/>
      <c r="BR172" s="354"/>
      <c r="BS172" s="354"/>
      <c r="BT172" s="354"/>
      <c r="BU172" s="354"/>
      <c r="BV172" s="354"/>
    </row>
    <row r="173" spans="8:74" x14ac:dyDescent="0.2">
      <c r="H173" s="555"/>
      <c r="I173" s="4"/>
      <c r="L173" s="4"/>
      <c r="M173" s="4"/>
      <c r="N173" s="4"/>
      <c r="O173" s="4"/>
      <c r="P173" s="4"/>
      <c r="Q173" s="4"/>
      <c r="R173" s="4"/>
      <c r="S173" s="4"/>
      <c r="W173" s="354"/>
      <c r="X173" s="354"/>
      <c r="Y173" s="354"/>
      <c r="Z173" s="354"/>
      <c r="AB173" s="354"/>
      <c r="AC173" s="354"/>
      <c r="AD173" s="354"/>
      <c r="AE173" s="354"/>
      <c r="AF173" s="549"/>
      <c r="AG173" s="354"/>
      <c r="AH173" s="354"/>
      <c r="AI173" s="354"/>
      <c r="AK173" s="354"/>
      <c r="AL173" s="354"/>
      <c r="AM173" s="354"/>
      <c r="AN173" s="354"/>
      <c r="AO173" s="354"/>
      <c r="AP173" s="354"/>
      <c r="AQ173" s="354"/>
      <c r="AR173" s="354"/>
      <c r="AT173" s="354"/>
      <c r="AU173" s="354"/>
      <c r="AV173" s="354"/>
      <c r="AW173" s="354"/>
      <c r="AX173" s="354"/>
      <c r="AY173" s="354"/>
      <c r="AZ173" s="354"/>
      <c r="BA173" s="354"/>
      <c r="BB173" s="354"/>
      <c r="BC173" s="354"/>
      <c r="BD173" s="354"/>
      <c r="BE173" s="354"/>
      <c r="BF173" s="354"/>
      <c r="BG173" s="354"/>
      <c r="BH173" s="354"/>
      <c r="BI173" s="354"/>
      <c r="BK173" s="550"/>
      <c r="BL173" s="559"/>
      <c r="BM173" s="559"/>
      <c r="BN173" s="9"/>
      <c r="BO173" s="48"/>
      <c r="BP173" s="354"/>
      <c r="BQ173" s="354"/>
      <c r="BR173" s="354"/>
      <c r="BS173" s="354"/>
      <c r="BT173" s="354"/>
      <c r="BU173" s="354"/>
      <c r="BV173" s="354"/>
    </row>
    <row r="174" spans="8:74" x14ac:dyDescent="0.2">
      <c r="H174" s="555"/>
      <c r="I174" s="4"/>
      <c r="L174" s="4"/>
      <c r="M174" s="4"/>
      <c r="N174" s="4"/>
      <c r="O174" s="4"/>
      <c r="P174" s="4"/>
      <c r="Q174" s="4"/>
      <c r="R174" s="4"/>
      <c r="S174" s="4"/>
      <c r="W174" s="354"/>
      <c r="X174" s="354"/>
      <c r="Y174" s="354"/>
      <c r="Z174" s="354"/>
      <c r="AB174" s="354"/>
      <c r="AC174" s="354"/>
      <c r="AD174" s="354"/>
      <c r="AE174" s="354"/>
      <c r="AF174" s="549"/>
      <c r="AG174" s="354"/>
      <c r="AH174" s="354"/>
      <c r="AI174" s="354"/>
      <c r="AK174" s="354"/>
      <c r="AL174" s="354"/>
      <c r="AM174" s="354"/>
      <c r="AN174" s="354"/>
      <c r="AO174" s="354"/>
      <c r="AP174" s="354"/>
      <c r="AQ174" s="354"/>
      <c r="AR174" s="354"/>
      <c r="AT174" s="354"/>
      <c r="AU174" s="354"/>
      <c r="AV174" s="354"/>
      <c r="AW174" s="354"/>
      <c r="AX174" s="354"/>
      <c r="AY174" s="354"/>
      <c r="AZ174" s="354"/>
      <c r="BA174" s="354"/>
      <c r="BB174" s="354"/>
      <c r="BC174" s="354"/>
      <c r="BD174" s="354"/>
      <c r="BE174" s="354"/>
      <c r="BF174" s="354"/>
      <c r="BG174" s="354"/>
      <c r="BH174" s="354"/>
      <c r="BI174" s="354"/>
      <c r="BK174" s="550"/>
      <c r="BL174" s="559"/>
      <c r="BM174" s="559"/>
      <c r="BN174" s="9"/>
      <c r="BO174" s="48"/>
      <c r="BP174" s="354"/>
      <c r="BQ174" s="354"/>
      <c r="BR174" s="354"/>
      <c r="BS174" s="354"/>
      <c r="BT174" s="354"/>
      <c r="BU174" s="354"/>
      <c r="BV174" s="354"/>
    </row>
    <row r="175" spans="8:74" x14ac:dyDescent="0.2">
      <c r="H175" s="555"/>
      <c r="I175" s="4"/>
      <c r="L175" s="4"/>
      <c r="M175" s="4"/>
      <c r="N175" s="4"/>
      <c r="O175" s="4"/>
      <c r="P175" s="4"/>
      <c r="Q175" s="4"/>
      <c r="R175" s="4"/>
      <c r="S175" s="4"/>
      <c r="W175" s="354"/>
      <c r="X175" s="354"/>
      <c r="Y175" s="354"/>
      <c r="Z175" s="354"/>
      <c r="AB175" s="354"/>
      <c r="AC175" s="354"/>
      <c r="AD175" s="354"/>
      <c r="AE175" s="354"/>
      <c r="AF175" s="549"/>
      <c r="AG175" s="354"/>
      <c r="AH175" s="354"/>
      <c r="AI175" s="354"/>
      <c r="AK175" s="354"/>
      <c r="AL175" s="354"/>
      <c r="AM175" s="354"/>
      <c r="AN175" s="354"/>
      <c r="AO175" s="354"/>
      <c r="AP175" s="354"/>
      <c r="AQ175" s="354"/>
      <c r="AR175" s="354"/>
      <c r="AT175" s="354"/>
      <c r="AU175" s="354"/>
      <c r="AV175" s="354"/>
      <c r="AW175" s="354"/>
      <c r="AX175" s="354"/>
      <c r="AY175" s="354"/>
      <c r="AZ175" s="354"/>
      <c r="BA175" s="354"/>
      <c r="BB175" s="354"/>
      <c r="BC175" s="354"/>
      <c r="BD175" s="354"/>
      <c r="BE175" s="354"/>
      <c r="BF175" s="354"/>
      <c r="BG175" s="354"/>
      <c r="BH175" s="354"/>
      <c r="BI175" s="354"/>
      <c r="BK175" s="550"/>
      <c r="BL175" s="559"/>
      <c r="BM175" s="559"/>
      <c r="BN175" s="9"/>
      <c r="BO175" s="48"/>
      <c r="BP175" s="354"/>
      <c r="BQ175" s="354"/>
      <c r="BR175" s="354"/>
      <c r="BS175" s="354"/>
      <c r="BT175" s="354"/>
      <c r="BU175" s="354"/>
      <c r="BV175" s="354"/>
    </row>
    <row r="176" spans="8:74" x14ac:dyDescent="0.2">
      <c r="H176" s="555"/>
      <c r="I176" s="4"/>
      <c r="L176" s="4"/>
      <c r="M176" s="4"/>
      <c r="N176" s="4"/>
      <c r="O176" s="4"/>
      <c r="P176" s="4"/>
      <c r="Q176" s="4"/>
      <c r="R176" s="4"/>
      <c r="S176" s="4"/>
      <c r="W176" s="354"/>
      <c r="X176" s="354"/>
      <c r="Y176" s="354"/>
      <c r="Z176" s="354"/>
      <c r="AB176" s="354"/>
      <c r="AC176" s="354"/>
      <c r="AD176" s="354"/>
      <c r="AE176" s="354"/>
      <c r="AF176" s="549"/>
      <c r="AG176" s="354"/>
      <c r="AH176" s="354"/>
      <c r="AI176" s="354"/>
      <c r="AK176" s="354"/>
      <c r="AL176" s="354"/>
      <c r="AM176" s="354"/>
      <c r="AN176" s="354"/>
      <c r="AO176" s="354"/>
      <c r="AP176" s="354"/>
      <c r="AQ176" s="354"/>
      <c r="AR176" s="354"/>
      <c r="AT176" s="354"/>
      <c r="AU176" s="354"/>
      <c r="AV176" s="354"/>
      <c r="AW176" s="354"/>
      <c r="AX176" s="354"/>
      <c r="AY176" s="354"/>
      <c r="AZ176" s="354"/>
      <c r="BA176" s="354"/>
      <c r="BB176" s="354"/>
      <c r="BC176" s="354"/>
      <c r="BD176" s="354"/>
      <c r="BE176" s="354"/>
      <c r="BF176" s="354"/>
      <c r="BG176" s="354"/>
      <c r="BH176" s="354"/>
      <c r="BI176" s="354"/>
      <c r="BK176" s="550"/>
      <c r="BL176" s="559"/>
      <c r="BM176" s="559"/>
      <c r="BN176" s="9"/>
      <c r="BO176" s="48"/>
      <c r="BP176" s="354"/>
      <c r="BQ176" s="354"/>
      <c r="BR176" s="354"/>
      <c r="BS176" s="354"/>
      <c r="BT176" s="354"/>
      <c r="BU176" s="354"/>
      <c r="BV176" s="354"/>
    </row>
    <row r="177" spans="8:74" x14ac:dyDescent="0.2">
      <c r="H177" s="555"/>
      <c r="I177" s="4"/>
      <c r="L177" s="4"/>
      <c r="M177" s="4"/>
      <c r="N177" s="4"/>
      <c r="O177" s="4"/>
      <c r="P177" s="4"/>
      <c r="Q177" s="4"/>
      <c r="R177" s="4"/>
      <c r="S177" s="4"/>
      <c r="W177" s="354"/>
      <c r="X177" s="354"/>
      <c r="Y177" s="354"/>
      <c r="Z177" s="354"/>
      <c r="AB177" s="354"/>
      <c r="AC177" s="354"/>
      <c r="AD177" s="354"/>
      <c r="AE177" s="354"/>
      <c r="AF177" s="549"/>
      <c r="AG177" s="354"/>
      <c r="AH177" s="354"/>
      <c r="AI177" s="354"/>
      <c r="AK177" s="354"/>
      <c r="AL177" s="354"/>
      <c r="AM177" s="354"/>
      <c r="AN177" s="354"/>
      <c r="AO177" s="354"/>
      <c r="AP177" s="354"/>
      <c r="AQ177" s="354"/>
      <c r="AR177" s="354"/>
      <c r="AT177" s="354"/>
      <c r="AU177" s="354"/>
      <c r="AV177" s="354"/>
      <c r="AW177" s="354"/>
      <c r="AX177" s="354"/>
      <c r="AY177" s="354"/>
      <c r="AZ177" s="354"/>
      <c r="BA177" s="354"/>
      <c r="BB177" s="354"/>
      <c r="BC177" s="354"/>
      <c r="BD177" s="354"/>
      <c r="BE177" s="354"/>
      <c r="BF177" s="354"/>
      <c r="BG177" s="354"/>
      <c r="BH177" s="354"/>
      <c r="BI177" s="354"/>
      <c r="BK177" s="550"/>
      <c r="BL177" s="559"/>
      <c r="BM177" s="559"/>
      <c r="BN177" s="9"/>
      <c r="BO177" s="48"/>
      <c r="BP177" s="354"/>
      <c r="BQ177" s="354"/>
      <c r="BR177" s="354"/>
      <c r="BS177" s="354"/>
      <c r="BT177" s="354"/>
      <c r="BU177" s="354"/>
      <c r="BV177" s="354"/>
    </row>
    <row r="178" spans="8:74" x14ac:dyDescent="0.2">
      <c r="H178" s="555"/>
      <c r="I178" s="4"/>
      <c r="L178" s="4"/>
      <c r="M178" s="4"/>
      <c r="N178" s="4"/>
      <c r="O178" s="4"/>
      <c r="P178" s="4"/>
      <c r="Q178" s="4"/>
      <c r="R178" s="4"/>
      <c r="S178" s="4"/>
      <c r="W178" s="354"/>
      <c r="X178" s="354"/>
      <c r="Y178" s="354"/>
      <c r="Z178" s="354"/>
      <c r="AB178" s="354"/>
      <c r="AC178" s="354"/>
      <c r="AD178" s="354"/>
      <c r="AE178" s="354"/>
      <c r="AF178" s="549"/>
      <c r="AG178" s="354"/>
      <c r="AH178" s="354"/>
      <c r="AI178" s="354"/>
      <c r="AK178" s="354"/>
      <c r="AL178" s="354"/>
      <c r="AM178" s="354"/>
      <c r="AN178" s="354"/>
      <c r="AO178" s="354"/>
      <c r="AP178" s="354"/>
      <c r="AQ178" s="354"/>
      <c r="AR178" s="354"/>
      <c r="AT178" s="354"/>
      <c r="AU178" s="354"/>
      <c r="AV178" s="354"/>
      <c r="AW178" s="354"/>
      <c r="AX178" s="354"/>
      <c r="AY178" s="354"/>
      <c r="AZ178" s="354"/>
      <c r="BA178" s="354"/>
      <c r="BB178" s="354"/>
      <c r="BC178" s="354"/>
      <c r="BD178" s="354"/>
      <c r="BE178" s="354"/>
      <c r="BF178" s="354"/>
      <c r="BG178" s="354"/>
      <c r="BH178" s="354"/>
      <c r="BI178" s="354"/>
      <c r="BK178" s="550"/>
      <c r="BL178" s="559"/>
      <c r="BM178" s="559"/>
      <c r="BN178" s="9"/>
      <c r="BO178" s="48"/>
      <c r="BP178" s="354"/>
      <c r="BQ178" s="354"/>
      <c r="BR178" s="354"/>
      <c r="BS178" s="354"/>
      <c r="BT178" s="354"/>
      <c r="BU178" s="354"/>
      <c r="BV178" s="354"/>
    </row>
    <row r="179" spans="8:74" x14ac:dyDescent="0.2">
      <c r="H179" s="555"/>
      <c r="I179" s="4"/>
      <c r="L179" s="4"/>
      <c r="M179" s="4"/>
      <c r="N179" s="4"/>
      <c r="O179" s="4"/>
      <c r="P179" s="4"/>
      <c r="Q179" s="4"/>
      <c r="R179" s="4"/>
      <c r="S179" s="4"/>
      <c r="W179" s="354"/>
      <c r="X179" s="354"/>
      <c r="Y179" s="354"/>
      <c r="Z179" s="354"/>
      <c r="AB179" s="354"/>
      <c r="AC179" s="354"/>
      <c r="AD179" s="354"/>
      <c r="AE179" s="354"/>
      <c r="AF179" s="549"/>
      <c r="AG179" s="354"/>
      <c r="AH179" s="354"/>
      <c r="AI179" s="354"/>
      <c r="AK179" s="354"/>
      <c r="AL179" s="354"/>
      <c r="AM179" s="354"/>
      <c r="AN179" s="354"/>
      <c r="AO179" s="354"/>
      <c r="AP179" s="354"/>
      <c r="AQ179" s="354"/>
      <c r="AR179" s="354"/>
      <c r="AT179" s="354"/>
      <c r="AU179" s="354"/>
      <c r="AV179" s="354"/>
      <c r="AW179" s="354"/>
      <c r="AX179" s="354"/>
      <c r="AY179" s="354"/>
      <c r="AZ179" s="354"/>
      <c r="BA179" s="354"/>
      <c r="BB179" s="354"/>
      <c r="BC179" s="354"/>
      <c r="BD179" s="354"/>
      <c r="BE179" s="354"/>
      <c r="BF179" s="354"/>
      <c r="BG179" s="354"/>
      <c r="BH179" s="354"/>
      <c r="BI179" s="354"/>
      <c r="BK179" s="550"/>
      <c r="BL179" s="559"/>
      <c r="BM179" s="559"/>
      <c r="BN179" s="9"/>
      <c r="BO179" s="48"/>
      <c r="BP179" s="354"/>
      <c r="BQ179" s="354"/>
      <c r="BR179" s="354"/>
      <c r="BS179" s="354"/>
      <c r="BT179" s="354"/>
      <c r="BU179" s="354"/>
      <c r="BV179" s="354"/>
    </row>
    <row r="180" spans="8:74" x14ac:dyDescent="0.2">
      <c r="H180" s="555"/>
      <c r="I180" s="4"/>
      <c r="L180" s="4"/>
      <c r="M180" s="4"/>
      <c r="N180" s="4"/>
      <c r="O180" s="4"/>
      <c r="P180" s="4"/>
      <c r="Q180" s="4"/>
      <c r="R180" s="4"/>
      <c r="S180" s="4"/>
      <c r="W180" s="354"/>
      <c r="X180" s="354"/>
      <c r="Y180" s="354"/>
      <c r="Z180" s="354"/>
      <c r="AB180" s="354"/>
      <c r="AC180" s="354"/>
      <c r="AD180" s="354"/>
      <c r="AE180" s="354"/>
      <c r="AF180" s="549"/>
      <c r="AG180" s="354"/>
      <c r="AH180" s="354"/>
      <c r="AI180" s="354"/>
      <c r="AK180" s="354"/>
      <c r="AL180" s="354"/>
      <c r="AM180" s="354"/>
      <c r="AN180" s="354"/>
      <c r="AO180" s="354"/>
      <c r="AP180" s="354"/>
      <c r="AQ180" s="354"/>
      <c r="AR180" s="354"/>
      <c r="AT180" s="354"/>
      <c r="AU180" s="354"/>
      <c r="AV180" s="354"/>
      <c r="AW180" s="354"/>
      <c r="AX180" s="354"/>
      <c r="AY180" s="354"/>
      <c r="AZ180" s="354"/>
      <c r="BA180" s="354"/>
      <c r="BB180" s="354"/>
      <c r="BC180" s="354"/>
      <c r="BD180" s="354"/>
      <c r="BE180" s="354"/>
      <c r="BF180" s="354"/>
      <c r="BG180" s="354"/>
      <c r="BH180" s="354"/>
      <c r="BI180" s="354"/>
      <c r="BK180" s="550"/>
      <c r="BL180" s="559"/>
      <c r="BM180" s="559"/>
      <c r="BN180" s="9"/>
      <c r="BO180" s="48"/>
      <c r="BP180" s="354"/>
      <c r="BQ180" s="354"/>
      <c r="BR180" s="354"/>
      <c r="BS180" s="354"/>
      <c r="BT180" s="354"/>
      <c r="BU180" s="354"/>
      <c r="BV180" s="354"/>
    </row>
    <row r="181" spans="8:74" x14ac:dyDescent="0.2">
      <c r="H181" s="555"/>
      <c r="I181" s="4"/>
      <c r="L181" s="4"/>
      <c r="M181" s="4"/>
      <c r="N181" s="4"/>
      <c r="O181" s="4"/>
      <c r="P181" s="4"/>
      <c r="Q181" s="4"/>
      <c r="R181" s="4"/>
      <c r="S181" s="4"/>
      <c r="W181" s="354"/>
      <c r="X181" s="354"/>
      <c r="Y181" s="354"/>
      <c r="Z181" s="354"/>
      <c r="AB181" s="354"/>
      <c r="AC181" s="354"/>
      <c r="AD181" s="354"/>
      <c r="AE181" s="354"/>
      <c r="AF181" s="549"/>
      <c r="AG181" s="354"/>
      <c r="AH181" s="354"/>
      <c r="AI181" s="354"/>
      <c r="AK181" s="354"/>
      <c r="AL181" s="354"/>
      <c r="AM181" s="354"/>
      <c r="AN181" s="354"/>
      <c r="AO181" s="354"/>
      <c r="AP181" s="354"/>
      <c r="AQ181" s="354"/>
      <c r="AR181" s="354"/>
      <c r="AT181" s="354"/>
      <c r="AU181" s="354"/>
      <c r="AV181" s="354"/>
      <c r="AW181" s="354"/>
      <c r="AX181" s="354"/>
      <c r="AY181" s="354"/>
      <c r="AZ181" s="354"/>
      <c r="BA181" s="354"/>
      <c r="BB181" s="354"/>
      <c r="BC181" s="354"/>
      <c r="BD181" s="354"/>
      <c r="BE181" s="354"/>
      <c r="BF181" s="354"/>
      <c r="BG181" s="354"/>
      <c r="BH181" s="354"/>
      <c r="BI181" s="354"/>
      <c r="BK181" s="550"/>
      <c r="BL181" s="559"/>
      <c r="BM181" s="559"/>
      <c r="BN181" s="9"/>
      <c r="BO181" s="48"/>
      <c r="BP181" s="354"/>
      <c r="BQ181" s="354"/>
      <c r="BR181" s="354"/>
      <c r="BS181" s="354"/>
      <c r="BT181" s="354"/>
      <c r="BU181" s="354"/>
      <c r="BV181" s="354"/>
    </row>
    <row r="182" spans="8:74" x14ac:dyDescent="0.2">
      <c r="H182" s="555"/>
      <c r="I182" s="4"/>
      <c r="L182" s="4"/>
      <c r="M182" s="4"/>
      <c r="N182" s="4"/>
      <c r="O182" s="4"/>
      <c r="P182" s="4"/>
      <c r="Q182" s="4"/>
      <c r="R182" s="4"/>
      <c r="S182" s="4"/>
      <c r="W182" s="354"/>
      <c r="X182" s="354"/>
      <c r="Y182" s="354"/>
      <c r="Z182" s="354"/>
      <c r="AB182" s="354"/>
      <c r="AC182" s="354"/>
      <c r="AD182" s="354"/>
      <c r="AE182" s="354"/>
      <c r="AF182" s="549"/>
      <c r="AG182" s="354"/>
      <c r="AH182" s="354"/>
      <c r="AI182" s="354"/>
      <c r="AK182" s="354"/>
      <c r="AL182" s="354"/>
      <c r="AM182" s="354"/>
      <c r="AN182" s="354"/>
      <c r="AO182" s="354"/>
      <c r="AP182" s="354"/>
      <c r="AQ182" s="354"/>
      <c r="AR182" s="354"/>
      <c r="AT182" s="354"/>
      <c r="AU182" s="354"/>
      <c r="AV182" s="354"/>
      <c r="AW182" s="354"/>
      <c r="AX182" s="354"/>
      <c r="AY182" s="354"/>
      <c r="AZ182" s="354"/>
      <c r="BA182" s="354"/>
      <c r="BB182" s="354"/>
      <c r="BC182" s="354"/>
      <c r="BD182" s="354"/>
      <c r="BE182" s="354"/>
      <c r="BF182" s="354"/>
      <c r="BG182" s="354"/>
      <c r="BH182" s="354"/>
      <c r="BI182" s="354"/>
      <c r="BK182" s="550"/>
      <c r="BL182" s="559"/>
      <c r="BM182" s="559"/>
      <c r="BN182" s="9"/>
      <c r="BO182" s="48"/>
      <c r="BP182" s="354"/>
      <c r="BQ182" s="354"/>
      <c r="BR182" s="354"/>
      <c r="BS182" s="354"/>
      <c r="BT182" s="354"/>
      <c r="BU182" s="354"/>
      <c r="BV182" s="354"/>
    </row>
    <row r="183" spans="8:74" x14ac:dyDescent="0.2">
      <c r="H183" s="555"/>
      <c r="I183" s="4"/>
      <c r="L183" s="4"/>
      <c r="M183" s="4"/>
      <c r="N183" s="4"/>
      <c r="O183" s="4"/>
      <c r="P183" s="4"/>
      <c r="Q183" s="4"/>
      <c r="R183" s="4"/>
      <c r="S183" s="4"/>
      <c r="W183" s="354"/>
      <c r="X183" s="354"/>
      <c r="Y183" s="354"/>
      <c r="Z183" s="354"/>
      <c r="AB183" s="354"/>
      <c r="AC183" s="354"/>
      <c r="AD183" s="354"/>
      <c r="AE183" s="354"/>
      <c r="AF183" s="549"/>
      <c r="AG183" s="354"/>
      <c r="AH183" s="354"/>
      <c r="AI183" s="354"/>
      <c r="AK183" s="354"/>
      <c r="AL183" s="354"/>
      <c r="AM183" s="354"/>
      <c r="AN183" s="354"/>
      <c r="AO183" s="354"/>
      <c r="AP183" s="354"/>
      <c r="AQ183" s="354"/>
      <c r="AR183" s="354"/>
      <c r="AT183" s="354"/>
      <c r="AU183" s="354"/>
      <c r="AV183" s="354"/>
      <c r="AW183" s="354"/>
      <c r="AX183" s="354"/>
      <c r="AY183" s="354"/>
      <c r="AZ183" s="354"/>
      <c r="BA183" s="354"/>
      <c r="BB183" s="354"/>
      <c r="BC183" s="354"/>
      <c r="BD183" s="354"/>
      <c r="BE183" s="354"/>
      <c r="BF183" s="354"/>
      <c r="BG183" s="354"/>
      <c r="BH183" s="354"/>
      <c r="BI183" s="354"/>
      <c r="BK183" s="550"/>
      <c r="BL183" s="559"/>
      <c r="BM183" s="559"/>
      <c r="BN183" s="9"/>
      <c r="BO183" s="48"/>
      <c r="BP183" s="354"/>
      <c r="BQ183" s="354"/>
      <c r="BR183" s="354"/>
      <c r="BS183" s="354"/>
      <c r="BT183" s="354"/>
      <c r="BU183" s="354"/>
      <c r="BV183" s="354"/>
    </row>
    <row r="184" spans="8:74" x14ac:dyDescent="0.2">
      <c r="H184" s="555"/>
      <c r="I184" s="4"/>
      <c r="L184" s="4"/>
      <c r="M184" s="4"/>
      <c r="N184" s="4"/>
      <c r="O184" s="4"/>
      <c r="P184" s="4"/>
      <c r="Q184" s="4"/>
      <c r="R184" s="4"/>
      <c r="S184" s="4"/>
      <c r="W184" s="354"/>
      <c r="X184" s="354"/>
      <c r="Y184" s="354"/>
      <c r="Z184" s="354"/>
      <c r="AB184" s="354"/>
      <c r="AC184" s="354"/>
      <c r="AD184" s="354"/>
      <c r="AE184" s="354"/>
      <c r="AF184" s="549"/>
      <c r="AG184" s="354"/>
      <c r="AH184" s="354"/>
      <c r="AI184" s="354"/>
      <c r="AK184" s="354"/>
      <c r="AL184" s="354"/>
      <c r="AM184" s="354"/>
      <c r="AN184" s="354"/>
      <c r="AO184" s="354"/>
      <c r="AP184" s="354"/>
      <c r="AQ184" s="354"/>
      <c r="AR184" s="354"/>
      <c r="AT184" s="354"/>
      <c r="AU184" s="354"/>
      <c r="AV184" s="354"/>
      <c r="AW184" s="354"/>
      <c r="AX184" s="354"/>
      <c r="AY184" s="354"/>
      <c r="AZ184" s="354"/>
      <c r="BA184" s="354"/>
      <c r="BB184" s="354"/>
      <c r="BC184" s="354"/>
      <c r="BD184" s="354"/>
      <c r="BE184" s="354"/>
      <c r="BF184" s="354"/>
      <c r="BG184" s="354"/>
      <c r="BH184" s="354"/>
      <c r="BI184" s="354"/>
      <c r="BK184" s="550"/>
      <c r="BL184" s="559"/>
      <c r="BM184" s="559"/>
      <c r="BN184" s="9"/>
      <c r="BO184" s="48"/>
      <c r="BP184" s="354"/>
      <c r="BQ184" s="354"/>
      <c r="BR184" s="354"/>
      <c r="BS184" s="354"/>
      <c r="BT184" s="354"/>
      <c r="BU184" s="354"/>
      <c r="BV184" s="354"/>
    </row>
    <row r="185" spans="8:74" x14ac:dyDescent="0.2">
      <c r="H185" s="555"/>
      <c r="I185" s="4"/>
      <c r="L185" s="4"/>
      <c r="M185" s="4"/>
      <c r="N185" s="4"/>
      <c r="O185" s="4"/>
      <c r="P185" s="4"/>
      <c r="Q185" s="4"/>
      <c r="R185" s="4"/>
      <c r="S185" s="4"/>
      <c r="W185" s="354"/>
      <c r="X185" s="354"/>
      <c r="Y185" s="354"/>
      <c r="Z185" s="354"/>
      <c r="AB185" s="354"/>
      <c r="AC185" s="354"/>
      <c r="AD185" s="354"/>
      <c r="AE185" s="354"/>
      <c r="AF185" s="549"/>
      <c r="AG185" s="354"/>
      <c r="AH185" s="354"/>
      <c r="AI185" s="354"/>
      <c r="AK185" s="354"/>
      <c r="AL185" s="354"/>
      <c r="AM185" s="354"/>
      <c r="AN185" s="354"/>
      <c r="AO185" s="354"/>
      <c r="AP185" s="354"/>
      <c r="AQ185" s="354"/>
      <c r="AR185" s="354"/>
      <c r="AT185" s="354"/>
      <c r="AU185" s="354"/>
      <c r="AV185" s="354"/>
      <c r="AW185" s="354"/>
      <c r="AX185" s="354"/>
      <c r="AY185" s="354"/>
      <c r="AZ185" s="354"/>
      <c r="BA185" s="354"/>
      <c r="BB185" s="354"/>
      <c r="BC185" s="354"/>
      <c r="BD185" s="354"/>
      <c r="BE185" s="354"/>
      <c r="BF185" s="354"/>
      <c r="BG185" s="354"/>
      <c r="BH185" s="354"/>
      <c r="BI185" s="354"/>
      <c r="BK185" s="550"/>
      <c r="BL185" s="559"/>
      <c r="BM185" s="559"/>
      <c r="BN185" s="9"/>
      <c r="BO185" s="48"/>
      <c r="BP185" s="354"/>
      <c r="BQ185" s="354"/>
      <c r="BR185" s="354"/>
      <c r="BS185" s="354"/>
      <c r="BT185" s="354"/>
      <c r="BU185" s="354"/>
      <c r="BV185" s="354"/>
    </row>
    <row r="186" spans="8:74" x14ac:dyDescent="0.2">
      <c r="H186" s="555"/>
      <c r="I186" s="4"/>
      <c r="L186" s="4"/>
      <c r="M186" s="4"/>
      <c r="N186" s="4"/>
      <c r="O186" s="4"/>
      <c r="P186" s="4"/>
      <c r="Q186" s="4"/>
      <c r="R186" s="4"/>
      <c r="S186" s="4"/>
      <c r="W186" s="354"/>
      <c r="X186" s="354"/>
      <c r="Y186" s="354"/>
      <c r="Z186" s="354"/>
      <c r="AB186" s="354"/>
      <c r="AC186" s="354"/>
      <c r="AD186" s="354"/>
      <c r="AE186" s="354"/>
      <c r="AF186" s="549"/>
      <c r="AG186" s="354"/>
      <c r="AH186" s="354"/>
      <c r="AI186" s="354"/>
      <c r="AK186" s="354"/>
      <c r="AL186" s="354"/>
      <c r="AM186" s="354"/>
      <c r="AN186" s="354"/>
      <c r="AO186" s="354"/>
      <c r="AP186" s="354"/>
      <c r="AQ186" s="354"/>
      <c r="AR186" s="354"/>
      <c r="AT186" s="354"/>
      <c r="AU186" s="354"/>
      <c r="AV186" s="354"/>
      <c r="AW186" s="354"/>
      <c r="AX186" s="354"/>
      <c r="AY186" s="354"/>
      <c r="AZ186" s="354"/>
      <c r="BA186" s="354"/>
      <c r="BB186" s="354"/>
      <c r="BC186" s="354"/>
      <c r="BD186" s="354"/>
      <c r="BE186" s="354"/>
      <c r="BF186" s="354"/>
      <c r="BG186" s="354"/>
      <c r="BH186" s="354"/>
      <c r="BI186" s="354"/>
      <c r="BK186" s="550"/>
      <c r="BL186" s="559"/>
      <c r="BM186" s="559"/>
      <c r="BN186" s="9"/>
      <c r="BO186" s="48"/>
      <c r="BP186" s="354"/>
      <c r="BQ186" s="354"/>
      <c r="BR186" s="354"/>
      <c r="BS186" s="354"/>
      <c r="BT186" s="354"/>
      <c r="BU186" s="354"/>
      <c r="BV186" s="354"/>
    </row>
    <row r="187" spans="8:74" x14ac:dyDescent="0.2">
      <c r="H187" s="555"/>
      <c r="I187" s="4"/>
      <c r="L187" s="4"/>
      <c r="M187" s="4"/>
      <c r="N187" s="4"/>
      <c r="O187" s="4"/>
      <c r="P187" s="4"/>
      <c r="Q187" s="4"/>
      <c r="R187" s="4"/>
      <c r="S187" s="4"/>
      <c r="W187" s="354"/>
      <c r="X187" s="354"/>
      <c r="Y187" s="354"/>
      <c r="Z187" s="354"/>
      <c r="AB187" s="354"/>
      <c r="AC187" s="354"/>
      <c r="AD187" s="354"/>
      <c r="AE187" s="354"/>
      <c r="AF187" s="549"/>
      <c r="AG187" s="354"/>
      <c r="AH187" s="354"/>
      <c r="AI187" s="354"/>
      <c r="AK187" s="354"/>
      <c r="AL187" s="354"/>
      <c r="AM187" s="354"/>
      <c r="AN187" s="354"/>
      <c r="AO187" s="354"/>
      <c r="AP187" s="354"/>
      <c r="AQ187" s="354"/>
      <c r="AR187" s="354"/>
      <c r="AT187" s="354"/>
      <c r="AU187" s="354"/>
      <c r="AV187" s="354"/>
      <c r="AW187" s="354"/>
      <c r="AX187" s="354"/>
      <c r="AY187" s="354"/>
      <c r="AZ187" s="354"/>
      <c r="BA187" s="354"/>
      <c r="BB187" s="354"/>
      <c r="BC187" s="354"/>
      <c r="BD187" s="354"/>
      <c r="BE187" s="354"/>
      <c r="BF187" s="354"/>
      <c r="BG187" s="354"/>
      <c r="BH187" s="354"/>
      <c r="BI187" s="354"/>
      <c r="BK187" s="550"/>
      <c r="BL187" s="559"/>
      <c r="BM187" s="559"/>
      <c r="BN187" s="9"/>
      <c r="BO187" s="48"/>
      <c r="BP187" s="354"/>
      <c r="BQ187" s="354"/>
      <c r="BR187" s="354"/>
      <c r="BS187" s="354"/>
      <c r="BT187" s="354"/>
      <c r="BU187" s="354"/>
      <c r="BV187" s="354"/>
    </row>
    <row r="188" spans="8:74" x14ac:dyDescent="0.2">
      <c r="H188" s="555"/>
      <c r="I188" s="4"/>
      <c r="L188" s="4"/>
      <c r="M188" s="4"/>
      <c r="N188" s="4"/>
      <c r="O188" s="4"/>
      <c r="P188" s="4"/>
      <c r="Q188" s="4"/>
      <c r="R188" s="4"/>
      <c r="S188" s="4"/>
      <c r="W188" s="354"/>
      <c r="X188" s="354"/>
      <c r="Y188" s="354"/>
      <c r="Z188" s="354"/>
      <c r="AB188" s="354"/>
      <c r="AC188" s="354"/>
      <c r="AD188" s="354"/>
      <c r="AE188" s="354"/>
      <c r="AF188" s="549"/>
      <c r="AG188" s="354"/>
      <c r="AH188" s="354"/>
      <c r="AI188" s="354"/>
      <c r="AK188" s="354"/>
      <c r="AL188" s="354"/>
      <c r="AM188" s="354"/>
      <c r="AN188" s="354"/>
      <c r="AO188" s="354"/>
      <c r="AP188" s="354"/>
      <c r="AQ188" s="354"/>
      <c r="AR188" s="354"/>
      <c r="AT188" s="354"/>
      <c r="AU188" s="354"/>
      <c r="AV188" s="354"/>
      <c r="AW188" s="354"/>
      <c r="AX188" s="354"/>
      <c r="AY188" s="354"/>
      <c r="AZ188" s="354"/>
      <c r="BA188" s="354"/>
      <c r="BB188" s="354"/>
      <c r="BC188" s="354"/>
      <c r="BD188" s="354"/>
      <c r="BE188" s="354"/>
      <c r="BF188" s="354"/>
      <c r="BG188" s="354"/>
      <c r="BH188" s="354"/>
      <c r="BI188" s="354"/>
      <c r="BK188" s="550"/>
      <c r="BL188" s="559"/>
      <c r="BM188" s="559"/>
      <c r="BN188" s="9"/>
      <c r="BO188" s="48"/>
      <c r="BP188" s="354"/>
      <c r="BQ188" s="354"/>
      <c r="BR188" s="354"/>
      <c r="BS188" s="354"/>
      <c r="BT188" s="354"/>
      <c r="BU188" s="354"/>
      <c r="BV188" s="354"/>
    </row>
    <row r="189" spans="8:74" x14ac:dyDescent="0.2">
      <c r="H189" s="555"/>
      <c r="I189" s="4"/>
      <c r="L189" s="4"/>
      <c r="M189" s="4"/>
      <c r="N189" s="4"/>
      <c r="O189" s="4"/>
      <c r="P189" s="4"/>
      <c r="Q189" s="4"/>
      <c r="R189" s="4"/>
      <c r="S189" s="4"/>
      <c r="W189" s="354"/>
      <c r="X189" s="354"/>
      <c r="Y189" s="354"/>
      <c r="Z189" s="354"/>
      <c r="AB189" s="354"/>
      <c r="AC189" s="354"/>
      <c r="AD189" s="354"/>
      <c r="AE189" s="354"/>
      <c r="AF189" s="549"/>
      <c r="AG189" s="354"/>
      <c r="AH189" s="354"/>
      <c r="AI189" s="354"/>
      <c r="AK189" s="354"/>
      <c r="AL189" s="354"/>
      <c r="AM189" s="354"/>
      <c r="AN189" s="354"/>
      <c r="AO189" s="354"/>
      <c r="AP189" s="354"/>
      <c r="AQ189" s="354"/>
      <c r="AR189" s="354"/>
      <c r="AT189" s="354"/>
      <c r="AU189" s="354"/>
      <c r="AV189" s="354"/>
      <c r="AW189" s="354"/>
      <c r="AX189" s="354"/>
      <c r="AY189" s="354"/>
      <c r="AZ189" s="354"/>
      <c r="BA189" s="354"/>
      <c r="BB189" s="354"/>
      <c r="BC189" s="354"/>
      <c r="BD189" s="354"/>
      <c r="BE189" s="354"/>
      <c r="BF189" s="354"/>
      <c r="BG189" s="354"/>
      <c r="BH189" s="354"/>
      <c r="BI189" s="354"/>
      <c r="BK189" s="550"/>
      <c r="BL189" s="559"/>
      <c r="BM189" s="559"/>
      <c r="BN189" s="9"/>
      <c r="BO189" s="48"/>
      <c r="BP189" s="354"/>
      <c r="BQ189" s="354"/>
      <c r="BR189" s="354"/>
      <c r="BS189" s="354"/>
      <c r="BT189" s="354"/>
      <c r="BU189" s="354"/>
      <c r="BV189" s="354"/>
    </row>
    <row r="190" spans="8:74" x14ac:dyDescent="0.2">
      <c r="H190" s="555"/>
      <c r="I190" s="4"/>
      <c r="L190" s="4"/>
      <c r="M190" s="4"/>
      <c r="N190" s="4"/>
      <c r="O190" s="4"/>
      <c r="P190" s="4"/>
      <c r="Q190" s="4"/>
      <c r="R190" s="4"/>
      <c r="S190" s="4"/>
      <c r="W190" s="354"/>
      <c r="X190" s="354"/>
      <c r="Y190" s="354"/>
      <c r="Z190" s="354"/>
      <c r="AB190" s="354"/>
      <c r="AC190" s="354"/>
      <c r="AD190" s="354"/>
      <c r="AE190" s="354"/>
      <c r="AF190" s="549"/>
      <c r="AG190" s="354"/>
      <c r="AH190" s="354"/>
      <c r="AI190" s="354"/>
      <c r="AK190" s="354"/>
      <c r="AL190" s="354"/>
      <c r="AM190" s="354"/>
      <c r="AN190" s="354"/>
      <c r="AO190" s="354"/>
      <c r="AP190" s="354"/>
      <c r="AQ190" s="354"/>
      <c r="AR190" s="354"/>
      <c r="AT190" s="354"/>
      <c r="AU190" s="354"/>
      <c r="AV190" s="354"/>
      <c r="AW190" s="354"/>
      <c r="AX190" s="354"/>
      <c r="AY190" s="354"/>
      <c r="AZ190" s="354"/>
      <c r="BA190" s="354"/>
      <c r="BB190" s="354"/>
      <c r="BC190" s="354"/>
      <c r="BD190" s="354"/>
      <c r="BE190" s="354"/>
      <c r="BF190" s="354"/>
      <c r="BG190" s="354"/>
      <c r="BH190" s="354"/>
      <c r="BI190" s="354"/>
      <c r="BK190" s="550"/>
      <c r="BL190" s="559"/>
      <c r="BM190" s="559"/>
      <c r="BN190" s="9"/>
      <c r="BO190" s="48"/>
      <c r="BP190" s="354"/>
      <c r="BQ190" s="354"/>
      <c r="BR190" s="354"/>
      <c r="BS190" s="354"/>
      <c r="BT190" s="354"/>
      <c r="BU190" s="354"/>
      <c r="BV190" s="354"/>
    </row>
    <row r="191" spans="8:74" x14ac:dyDescent="0.2">
      <c r="H191" s="555"/>
      <c r="I191" s="4"/>
      <c r="L191" s="4"/>
      <c r="M191" s="4"/>
      <c r="N191" s="4"/>
      <c r="O191" s="4"/>
      <c r="P191" s="4"/>
      <c r="Q191" s="4"/>
      <c r="R191" s="4"/>
      <c r="S191" s="4"/>
      <c r="W191" s="354"/>
      <c r="X191" s="354"/>
      <c r="Y191" s="354"/>
      <c r="Z191" s="354"/>
      <c r="AB191" s="354"/>
      <c r="AC191" s="354"/>
      <c r="AD191" s="354"/>
      <c r="AE191" s="354"/>
      <c r="AF191" s="549"/>
      <c r="AG191" s="354"/>
      <c r="AH191" s="354"/>
      <c r="AI191" s="354"/>
      <c r="AK191" s="354"/>
      <c r="AL191" s="354"/>
      <c r="AM191" s="354"/>
      <c r="AN191" s="354"/>
      <c r="AO191" s="354"/>
      <c r="AP191" s="354"/>
      <c r="AQ191" s="354"/>
      <c r="AR191" s="354"/>
      <c r="AT191" s="354"/>
      <c r="AU191" s="354"/>
      <c r="AV191" s="354"/>
      <c r="AW191" s="354"/>
      <c r="AX191" s="354"/>
      <c r="AY191" s="354"/>
      <c r="AZ191" s="354"/>
      <c r="BA191" s="354"/>
      <c r="BB191" s="354"/>
      <c r="BC191" s="354"/>
      <c r="BD191" s="354"/>
      <c r="BE191" s="354"/>
      <c r="BF191" s="354"/>
      <c r="BG191" s="354"/>
      <c r="BH191" s="354"/>
      <c r="BI191" s="354"/>
      <c r="BK191" s="550"/>
      <c r="BL191" s="559"/>
      <c r="BM191" s="559"/>
      <c r="BN191" s="9"/>
      <c r="BO191" s="48"/>
      <c r="BP191" s="354"/>
      <c r="BQ191" s="354"/>
      <c r="BR191" s="354"/>
      <c r="BS191" s="354"/>
      <c r="BT191" s="354"/>
      <c r="BU191" s="354"/>
      <c r="BV191" s="354"/>
    </row>
    <row r="192" spans="8:74" x14ac:dyDescent="0.2">
      <c r="H192" s="555"/>
      <c r="I192" s="4"/>
      <c r="L192" s="4"/>
      <c r="M192" s="4"/>
      <c r="N192" s="4"/>
      <c r="O192" s="4"/>
      <c r="P192" s="4"/>
      <c r="Q192" s="4"/>
      <c r="R192" s="4"/>
      <c r="S192" s="4"/>
      <c r="W192" s="354"/>
      <c r="X192" s="354"/>
      <c r="Y192" s="354"/>
      <c r="Z192" s="354"/>
      <c r="AB192" s="354"/>
      <c r="AC192" s="354"/>
      <c r="AD192" s="354"/>
      <c r="AE192" s="354"/>
      <c r="AF192" s="549"/>
      <c r="AG192" s="354"/>
      <c r="AH192" s="354"/>
      <c r="AI192" s="354"/>
      <c r="AK192" s="354"/>
      <c r="AL192" s="354"/>
      <c r="AM192" s="354"/>
      <c r="AN192" s="354"/>
      <c r="AO192" s="354"/>
      <c r="AP192" s="354"/>
      <c r="AQ192" s="354"/>
      <c r="AR192" s="354"/>
      <c r="AT192" s="354"/>
      <c r="AU192" s="354"/>
      <c r="AV192" s="354"/>
      <c r="AW192" s="354"/>
      <c r="AX192" s="354"/>
      <c r="AY192" s="354"/>
      <c r="AZ192" s="354"/>
      <c r="BA192" s="354"/>
      <c r="BB192" s="354"/>
      <c r="BC192" s="354"/>
      <c r="BD192" s="354"/>
      <c r="BE192" s="354"/>
      <c r="BF192" s="354"/>
      <c r="BG192" s="354"/>
      <c r="BH192" s="354"/>
      <c r="BI192" s="354"/>
      <c r="BK192" s="550"/>
      <c r="BL192" s="559"/>
      <c r="BM192" s="559"/>
      <c r="BN192" s="9"/>
      <c r="BO192" s="48"/>
      <c r="BP192" s="354"/>
      <c r="BQ192" s="354"/>
      <c r="BR192" s="354"/>
      <c r="BS192" s="354"/>
      <c r="BT192" s="354"/>
      <c r="BU192" s="354"/>
      <c r="BV192" s="354"/>
    </row>
    <row r="193" spans="8:74" x14ac:dyDescent="0.2">
      <c r="H193" s="555"/>
      <c r="I193" s="4"/>
      <c r="L193" s="4"/>
      <c r="M193" s="4"/>
      <c r="N193" s="4"/>
      <c r="O193" s="4"/>
      <c r="P193" s="4"/>
      <c r="Q193" s="4"/>
      <c r="R193" s="4"/>
      <c r="S193" s="4"/>
      <c r="W193" s="354"/>
      <c r="X193" s="354"/>
      <c r="Y193" s="354"/>
      <c r="Z193" s="354"/>
      <c r="AB193" s="354"/>
      <c r="AC193" s="354"/>
      <c r="AD193" s="354"/>
      <c r="AE193" s="354"/>
      <c r="AF193" s="549"/>
      <c r="AG193" s="354"/>
      <c r="AH193" s="354"/>
      <c r="AI193" s="354"/>
      <c r="AK193" s="354"/>
      <c r="AL193" s="354"/>
      <c r="AM193" s="354"/>
      <c r="AN193" s="354"/>
      <c r="AO193" s="354"/>
      <c r="AP193" s="354"/>
      <c r="AQ193" s="354"/>
      <c r="AR193" s="354"/>
      <c r="AT193" s="354"/>
      <c r="AU193" s="354"/>
      <c r="AV193" s="354"/>
      <c r="AW193" s="354"/>
      <c r="AX193" s="354"/>
      <c r="AY193" s="354"/>
      <c r="AZ193" s="354"/>
      <c r="BA193" s="354"/>
      <c r="BB193" s="354"/>
      <c r="BC193" s="354"/>
      <c r="BD193" s="354"/>
      <c r="BE193" s="354"/>
      <c r="BF193" s="354"/>
      <c r="BG193" s="354"/>
      <c r="BH193" s="354"/>
      <c r="BI193" s="354"/>
      <c r="BK193" s="550"/>
      <c r="BL193" s="559"/>
      <c r="BM193" s="559"/>
      <c r="BN193" s="9"/>
      <c r="BO193" s="48"/>
      <c r="BP193" s="354"/>
      <c r="BQ193" s="354"/>
      <c r="BR193" s="354"/>
      <c r="BS193" s="354"/>
      <c r="BT193" s="354"/>
      <c r="BU193" s="354"/>
      <c r="BV193" s="354"/>
    </row>
    <row r="194" spans="8:74" x14ac:dyDescent="0.2">
      <c r="H194" s="555"/>
      <c r="I194" s="4"/>
      <c r="L194" s="4"/>
      <c r="M194" s="4"/>
      <c r="N194" s="4"/>
      <c r="O194" s="4"/>
      <c r="P194" s="4"/>
      <c r="Q194" s="4"/>
      <c r="R194" s="4"/>
      <c r="S194" s="4"/>
      <c r="W194" s="354"/>
      <c r="X194" s="354"/>
      <c r="Y194" s="354"/>
      <c r="Z194" s="354"/>
      <c r="AB194" s="354"/>
      <c r="AC194" s="354"/>
      <c r="AD194" s="354"/>
      <c r="AE194" s="354"/>
      <c r="AF194" s="549"/>
      <c r="AG194" s="354"/>
      <c r="AH194" s="354"/>
      <c r="AI194" s="354"/>
      <c r="AK194" s="354"/>
      <c r="AL194" s="354"/>
      <c r="AM194" s="354"/>
      <c r="AN194" s="354"/>
      <c r="AO194" s="354"/>
      <c r="AP194" s="354"/>
      <c r="AQ194" s="354"/>
      <c r="AR194" s="354"/>
      <c r="AT194" s="354"/>
      <c r="AU194" s="354"/>
      <c r="AV194" s="354"/>
      <c r="AW194" s="354"/>
      <c r="AX194" s="354"/>
      <c r="AY194" s="354"/>
      <c r="AZ194" s="354"/>
      <c r="BA194" s="354"/>
      <c r="BB194" s="354"/>
      <c r="BC194" s="354"/>
      <c r="BD194" s="354"/>
      <c r="BE194" s="354"/>
      <c r="BF194" s="354"/>
      <c r="BG194" s="354"/>
      <c r="BH194" s="354"/>
      <c r="BI194" s="354"/>
      <c r="BK194" s="550"/>
      <c r="BL194" s="559"/>
      <c r="BM194" s="559"/>
      <c r="BN194" s="9"/>
      <c r="BO194" s="48"/>
      <c r="BP194" s="354"/>
      <c r="BQ194" s="354"/>
      <c r="BR194" s="354"/>
      <c r="BS194" s="354"/>
      <c r="BT194" s="354"/>
      <c r="BU194" s="354"/>
      <c r="BV194" s="354"/>
    </row>
    <row r="195" spans="8:74" x14ac:dyDescent="0.2">
      <c r="H195" s="555"/>
      <c r="I195" s="4"/>
      <c r="L195" s="4"/>
      <c r="M195" s="4"/>
      <c r="N195" s="4"/>
      <c r="O195" s="4"/>
      <c r="P195" s="4"/>
      <c r="Q195" s="4"/>
      <c r="R195" s="4"/>
      <c r="S195" s="4"/>
      <c r="W195" s="354"/>
      <c r="X195" s="354"/>
      <c r="Y195" s="354"/>
      <c r="Z195" s="354"/>
      <c r="AB195" s="354"/>
      <c r="AC195" s="354"/>
      <c r="AD195" s="354"/>
      <c r="AE195" s="354"/>
      <c r="AF195" s="549"/>
      <c r="AG195" s="354"/>
      <c r="AH195" s="354"/>
      <c r="AI195" s="354"/>
      <c r="AK195" s="354"/>
      <c r="AL195" s="354"/>
      <c r="AM195" s="354"/>
      <c r="AN195" s="354"/>
      <c r="AO195" s="354"/>
      <c r="AP195" s="354"/>
      <c r="AQ195" s="354"/>
      <c r="AR195" s="354"/>
      <c r="AT195" s="354"/>
      <c r="AU195" s="354"/>
      <c r="AV195" s="354"/>
      <c r="AW195" s="354"/>
      <c r="AX195" s="354"/>
      <c r="AY195" s="354"/>
      <c r="AZ195" s="354"/>
      <c r="BA195" s="354"/>
      <c r="BB195" s="354"/>
      <c r="BC195" s="354"/>
      <c r="BD195" s="354"/>
      <c r="BE195" s="354"/>
      <c r="BF195" s="354"/>
      <c r="BG195" s="354"/>
      <c r="BH195" s="354"/>
      <c r="BI195" s="354"/>
      <c r="BK195" s="550"/>
      <c r="BL195" s="559"/>
      <c r="BM195" s="559"/>
      <c r="BN195" s="9"/>
      <c r="BO195" s="48"/>
      <c r="BP195" s="354"/>
      <c r="BQ195" s="354"/>
      <c r="BR195" s="354"/>
      <c r="BS195" s="354"/>
      <c r="BT195" s="354"/>
      <c r="BU195" s="354"/>
      <c r="BV195" s="354"/>
    </row>
    <row r="196" spans="8:74" x14ac:dyDescent="0.2">
      <c r="H196" s="555"/>
      <c r="I196" s="4"/>
      <c r="L196" s="4"/>
      <c r="M196" s="4"/>
      <c r="N196" s="4"/>
      <c r="O196" s="4"/>
      <c r="P196" s="4"/>
      <c r="Q196" s="4"/>
      <c r="R196" s="4"/>
      <c r="S196" s="4"/>
      <c r="W196" s="354"/>
      <c r="X196" s="354"/>
      <c r="Y196" s="354"/>
      <c r="Z196" s="354"/>
      <c r="AB196" s="354"/>
      <c r="AC196" s="354"/>
      <c r="AD196" s="354"/>
      <c r="AE196" s="354"/>
      <c r="AF196" s="549"/>
      <c r="AG196" s="354"/>
      <c r="AH196" s="354"/>
      <c r="AI196" s="354"/>
      <c r="AK196" s="354"/>
      <c r="AL196" s="354"/>
      <c r="AM196" s="354"/>
      <c r="AN196" s="354"/>
      <c r="AO196" s="354"/>
      <c r="AP196" s="354"/>
      <c r="AQ196" s="354"/>
      <c r="AR196" s="354"/>
      <c r="AT196" s="354"/>
      <c r="AU196" s="354"/>
      <c r="AV196" s="354"/>
      <c r="AW196" s="354"/>
      <c r="AX196" s="354"/>
      <c r="AY196" s="354"/>
      <c r="AZ196" s="354"/>
      <c r="BA196" s="354"/>
      <c r="BB196" s="354"/>
      <c r="BC196" s="354"/>
      <c r="BD196" s="354"/>
      <c r="BE196" s="354"/>
      <c r="BF196" s="354"/>
      <c r="BG196" s="354"/>
      <c r="BH196" s="354"/>
      <c r="BI196" s="354"/>
      <c r="BK196" s="550"/>
      <c r="BL196" s="559"/>
      <c r="BM196" s="559"/>
      <c r="BN196" s="9"/>
      <c r="BO196" s="48"/>
      <c r="BP196" s="354"/>
      <c r="BQ196" s="354"/>
      <c r="BR196" s="354"/>
      <c r="BS196" s="354"/>
      <c r="BT196" s="354"/>
      <c r="BU196" s="354"/>
      <c r="BV196" s="354"/>
    </row>
    <row r="197" spans="8:74" x14ac:dyDescent="0.2">
      <c r="H197" s="555"/>
      <c r="I197" s="4"/>
      <c r="L197" s="4"/>
      <c r="M197" s="4"/>
      <c r="N197" s="4"/>
      <c r="O197" s="4"/>
      <c r="P197" s="4"/>
      <c r="Q197" s="4"/>
      <c r="R197" s="4"/>
      <c r="S197" s="4"/>
      <c r="W197" s="354"/>
      <c r="X197" s="354"/>
      <c r="Y197" s="354"/>
      <c r="Z197" s="354"/>
      <c r="AB197" s="354"/>
      <c r="AC197" s="354"/>
      <c r="AD197" s="354"/>
      <c r="AE197" s="354"/>
      <c r="AF197" s="549"/>
      <c r="AG197" s="354"/>
      <c r="AH197" s="354"/>
      <c r="AI197" s="354"/>
      <c r="AK197" s="354"/>
      <c r="AL197" s="354"/>
      <c r="AM197" s="354"/>
      <c r="AN197" s="354"/>
      <c r="AO197" s="354"/>
      <c r="AP197" s="354"/>
      <c r="AQ197" s="354"/>
      <c r="AR197" s="354"/>
      <c r="AT197" s="354"/>
      <c r="AU197" s="354"/>
      <c r="AV197" s="354"/>
      <c r="AW197" s="354"/>
      <c r="AX197" s="354"/>
      <c r="AY197" s="354"/>
      <c r="AZ197" s="354"/>
      <c r="BA197" s="354"/>
      <c r="BB197" s="354"/>
      <c r="BC197" s="354"/>
      <c r="BD197" s="354"/>
      <c r="BE197" s="354"/>
      <c r="BF197" s="354"/>
      <c r="BG197" s="354"/>
      <c r="BH197" s="354"/>
      <c r="BI197" s="354"/>
      <c r="BK197" s="550"/>
      <c r="BL197" s="559"/>
      <c r="BM197" s="559"/>
      <c r="BN197" s="9"/>
      <c r="BO197" s="48"/>
      <c r="BP197" s="354"/>
      <c r="BQ197" s="354"/>
      <c r="BR197" s="354"/>
      <c r="BS197" s="354"/>
      <c r="BT197" s="354"/>
      <c r="BU197" s="354"/>
      <c r="BV197" s="354"/>
    </row>
    <row r="198" spans="8:74" x14ac:dyDescent="0.2">
      <c r="H198" s="555"/>
      <c r="I198" s="4"/>
      <c r="L198" s="4"/>
      <c r="M198" s="4"/>
      <c r="N198" s="4"/>
      <c r="O198" s="4"/>
      <c r="P198" s="4"/>
      <c r="Q198" s="4"/>
      <c r="R198" s="4"/>
      <c r="S198" s="4"/>
      <c r="W198" s="354"/>
      <c r="X198" s="354"/>
      <c r="Y198" s="354"/>
      <c r="Z198" s="354"/>
      <c r="AB198" s="354"/>
      <c r="AC198" s="354"/>
      <c r="AD198" s="354"/>
      <c r="AE198" s="354"/>
      <c r="AF198" s="549"/>
      <c r="AG198" s="354"/>
      <c r="AH198" s="354"/>
      <c r="AI198" s="354"/>
      <c r="AK198" s="354"/>
      <c r="AL198" s="354"/>
      <c r="AM198" s="354"/>
      <c r="AN198" s="354"/>
      <c r="AO198" s="354"/>
      <c r="AP198" s="354"/>
      <c r="AQ198" s="354"/>
      <c r="AR198" s="354"/>
      <c r="AT198" s="354"/>
      <c r="AU198" s="354"/>
      <c r="AV198" s="354"/>
      <c r="AW198" s="354"/>
      <c r="AX198" s="354"/>
      <c r="AY198" s="354"/>
      <c r="AZ198" s="354"/>
      <c r="BA198" s="354"/>
      <c r="BB198" s="354"/>
      <c r="BC198" s="354"/>
      <c r="BD198" s="354"/>
      <c r="BE198" s="354"/>
      <c r="BF198" s="354"/>
      <c r="BG198" s="354"/>
      <c r="BH198" s="354"/>
      <c r="BI198" s="354"/>
      <c r="BK198" s="550"/>
      <c r="BL198" s="559"/>
      <c r="BM198" s="559"/>
      <c r="BN198" s="9"/>
      <c r="BO198" s="48"/>
      <c r="BP198" s="354"/>
      <c r="BQ198" s="354"/>
      <c r="BR198" s="354"/>
      <c r="BS198" s="354"/>
      <c r="BT198" s="354"/>
      <c r="BU198" s="354"/>
      <c r="BV198" s="354"/>
    </row>
    <row r="199" spans="8:74" x14ac:dyDescent="0.2">
      <c r="H199" s="555"/>
      <c r="I199" s="4"/>
      <c r="L199" s="4"/>
      <c r="M199" s="4"/>
      <c r="N199" s="4"/>
      <c r="O199" s="4"/>
      <c r="P199" s="4"/>
      <c r="Q199" s="4"/>
      <c r="R199" s="4"/>
      <c r="S199" s="4"/>
      <c r="W199" s="354"/>
      <c r="X199" s="354"/>
      <c r="Y199" s="354"/>
      <c r="Z199" s="354"/>
      <c r="AB199" s="354"/>
      <c r="AC199" s="354"/>
      <c r="AD199" s="354"/>
      <c r="AE199" s="354"/>
      <c r="AF199" s="549"/>
      <c r="AG199" s="354"/>
      <c r="AH199" s="354"/>
      <c r="AI199" s="354"/>
      <c r="AK199" s="354"/>
      <c r="AL199" s="354"/>
      <c r="AM199" s="354"/>
      <c r="AN199" s="354"/>
      <c r="AO199" s="354"/>
      <c r="AP199" s="354"/>
      <c r="AQ199" s="354"/>
      <c r="AR199" s="354"/>
      <c r="AT199" s="354"/>
      <c r="AU199" s="354"/>
      <c r="AV199" s="354"/>
      <c r="AW199" s="354"/>
      <c r="AX199" s="354"/>
      <c r="AY199" s="354"/>
      <c r="AZ199" s="354"/>
      <c r="BA199" s="354"/>
      <c r="BB199" s="354"/>
      <c r="BC199" s="354"/>
      <c r="BD199" s="354"/>
      <c r="BE199" s="354"/>
      <c r="BF199" s="354"/>
      <c r="BG199" s="354"/>
      <c r="BH199" s="354"/>
      <c r="BI199" s="354"/>
      <c r="BK199" s="550"/>
      <c r="BL199" s="559"/>
      <c r="BM199" s="559"/>
      <c r="BN199" s="9"/>
      <c r="BO199" s="48"/>
      <c r="BP199" s="354"/>
      <c r="BQ199" s="354"/>
      <c r="BR199" s="354"/>
      <c r="BS199" s="354"/>
      <c r="BT199" s="354"/>
      <c r="BU199" s="354"/>
      <c r="BV199" s="354"/>
    </row>
    <row r="200" spans="8:74" x14ac:dyDescent="0.2">
      <c r="H200" s="555"/>
      <c r="I200" s="4"/>
      <c r="L200" s="4"/>
      <c r="M200" s="4"/>
      <c r="N200" s="4"/>
      <c r="O200" s="4"/>
      <c r="P200" s="4"/>
      <c r="Q200" s="4"/>
      <c r="R200" s="4"/>
      <c r="S200" s="4"/>
      <c r="W200" s="354"/>
      <c r="X200" s="354"/>
      <c r="Y200" s="354"/>
      <c r="Z200" s="354"/>
      <c r="AB200" s="354"/>
      <c r="AC200" s="354"/>
      <c r="AD200" s="354"/>
      <c r="AE200" s="354"/>
      <c r="AF200" s="549"/>
      <c r="AG200" s="354"/>
      <c r="AH200" s="354"/>
      <c r="AI200" s="354"/>
      <c r="AK200" s="354"/>
      <c r="AL200" s="354"/>
      <c r="AM200" s="354"/>
      <c r="AN200" s="354"/>
      <c r="AO200" s="354"/>
      <c r="AP200" s="354"/>
      <c r="AQ200" s="354"/>
      <c r="AR200" s="354"/>
      <c r="AT200" s="354"/>
      <c r="AU200" s="354"/>
      <c r="AV200" s="354"/>
      <c r="AW200" s="354"/>
      <c r="AX200" s="354"/>
      <c r="AY200" s="354"/>
      <c r="AZ200" s="354"/>
      <c r="BA200" s="354"/>
      <c r="BB200" s="354"/>
      <c r="BC200" s="354"/>
      <c r="BD200" s="354"/>
      <c r="BE200" s="354"/>
      <c r="BF200" s="354"/>
      <c r="BG200" s="354"/>
      <c r="BH200" s="354"/>
      <c r="BI200" s="354"/>
      <c r="BK200" s="550"/>
      <c r="BL200" s="559"/>
      <c r="BM200" s="559"/>
      <c r="BN200" s="9"/>
      <c r="BO200" s="48"/>
      <c r="BP200" s="354"/>
      <c r="BQ200" s="354"/>
      <c r="BR200" s="354"/>
      <c r="BS200" s="354"/>
      <c r="BT200" s="354"/>
      <c r="BU200" s="354"/>
      <c r="BV200" s="354"/>
    </row>
    <row r="201" spans="8:74" x14ac:dyDescent="0.2">
      <c r="H201" s="555"/>
      <c r="I201" s="4"/>
      <c r="L201" s="4"/>
      <c r="M201" s="4"/>
      <c r="N201" s="4"/>
      <c r="O201" s="4"/>
      <c r="P201" s="4"/>
      <c r="Q201" s="4"/>
      <c r="R201" s="4"/>
      <c r="S201" s="4"/>
      <c r="W201" s="354"/>
      <c r="X201" s="354"/>
      <c r="Y201" s="354"/>
      <c r="Z201" s="354"/>
      <c r="AB201" s="354"/>
      <c r="AC201" s="354"/>
      <c r="AD201" s="354"/>
      <c r="AE201" s="354"/>
      <c r="AF201" s="549"/>
      <c r="AG201" s="354"/>
      <c r="AH201" s="354"/>
      <c r="AI201" s="354"/>
      <c r="AK201" s="354"/>
      <c r="AL201" s="354"/>
      <c r="AM201" s="354"/>
      <c r="AN201" s="354"/>
      <c r="AO201" s="354"/>
      <c r="AP201" s="354"/>
      <c r="AQ201" s="354"/>
      <c r="AR201" s="354"/>
      <c r="AT201" s="354"/>
      <c r="AU201" s="354"/>
      <c r="AV201" s="354"/>
      <c r="AW201" s="354"/>
      <c r="AX201" s="354"/>
      <c r="AY201" s="354"/>
      <c r="AZ201" s="354"/>
      <c r="BA201" s="354"/>
      <c r="BB201" s="354"/>
      <c r="BC201" s="354"/>
      <c r="BD201" s="354"/>
      <c r="BE201" s="354"/>
      <c r="BF201" s="354"/>
      <c r="BG201" s="354"/>
      <c r="BH201" s="354"/>
      <c r="BI201" s="354"/>
      <c r="BK201" s="550"/>
      <c r="BL201" s="559"/>
      <c r="BM201" s="559"/>
      <c r="BN201" s="9"/>
      <c r="BO201" s="48"/>
      <c r="BP201" s="354"/>
      <c r="BQ201" s="354"/>
      <c r="BR201" s="354"/>
      <c r="BS201" s="354"/>
      <c r="BT201" s="354"/>
      <c r="BU201" s="354"/>
      <c r="BV201" s="354"/>
    </row>
    <row r="202" spans="8:74" x14ac:dyDescent="0.2">
      <c r="H202" s="555"/>
      <c r="I202" s="4"/>
      <c r="L202" s="4"/>
      <c r="M202" s="4"/>
      <c r="N202" s="4"/>
      <c r="O202" s="4"/>
      <c r="P202" s="4"/>
      <c r="Q202" s="4"/>
      <c r="R202" s="4"/>
      <c r="S202" s="4"/>
      <c r="W202" s="354"/>
      <c r="X202" s="354"/>
      <c r="Y202" s="354"/>
      <c r="Z202" s="354"/>
      <c r="AB202" s="354"/>
      <c r="AC202" s="354"/>
      <c r="AD202" s="354"/>
      <c r="AE202" s="354"/>
      <c r="AF202" s="549"/>
      <c r="AG202" s="354"/>
      <c r="AH202" s="354"/>
      <c r="AI202" s="354"/>
      <c r="AK202" s="354"/>
      <c r="AL202" s="354"/>
      <c r="AM202" s="354"/>
      <c r="AN202" s="354"/>
      <c r="AO202" s="354"/>
      <c r="AP202" s="354"/>
      <c r="AQ202" s="354"/>
      <c r="AR202" s="354"/>
      <c r="AT202" s="354"/>
      <c r="AU202" s="354"/>
      <c r="AV202" s="354"/>
      <c r="AW202" s="354"/>
      <c r="AX202" s="354"/>
      <c r="AY202" s="354"/>
      <c r="AZ202" s="354"/>
      <c r="BA202" s="354"/>
      <c r="BB202" s="354"/>
      <c r="BC202" s="354"/>
      <c r="BD202" s="354"/>
      <c r="BE202" s="354"/>
      <c r="BF202" s="354"/>
      <c r="BG202" s="354"/>
      <c r="BH202" s="354"/>
      <c r="BI202" s="354"/>
      <c r="BK202" s="550"/>
      <c r="BL202" s="559"/>
      <c r="BM202" s="559"/>
      <c r="BN202" s="9"/>
      <c r="BO202" s="48"/>
      <c r="BP202" s="354"/>
      <c r="BQ202" s="354"/>
      <c r="BR202" s="354"/>
      <c r="BS202" s="354"/>
      <c r="BT202" s="354"/>
      <c r="BU202" s="354"/>
      <c r="BV202" s="354"/>
    </row>
    <row r="203" spans="8:74" x14ac:dyDescent="0.2">
      <c r="H203" s="555"/>
      <c r="I203" s="4"/>
      <c r="L203" s="4"/>
      <c r="M203" s="4"/>
      <c r="N203" s="4"/>
      <c r="O203" s="4"/>
      <c r="P203" s="4"/>
      <c r="Q203" s="4"/>
      <c r="R203" s="4"/>
      <c r="S203" s="4"/>
      <c r="W203" s="354"/>
      <c r="X203" s="354"/>
      <c r="Y203" s="354"/>
      <c r="Z203" s="354"/>
      <c r="AB203" s="354"/>
      <c r="AC203" s="354"/>
      <c r="AD203" s="354"/>
      <c r="AE203" s="354"/>
      <c r="AF203" s="549"/>
      <c r="AG203" s="354"/>
      <c r="AH203" s="354"/>
      <c r="AI203" s="354"/>
      <c r="AK203" s="354"/>
      <c r="AL203" s="354"/>
      <c r="AM203" s="354"/>
      <c r="AN203" s="354"/>
      <c r="AO203" s="354"/>
      <c r="AP203" s="354"/>
      <c r="AQ203" s="354"/>
      <c r="AR203" s="354"/>
      <c r="AT203" s="354"/>
      <c r="AU203" s="354"/>
      <c r="AV203" s="354"/>
      <c r="AW203" s="354"/>
      <c r="AX203" s="354"/>
      <c r="AY203" s="354"/>
      <c r="AZ203" s="354"/>
      <c r="BA203" s="354"/>
      <c r="BB203" s="354"/>
      <c r="BC203" s="354"/>
      <c r="BD203" s="354"/>
      <c r="BE203" s="354"/>
      <c r="BF203" s="354"/>
      <c r="BG203" s="354"/>
      <c r="BH203" s="354"/>
      <c r="BI203" s="354"/>
      <c r="BK203" s="550"/>
      <c r="BL203" s="559"/>
      <c r="BM203" s="559"/>
      <c r="BN203" s="9"/>
      <c r="BO203" s="48"/>
      <c r="BP203" s="354"/>
      <c r="BQ203" s="354"/>
      <c r="BR203" s="354"/>
      <c r="BS203" s="354"/>
      <c r="BT203" s="354"/>
      <c r="BU203" s="354"/>
      <c r="BV203" s="354"/>
    </row>
    <row r="204" spans="8:74" x14ac:dyDescent="0.2">
      <c r="H204" s="555"/>
      <c r="I204" s="4"/>
      <c r="L204" s="4"/>
      <c r="M204" s="4"/>
      <c r="N204" s="4"/>
      <c r="O204" s="4"/>
      <c r="P204" s="4"/>
      <c r="Q204" s="4"/>
      <c r="R204" s="4"/>
      <c r="S204" s="4"/>
      <c r="W204" s="354"/>
      <c r="X204" s="354"/>
      <c r="Y204" s="354"/>
      <c r="Z204" s="354"/>
      <c r="AB204" s="354"/>
      <c r="AC204" s="354"/>
      <c r="AD204" s="354"/>
      <c r="AE204" s="354"/>
      <c r="AF204" s="549"/>
      <c r="AG204" s="354"/>
      <c r="AH204" s="354"/>
      <c r="AI204" s="354"/>
      <c r="AK204" s="354"/>
      <c r="AL204" s="354"/>
      <c r="AM204" s="354"/>
      <c r="AN204" s="354"/>
      <c r="AO204" s="354"/>
      <c r="AP204" s="354"/>
      <c r="AQ204" s="354"/>
      <c r="AR204" s="354"/>
      <c r="AT204" s="354"/>
      <c r="AU204" s="354"/>
      <c r="AV204" s="354"/>
      <c r="AW204" s="354"/>
      <c r="AX204" s="354"/>
      <c r="AY204" s="354"/>
      <c r="AZ204" s="354"/>
      <c r="BA204" s="354"/>
      <c r="BB204" s="354"/>
      <c r="BC204" s="354"/>
      <c r="BD204" s="354"/>
      <c r="BE204" s="354"/>
      <c r="BF204" s="354"/>
      <c r="BG204" s="354"/>
      <c r="BH204" s="354"/>
      <c r="BI204" s="354"/>
      <c r="BK204" s="550"/>
      <c r="BL204" s="559"/>
      <c r="BM204" s="559"/>
      <c r="BN204" s="9"/>
      <c r="BO204" s="48"/>
      <c r="BP204" s="354"/>
      <c r="BQ204" s="354"/>
      <c r="BR204" s="354"/>
      <c r="BS204" s="354"/>
      <c r="BT204" s="354"/>
      <c r="BU204" s="354"/>
      <c r="BV204" s="354"/>
    </row>
    <row r="205" spans="8:74" x14ac:dyDescent="0.2">
      <c r="H205" s="555"/>
      <c r="I205" s="4"/>
      <c r="L205" s="4"/>
      <c r="M205" s="4"/>
      <c r="N205" s="4"/>
      <c r="O205" s="4"/>
      <c r="P205" s="4"/>
      <c r="Q205" s="4"/>
      <c r="R205" s="4"/>
      <c r="S205" s="4"/>
      <c r="W205" s="354"/>
      <c r="X205" s="354"/>
      <c r="Y205" s="354"/>
      <c r="Z205" s="354"/>
      <c r="AB205" s="354"/>
      <c r="AC205" s="354"/>
      <c r="AD205" s="354"/>
      <c r="AE205" s="354"/>
      <c r="AF205" s="549"/>
      <c r="AG205" s="354"/>
      <c r="AH205" s="354"/>
      <c r="AI205" s="354"/>
      <c r="AK205" s="354"/>
      <c r="AL205" s="354"/>
      <c r="AM205" s="354"/>
      <c r="AN205" s="354"/>
      <c r="AO205" s="354"/>
      <c r="AP205" s="354"/>
      <c r="AQ205" s="354"/>
      <c r="AR205" s="354"/>
      <c r="AT205" s="354"/>
      <c r="AU205" s="354"/>
      <c r="AV205" s="354"/>
      <c r="AW205" s="354"/>
      <c r="AX205" s="354"/>
      <c r="AY205" s="354"/>
      <c r="AZ205" s="354"/>
      <c r="BA205" s="354"/>
      <c r="BB205" s="354"/>
      <c r="BC205" s="354"/>
      <c r="BD205" s="354"/>
      <c r="BE205" s="354"/>
      <c r="BF205" s="354"/>
      <c r="BG205" s="354"/>
      <c r="BH205" s="354"/>
      <c r="BI205" s="354"/>
      <c r="BK205" s="550"/>
      <c r="BL205" s="559"/>
      <c r="BM205" s="559"/>
      <c r="BN205" s="9"/>
      <c r="BO205" s="48"/>
      <c r="BP205" s="354"/>
      <c r="BQ205" s="354"/>
      <c r="BR205" s="354"/>
      <c r="BS205" s="354"/>
      <c r="BT205" s="354"/>
      <c r="BU205" s="354"/>
      <c r="BV205" s="354"/>
    </row>
    <row r="206" spans="8:74" x14ac:dyDescent="0.2">
      <c r="H206" s="555"/>
      <c r="I206" s="4"/>
      <c r="L206" s="4"/>
      <c r="M206" s="4"/>
      <c r="N206" s="4"/>
      <c r="O206" s="4"/>
      <c r="P206" s="4"/>
      <c r="Q206" s="4"/>
      <c r="R206" s="4"/>
      <c r="S206" s="4"/>
      <c r="W206" s="354"/>
      <c r="X206" s="354"/>
      <c r="Y206" s="354"/>
      <c r="Z206" s="354"/>
      <c r="AB206" s="354"/>
      <c r="AC206" s="354"/>
      <c r="AD206" s="354"/>
      <c r="AE206" s="354"/>
      <c r="AF206" s="549"/>
      <c r="AG206" s="354"/>
      <c r="AH206" s="354"/>
      <c r="AI206" s="354"/>
      <c r="AK206" s="354"/>
      <c r="AL206" s="354"/>
      <c r="AM206" s="354"/>
      <c r="AN206" s="354"/>
      <c r="AO206" s="354"/>
      <c r="AP206" s="354"/>
      <c r="AQ206" s="354"/>
      <c r="AR206" s="354"/>
      <c r="AT206" s="354"/>
      <c r="AU206" s="354"/>
      <c r="AV206" s="354"/>
      <c r="AW206" s="354"/>
      <c r="AX206" s="354"/>
      <c r="AY206" s="354"/>
      <c r="AZ206" s="354"/>
      <c r="BA206" s="354"/>
      <c r="BB206" s="354"/>
      <c r="BC206" s="354"/>
      <c r="BD206" s="354"/>
      <c r="BE206" s="354"/>
      <c r="BF206" s="354"/>
      <c r="BG206" s="354"/>
      <c r="BH206" s="354"/>
      <c r="BI206" s="354"/>
      <c r="BK206" s="550"/>
      <c r="BL206" s="559"/>
      <c r="BM206" s="559"/>
      <c r="BN206" s="9"/>
      <c r="BO206" s="48"/>
      <c r="BP206" s="354"/>
      <c r="BQ206" s="354"/>
      <c r="BR206" s="354"/>
      <c r="BS206" s="354"/>
      <c r="BT206" s="354"/>
      <c r="BU206" s="354"/>
      <c r="BV206" s="354"/>
    </row>
    <row r="207" spans="8:74" x14ac:dyDescent="0.2">
      <c r="H207" s="555"/>
      <c r="I207" s="4"/>
      <c r="L207" s="4"/>
      <c r="M207" s="4"/>
      <c r="N207" s="4"/>
      <c r="O207" s="4"/>
      <c r="P207" s="4"/>
      <c r="Q207" s="4"/>
      <c r="R207" s="4"/>
      <c r="S207" s="4"/>
      <c r="W207" s="354"/>
      <c r="X207" s="354"/>
      <c r="Y207" s="354"/>
      <c r="Z207" s="354"/>
      <c r="AB207" s="354"/>
      <c r="AC207" s="354"/>
      <c r="AD207" s="354"/>
      <c r="AE207" s="354"/>
      <c r="AF207" s="549"/>
      <c r="AG207" s="354"/>
      <c r="AH207" s="354"/>
      <c r="AI207" s="354"/>
      <c r="AK207" s="354"/>
      <c r="AL207" s="354"/>
      <c r="AM207" s="354"/>
      <c r="AN207" s="354"/>
      <c r="AO207" s="354"/>
      <c r="AP207" s="354"/>
      <c r="AQ207" s="354"/>
      <c r="AR207" s="354"/>
      <c r="AT207" s="354"/>
      <c r="AU207" s="354"/>
      <c r="AV207" s="354"/>
      <c r="AW207" s="354"/>
      <c r="AX207" s="354"/>
      <c r="AY207" s="354"/>
      <c r="AZ207" s="354"/>
      <c r="BA207" s="354"/>
      <c r="BB207" s="354"/>
      <c r="BC207" s="354"/>
      <c r="BD207" s="354"/>
      <c r="BE207" s="354"/>
      <c r="BF207" s="354"/>
      <c r="BG207" s="354"/>
      <c r="BH207" s="354"/>
      <c r="BI207" s="354"/>
      <c r="BK207" s="550"/>
      <c r="BL207" s="559"/>
      <c r="BM207" s="559"/>
      <c r="BN207" s="9"/>
      <c r="BO207" s="48"/>
      <c r="BP207" s="354"/>
      <c r="BQ207" s="354"/>
      <c r="BR207" s="354"/>
      <c r="BS207" s="354"/>
      <c r="BT207" s="354"/>
      <c r="BU207" s="354"/>
      <c r="BV207" s="354"/>
    </row>
    <row r="208" spans="8:74" x14ac:dyDescent="0.2">
      <c r="H208" s="555"/>
      <c r="I208" s="4"/>
      <c r="L208" s="4"/>
      <c r="M208" s="4"/>
      <c r="N208" s="4"/>
      <c r="O208" s="4"/>
      <c r="P208" s="4"/>
      <c r="Q208" s="4"/>
      <c r="R208" s="4"/>
      <c r="S208" s="4"/>
      <c r="W208" s="354"/>
      <c r="X208" s="354"/>
      <c r="Y208" s="354"/>
      <c r="Z208" s="354"/>
      <c r="AB208" s="354"/>
      <c r="AC208" s="354"/>
      <c r="AD208" s="354"/>
      <c r="AE208" s="354"/>
      <c r="AF208" s="549"/>
      <c r="AG208" s="354"/>
      <c r="AH208" s="354"/>
      <c r="AI208" s="354"/>
      <c r="AK208" s="354"/>
      <c r="AL208" s="354"/>
      <c r="AM208" s="354"/>
      <c r="AN208" s="354"/>
      <c r="AO208" s="354"/>
      <c r="AP208" s="354"/>
      <c r="AQ208" s="354"/>
      <c r="AR208" s="354"/>
      <c r="AT208" s="354"/>
      <c r="AU208" s="354"/>
      <c r="AV208" s="354"/>
      <c r="AW208" s="354"/>
      <c r="AX208" s="354"/>
      <c r="AY208" s="354"/>
      <c r="AZ208" s="354"/>
      <c r="BA208" s="354"/>
      <c r="BB208" s="354"/>
      <c r="BC208" s="354"/>
      <c r="BD208" s="354"/>
      <c r="BE208" s="354"/>
      <c r="BF208" s="354"/>
      <c r="BG208" s="354"/>
      <c r="BH208" s="354"/>
      <c r="BI208" s="354"/>
      <c r="BK208" s="550"/>
      <c r="BL208" s="559"/>
      <c r="BM208" s="559"/>
      <c r="BN208" s="9"/>
      <c r="BO208" s="48"/>
      <c r="BP208" s="354"/>
      <c r="BQ208" s="354"/>
      <c r="BR208" s="354"/>
      <c r="BS208" s="354"/>
      <c r="BT208" s="354"/>
      <c r="BU208" s="354"/>
      <c r="BV208" s="354"/>
    </row>
    <row r="209" spans="8:74" x14ac:dyDescent="0.2">
      <c r="H209" s="555"/>
      <c r="I209" s="4"/>
      <c r="L209" s="4"/>
      <c r="M209" s="4"/>
      <c r="N209" s="4"/>
      <c r="O209" s="4"/>
      <c r="P209" s="4"/>
      <c r="Q209" s="4"/>
      <c r="R209" s="4"/>
      <c r="S209" s="4"/>
      <c r="W209" s="354"/>
      <c r="X209" s="354"/>
      <c r="Y209" s="354"/>
      <c r="Z209" s="354"/>
      <c r="AB209" s="354"/>
      <c r="AC209" s="354"/>
      <c r="AD209" s="354"/>
      <c r="AE209" s="354"/>
      <c r="AF209" s="549"/>
      <c r="AG209" s="354"/>
      <c r="AH209" s="354"/>
      <c r="AI209" s="354"/>
      <c r="AK209" s="354"/>
      <c r="AL209" s="354"/>
      <c r="AM209" s="354"/>
      <c r="AN209" s="354"/>
      <c r="AO209" s="354"/>
      <c r="AP209" s="354"/>
      <c r="AQ209" s="354"/>
      <c r="AR209" s="354"/>
      <c r="AT209" s="354"/>
      <c r="AU209" s="354"/>
      <c r="AV209" s="354"/>
      <c r="AW209" s="354"/>
      <c r="AX209" s="354"/>
      <c r="AY209" s="354"/>
      <c r="AZ209" s="354"/>
      <c r="BA209" s="354"/>
      <c r="BB209" s="354"/>
      <c r="BC209" s="354"/>
      <c r="BD209" s="354"/>
      <c r="BE209" s="354"/>
      <c r="BF209" s="354"/>
      <c r="BG209" s="354"/>
      <c r="BH209" s="354"/>
      <c r="BI209" s="354"/>
      <c r="BK209" s="550"/>
      <c r="BL209" s="559"/>
      <c r="BM209" s="559"/>
      <c r="BN209" s="9"/>
      <c r="BO209" s="48"/>
      <c r="BP209" s="354"/>
      <c r="BQ209" s="354"/>
      <c r="BR209" s="354"/>
      <c r="BS209" s="354"/>
      <c r="BT209" s="354"/>
      <c r="BU209" s="354"/>
      <c r="BV209" s="354"/>
    </row>
  </sheetData>
  <sheetProtection selectLockedCells="1"/>
  <mergeCells count="13">
    <mergeCell ref="AD7:AF7"/>
    <mergeCell ref="A1:D4"/>
    <mergeCell ref="A6:D7"/>
    <mergeCell ref="G7:V7"/>
    <mergeCell ref="W7:Z7"/>
    <mergeCell ref="AA7:AC7"/>
    <mergeCell ref="BO7:BV7"/>
    <mergeCell ref="AG7:AK7"/>
    <mergeCell ref="AL7:AO7"/>
    <mergeCell ref="AP7:AT7"/>
    <mergeCell ref="AU7:AX7"/>
    <mergeCell ref="BE7:BH7"/>
    <mergeCell ref="BI7:BM7"/>
  </mergeCells>
  <pageMargins left="0.75" right="0.75" top="1" bottom="1" header="0.5" footer="0.5"/>
  <pageSetup orientation="portrait" r:id="rId1"/>
  <headerFooter alignWithMargins="0"/>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2:S159"/>
  <sheetViews>
    <sheetView topLeftCell="B1" workbookViewId="0">
      <selection activeCell="Q16" sqref="Q16"/>
    </sheetView>
  </sheetViews>
  <sheetFormatPr defaultRowHeight="12.75" x14ac:dyDescent="0.2"/>
  <cols>
    <col min="1" max="1" width="17.28515625" customWidth="1"/>
    <col min="2" max="2" width="12" bestFit="1" customWidth="1"/>
    <col min="3" max="6" width="12.42578125" bestFit="1" customWidth="1"/>
    <col min="9" max="10" width="12.42578125" bestFit="1" customWidth="1"/>
    <col min="11" max="11" width="12.7109375" bestFit="1" customWidth="1"/>
    <col min="13" max="13" width="12.42578125" bestFit="1" customWidth="1"/>
    <col min="16" max="16" width="12.140625" customWidth="1"/>
    <col min="17" max="17" width="12.42578125" bestFit="1" customWidth="1"/>
    <col min="18" max="18" width="15.42578125" customWidth="1"/>
  </cols>
  <sheetData>
    <row r="2" spans="1:19" x14ac:dyDescent="0.2">
      <c r="A2" t="s">
        <v>190</v>
      </c>
      <c r="B2" t="s">
        <v>181</v>
      </c>
      <c r="C2" t="s">
        <v>33</v>
      </c>
      <c r="D2" t="s">
        <v>34</v>
      </c>
      <c r="E2" s="114" t="s">
        <v>1241</v>
      </c>
      <c r="F2" s="114" t="s">
        <v>1242</v>
      </c>
      <c r="G2" t="s">
        <v>27</v>
      </c>
      <c r="H2" t="s">
        <v>61</v>
      </c>
      <c r="I2" s="3" t="s">
        <v>1091</v>
      </c>
      <c r="J2" s="114" t="str">
        <f>P19</f>
        <v>C_limitcomp</v>
      </c>
      <c r="K2" s="114" t="s">
        <v>1113</v>
      </c>
      <c r="L2" t="s">
        <v>201</v>
      </c>
      <c r="M2" s="114" t="s">
        <v>1261</v>
      </c>
    </row>
    <row r="3" spans="1:19" x14ac:dyDescent="0.2">
      <c r="A3" t="s">
        <v>193</v>
      </c>
      <c r="B3" s="602">
        <f>Css</f>
        <v>2.5000000000000002E-6</v>
      </c>
      <c r="C3" s="602">
        <f>Cc1ea</f>
        <v>1.6323583906861055E-8</v>
      </c>
      <c r="D3" s="602">
        <f>Cc2ea</f>
        <v>2.3903807122263175E-10</v>
      </c>
      <c r="E3" s="602">
        <f>Q32</f>
        <v>2.1932624861929508E-8</v>
      </c>
      <c r="F3" s="602">
        <f>Q33</f>
        <v>1.8026814955010552E-7</v>
      </c>
      <c r="G3" s="602">
        <f>Cout</f>
        <v>1E-4</v>
      </c>
      <c r="H3" s="602">
        <f>Cin</f>
        <v>1E-4</v>
      </c>
      <c r="I3" s="602">
        <f>C_ILimit_HF</f>
        <v>1.061032953945969E-10</v>
      </c>
      <c r="J3" s="602">
        <f>Q19</f>
        <v>7.1301390850255778E-10</v>
      </c>
      <c r="K3" s="602">
        <f>C_CS</f>
        <v>1.802387831771561E-10</v>
      </c>
      <c r="L3">
        <f>Csby</f>
        <v>0</v>
      </c>
      <c r="M3">
        <f>Co2_</f>
        <v>4.0095718618647866E-5</v>
      </c>
      <c r="P3" t="s">
        <v>195</v>
      </c>
      <c r="Q3" t="s">
        <v>196</v>
      </c>
      <c r="R3" s="2" t="s">
        <v>192</v>
      </c>
    </row>
    <row r="4" spans="1:19" x14ac:dyDescent="0.2">
      <c r="A4" s="7" t="s">
        <v>192</v>
      </c>
      <c r="B4" s="750">
        <f t="shared" ref="B4:I4" si="0">SUM(B6:B158)/1000000000000</f>
        <v>2.7E-6</v>
      </c>
      <c r="C4" s="750">
        <f t="shared" si="0"/>
        <v>1.4999999999999999E-8</v>
      </c>
      <c r="D4" s="750">
        <f t="shared" si="0"/>
        <v>2.1999999999999999E-10</v>
      </c>
      <c r="E4" s="750">
        <f t="shared" si="0"/>
        <v>2.1999999999999998E-8</v>
      </c>
      <c r="F4" s="750">
        <f t="shared" si="0"/>
        <v>1.8E-7</v>
      </c>
      <c r="G4" s="750">
        <f t="shared" si="0"/>
        <v>1E-4</v>
      </c>
      <c r="H4" s="750">
        <f t="shared" si="0"/>
        <v>1E-4</v>
      </c>
      <c r="I4" s="750">
        <f t="shared" si="0"/>
        <v>1E-10</v>
      </c>
      <c r="J4" s="750">
        <f>IF(J3="OPEN","OPEN",SUM(J6:J158)/1000000000000)</f>
        <v>6.8000000000000003E-10</v>
      </c>
      <c r="K4" s="750">
        <f>IF(K3="OPEN","OPEN",SUM(K6:K158)/1000000000000)</f>
        <v>1.8E-10</v>
      </c>
      <c r="L4" s="7">
        <f>IF(L3="OPEN","OPEN",SUM(L6:L158)/1000000000000)</f>
        <v>0</v>
      </c>
      <c r="M4" s="750">
        <f>IF(M3="OPEN","OPEN",SUM(M6:M158)/1000000000000)</f>
        <v>3.8999999999999999E-5</v>
      </c>
      <c r="P4" s="114" t="s">
        <v>351</v>
      </c>
      <c r="Q4">
        <f>Rfadj</f>
        <v>52083.333333333336</v>
      </c>
      <c r="R4" s="2">
        <f t="shared" ref="R4:R9" si="1">IF(Q4&gt;(INT(0.5+100*POWER(10,IF(96*(LOG(Q4)-INT(LOG(Q4)))-ROUND(96*(LOG(Q4)-INT(LOG(Q4))),0)&lt;0,ROUND(96*(LOG(Q4)-INT(LOG(Q4))),0)-1,ROUND(96*(LOG(Q4)-INT(LOG(Q4))),0))/96))*POWER(10,INT(LOG(Q4))-2)+INT(0.5+100*POWER(10,(IF(96*(LOG(Q4)-INT(LOG(Q4)))-ROUND(96*(LOG(Q4)-INT(LOG(Q4))),0)&lt;0,ROUND(96*(LOG(Q4)-INT(LOG(Q4))),0)-1,ROUND(96*(LOG(Q4)-INT(LOG(Q4))),0))+1)/96))*POWER(10,INT(LOG(Q4))-2))/2,INT(0.5+100*POWER(10,(IF(96*(LOG(Q4)-INT(LOG(Q4)))-ROUND(96*(LOG(Q4)-INT(LOG(Q4))),0)&lt;0,ROUND(96*(LOG(Q4)-INT(LOG(Q4))),0)-1,ROUND(96*(LOG(Q4)-INT(LOG(Q4))),0))+1)/96))*POWER(10,INT(LOG(Q4))-2),INT(0.5+100*POWER(10,IF(96*(LOG(Q4)-INT(LOG(Q4)))-ROUND(96*(LOG(Q4)-INT(LOG(Q4))),0)&lt;0,ROUND(96*(LOG(Q4)-INT(LOG(Q4))),0)-1,ROUND(96*(LOG(Q4)-INT(LOG(Q4))),0))/96))*POWER(10,INT(LOG(Q4))-2))</f>
        <v>52300</v>
      </c>
      <c r="S4" s="45" t="s">
        <v>339</v>
      </c>
    </row>
    <row r="5" spans="1:19" x14ac:dyDescent="0.2">
      <c r="A5" t="s">
        <v>191</v>
      </c>
      <c r="R5" s="2"/>
      <c r="S5" s="45"/>
    </row>
    <row r="6" spans="1:19" x14ac:dyDescent="0.2">
      <c r="A6">
        <v>0.47</v>
      </c>
      <c r="B6">
        <f t="shared" ref="B6:M6" si="2">IF(IF((B$3*10^12-$A7)*(B$3*10^12-$A6)*-1&lt;0,0,1)*IF(ABS(B$3*10^12-$A7)&gt;(B$3*10^12-$A6),$A6,$A7)=B7,0,IF((B$3*10^12-$A7)*(B$3*10^12-$A6)*-1&lt;0,0,1)*IF(ABS(B$3*10^12-$A7)&gt;(B$3*10^12-$A6),$A6,$A7))</f>
        <v>0</v>
      </c>
      <c r="C6">
        <f t="shared" si="2"/>
        <v>0</v>
      </c>
      <c r="D6">
        <f t="shared" si="2"/>
        <v>0</v>
      </c>
      <c r="E6">
        <f t="shared" si="2"/>
        <v>0</v>
      </c>
      <c r="F6">
        <f t="shared" si="2"/>
        <v>0</v>
      </c>
      <c r="G6">
        <f t="shared" si="2"/>
        <v>0</v>
      </c>
      <c r="H6">
        <f t="shared" si="2"/>
        <v>0</v>
      </c>
      <c r="I6">
        <f t="shared" si="2"/>
        <v>0</v>
      </c>
      <c r="J6">
        <f t="shared" si="2"/>
        <v>0</v>
      </c>
      <c r="K6">
        <f t="shared" si="2"/>
        <v>0</v>
      </c>
      <c r="L6">
        <f t="shared" si="2"/>
        <v>0</v>
      </c>
      <c r="M6">
        <f t="shared" si="2"/>
        <v>0</v>
      </c>
      <c r="P6" s="114" t="s">
        <v>431</v>
      </c>
      <c r="Q6" s="53">
        <f>Rshunt</f>
        <v>10</v>
      </c>
      <c r="R6" s="2">
        <f t="shared" si="1"/>
        <v>10</v>
      </c>
      <c r="S6" s="45" t="s">
        <v>339</v>
      </c>
    </row>
    <row r="7" spans="1:19" x14ac:dyDescent="0.2">
      <c r="A7">
        <v>0.56000000000000005</v>
      </c>
      <c r="B7">
        <f t="shared" ref="B7:B70" si="3">IF(IF((B$3*10^12-$A8)*(B$3*10^12-$A7)*-1&lt;0,0,1)*IF(ABS(B$3*10^12-$A8)&gt;(B$3*10^12-$A7),$A7,$A8)=B8,0,IF((B$3*10^12-$A8)*(B$3*10^12-$A7)*-1&lt;0,0,1)*IF(ABS(B$3*10^12-$A8)&gt;(B$3*10^12-$A7),$A7,$A8))</f>
        <v>0</v>
      </c>
      <c r="C7">
        <f t="shared" ref="C7:E38" si="4">IF(IF((C$3*10^12-$A8)*(C$3*10^12-$A7)*-1&lt;0,0,1)*IF(ABS(C$3*10^12-$A8)&gt;(C$3*10^12-$A7),$A7,$A8)=C8,0,IF((C$3*10^12-$A8)*(C$3*10^12-$A7)*-1&lt;0,0,1)*IF(ABS(C$3*10^12-$A8)&gt;(C$3*10^12-$A7),$A7,$A8))</f>
        <v>0</v>
      </c>
      <c r="D7">
        <f t="shared" ref="D7:F69" si="5">IF(IF((D$3*10^12-$A8)*(D$3*10^12-$A7)*-1&lt;0,0,1)*IF(ABS(D$3*10^12-$A8)&gt;(D$3*10^12-$A7),$A7,$A8)=D8,0,IF((D$3*10^12-$A8)*(D$3*10^12-$A7)*-1&lt;0,0,1)*IF(ABS(D$3*10^12-$A8)&gt;(D$3*10^12-$A7),$A7,$A8))</f>
        <v>0</v>
      </c>
      <c r="E7">
        <f t="shared" si="4"/>
        <v>0</v>
      </c>
      <c r="F7">
        <f t="shared" si="5"/>
        <v>0</v>
      </c>
      <c r="G7">
        <f t="shared" ref="G7:G69" si="6">IF(IF((G$3*10^12-$A8)*(G$3*10^12-$A7)*-1&lt;0,0,1)*IF(ABS(G$3*10^12-$A8)&gt;(G$3*10^12-$A7),$A7,$A8)=G8,0,IF((G$3*10^12-$A8)*(G$3*10^12-$A7)*-1&lt;0,0,1)*IF(ABS(G$3*10^12-$A8)&gt;(G$3*10^12-$A7),$A7,$A8))</f>
        <v>0</v>
      </c>
      <c r="H7">
        <f t="shared" ref="H7:H69" si="7">IF(IF((H$3*10^12-$A8)*(H$3*10^12-$A7)*-1&lt;0,0,1)*IF(ABS(H$3*10^12-$A8)&gt;(H$3*10^12-$A7),$A7,$A8)=H8,0,IF((H$3*10^12-$A8)*(H$3*10^12-$A7)*-1&lt;0,0,1)*IF(ABS(H$3*10^12-$A8)&gt;(H$3*10^12-$A7),$A7,$A8))</f>
        <v>0</v>
      </c>
      <c r="I7">
        <f t="shared" ref="I7:M69" si="8">IF(IF((I$3*10^12-$A8)*(I$3*10^12-$A7)*-1&lt;0,0,1)*IF(ABS(I$3*10^12-$A8)&gt;(I$3*10^12-$A7),$A7,$A8)=I8,0,IF((I$3*10^12-$A8)*(I$3*10^12-$A7)*-1&lt;0,0,1)*IF(ABS(I$3*10^12-$A8)&gt;(I$3*10^12-$A7),$A7,$A8))</f>
        <v>0</v>
      </c>
      <c r="J7">
        <f t="shared" si="8"/>
        <v>0</v>
      </c>
      <c r="K7">
        <f t="shared" si="8"/>
        <v>0</v>
      </c>
      <c r="L7">
        <f t="shared" si="8"/>
        <v>0</v>
      </c>
      <c r="M7">
        <f t="shared" si="8"/>
        <v>0</v>
      </c>
      <c r="P7" t="s">
        <v>212</v>
      </c>
      <c r="Q7">
        <f>Rcea1</f>
        <v>4968.952380427857</v>
      </c>
      <c r="R7" s="2">
        <f t="shared" si="1"/>
        <v>4990</v>
      </c>
      <c r="S7" s="45" t="s">
        <v>339</v>
      </c>
    </row>
    <row r="8" spans="1:19" x14ac:dyDescent="0.2">
      <c r="A8">
        <v>0.68</v>
      </c>
      <c r="B8">
        <f t="shared" si="3"/>
        <v>0</v>
      </c>
      <c r="C8">
        <f t="shared" si="4"/>
        <v>0</v>
      </c>
      <c r="D8">
        <f t="shared" si="5"/>
        <v>0</v>
      </c>
      <c r="E8">
        <f t="shared" si="4"/>
        <v>0</v>
      </c>
      <c r="F8">
        <f t="shared" si="5"/>
        <v>0</v>
      </c>
      <c r="G8">
        <f t="shared" si="6"/>
        <v>0</v>
      </c>
      <c r="H8">
        <f t="shared" si="7"/>
        <v>0</v>
      </c>
      <c r="I8">
        <f t="shared" si="8"/>
        <v>0</v>
      </c>
      <c r="J8">
        <f t="shared" si="8"/>
        <v>0</v>
      </c>
      <c r="K8">
        <f t="shared" si="8"/>
        <v>0</v>
      </c>
      <c r="L8">
        <f t="shared" si="8"/>
        <v>0</v>
      </c>
      <c r="M8">
        <f t="shared" si="8"/>
        <v>0</v>
      </c>
      <c r="R8" s="2"/>
      <c r="S8" s="45"/>
    </row>
    <row r="9" spans="1:19" x14ac:dyDescent="0.2">
      <c r="A9">
        <v>0.82</v>
      </c>
      <c r="B9">
        <f t="shared" si="3"/>
        <v>0</v>
      </c>
      <c r="C9">
        <f t="shared" si="4"/>
        <v>0</v>
      </c>
      <c r="D9">
        <f t="shared" si="5"/>
        <v>0</v>
      </c>
      <c r="E9">
        <f t="shared" si="4"/>
        <v>0</v>
      </c>
      <c r="F9">
        <f t="shared" si="5"/>
        <v>0</v>
      </c>
      <c r="G9">
        <f t="shared" si="6"/>
        <v>0</v>
      </c>
      <c r="H9">
        <f t="shared" si="7"/>
        <v>0</v>
      </c>
      <c r="I9">
        <f t="shared" si="8"/>
        <v>0</v>
      </c>
      <c r="J9">
        <f t="shared" si="8"/>
        <v>0</v>
      </c>
      <c r="K9">
        <f t="shared" si="8"/>
        <v>0</v>
      </c>
      <c r="L9">
        <f t="shared" si="8"/>
        <v>0</v>
      </c>
      <c r="M9">
        <f t="shared" si="8"/>
        <v>0</v>
      </c>
      <c r="P9" t="s">
        <v>31</v>
      </c>
      <c r="Q9">
        <f>Rfb1_</f>
        <v>82000</v>
      </c>
      <c r="R9" s="2">
        <f t="shared" si="1"/>
        <v>82500</v>
      </c>
      <c r="S9" s="45" t="s">
        <v>339</v>
      </c>
    </row>
    <row r="10" spans="1:19" x14ac:dyDescent="0.2">
      <c r="A10">
        <v>1</v>
      </c>
      <c r="B10">
        <f t="shared" si="3"/>
        <v>0</v>
      </c>
      <c r="C10">
        <f t="shared" si="4"/>
        <v>0</v>
      </c>
      <c r="D10">
        <f t="shared" si="5"/>
        <v>0</v>
      </c>
      <c r="E10">
        <f t="shared" si="4"/>
        <v>0</v>
      </c>
      <c r="F10">
        <f t="shared" si="5"/>
        <v>0</v>
      </c>
      <c r="G10">
        <f t="shared" si="6"/>
        <v>0</v>
      </c>
      <c r="H10">
        <f t="shared" si="7"/>
        <v>0</v>
      </c>
      <c r="I10">
        <f t="shared" si="8"/>
        <v>0</v>
      </c>
      <c r="J10">
        <f t="shared" si="8"/>
        <v>0</v>
      </c>
      <c r="K10">
        <f t="shared" si="8"/>
        <v>0</v>
      </c>
      <c r="L10">
        <f t="shared" si="8"/>
        <v>0</v>
      </c>
      <c r="M10">
        <f t="shared" si="8"/>
        <v>0</v>
      </c>
      <c r="P10" t="s">
        <v>43</v>
      </c>
      <c r="Q10">
        <f>Rfb2_</f>
        <v>6029.4117647058829</v>
      </c>
      <c r="R10" s="2">
        <f>IF(Q10="OPEN","OPEN",IF(Q10&gt;(INT(0.5+100*POWER(10,IF(96*(LOG(Q10)-INT(LOG(Q10)))-ROUND(96*(LOG(Q10)-INT(LOG(Q10))),0)&lt;0,ROUND(96*(LOG(Q10)-INT(LOG(Q10))),0)-1,ROUND(96*(LOG(Q10)-INT(LOG(Q10))),0))/96))*POWER(10,INT(LOG(Q10))-2)+INT(0.5+100*POWER(10,(IF(96*(LOG(Q10)-INT(LOG(Q10)))-ROUND(96*(LOG(Q10)-INT(LOG(Q10))),0)&lt;0,ROUND(96*(LOG(Q10)-INT(LOG(Q10))),0)-1,ROUND(96*(LOG(Q10)-INT(LOG(Q10))),0))+1)/96))*POWER(10,INT(LOG(Q10))-2))/2,INT(0.5+100*POWER(10,(IF(96*(LOG(Q10)-INT(LOG(Q10)))-ROUND(96*(LOG(Q10)-INT(LOG(Q10))),0)&lt;0,ROUND(96*(LOG(Q10)-INT(LOG(Q10))),0)-1,ROUND(96*(LOG(Q10)-INT(LOG(Q10))),0))+1)/96))*POWER(10,INT(LOG(Q10))-2),INT(0.5+100*POWER(10,IF(96*(LOG(Q10)-INT(LOG(Q10)))-ROUND(96*(LOG(Q10)-INT(LOG(Q10))),0)&lt;0,ROUND(96*(LOG(Q10)-INT(LOG(Q10))),0)-1,ROUND(96*(LOG(Q10)-INT(LOG(Q10))),0))/96))*POWER(10,INT(LOG(Q10))-2)))</f>
        <v>6040</v>
      </c>
      <c r="S10" s="45" t="s">
        <v>339</v>
      </c>
    </row>
    <row r="11" spans="1:19" x14ac:dyDescent="0.2">
      <c r="A11">
        <v>1.2</v>
      </c>
      <c r="B11">
        <f t="shared" si="3"/>
        <v>0</v>
      </c>
      <c r="C11">
        <f t="shared" si="4"/>
        <v>0</v>
      </c>
      <c r="D11">
        <f t="shared" si="5"/>
        <v>0</v>
      </c>
      <c r="E11">
        <f t="shared" si="4"/>
        <v>0</v>
      </c>
      <c r="F11">
        <f t="shared" si="5"/>
        <v>0</v>
      </c>
      <c r="G11">
        <f t="shared" si="6"/>
        <v>0</v>
      </c>
      <c r="H11">
        <f t="shared" si="7"/>
        <v>0</v>
      </c>
      <c r="I11">
        <f t="shared" si="8"/>
        <v>0</v>
      </c>
      <c r="J11">
        <f t="shared" si="8"/>
        <v>0</v>
      </c>
      <c r="K11">
        <f t="shared" si="8"/>
        <v>0</v>
      </c>
      <c r="L11">
        <f t="shared" si="8"/>
        <v>0</v>
      </c>
      <c r="M11">
        <f t="shared" si="8"/>
        <v>0</v>
      </c>
      <c r="R11" s="2"/>
    </row>
    <row r="12" spans="1:19" x14ac:dyDescent="0.2">
      <c r="A12">
        <v>1.5</v>
      </c>
      <c r="B12">
        <f t="shared" si="3"/>
        <v>0</v>
      </c>
      <c r="C12">
        <f t="shared" si="4"/>
        <v>0</v>
      </c>
      <c r="D12">
        <f t="shared" si="5"/>
        <v>0</v>
      </c>
      <c r="E12">
        <f t="shared" si="4"/>
        <v>0</v>
      </c>
      <c r="F12">
        <f t="shared" si="5"/>
        <v>0</v>
      </c>
      <c r="G12">
        <f t="shared" si="6"/>
        <v>0</v>
      </c>
      <c r="H12">
        <f t="shared" si="7"/>
        <v>0</v>
      </c>
      <c r="I12">
        <f t="shared" si="8"/>
        <v>0</v>
      </c>
      <c r="J12">
        <f t="shared" si="8"/>
        <v>0</v>
      </c>
      <c r="K12">
        <f t="shared" si="8"/>
        <v>0</v>
      </c>
      <c r="L12">
        <f t="shared" si="8"/>
        <v>0</v>
      </c>
      <c r="M12">
        <f t="shared" si="8"/>
        <v>0</v>
      </c>
      <c r="R12" s="2"/>
    </row>
    <row r="13" spans="1:19" x14ac:dyDescent="0.2">
      <c r="A13">
        <v>1.8</v>
      </c>
      <c r="B13">
        <f t="shared" si="3"/>
        <v>0</v>
      </c>
      <c r="C13">
        <f t="shared" si="4"/>
        <v>0</v>
      </c>
      <c r="D13">
        <f t="shared" si="5"/>
        <v>0</v>
      </c>
      <c r="E13">
        <f t="shared" si="4"/>
        <v>0</v>
      </c>
      <c r="F13">
        <f t="shared" si="5"/>
        <v>0</v>
      </c>
      <c r="G13">
        <f t="shared" si="6"/>
        <v>0</v>
      </c>
      <c r="H13">
        <f t="shared" si="7"/>
        <v>0</v>
      </c>
      <c r="I13">
        <f t="shared" si="8"/>
        <v>0</v>
      </c>
      <c r="J13">
        <f t="shared" si="8"/>
        <v>0</v>
      </c>
      <c r="K13">
        <f t="shared" si="8"/>
        <v>0</v>
      </c>
      <c r="L13">
        <f t="shared" si="8"/>
        <v>0</v>
      </c>
      <c r="M13">
        <f t="shared" si="8"/>
        <v>0</v>
      </c>
      <c r="P13" s="114" t="s">
        <v>197</v>
      </c>
      <c r="Q13">
        <f>Rs_ideal*1000</f>
        <v>2.6274447567987855</v>
      </c>
      <c r="R13" s="2">
        <f>IF(Q13=0,0,IF(Q13&gt;(INT(0.5+100*POWER(10,IF(96*(LOG(Q13)-INT(LOG(Q13)))-ROUND(96*(LOG(Q13)-INT(LOG(Q13))),0)&lt;0,ROUND(96*(LOG(Q13)-INT(LOG(Q13))),0)-1,ROUND(96*(LOG(Q13)-INT(LOG(Q13))),0))/96))*POWER(10,INT(LOG(Q13))-2)+INT(0.5+100*POWER(10,(IF(96*(LOG(Q13)-INT(LOG(Q13)))-ROUND(96*(LOG(Q13)-INT(LOG(Q13))),0)&lt;0,ROUND(96*(LOG(Q13)-INT(LOG(Q13))),0)-1,ROUND(96*(LOG(Q13)-INT(LOG(Q13))),0))+1)/96))*POWER(10,INT(LOG(Q13))-2))/2,INT(0.5+100*POWER(10,(IF(96*(LOG(Q13)-INT(LOG(Q13)))-ROUND(96*(LOG(Q13)-INT(LOG(Q13))),0)&lt;0,ROUND(96*(LOG(Q13)-INT(LOG(Q13))),0)-1,ROUND(96*(LOG(Q13)-INT(LOG(Q13))),0))+1)/96))*POWER(10,INT(LOG(Q13))-2),INT(0.5+100*POWER(10,IF(96*(LOG(Q13)-INT(LOG(Q13)))-ROUND(96*(LOG(Q13)-INT(LOG(Q13))),0)&lt;0,ROUND(96*(LOG(Q13)-INT(LOG(Q13))),0)-1,ROUND(96*(LOG(Q13)-INT(LOG(Q13))),0))/96))*POWER(10,INT(LOG(Q13))-2)))</f>
        <v>2.61</v>
      </c>
      <c r="S13" s="45" t="s">
        <v>418</v>
      </c>
    </row>
    <row r="14" spans="1:19" x14ac:dyDescent="0.2">
      <c r="A14">
        <v>2.2000000000000002</v>
      </c>
      <c r="B14">
        <f t="shared" ref="B14:M14" si="9">IF(IF((B$3*10^12-$A15)*(B$3*10^12-$A14)*-1&lt;0,0,1)*IF(ABS(B$3*10^12-$A15)&gt;(B$3*10^12-$A14),$A14,$A15)=B15,0,IF((B$3*10^12-$A15)*(B$3*10^12-$A14)*-1&lt;0,0,1)*IF(ABS(B$3*10^12-$A15)&gt;(B$3*10^12-$A14),$A14,$A15))</f>
        <v>0</v>
      </c>
      <c r="C14">
        <f t="shared" si="9"/>
        <v>0</v>
      </c>
      <c r="D14">
        <f t="shared" si="9"/>
        <v>0</v>
      </c>
      <c r="E14">
        <f t="shared" si="9"/>
        <v>0</v>
      </c>
      <c r="F14">
        <f t="shared" si="9"/>
        <v>0</v>
      </c>
      <c r="G14">
        <f t="shared" si="9"/>
        <v>0</v>
      </c>
      <c r="H14">
        <f t="shared" si="9"/>
        <v>0</v>
      </c>
      <c r="I14">
        <f t="shared" si="9"/>
        <v>0</v>
      </c>
      <c r="J14">
        <f t="shared" si="9"/>
        <v>0</v>
      </c>
      <c r="K14">
        <f t="shared" si="9"/>
        <v>0</v>
      </c>
      <c r="L14">
        <f t="shared" si="9"/>
        <v>0</v>
      </c>
      <c r="M14">
        <f t="shared" si="9"/>
        <v>0</v>
      </c>
      <c r="P14" s="114" t="s">
        <v>417</v>
      </c>
      <c r="S14" s="114" t="s">
        <v>32</v>
      </c>
    </row>
    <row r="15" spans="1:19" x14ac:dyDescent="0.2">
      <c r="A15">
        <v>2.7</v>
      </c>
      <c r="B15">
        <f t="shared" si="3"/>
        <v>0</v>
      </c>
      <c r="C15">
        <f t="shared" si="4"/>
        <v>0</v>
      </c>
      <c r="D15">
        <f t="shared" si="5"/>
        <v>0</v>
      </c>
      <c r="E15">
        <f t="shared" si="4"/>
        <v>0</v>
      </c>
      <c r="F15">
        <f t="shared" si="5"/>
        <v>0</v>
      </c>
      <c r="G15">
        <f t="shared" si="6"/>
        <v>0</v>
      </c>
      <c r="H15">
        <f t="shared" si="7"/>
        <v>0</v>
      </c>
      <c r="I15">
        <f t="shared" si="8"/>
        <v>0</v>
      </c>
      <c r="J15">
        <f t="shared" si="8"/>
        <v>0</v>
      </c>
      <c r="K15">
        <f t="shared" si="8"/>
        <v>0</v>
      </c>
      <c r="L15">
        <f t="shared" si="8"/>
        <v>0</v>
      </c>
      <c r="M15">
        <f t="shared" si="8"/>
        <v>0</v>
      </c>
      <c r="P15" s="114" t="s">
        <v>874</v>
      </c>
      <c r="Q15" t="e">
        <f>Rslope_ideal</f>
        <v>#NAME?</v>
      </c>
      <c r="R15" s="2" t="e">
        <f>IF(Q15&gt;(INT(0.5+100*POWER(10,IF(96*(LOG(Q15)-INT(LOG(Q15)))-ROUND(96*(LOG(Q15)-INT(LOG(Q15))),0)&lt;0,ROUND(96*(LOG(Q15)-INT(LOG(Q15))),0)-1,ROUND(96*(LOG(Q15)-INT(LOG(Q15))),0))/96))*POWER(10,INT(LOG(Q15))-2)+INT(0.5+100*POWER(10,(IF(96*(LOG(Q15)-INT(LOG(Q15)))-ROUND(96*(LOG(Q15)-INT(LOG(Q15))),0)&lt;0,ROUND(96*(LOG(Q15)-INT(LOG(Q15))),0)-1,ROUND(96*(LOG(Q15)-INT(LOG(Q15))),0))+1)/96))*POWER(10,INT(LOG(Q15))-2))/2,INT(0.5+100*POWER(10,(IF(96*(LOG(Q15)-INT(LOG(Q15)))-ROUND(96*(LOG(Q15)-INT(LOG(Q15))),0)&lt;0,ROUND(96*(LOG(Q15)-INT(LOG(Q15))),0)-1,ROUND(96*(LOG(Q15)-INT(LOG(Q15))),0))+1)/96))*POWER(10,INT(LOG(Q15))-2),INT(0.5+100*POWER(10,IF(96*(LOG(Q15)-INT(LOG(Q15)))-ROUND(96*(LOG(Q15)-INT(LOG(Q15))),0)&lt;0,ROUND(96*(LOG(Q15)-INT(LOG(Q15))),0)-1,ROUND(96*(LOG(Q15)-INT(LOG(Q15))),0))/96))*POWER(10,INT(LOG(Q15))-2))</f>
        <v>#NAME?</v>
      </c>
      <c r="S15" s="45" t="s">
        <v>339</v>
      </c>
    </row>
    <row r="16" spans="1:19" x14ac:dyDescent="0.2">
      <c r="A16">
        <v>3.3</v>
      </c>
      <c r="B16">
        <f t="shared" si="3"/>
        <v>0</v>
      </c>
      <c r="C16">
        <f t="shared" si="4"/>
        <v>0</v>
      </c>
      <c r="D16">
        <f t="shared" si="5"/>
        <v>0</v>
      </c>
      <c r="E16">
        <f t="shared" si="4"/>
        <v>0</v>
      </c>
      <c r="F16">
        <f t="shared" si="5"/>
        <v>0</v>
      </c>
      <c r="G16">
        <f t="shared" si="6"/>
        <v>0</v>
      </c>
      <c r="H16">
        <f t="shared" si="7"/>
        <v>0</v>
      </c>
      <c r="I16">
        <f t="shared" si="8"/>
        <v>0</v>
      </c>
      <c r="J16">
        <f t="shared" si="8"/>
        <v>0</v>
      </c>
      <c r="K16">
        <f t="shared" si="8"/>
        <v>0</v>
      </c>
      <c r="L16">
        <f t="shared" si="8"/>
        <v>0</v>
      </c>
      <c r="M16">
        <f t="shared" ref="M16:M68" si="10">IF(IF((M$3*10^12-$A17)*(M$3*10^12-$A16)*-1&lt;0,0,1)*IF(ABS(M$3*10^12-$A17)&gt;(M$3*10^12-$A16),$A16,$A17)=M17,0,IF((M$3*10^12-$A17)*(M$3*10^12-$A16)*-1&lt;0,0,1)*IF(ABS(M$3*10^12-$A17)&gt;(M$3*10^12-$A16),$A16,$A17))</f>
        <v>0</v>
      </c>
      <c r="P16" s="114" t="s">
        <v>332</v>
      </c>
      <c r="Q16">
        <f>Ruvlo1</f>
        <v>-41.144067796610322</v>
      </c>
      <c r="R16" s="2" t="e">
        <f>IF(Q16="OPEN","OPEN",IF(Q16&gt;(INT(0.5+100*POWER(10,IF(96*(LOG(Q16)-INT(LOG(Q16)))-ROUND(96*(LOG(Q16)-INT(LOG(Q16))),0)&lt;0,ROUND(96*(LOG(Q16)-INT(LOG(Q16))),0)-1,ROUND(96*(LOG(Q16)-INT(LOG(Q16))),0))/96))*POWER(10,INT(LOG(Q16))-2)+INT(0.5+100*POWER(10,(IF(96*(LOG(Q16)-INT(LOG(Q16)))-ROUND(96*(LOG(Q16)-INT(LOG(Q16))),0)&lt;0,ROUND(96*(LOG(Q16)-INT(LOG(Q16))),0)-1,ROUND(96*(LOG(Q16)-INT(LOG(Q16))),0))+1)/96))*POWER(10,INT(LOG(Q16))-2))/2,INT(0.5+100*POWER(10,(IF(96*(LOG(Q16)-INT(LOG(Q16)))-ROUND(96*(LOG(Q16)-INT(LOG(Q16))),0)&lt;0,ROUND(96*(LOG(Q16)-INT(LOG(Q16))),0)-1,ROUND(96*(LOG(Q16)-INT(LOG(Q16))),0))+1)/96))*POWER(10,INT(LOG(Q16))-2),INT(0.5+100*POWER(10,IF(96*(LOG(Q16)-INT(LOG(Q16)))-ROUND(96*(LOG(Q16)-INT(LOG(Q16))),0)&lt;0,ROUND(96*(LOG(Q16)-INT(LOG(Q16))),0)-1,ROUND(96*(LOG(Q16)-INT(LOG(Q16))),0))/96))*POWER(10,INT(LOG(Q16))-2)))</f>
        <v>#NUM!</v>
      </c>
      <c r="S16" s="45" t="s">
        <v>301</v>
      </c>
    </row>
    <row r="17" spans="1:19" x14ac:dyDescent="0.2">
      <c r="A17">
        <v>3.9</v>
      </c>
      <c r="B17">
        <f t="shared" si="3"/>
        <v>0</v>
      </c>
      <c r="C17">
        <f t="shared" si="4"/>
        <v>0</v>
      </c>
      <c r="D17">
        <f t="shared" si="5"/>
        <v>0</v>
      </c>
      <c r="E17">
        <f t="shared" si="4"/>
        <v>0</v>
      </c>
      <c r="F17">
        <f t="shared" si="5"/>
        <v>0</v>
      </c>
      <c r="G17">
        <f t="shared" si="6"/>
        <v>0</v>
      </c>
      <c r="H17">
        <f t="shared" si="7"/>
        <v>0</v>
      </c>
      <c r="I17">
        <f t="shared" si="8"/>
        <v>0</v>
      </c>
      <c r="J17">
        <f t="shared" si="8"/>
        <v>0</v>
      </c>
      <c r="K17">
        <f t="shared" si="8"/>
        <v>0</v>
      </c>
      <c r="L17">
        <f t="shared" si="8"/>
        <v>0</v>
      </c>
      <c r="M17">
        <f t="shared" si="10"/>
        <v>0</v>
      </c>
      <c r="P17" s="114" t="s">
        <v>333</v>
      </c>
      <c r="Q17">
        <f>Ruvlo2</f>
        <v>-10.09355509355513</v>
      </c>
      <c r="R17" s="2" t="e">
        <f>IF(Q17="OPEN","OPEN",IF(Q17&gt;(INT(0.5+100*POWER(10,IF(96*(LOG(Q17)-INT(LOG(Q17)))-ROUND(96*(LOG(Q17)-INT(LOG(Q17))),0)&lt;0,ROUND(96*(LOG(Q17)-INT(LOG(Q17))),0)-1,ROUND(96*(LOG(Q17)-INT(LOG(Q17))),0))/96))*POWER(10,INT(LOG(Q17))-2)+INT(0.5+100*POWER(10,(IF(96*(LOG(Q17)-INT(LOG(Q17)))-ROUND(96*(LOG(Q17)-INT(LOG(Q17))),0)&lt;0,ROUND(96*(LOG(Q17)-INT(LOG(Q17))),0)-1,ROUND(96*(LOG(Q17)-INT(LOG(Q17))),0))+1)/96))*POWER(10,INT(LOG(Q17))-2))/2,INT(0.5+100*POWER(10,(IF(96*(LOG(Q17)-INT(LOG(Q17)))-ROUND(96*(LOG(Q17)-INT(LOG(Q17))),0)&lt;0,ROUND(96*(LOG(Q17)-INT(LOG(Q17))),0)-1,ROUND(96*(LOG(Q17)-INT(LOG(Q17))),0))+1)/96))*POWER(10,INT(LOG(Q17))-2),INT(0.5+100*POWER(10,IF(96*(LOG(Q17)-INT(LOG(Q17)))-ROUND(96*(LOG(Q17)-INT(LOG(Q17))),0)&lt;0,ROUND(96*(LOG(Q17)-INT(LOG(Q17))),0)-1,ROUND(96*(LOG(Q17)-INT(LOG(Q17))),0))/96))*POWER(10,INT(LOG(Q17))-2)))</f>
        <v>#NUM!</v>
      </c>
      <c r="S17" s="45" t="s">
        <v>301</v>
      </c>
    </row>
    <row r="18" spans="1:19" x14ac:dyDescent="0.2">
      <c r="A18">
        <v>4.7</v>
      </c>
      <c r="B18">
        <f t="shared" si="3"/>
        <v>0</v>
      </c>
      <c r="C18">
        <f t="shared" si="4"/>
        <v>0</v>
      </c>
      <c r="D18">
        <f t="shared" si="5"/>
        <v>0</v>
      </c>
      <c r="E18">
        <f t="shared" si="4"/>
        <v>0</v>
      </c>
      <c r="F18">
        <f t="shared" si="5"/>
        <v>0</v>
      </c>
      <c r="G18">
        <f t="shared" si="6"/>
        <v>0</v>
      </c>
      <c r="H18">
        <f t="shared" si="7"/>
        <v>0</v>
      </c>
      <c r="I18">
        <f t="shared" si="8"/>
        <v>0</v>
      </c>
      <c r="J18">
        <f t="shared" si="8"/>
        <v>0</v>
      </c>
      <c r="K18">
        <f t="shared" si="8"/>
        <v>0</v>
      </c>
      <c r="L18">
        <f t="shared" si="8"/>
        <v>0</v>
      </c>
      <c r="M18">
        <f t="shared" si="10"/>
        <v>0</v>
      </c>
      <c r="R18" s="2"/>
    </row>
    <row r="19" spans="1:19" x14ac:dyDescent="0.2">
      <c r="A19">
        <v>5.6</v>
      </c>
      <c r="B19">
        <f t="shared" si="3"/>
        <v>0</v>
      </c>
      <c r="C19">
        <f t="shared" si="4"/>
        <v>0</v>
      </c>
      <c r="D19">
        <f t="shared" si="5"/>
        <v>0</v>
      </c>
      <c r="E19">
        <f t="shared" si="4"/>
        <v>0</v>
      </c>
      <c r="F19">
        <f t="shared" si="5"/>
        <v>0</v>
      </c>
      <c r="G19">
        <f t="shared" si="6"/>
        <v>0</v>
      </c>
      <c r="H19">
        <f t="shared" si="7"/>
        <v>0</v>
      </c>
      <c r="I19">
        <f t="shared" si="8"/>
        <v>0</v>
      </c>
      <c r="J19">
        <f t="shared" si="8"/>
        <v>0</v>
      </c>
      <c r="K19">
        <f t="shared" si="8"/>
        <v>0</v>
      </c>
      <c r="L19">
        <f t="shared" si="8"/>
        <v>0</v>
      </c>
      <c r="M19">
        <f t="shared" si="10"/>
        <v>0</v>
      </c>
      <c r="P19" s="114" t="s">
        <v>1070</v>
      </c>
      <c r="Q19">
        <f>C_limitcomp</f>
        <v>7.1301390850255778E-10</v>
      </c>
      <c r="R19" s="2">
        <f>J4</f>
        <v>6.8000000000000003E-10</v>
      </c>
      <c r="S19" s="45" t="s">
        <v>26</v>
      </c>
    </row>
    <row r="20" spans="1:19" x14ac:dyDescent="0.2">
      <c r="A20">
        <v>6.8</v>
      </c>
      <c r="B20">
        <f t="shared" si="3"/>
        <v>0</v>
      </c>
      <c r="C20">
        <f t="shared" si="4"/>
        <v>0</v>
      </c>
      <c r="D20">
        <f t="shared" si="5"/>
        <v>0</v>
      </c>
      <c r="E20">
        <f t="shared" si="4"/>
        <v>0</v>
      </c>
      <c r="F20">
        <f t="shared" si="5"/>
        <v>0</v>
      </c>
      <c r="G20">
        <f t="shared" si="6"/>
        <v>0</v>
      </c>
      <c r="H20">
        <f t="shared" si="7"/>
        <v>0</v>
      </c>
      <c r="I20">
        <f t="shared" si="8"/>
        <v>0</v>
      </c>
      <c r="J20">
        <f t="shared" si="8"/>
        <v>0</v>
      </c>
      <c r="K20">
        <f t="shared" si="8"/>
        <v>0</v>
      </c>
      <c r="L20">
        <f t="shared" si="8"/>
        <v>0</v>
      </c>
      <c r="M20">
        <f t="shared" si="10"/>
        <v>0</v>
      </c>
      <c r="R20" s="2"/>
    </row>
    <row r="21" spans="1:19" x14ac:dyDescent="0.2">
      <c r="A21">
        <v>8.1999999999999993</v>
      </c>
      <c r="B21">
        <f t="shared" si="3"/>
        <v>0</v>
      </c>
      <c r="C21">
        <f t="shared" si="4"/>
        <v>0</v>
      </c>
      <c r="D21">
        <f t="shared" si="5"/>
        <v>0</v>
      </c>
      <c r="E21">
        <f t="shared" si="4"/>
        <v>0</v>
      </c>
      <c r="F21">
        <f t="shared" si="5"/>
        <v>0</v>
      </c>
      <c r="G21">
        <f t="shared" si="6"/>
        <v>0</v>
      </c>
      <c r="H21">
        <f t="shared" si="7"/>
        <v>0</v>
      </c>
      <c r="I21">
        <f t="shared" si="8"/>
        <v>0</v>
      </c>
      <c r="J21">
        <f t="shared" si="8"/>
        <v>0</v>
      </c>
      <c r="K21">
        <f t="shared" si="8"/>
        <v>0</v>
      </c>
      <c r="L21">
        <f t="shared" si="8"/>
        <v>0</v>
      </c>
      <c r="M21">
        <f t="shared" si="10"/>
        <v>0</v>
      </c>
      <c r="P21" s="114" t="s">
        <v>431</v>
      </c>
      <c r="Q21" s="311">
        <f>Rshunt</f>
        <v>10</v>
      </c>
      <c r="R21" s="2">
        <f>IF(Q21=0,0,IF(Q21&gt;(INT(0.5+100*POWER(10,IF(96*(LOG(Q21)-INT(LOG(Q21)))-ROUND(96*(LOG(Q21)-INT(LOG(Q21))),0)&lt;0,ROUND(96*(LOG(Q21)-INT(LOG(Q21))),0)-1,ROUND(96*(LOG(Q21)-INT(LOG(Q21))),0))/96))*POWER(10,INT(LOG(Q21))-2)+INT(0.5+100*POWER(10,(IF(96*(LOG(Q21)-INT(LOG(Q21)))-ROUND(96*(LOG(Q21)-INT(LOG(Q21))),0)&lt;0,ROUND(96*(LOG(Q21)-INT(LOG(Q21))),0)-1,ROUND(96*(LOG(Q21)-INT(LOG(Q21))),0))+1)/96))*POWER(10,INT(LOG(Q21))-2))/2,INT(0.5+100*POWER(10,(IF(96*(LOG(Q21)-INT(LOG(Q21)))-ROUND(96*(LOG(Q21)-INT(LOG(Q21))),0)&lt;0,ROUND(96*(LOG(Q21)-INT(LOG(Q21))),0)-1,ROUND(96*(LOG(Q21)-INT(LOG(Q21))),0))+1)/96))*POWER(10,INT(LOG(Q21))-2),INT(0.5+100*POWER(10,IF(96*(LOG(Q21)-INT(LOG(Q21)))-ROUND(96*(LOG(Q21)-INT(LOG(Q21))),0)&lt;0,ROUND(96*(LOG(Q21)-INT(LOG(Q21))),0)-1,ROUND(96*(LOG(Q21)-INT(LOG(Q21))),0))/96))*POWER(10,INT(LOG(Q21))-2)))</f>
        <v>10</v>
      </c>
      <c r="S21" s="45" t="s">
        <v>418</v>
      </c>
    </row>
    <row r="22" spans="1:19" x14ac:dyDescent="0.2">
      <c r="A22">
        <v>10</v>
      </c>
      <c r="B22">
        <f t="shared" si="3"/>
        <v>0</v>
      </c>
      <c r="C22">
        <f t="shared" si="4"/>
        <v>0</v>
      </c>
      <c r="D22">
        <f t="shared" si="5"/>
        <v>0</v>
      </c>
      <c r="E22">
        <f t="shared" si="4"/>
        <v>0</v>
      </c>
      <c r="F22">
        <f t="shared" si="5"/>
        <v>0</v>
      </c>
      <c r="G22">
        <f t="shared" si="6"/>
        <v>0</v>
      </c>
      <c r="H22">
        <f t="shared" si="7"/>
        <v>0</v>
      </c>
      <c r="I22">
        <f t="shared" si="8"/>
        <v>0</v>
      </c>
      <c r="J22">
        <f t="shared" si="8"/>
        <v>0</v>
      </c>
      <c r="K22">
        <f t="shared" si="8"/>
        <v>0</v>
      </c>
      <c r="L22">
        <f t="shared" si="8"/>
        <v>0</v>
      </c>
      <c r="M22">
        <f t="shared" si="10"/>
        <v>0</v>
      </c>
    </row>
    <row r="23" spans="1:19" x14ac:dyDescent="0.2">
      <c r="A23">
        <v>12</v>
      </c>
      <c r="B23">
        <f t="shared" si="3"/>
        <v>0</v>
      </c>
      <c r="C23">
        <f t="shared" si="4"/>
        <v>0</v>
      </c>
      <c r="D23">
        <f t="shared" si="5"/>
        <v>0</v>
      </c>
      <c r="E23">
        <f t="shared" si="4"/>
        <v>0</v>
      </c>
      <c r="F23">
        <f t="shared" si="5"/>
        <v>0</v>
      </c>
      <c r="G23">
        <f t="shared" si="6"/>
        <v>0</v>
      </c>
      <c r="H23">
        <f t="shared" si="7"/>
        <v>0</v>
      </c>
      <c r="I23">
        <f t="shared" si="8"/>
        <v>0</v>
      </c>
      <c r="J23">
        <f t="shared" si="8"/>
        <v>0</v>
      </c>
      <c r="K23">
        <f t="shared" si="8"/>
        <v>0</v>
      </c>
      <c r="L23">
        <f t="shared" si="8"/>
        <v>0</v>
      </c>
      <c r="M23">
        <f t="shared" si="10"/>
        <v>0</v>
      </c>
      <c r="P23" s="114" t="s">
        <v>1113</v>
      </c>
      <c r="Q23">
        <f>K3</f>
        <v>1.802387831771561E-10</v>
      </c>
      <c r="R23" s="2">
        <f>K4</f>
        <v>1.8E-10</v>
      </c>
    </row>
    <row r="24" spans="1:19" x14ac:dyDescent="0.2">
      <c r="A24">
        <v>15</v>
      </c>
      <c r="B24">
        <f t="shared" si="3"/>
        <v>0</v>
      </c>
      <c r="C24">
        <f t="shared" si="4"/>
        <v>0</v>
      </c>
      <c r="D24">
        <f t="shared" si="5"/>
        <v>0</v>
      </c>
      <c r="E24">
        <f t="shared" si="4"/>
        <v>0</v>
      </c>
      <c r="F24">
        <f t="shared" si="5"/>
        <v>0</v>
      </c>
      <c r="G24">
        <f t="shared" si="6"/>
        <v>0</v>
      </c>
      <c r="H24">
        <f t="shared" si="7"/>
        <v>0</v>
      </c>
      <c r="I24">
        <f t="shared" si="8"/>
        <v>0</v>
      </c>
      <c r="J24">
        <f t="shared" si="8"/>
        <v>0</v>
      </c>
      <c r="K24">
        <f t="shared" si="8"/>
        <v>0</v>
      </c>
      <c r="L24">
        <f t="shared" si="8"/>
        <v>0</v>
      </c>
      <c r="M24">
        <f t="shared" si="10"/>
        <v>0</v>
      </c>
      <c r="P24" s="114"/>
      <c r="R24" s="2"/>
      <c r="S24" s="45"/>
    </row>
    <row r="25" spans="1:19" x14ac:dyDescent="0.2">
      <c r="A25">
        <v>18</v>
      </c>
      <c r="B25">
        <f t="shared" si="3"/>
        <v>0</v>
      </c>
      <c r="C25">
        <f t="shared" si="4"/>
        <v>0</v>
      </c>
      <c r="D25">
        <f t="shared" si="5"/>
        <v>0</v>
      </c>
      <c r="E25">
        <f t="shared" si="4"/>
        <v>0</v>
      </c>
      <c r="F25">
        <f t="shared" si="5"/>
        <v>0</v>
      </c>
      <c r="G25">
        <f t="shared" si="6"/>
        <v>0</v>
      </c>
      <c r="H25">
        <f t="shared" si="7"/>
        <v>0</v>
      </c>
      <c r="I25">
        <f t="shared" si="8"/>
        <v>0</v>
      </c>
      <c r="J25">
        <f t="shared" si="8"/>
        <v>0</v>
      </c>
      <c r="K25">
        <f t="shared" si="8"/>
        <v>0</v>
      </c>
      <c r="L25">
        <f t="shared" si="8"/>
        <v>0</v>
      </c>
      <c r="M25">
        <f t="shared" si="10"/>
        <v>0</v>
      </c>
    </row>
    <row r="26" spans="1:19" x14ac:dyDescent="0.2">
      <c r="A26">
        <v>22</v>
      </c>
      <c r="B26">
        <f t="shared" si="3"/>
        <v>0</v>
      </c>
      <c r="C26">
        <f t="shared" si="4"/>
        <v>0</v>
      </c>
      <c r="D26">
        <f t="shared" si="5"/>
        <v>0</v>
      </c>
      <c r="E26">
        <f t="shared" si="4"/>
        <v>0</v>
      </c>
      <c r="F26">
        <f t="shared" si="5"/>
        <v>0</v>
      </c>
      <c r="G26">
        <f t="shared" si="6"/>
        <v>0</v>
      </c>
      <c r="H26">
        <f t="shared" si="7"/>
        <v>0</v>
      </c>
      <c r="I26">
        <f t="shared" si="8"/>
        <v>0</v>
      </c>
      <c r="J26">
        <f t="shared" si="8"/>
        <v>0</v>
      </c>
      <c r="K26">
        <f t="shared" si="8"/>
        <v>0</v>
      </c>
      <c r="L26">
        <f t="shared" si="8"/>
        <v>0</v>
      </c>
      <c r="M26">
        <f t="shared" si="10"/>
        <v>0</v>
      </c>
    </row>
    <row r="27" spans="1:19" x14ac:dyDescent="0.2">
      <c r="A27">
        <v>27</v>
      </c>
      <c r="B27">
        <f t="shared" si="3"/>
        <v>0</v>
      </c>
      <c r="C27">
        <f t="shared" si="4"/>
        <v>0</v>
      </c>
      <c r="D27">
        <f t="shared" si="5"/>
        <v>0</v>
      </c>
      <c r="E27">
        <f t="shared" si="4"/>
        <v>0</v>
      </c>
      <c r="F27">
        <f t="shared" si="5"/>
        <v>0</v>
      </c>
      <c r="G27">
        <f t="shared" si="6"/>
        <v>0</v>
      </c>
      <c r="H27">
        <f t="shared" si="7"/>
        <v>0</v>
      </c>
      <c r="I27">
        <f t="shared" si="8"/>
        <v>0</v>
      </c>
      <c r="J27">
        <f t="shared" si="8"/>
        <v>0</v>
      </c>
      <c r="K27">
        <f t="shared" si="8"/>
        <v>0</v>
      </c>
      <c r="L27">
        <f t="shared" si="8"/>
        <v>0</v>
      </c>
      <c r="M27">
        <f t="shared" si="10"/>
        <v>0</v>
      </c>
      <c r="P27" s="3" t="s">
        <v>202</v>
      </c>
      <c r="Q27" t="str">
        <f>R7/1000&amp;" kΩ"</f>
        <v>4.99 kΩ</v>
      </c>
      <c r="R27">
        <f>R7/1000</f>
        <v>4.99</v>
      </c>
      <c r="S27" s="45" t="s">
        <v>301</v>
      </c>
    </row>
    <row r="28" spans="1:19" x14ac:dyDescent="0.2">
      <c r="A28">
        <v>33</v>
      </c>
      <c r="B28">
        <f t="shared" si="3"/>
        <v>0</v>
      </c>
      <c r="C28">
        <f t="shared" si="4"/>
        <v>0</v>
      </c>
      <c r="D28">
        <f t="shared" si="5"/>
        <v>0</v>
      </c>
      <c r="E28">
        <f t="shared" si="4"/>
        <v>0</v>
      </c>
      <c r="F28">
        <f t="shared" si="5"/>
        <v>0</v>
      </c>
      <c r="G28">
        <f t="shared" si="6"/>
        <v>0</v>
      </c>
      <c r="H28">
        <f t="shared" si="7"/>
        <v>0</v>
      </c>
      <c r="I28">
        <f t="shared" si="8"/>
        <v>0</v>
      </c>
      <c r="J28">
        <f t="shared" si="8"/>
        <v>0</v>
      </c>
      <c r="K28">
        <f t="shared" si="8"/>
        <v>0</v>
      </c>
      <c r="L28">
        <f t="shared" si="8"/>
        <v>0</v>
      </c>
      <c r="M28">
        <f t="shared" si="10"/>
        <v>0</v>
      </c>
      <c r="P28" s="3" t="s">
        <v>199</v>
      </c>
      <c r="Q28" t="str">
        <f>C4*1000000000&amp;" nF"</f>
        <v>15 nF</v>
      </c>
      <c r="R28" s="602">
        <f>C4*1000000000</f>
        <v>14.999999999999998</v>
      </c>
      <c r="S28" s="114" t="s">
        <v>170</v>
      </c>
    </row>
    <row r="29" spans="1:19" x14ac:dyDescent="0.2">
      <c r="A29">
        <v>39</v>
      </c>
      <c r="B29">
        <f t="shared" si="3"/>
        <v>0</v>
      </c>
      <c r="C29">
        <f t="shared" si="4"/>
        <v>0</v>
      </c>
      <c r="D29">
        <f t="shared" si="5"/>
        <v>0</v>
      </c>
      <c r="E29">
        <f t="shared" si="4"/>
        <v>0</v>
      </c>
      <c r="F29">
        <f t="shared" si="5"/>
        <v>0</v>
      </c>
      <c r="G29">
        <f t="shared" si="6"/>
        <v>0</v>
      </c>
      <c r="H29">
        <f t="shared" si="7"/>
        <v>0</v>
      </c>
      <c r="I29">
        <f t="shared" si="8"/>
        <v>0</v>
      </c>
      <c r="J29">
        <f t="shared" si="8"/>
        <v>0</v>
      </c>
      <c r="K29">
        <f t="shared" si="8"/>
        <v>0</v>
      </c>
      <c r="L29">
        <f t="shared" si="8"/>
        <v>0</v>
      </c>
      <c r="M29">
        <f t="shared" si="10"/>
        <v>0</v>
      </c>
      <c r="P29" s="3" t="s">
        <v>200</v>
      </c>
      <c r="Q29" t="str">
        <f>D4*1000000000000&amp;" pF"</f>
        <v>220 pF</v>
      </c>
      <c r="R29">
        <f>D4*1000000000000</f>
        <v>220</v>
      </c>
      <c r="S29" s="114" t="s">
        <v>32</v>
      </c>
    </row>
    <row r="30" spans="1:19" x14ac:dyDescent="0.2">
      <c r="A30">
        <v>47</v>
      </c>
      <c r="B30">
        <f t="shared" si="3"/>
        <v>0</v>
      </c>
      <c r="C30">
        <f t="shared" si="4"/>
        <v>0</v>
      </c>
      <c r="D30">
        <f t="shared" si="5"/>
        <v>0</v>
      </c>
      <c r="E30">
        <f t="shared" si="4"/>
        <v>0</v>
      </c>
      <c r="F30">
        <f t="shared" si="5"/>
        <v>0</v>
      </c>
      <c r="G30">
        <f t="shared" si="6"/>
        <v>0</v>
      </c>
      <c r="H30">
        <f t="shared" si="7"/>
        <v>0</v>
      </c>
      <c r="I30">
        <f t="shared" si="8"/>
        <v>0</v>
      </c>
      <c r="J30">
        <f t="shared" si="8"/>
        <v>0</v>
      </c>
      <c r="K30">
        <f t="shared" si="8"/>
        <v>0</v>
      </c>
      <c r="L30">
        <f t="shared" si="8"/>
        <v>0</v>
      </c>
      <c r="M30">
        <f t="shared" si="10"/>
        <v>0</v>
      </c>
      <c r="P30" s="3"/>
      <c r="S30" s="45"/>
    </row>
    <row r="31" spans="1:19" x14ac:dyDescent="0.2">
      <c r="A31">
        <v>56</v>
      </c>
      <c r="B31">
        <f t="shared" si="3"/>
        <v>0</v>
      </c>
      <c r="C31">
        <f t="shared" si="4"/>
        <v>0</v>
      </c>
      <c r="D31">
        <f t="shared" si="5"/>
        <v>0</v>
      </c>
      <c r="E31">
        <f t="shared" si="4"/>
        <v>0</v>
      </c>
      <c r="F31">
        <f t="shared" si="5"/>
        <v>0</v>
      </c>
      <c r="G31">
        <f t="shared" si="6"/>
        <v>0</v>
      </c>
      <c r="H31">
        <f t="shared" si="7"/>
        <v>0</v>
      </c>
      <c r="I31">
        <f t="shared" si="8"/>
        <v>0</v>
      </c>
      <c r="J31">
        <f t="shared" si="8"/>
        <v>0</v>
      </c>
      <c r="K31">
        <f t="shared" si="8"/>
        <v>0</v>
      </c>
      <c r="L31">
        <f t="shared" si="8"/>
        <v>0</v>
      </c>
      <c r="M31">
        <f t="shared" si="10"/>
        <v>0</v>
      </c>
      <c r="P31" s="114" t="s">
        <v>1243</v>
      </c>
      <c r="Q31" s="602">
        <f>'Variable Management'!E275</f>
        <v>55472.916457826628</v>
      </c>
      <c r="R31" s="2">
        <f t="shared" ref="R31" si="11">IF(Q31&gt;(INT(0.5+100*POWER(10,IF(96*(LOG(Q31)-INT(LOG(Q31)))-ROUND(96*(LOG(Q31)-INT(LOG(Q31))),0)&lt;0,ROUND(96*(LOG(Q31)-INT(LOG(Q31))),0)-1,ROUND(96*(LOG(Q31)-INT(LOG(Q31))),0))/96))*POWER(10,INT(LOG(Q31))-2)+INT(0.5+100*POWER(10,(IF(96*(LOG(Q31)-INT(LOG(Q31)))-ROUND(96*(LOG(Q31)-INT(LOG(Q31))),0)&lt;0,ROUND(96*(LOG(Q31)-INT(LOG(Q31))),0)-1,ROUND(96*(LOG(Q31)-INT(LOG(Q31))),0))+1)/96))*POWER(10,INT(LOG(Q31))-2))/2,INT(0.5+100*POWER(10,(IF(96*(LOG(Q31)-INT(LOG(Q31)))-ROUND(96*(LOG(Q31)-INT(LOG(Q31))),0)&lt;0,ROUND(96*(LOG(Q31)-INT(LOG(Q31))),0)-1,ROUND(96*(LOG(Q31)-INT(LOG(Q31))),0))+1)/96))*POWER(10,INT(LOG(Q31))-2),INT(0.5+100*POWER(10,IF(96*(LOG(Q31)-INT(LOG(Q31)))-ROUND(96*(LOG(Q31)-INT(LOG(Q31))),0)&lt;0,ROUND(96*(LOG(Q31)-INT(LOG(Q31))),0)-1,ROUND(96*(LOG(Q31)-INT(LOG(Q31))),0))/96))*POWER(10,INT(LOG(Q31))-2))</f>
        <v>54900</v>
      </c>
      <c r="S31" s="45" t="s">
        <v>339</v>
      </c>
    </row>
    <row r="32" spans="1:19" x14ac:dyDescent="0.2">
      <c r="A32">
        <v>68</v>
      </c>
      <c r="B32">
        <f t="shared" si="3"/>
        <v>0</v>
      </c>
      <c r="C32">
        <f t="shared" si="4"/>
        <v>0</v>
      </c>
      <c r="D32">
        <f t="shared" si="5"/>
        <v>0</v>
      </c>
      <c r="E32">
        <f t="shared" si="4"/>
        <v>0</v>
      </c>
      <c r="F32">
        <f t="shared" si="5"/>
        <v>0</v>
      </c>
      <c r="G32">
        <f t="shared" si="6"/>
        <v>0</v>
      </c>
      <c r="H32">
        <f t="shared" si="7"/>
        <v>0</v>
      </c>
      <c r="I32">
        <f t="shared" si="8"/>
        <v>0</v>
      </c>
      <c r="J32">
        <f t="shared" si="8"/>
        <v>0</v>
      </c>
      <c r="K32">
        <f t="shared" si="8"/>
        <v>0</v>
      </c>
      <c r="L32">
        <f t="shared" si="8"/>
        <v>0</v>
      </c>
      <c r="M32">
        <f t="shared" si="10"/>
        <v>0</v>
      </c>
      <c r="P32" s="114" t="s">
        <v>1241</v>
      </c>
      <c r="Q32" s="602">
        <f>'Variable Management'!E276</f>
        <v>2.1932624861929508E-8</v>
      </c>
      <c r="R32" s="602">
        <f>E4</f>
        <v>2.1999999999999998E-8</v>
      </c>
      <c r="S32" s="114" t="s">
        <v>26</v>
      </c>
    </row>
    <row r="33" spans="1:19" x14ac:dyDescent="0.2">
      <c r="A33">
        <v>82</v>
      </c>
      <c r="B33">
        <f t="shared" si="3"/>
        <v>0</v>
      </c>
      <c r="C33">
        <f t="shared" si="4"/>
        <v>0</v>
      </c>
      <c r="D33">
        <f t="shared" si="5"/>
        <v>0</v>
      </c>
      <c r="E33">
        <f t="shared" si="4"/>
        <v>0</v>
      </c>
      <c r="F33">
        <f t="shared" si="5"/>
        <v>0</v>
      </c>
      <c r="G33">
        <f t="shared" si="6"/>
        <v>0</v>
      </c>
      <c r="H33">
        <f t="shared" si="7"/>
        <v>0</v>
      </c>
      <c r="I33">
        <f t="shared" si="8"/>
        <v>0</v>
      </c>
      <c r="J33">
        <f t="shared" si="8"/>
        <v>0</v>
      </c>
      <c r="K33">
        <f t="shared" si="8"/>
        <v>0</v>
      </c>
      <c r="L33">
        <f t="shared" si="8"/>
        <v>0</v>
      </c>
      <c r="M33">
        <f t="shared" si="10"/>
        <v>0</v>
      </c>
      <c r="P33" s="114" t="s">
        <v>1242</v>
      </c>
      <c r="Q33" s="602">
        <f>'Variable Management'!E277</f>
        <v>1.8026814955010552E-7</v>
      </c>
      <c r="R33" s="602">
        <f>F4</f>
        <v>1.8E-7</v>
      </c>
      <c r="S33" s="114" t="s">
        <v>26</v>
      </c>
    </row>
    <row r="34" spans="1:19" x14ac:dyDescent="0.2">
      <c r="A34">
        <f>A22*10</f>
        <v>100</v>
      </c>
      <c r="B34">
        <f t="shared" si="3"/>
        <v>0</v>
      </c>
      <c r="C34">
        <f t="shared" si="4"/>
        <v>0</v>
      </c>
      <c r="D34">
        <f t="shared" si="5"/>
        <v>0</v>
      </c>
      <c r="E34">
        <f t="shared" si="4"/>
        <v>0</v>
      </c>
      <c r="F34">
        <f t="shared" si="5"/>
        <v>0</v>
      </c>
      <c r="G34">
        <f t="shared" si="6"/>
        <v>0</v>
      </c>
      <c r="H34">
        <f t="shared" si="7"/>
        <v>0</v>
      </c>
      <c r="I34">
        <f t="shared" si="8"/>
        <v>100</v>
      </c>
      <c r="J34">
        <f t="shared" si="8"/>
        <v>0</v>
      </c>
      <c r="K34">
        <f t="shared" si="8"/>
        <v>0</v>
      </c>
      <c r="L34">
        <f t="shared" si="8"/>
        <v>0</v>
      </c>
      <c r="M34">
        <f t="shared" si="10"/>
        <v>0</v>
      </c>
      <c r="P34" s="114"/>
    </row>
    <row r="35" spans="1:19" x14ac:dyDescent="0.2">
      <c r="A35">
        <f t="shared" ref="A35:A98" si="12">A23*10</f>
        <v>120</v>
      </c>
      <c r="B35">
        <f t="shared" si="3"/>
        <v>0</v>
      </c>
      <c r="C35">
        <f t="shared" si="4"/>
        <v>0</v>
      </c>
      <c r="D35">
        <f t="shared" si="5"/>
        <v>0</v>
      </c>
      <c r="E35">
        <f t="shared" si="4"/>
        <v>0</v>
      </c>
      <c r="F35">
        <f t="shared" si="5"/>
        <v>0</v>
      </c>
      <c r="G35">
        <f t="shared" si="6"/>
        <v>0</v>
      </c>
      <c r="H35">
        <f t="shared" si="7"/>
        <v>0</v>
      </c>
      <c r="I35">
        <f t="shared" si="8"/>
        <v>0</v>
      </c>
      <c r="J35">
        <f t="shared" si="8"/>
        <v>0</v>
      </c>
      <c r="K35">
        <f t="shared" si="8"/>
        <v>0</v>
      </c>
      <c r="L35">
        <f t="shared" si="8"/>
        <v>0</v>
      </c>
      <c r="M35">
        <f t="shared" si="10"/>
        <v>0</v>
      </c>
      <c r="P35" s="114"/>
    </row>
    <row r="36" spans="1:19" x14ac:dyDescent="0.2">
      <c r="A36">
        <f t="shared" si="12"/>
        <v>150</v>
      </c>
      <c r="B36">
        <f t="shared" si="3"/>
        <v>0</v>
      </c>
      <c r="C36">
        <f t="shared" si="4"/>
        <v>0</v>
      </c>
      <c r="D36">
        <f t="shared" si="5"/>
        <v>0</v>
      </c>
      <c r="E36">
        <f t="shared" si="4"/>
        <v>0</v>
      </c>
      <c r="F36">
        <f t="shared" si="5"/>
        <v>0</v>
      </c>
      <c r="G36">
        <f t="shared" si="6"/>
        <v>0</v>
      </c>
      <c r="H36">
        <f t="shared" si="7"/>
        <v>0</v>
      </c>
      <c r="I36">
        <f t="shared" si="8"/>
        <v>0</v>
      </c>
      <c r="J36">
        <f t="shared" si="8"/>
        <v>0</v>
      </c>
      <c r="K36">
        <f t="shared" si="8"/>
        <v>0</v>
      </c>
      <c r="L36">
        <f t="shared" si="8"/>
        <v>0</v>
      </c>
      <c r="M36">
        <f t="shared" si="10"/>
        <v>0</v>
      </c>
      <c r="P36" s="3" t="s">
        <v>1091</v>
      </c>
      <c r="Q36" s="602">
        <f>C_ILimit_HF</f>
        <v>1.061032953945969E-10</v>
      </c>
      <c r="R36" s="602">
        <f>I4</f>
        <v>1E-10</v>
      </c>
      <c r="S36" s="114" t="s">
        <v>26</v>
      </c>
    </row>
    <row r="37" spans="1:19" x14ac:dyDescent="0.2">
      <c r="A37">
        <f t="shared" si="12"/>
        <v>180</v>
      </c>
      <c r="B37">
        <f t="shared" si="3"/>
        <v>0</v>
      </c>
      <c r="C37">
        <f t="shared" si="4"/>
        <v>0</v>
      </c>
      <c r="D37">
        <f t="shared" si="5"/>
        <v>0</v>
      </c>
      <c r="E37">
        <f t="shared" si="4"/>
        <v>0</v>
      </c>
      <c r="F37">
        <f t="shared" si="5"/>
        <v>0</v>
      </c>
      <c r="G37">
        <f t="shared" si="6"/>
        <v>0</v>
      </c>
      <c r="H37">
        <f t="shared" si="7"/>
        <v>0</v>
      </c>
      <c r="I37">
        <f t="shared" si="8"/>
        <v>0</v>
      </c>
      <c r="J37">
        <f t="shared" si="8"/>
        <v>0</v>
      </c>
      <c r="K37">
        <f t="shared" si="8"/>
        <v>180</v>
      </c>
      <c r="L37">
        <f t="shared" si="8"/>
        <v>0</v>
      </c>
      <c r="M37">
        <f t="shared" si="10"/>
        <v>0</v>
      </c>
    </row>
    <row r="38" spans="1:19" x14ac:dyDescent="0.2">
      <c r="A38">
        <f t="shared" si="12"/>
        <v>220</v>
      </c>
      <c r="B38">
        <f t="shared" si="3"/>
        <v>0</v>
      </c>
      <c r="C38">
        <f t="shared" si="4"/>
        <v>0</v>
      </c>
      <c r="D38">
        <f t="shared" si="5"/>
        <v>220</v>
      </c>
      <c r="E38">
        <f t="shared" si="4"/>
        <v>0</v>
      </c>
      <c r="F38">
        <f t="shared" si="5"/>
        <v>0</v>
      </c>
      <c r="G38">
        <f t="shared" si="6"/>
        <v>0</v>
      </c>
      <c r="H38">
        <f t="shared" si="7"/>
        <v>0</v>
      </c>
      <c r="I38">
        <f t="shared" si="8"/>
        <v>0</v>
      </c>
      <c r="J38">
        <f t="shared" si="8"/>
        <v>0</v>
      </c>
      <c r="K38">
        <f t="shared" si="8"/>
        <v>0</v>
      </c>
      <c r="L38">
        <f t="shared" si="8"/>
        <v>0</v>
      </c>
      <c r="M38">
        <f t="shared" si="10"/>
        <v>0</v>
      </c>
    </row>
    <row r="39" spans="1:19" x14ac:dyDescent="0.2">
      <c r="A39">
        <f t="shared" si="12"/>
        <v>270</v>
      </c>
      <c r="B39">
        <f t="shared" si="3"/>
        <v>0</v>
      </c>
      <c r="C39">
        <f t="shared" ref="C39:E70" si="13">IF(IF((C$3*10^12-$A40)*(C$3*10^12-$A39)*-1&lt;0,0,1)*IF(ABS(C$3*10^12-$A40)&gt;(C$3*10^12-$A39),$A39,$A40)=C40,0,IF((C$3*10^12-$A40)*(C$3*10^12-$A39)*-1&lt;0,0,1)*IF(ABS(C$3*10^12-$A40)&gt;(C$3*10^12-$A39),$A39,$A40))</f>
        <v>0</v>
      </c>
      <c r="D39">
        <f t="shared" si="5"/>
        <v>0</v>
      </c>
      <c r="E39">
        <f t="shared" si="13"/>
        <v>0</v>
      </c>
      <c r="F39">
        <f t="shared" si="5"/>
        <v>0</v>
      </c>
      <c r="G39">
        <f t="shared" si="6"/>
        <v>0</v>
      </c>
      <c r="H39">
        <f t="shared" si="7"/>
        <v>0</v>
      </c>
      <c r="I39">
        <f t="shared" si="8"/>
        <v>0</v>
      </c>
      <c r="J39">
        <f t="shared" si="8"/>
        <v>0</v>
      </c>
      <c r="K39">
        <f t="shared" si="8"/>
        <v>0</v>
      </c>
      <c r="L39">
        <f t="shared" si="8"/>
        <v>0</v>
      </c>
      <c r="M39">
        <f t="shared" si="10"/>
        <v>0</v>
      </c>
    </row>
    <row r="40" spans="1:19" x14ac:dyDescent="0.2">
      <c r="A40">
        <f t="shared" si="12"/>
        <v>330</v>
      </c>
      <c r="B40">
        <f t="shared" si="3"/>
        <v>0</v>
      </c>
      <c r="C40">
        <f t="shared" si="13"/>
        <v>0</v>
      </c>
      <c r="D40">
        <f t="shared" si="5"/>
        <v>0</v>
      </c>
      <c r="E40">
        <f t="shared" si="13"/>
        <v>0</v>
      </c>
      <c r="F40">
        <f t="shared" si="5"/>
        <v>0</v>
      </c>
      <c r="G40">
        <f t="shared" si="6"/>
        <v>0</v>
      </c>
      <c r="H40">
        <f t="shared" si="7"/>
        <v>0</v>
      </c>
      <c r="I40">
        <f t="shared" si="8"/>
        <v>0</v>
      </c>
      <c r="J40">
        <f t="shared" si="8"/>
        <v>0</v>
      </c>
      <c r="K40">
        <f t="shared" si="8"/>
        <v>0</v>
      </c>
      <c r="L40">
        <f t="shared" si="8"/>
        <v>0</v>
      </c>
      <c r="M40">
        <f t="shared" si="10"/>
        <v>0</v>
      </c>
    </row>
    <row r="41" spans="1:19" x14ac:dyDescent="0.2">
      <c r="A41">
        <f t="shared" si="12"/>
        <v>390</v>
      </c>
      <c r="B41">
        <f t="shared" si="3"/>
        <v>0</v>
      </c>
      <c r="C41">
        <f t="shared" si="13"/>
        <v>0</v>
      </c>
      <c r="D41">
        <f t="shared" si="5"/>
        <v>0</v>
      </c>
      <c r="E41">
        <f t="shared" si="13"/>
        <v>0</v>
      </c>
      <c r="F41">
        <f t="shared" si="5"/>
        <v>0</v>
      </c>
      <c r="G41">
        <f t="shared" si="6"/>
        <v>0</v>
      </c>
      <c r="H41">
        <f t="shared" si="7"/>
        <v>0</v>
      </c>
      <c r="I41">
        <f t="shared" si="8"/>
        <v>0</v>
      </c>
      <c r="J41">
        <f t="shared" si="8"/>
        <v>0</v>
      </c>
      <c r="K41">
        <f t="shared" si="8"/>
        <v>0</v>
      </c>
      <c r="L41">
        <f t="shared" si="8"/>
        <v>0</v>
      </c>
      <c r="M41">
        <f t="shared" si="10"/>
        <v>0</v>
      </c>
    </row>
    <row r="42" spans="1:19" x14ac:dyDescent="0.2">
      <c r="A42">
        <f t="shared" si="12"/>
        <v>470</v>
      </c>
      <c r="B42">
        <f t="shared" si="3"/>
        <v>0</v>
      </c>
      <c r="C42">
        <f t="shared" si="13"/>
        <v>0</v>
      </c>
      <c r="D42">
        <f t="shared" si="5"/>
        <v>0</v>
      </c>
      <c r="E42">
        <f t="shared" si="13"/>
        <v>0</v>
      </c>
      <c r="F42">
        <f t="shared" si="5"/>
        <v>0</v>
      </c>
      <c r="G42">
        <f t="shared" si="6"/>
        <v>0</v>
      </c>
      <c r="H42">
        <f t="shared" si="7"/>
        <v>0</v>
      </c>
      <c r="I42">
        <f t="shared" si="8"/>
        <v>0</v>
      </c>
      <c r="J42">
        <f t="shared" si="8"/>
        <v>0</v>
      </c>
      <c r="K42">
        <f t="shared" si="8"/>
        <v>0</v>
      </c>
      <c r="L42">
        <f t="shared" si="8"/>
        <v>0</v>
      </c>
      <c r="M42">
        <f t="shared" si="10"/>
        <v>0</v>
      </c>
    </row>
    <row r="43" spans="1:19" x14ac:dyDescent="0.2">
      <c r="A43">
        <f t="shared" si="12"/>
        <v>560</v>
      </c>
      <c r="B43">
        <f t="shared" si="3"/>
        <v>0</v>
      </c>
      <c r="C43">
        <f t="shared" si="13"/>
        <v>0</v>
      </c>
      <c r="D43">
        <f t="shared" si="5"/>
        <v>0</v>
      </c>
      <c r="E43">
        <f t="shared" si="13"/>
        <v>0</v>
      </c>
      <c r="F43">
        <f t="shared" si="5"/>
        <v>0</v>
      </c>
      <c r="G43">
        <f t="shared" si="6"/>
        <v>0</v>
      </c>
      <c r="H43">
        <f t="shared" si="7"/>
        <v>0</v>
      </c>
      <c r="I43">
        <f t="shared" si="8"/>
        <v>0</v>
      </c>
      <c r="J43">
        <f t="shared" si="8"/>
        <v>0</v>
      </c>
      <c r="K43">
        <f t="shared" si="8"/>
        <v>0</v>
      </c>
      <c r="L43">
        <f t="shared" si="8"/>
        <v>0</v>
      </c>
      <c r="M43">
        <f t="shared" si="10"/>
        <v>0</v>
      </c>
    </row>
    <row r="44" spans="1:19" x14ac:dyDescent="0.2">
      <c r="A44">
        <f t="shared" si="12"/>
        <v>680</v>
      </c>
      <c r="B44">
        <f t="shared" si="3"/>
        <v>0</v>
      </c>
      <c r="C44">
        <f t="shared" si="13"/>
        <v>0</v>
      </c>
      <c r="D44">
        <f t="shared" si="5"/>
        <v>0</v>
      </c>
      <c r="E44">
        <f t="shared" si="13"/>
        <v>0</v>
      </c>
      <c r="F44">
        <f t="shared" si="5"/>
        <v>0</v>
      </c>
      <c r="G44">
        <f t="shared" si="6"/>
        <v>0</v>
      </c>
      <c r="H44">
        <f t="shared" si="7"/>
        <v>0</v>
      </c>
      <c r="I44">
        <f t="shared" si="8"/>
        <v>0</v>
      </c>
      <c r="J44">
        <f t="shared" si="8"/>
        <v>680</v>
      </c>
      <c r="K44">
        <f t="shared" si="8"/>
        <v>0</v>
      </c>
      <c r="L44">
        <f t="shared" si="8"/>
        <v>0</v>
      </c>
      <c r="M44">
        <f t="shared" si="10"/>
        <v>0</v>
      </c>
    </row>
    <row r="45" spans="1:19" x14ac:dyDescent="0.2">
      <c r="A45">
        <f>A33*10</f>
        <v>820</v>
      </c>
      <c r="B45">
        <f t="shared" si="3"/>
        <v>0</v>
      </c>
      <c r="C45">
        <f t="shared" si="13"/>
        <v>0</v>
      </c>
      <c r="D45">
        <f t="shared" si="5"/>
        <v>0</v>
      </c>
      <c r="E45">
        <f t="shared" si="13"/>
        <v>0</v>
      </c>
      <c r="F45">
        <f t="shared" si="5"/>
        <v>0</v>
      </c>
      <c r="G45">
        <f t="shared" si="6"/>
        <v>0</v>
      </c>
      <c r="H45">
        <f t="shared" si="7"/>
        <v>0</v>
      </c>
      <c r="I45">
        <f t="shared" si="8"/>
        <v>0</v>
      </c>
      <c r="J45">
        <f t="shared" si="8"/>
        <v>0</v>
      </c>
      <c r="K45">
        <f t="shared" si="8"/>
        <v>0</v>
      </c>
      <c r="L45">
        <f t="shared" si="8"/>
        <v>0</v>
      </c>
      <c r="M45">
        <f t="shared" si="10"/>
        <v>0</v>
      </c>
    </row>
    <row r="46" spans="1:19" x14ac:dyDescent="0.2">
      <c r="A46">
        <f t="shared" si="12"/>
        <v>1000</v>
      </c>
      <c r="B46">
        <f t="shared" si="3"/>
        <v>0</v>
      </c>
      <c r="C46">
        <f t="shared" si="13"/>
        <v>0</v>
      </c>
      <c r="D46">
        <f t="shared" si="5"/>
        <v>0</v>
      </c>
      <c r="E46">
        <f t="shared" si="13"/>
        <v>0</v>
      </c>
      <c r="F46">
        <f t="shared" si="5"/>
        <v>0</v>
      </c>
      <c r="G46">
        <f t="shared" si="6"/>
        <v>0</v>
      </c>
      <c r="H46">
        <f t="shared" si="7"/>
        <v>0</v>
      </c>
      <c r="I46">
        <f t="shared" si="8"/>
        <v>0</v>
      </c>
      <c r="J46">
        <f t="shared" si="8"/>
        <v>0</v>
      </c>
      <c r="K46">
        <f t="shared" si="8"/>
        <v>0</v>
      </c>
      <c r="L46">
        <f t="shared" si="8"/>
        <v>0</v>
      </c>
      <c r="M46">
        <f t="shared" si="10"/>
        <v>0</v>
      </c>
    </row>
    <row r="47" spans="1:19" x14ac:dyDescent="0.2">
      <c r="A47">
        <f t="shared" si="12"/>
        <v>1200</v>
      </c>
      <c r="B47">
        <f t="shared" si="3"/>
        <v>0</v>
      </c>
      <c r="C47">
        <f t="shared" si="13"/>
        <v>0</v>
      </c>
      <c r="D47">
        <f t="shared" si="5"/>
        <v>0</v>
      </c>
      <c r="E47">
        <f t="shared" si="13"/>
        <v>0</v>
      </c>
      <c r="F47">
        <f t="shared" si="5"/>
        <v>0</v>
      </c>
      <c r="G47">
        <f t="shared" si="6"/>
        <v>0</v>
      </c>
      <c r="H47">
        <f t="shared" si="7"/>
        <v>0</v>
      </c>
      <c r="I47">
        <f t="shared" si="8"/>
        <v>0</v>
      </c>
      <c r="J47">
        <f t="shared" si="8"/>
        <v>0</v>
      </c>
      <c r="K47">
        <f t="shared" si="8"/>
        <v>0</v>
      </c>
      <c r="L47">
        <f t="shared" si="8"/>
        <v>0</v>
      </c>
      <c r="M47">
        <f t="shared" si="10"/>
        <v>0</v>
      </c>
    </row>
    <row r="48" spans="1:19" x14ac:dyDescent="0.2">
      <c r="A48">
        <f t="shared" si="12"/>
        <v>1500</v>
      </c>
      <c r="B48">
        <f t="shared" si="3"/>
        <v>0</v>
      </c>
      <c r="C48">
        <f t="shared" si="13"/>
        <v>0</v>
      </c>
      <c r="D48">
        <f t="shared" si="5"/>
        <v>0</v>
      </c>
      <c r="E48">
        <f t="shared" si="13"/>
        <v>0</v>
      </c>
      <c r="F48">
        <f t="shared" si="5"/>
        <v>0</v>
      </c>
      <c r="G48">
        <f t="shared" si="6"/>
        <v>0</v>
      </c>
      <c r="H48">
        <f t="shared" si="7"/>
        <v>0</v>
      </c>
      <c r="I48">
        <f t="shared" si="8"/>
        <v>0</v>
      </c>
      <c r="J48">
        <f t="shared" si="8"/>
        <v>0</v>
      </c>
      <c r="K48">
        <f t="shared" si="8"/>
        <v>0</v>
      </c>
      <c r="L48">
        <f t="shared" si="8"/>
        <v>0</v>
      </c>
      <c r="M48">
        <f t="shared" si="10"/>
        <v>0</v>
      </c>
    </row>
    <row r="49" spans="1:13" x14ac:dyDescent="0.2">
      <c r="A49">
        <f t="shared" si="12"/>
        <v>1800</v>
      </c>
      <c r="B49">
        <f t="shared" si="3"/>
        <v>0</v>
      </c>
      <c r="C49">
        <f t="shared" si="13"/>
        <v>0</v>
      </c>
      <c r="D49">
        <f t="shared" si="5"/>
        <v>0</v>
      </c>
      <c r="E49">
        <f t="shared" si="13"/>
        <v>0</v>
      </c>
      <c r="F49">
        <f t="shared" si="5"/>
        <v>0</v>
      </c>
      <c r="G49">
        <f t="shared" si="6"/>
        <v>0</v>
      </c>
      <c r="H49">
        <f t="shared" si="7"/>
        <v>0</v>
      </c>
      <c r="I49">
        <f t="shared" si="8"/>
        <v>0</v>
      </c>
      <c r="J49">
        <f t="shared" si="8"/>
        <v>0</v>
      </c>
      <c r="K49">
        <f t="shared" si="8"/>
        <v>0</v>
      </c>
      <c r="L49">
        <f t="shared" si="8"/>
        <v>0</v>
      </c>
      <c r="M49">
        <f t="shared" si="10"/>
        <v>0</v>
      </c>
    </row>
    <row r="50" spans="1:13" x14ac:dyDescent="0.2">
      <c r="A50">
        <f t="shared" si="12"/>
        <v>2200</v>
      </c>
      <c r="B50">
        <f t="shared" si="3"/>
        <v>0</v>
      </c>
      <c r="C50">
        <f t="shared" si="13"/>
        <v>0</v>
      </c>
      <c r="D50">
        <f t="shared" si="5"/>
        <v>0</v>
      </c>
      <c r="E50">
        <f t="shared" si="13"/>
        <v>0</v>
      </c>
      <c r="F50">
        <f t="shared" si="5"/>
        <v>0</v>
      </c>
      <c r="G50">
        <f t="shared" si="6"/>
        <v>0</v>
      </c>
      <c r="H50">
        <f t="shared" si="7"/>
        <v>0</v>
      </c>
      <c r="I50">
        <f t="shared" si="8"/>
        <v>0</v>
      </c>
      <c r="J50">
        <f t="shared" si="8"/>
        <v>0</v>
      </c>
      <c r="K50">
        <f t="shared" si="8"/>
        <v>0</v>
      </c>
      <c r="L50">
        <f t="shared" si="8"/>
        <v>0</v>
      </c>
      <c r="M50">
        <f t="shared" si="10"/>
        <v>0</v>
      </c>
    </row>
    <row r="51" spans="1:13" x14ac:dyDescent="0.2">
      <c r="A51">
        <f t="shared" si="12"/>
        <v>2700</v>
      </c>
      <c r="B51">
        <f t="shared" si="3"/>
        <v>0</v>
      </c>
      <c r="C51">
        <f t="shared" si="13"/>
        <v>0</v>
      </c>
      <c r="D51">
        <f t="shared" si="5"/>
        <v>0</v>
      </c>
      <c r="E51">
        <f t="shared" si="13"/>
        <v>0</v>
      </c>
      <c r="F51">
        <f t="shared" si="5"/>
        <v>0</v>
      </c>
      <c r="G51">
        <f t="shared" si="6"/>
        <v>0</v>
      </c>
      <c r="H51">
        <f t="shared" si="7"/>
        <v>0</v>
      </c>
      <c r="I51">
        <f t="shared" si="8"/>
        <v>0</v>
      </c>
      <c r="J51">
        <f t="shared" si="8"/>
        <v>0</v>
      </c>
      <c r="K51">
        <f t="shared" si="8"/>
        <v>0</v>
      </c>
      <c r="L51">
        <f t="shared" si="8"/>
        <v>0</v>
      </c>
      <c r="M51">
        <f t="shared" si="10"/>
        <v>0</v>
      </c>
    </row>
    <row r="52" spans="1:13" x14ac:dyDescent="0.2">
      <c r="A52">
        <f t="shared" si="12"/>
        <v>3300</v>
      </c>
      <c r="B52">
        <f t="shared" si="3"/>
        <v>0</v>
      </c>
      <c r="C52">
        <f t="shared" si="13"/>
        <v>0</v>
      </c>
      <c r="D52">
        <f t="shared" si="5"/>
        <v>0</v>
      </c>
      <c r="E52">
        <f t="shared" si="13"/>
        <v>0</v>
      </c>
      <c r="F52">
        <f t="shared" si="5"/>
        <v>0</v>
      </c>
      <c r="G52">
        <f t="shared" si="6"/>
        <v>0</v>
      </c>
      <c r="H52">
        <f t="shared" si="7"/>
        <v>0</v>
      </c>
      <c r="I52">
        <f t="shared" si="8"/>
        <v>0</v>
      </c>
      <c r="J52">
        <f t="shared" si="8"/>
        <v>0</v>
      </c>
      <c r="K52">
        <f t="shared" si="8"/>
        <v>0</v>
      </c>
      <c r="L52">
        <f t="shared" si="8"/>
        <v>0</v>
      </c>
      <c r="M52">
        <f t="shared" si="10"/>
        <v>0</v>
      </c>
    </row>
    <row r="53" spans="1:13" x14ac:dyDescent="0.2">
      <c r="A53">
        <f t="shared" si="12"/>
        <v>3900</v>
      </c>
      <c r="B53">
        <f t="shared" si="3"/>
        <v>0</v>
      </c>
      <c r="C53">
        <f t="shared" si="13"/>
        <v>0</v>
      </c>
      <c r="D53">
        <f t="shared" si="5"/>
        <v>0</v>
      </c>
      <c r="E53">
        <f t="shared" si="13"/>
        <v>0</v>
      </c>
      <c r="F53">
        <f t="shared" si="5"/>
        <v>0</v>
      </c>
      <c r="G53">
        <f t="shared" si="6"/>
        <v>0</v>
      </c>
      <c r="H53">
        <f t="shared" si="7"/>
        <v>0</v>
      </c>
      <c r="I53">
        <f t="shared" si="8"/>
        <v>0</v>
      </c>
      <c r="J53">
        <f t="shared" si="8"/>
        <v>0</v>
      </c>
      <c r="K53">
        <f t="shared" si="8"/>
        <v>0</v>
      </c>
      <c r="L53">
        <f t="shared" si="8"/>
        <v>0</v>
      </c>
      <c r="M53">
        <f t="shared" si="10"/>
        <v>0</v>
      </c>
    </row>
    <row r="54" spans="1:13" x14ac:dyDescent="0.2">
      <c r="A54">
        <f t="shared" si="12"/>
        <v>4700</v>
      </c>
      <c r="B54">
        <f t="shared" si="3"/>
        <v>0</v>
      </c>
      <c r="C54">
        <f t="shared" si="13"/>
        <v>0</v>
      </c>
      <c r="D54">
        <f t="shared" si="5"/>
        <v>0</v>
      </c>
      <c r="E54">
        <f t="shared" si="13"/>
        <v>0</v>
      </c>
      <c r="F54">
        <f t="shared" si="5"/>
        <v>0</v>
      </c>
      <c r="G54">
        <f t="shared" si="6"/>
        <v>0</v>
      </c>
      <c r="H54">
        <f t="shared" si="7"/>
        <v>0</v>
      </c>
      <c r="I54">
        <f t="shared" si="8"/>
        <v>0</v>
      </c>
      <c r="J54">
        <f t="shared" si="8"/>
        <v>0</v>
      </c>
      <c r="K54">
        <f t="shared" si="8"/>
        <v>0</v>
      </c>
      <c r="L54">
        <f t="shared" si="8"/>
        <v>0</v>
      </c>
      <c r="M54">
        <f t="shared" si="10"/>
        <v>0</v>
      </c>
    </row>
    <row r="55" spans="1:13" x14ac:dyDescent="0.2">
      <c r="A55">
        <f t="shared" si="12"/>
        <v>5600</v>
      </c>
      <c r="B55">
        <f t="shared" si="3"/>
        <v>0</v>
      </c>
      <c r="C55">
        <f t="shared" si="13"/>
        <v>0</v>
      </c>
      <c r="D55">
        <f t="shared" si="5"/>
        <v>0</v>
      </c>
      <c r="E55">
        <f t="shared" si="13"/>
        <v>0</v>
      </c>
      <c r="F55">
        <f t="shared" si="5"/>
        <v>0</v>
      </c>
      <c r="G55">
        <f t="shared" si="6"/>
        <v>0</v>
      </c>
      <c r="H55">
        <f t="shared" si="7"/>
        <v>0</v>
      </c>
      <c r="I55">
        <f t="shared" si="8"/>
        <v>0</v>
      </c>
      <c r="J55">
        <f t="shared" si="8"/>
        <v>0</v>
      </c>
      <c r="K55">
        <f t="shared" si="8"/>
        <v>0</v>
      </c>
      <c r="L55">
        <f t="shared" si="8"/>
        <v>0</v>
      </c>
      <c r="M55">
        <f t="shared" si="10"/>
        <v>0</v>
      </c>
    </row>
    <row r="56" spans="1:13" x14ac:dyDescent="0.2">
      <c r="A56">
        <f t="shared" si="12"/>
        <v>6800</v>
      </c>
      <c r="B56">
        <f t="shared" si="3"/>
        <v>0</v>
      </c>
      <c r="C56">
        <f t="shared" si="13"/>
        <v>0</v>
      </c>
      <c r="D56">
        <f t="shared" si="5"/>
        <v>0</v>
      </c>
      <c r="E56">
        <f t="shared" si="13"/>
        <v>0</v>
      </c>
      <c r="F56">
        <f t="shared" si="5"/>
        <v>0</v>
      </c>
      <c r="G56">
        <f t="shared" si="6"/>
        <v>0</v>
      </c>
      <c r="H56">
        <f t="shared" si="7"/>
        <v>0</v>
      </c>
      <c r="I56">
        <f t="shared" si="8"/>
        <v>0</v>
      </c>
      <c r="J56">
        <f t="shared" si="8"/>
        <v>0</v>
      </c>
      <c r="K56">
        <f t="shared" si="8"/>
        <v>0</v>
      </c>
      <c r="L56">
        <f t="shared" si="8"/>
        <v>0</v>
      </c>
      <c r="M56">
        <f t="shared" si="10"/>
        <v>0</v>
      </c>
    </row>
    <row r="57" spans="1:13" x14ac:dyDescent="0.2">
      <c r="A57">
        <f t="shared" si="12"/>
        <v>8200</v>
      </c>
      <c r="B57">
        <f t="shared" si="3"/>
        <v>0</v>
      </c>
      <c r="C57">
        <f t="shared" si="13"/>
        <v>0</v>
      </c>
      <c r="D57">
        <f t="shared" si="5"/>
        <v>0</v>
      </c>
      <c r="E57">
        <f t="shared" si="13"/>
        <v>0</v>
      </c>
      <c r="F57">
        <f t="shared" si="5"/>
        <v>0</v>
      </c>
      <c r="G57">
        <f t="shared" si="6"/>
        <v>0</v>
      </c>
      <c r="H57">
        <f t="shared" si="7"/>
        <v>0</v>
      </c>
      <c r="I57">
        <f t="shared" si="8"/>
        <v>0</v>
      </c>
      <c r="J57">
        <f t="shared" si="8"/>
        <v>0</v>
      </c>
      <c r="K57">
        <f t="shared" si="8"/>
        <v>0</v>
      </c>
      <c r="L57">
        <f t="shared" si="8"/>
        <v>0</v>
      </c>
      <c r="M57">
        <f t="shared" si="10"/>
        <v>0</v>
      </c>
    </row>
    <row r="58" spans="1:13" x14ac:dyDescent="0.2">
      <c r="A58">
        <f t="shared" si="12"/>
        <v>10000</v>
      </c>
      <c r="B58">
        <f t="shared" si="3"/>
        <v>0</v>
      </c>
      <c r="C58">
        <f t="shared" si="13"/>
        <v>0</v>
      </c>
      <c r="D58">
        <f t="shared" si="5"/>
        <v>0</v>
      </c>
      <c r="E58">
        <f t="shared" si="13"/>
        <v>0</v>
      </c>
      <c r="F58">
        <f t="shared" si="5"/>
        <v>0</v>
      </c>
      <c r="G58">
        <f t="shared" si="6"/>
        <v>0</v>
      </c>
      <c r="H58">
        <f t="shared" si="7"/>
        <v>0</v>
      </c>
      <c r="I58">
        <f t="shared" si="8"/>
        <v>0</v>
      </c>
      <c r="J58">
        <f t="shared" si="8"/>
        <v>0</v>
      </c>
      <c r="K58">
        <f t="shared" si="8"/>
        <v>0</v>
      </c>
      <c r="L58">
        <f t="shared" si="8"/>
        <v>0</v>
      </c>
      <c r="M58">
        <f t="shared" si="10"/>
        <v>0</v>
      </c>
    </row>
    <row r="59" spans="1:13" x14ac:dyDescent="0.2">
      <c r="A59">
        <f t="shared" si="12"/>
        <v>12000</v>
      </c>
      <c r="B59">
        <f t="shared" si="3"/>
        <v>0</v>
      </c>
      <c r="C59">
        <f t="shared" si="13"/>
        <v>0</v>
      </c>
      <c r="D59">
        <f t="shared" si="5"/>
        <v>0</v>
      </c>
      <c r="E59">
        <f t="shared" si="13"/>
        <v>0</v>
      </c>
      <c r="F59">
        <f t="shared" si="5"/>
        <v>0</v>
      </c>
      <c r="G59">
        <f t="shared" si="6"/>
        <v>0</v>
      </c>
      <c r="H59">
        <f t="shared" si="7"/>
        <v>0</v>
      </c>
      <c r="I59">
        <f t="shared" si="8"/>
        <v>0</v>
      </c>
      <c r="J59">
        <f t="shared" si="8"/>
        <v>0</v>
      </c>
      <c r="K59">
        <f t="shared" si="8"/>
        <v>0</v>
      </c>
      <c r="L59">
        <f t="shared" si="8"/>
        <v>0</v>
      </c>
      <c r="M59">
        <f t="shared" si="10"/>
        <v>0</v>
      </c>
    </row>
    <row r="60" spans="1:13" x14ac:dyDescent="0.2">
      <c r="A60">
        <f t="shared" si="12"/>
        <v>15000</v>
      </c>
      <c r="B60">
        <f t="shared" si="3"/>
        <v>0</v>
      </c>
      <c r="C60">
        <f t="shared" si="13"/>
        <v>15000</v>
      </c>
      <c r="D60">
        <f t="shared" si="5"/>
        <v>0</v>
      </c>
      <c r="E60">
        <f t="shared" si="13"/>
        <v>0</v>
      </c>
      <c r="F60">
        <f t="shared" si="5"/>
        <v>0</v>
      </c>
      <c r="G60">
        <f t="shared" si="6"/>
        <v>0</v>
      </c>
      <c r="H60">
        <f t="shared" si="7"/>
        <v>0</v>
      </c>
      <c r="I60">
        <f t="shared" si="8"/>
        <v>0</v>
      </c>
      <c r="J60">
        <f t="shared" si="8"/>
        <v>0</v>
      </c>
      <c r="K60">
        <f t="shared" si="8"/>
        <v>0</v>
      </c>
      <c r="L60">
        <f t="shared" si="8"/>
        <v>0</v>
      </c>
      <c r="M60">
        <f t="shared" si="10"/>
        <v>0</v>
      </c>
    </row>
    <row r="61" spans="1:13" x14ac:dyDescent="0.2">
      <c r="A61">
        <f t="shared" si="12"/>
        <v>18000</v>
      </c>
      <c r="B61">
        <f t="shared" si="3"/>
        <v>0</v>
      </c>
      <c r="C61">
        <f t="shared" si="13"/>
        <v>0</v>
      </c>
      <c r="D61">
        <f t="shared" si="5"/>
        <v>0</v>
      </c>
      <c r="E61">
        <f t="shared" si="13"/>
        <v>22000</v>
      </c>
      <c r="F61">
        <f t="shared" si="5"/>
        <v>0</v>
      </c>
      <c r="G61">
        <f t="shared" si="6"/>
        <v>0</v>
      </c>
      <c r="H61">
        <f t="shared" si="7"/>
        <v>0</v>
      </c>
      <c r="I61">
        <f t="shared" si="8"/>
        <v>0</v>
      </c>
      <c r="J61">
        <f t="shared" si="8"/>
        <v>0</v>
      </c>
      <c r="K61">
        <f t="shared" si="8"/>
        <v>0</v>
      </c>
      <c r="L61">
        <f t="shared" si="8"/>
        <v>0</v>
      </c>
      <c r="M61">
        <f t="shared" si="10"/>
        <v>0</v>
      </c>
    </row>
    <row r="62" spans="1:13" x14ac:dyDescent="0.2">
      <c r="A62">
        <f t="shared" si="12"/>
        <v>22000</v>
      </c>
      <c r="B62">
        <f t="shared" si="3"/>
        <v>0</v>
      </c>
      <c r="C62">
        <f t="shared" si="13"/>
        <v>0</v>
      </c>
      <c r="D62">
        <f t="shared" si="5"/>
        <v>0</v>
      </c>
      <c r="E62">
        <f t="shared" si="13"/>
        <v>0</v>
      </c>
      <c r="F62">
        <f t="shared" si="5"/>
        <v>0</v>
      </c>
      <c r="G62">
        <f t="shared" si="6"/>
        <v>0</v>
      </c>
      <c r="H62">
        <f t="shared" si="7"/>
        <v>0</v>
      </c>
      <c r="I62">
        <f t="shared" si="8"/>
        <v>0</v>
      </c>
      <c r="J62">
        <f t="shared" si="8"/>
        <v>0</v>
      </c>
      <c r="K62">
        <f t="shared" si="8"/>
        <v>0</v>
      </c>
      <c r="L62">
        <f t="shared" si="8"/>
        <v>0</v>
      </c>
      <c r="M62">
        <f t="shared" si="10"/>
        <v>0</v>
      </c>
    </row>
    <row r="63" spans="1:13" x14ac:dyDescent="0.2">
      <c r="A63">
        <f t="shared" si="12"/>
        <v>27000</v>
      </c>
      <c r="B63">
        <f t="shared" si="3"/>
        <v>0</v>
      </c>
      <c r="C63">
        <f t="shared" si="13"/>
        <v>0</v>
      </c>
      <c r="D63">
        <f t="shared" si="5"/>
        <v>0</v>
      </c>
      <c r="E63">
        <f t="shared" si="13"/>
        <v>0</v>
      </c>
      <c r="F63">
        <f t="shared" si="5"/>
        <v>0</v>
      </c>
      <c r="G63">
        <f t="shared" si="6"/>
        <v>0</v>
      </c>
      <c r="H63">
        <f t="shared" si="7"/>
        <v>0</v>
      </c>
      <c r="I63">
        <f t="shared" si="8"/>
        <v>0</v>
      </c>
      <c r="J63">
        <f t="shared" si="8"/>
        <v>0</v>
      </c>
      <c r="K63">
        <f t="shared" si="8"/>
        <v>0</v>
      </c>
      <c r="L63">
        <f t="shared" si="8"/>
        <v>0</v>
      </c>
      <c r="M63">
        <f t="shared" si="10"/>
        <v>0</v>
      </c>
    </row>
    <row r="64" spans="1:13" x14ac:dyDescent="0.2">
      <c r="A64">
        <f t="shared" si="12"/>
        <v>33000</v>
      </c>
      <c r="B64">
        <f t="shared" si="3"/>
        <v>0</v>
      </c>
      <c r="C64">
        <f t="shared" si="13"/>
        <v>0</v>
      </c>
      <c r="D64">
        <f t="shared" si="5"/>
        <v>0</v>
      </c>
      <c r="E64">
        <f t="shared" si="13"/>
        <v>0</v>
      </c>
      <c r="F64">
        <f t="shared" si="5"/>
        <v>0</v>
      </c>
      <c r="G64">
        <f t="shared" si="6"/>
        <v>0</v>
      </c>
      <c r="H64">
        <f t="shared" si="7"/>
        <v>0</v>
      </c>
      <c r="I64">
        <f t="shared" si="8"/>
        <v>0</v>
      </c>
      <c r="J64">
        <f t="shared" si="8"/>
        <v>0</v>
      </c>
      <c r="K64">
        <f t="shared" si="8"/>
        <v>0</v>
      </c>
      <c r="L64">
        <f t="shared" si="8"/>
        <v>0</v>
      </c>
      <c r="M64">
        <f t="shared" si="10"/>
        <v>0</v>
      </c>
    </row>
    <row r="65" spans="1:13" x14ac:dyDescent="0.2">
      <c r="A65">
        <f t="shared" si="12"/>
        <v>39000</v>
      </c>
      <c r="B65">
        <f t="shared" si="3"/>
        <v>0</v>
      </c>
      <c r="C65">
        <f t="shared" si="13"/>
        <v>0</v>
      </c>
      <c r="D65">
        <f t="shared" si="5"/>
        <v>0</v>
      </c>
      <c r="E65">
        <f t="shared" si="13"/>
        <v>0</v>
      </c>
      <c r="F65">
        <f t="shared" si="5"/>
        <v>0</v>
      </c>
      <c r="G65">
        <f t="shared" si="6"/>
        <v>0</v>
      </c>
      <c r="H65">
        <f t="shared" si="7"/>
        <v>0</v>
      </c>
      <c r="I65">
        <f t="shared" si="8"/>
        <v>0</v>
      </c>
      <c r="J65">
        <f t="shared" si="8"/>
        <v>0</v>
      </c>
      <c r="K65">
        <f t="shared" si="8"/>
        <v>0</v>
      </c>
      <c r="L65">
        <f t="shared" si="8"/>
        <v>0</v>
      </c>
      <c r="M65">
        <f t="shared" si="10"/>
        <v>0</v>
      </c>
    </row>
    <row r="66" spans="1:13" x14ac:dyDescent="0.2">
      <c r="A66">
        <f t="shared" si="12"/>
        <v>47000</v>
      </c>
      <c r="B66">
        <f t="shared" si="3"/>
        <v>0</v>
      </c>
      <c r="C66">
        <f t="shared" si="13"/>
        <v>0</v>
      </c>
      <c r="D66">
        <f t="shared" si="5"/>
        <v>0</v>
      </c>
      <c r="E66">
        <f t="shared" si="13"/>
        <v>0</v>
      </c>
      <c r="F66">
        <f t="shared" si="5"/>
        <v>0</v>
      </c>
      <c r="G66">
        <f t="shared" si="6"/>
        <v>0</v>
      </c>
      <c r="H66">
        <f t="shared" si="7"/>
        <v>0</v>
      </c>
      <c r="I66">
        <f t="shared" si="8"/>
        <v>0</v>
      </c>
      <c r="J66">
        <f t="shared" si="8"/>
        <v>0</v>
      </c>
      <c r="K66">
        <f t="shared" si="8"/>
        <v>0</v>
      </c>
      <c r="L66">
        <f t="shared" si="8"/>
        <v>0</v>
      </c>
      <c r="M66">
        <f t="shared" si="10"/>
        <v>0</v>
      </c>
    </row>
    <row r="67" spans="1:13" x14ac:dyDescent="0.2">
      <c r="A67">
        <f t="shared" si="12"/>
        <v>56000</v>
      </c>
      <c r="B67">
        <f t="shared" si="3"/>
        <v>0</v>
      </c>
      <c r="C67">
        <f t="shared" si="13"/>
        <v>0</v>
      </c>
      <c r="D67">
        <f t="shared" si="5"/>
        <v>0</v>
      </c>
      <c r="E67">
        <f t="shared" si="13"/>
        <v>0</v>
      </c>
      <c r="F67">
        <f t="shared" si="5"/>
        <v>0</v>
      </c>
      <c r="G67">
        <f t="shared" si="6"/>
        <v>0</v>
      </c>
      <c r="H67">
        <f t="shared" si="7"/>
        <v>0</v>
      </c>
      <c r="I67">
        <f t="shared" si="8"/>
        <v>0</v>
      </c>
      <c r="J67">
        <f t="shared" si="8"/>
        <v>0</v>
      </c>
      <c r="K67">
        <f t="shared" si="8"/>
        <v>0</v>
      </c>
      <c r="L67">
        <f t="shared" si="8"/>
        <v>0</v>
      </c>
      <c r="M67">
        <f t="shared" si="10"/>
        <v>0</v>
      </c>
    </row>
    <row r="68" spans="1:13" x14ac:dyDescent="0.2">
      <c r="A68">
        <f t="shared" si="12"/>
        <v>68000</v>
      </c>
      <c r="B68">
        <f t="shared" si="3"/>
        <v>0</v>
      </c>
      <c r="C68">
        <f t="shared" si="13"/>
        <v>0</v>
      </c>
      <c r="D68">
        <f t="shared" si="5"/>
        <v>0</v>
      </c>
      <c r="E68">
        <f t="shared" si="13"/>
        <v>0</v>
      </c>
      <c r="F68">
        <f t="shared" si="5"/>
        <v>0</v>
      </c>
      <c r="G68">
        <f t="shared" si="6"/>
        <v>0</v>
      </c>
      <c r="H68">
        <f t="shared" si="7"/>
        <v>0</v>
      </c>
      <c r="I68">
        <f t="shared" si="8"/>
        <v>0</v>
      </c>
      <c r="J68">
        <f t="shared" si="8"/>
        <v>0</v>
      </c>
      <c r="K68">
        <f t="shared" si="8"/>
        <v>0</v>
      </c>
      <c r="L68">
        <f t="shared" si="8"/>
        <v>0</v>
      </c>
      <c r="M68">
        <f t="shared" si="10"/>
        <v>0</v>
      </c>
    </row>
    <row r="69" spans="1:13" x14ac:dyDescent="0.2">
      <c r="A69">
        <f t="shared" si="12"/>
        <v>82000</v>
      </c>
      <c r="B69">
        <f t="shared" si="3"/>
        <v>0</v>
      </c>
      <c r="C69">
        <f t="shared" si="13"/>
        <v>0</v>
      </c>
      <c r="D69">
        <f t="shared" si="5"/>
        <v>0</v>
      </c>
      <c r="E69">
        <f t="shared" si="13"/>
        <v>0</v>
      </c>
      <c r="F69">
        <f t="shared" si="5"/>
        <v>0</v>
      </c>
      <c r="G69">
        <f t="shared" si="6"/>
        <v>0</v>
      </c>
      <c r="H69">
        <f t="shared" si="7"/>
        <v>0</v>
      </c>
      <c r="I69">
        <f t="shared" si="8"/>
        <v>0</v>
      </c>
      <c r="J69">
        <f t="shared" si="8"/>
        <v>0</v>
      </c>
      <c r="K69">
        <f t="shared" si="8"/>
        <v>0</v>
      </c>
      <c r="L69">
        <f t="shared" ref="L69:M132" si="14">IF(IF((L$3*10^12-$A70)*(L$3*10^12-$A69)*-1&lt;0,0,1)*IF(ABS(L$3*10^12-$A70)&gt;(L$3*10^12-$A69),$A69,$A70)=L70,0,IF((L$3*10^12-$A70)*(L$3*10^12-$A69)*-1&lt;0,0,1)*IF(ABS(L$3*10^12-$A70)&gt;(L$3*10^12-$A69),$A69,$A70))</f>
        <v>0</v>
      </c>
      <c r="M69">
        <f t="shared" si="14"/>
        <v>0</v>
      </c>
    </row>
    <row r="70" spans="1:13" x14ac:dyDescent="0.2">
      <c r="A70">
        <f t="shared" si="12"/>
        <v>100000</v>
      </c>
      <c r="B70">
        <f t="shared" si="3"/>
        <v>0</v>
      </c>
      <c r="C70">
        <f t="shared" si="13"/>
        <v>0</v>
      </c>
      <c r="D70">
        <f t="shared" ref="D70:K70" si="15">IF(IF((D$3*10^12-$A71)*(D$3*10^12-$A70)*-1&lt;0,0,1)*IF(ABS(D$3*10^12-$A71)&gt;(D$3*10^12-$A70),$A70,$A71)=D71,0,IF((D$3*10^12-$A71)*(D$3*10^12-$A70)*-1&lt;0,0,1)*IF(ABS(D$3*10^12-$A71)&gt;(D$3*10^12-$A70),$A70,$A71))</f>
        <v>0</v>
      </c>
      <c r="E70">
        <f t="shared" si="13"/>
        <v>0</v>
      </c>
      <c r="F70">
        <f t="shared" si="15"/>
        <v>0</v>
      </c>
      <c r="G70">
        <f t="shared" si="15"/>
        <v>0</v>
      </c>
      <c r="H70">
        <f t="shared" si="15"/>
        <v>0</v>
      </c>
      <c r="I70">
        <f t="shared" si="15"/>
        <v>0</v>
      </c>
      <c r="J70">
        <f t="shared" si="15"/>
        <v>0</v>
      </c>
      <c r="K70">
        <f t="shared" si="15"/>
        <v>0</v>
      </c>
      <c r="L70">
        <f t="shared" si="14"/>
        <v>0</v>
      </c>
      <c r="M70">
        <f t="shared" si="14"/>
        <v>0</v>
      </c>
    </row>
    <row r="71" spans="1:13" x14ac:dyDescent="0.2">
      <c r="A71">
        <f t="shared" si="12"/>
        <v>120000</v>
      </c>
      <c r="B71">
        <f t="shared" ref="B71:B134" si="16">IF(IF((B$3*10^12-$A72)*(B$3*10^12-$A71)*-1&lt;0,0,1)*IF(ABS(B$3*10^12-$A72)&gt;(B$3*10^12-$A71),$A71,$A72)=B72,0,IF((B$3*10^12-$A72)*(B$3*10^12-$A71)*-1&lt;0,0,1)*IF(ABS(B$3*10^12-$A72)&gt;(B$3*10^12-$A71),$A71,$A72))</f>
        <v>0</v>
      </c>
      <c r="C71">
        <f t="shared" ref="C71:G134" si="17">IF(IF((C$3*10^12-$A72)*(C$3*10^12-$A71)*-1&lt;0,0,1)*IF(ABS(C$3*10^12-$A72)&gt;(C$3*10^12-$A71),$A71,$A72)=C72,0,IF((C$3*10^12-$A72)*(C$3*10^12-$A71)*-1&lt;0,0,1)*IF(ABS(C$3*10^12-$A72)&gt;(C$3*10^12-$A71),$A71,$A72))</f>
        <v>0</v>
      </c>
      <c r="D71">
        <f t="shared" si="17"/>
        <v>0</v>
      </c>
      <c r="E71">
        <f t="shared" si="17"/>
        <v>0</v>
      </c>
      <c r="F71">
        <f t="shared" si="17"/>
        <v>0</v>
      </c>
      <c r="G71">
        <f t="shared" si="17"/>
        <v>0</v>
      </c>
      <c r="H71">
        <f t="shared" ref="H71:H102" si="18">IF(IF((H$3*10^12-$A72)*(H$3*10^12-$A71)*-1&lt;0,0,1)*IF(ABS(H$3*10^12-$A72)&gt;(H$3*10^12-$A71),$A71,$A72)=H72,0,IF((H$3*10^12-$A72)*(H$3*10^12-$A71)*-1&lt;0,0,1)*IF(ABS(H$3*10^12-$A72)&gt;(H$3*10^12-$A71),$A71,$A72))</f>
        <v>0</v>
      </c>
      <c r="I71">
        <f t="shared" ref="I71:I102" si="19">IF(IF((I$3*10^12-$A72)*(I$3*10^12-$A71)*-1&lt;0,0,1)*IF(ABS(I$3*10^12-$A72)&gt;(I$3*10^12-$A71),$A71,$A72)=I72,0,IF((I$3*10^12-$A72)*(I$3*10^12-$A71)*-1&lt;0,0,1)*IF(ABS(I$3*10^12-$A72)&gt;(I$3*10^12-$A71),$A71,$A72))</f>
        <v>0</v>
      </c>
      <c r="J71">
        <f t="shared" ref="J71:J102" si="20">IF(IF((J$3*10^12-$A72)*(J$3*10^12-$A71)*-1&lt;0,0,1)*IF(ABS(J$3*10^12-$A72)&gt;(J$3*10^12-$A71),$A71,$A72)=J72,0,IF((J$3*10^12-$A72)*(J$3*10^12-$A71)*-1&lt;0,0,1)*IF(ABS(J$3*10^12-$A72)&gt;(J$3*10^12-$A71),$A71,$A72))</f>
        <v>0</v>
      </c>
      <c r="K71">
        <f t="shared" ref="K71:K102" si="21">IF(IF((K$3*10^12-$A72)*(K$3*10^12-$A71)*-1&lt;0,0,1)*IF(ABS(K$3*10^12-$A72)&gt;(K$3*10^12-$A71),$A71,$A72)=K72,0,IF((K$3*10^12-$A72)*(K$3*10^12-$A71)*-1&lt;0,0,1)*IF(ABS(K$3*10^12-$A72)&gt;(K$3*10^12-$A71),$A71,$A72))</f>
        <v>0</v>
      </c>
      <c r="L71">
        <f t="shared" si="14"/>
        <v>0</v>
      </c>
      <c r="M71">
        <f t="shared" si="14"/>
        <v>0</v>
      </c>
    </row>
    <row r="72" spans="1:13" x14ac:dyDescent="0.2">
      <c r="A72">
        <f t="shared" si="12"/>
        <v>150000</v>
      </c>
      <c r="B72">
        <f t="shared" si="16"/>
        <v>0</v>
      </c>
      <c r="C72">
        <f t="shared" si="17"/>
        <v>0</v>
      </c>
      <c r="D72">
        <f t="shared" si="17"/>
        <v>0</v>
      </c>
      <c r="E72">
        <f t="shared" si="17"/>
        <v>0</v>
      </c>
      <c r="F72">
        <f t="shared" si="17"/>
        <v>0</v>
      </c>
      <c r="G72">
        <f t="shared" si="17"/>
        <v>0</v>
      </c>
      <c r="H72">
        <f t="shared" si="18"/>
        <v>0</v>
      </c>
      <c r="I72">
        <f t="shared" si="19"/>
        <v>0</v>
      </c>
      <c r="J72">
        <f t="shared" si="20"/>
        <v>0</v>
      </c>
      <c r="K72">
        <f t="shared" si="21"/>
        <v>0</v>
      </c>
      <c r="L72">
        <f t="shared" si="14"/>
        <v>0</v>
      </c>
      <c r="M72">
        <f t="shared" si="14"/>
        <v>0</v>
      </c>
    </row>
    <row r="73" spans="1:13" x14ac:dyDescent="0.2">
      <c r="A73">
        <f t="shared" si="12"/>
        <v>180000</v>
      </c>
      <c r="B73">
        <f t="shared" si="16"/>
        <v>0</v>
      </c>
      <c r="C73">
        <f t="shared" si="17"/>
        <v>0</v>
      </c>
      <c r="D73">
        <f t="shared" si="17"/>
        <v>0</v>
      </c>
      <c r="E73">
        <f t="shared" si="17"/>
        <v>0</v>
      </c>
      <c r="F73">
        <f t="shared" si="17"/>
        <v>180000</v>
      </c>
      <c r="G73">
        <f t="shared" si="17"/>
        <v>0</v>
      </c>
      <c r="H73">
        <f t="shared" si="18"/>
        <v>0</v>
      </c>
      <c r="I73">
        <f t="shared" si="19"/>
        <v>0</v>
      </c>
      <c r="J73">
        <f t="shared" si="20"/>
        <v>0</v>
      </c>
      <c r="K73">
        <f t="shared" si="21"/>
        <v>0</v>
      </c>
      <c r="L73">
        <f t="shared" si="14"/>
        <v>0</v>
      </c>
      <c r="M73">
        <f t="shared" si="14"/>
        <v>0</v>
      </c>
    </row>
    <row r="74" spans="1:13" x14ac:dyDescent="0.2">
      <c r="A74">
        <f t="shared" si="12"/>
        <v>220000</v>
      </c>
      <c r="B74">
        <f t="shared" si="16"/>
        <v>0</v>
      </c>
      <c r="C74">
        <f t="shared" si="17"/>
        <v>0</v>
      </c>
      <c r="D74">
        <f t="shared" si="17"/>
        <v>0</v>
      </c>
      <c r="E74">
        <f t="shared" si="17"/>
        <v>0</v>
      </c>
      <c r="F74">
        <f t="shared" si="17"/>
        <v>0</v>
      </c>
      <c r="G74">
        <f t="shared" si="17"/>
        <v>0</v>
      </c>
      <c r="H74">
        <f t="shared" si="18"/>
        <v>0</v>
      </c>
      <c r="I74">
        <f t="shared" si="19"/>
        <v>0</v>
      </c>
      <c r="J74">
        <f t="shared" si="20"/>
        <v>0</v>
      </c>
      <c r="K74">
        <f t="shared" si="21"/>
        <v>0</v>
      </c>
      <c r="L74">
        <f t="shared" si="14"/>
        <v>0</v>
      </c>
      <c r="M74">
        <f t="shared" si="14"/>
        <v>0</v>
      </c>
    </row>
    <row r="75" spans="1:13" x14ac:dyDescent="0.2">
      <c r="A75">
        <f t="shared" si="12"/>
        <v>270000</v>
      </c>
      <c r="B75">
        <f t="shared" si="16"/>
        <v>0</v>
      </c>
      <c r="C75">
        <f t="shared" si="17"/>
        <v>0</v>
      </c>
      <c r="D75">
        <f t="shared" si="17"/>
        <v>0</v>
      </c>
      <c r="E75">
        <f t="shared" si="17"/>
        <v>0</v>
      </c>
      <c r="F75">
        <f t="shared" si="17"/>
        <v>0</v>
      </c>
      <c r="G75">
        <f t="shared" si="17"/>
        <v>0</v>
      </c>
      <c r="H75">
        <f t="shared" si="18"/>
        <v>0</v>
      </c>
      <c r="I75">
        <f t="shared" si="19"/>
        <v>0</v>
      </c>
      <c r="J75">
        <f t="shared" si="20"/>
        <v>0</v>
      </c>
      <c r="K75">
        <f t="shared" si="21"/>
        <v>0</v>
      </c>
      <c r="L75">
        <f t="shared" si="14"/>
        <v>0</v>
      </c>
      <c r="M75">
        <f t="shared" si="14"/>
        <v>0</v>
      </c>
    </row>
    <row r="76" spans="1:13" x14ac:dyDescent="0.2">
      <c r="A76">
        <f t="shared" si="12"/>
        <v>330000</v>
      </c>
      <c r="B76">
        <f t="shared" si="16"/>
        <v>0</v>
      </c>
      <c r="C76">
        <f t="shared" si="17"/>
        <v>0</v>
      </c>
      <c r="D76">
        <f t="shared" si="17"/>
        <v>0</v>
      </c>
      <c r="E76">
        <f t="shared" si="17"/>
        <v>0</v>
      </c>
      <c r="F76">
        <f t="shared" si="17"/>
        <v>0</v>
      </c>
      <c r="G76">
        <f t="shared" si="17"/>
        <v>0</v>
      </c>
      <c r="H76">
        <f t="shared" si="18"/>
        <v>0</v>
      </c>
      <c r="I76">
        <f t="shared" si="19"/>
        <v>0</v>
      </c>
      <c r="J76">
        <f t="shared" si="20"/>
        <v>0</v>
      </c>
      <c r="K76">
        <f t="shared" si="21"/>
        <v>0</v>
      </c>
      <c r="L76">
        <f t="shared" si="14"/>
        <v>0</v>
      </c>
      <c r="M76">
        <f t="shared" si="14"/>
        <v>0</v>
      </c>
    </row>
    <row r="77" spans="1:13" x14ac:dyDescent="0.2">
      <c r="A77">
        <f t="shared" si="12"/>
        <v>390000</v>
      </c>
      <c r="B77">
        <f t="shared" si="16"/>
        <v>0</v>
      </c>
      <c r="C77">
        <f t="shared" si="17"/>
        <v>0</v>
      </c>
      <c r="D77">
        <f t="shared" si="17"/>
        <v>0</v>
      </c>
      <c r="E77">
        <f t="shared" si="17"/>
        <v>0</v>
      </c>
      <c r="F77">
        <f t="shared" si="17"/>
        <v>0</v>
      </c>
      <c r="G77">
        <f t="shared" si="17"/>
        <v>0</v>
      </c>
      <c r="H77">
        <f t="shared" si="18"/>
        <v>0</v>
      </c>
      <c r="I77">
        <f t="shared" si="19"/>
        <v>0</v>
      </c>
      <c r="J77">
        <f t="shared" si="20"/>
        <v>0</v>
      </c>
      <c r="K77">
        <f t="shared" si="21"/>
        <v>0</v>
      </c>
      <c r="L77">
        <f t="shared" si="14"/>
        <v>0</v>
      </c>
      <c r="M77">
        <f t="shared" si="14"/>
        <v>0</v>
      </c>
    </row>
    <row r="78" spans="1:13" x14ac:dyDescent="0.2">
      <c r="A78">
        <f t="shared" si="12"/>
        <v>470000</v>
      </c>
      <c r="B78">
        <f t="shared" si="16"/>
        <v>0</v>
      </c>
      <c r="C78">
        <f t="shared" si="17"/>
        <v>0</v>
      </c>
      <c r="D78">
        <f t="shared" si="17"/>
        <v>0</v>
      </c>
      <c r="E78">
        <f t="shared" si="17"/>
        <v>0</v>
      </c>
      <c r="F78">
        <f t="shared" si="17"/>
        <v>0</v>
      </c>
      <c r="G78">
        <f t="shared" si="17"/>
        <v>0</v>
      </c>
      <c r="H78">
        <f t="shared" si="18"/>
        <v>0</v>
      </c>
      <c r="I78">
        <f t="shared" si="19"/>
        <v>0</v>
      </c>
      <c r="J78">
        <f t="shared" si="20"/>
        <v>0</v>
      </c>
      <c r="K78">
        <f t="shared" si="21"/>
        <v>0</v>
      </c>
      <c r="L78">
        <f t="shared" si="14"/>
        <v>0</v>
      </c>
      <c r="M78">
        <f t="shared" si="14"/>
        <v>0</v>
      </c>
    </row>
    <row r="79" spans="1:13" x14ac:dyDescent="0.2">
      <c r="A79">
        <f t="shared" si="12"/>
        <v>560000</v>
      </c>
      <c r="B79">
        <f t="shared" si="16"/>
        <v>0</v>
      </c>
      <c r="C79">
        <f t="shared" si="17"/>
        <v>0</v>
      </c>
      <c r="D79">
        <f t="shared" si="17"/>
        <v>0</v>
      </c>
      <c r="E79">
        <f t="shared" si="17"/>
        <v>0</v>
      </c>
      <c r="F79">
        <f t="shared" si="17"/>
        <v>0</v>
      </c>
      <c r="G79">
        <f t="shared" si="17"/>
        <v>0</v>
      </c>
      <c r="H79">
        <f t="shared" si="18"/>
        <v>0</v>
      </c>
      <c r="I79">
        <f t="shared" si="19"/>
        <v>0</v>
      </c>
      <c r="J79">
        <f t="shared" si="20"/>
        <v>0</v>
      </c>
      <c r="K79">
        <f t="shared" si="21"/>
        <v>0</v>
      </c>
      <c r="L79">
        <f t="shared" si="14"/>
        <v>0</v>
      </c>
      <c r="M79">
        <f t="shared" si="14"/>
        <v>0</v>
      </c>
    </row>
    <row r="80" spans="1:13" x14ac:dyDescent="0.2">
      <c r="A80">
        <f t="shared" si="12"/>
        <v>680000</v>
      </c>
      <c r="B80">
        <f t="shared" si="16"/>
        <v>0</v>
      </c>
      <c r="C80">
        <f t="shared" si="17"/>
        <v>0</v>
      </c>
      <c r="D80">
        <f t="shared" si="17"/>
        <v>0</v>
      </c>
      <c r="E80">
        <f t="shared" si="17"/>
        <v>0</v>
      </c>
      <c r="F80">
        <f t="shared" si="17"/>
        <v>0</v>
      </c>
      <c r="G80">
        <f t="shared" si="17"/>
        <v>0</v>
      </c>
      <c r="H80">
        <f t="shared" si="18"/>
        <v>0</v>
      </c>
      <c r="I80">
        <f t="shared" si="19"/>
        <v>0</v>
      </c>
      <c r="J80">
        <f t="shared" si="20"/>
        <v>0</v>
      </c>
      <c r="K80">
        <f t="shared" si="21"/>
        <v>0</v>
      </c>
      <c r="L80">
        <f t="shared" si="14"/>
        <v>0</v>
      </c>
      <c r="M80">
        <f t="shared" si="14"/>
        <v>0</v>
      </c>
    </row>
    <row r="81" spans="1:13" x14ac:dyDescent="0.2">
      <c r="A81">
        <f t="shared" si="12"/>
        <v>820000</v>
      </c>
      <c r="B81">
        <f t="shared" si="16"/>
        <v>0</v>
      </c>
      <c r="C81">
        <f t="shared" si="17"/>
        <v>0</v>
      </c>
      <c r="D81">
        <f t="shared" si="17"/>
        <v>0</v>
      </c>
      <c r="E81">
        <f t="shared" si="17"/>
        <v>0</v>
      </c>
      <c r="F81">
        <f t="shared" si="17"/>
        <v>0</v>
      </c>
      <c r="G81">
        <f t="shared" si="17"/>
        <v>0</v>
      </c>
      <c r="H81">
        <f t="shared" si="18"/>
        <v>0</v>
      </c>
      <c r="I81">
        <f t="shared" si="19"/>
        <v>0</v>
      </c>
      <c r="J81">
        <f t="shared" si="20"/>
        <v>0</v>
      </c>
      <c r="K81">
        <f t="shared" si="21"/>
        <v>0</v>
      </c>
      <c r="L81">
        <f t="shared" si="14"/>
        <v>0</v>
      </c>
      <c r="M81">
        <f t="shared" si="14"/>
        <v>0</v>
      </c>
    </row>
    <row r="82" spans="1:13" x14ac:dyDescent="0.2">
      <c r="A82">
        <f t="shared" si="12"/>
        <v>1000000</v>
      </c>
      <c r="B82">
        <f t="shared" si="16"/>
        <v>0</v>
      </c>
      <c r="C82">
        <f t="shared" si="17"/>
        <v>0</v>
      </c>
      <c r="D82">
        <f t="shared" si="17"/>
        <v>0</v>
      </c>
      <c r="E82">
        <f t="shared" si="17"/>
        <v>0</v>
      </c>
      <c r="F82">
        <f t="shared" si="17"/>
        <v>0</v>
      </c>
      <c r="G82">
        <f t="shared" si="17"/>
        <v>0</v>
      </c>
      <c r="H82">
        <f t="shared" si="18"/>
        <v>0</v>
      </c>
      <c r="I82">
        <f t="shared" si="19"/>
        <v>0</v>
      </c>
      <c r="J82">
        <f t="shared" si="20"/>
        <v>0</v>
      </c>
      <c r="K82">
        <f t="shared" si="21"/>
        <v>0</v>
      </c>
      <c r="L82">
        <f t="shared" si="14"/>
        <v>0</v>
      </c>
      <c r="M82">
        <f t="shared" si="14"/>
        <v>0</v>
      </c>
    </row>
    <row r="83" spans="1:13" x14ac:dyDescent="0.2">
      <c r="A83">
        <f t="shared" si="12"/>
        <v>1200000</v>
      </c>
      <c r="B83">
        <f t="shared" si="16"/>
        <v>0</v>
      </c>
      <c r="C83">
        <f t="shared" si="17"/>
        <v>0</v>
      </c>
      <c r="D83">
        <f t="shared" si="17"/>
        <v>0</v>
      </c>
      <c r="E83">
        <f t="shared" si="17"/>
        <v>0</v>
      </c>
      <c r="F83">
        <f t="shared" si="17"/>
        <v>0</v>
      </c>
      <c r="G83">
        <f t="shared" si="17"/>
        <v>0</v>
      </c>
      <c r="H83">
        <f t="shared" si="18"/>
        <v>0</v>
      </c>
      <c r="I83">
        <f t="shared" si="19"/>
        <v>0</v>
      </c>
      <c r="J83">
        <f t="shared" si="20"/>
        <v>0</v>
      </c>
      <c r="K83">
        <f t="shared" si="21"/>
        <v>0</v>
      </c>
      <c r="L83">
        <f t="shared" si="14"/>
        <v>0</v>
      </c>
      <c r="M83">
        <f t="shared" si="14"/>
        <v>0</v>
      </c>
    </row>
    <row r="84" spans="1:13" x14ac:dyDescent="0.2">
      <c r="A84">
        <f t="shared" si="12"/>
        <v>1500000</v>
      </c>
      <c r="B84">
        <f t="shared" si="16"/>
        <v>0</v>
      </c>
      <c r="C84">
        <f t="shared" si="17"/>
        <v>0</v>
      </c>
      <c r="D84">
        <f t="shared" si="17"/>
        <v>0</v>
      </c>
      <c r="E84">
        <f t="shared" si="17"/>
        <v>0</v>
      </c>
      <c r="F84">
        <f t="shared" si="17"/>
        <v>0</v>
      </c>
      <c r="G84">
        <f t="shared" si="17"/>
        <v>0</v>
      </c>
      <c r="H84">
        <f t="shared" si="18"/>
        <v>0</v>
      </c>
      <c r="I84">
        <f t="shared" si="19"/>
        <v>0</v>
      </c>
      <c r="J84">
        <f t="shared" si="20"/>
        <v>0</v>
      </c>
      <c r="K84">
        <f t="shared" si="21"/>
        <v>0</v>
      </c>
      <c r="L84">
        <f t="shared" si="14"/>
        <v>0</v>
      </c>
      <c r="M84">
        <f t="shared" si="14"/>
        <v>0</v>
      </c>
    </row>
    <row r="85" spans="1:13" x14ac:dyDescent="0.2">
      <c r="A85">
        <f t="shared" si="12"/>
        <v>1800000</v>
      </c>
      <c r="B85">
        <f t="shared" si="16"/>
        <v>0</v>
      </c>
      <c r="C85">
        <f t="shared" si="17"/>
        <v>0</v>
      </c>
      <c r="D85">
        <f t="shared" si="17"/>
        <v>0</v>
      </c>
      <c r="E85">
        <f t="shared" si="17"/>
        <v>0</v>
      </c>
      <c r="F85">
        <f t="shared" si="17"/>
        <v>0</v>
      </c>
      <c r="G85">
        <f t="shared" si="17"/>
        <v>0</v>
      </c>
      <c r="H85">
        <f t="shared" si="18"/>
        <v>0</v>
      </c>
      <c r="I85">
        <f t="shared" si="19"/>
        <v>0</v>
      </c>
      <c r="J85">
        <f t="shared" si="20"/>
        <v>0</v>
      </c>
      <c r="K85">
        <f t="shared" si="21"/>
        <v>0</v>
      </c>
      <c r="L85">
        <f t="shared" si="14"/>
        <v>0</v>
      </c>
      <c r="M85">
        <f t="shared" si="14"/>
        <v>0</v>
      </c>
    </row>
    <row r="86" spans="1:13" x14ac:dyDescent="0.2">
      <c r="A86">
        <f t="shared" si="12"/>
        <v>2200000</v>
      </c>
      <c r="B86">
        <f t="shared" si="16"/>
        <v>2700000</v>
      </c>
      <c r="C86">
        <f t="shared" si="17"/>
        <v>0</v>
      </c>
      <c r="D86">
        <f t="shared" si="17"/>
        <v>0</v>
      </c>
      <c r="E86">
        <f t="shared" si="17"/>
        <v>0</v>
      </c>
      <c r="F86">
        <f t="shared" si="17"/>
        <v>0</v>
      </c>
      <c r="G86">
        <f t="shared" si="17"/>
        <v>0</v>
      </c>
      <c r="H86">
        <f t="shared" si="18"/>
        <v>0</v>
      </c>
      <c r="I86">
        <f t="shared" si="19"/>
        <v>0</v>
      </c>
      <c r="J86">
        <f t="shared" si="20"/>
        <v>0</v>
      </c>
      <c r="K86">
        <f t="shared" si="21"/>
        <v>0</v>
      </c>
      <c r="L86">
        <f t="shared" si="14"/>
        <v>0</v>
      </c>
      <c r="M86">
        <f t="shared" si="14"/>
        <v>0</v>
      </c>
    </row>
    <row r="87" spans="1:13" x14ac:dyDescent="0.2">
      <c r="A87">
        <f t="shared" si="12"/>
        <v>2700000</v>
      </c>
      <c r="B87">
        <f t="shared" si="16"/>
        <v>0</v>
      </c>
      <c r="C87">
        <f t="shared" si="17"/>
        <v>0</v>
      </c>
      <c r="D87">
        <f t="shared" si="17"/>
        <v>0</v>
      </c>
      <c r="E87">
        <f t="shared" si="17"/>
        <v>0</v>
      </c>
      <c r="F87">
        <f t="shared" si="17"/>
        <v>0</v>
      </c>
      <c r="G87">
        <f t="shared" si="17"/>
        <v>0</v>
      </c>
      <c r="H87">
        <f t="shared" si="18"/>
        <v>0</v>
      </c>
      <c r="I87">
        <f t="shared" si="19"/>
        <v>0</v>
      </c>
      <c r="J87">
        <f t="shared" si="20"/>
        <v>0</v>
      </c>
      <c r="K87">
        <f t="shared" si="21"/>
        <v>0</v>
      </c>
      <c r="L87">
        <f t="shared" si="14"/>
        <v>0</v>
      </c>
      <c r="M87">
        <f t="shared" si="14"/>
        <v>0</v>
      </c>
    </row>
    <row r="88" spans="1:13" x14ac:dyDescent="0.2">
      <c r="A88">
        <f t="shared" si="12"/>
        <v>3300000</v>
      </c>
      <c r="B88">
        <f t="shared" si="16"/>
        <v>0</v>
      </c>
      <c r="C88">
        <f t="shared" si="17"/>
        <v>0</v>
      </c>
      <c r="D88">
        <f t="shared" si="17"/>
        <v>0</v>
      </c>
      <c r="E88">
        <f t="shared" si="17"/>
        <v>0</v>
      </c>
      <c r="F88">
        <f t="shared" si="17"/>
        <v>0</v>
      </c>
      <c r="G88">
        <f t="shared" si="17"/>
        <v>0</v>
      </c>
      <c r="H88">
        <f t="shared" si="18"/>
        <v>0</v>
      </c>
      <c r="I88">
        <f t="shared" si="19"/>
        <v>0</v>
      </c>
      <c r="J88">
        <f t="shared" si="20"/>
        <v>0</v>
      </c>
      <c r="K88">
        <f t="shared" si="21"/>
        <v>0</v>
      </c>
      <c r="L88">
        <f t="shared" si="14"/>
        <v>0</v>
      </c>
      <c r="M88">
        <f t="shared" si="14"/>
        <v>0</v>
      </c>
    </row>
    <row r="89" spans="1:13" x14ac:dyDescent="0.2">
      <c r="A89">
        <f t="shared" si="12"/>
        <v>3900000</v>
      </c>
      <c r="B89">
        <f t="shared" si="16"/>
        <v>0</v>
      </c>
      <c r="C89">
        <f t="shared" si="17"/>
        <v>0</v>
      </c>
      <c r="D89">
        <f t="shared" si="17"/>
        <v>0</v>
      </c>
      <c r="E89">
        <f t="shared" si="17"/>
        <v>0</v>
      </c>
      <c r="F89">
        <f t="shared" si="17"/>
        <v>0</v>
      </c>
      <c r="G89">
        <f t="shared" si="17"/>
        <v>0</v>
      </c>
      <c r="H89">
        <f t="shared" si="18"/>
        <v>0</v>
      </c>
      <c r="I89">
        <f t="shared" si="19"/>
        <v>0</v>
      </c>
      <c r="J89">
        <f t="shared" si="20"/>
        <v>0</v>
      </c>
      <c r="K89">
        <f t="shared" si="21"/>
        <v>0</v>
      </c>
      <c r="L89">
        <f t="shared" si="14"/>
        <v>0</v>
      </c>
      <c r="M89">
        <f t="shared" si="14"/>
        <v>0</v>
      </c>
    </row>
    <row r="90" spans="1:13" x14ac:dyDescent="0.2">
      <c r="A90">
        <f t="shared" si="12"/>
        <v>4700000</v>
      </c>
      <c r="B90">
        <f t="shared" si="16"/>
        <v>0</v>
      </c>
      <c r="C90">
        <f t="shared" si="17"/>
        <v>0</v>
      </c>
      <c r="D90">
        <f t="shared" si="17"/>
        <v>0</v>
      </c>
      <c r="E90">
        <f t="shared" si="17"/>
        <v>0</v>
      </c>
      <c r="F90">
        <f t="shared" si="17"/>
        <v>0</v>
      </c>
      <c r="G90">
        <f t="shared" si="17"/>
        <v>0</v>
      </c>
      <c r="H90">
        <f t="shared" si="18"/>
        <v>0</v>
      </c>
      <c r="I90">
        <f t="shared" si="19"/>
        <v>0</v>
      </c>
      <c r="J90">
        <f t="shared" si="20"/>
        <v>0</v>
      </c>
      <c r="K90">
        <f t="shared" si="21"/>
        <v>0</v>
      </c>
      <c r="L90">
        <f t="shared" si="14"/>
        <v>0</v>
      </c>
      <c r="M90">
        <f t="shared" si="14"/>
        <v>0</v>
      </c>
    </row>
    <row r="91" spans="1:13" x14ac:dyDescent="0.2">
      <c r="A91">
        <f t="shared" si="12"/>
        <v>5600000</v>
      </c>
      <c r="B91">
        <f t="shared" si="16"/>
        <v>0</v>
      </c>
      <c r="C91">
        <f t="shared" si="17"/>
        <v>0</v>
      </c>
      <c r="D91">
        <f t="shared" si="17"/>
        <v>0</v>
      </c>
      <c r="E91">
        <f t="shared" si="17"/>
        <v>0</v>
      </c>
      <c r="F91">
        <f t="shared" si="17"/>
        <v>0</v>
      </c>
      <c r="G91">
        <f t="shared" si="17"/>
        <v>0</v>
      </c>
      <c r="H91">
        <f t="shared" si="18"/>
        <v>0</v>
      </c>
      <c r="I91">
        <f t="shared" si="19"/>
        <v>0</v>
      </c>
      <c r="J91">
        <f t="shared" si="20"/>
        <v>0</v>
      </c>
      <c r="K91">
        <f t="shared" si="21"/>
        <v>0</v>
      </c>
      <c r="L91">
        <f t="shared" si="14"/>
        <v>0</v>
      </c>
      <c r="M91">
        <f t="shared" si="14"/>
        <v>0</v>
      </c>
    </row>
    <row r="92" spans="1:13" x14ac:dyDescent="0.2">
      <c r="A92">
        <f t="shared" si="12"/>
        <v>6800000</v>
      </c>
      <c r="B92">
        <f t="shared" si="16"/>
        <v>0</v>
      </c>
      <c r="C92">
        <f t="shared" si="17"/>
        <v>0</v>
      </c>
      <c r="D92">
        <f t="shared" si="17"/>
        <v>0</v>
      </c>
      <c r="E92">
        <f t="shared" si="17"/>
        <v>0</v>
      </c>
      <c r="F92">
        <f t="shared" si="17"/>
        <v>0</v>
      </c>
      <c r="G92">
        <f t="shared" si="17"/>
        <v>0</v>
      </c>
      <c r="H92">
        <f t="shared" si="18"/>
        <v>0</v>
      </c>
      <c r="I92">
        <f t="shared" si="19"/>
        <v>0</v>
      </c>
      <c r="J92">
        <f t="shared" si="20"/>
        <v>0</v>
      </c>
      <c r="K92">
        <f t="shared" si="21"/>
        <v>0</v>
      </c>
      <c r="L92">
        <f t="shared" si="14"/>
        <v>0</v>
      </c>
      <c r="M92">
        <f t="shared" si="14"/>
        <v>0</v>
      </c>
    </row>
    <row r="93" spans="1:13" x14ac:dyDescent="0.2">
      <c r="A93">
        <f t="shared" si="12"/>
        <v>8200000</v>
      </c>
      <c r="B93">
        <f t="shared" si="16"/>
        <v>0</v>
      </c>
      <c r="C93">
        <f t="shared" si="17"/>
        <v>0</v>
      </c>
      <c r="D93">
        <f t="shared" si="17"/>
        <v>0</v>
      </c>
      <c r="E93">
        <f t="shared" si="17"/>
        <v>0</v>
      </c>
      <c r="F93">
        <f t="shared" si="17"/>
        <v>0</v>
      </c>
      <c r="G93">
        <f t="shared" si="17"/>
        <v>0</v>
      </c>
      <c r="H93">
        <f t="shared" si="18"/>
        <v>0</v>
      </c>
      <c r="I93">
        <f t="shared" si="19"/>
        <v>0</v>
      </c>
      <c r="J93">
        <f t="shared" si="20"/>
        <v>0</v>
      </c>
      <c r="K93">
        <f t="shared" si="21"/>
        <v>0</v>
      </c>
      <c r="L93">
        <f t="shared" si="14"/>
        <v>0</v>
      </c>
      <c r="M93">
        <f t="shared" si="14"/>
        <v>0</v>
      </c>
    </row>
    <row r="94" spans="1:13" x14ac:dyDescent="0.2">
      <c r="A94">
        <f t="shared" si="12"/>
        <v>10000000</v>
      </c>
      <c r="B94">
        <f t="shared" si="16"/>
        <v>0</v>
      </c>
      <c r="C94">
        <f t="shared" si="17"/>
        <v>0</v>
      </c>
      <c r="D94">
        <f t="shared" si="17"/>
        <v>0</v>
      </c>
      <c r="E94">
        <f t="shared" si="17"/>
        <v>0</v>
      </c>
      <c r="F94">
        <f t="shared" si="17"/>
        <v>0</v>
      </c>
      <c r="G94">
        <f t="shared" si="17"/>
        <v>0</v>
      </c>
      <c r="H94">
        <f t="shared" si="18"/>
        <v>0</v>
      </c>
      <c r="I94">
        <f t="shared" si="19"/>
        <v>0</v>
      </c>
      <c r="J94">
        <f t="shared" si="20"/>
        <v>0</v>
      </c>
      <c r="K94">
        <f t="shared" si="21"/>
        <v>0</v>
      </c>
      <c r="L94">
        <f t="shared" si="14"/>
        <v>0</v>
      </c>
      <c r="M94">
        <f t="shared" si="14"/>
        <v>0</v>
      </c>
    </row>
    <row r="95" spans="1:13" x14ac:dyDescent="0.2">
      <c r="A95">
        <f t="shared" si="12"/>
        <v>12000000</v>
      </c>
      <c r="B95">
        <f t="shared" si="16"/>
        <v>0</v>
      </c>
      <c r="C95">
        <f t="shared" si="17"/>
        <v>0</v>
      </c>
      <c r="D95">
        <f t="shared" si="17"/>
        <v>0</v>
      </c>
      <c r="E95">
        <f t="shared" si="17"/>
        <v>0</v>
      </c>
      <c r="F95">
        <f t="shared" si="17"/>
        <v>0</v>
      </c>
      <c r="G95">
        <f t="shared" si="17"/>
        <v>0</v>
      </c>
      <c r="H95">
        <f t="shared" si="18"/>
        <v>0</v>
      </c>
      <c r="I95">
        <f t="shared" si="19"/>
        <v>0</v>
      </c>
      <c r="J95">
        <f t="shared" si="20"/>
        <v>0</v>
      </c>
      <c r="K95">
        <f t="shared" si="21"/>
        <v>0</v>
      </c>
      <c r="L95">
        <f t="shared" si="14"/>
        <v>0</v>
      </c>
      <c r="M95">
        <f t="shared" si="14"/>
        <v>0</v>
      </c>
    </row>
    <row r="96" spans="1:13" x14ac:dyDescent="0.2">
      <c r="A96">
        <f t="shared" si="12"/>
        <v>15000000</v>
      </c>
      <c r="B96">
        <f t="shared" si="16"/>
        <v>0</v>
      </c>
      <c r="C96">
        <f t="shared" si="17"/>
        <v>0</v>
      </c>
      <c r="D96">
        <f t="shared" si="17"/>
        <v>0</v>
      </c>
      <c r="E96">
        <f t="shared" si="17"/>
        <v>0</v>
      </c>
      <c r="F96">
        <f t="shared" si="17"/>
        <v>0</v>
      </c>
      <c r="G96">
        <f t="shared" si="17"/>
        <v>0</v>
      </c>
      <c r="H96">
        <f t="shared" si="18"/>
        <v>0</v>
      </c>
      <c r="I96">
        <f t="shared" si="19"/>
        <v>0</v>
      </c>
      <c r="J96">
        <f t="shared" si="20"/>
        <v>0</v>
      </c>
      <c r="K96">
        <f t="shared" si="21"/>
        <v>0</v>
      </c>
      <c r="L96">
        <f t="shared" si="14"/>
        <v>0</v>
      </c>
      <c r="M96">
        <f t="shared" si="14"/>
        <v>0</v>
      </c>
    </row>
    <row r="97" spans="1:13" x14ac:dyDescent="0.2">
      <c r="A97">
        <f t="shared" si="12"/>
        <v>18000000</v>
      </c>
      <c r="B97">
        <f t="shared" si="16"/>
        <v>0</v>
      </c>
      <c r="C97">
        <f t="shared" si="17"/>
        <v>0</v>
      </c>
      <c r="D97">
        <f t="shared" si="17"/>
        <v>0</v>
      </c>
      <c r="E97">
        <f t="shared" si="17"/>
        <v>0</v>
      </c>
      <c r="F97">
        <f t="shared" si="17"/>
        <v>0</v>
      </c>
      <c r="G97">
        <f t="shared" si="17"/>
        <v>0</v>
      </c>
      <c r="H97">
        <f t="shared" si="18"/>
        <v>0</v>
      </c>
      <c r="I97">
        <f t="shared" si="19"/>
        <v>0</v>
      </c>
      <c r="J97">
        <f t="shared" si="20"/>
        <v>0</v>
      </c>
      <c r="K97">
        <f t="shared" si="21"/>
        <v>0</v>
      </c>
      <c r="L97">
        <f t="shared" si="14"/>
        <v>0</v>
      </c>
      <c r="M97">
        <f t="shared" si="14"/>
        <v>0</v>
      </c>
    </row>
    <row r="98" spans="1:13" x14ac:dyDescent="0.2">
      <c r="A98">
        <f t="shared" si="12"/>
        <v>22000000</v>
      </c>
      <c r="B98">
        <f t="shared" si="16"/>
        <v>0</v>
      </c>
      <c r="C98">
        <f t="shared" si="17"/>
        <v>0</v>
      </c>
      <c r="D98">
        <f t="shared" si="17"/>
        <v>0</v>
      </c>
      <c r="E98">
        <f t="shared" si="17"/>
        <v>0</v>
      </c>
      <c r="F98">
        <f t="shared" si="17"/>
        <v>0</v>
      </c>
      <c r="G98">
        <f t="shared" si="17"/>
        <v>0</v>
      </c>
      <c r="H98">
        <f t="shared" si="18"/>
        <v>0</v>
      </c>
      <c r="I98">
        <f t="shared" si="19"/>
        <v>0</v>
      </c>
      <c r="J98">
        <f t="shared" si="20"/>
        <v>0</v>
      </c>
      <c r="K98">
        <f t="shared" si="21"/>
        <v>0</v>
      </c>
      <c r="L98">
        <f t="shared" si="14"/>
        <v>0</v>
      </c>
      <c r="M98">
        <f t="shared" si="14"/>
        <v>0</v>
      </c>
    </row>
    <row r="99" spans="1:13" x14ac:dyDescent="0.2">
      <c r="A99">
        <f t="shared" ref="A99:A159" si="22">A87*10</f>
        <v>27000000</v>
      </c>
      <c r="B99">
        <f t="shared" si="16"/>
        <v>0</v>
      </c>
      <c r="C99">
        <f t="shared" si="17"/>
        <v>0</v>
      </c>
      <c r="D99">
        <f t="shared" si="17"/>
        <v>0</v>
      </c>
      <c r="E99">
        <f t="shared" si="17"/>
        <v>0</v>
      </c>
      <c r="F99">
        <f t="shared" si="17"/>
        <v>0</v>
      </c>
      <c r="G99">
        <f t="shared" si="17"/>
        <v>0</v>
      </c>
      <c r="H99">
        <f t="shared" si="18"/>
        <v>0</v>
      </c>
      <c r="I99">
        <f t="shared" si="19"/>
        <v>0</v>
      </c>
      <c r="J99">
        <f t="shared" si="20"/>
        <v>0</v>
      </c>
      <c r="K99">
        <f t="shared" si="21"/>
        <v>0</v>
      </c>
      <c r="L99">
        <f t="shared" si="14"/>
        <v>0</v>
      </c>
      <c r="M99">
        <f t="shared" si="14"/>
        <v>0</v>
      </c>
    </row>
    <row r="100" spans="1:13" x14ac:dyDescent="0.2">
      <c r="A100">
        <f t="shared" si="22"/>
        <v>33000000</v>
      </c>
      <c r="B100">
        <f t="shared" si="16"/>
        <v>0</v>
      </c>
      <c r="C100">
        <f t="shared" si="17"/>
        <v>0</v>
      </c>
      <c r="D100">
        <f t="shared" si="17"/>
        <v>0</v>
      </c>
      <c r="E100">
        <f t="shared" si="17"/>
        <v>0</v>
      </c>
      <c r="F100">
        <f t="shared" si="17"/>
        <v>0</v>
      </c>
      <c r="G100">
        <f t="shared" si="17"/>
        <v>0</v>
      </c>
      <c r="H100">
        <f t="shared" si="18"/>
        <v>0</v>
      </c>
      <c r="I100">
        <f t="shared" si="19"/>
        <v>0</v>
      </c>
      <c r="J100">
        <f t="shared" si="20"/>
        <v>0</v>
      </c>
      <c r="K100">
        <f t="shared" si="21"/>
        <v>0</v>
      </c>
      <c r="L100">
        <f t="shared" si="14"/>
        <v>0</v>
      </c>
      <c r="M100">
        <f t="shared" si="14"/>
        <v>0</v>
      </c>
    </row>
    <row r="101" spans="1:13" x14ac:dyDescent="0.2">
      <c r="A101">
        <f t="shared" si="22"/>
        <v>39000000</v>
      </c>
      <c r="B101">
        <f t="shared" si="16"/>
        <v>0</v>
      </c>
      <c r="C101">
        <f t="shared" si="17"/>
        <v>0</v>
      </c>
      <c r="D101">
        <f t="shared" si="17"/>
        <v>0</v>
      </c>
      <c r="E101">
        <f t="shared" si="17"/>
        <v>0</v>
      </c>
      <c r="F101">
        <f t="shared" si="17"/>
        <v>0</v>
      </c>
      <c r="G101">
        <f t="shared" si="17"/>
        <v>0</v>
      </c>
      <c r="H101">
        <f t="shared" si="18"/>
        <v>0</v>
      </c>
      <c r="I101">
        <f t="shared" si="19"/>
        <v>0</v>
      </c>
      <c r="J101">
        <f t="shared" si="20"/>
        <v>0</v>
      </c>
      <c r="K101">
        <f t="shared" si="21"/>
        <v>0</v>
      </c>
      <c r="L101">
        <f t="shared" si="14"/>
        <v>0</v>
      </c>
      <c r="M101">
        <f t="shared" si="14"/>
        <v>39000000</v>
      </c>
    </row>
    <row r="102" spans="1:13" x14ac:dyDescent="0.2">
      <c r="A102">
        <f t="shared" si="22"/>
        <v>47000000</v>
      </c>
      <c r="B102">
        <f t="shared" si="16"/>
        <v>0</v>
      </c>
      <c r="C102">
        <f t="shared" si="17"/>
        <v>0</v>
      </c>
      <c r="D102">
        <f t="shared" si="17"/>
        <v>0</v>
      </c>
      <c r="E102">
        <f t="shared" si="17"/>
        <v>0</v>
      </c>
      <c r="F102">
        <f t="shared" si="17"/>
        <v>0</v>
      </c>
      <c r="G102">
        <f t="shared" si="17"/>
        <v>0</v>
      </c>
      <c r="H102">
        <f t="shared" si="18"/>
        <v>0</v>
      </c>
      <c r="I102">
        <f t="shared" si="19"/>
        <v>0</v>
      </c>
      <c r="J102">
        <f t="shared" si="20"/>
        <v>0</v>
      </c>
      <c r="K102">
        <f t="shared" si="21"/>
        <v>0</v>
      </c>
      <c r="L102">
        <f t="shared" si="14"/>
        <v>0</v>
      </c>
      <c r="M102">
        <f t="shared" si="14"/>
        <v>0</v>
      </c>
    </row>
    <row r="103" spans="1:13" x14ac:dyDescent="0.2">
      <c r="A103">
        <f t="shared" si="22"/>
        <v>56000000</v>
      </c>
      <c r="B103">
        <f t="shared" si="16"/>
        <v>0</v>
      </c>
      <c r="C103">
        <f t="shared" si="17"/>
        <v>0</v>
      </c>
      <c r="D103">
        <f t="shared" si="17"/>
        <v>0</v>
      </c>
      <c r="E103">
        <f t="shared" ref="E103:F134" si="23">IF(IF((E$3*10^12-$A104)*(E$3*10^12-$A103)*-1&lt;0,0,1)*IF(ABS(E$3*10^12-$A104)&gt;(E$3*10^12-$A103),$A103,$A104)=E104,0,IF((E$3*10^12-$A104)*(E$3*10^12-$A103)*-1&lt;0,0,1)*IF(ABS(E$3*10^12-$A104)&gt;(E$3*10^12-$A103),$A103,$A104))</f>
        <v>0</v>
      </c>
      <c r="F103">
        <f t="shared" si="23"/>
        <v>0</v>
      </c>
      <c r="G103">
        <f t="shared" si="17"/>
        <v>0</v>
      </c>
      <c r="H103">
        <f t="shared" ref="H103:H134" si="24">IF(IF((H$3*10^12-$A104)*(H$3*10^12-$A103)*-1&lt;0,0,1)*IF(ABS(H$3*10^12-$A104)&gt;(H$3*10^12-$A103),$A103,$A104)=H104,0,IF((H$3*10^12-$A104)*(H$3*10^12-$A103)*-1&lt;0,0,1)*IF(ABS(H$3*10^12-$A104)&gt;(H$3*10^12-$A103),$A103,$A104))</f>
        <v>0</v>
      </c>
      <c r="I103">
        <f t="shared" ref="I103:I134" si="25">IF(IF((I$3*10^12-$A104)*(I$3*10^12-$A103)*-1&lt;0,0,1)*IF(ABS(I$3*10^12-$A104)&gt;(I$3*10^12-$A103),$A103,$A104)=I104,0,IF((I$3*10^12-$A104)*(I$3*10^12-$A103)*-1&lt;0,0,1)*IF(ABS(I$3*10^12-$A104)&gt;(I$3*10^12-$A103),$A103,$A104))</f>
        <v>0</v>
      </c>
      <c r="J103">
        <f t="shared" ref="J103:J134" si="26">IF(IF((J$3*10^12-$A104)*(J$3*10^12-$A103)*-1&lt;0,0,1)*IF(ABS(J$3*10^12-$A104)&gt;(J$3*10^12-$A103),$A103,$A104)=J104,0,IF((J$3*10^12-$A104)*(J$3*10^12-$A103)*-1&lt;0,0,1)*IF(ABS(J$3*10^12-$A104)&gt;(J$3*10^12-$A103),$A103,$A104))</f>
        <v>0</v>
      </c>
      <c r="K103">
        <f t="shared" ref="K103:K134" si="27">IF(IF((K$3*10^12-$A104)*(K$3*10^12-$A103)*-1&lt;0,0,1)*IF(ABS(K$3*10^12-$A104)&gt;(K$3*10^12-$A103),$A103,$A104)=K104,0,IF((K$3*10^12-$A104)*(K$3*10^12-$A103)*-1&lt;0,0,1)*IF(ABS(K$3*10^12-$A104)&gt;(K$3*10^12-$A103),$A103,$A104))</f>
        <v>0</v>
      </c>
      <c r="L103">
        <f t="shared" si="14"/>
        <v>0</v>
      </c>
      <c r="M103">
        <f t="shared" si="14"/>
        <v>0</v>
      </c>
    </row>
    <row r="104" spans="1:13" x14ac:dyDescent="0.2">
      <c r="A104">
        <f t="shared" si="22"/>
        <v>68000000</v>
      </c>
      <c r="B104">
        <f t="shared" si="16"/>
        <v>0</v>
      </c>
      <c r="C104">
        <f t="shared" si="17"/>
        <v>0</v>
      </c>
      <c r="D104">
        <f t="shared" si="17"/>
        <v>0</v>
      </c>
      <c r="E104">
        <f t="shared" si="23"/>
        <v>0</v>
      </c>
      <c r="F104">
        <f t="shared" si="23"/>
        <v>0</v>
      </c>
      <c r="G104">
        <f t="shared" si="17"/>
        <v>0</v>
      </c>
      <c r="H104">
        <f t="shared" si="24"/>
        <v>0</v>
      </c>
      <c r="I104">
        <f t="shared" si="25"/>
        <v>0</v>
      </c>
      <c r="J104">
        <f t="shared" si="26"/>
        <v>0</v>
      </c>
      <c r="K104">
        <f t="shared" si="27"/>
        <v>0</v>
      </c>
      <c r="L104">
        <f t="shared" si="14"/>
        <v>0</v>
      </c>
      <c r="M104">
        <f t="shared" si="14"/>
        <v>0</v>
      </c>
    </row>
    <row r="105" spans="1:13" x14ac:dyDescent="0.2">
      <c r="A105">
        <f t="shared" si="22"/>
        <v>82000000</v>
      </c>
      <c r="B105">
        <f t="shared" si="16"/>
        <v>0</v>
      </c>
      <c r="C105">
        <f t="shared" si="17"/>
        <v>0</v>
      </c>
      <c r="D105">
        <f t="shared" si="17"/>
        <v>0</v>
      </c>
      <c r="E105">
        <f t="shared" si="23"/>
        <v>0</v>
      </c>
      <c r="F105">
        <f t="shared" si="23"/>
        <v>0</v>
      </c>
      <c r="G105">
        <f t="shared" si="17"/>
        <v>0</v>
      </c>
      <c r="H105">
        <f t="shared" si="24"/>
        <v>0</v>
      </c>
      <c r="I105">
        <f t="shared" si="25"/>
        <v>0</v>
      </c>
      <c r="J105">
        <f t="shared" si="26"/>
        <v>0</v>
      </c>
      <c r="K105">
        <f t="shared" si="27"/>
        <v>0</v>
      </c>
      <c r="L105">
        <f t="shared" si="14"/>
        <v>0</v>
      </c>
      <c r="M105">
        <f t="shared" si="14"/>
        <v>0</v>
      </c>
    </row>
    <row r="106" spans="1:13" x14ac:dyDescent="0.2">
      <c r="A106">
        <f t="shared" si="22"/>
        <v>100000000</v>
      </c>
      <c r="B106">
        <f t="shared" si="16"/>
        <v>0</v>
      </c>
      <c r="C106">
        <f t="shared" si="17"/>
        <v>0</v>
      </c>
      <c r="D106">
        <f t="shared" si="17"/>
        <v>0</v>
      </c>
      <c r="E106">
        <f t="shared" si="23"/>
        <v>0</v>
      </c>
      <c r="F106">
        <f t="shared" si="23"/>
        <v>0</v>
      </c>
      <c r="G106">
        <f t="shared" si="17"/>
        <v>100000000</v>
      </c>
      <c r="H106">
        <f t="shared" si="24"/>
        <v>100000000</v>
      </c>
      <c r="I106">
        <f t="shared" si="25"/>
        <v>0</v>
      </c>
      <c r="J106">
        <f t="shared" si="26"/>
        <v>0</v>
      </c>
      <c r="K106">
        <f t="shared" si="27"/>
        <v>0</v>
      </c>
      <c r="L106">
        <f t="shared" si="14"/>
        <v>0</v>
      </c>
      <c r="M106">
        <f t="shared" si="14"/>
        <v>0</v>
      </c>
    </row>
    <row r="107" spans="1:13" x14ac:dyDescent="0.2">
      <c r="A107">
        <f t="shared" si="22"/>
        <v>120000000</v>
      </c>
      <c r="B107">
        <f t="shared" si="16"/>
        <v>0</v>
      </c>
      <c r="C107">
        <f t="shared" si="17"/>
        <v>0</v>
      </c>
      <c r="D107">
        <f t="shared" si="17"/>
        <v>0</v>
      </c>
      <c r="E107">
        <f t="shared" si="23"/>
        <v>0</v>
      </c>
      <c r="F107">
        <f t="shared" si="23"/>
        <v>0</v>
      </c>
      <c r="G107">
        <f t="shared" si="17"/>
        <v>0</v>
      </c>
      <c r="H107">
        <f t="shared" si="24"/>
        <v>0</v>
      </c>
      <c r="I107">
        <f t="shared" si="25"/>
        <v>0</v>
      </c>
      <c r="J107">
        <f t="shared" si="26"/>
        <v>0</v>
      </c>
      <c r="K107">
        <f t="shared" si="27"/>
        <v>0</v>
      </c>
      <c r="L107">
        <f t="shared" si="14"/>
        <v>0</v>
      </c>
      <c r="M107">
        <f t="shared" si="14"/>
        <v>0</v>
      </c>
    </row>
    <row r="108" spans="1:13" x14ac:dyDescent="0.2">
      <c r="A108">
        <f t="shared" si="22"/>
        <v>150000000</v>
      </c>
      <c r="B108">
        <f t="shared" si="16"/>
        <v>0</v>
      </c>
      <c r="C108">
        <f t="shared" si="17"/>
        <v>0</v>
      </c>
      <c r="D108">
        <f t="shared" si="17"/>
        <v>0</v>
      </c>
      <c r="E108">
        <f t="shared" si="23"/>
        <v>0</v>
      </c>
      <c r="F108">
        <f t="shared" si="23"/>
        <v>0</v>
      </c>
      <c r="G108">
        <f t="shared" si="17"/>
        <v>0</v>
      </c>
      <c r="H108">
        <f t="shared" si="24"/>
        <v>0</v>
      </c>
      <c r="I108">
        <f t="shared" si="25"/>
        <v>0</v>
      </c>
      <c r="J108">
        <f t="shared" si="26"/>
        <v>0</v>
      </c>
      <c r="K108">
        <f t="shared" si="27"/>
        <v>0</v>
      </c>
      <c r="L108">
        <f t="shared" si="14"/>
        <v>0</v>
      </c>
      <c r="M108">
        <f t="shared" si="14"/>
        <v>0</v>
      </c>
    </row>
    <row r="109" spans="1:13" x14ac:dyDescent="0.2">
      <c r="A109">
        <f t="shared" si="22"/>
        <v>180000000</v>
      </c>
      <c r="B109">
        <f t="shared" si="16"/>
        <v>0</v>
      </c>
      <c r="C109">
        <f t="shared" si="17"/>
        <v>0</v>
      </c>
      <c r="D109">
        <f t="shared" si="17"/>
        <v>0</v>
      </c>
      <c r="E109">
        <f t="shared" si="23"/>
        <v>0</v>
      </c>
      <c r="F109">
        <f t="shared" si="23"/>
        <v>0</v>
      </c>
      <c r="G109">
        <f t="shared" si="17"/>
        <v>0</v>
      </c>
      <c r="H109">
        <f t="shared" si="24"/>
        <v>0</v>
      </c>
      <c r="I109">
        <f t="shared" si="25"/>
        <v>0</v>
      </c>
      <c r="J109">
        <f t="shared" si="26"/>
        <v>0</v>
      </c>
      <c r="K109">
        <f t="shared" si="27"/>
        <v>0</v>
      </c>
      <c r="L109">
        <f t="shared" si="14"/>
        <v>0</v>
      </c>
      <c r="M109">
        <f t="shared" si="14"/>
        <v>0</v>
      </c>
    </row>
    <row r="110" spans="1:13" x14ac:dyDescent="0.2">
      <c r="A110">
        <f t="shared" si="22"/>
        <v>220000000</v>
      </c>
      <c r="B110">
        <f t="shared" si="16"/>
        <v>0</v>
      </c>
      <c r="C110">
        <f t="shared" si="17"/>
        <v>0</v>
      </c>
      <c r="D110">
        <f t="shared" si="17"/>
        <v>0</v>
      </c>
      <c r="E110">
        <f t="shared" si="23"/>
        <v>0</v>
      </c>
      <c r="F110">
        <f t="shared" si="23"/>
        <v>0</v>
      </c>
      <c r="G110">
        <f t="shared" si="17"/>
        <v>0</v>
      </c>
      <c r="H110">
        <f t="shared" si="24"/>
        <v>0</v>
      </c>
      <c r="I110">
        <f t="shared" si="25"/>
        <v>0</v>
      </c>
      <c r="J110">
        <f t="shared" si="26"/>
        <v>0</v>
      </c>
      <c r="K110">
        <f t="shared" si="27"/>
        <v>0</v>
      </c>
      <c r="L110">
        <f t="shared" si="14"/>
        <v>0</v>
      </c>
      <c r="M110">
        <f t="shared" si="14"/>
        <v>0</v>
      </c>
    </row>
    <row r="111" spans="1:13" x14ac:dyDescent="0.2">
      <c r="A111">
        <f t="shared" si="22"/>
        <v>270000000</v>
      </c>
      <c r="B111">
        <f t="shared" si="16"/>
        <v>0</v>
      </c>
      <c r="C111">
        <f t="shared" si="17"/>
        <v>0</v>
      </c>
      <c r="D111">
        <f t="shared" si="17"/>
        <v>0</v>
      </c>
      <c r="E111">
        <f t="shared" si="23"/>
        <v>0</v>
      </c>
      <c r="F111">
        <f t="shared" si="23"/>
        <v>0</v>
      </c>
      <c r="G111">
        <f t="shared" si="17"/>
        <v>0</v>
      </c>
      <c r="H111">
        <f t="shared" si="24"/>
        <v>0</v>
      </c>
      <c r="I111">
        <f t="shared" si="25"/>
        <v>0</v>
      </c>
      <c r="J111">
        <f t="shared" si="26"/>
        <v>0</v>
      </c>
      <c r="K111">
        <f t="shared" si="27"/>
        <v>0</v>
      </c>
      <c r="L111">
        <f t="shared" si="14"/>
        <v>0</v>
      </c>
      <c r="M111">
        <f t="shared" si="14"/>
        <v>0</v>
      </c>
    </row>
    <row r="112" spans="1:13" x14ac:dyDescent="0.2">
      <c r="A112">
        <f t="shared" si="22"/>
        <v>330000000</v>
      </c>
      <c r="B112">
        <f t="shared" si="16"/>
        <v>0</v>
      </c>
      <c r="C112">
        <f t="shared" si="17"/>
        <v>0</v>
      </c>
      <c r="D112">
        <f t="shared" si="17"/>
        <v>0</v>
      </c>
      <c r="E112">
        <f t="shared" si="23"/>
        <v>0</v>
      </c>
      <c r="F112">
        <f t="shared" si="23"/>
        <v>0</v>
      </c>
      <c r="G112">
        <f t="shared" si="17"/>
        <v>0</v>
      </c>
      <c r="H112">
        <f t="shared" si="24"/>
        <v>0</v>
      </c>
      <c r="I112">
        <f t="shared" si="25"/>
        <v>0</v>
      </c>
      <c r="J112">
        <f t="shared" si="26"/>
        <v>0</v>
      </c>
      <c r="K112">
        <f t="shared" si="27"/>
        <v>0</v>
      </c>
      <c r="L112">
        <f t="shared" si="14"/>
        <v>0</v>
      </c>
      <c r="M112">
        <f t="shared" si="14"/>
        <v>0</v>
      </c>
    </row>
    <row r="113" spans="1:13" x14ac:dyDescent="0.2">
      <c r="A113">
        <f t="shared" si="22"/>
        <v>390000000</v>
      </c>
      <c r="B113">
        <f t="shared" si="16"/>
        <v>0</v>
      </c>
      <c r="C113">
        <f t="shared" si="17"/>
        <v>0</v>
      </c>
      <c r="D113">
        <f t="shared" si="17"/>
        <v>0</v>
      </c>
      <c r="E113">
        <f t="shared" si="23"/>
        <v>0</v>
      </c>
      <c r="F113">
        <f t="shared" si="23"/>
        <v>0</v>
      </c>
      <c r="G113">
        <f t="shared" si="17"/>
        <v>0</v>
      </c>
      <c r="H113">
        <f t="shared" si="24"/>
        <v>0</v>
      </c>
      <c r="I113">
        <f t="shared" si="25"/>
        <v>0</v>
      </c>
      <c r="J113">
        <f t="shared" si="26"/>
        <v>0</v>
      </c>
      <c r="K113">
        <f t="shared" si="27"/>
        <v>0</v>
      </c>
      <c r="L113">
        <f t="shared" si="14"/>
        <v>0</v>
      </c>
      <c r="M113">
        <f t="shared" si="14"/>
        <v>0</v>
      </c>
    </row>
    <row r="114" spans="1:13" x14ac:dyDescent="0.2">
      <c r="A114">
        <f t="shared" si="22"/>
        <v>470000000</v>
      </c>
      <c r="B114">
        <f t="shared" si="16"/>
        <v>0</v>
      </c>
      <c r="C114">
        <f t="shared" si="17"/>
        <v>0</v>
      </c>
      <c r="D114">
        <f t="shared" si="17"/>
        <v>0</v>
      </c>
      <c r="E114">
        <f t="shared" si="23"/>
        <v>0</v>
      </c>
      <c r="F114">
        <f t="shared" si="23"/>
        <v>0</v>
      </c>
      <c r="G114">
        <f t="shared" si="17"/>
        <v>0</v>
      </c>
      <c r="H114">
        <f t="shared" si="24"/>
        <v>0</v>
      </c>
      <c r="I114">
        <f t="shared" si="25"/>
        <v>0</v>
      </c>
      <c r="J114">
        <f t="shared" si="26"/>
        <v>0</v>
      </c>
      <c r="K114">
        <f t="shared" si="27"/>
        <v>0</v>
      </c>
      <c r="L114">
        <f t="shared" si="14"/>
        <v>0</v>
      </c>
      <c r="M114">
        <f t="shared" si="14"/>
        <v>0</v>
      </c>
    </row>
    <row r="115" spans="1:13" x14ac:dyDescent="0.2">
      <c r="A115">
        <f t="shared" si="22"/>
        <v>560000000</v>
      </c>
      <c r="B115">
        <f t="shared" si="16"/>
        <v>0</v>
      </c>
      <c r="C115">
        <f t="shared" si="17"/>
        <v>0</v>
      </c>
      <c r="D115">
        <f t="shared" si="17"/>
        <v>0</v>
      </c>
      <c r="E115">
        <f t="shared" si="23"/>
        <v>0</v>
      </c>
      <c r="F115">
        <f t="shared" si="23"/>
        <v>0</v>
      </c>
      <c r="G115">
        <f t="shared" si="17"/>
        <v>0</v>
      </c>
      <c r="H115">
        <f t="shared" si="24"/>
        <v>0</v>
      </c>
      <c r="I115">
        <f t="shared" si="25"/>
        <v>0</v>
      </c>
      <c r="J115">
        <f t="shared" si="26"/>
        <v>0</v>
      </c>
      <c r="K115">
        <f t="shared" si="27"/>
        <v>0</v>
      </c>
      <c r="L115">
        <f t="shared" si="14"/>
        <v>0</v>
      </c>
      <c r="M115">
        <f t="shared" si="14"/>
        <v>0</v>
      </c>
    </row>
    <row r="116" spans="1:13" x14ac:dyDescent="0.2">
      <c r="A116">
        <f t="shared" si="22"/>
        <v>680000000</v>
      </c>
      <c r="B116">
        <f t="shared" si="16"/>
        <v>0</v>
      </c>
      <c r="C116">
        <f t="shared" si="17"/>
        <v>0</v>
      </c>
      <c r="D116">
        <f t="shared" si="17"/>
        <v>0</v>
      </c>
      <c r="E116">
        <f t="shared" si="23"/>
        <v>0</v>
      </c>
      <c r="F116">
        <f t="shared" si="23"/>
        <v>0</v>
      </c>
      <c r="G116">
        <f t="shared" si="17"/>
        <v>0</v>
      </c>
      <c r="H116">
        <f t="shared" si="24"/>
        <v>0</v>
      </c>
      <c r="I116">
        <f t="shared" si="25"/>
        <v>0</v>
      </c>
      <c r="J116">
        <f t="shared" si="26"/>
        <v>0</v>
      </c>
      <c r="K116">
        <f t="shared" si="27"/>
        <v>0</v>
      </c>
      <c r="L116">
        <f t="shared" si="14"/>
        <v>0</v>
      </c>
      <c r="M116">
        <f t="shared" si="14"/>
        <v>0</v>
      </c>
    </row>
    <row r="117" spans="1:13" x14ac:dyDescent="0.2">
      <c r="A117">
        <f t="shared" si="22"/>
        <v>820000000</v>
      </c>
      <c r="B117">
        <f t="shared" si="16"/>
        <v>0</v>
      </c>
      <c r="C117">
        <f t="shared" si="17"/>
        <v>0</v>
      </c>
      <c r="D117">
        <f t="shared" si="17"/>
        <v>0</v>
      </c>
      <c r="E117">
        <f t="shared" si="23"/>
        <v>0</v>
      </c>
      <c r="F117">
        <f t="shared" si="23"/>
        <v>0</v>
      </c>
      <c r="G117">
        <f t="shared" si="17"/>
        <v>0</v>
      </c>
      <c r="H117">
        <f t="shared" si="24"/>
        <v>0</v>
      </c>
      <c r="I117">
        <f t="shared" si="25"/>
        <v>0</v>
      </c>
      <c r="J117">
        <f t="shared" si="26"/>
        <v>0</v>
      </c>
      <c r="K117">
        <f t="shared" si="27"/>
        <v>0</v>
      </c>
      <c r="L117">
        <f t="shared" si="14"/>
        <v>0</v>
      </c>
      <c r="M117">
        <f t="shared" si="14"/>
        <v>0</v>
      </c>
    </row>
    <row r="118" spans="1:13" x14ac:dyDescent="0.2">
      <c r="A118">
        <f t="shared" si="22"/>
        <v>1000000000</v>
      </c>
      <c r="B118">
        <f t="shared" si="16"/>
        <v>0</v>
      </c>
      <c r="C118">
        <f t="shared" si="17"/>
        <v>0</v>
      </c>
      <c r="D118">
        <f t="shared" si="17"/>
        <v>0</v>
      </c>
      <c r="E118">
        <f t="shared" si="23"/>
        <v>0</v>
      </c>
      <c r="F118">
        <f t="shared" si="23"/>
        <v>0</v>
      </c>
      <c r="G118">
        <f t="shared" si="17"/>
        <v>0</v>
      </c>
      <c r="H118">
        <f t="shared" si="24"/>
        <v>0</v>
      </c>
      <c r="I118">
        <f t="shared" si="25"/>
        <v>0</v>
      </c>
      <c r="J118">
        <f t="shared" si="26"/>
        <v>0</v>
      </c>
      <c r="K118">
        <f t="shared" si="27"/>
        <v>0</v>
      </c>
      <c r="L118">
        <f t="shared" si="14"/>
        <v>0</v>
      </c>
      <c r="M118">
        <f t="shared" si="14"/>
        <v>0</v>
      </c>
    </row>
    <row r="119" spans="1:13" x14ac:dyDescent="0.2">
      <c r="A119">
        <f t="shared" si="22"/>
        <v>1200000000</v>
      </c>
      <c r="B119">
        <f t="shared" si="16"/>
        <v>0</v>
      </c>
      <c r="C119">
        <f t="shared" si="17"/>
        <v>0</v>
      </c>
      <c r="D119">
        <f t="shared" si="17"/>
        <v>0</v>
      </c>
      <c r="E119">
        <f t="shared" si="23"/>
        <v>0</v>
      </c>
      <c r="F119">
        <f t="shared" si="23"/>
        <v>0</v>
      </c>
      <c r="G119">
        <f t="shared" si="17"/>
        <v>0</v>
      </c>
      <c r="H119">
        <f t="shared" si="24"/>
        <v>0</v>
      </c>
      <c r="I119">
        <f t="shared" si="25"/>
        <v>0</v>
      </c>
      <c r="J119">
        <f t="shared" si="26"/>
        <v>0</v>
      </c>
      <c r="K119">
        <f t="shared" si="27"/>
        <v>0</v>
      </c>
      <c r="L119">
        <f t="shared" si="14"/>
        <v>0</v>
      </c>
      <c r="M119">
        <f t="shared" si="14"/>
        <v>0</v>
      </c>
    </row>
    <row r="120" spans="1:13" x14ac:dyDescent="0.2">
      <c r="A120">
        <f t="shared" si="22"/>
        <v>1500000000</v>
      </c>
      <c r="B120">
        <f t="shared" si="16"/>
        <v>0</v>
      </c>
      <c r="C120">
        <f t="shared" si="17"/>
        <v>0</v>
      </c>
      <c r="D120">
        <f t="shared" si="17"/>
        <v>0</v>
      </c>
      <c r="E120">
        <f t="shared" si="23"/>
        <v>0</v>
      </c>
      <c r="F120">
        <f t="shared" si="23"/>
        <v>0</v>
      </c>
      <c r="G120">
        <f t="shared" si="17"/>
        <v>0</v>
      </c>
      <c r="H120">
        <f t="shared" si="24"/>
        <v>0</v>
      </c>
      <c r="I120">
        <f t="shared" si="25"/>
        <v>0</v>
      </c>
      <c r="J120">
        <f t="shared" si="26"/>
        <v>0</v>
      </c>
      <c r="K120">
        <f t="shared" si="27"/>
        <v>0</v>
      </c>
      <c r="L120">
        <f t="shared" si="14"/>
        <v>0</v>
      </c>
      <c r="M120">
        <f t="shared" si="14"/>
        <v>0</v>
      </c>
    </row>
    <row r="121" spans="1:13" x14ac:dyDescent="0.2">
      <c r="A121">
        <f t="shared" si="22"/>
        <v>1800000000</v>
      </c>
      <c r="B121">
        <f t="shared" si="16"/>
        <v>0</v>
      </c>
      <c r="C121">
        <f t="shared" si="17"/>
        <v>0</v>
      </c>
      <c r="D121">
        <f t="shared" si="17"/>
        <v>0</v>
      </c>
      <c r="E121">
        <f t="shared" si="23"/>
        <v>0</v>
      </c>
      <c r="F121">
        <f t="shared" si="23"/>
        <v>0</v>
      </c>
      <c r="G121">
        <f t="shared" si="17"/>
        <v>0</v>
      </c>
      <c r="H121">
        <f t="shared" si="24"/>
        <v>0</v>
      </c>
      <c r="I121">
        <f t="shared" si="25"/>
        <v>0</v>
      </c>
      <c r="J121">
        <f t="shared" si="26"/>
        <v>0</v>
      </c>
      <c r="K121">
        <f t="shared" si="27"/>
        <v>0</v>
      </c>
      <c r="L121">
        <f t="shared" si="14"/>
        <v>0</v>
      </c>
      <c r="M121">
        <f t="shared" si="14"/>
        <v>0</v>
      </c>
    </row>
    <row r="122" spans="1:13" x14ac:dyDescent="0.2">
      <c r="A122">
        <f t="shared" si="22"/>
        <v>2200000000</v>
      </c>
      <c r="B122">
        <f t="shared" si="16"/>
        <v>0</v>
      </c>
      <c r="C122">
        <f t="shared" si="17"/>
        <v>0</v>
      </c>
      <c r="D122">
        <f t="shared" si="17"/>
        <v>0</v>
      </c>
      <c r="E122">
        <f t="shared" si="23"/>
        <v>0</v>
      </c>
      <c r="F122">
        <f t="shared" si="23"/>
        <v>0</v>
      </c>
      <c r="G122">
        <f t="shared" si="17"/>
        <v>0</v>
      </c>
      <c r="H122">
        <f t="shared" si="24"/>
        <v>0</v>
      </c>
      <c r="I122">
        <f t="shared" si="25"/>
        <v>0</v>
      </c>
      <c r="J122">
        <f t="shared" si="26"/>
        <v>0</v>
      </c>
      <c r="K122">
        <f t="shared" si="27"/>
        <v>0</v>
      </c>
      <c r="L122">
        <f t="shared" si="14"/>
        <v>0</v>
      </c>
      <c r="M122">
        <f t="shared" si="14"/>
        <v>0</v>
      </c>
    </row>
    <row r="123" spans="1:13" x14ac:dyDescent="0.2">
      <c r="A123">
        <f t="shared" si="22"/>
        <v>2700000000</v>
      </c>
      <c r="B123">
        <f t="shared" si="16"/>
        <v>0</v>
      </c>
      <c r="C123">
        <f t="shared" si="17"/>
        <v>0</v>
      </c>
      <c r="D123">
        <f t="shared" si="17"/>
        <v>0</v>
      </c>
      <c r="E123">
        <f t="shared" si="23"/>
        <v>0</v>
      </c>
      <c r="F123">
        <f t="shared" si="23"/>
        <v>0</v>
      </c>
      <c r="G123">
        <f t="shared" si="17"/>
        <v>0</v>
      </c>
      <c r="H123">
        <f t="shared" si="24"/>
        <v>0</v>
      </c>
      <c r="I123">
        <f t="shared" si="25"/>
        <v>0</v>
      </c>
      <c r="J123">
        <f t="shared" si="26"/>
        <v>0</v>
      </c>
      <c r="K123">
        <f t="shared" si="27"/>
        <v>0</v>
      </c>
      <c r="L123">
        <f t="shared" si="14"/>
        <v>0</v>
      </c>
      <c r="M123">
        <f t="shared" si="14"/>
        <v>0</v>
      </c>
    </row>
    <row r="124" spans="1:13" x14ac:dyDescent="0.2">
      <c r="A124">
        <f t="shared" si="22"/>
        <v>3300000000</v>
      </c>
      <c r="B124">
        <f t="shared" si="16"/>
        <v>0</v>
      </c>
      <c r="C124">
        <f t="shared" si="17"/>
        <v>0</v>
      </c>
      <c r="D124">
        <f t="shared" si="17"/>
        <v>0</v>
      </c>
      <c r="E124">
        <f t="shared" si="23"/>
        <v>0</v>
      </c>
      <c r="F124">
        <f t="shared" si="23"/>
        <v>0</v>
      </c>
      <c r="G124">
        <f t="shared" si="17"/>
        <v>0</v>
      </c>
      <c r="H124">
        <f t="shared" si="24"/>
        <v>0</v>
      </c>
      <c r="I124">
        <f t="shared" si="25"/>
        <v>0</v>
      </c>
      <c r="J124">
        <f t="shared" si="26"/>
        <v>0</v>
      </c>
      <c r="K124">
        <f t="shared" si="27"/>
        <v>0</v>
      </c>
      <c r="L124">
        <f t="shared" si="14"/>
        <v>0</v>
      </c>
      <c r="M124">
        <f t="shared" si="14"/>
        <v>0</v>
      </c>
    </row>
    <row r="125" spans="1:13" x14ac:dyDescent="0.2">
      <c r="A125">
        <f t="shared" si="22"/>
        <v>3900000000</v>
      </c>
      <c r="B125">
        <f t="shared" si="16"/>
        <v>0</v>
      </c>
      <c r="C125">
        <f t="shared" si="17"/>
        <v>0</v>
      </c>
      <c r="D125">
        <f t="shared" si="17"/>
        <v>0</v>
      </c>
      <c r="E125">
        <f t="shared" si="23"/>
        <v>0</v>
      </c>
      <c r="F125">
        <f t="shared" si="23"/>
        <v>0</v>
      </c>
      <c r="G125">
        <f t="shared" si="17"/>
        <v>0</v>
      </c>
      <c r="H125">
        <f t="shared" si="24"/>
        <v>0</v>
      </c>
      <c r="I125">
        <f t="shared" si="25"/>
        <v>0</v>
      </c>
      <c r="J125">
        <f t="shared" si="26"/>
        <v>0</v>
      </c>
      <c r="K125">
        <f t="shared" si="27"/>
        <v>0</v>
      </c>
      <c r="L125">
        <f t="shared" si="14"/>
        <v>0</v>
      </c>
      <c r="M125">
        <f t="shared" si="14"/>
        <v>0</v>
      </c>
    </row>
    <row r="126" spans="1:13" x14ac:dyDescent="0.2">
      <c r="A126">
        <f t="shared" si="22"/>
        <v>4700000000</v>
      </c>
      <c r="B126">
        <f t="shared" si="16"/>
        <v>0</v>
      </c>
      <c r="C126">
        <f t="shared" si="17"/>
        <v>0</v>
      </c>
      <c r="D126">
        <f t="shared" si="17"/>
        <v>0</v>
      </c>
      <c r="E126">
        <f t="shared" si="23"/>
        <v>0</v>
      </c>
      <c r="F126">
        <f t="shared" si="23"/>
        <v>0</v>
      </c>
      <c r="G126">
        <f t="shared" si="17"/>
        <v>0</v>
      </c>
      <c r="H126">
        <f t="shared" si="24"/>
        <v>0</v>
      </c>
      <c r="I126">
        <f t="shared" si="25"/>
        <v>0</v>
      </c>
      <c r="J126">
        <f t="shared" si="26"/>
        <v>0</v>
      </c>
      <c r="K126">
        <f t="shared" si="27"/>
        <v>0</v>
      </c>
      <c r="L126">
        <f t="shared" si="14"/>
        <v>0</v>
      </c>
      <c r="M126">
        <f t="shared" si="14"/>
        <v>0</v>
      </c>
    </row>
    <row r="127" spans="1:13" x14ac:dyDescent="0.2">
      <c r="A127">
        <f t="shared" si="22"/>
        <v>5600000000</v>
      </c>
      <c r="B127">
        <f t="shared" si="16"/>
        <v>0</v>
      </c>
      <c r="C127">
        <f t="shared" si="17"/>
        <v>0</v>
      </c>
      <c r="D127">
        <f t="shared" si="17"/>
        <v>0</v>
      </c>
      <c r="E127">
        <f t="shared" si="23"/>
        <v>0</v>
      </c>
      <c r="F127">
        <f t="shared" si="23"/>
        <v>0</v>
      </c>
      <c r="G127">
        <f t="shared" si="17"/>
        <v>0</v>
      </c>
      <c r="H127">
        <f t="shared" si="24"/>
        <v>0</v>
      </c>
      <c r="I127">
        <f t="shared" si="25"/>
        <v>0</v>
      </c>
      <c r="J127">
        <f t="shared" si="26"/>
        <v>0</v>
      </c>
      <c r="K127">
        <f t="shared" si="27"/>
        <v>0</v>
      </c>
      <c r="L127">
        <f t="shared" si="14"/>
        <v>0</v>
      </c>
      <c r="M127">
        <f t="shared" si="14"/>
        <v>0</v>
      </c>
    </row>
    <row r="128" spans="1:13" x14ac:dyDescent="0.2">
      <c r="A128">
        <f t="shared" si="22"/>
        <v>6800000000</v>
      </c>
      <c r="B128">
        <f t="shared" si="16"/>
        <v>0</v>
      </c>
      <c r="C128">
        <f t="shared" si="17"/>
        <v>0</v>
      </c>
      <c r="D128">
        <f t="shared" si="17"/>
        <v>0</v>
      </c>
      <c r="E128">
        <f t="shared" si="23"/>
        <v>0</v>
      </c>
      <c r="F128">
        <f t="shared" si="23"/>
        <v>0</v>
      </c>
      <c r="G128">
        <f t="shared" si="17"/>
        <v>0</v>
      </c>
      <c r="H128">
        <f t="shared" si="24"/>
        <v>0</v>
      </c>
      <c r="I128">
        <f t="shared" si="25"/>
        <v>0</v>
      </c>
      <c r="J128">
        <f t="shared" si="26"/>
        <v>0</v>
      </c>
      <c r="K128">
        <f t="shared" si="27"/>
        <v>0</v>
      </c>
      <c r="L128">
        <f t="shared" si="14"/>
        <v>0</v>
      </c>
      <c r="M128">
        <f t="shared" si="14"/>
        <v>0</v>
      </c>
    </row>
    <row r="129" spans="1:13" x14ac:dyDescent="0.2">
      <c r="A129">
        <f t="shared" si="22"/>
        <v>8200000000</v>
      </c>
      <c r="B129">
        <f t="shared" si="16"/>
        <v>0</v>
      </c>
      <c r="C129">
        <f t="shared" si="17"/>
        <v>0</v>
      </c>
      <c r="D129">
        <f t="shared" si="17"/>
        <v>0</v>
      </c>
      <c r="E129">
        <f t="shared" si="23"/>
        <v>0</v>
      </c>
      <c r="F129">
        <f t="shared" si="23"/>
        <v>0</v>
      </c>
      <c r="G129">
        <f t="shared" si="17"/>
        <v>0</v>
      </c>
      <c r="H129">
        <f t="shared" si="24"/>
        <v>0</v>
      </c>
      <c r="I129">
        <f t="shared" si="25"/>
        <v>0</v>
      </c>
      <c r="J129">
        <f t="shared" si="26"/>
        <v>0</v>
      </c>
      <c r="K129">
        <f t="shared" si="27"/>
        <v>0</v>
      </c>
      <c r="L129">
        <f t="shared" si="14"/>
        <v>0</v>
      </c>
      <c r="M129">
        <f t="shared" si="14"/>
        <v>0</v>
      </c>
    </row>
    <row r="130" spans="1:13" x14ac:dyDescent="0.2">
      <c r="A130">
        <f t="shared" si="22"/>
        <v>10000000000</v>
      </c>
      <c r="B130">
        <f t="shared" si="16"/>
        <v>0</v>
      </c>
      <c r="C130">
        <f t="shared" si="17"/>
        <v>0</v>
      </c>
      <c r="D130">
        <f t="shared" si="17"/>
        <v>0</v>
      </c>
      <c r="E130">
        <f t="shared" si="23"/>
        <v>0</v>
      </c>
      <c r="F130">
        <f t="shared" si="23"/>
        <v>0</v>
      </c>
      <c r="G130">
        <f t="shared" si="17"/>
        <v>0</v>
      </c>
      <c r="H130">
        <f t="shared" si="24"/>
        <v>0</v>
      </c>
      <c r="I130">
        <f t="shared" si="25"/>
        <v>0</v>
      </c>
      <c r="J130">
        <f t="shared" si="26"/>
        <v>0</v>
      </c>
      <c r="K130">
        <f t="shared" si="27"/>
        <v>0</v>
      </c>
      <c r="L130">
        <f t="shared" si="14"/>
        <v>0</v>
      </c>
      <c r="M130">
        <f t="shared" si="14"/>
        <v>0</v>
      </c>
    </row>
    <row r="131" spans="1:13" x14ac:dyDescent="0.2">
      <c r="A131">
        <f t="shared" si="22"/>
        <v>12000000000</v>
      </c>
      <c r="B131">
        <f t="shared" si="16"/>
        <v>0</v>
      </c>
      <c r="C131">
        <f t="shared" si="17"/>
        <v>0</v>
      </c>
      <c r="D131">
        <f t="shared" si="17"/>
        <v>0</v>
      </c>
      <c r="E131">
        <f t="shared" si="23"/>
        <v>0</v>
      </c>
      <c r="F131">
        <f t="shared" si="23"/>
        <v>0</v>
      </c>
      <c r="G131">
        <f t="shared" si="17"/>
        <v>0</v>
      </c>
      <c r="H131">
        <f t="shared" si="24"/>
        <v>0</v>
      </c>
      <c r="I131">
        <f t="shared" si="25"/>
        <v>0</v>
      </c>
      <c r="J131">
        <f t="shared" si="26"/>
        <v>0</v>
      </c>
      <c r="K131">
        <f t="shared" si="27"/>
        <v>0</v>
      </c>
      <c r="L131">
        <f t="shared" si="14"/>
        <v>0</v>
      </c>
      <c r="M131">
        <f t="shared" si="14"/>
        <v>0</v>
      </c>
    </row>
    <row r="132" spans="1:13" x14ac:dyDescent="0.2">
      <c r="A132">
        <f t="shared" si="22"/>
        <v>15000000000</v>
      </c>
      <c r="B132">
        <f t="shared" si="16"/>
        <v>0</v>
      </c>
      <c r="C132">
        <f t="shared" si="17"/>
        <v>0</v>
      </c>
      <c r="D132">
        <f t="shared" si="17"/>
        <v>0</v>
      </c>
      <c r="E132">
        <f t="shared" si="23"/>
        <v>0</v>
      </c>
      <c r="F132">
        <f t="shared" si="23"/>
        <v>0</v>
      </c>
      <c r="G132">
        <f t="shared" si="17"/>
        <v>0</v>
      </c>
      <c r="H132">
        <f t="shared" si="24"/>
        <v>0</v>
      </c>
      <c r="I132">
        <f t="shared" si="25"/>
        <v>0</v>
      </c>
      <c r="J132">
        <f t="shared" si="26"/>
        <v>0</v>
      </c>
      <c r="K132">
        <f t="shared" si="27"/>
        <v>0</v>
      </c>
      <c r="L132">
        <f t="shared" si="14"/>
        <v>0</v>
      </c>
      <c r="M132">
        <f t="shared" si="14"/>
        <v>0</v>
      </c>
    </row>
    <row r="133" spans="1:13" x14ac:dyDescent="0.2">
      <c r="A133">
        <f t="shared" si="22"/>
        <v>18000000000</v>
      </c>
      <c r="B133">
        <f t="shared" si="16"/>
        <v>0</v>
      </c>
      <c r="C133">
        <f t="shared" si="17"/>
        <v>0</v>
      </c>
      <c r="D133">
        <f t="shared" si="17"/>
        <v>0</v>
      </c>
      <c r="E133">
        <f t="shared" si="23"/>
        <v>0</v>
      </c>
      <c r="F133">
        <f t="shared" si="23"/>
        <v>0</v>
      </c>
      <c r="G133">
        <f t="shared" si="17"/>
        <v>0</v>
      </c>
      <c r="H133">
        <f t="shared" si="24"/>
        <v>0</v>
      </c>
      <c r="I133">
        <f t="shared" si="25"/>
        <v>0</v>
      </c>
      <c r="J133">
        <f t="shared" si="26"/>
        <v>0</v>
      </c>
      <c r="K133">
        <f t="shared" si="27"/>
        <v>0</v>
      </c>
      <c r="L133">
        <f>IF(IF((L$3*10^12-$A134)*(L$3*10^12-$A133)*-1&lt;0,0,1)*IF(ABS(L$3*10^12-$A134)&gt;(L$3*10^12-$A133),$A133,$A134)=L134,0,IF((L$3*10^12-$A134)*(L$3*10^12-$A133)*-1&lt;0,0,1)*IF(ABS(L$3*10^12-$A134)&gt;(L$3*10^12-$A133),$A133,$A134))</f>
        <v>0</v>
      </c>
      <c r="M133">
        <f>IF(IF((M$3*10^12-$A134)*(M$3*10^12-$A133)*-1&lt;0,0,1)*IF(ABS(M$3*10^12-$A134)&gt;(M$3*10^12-$A133),$A133,$A134)=M134,0,IF((M$3*10^12-$A134)*(M$3*10^12-$A133)*-1&lt;0,0,1)*IF(ABS(M$3*10^12-$A134)&gt;(M$3*10^12-$A133),$A133,$A134))</f>
        <v>0</v>
      </c>
    </row>
    <row r="134" spans="1:13" x14ac:dyDescent="0.2">
      <c r="A134">
        <f t="shared" si="22"/>
        <v>22000000000</v>
      </c>
      <c r="B134">
        <f t="shared" si="16"/>
        <v>0</v>
      </c>
      <c r="C134">
        <f t="shared" si="17"/>
        <v>0</v>
      </c>
      <c r="D134">
        <f t="shared" si="17"/>
        <v>0</v>
      </c>
      <c r="E134">
        <f t="shared" si="23"/>
        <v>0</v>
      </c>
      <c r="F134">
        <f t="shared" si="23"/>
        <v>0</v>
      </c>
      <c r="G134">
        <f t="shared" ref="G134:M159" si="28">IF(IF((G$3*10^12-$A135)*(G$3*10^12-$A134)*-1&lt;0,0,1)*IF(ABS(G$3*10^12-$A135)&gt;(G$3*10^12-$A134),$A134,$A135)=G135,0,IF((G$3*10^12-$A135)*(G$3*10^12-$A134)*-1&lt;0,0,1)*IF(ABS(G$3*10^12-$A135)&gt;(G$3*10^12-$A134),$A134,$A135))</f>
        <v>0</v>
      </c>
      <c r="H134">
        <f t="shared" si="24"/>
        <v>0</v>
      </c>
      <c r="I134">
        <f t="shared" si="25"/>
        <v>0</v>
      </c>
      <c r="J134">
        <f t="shared" si="26"/>
        <v>0</v>
      </c>
      <c r="K134">
        <f t="shared" si="27"/>
        <v>0</v>
      </c>
      <c r="L134">
        <f>IF(IF((L$3*10^12-$A135)*(L$3*10^12-$A134)*-1&lt;0,0,1)*IF(ABS(L$3*10^12-$A135)&gt;(L$3*10^12-$A134),$A134,$A135)=L135,0,IF((L$3*10^12-$A135)*(L$3*10^12-$A134)*-1&lt;0,0,1)*IF(ABS(L$3*10^12-$A135)&gt;(L$3*10^12-$A134),$A134,$A135))</f>
        <v>0</v>
      </c>
      <c r="M134">
        <f>IF(IF((M$3*10^12-$A135)*(M$3*10^12-$A134)*-1&lt;0,0,1)*IF(ABS(M$3*10^12-$A135)&gt;(M$3*10^12-$A134),$A134,$A135)=M135,0,IF((M$3*10^12-$A135)*(M$3*10^12-$A134)*-1&lt;0,0,1)*IF(ABS(M$3*10^12-$A135)&gt;(M$3*10^12-$A134),$A134,$A135))</f>
        <v>0</v>
      </c>
    </row>
    <row r="135" spans="1:13" x14ac:dyDescent="0.2">
      <c r="A135">
        <f t="shared" si="22"/>
        <v>27000000000</v>
      </c>
      <c r="B135">
        <f t="shared" ref="B135:B159" si="29">IF(IF((B$3*10^12-$A136)*(B$3*10^12-$A135)*-1&lt;0,0,1)*IF(ABS(B$3*10^12-$A136)&gt;(B$3*10^12-$A135),$A135,$A136)=B136,0,IF((B$3*10^12-$A136)*(B$3*10^12-$A135)*-1&lt;0,0,1)*IF(ABS(B$3*10^12-$A136)&gt;(B$3*10^12-$A135),$A135,$A136))</f>
        <v>0</v>
      </c>
      <c r="C135">
        <f t="shared" ref="C135:F159" si="30">IF(IF((C$3*10^12-$A136)*(C$3*10^12-$A135)*-1&lt;0,0,1)*IF(ABS(C$3*10^12-$A136)&gt;(C$3*10^12-$A135),$A135,$A136)=C136,0,IF((C$3*10^12-$A136)*(C$3*10^12-$A135)*-1&lt;0,0,1)*IF(ABS(C$3*10^12-$A136)&gt;(C$3*10^12-$A135),$A135,$A136))</f>
        <v>0</v>
      </c>
      <c r="D135">
        <f t="shared" si="30"/>
        <v>0</v>
      </c>
      <c r="E135">
        <f t="shared" si="30"/>
        <v>0</v>
      </c>
      <c r="F135">
        <f t="shared" si="30"/>
        <v>0</v>
      </c>
      <c r="G135">
        <f t="shared" si="28"/>
        <v>0</v>
      </c>
      <c r="H135">
        <f t="shared" si="28"/>
        <v>0</v>
      </c>
      <c r="I135">
        <f t="shared" si="28"/>
        <v>0</v>
      </c>
      <c r="J135">
        <f t="shared" si="28"/>
        <v>0</v>
      </c>
      <c r="K135">
        <f t="shared" si="28"/>
        <v>0</v>
      </c>
      <c r="L135">
        <f t="shared" si="28"/>
        <v>0</v>
      </c>
      <c r="M135">
        <f t="shared" si="28"/>
        <v>0</v>
      </c>
    </row>
    <row r="136" spans="1:13" x14ac:dyDescent="0.2">
      <c r="A136">
        <f t="shared" si="22"/>
        <v>33000000000</v>
      </c>
      <c r="B136">
        <f t="shared" si="29"/>
        <v>0</v>
      </c>
      <c r="C136">
        <f t="shared" si="30"/>
        <v>0</v>
      </c>
      <c r="D136">
        <f t="shared" si="30"/>
        <v>0</v>
      </c>
      <c r="E136">
        <f t="shared" si="30"/>
        <v>0</v>
      </c>
      <c r="F136">
        <f t="shared" si="30"/>
        <v>0</v>
      </c>
      <c r="G136">
        <f t="shared" si="28"/>
        <v>0</v>
      </c>
      <c r="H136">
        <f t="shared" si="28"/>
        <v>0</v>
      </c>
      <c r="I136">
        <f t="shared" si="28"/>
        <v>0</v>
      </c>
      <c r="J136">
        <f t="shared" si="28"/>
        <v>0</v>
      </c>
      <c r="K136">
        <f t="shared" si="28"/>
        <v>0</v>
      </c>
      <c r="L136">
        <f t="shared" si="28"/>
        <v>0</v>
      </c>
      <c r="M136">
        <f t="shared" si="28"/>
        <v>0</v>
      </c>
    </row>
    <row r="137" spans="1:13" x14ac:dyDescent="0.2">
      <c r="A137">
        <f t="shared" si="22"/>
        <v>39000000000</v>
      </c>
      <c r="B137">
        <f t="shared" si="29"/>
        <v>0</v>
      </c>
      <c r="C137">
        <f t="shared" si="30"/>
        <v>0</v>
      </c>
      <c r="D137">
        <f t="shared" si="30"/>
        <v>0</v>
      </c>
      <c r="E137">
        <f t="shared" si="30"/>
        <v>0</v>
      </c>
      <c r="F137">
        <f t="shared" si="30"/>
        <v>0</v>
      </c>
      <c r="G137">
        <f t="shared" si="28"/>
        <v>0</v>
      </c>
      <c r="H137">
        <f t="shared" si="28"/>
        <v>0</v>
      </c>
      <c r="I137">
        <f t="shared" si="28"/>
        <v>0</v>
      </c>
      <c r="J137">
        <f t="shared" si="28"/>
        <v>0</v>
      </c>
      <c r="K137">
        <f t="shared" si="28"/>
        <v>0</v>
      </c>
      <c r="L137">
        <f t="shared" si="28"/>
        <v>0</v>
      </c>
      <c r="M137">
        <f t="shared" si="28"/>
        <v>0</v>
      </c>
    </row>
    <row r="138" spans="1:13" x14ac:dyDescent="0.2">
      <c r="A138">
        <f t="shared" si="22"/>
        <v>47000000000</v>
      </c>
      <c r="B138">
        <f t="shared" si="29"/>
        <v>0</v>
      </c>
      <c r="C138">
        <f t="shared" si="30"/>
        <v>0</v>
      </c>
      <c r="D138">
        <f t="shared" si="30"/>
        <v>0</v>
      </c>
      <c r="E138">
        <f t="shared" si="30"/>
        <v>0</v>
      </c>
      <c r="F138">
        <f t="shared" si="30"/>
        <v>0</v>
      </c>
      <c r="G138">
        <f t="shared" si="28"/>
        <v>0</v>
      </c>
      <c r="H138">
        <f t="shared" si="28"/>
        <v>0</v>
      </c>
      <c r="I138">
        <f t="shared" si="28"/>
        <v>0</v>
      </c>
      <c r="J138">
        <f t="shared" si="28"/>
        <v>0</v>
      </c>
      <c r="K138">
        <f t="shared" si="28"/>
        <v>0</v>
      </c>
      <c r="L138">
        <f t="shared" si="28"/>
        <v>0</v>
      </c>
      <c r="M138">
        <f t="shared" si="28"/>
        <v>0</v>
      </c>
    </row>
    <row r="139" spans="1:13" x14ac:dyDescent="0.2">
      <c r="A139">
        <f t="shared" si="22"/>
        <v>56000000000</v>
      </c>
      <c r="B139">
        <f t="shared" si="29"/>
        <v>0</v>
      </c>
      <c r="C139">
        <f t="shared" si="30"/>
        <v>0</v>
      </c>
      <c r="D139">
        <f t="shared" si="30"/>
        <v>0</v>
      </c>
      <c r="E139">
        <f t="shared" si="30"/>
        <v>0</v>
      </c>
      <c r="F139">
        <f t="shared" si="30"/>
        <v>0</v>
      </c>
      <c r="G139">
        <f t="shared" si="28"/>
        <v>0</v>
      </c>
      <c r="H139">
        <f t="shared" si="28"/>
        <v>0</v>
      </c>
      <c r="I139">
        <f t="shared" si="28"/>
        <v>0</v>
      </c>
      <c r="J139">
        <f t="shared" si="28"/>
        <v>0</v>
      </c>
      <c r="K139">
        <f t="shared" si="28"/>
        <v>0</v>
      </c>
      <c r="L139">
        <f t="shared" si="28"/>
        <v>0</v>
      </c>
      <c r="M139">
        <f t="shared" si="28"/>
        <v>0</v>
      </c>
    </row>
    <row r="140" spans="1:13" x14ac:dyDescent="0.2">
      <c r="A140">
        <f t="shared" si="22"/>
        <v>68000000000</v>
      </c>
      <c r="B140">
        <f t="shared" si="29"/>
        <v>0</v>
      </c>
      <c r="C140">
        <f t="shared" si="30"/>
        <v>0</v>
      </c>
      <c r="D140">
        <f t="shared" si="30"/>
        <v>0</v>
      </c>
      <c r="E140">
        <f t="shared" si="30"/>
        <v>0</v>
      </c>
      <c r="F140">
        <f t="shared" si="30"/>
        <v>0</v>
      </c>
      <c r="G140">
        <f t="shared" si="28"/>
        <v>0</v>
      </c>
      <c r="H140">
        <f t="shared" si="28"/>
        <v>0</v>
      </c>
      <c r="I140">
        <f t="shared" si="28"/>
        <v>0</v>
      </c>
      <c r="J140">
        <f t="shared" si="28"/>
        <v>0</v>
      </c>
      <c r="K140">
        <f t="shared" si="28"/>
        <v>0</v>
      </c>
      <c r="L140">
        <f t="shared" si="28"/>
        <v>0</v>
      </c>
      <c r="M140">
        <f t="shared" si="28"/>
        <v>0</v>
      </c>
    </row>
    <row r="141" spans="1:13" x14ac:dyDescent="0.2">
      <c r="A141">
        <f t="shared" si="22"/>
        <v>82000000000</v>
      </c>
      <c r="B141">
        <f t="shared" si="29"/>
        <v>0</v>
      </c>
      <c r="C141">
        <f t="shared" si="30"/>
        <v>0</v>
      </c>
      <c r="D141">
        <f t="shared" si="30"/>
        <v>0</v>
      </c>
      <c r="E141">
        <f t="shared" si="30"/>
        <v>0</v>
      </c>
      <c r="F141">
        <f t="shared" si="30"/>
        <v>0</v>
      </c>
      <c r="G141">
        <f t="shared" si="28"/>
        <v>0</v>
      </c>
      <c r="H141">
        <f t="shared" si="28"/>
        <v>0</v>
      </c>
      <c r="I141">
        <f t="shared" si="28"/>
        <v>0</v>
      </c>
      <c r="J141">
        <f t="shared" si="28"/>
        <v>0</v>
      </c>
      <c r="K141">
        <f t="shared" si="28"/>
        <v>0</v>
      </c>
      <c r="L141">
        <f t="shared" si="28"/>
        <v>0</v>
      </c>
      <c r="M141">
        <f t="shared" si="28"/>
        <v>0</v>
      </c>
    </row>
    <row r="142" spans="1:13" x14ac:dyDescent="0.2">
      <c r="A142">
        <f t="shared" si="22"/>
        <v>100000000000</v>
      </c>
      <c r="B142">
        <f t="shared" si="29"/>
        <v>0</v>
      </c>
      <c r="C142">
        <f t="shared" si="30"/>
        <v>0</v>
      </c>
      <c r="D142">
        <f t="shared" si="30"/>
        <v>0</v>
      </c>
      <c r="E142">
        <f t="shared" si="30"/>
        <v>0</v>
      </c>
      <c r="F142">
        <f t="shared" si="30"/>
        <v>0</v>
      </c>
      <c r="G142">
        <f t="shared" si="28"/>
        <v>0</v>
      </c>
      <c r="H142">
        <f t="shared" si="28"/>
        <v>0</v>
      </c>
      <c r="I142">
        <f t="shared" si="28"/>
        <v>0</v>
      </c>
      <c r="J142">
        <f t="shared" si="28"/>
        <v>0</v>
      </c>
      <c r="K142">
        <f t="shared" si="28"/>
        <v>0</v>
      </c>
      <c r="L142">
        <f t="shared" si="28"/>
        <v>0</v>
      </c>
      <c r="M142">
        <f t="shared" si="28"/>
        <v>0</v>
      </c>
    </row>
    <row r="143" spans="1:13" x14ac:dyDescent="0.2">
      <c r="A143">
        <f t="shared" si="22"/>
        <v>120000000000</v>
      </c>
      <c r="B143">
        <f t="shared" si="29"/>
        <v>0</v>
      </c>
      <c r="C143">
        <f t="shared" si="30"/>
        <v>0</v>
      </c>
      <c r="D143">
        <f t="shared" si="30"/>
        <v>0</v>
      </c>
      <c r="E143">
        <f t="shared" si="30"/>
        <v>0</v>
      </c>
      <c r="F143">
        <f t="shared" si="30"/>
        <v>0</v>
      </c>
      <c r="G143">
        <f t="shared" si="28"/>
        <v>0</v>
      </c>
      <c r="H143">
        <f t="shared" si="28"/>
        <v>0</v>
      </c>
      <c r="I143">
        <f t="shared" si="28"/>
        <v>0</v>
      </c>
      <c r="J143">
        <f t="shared" si="28"/>
        <v>0</v>
      </c>
      <c r="K143">
        <f t="shared" si="28"/>
        <v>0</v>
      </c>
      <c r="L143">
        <f t="shared" si="28"/>
        <v>0</v>
      </c>
      <c r="M143">
        <f t="shared" si="28"/>
        <v>0</v>
      </c>
    </row>
    <row r="144" spans="1:13" x14ac:dyDescent="0.2">
      <c r="A144">
        <f t="shared" si="22"/>
        <v>150000000000</v>
      </c>
      <c r="B144">
        <f t="shared" si="29"/>
        <v>0</v>
      </c>
      <c r="C144">
        <f t="shared" si="30"/>
        <v>0</v>
      </c>
      <c r="D144">
        <f t="shared" si="30"/>
        <v>0</v>
      </c>
      <c r="E144">
        <f t="shared" si="30"/>
        <v>0</v>
      </c>
      <c r="F144">
        <f t="shared" si="30"/>
        <v>0</v>
      </c>
      <c r="G144">
        <f t="shared" si="28"/>
        <v>0</v>
      </c>
      <c r="H144">
        <f t="shared" si="28"/>
        <v>0</v>
      </c>
      <c r="I144">
        <f t="shared" si="28"/>
        <v>0</v>
      </c>
      <c r="J144">
        <f t="shared" si="28"/>
        <v>0</v>
      </c>
      <c r="K144">
        <f t="shared" si="28"/>
        <v>0</v>
      </c>
      <c r="L144">
        <f t="shared" si="28"/>
        <v>0</v>
      </c>
      <c r="M144">
        <f t="shared" si="28"/>
        <v>0</v>
      </c>
    </row>
    <row r="145" spans="1:13" x14ac:dyDescent="0.2">
      <c r="A145">
        <f t="shared" si="22"/>
        <v>180000000000</v>
      </c>
      <c r="B145">
        <f t="shared" si="29"/>
        <v>0</v>
      </c>
      <c r="C145">
        <f t="shared" si="30"/>
        <v>0</v>
      </c>
      <c r="D145">
        <f t="shared" si="30"/>
        <v>0</v>
      </c>
      <c r="E145">
        <f t="shared" si="30"/>
        <v>0</v>
      </c>
      <c r="F145">
        <f t="shared" si="30"/>
        <v>0</v>
      </c>
      <c r="G145">
        <f t="shared" si="28"/>
        <v>0</v>
      </c>
      <c r="H145">
        <f t="shared" si="28"/>
        <v>0</v>
      </c>
      <c r="I145">
        <f t="shared" si="28"/>
        <v>0</v>
      </c>
      <c r="J145">
        <f t="shared" si="28"/>
        <v>0</v>
      </c>
      <c r="K145">
        <f t="shared" si="28"/>
        <v>0</v>
      </c>
      <c r="L145">
        <f t="shared" si="28"/>
        <v>0</v>
      </c>
      <c r="M145">
        <f t="shared" si="28"/>
        <v>0</v>
      </c>
    </row>
    <row r="146" spans="1:13" x14ac:dyDescent="0.2">
      <c r="A146">
        <f t="shared" si="22"/>
        <v>220000000000</v>
      </c>
      <c r="B146">
        <f t="shared" si="29"/>
        <v>0</v>
      </c>
      <c r="C146">
        <f t="shared" si="30"/>
        <v>0</v>
      </c>
      <c r="D146">
        <f t="shared" si="30"/>
        <v>0</v>
      </c>
      <c r="E146">
        <f t="shared" si="30"/>
        <v>0</v>
      </c>
      <c r="F146">
        <f t="shared" si="30"/>
        <v>0</v>
      </c>
      <c r="G146">
        <f t="shared" si="28"/>
        <v>0</v>
      </c>
      <c r="H146">
        <f t="shared" si="28"/>
        <v>0</v>
      </c>
      <c r="I146">
        <f t="shared" si="28"/>
        <v>0</v>
      </c>
      <c r="J146">
        <f t="shared" si="28"/>
        <v>0</v>
      </c>
      <c r="K146">
        <f t="shared" si="28"/>
        <v>0</v>
      </c>
      <c r="L146">
        <f t="shared" si="28"/>
        <v>0</v>
      </c>
      <c r="M146">
        <f t="shared" si="28"/>
        <v>0</v>
      </c>
    </row>
    <row r="147" spans="1:13" x14ac:dyDescent="0.2">
      <c r="A147">
        <f t="shared" si="22"/>
        <v>270000000000</v>
      </c>
      <c r="B147">
        <f t="shared" si="29"/>
        <v>0</v>
      </c>
      <c r="C147">
        <f t="shared" si="30"/>
        <v>0</v>
      </c>
      <c r="D147">
        <f t="shared" si="30"/>
        <v>0</v>
      </c>
      <c r="E147">
        <f t="shared" si="30"/>
        <v>0</v>
      </c>
      <c r="F147">
        <f t="shared" si="30"/>
        <v>0</v>
      </c>
      <c r="G147">
        <f t="shared" si="28"/>
        <v>0</v>
      </c>
      <c r="H147">
        <f t="shared" si="28"/>
        <v>0</v>
      </c>
      <c r="I147">
        <f t="shared" si="28"/>
        <v>0</v>
      </c>
      <c r="J147">
        <f t="shared" si="28"/>
        <v>0</v>
      </c>
      <c r="K147">
        <f t="shared" si="28"/>
        <v>0</v>
      </c>
      <c r="L147">
        <f t="shared" si="28"/>
        <v>0</v>
      </c>
      <c r="M147">
        <f t="shared" si="28"/>
        <v>0</v>
      </c>
    </row>
    <row r="148" spans="1:13" x14ac:dyDescent="0.2">
      <c r="A148">
        <f t="shared" si="22"/>
        <v>330000000000</v>
      </c>
      <c r="B148">
        <f t="shared" si="29"/>
        <v>0</v>
      </c>
      <c r="C148">
        <f t="shared" si="30"/>
        <v>0</v>
      </c>
      <c r="D148">
        <f t="shared" si="30"/>
        <v>0</v>
      </c>
      <c r="E148">
        <f t="shared" si="30"/>
        <v>0</v>
      </c>
      <c r="F148">
        <f t="shared" si="30"/>
        <v>0</v>
      </c>
      <c r="G148">
        <f t="shared" si="28"/>
        <v>0</v>
      </c>
      <c r="H148">
        <f t="shared" si="28"/>
        <v>0</v>
      </c>
      <c r="I148">
        <f t="shared" si="28"/>
        <v>0</v>
      </c>
      <c r="J148">
        <f t="shared" si="28"/>
        <v>0</v>
      </c>
      <c r="K148">
        <f t="shared" si="28"/>
        <v>0</v>
      </c>
      <c r="L148">
        <f t="shared" si="28"/>
        <v>0</v>
      </c>
      <c r="M148">
        <f t="shared" si="28"/>
        <v>0</v>
      </c>
    </row>
    <row r="149" spans="1:13" x14ac:dyDescent="0.2">
      <c r="A149">
        <f t="shared" si="22"/>
        <v>390000000000</v>
      </c>
      <c r="B149">
        <f t="shared" si="29"/>
        <v>0</v>
      </c>
      <c r="C149">
        <f t="shared" si="30"/>
        <v>0</v>
      </c>
      <c r="D149">
        <f t="shared" si="30"/>
        <v>0</v>
      </c>
      <c r="E149">
        <f t="shared" si="30"/>
        <v>0</v>
      </c>
      <c r="F149">
        <f t="shared" si="30"/>
        <v>0</v>
      </c>
      <c r="G149">
        <f t="shared" si="28"/>
        <v>0</v>
      </c>
      <c r="H149">
        <f t="shared" si="28"/>
        <v>0</v>
      </c>
      <c r="I149">
        <f t="shared" si="28"/>
        <v>0</v>
      </c>
      <c r="J149">
        <f t="shared" si="28"/>
        <v>0</v>
      </c>
      <c r="K149">
        <f t="shared" si="28"/>
        <v>0</v>
      </c>
      <c r="L149">
        <f t="shared" si="28"/>
        <v>0</v>
      </c>
      <c r="M149">
        <f t="shared" si="28"/>
        <v>0</v>
      </c>
    </row>
    <row r="150" spans="1:13" x14ac:dyDescent="0.2">
      <c r="A150">
        <f t="shared" si="22"/>
        <v>470000000000</v>
      </c>
      <c r="B150">
        <f t="shared" si="29"/>
        <v>0</v>
      </c>
      <c r="C150">
        <f t="shared" si="30"/>
        <v>0</v>
      </c>
      <c r="D150">
        <f t="shared" si="30"/>
        <v>0</v>
      </c>
      <c r="E150">
        <f t="shared" si="30"/>
        <v>0</v>
      </c>
      <c r="F150">
        <f t="shared" si="30"/>
        <v>0</v>
      </c>
      <c r="G150">
        <f t="shared" si="28"/>
        <v>0</v>
      </c>
      <c r="H150">
        <f t="shared" si="28"/>
        <v>0</v>
      </c>
      <c r="I150">
        <f t="shared" si="28"/>
        <v>0</v>
      </c>
      <c r="J150">
        <f t="shared" si="28"/>
        <v>0</v>
      </c>
      <c r="K150">
        <f t="shared" si="28"/>
        <v>0</v>
      </c>
      <c r="L150">
        <f t="shared" si="28"/>
        <v>0</v>
      </c>
      <c r="M150">
        <f t="shared" si="28"/>
        <v>0</v>
      </c>
    </row>
    <row r="151" spans="1:13" x14ac:dyDescent="0.2">
      <c r="A151">
        <f t="shared" si="22"/>
        <v>560000000000</v>
      </c>
      <c r="B151">
        <f t="shared" si="29"/>
        <v>0</v>
      </c>
      <c r="C151">
        <f t="shared" si="30"/>
        <v>0</v>
      </c>
      <c r="D151">
        <f t="shared" si="30"/>
        <v>0</v>
      </c>
      <c r="E151">
        <f t="shared" si="30"/>
        <v>0</v>
      </c>
      <c r="F151">
        <f t="shared" si="30"/>
        <v>0</v>
      </c>
      <c r="G151">
        <f t="shared" si="28"/>
        <v>0</v>
      </c>
      <c r="H151">
        <f t="shared" si="28"/>
        <v>0</v>
      </c>
      <c r="I151">
        <f t="shared" si="28"/>
        <v>0</v>
      </c>
      <c r="J151">
        <f t="shared" si="28"/>
        <v>0</v>
      </c>
      <c r="K151">
        <f t="shared" si="28"/>
        <v>0</v>
      </c>
      <c r="L151">
        <f t="shared" si="28"/>
        <v>0</v>
      </c>
      <c r="M151">
        <f t="shared" si="28"/>
        <v>0</v>
      </c>
    </row>
    <row r="152" spans="1:13" x14ac:dyDescent="0.2">
      <c r="A152">
        <f t="shared" si="22"/>
        <v>680000000000</v>
      </c>
      <c r="B152">
        <f t="shared" si="29"/>
        <v>0</v>
      </c>
      <c r="C152">
        <f t="shared" si="30"/>
        <v>0</v>
      </c>
      <c r="D152">
        <f t="shared" si="30"/>
        <v>0</v>
      </c>
      <c r="E152">
        <f t="shared" si="30"/>
        <v>0</v>
      </c>
      <c r="F152">
        <f t="shared" si="30"/>
        <v>0</v>
      </c>
      <c r="G152">
        <f t="shared" si="28"/>
        <v>0</v>
      </c>
      <c r="H152">
        <f t="shared" si="28"/>
        <v>0</v>
      </c>
      <c r="I152">
        <f t="shared" si="28"/>
        <v>0</v>
      </c>
      <c r="J152">
        <f t="shared" si="28"/>
        <v>0</v>
      </c>
      <c r="K152">
        <f t="shared" si="28"/>
        <v>0</v>
      </c>
      <c r="L152">
        <f t="shared" si="28"/>
        <v>0</v>
      </c>
      <c r="M152">
        <f t="shared" si="28"/>
        <v>0</v>
      </c>
    </row>
    <row r="153" spans="1:13" x14ac:dyDescent="0.2">
      <c r="A153">
        <f t="shared" si="22"/>
        <v>820000000000</v>
      </c>
      <c r="B153">
        <f t="shared" si="29"/>
        <v>0</v>
      </c>
      <c r="C153">
        <f t="shared" si="30"/>
        <v>0</v>
      </c>
      <c r="D153">
        <f t="shared" si="30"/>
        <v>0</v>
      </c>
      <c r="E153">
        <f t="shared" si="30"/>
        <v>0</v>
      </c>
      <c r="F153">
        <f t="shared" si="30"/>
        <v>0</v>
      </c>
      <c r="G153">
        <f t="shared" si="28"/>
        <v>0</v>
      </c>
      <c r="H153">
        <f t="shared" si="28"/>
        <v>0</v>
      </c>
      <c r="I153">
        <f t="shared" si="28"/>
        <v>0</v>
      </c>
      <c r="J153">
        <f t="shared" si="28"/>
        <v>0</v>
      </c>
      <c r="K153">
        <f t="shared" si="28"/>
        <v>0</v>
      </c>
      <c r="L153">
        <f t="shared" si="28"/>
        <v>0</v>
      </c>
      <c r="M153">
        <f t="shared" si="28"/>
        <v>0</v>
      </c>
    </row>
    <row r="154" spans="1:13" x14ac:dyDescent="0.2">
      <c r="A154">
        <f t="shared" si="22"/>
        <v>1000000000000</v>
      </c>
      <c r="B154">
        <f t="shared" si="29"/>
        <v>0</v>
      </c>
      <c r="C154">
        <f t="shared" si="30"/>
        <v>0</v>
      </c>
      <c r="D154">
        <f t="shared" si="30"/>
        <v>0</v>
      </c>
      <c r="E154">
        <f t="shared" si="30"/>
        <v>0</v>
      </c>
      <c r="F154">
        <f t="shared" si="30"/>
        <v>0</v>
      </c>
      <c r="G154">
        <f t="shared" si="28"/>
        <v>0</v>
      </c>
      <c r="H154">
        <f t="shared" si="28"/>
        <v>0</v>
      </c>
      <c r="I154">
        <f t="shared" si="28"/>
        <v>0</v>
      </c>
      <c r="J154">
        <f t="shared" si="28"/>
        <v>0</v>
      </c>
      <c r="K154">
        <f t="shared" si="28"/>
        <v>0</v>
      </c>
      <c r="L154">
        <f t="shared" si="28"/>
        <v>0</v>
      </c>
      <c r="M154">
        <f t="shared" si="28"/>
        <v>0</v>
      </c>
    </row>
    <row r="155" spans="1:13" x14ac:dyDescent="0.2">
      <c r="A155">
        <f t="shared" si="22"/>
        <v>1200000000000</v>
      </c>
      <c r="B155">
        <f t="shared" si="29"/>
        <v>0</v>
      </c>
      <c r="C155">
        <f t="shared" si="30"/>
        <v>0</v>
      </c>
      <c r="D155">
        <f t="shared" si="30"/>
        <v>0</v>
      </c>
      <c r="E155">
        <f t="shared" si="30"/>
        <v>0</v>
      </c>
      <c r="F155">
        <f t="shared" si="30"/>
        <v>0</v>
      </c>
      <c r="G155">
        <f t="shared" si="28"/>
        <v>0</v>
      </c>
      <c r="H155">
        <f t="shared" si="28"/>
        <v>0</v>
      </c>
      <c r="I155">
        <f t="shared" si="28"/>
        <v>0</v>
      </c>
      <c r="J155">
        <f t="shared" si="28"/>
        <v>0</v>
      </c>
      <c r="K155">
        <f t="shared" si="28"/>
        <v>0</v>
      </c>
      <c r="L155">
        <f t="shared" si="28"/>
        <v>0</v>
      </c>
      <c r="M155">
        <f t="shared" si="28"/>
        <v>0</v>
      </c>
    </row>
    <row r="156" spans="1:13" x14ac:dyDescent="0.2">
      <c r="A156">
        <f t="shared" si="22"/>
        <v>1500000000000</v>
      </c>
      <c r="B156">
        <f t="shared" si="29"/>
        <v>0</v>
      </c>
      <c r="C156">
        <f t="shared" si="30"/>
        <v>0</v>
      </c>
      <c r="D156">
        <f t="shared" si="30"/>
        <v>0</v>
      </c>
      <c r="E156">
        <f t="shared" si="30"/>
        <v>0</v>
      </c>
      <c r="F156">
        <f t="shared" si="30"/>
        <v>0</v>
      </c>
      <c r="G156">
        <f t="shared" si="28"/>
        <v>0</v>
      </c>
      <c r="H156">
        <f t="shared" si="28"/>
        <v>0</v>
      </c>
      <c r="I156">
        <f t="shared" si="28"/>
        <v>0</v>
      </c>
      <c r="J156">
        <f t="shared" si="28"/>
        <v>0</v>
      </c>
      <c r="K156">
        <f t="shared" si="28"/>
        <v>0</v>
      </c>
      <c r="L156">
        <f t="shared" si="28"/>
        <v>0</v>
      </c>
      <c r="M156">
        <f t="shared" si="28"/>
        <v>0</v>
      </c>
    </row>
    <row r="157" spans="1:13" x14ac:dyDescent="0.2">
      <c r="A157">
        <f t="shared" si="22"/>
        <v>1800000000000</v>
      </c>
      <c r="B157">
        <f t="shared" si="29"/>
        <v>0</v>
      </c>
      <c r="C157">
        <f t="shared" si="30"/>
        <v>0</v>
      </c>
      <c r="D157">
        <f t="shared" si="30"/>
        <v>0</v>
      </c>
      <c r="E157">
        <f t="shared" si="30"/>
        <v>0</v>
      </c>
      <c r="F157">
        <f t="shared" si="30"/>
        <v>0</v>
      </c>
      <c r="G157">
        <f t="shared" si="28"/>
        <v>0</v>
      </c>
      <c r="H157">
        <f t="shared" si="28"/>
        <v>0</v>
      </c>
      <c r="I157">
        <f t="shared" si="28"/>
        <v>0</v>
      </c>
      <c r="J157">
        <f t="shared" si="28"/>
        <v>0</v>
      </c>
      <c r="K157">
        <f t="shared" si="28"/>
        <v>0</v>
      </c>
      <c r="L157">
        <f t="shared" si="28"/>
        <v>0</v>
      </c>
      <c r="M157">
        <f t="shared" si="28"/>
        <v>0</v>
      </c>
    </row>
    <row r="158" spans="1:13" x14ac:dyDescent="0.2">
      <c r="A158">
        <f t="shared" si="22"/>
        <v>2200000000000</v>
      </c>
      <c r="B158">
        <f t="shared" si="29"/>
        <v>0</v>
      </c>
      <c r="C158">
        <f t="shared" si="30"/>
        <v>0</v>
      </c>
      <c r="D158">
        <f t="shared" si="30"/>
        <v>0</v>
      </c>
      <c r="E158">
        <f t="shared" si="30"/>
        <v>0</v>
      </c>
      <c r="F158">
        <f t="shared" si="30"/>
        <v>0</v>
      </c>
      <c r="G158">
        <f t="shared" si="28"/>
        <v>0</v>
      </c>
      <c r="H158">
        <f t="shared" si="28"/>
        <v>0</v>
      </c>
      <c r="I158">
        <f t="shared" si="28"/>
        <v>0</v>
      </c>
      <c r="J158">
        <f t="shared" si="28"/>
        <v>0</v>
      </c>
      <c r="K158">
        <f t="shared" si="28"/>
        <v>0</v>
      </c>
      <c r="L158">
        <f t="shared" si="28"/>
        <v>0</v>
      </c>
      <c r="M158">
        <f t="shared" si="28"/>
        <v>0</v>
      </c>
    </row>
    <row r="159" spans="1:13" x14ac:dyDescent="0.2">
      <c r="A159" s="43">
        <f t="shared" si="22"/>
        <v>2700000000000</v>
      </c>
      <c r="B159">
        <f t="shared" si="29"/>
        <v>2700000000000</v>
      </c>
      <c r="C159">
        <f t="shared" si="30"/>
        <v>2700000000000</v>
      </c>
      <c r="D159">
        <f t="shared" si="30"/>
        <v>2700000000000</v>
      </c>
      <c r="E159">
        <f t="shared" si="30"/>
        <v>2700000000000</v>
      </c>
      <c r="F159">
        <f t="shared" si="30"/>
        <v>2700000000000</v>
      </c>
      <c r="G159">
        <f t="shared" si="28"/>
        <v>2700000000000</v>
      </c>
      <c r="H159">
        <f t="shared" si="28"/>
        <v>2700000000000</v>
      </c>
      <c r="I159">
        <f t="shared" si="28"/>
        <v>2700000000000</v>
      </c>
      <c r="J159">
        <f t="shared" si="28"/>
        <v>2700000000000</v>
      </c>
      <c r="K159">
        <f t="shared" si="28"/>
        <v>2700000000000</v>
      </c>
      <c r="L159">
        <f t="shared" si="28"/>
        <v>2700000000000</v>
      </c>
      <c r="M159">
        <f t="shared" si="28"/>
        <v>2700000000000</v>
      </c>
    </row>
  </sheetData>
  <phoneticPr fontId="1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E7"/>
  <sheetViews>
    <sheetView workbookViewId="0">
      <selection activeCell="M42" sqref="M42"/>
    </sheetView>
  </sheetViews>
  <sheetFormatPr defaultRowHeight="12.75" x14ac:dyDescent="0.2"/>
  <cols>
    <col min="1" max="1" width="18.5703125" customWidth="1"/>
    <col min="2" max="2" width="9.28515625" customWidth="1"/>
    <col min="4" max="4" width="11.140625" customWidth="1"/>
  </cols>
  <sheetData>
    <row r="1" spans="1:5" x14ac:dyDescent="0.2">
      <c r="C1" t="s">
        <v>216</v>
      </c>
      <c r="D1" t="s">
        <v>215</v>
      </c>
    </row>
    <row r="2" spans="1:5" x14ac:dyDescent="0.2">
      <c r="A2" t="s">
        <v>213</v>
      </c>
      <c r="B2" s="47">
        <v>85</v>
      </c>
      <c r="C2" t="s">
        <v>214</v>
      </c>
      <c r="D2">
        <f>B2*1000000</f>
        <v>85000000</v>
      </c>
      <c r="E2" t="s">
        <v>10</v>
      </c>
    </row>
    <row r="3" spans="1:5" x14ac:dyDescent="0.2">
      <c r="A3" t="s">
        <v>217</v>
      </c>
      <c r="B3" s="47">
        <v>3000</v>
      </c>
      <c r="C3" t="s">
        <v>32</v>
      </c>
      <c r="D3">
        <f>B3*0.000000000001</f>
        <v>3E-9</v>
      </c>
      <c r="E3" t="s">
        <v>26</v>
      </c>
    </row>
    <row r="4" spans="1:5" x14ac:dyDescent="0.2">
      <c r="A4" t="s">
        <v>219</v>
      </c>
      <c r="B4" s="48">
        <f>1000000000*1/((D2*2*3.14159)^2*D3)</f>
        <v>1.1686430773614742</v>
      </c>
      <c r="C4" t="s">
        <v>220</v>
      </c>
      <c r="D4">
        <f>B4/1000000000</f>
        <v>1.1686430773614743E-9</v>
      </c>
      <c r="E4" t="s">
        <v>20</v>
      </c>
    </row>
    <row r="5" spans="1:5" x14ac:dyDescent="0.2">
      <c r="A5" t="s">
        <v>218</v>
      </c>
      <c r="B5">
        <f>4*B3</f>
        <v>12000</v>
      </c>
      <c r="C5" t="s">
        <v>32</v>
      </c>
      <c r="D5">
        <f>B5*0.000000000001</f>
        <v>1.2E-8</v>
      </c>
      <c r="E5" t="s">
        <v>26</v>
      </c>
    </row>
    <row r="6" spans="1:5" x14ac:dyDescent="0.2">
      <c r="A6" t="s">
        <v>221</v>
      </c>
      <c r="B6" s="4">
        <f>SQRT(D4/D3)</f>
        <v>0.62413755891936573</v>
      </c>
      <c r="C6" s="4" t="s">
        <v>167</v>
      </c>
      <c r="D6" s="4">
        <f>B6</f>
        <v>0.62413755891936573</v>
      </c>
      <c r="E6" t="s">
        <v>167</v>
      </c>
    </row>
    <row r="7" spans="1:5" x14ac:dyDescent="0.2">
      <c r="B7" s="4"/>
      <c r="C7" s="4"/>
      <c r="D7" s="4"/>
    </row>
  </sheetData>
  <phoneticPr fontId="10" type="noConversion"/>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3:E16"/>
  <sheetViews>
    <sheetView workbookViewId="0">
      <selection activeCell="B3" sqref="B3"/>
    </sheetView>
  </sheetViews>
  <sheetFormatPr defaultRowHeight="12.75" x14ac:dyDescent="0.2"/>
  <sheetData>
    <row r="3" spans="1:5" x14ac:dyDescent="0.2">
      <c r="A3" t="s">
        <v>184</v>
      </c>
      <c r="B3" t="e">
        <f>Iripple1</f>
        <v>#NAME?</v>
      </c>
    </row>
    <row r="4" spans="1:5" x14ac:dyDescent="0.2">
      <c r="A4" t="s">
        <v>7</v>
      </c>
      <c r="B4">
        <f>Fsw</f>
        <v>600000</v>
      </c>
    </row>
    <row r="6" spans="1:5" x14ac:dyDescent="0.2">
      <c r="A6" t="s">
        <v>171</v>
      </c>
      <c r="B6" s="41">
        <v>0.5</v>
      </c>
      <c r="C6" t="s">
        <v>67</v>
      </c>
      <c r="D6">
        <f>B6/1000</f>
        <v>5.0000000000000001E-4</v>
      </c>
      <c r="E6" t="s">
        <v>21</v>
      </c>
    </row>
    <row r="7" spans="1:5" x14ac:dyDescent="0.2">
      <c r="A7" t="s">
        <v>182</v>
      </c>
      <c r="B7" s="41">
        <v>20</v>
      </c>
      <c r="C7" t="s">
        <v>25</v>
      </c>
      <c r="D7">
        <f>B7/1000000</f>
        <v>2.0000000000000002E-5</v>
      </c>
      <c r="E7" t="s">
        <v>26</v>
      </c>
    </row>
    <row r="9" spans="1:5" x14ac:dyDescent="0.2">
      <c r="A9" t="s">
        <v>172</v>
      </c>
      <c r="B9" s="41">
        <v>20</v>
      </c>
      <c r="C9" t="s">
        <v>67</v>
      </c>
      <c r="D9">
        <f>B9/1000</f>
        <v>0.02</v>
      </c>
      <c r="E9" t="s">
        <v>21</v>
      </c>
    </row>
    <row r="10" spans="1:5" x14ac:dyDescent="0.2">
      <c r="A10" t="s">
        <v>183</v>
      </c>
      <c r="B10" s="41">
        <v>68</v>
      </c>
      <c r="C10" t="s">
        <v>25</v>
      </c>
      <c r="D10">
        <f>B10/1000000</f>
        <v>6.7999999999999999E-5</v>
      </c>
      <c r="E10" t="s">
        <v>26</v>
      </c>
    </row>
    <row r="12" spans="1:5" x14ac:dyDescent="0.2">
      <c r="A12" t="s">
        <v>186</v>
      </c>
      <c r="B12">
        <f>(D7/(D7+D10))*SQRT((D9*D10*B4)^2+1)/SQRT((((D6+D9)*D7*D10/(D10+D7))*B4)^2+1)</f>
        <v>0.28817610934128135</v>
      </c>
      <c r="C12" t="s">
        <v>185</v>
      </c>
    </row>
    <row r="13" spans="1:5" x14ac:dyDescent="0.2">
      <c r="A13" t="s">
        <v>187</v>
      </c>
      <c r="B13">
        <f>1-B12</f>
        <v>0.71182389065871865</v>
      </c>
      <c r="C13" t="s">
        <v>185</v>
      </c>
    </row>
    <row r="15" spans="1:5" x14ac:dyDescent="0.2">
      <c r="A15" t="s">
        <v>186</v>
      </c>
      <c r="B15" t="e">
        <f>B12*(Iripple1/(2*SQRT(3)))</f>
        <v>#NAME?</v>
      </c>
      <c r="C15" t="s">
        <v>2</v>
      </c>
    </row>
    <row r="16" spans="1:5" x14ac:dyDescent="0.2">
      <c r="A16" t="s">
        <v>187</v>
      </c>
      <c r="B16" t="e">
        <f>B13*(Iripple1/(2*SQRT(3)))</f>
        <v>#NAME?</v>
      </c>
      <c r="C16" t="s">
        <v>2</v>
      </c>
    </row>
  </sheetData>
  <phoneticPr fontId="10"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361</vt:i4>
      </vt:variant>
    </vt:vector>
  </HeadingPairs>
  <TitlesOfParts>
    <vt:vector size="382" baseType="lpstr">
      <vt:lpstr>Design Converter</vt:lpstr>
      <vt:lpstr>Extended Calculations</vt:lpstr>
      <vt:lpstr>Licenses</vt:lpstr>
      <vt:lpstr>BOM &amp; Schematic</vt:lpstr>
      <vt:lpstr>EVMs</vt:lpstr>
      <vt:lpstr>MOSFET LOSS</vt:lpstr>
      <vt:lpstr>Efficiency Plot Details</vt:lpstr>
      <vt:lpstr>DeviceParameter</vt:lpstr>
      <vt:lpstr>Variable Management</vt:lpstr>
      <vt:lpstr>Inductor Current</vt:lpstr>
      <vt:lpstr>Timings</vt:lpstr>
      <vt:lpstr>CFG Setting</vt:lpstr>
      <vt:lpstr>Schematic Management</vt:lpstr>
      <vt:lpstr>Stability Calculations</vt:lpstr>
      <vt:lpstr>IL Stability Calculations</vt:lpstr>
      <vt:lpstr>Efficiency Plot Management</vt:lpstr>
      <vt:lpstr>Efficiency vs VIN Calculations</vt:lpstr>
      <vt:lpstr>Efficiency vs Load Calculations</vt:lpstr>
      <vt:lpstr>Standard Value Calculator</vt:lpstr>
      <vt:lpstr>Snubber</vt:lpstr>
      <vt:lpstr>Parallel Output Caps</vt:lpstr>
      <vt:lpstr>_2Phase_Mode</vt:lpstr>
      <vt:lpstr>_Don1</vt:lpstr>
      <vt:lpstr>_Don2</vt:lpstr>
      <vt:lpstr>Acs</vt:lpstr>
      <vt:lpstr>'IL Stability Calculations'!Adc</vt:lpstr>
      <vt:lpstr>'Stability Calculations'!Adc</vt:lpstr>
      <vt:lpstr>Adc_IL</vt:lpstr>
      <vt:lpstr>AEA</vt:lpstr>
      <vt:lpstr>Afb</vt:lpstr>
      <vt:lpstr>'IL Stability Calculations'!AIL</vt:lpstr>
      <vt:lpstr>'Stability Calculations'!AIL</vt:lpstr>
      <vt:lpstr>Am</vt:lpstr>
      <vt:lpstr>Am_boost</vt:lpstr>
      <vt:lpstr>Am_buck</vt:lpstr>
      <vt:lpstr>Am_IL</vt:lpstr>
      <vt:lpstr>BodePlot</vt:lpstr>
      <vt:lpstr>BodePlot_ILim</vt:lpstr>
      <vt:lpstr>BODEPLOT_TYPE</vt:lpstr>
      <vt:lpstr>Boost_CS_Threshold</vt:lpstr>
      <vt:lpstr>Boost_CS_Threshold_max</vt:lpstr>
      <vt:lpstr>Boost_CS_Threshold_min</vt:lpstr>
      <vt:lpstr>Buck_CS_threshold</vt:lpstr>
      <vt:lpstr>Buck_CS_threshold_max</vt:lpstr>
      <vt:lpstr>Buck_CS_threshold_min</vt:lpstr>
      <vt:lpstr>C_CS</vt:lpstr>
      <vt:lpstr>C_CS_ideal</vt:lpstr>
      <vt:lpstr>C_ILimit_HF</vt:lpstr>
      <vt:lpstr>C_ILimit_HF_STD</vt:lpstr>
      <vt:lpstr>C_limitcomp</vt:lpstr>
      <vt:lpstr>C_limitcomp_STD</vt:lpstr>
      <vt:lpstr>Cb</vt:lpstr>
      <vt:lpstr>Cbw</vt:lpstr>
      <vt:lpstr>Cbw_IL</vt:lpstr>
      <vt:lpstr>Cby</vt:lpstr>
      <vt:lpstr>Cc1ea</vt:lpstr>
      <vt:lpstr>Cc1ea_u</vt:lpstr>
      <vt:lpstr>Cc1IL</vt:lpstr>
      <vt:lpstr>Cc2ea</vt:lpstr>
      <vt:lpstr>Cc2ea_u</vt:lpstr>
      <vt:lpstr>Cc2IL</vt:lpstr>
      <vt:lpstr>CcIL</vt:lpstr>
      <vt:lpstr>CDC_enabled</vt:lpstr>
      <vt:lpstr>CDC_Threshold</vt:lpstr>
      <vt:lpstr>Cdither</vt:lpstr>
      <vt:lpstr>CFG</vt:lpstr>
      <vt:lpstr>Cin</vt:lpstr>
      <vt:lpstr>CinEsrMax</vt:lpstr>
      <vt:lpstr>Cinmin</vt:lpstr>
      <vt:lpstr>CISET</vt:lpstr>
      <vt:lpstr>Co2_</vt:lpstr>
      <vt:lpstr>Co2_u</vt:lpstr>
      <vt:lpstr>Const_DT</vt:lpstr>
      <vt:lpstr>Constant_Current_Loop_Setpoint</vt:lpstr>
      <vt:lpstr>Cout</vt:lpstr>
      <vt:lpstr>CoutEsr</vt:lpstr>
      <vt:lpstr>CoutEsrMax</vt:lpstr>
      <vt:lpstr>Coutmin</vt:lpstr>
      <vt:lpstr>CSAmp_gain</vt:lpstr>
      <vt:lpstr>Csb</vt:lpstr>
      <vt:lpstr>Csby</vt:lpstr>
      <vt:lpstr>Cslope</vt:lpstr>
      <vt:lpstr>Css</vt:lpstr>
      <vt:lpstr>Css_u</vt:lpstr>
      <vt:lpstr>D_max_buck_enterBB</vt:lpstr>
      <vt:lpstr>D_max_exitBB_to_buck</vt:lpstr>
      <vt:lpstr>D_min_boost_exitBB_to_buck</vt:lpstr>
      <vt:lpstr>DC_CC</vt:lpstr>
      <vt:lpstr>DC_CHF</vt:lpstr>
      <vt:lpstr>DC_RC</vt:lpstr>
      <vt:lpstr>Deadtime</vt:lpstr>
      <vt:lpstr>Device</vt:lpstr>
      <vt:lpstr>dI1_</vt:lpstr>
      <vt:lpstr>dI2_</vt:lpstr>
      <vt:lpstr>dI3_</vt:lpstr>
      <vt:lpstr>Doff1</vt:lpstr>
      <vt:lpstr>Doff2</vt:lpstr>
      <vt:lpstr>Don_Vinmax</vt:lpstr>
      <vt:lpstr>Don_Vinmax_2</vt:lpstr>
      <vt:lpstr>Don_Vinmin</vt:lpstr>
      <vt:lpstr>Don_Vinmin_2</vt:lpstr>
      <vt:lpstr>Don_Vinnom</vt:lpstr>
      <vt:lpstr>Don_Vinnom_2</vt:lpstr>
      <vt:lpstr>'Stability Calculations'!EA_Pole1</vt:lpstr>
      <vt:lpstr>'Stability Calculations'!EA_Pole2</vt:lpstr>
      <vt:lpstr>'Stability Calculations'!EA_Zero1</vt:lpstr>
      <vt:lpstr>eff</vt:lpstr>
      <vt:lpstr>EFF_IOUT</vt:lpstr>
      <vt:lpstr>EFF_VIN</vt:lpstr>
      <vt:lpstr>Efficiency</vt:lpstr>
      <vt:lpstr>f_bwilim</vt:lpstr>
      <vt:lpstr>f_p</vt:lpstr>
      <vt:lpstr>Fcross</vt:lpstr>
      <vt:lpstr>Fdither</vt:lpstr>
      <vt:lpstr>Fesr</vt:lpstr>
      <vt:lpstr>Fload_boost</vt:lpstr>
      <vt:lpstr>Fload_buck</vt:lpstr>
      <vt:lpstr>Fload_u</vt:lpstr>
      <vt:lpstr>Fp_dominant</vt:lpstr>
      <vt:lpstr>Fp1_u</vt:lpstr>
      <vt:lpstr>Fp2_u</vt:lpstr>
      <vt:lpstr>Frhp</vt:lpstr>
      <vt:lpstr>Frhp_Vinmin</vt:lpstr>
      <vt:lpstr>Fsw</vt:lpstr>
      <vt:lpstr>Fz1_u</vt:lpstr>
      <vt:lpstr>GBW</vt:lpstr>
      <vt:lpstr>GBW_IL</vt:lpstr>
      <vt:lpstr>Gfs_Q1</vt:lpstr>
      <vt:lpstr>Gfs_Q2</vt:lpstr>
      <vt:lpstr>Gfs_Q3</vt:lpstr>
      <vt:lpstr>Gfs_Q4</vt:lpstr>
      <vt:lpstr>gm</vt:lpstr>
      <vt:lpstr>gm_CDC</vt:lpstr>
      <vt:lpstr>gm_IL</vt:lpstr>
      <vt:lpstr>gm_IL_DAC</vt:lpstr>
      <vt:lpstr>gm_monitor</vt:lpstr>
      <vt:lpstr>gm_slopecomp</vt:lpstr>
      <vt:lpstr>I_0</vt:lpstr>
      <vt:lpstr>I_1</vt:lpstr>
      <vt:lpstr>I_2</vt:lpstr>
      <vt:lpstr>I_PP</vt:lpstr>
      <vt:lpstr>i_rms</vt:lpstr>
      <vt:lpstr>iavg</vt:lpstr>
      <vt:lpstr>Icoutrms</vt:lpstr>
      <vt:lpstr>Ifb</vt:lpstr>
      <vt:lpstr>Iin</vt:lpstr>
      <vt:lpstr>Iin_Vinmax</vt:lpstr>
      <vt:lpstr>Iin_Vinmin</vt:lpstr>
      <vt:lpstr>Iin_Vinnom</vt:lpstr>
      <vt:lpstr>IL_peak_OCP</vt:lpstr>
      <vt:lpstr>'IL Stability Calculations'!IL_Pole1</vt:lpstr>
      <vt:lpstr>IL_Pole1</vt:lpstr>
      <vt:lpstr>'IL Stability Calculations'!IL_Pole2</vt:lpstr>
      <vt:lpstr>IL_Pole2</vt:lpstr>
      <vt:lpstr>'IL Stability Calculations'!IL_Zero1</vt:lpstr>
      <vt:lpstr>IL_Zero1</vt:lpstr>
      <vt:lpstr>ILIM_Threshold</vt:lpstr>
      <vt:lpstr>Ilimit_Margin</vt:lpstr>
      <vt:lpstr>ILpeak_OCP_Vinmax</vt:lpstr>
      <vt:lpstr>ILpeak_OCP_Vinmin</vt:lpstr>
      <vt:lpstr>ILpeak_OCP_Vinnom</vt:lpstr>
      <vt:lpstr>IMON_Threshold</vt:lpstr>
      <vt:lpstr>IMONLIM_select</vt:lpstr>
      <vt:lpstr>Internal_FB_enabled</vt:lpstr>
      <vt:lpstr>Iout</vt:lpstr>
      <vt:lpstr>Iout_OCP_Vinmax</vt:lpstr>
      <vt:lpstr>Iout_OCP_Vinmin</vt:lpstr>
      <vt:lpstr>Iout_OCP_Vinnom</vt:lpstr>
      <vt:lpstr>Iout_threshold</vt:lpstr>
      <vt:lpstr>Ipeak_inductor_buckboost</vt:lpstr>
      <vt:lpstr>Ipeak_inductor_max</vt:lpstr>
      <vt:lpstr>Ipeak_inductor_max_margin</vt:lpstr>
      <vt:lpstr>Ipeak_inductor_Vinmax</vt:lpstr>
      <vt:lpstr>Ipeak_inductor_Vinmin</vt:lpstr>
      <vt:lpstr>Ipeak_inductor_Vinnom</vt:lpstr>
      <vt:lpstr>Iq</vt:lpstr>
      <vt:lpstr>Ireverse</vt:lpstr>
      <vt:lpstr>Iripple_Vinmax</vt:lpstr>
      <vt:lpstr>Iripple_Vinmin</vt:lpstr>
      <vt:lpstr>Iripple_Vinnom</vt:lpstr>
      <vt:lpstr>Isc_const</vt:lpstr>
      <vt:lpstr>Islope_fixed</vt:lpstr>
      <vt:lpstr>Iss</vt:lpstr>
      <vt:lpstr>Iuvlo_hys</vt:lpstr>
      <vt:lpstr>Iuvlo1</vt:lpstr>
      <vt:lpstr>Iuvlo2</vt:lpstr>
      <vt:lpstr>k</vt:lpstr>
      <vt:lpstr>K_1</vt:lpstr>
      <vt:lpstr>k_boost</vt:lpstr>
      <vt:lpstr>k_buck</vt:lpstr>
      <vt:lpstr>K_SL</vt:lpstr>
      <vt:lpstr>KD</vt:lpstr>
      <vt:lpstr>KM</vt:lpstr>
      <vt:lpstr>L</vt:lpstr>
      <vt:lpstr>Labsmax</vt:lpstr>
      <vt:lpstr>Labsmin</vt:lpstr>
      <vt:lpstr>Lf</vt:lpstr>
      <vt:lpstr>Lmax</vt:lpstr>
      <vt:lpstr>Lmin</vt:lpstr>
      <vt:lpstr>Lopt</vt:lpstr>
      <vt:lpstr>Lopt_Limit</vt:lpstr>
      <vt:lpstr>Ltc</vt:lpstr>
      <vt:lpstr>mc</vt:lpstr>
      <vt:lpstr>mc_boost</vt:lpstr>
      <vt:lpstr>mc_buck</vt:lpstr>
      <vt:lpstr>Mode</vt:lpstr>
      <vt:lpstr>Pi</vt:lpstr>
      <vt:lpstr>Pin</vt:lpstr>
      <vt:lpstr>PLOT_TYPE</vt:lpstr>
      <vt:lpstr>Pout</vt:lpstr>
      <vt:lpstr>'BOM &amp; Schematic'!Print_Area</vt:lpstr>
      <vt:lpstr>'Design Converter'!Print_Area</vt:lpstr>
      <vt:lpstr>PS_IL_Pole1</vt:lpstr>
      <vt:lpstr>PS_IL_Pole2</vt:lpstr>
      <vt:lpstr>PS_IL_RHPZ</vt:lpstr>
      <vt:lpstr>PS_IL_Zero1</vt:lpstr>
      <vt:lpstr>'IL Stability Calculations'!PS_Pole1</vt:lpstr>
      <vt:lpstr>'Stability Calculations'!PS_Pole1</vt:lpstr>
      <vt:lpstr>'IL Stability Calculations'!PS_Pole2</vt:lpstr>
      <vt:lpstr>'Stability Calculations'!PS_Pole2</vt:lpstr>
      <vt:lpstr>'IL Stability Calculations'!PS_RHPZ</vt:lpstr>
      <vt:lpstr>'Stability Calculations'!PS_RHPZ</vt:lpstr>
      <vt:lpstr>'IL Stability Calculations'!PS_Zero1</vt:lpstr>
      <vt:lpstr>'Stability Calculations'!PS_Zero1</vt:lpstr>
      <vt:lpstr>'IL Stability Calculations'!pterm1</vt:lpstr>
      <vt:lpstr>'Stability Calculations'!pterm1</vt:lpstr>
      <vt:lpstr>pterm1_IL</vt:lpstr>
      <vt:lpstr>'IL Stability Calculations'!pterm2</vt:lpstr>
      <vt:lpstr>'Stability Calculations'!pterm2</vt:lpstr>
      <vt:lpstr>pterm2_IL</vt:lpstr>
      <vt:lpstr>Q</vt:lpstr>
      <vt:lpstr>Qg_Q1</vt:lpstr>
      <vt:lpstr>Qg_Q2</vt:lpstr>
      <vt:lpstr>Qg_Q3</vt:lpstr>
      <vt:lpstr>Qg_Q4</vt:lpstr>
      <vt:lpstr>Qgd_Q1</vt:lpstr>
      <vt:lpstr>Qgd_Q2</vt:lpstr>
      <vt:lpstr>Qgd_Q3</vt:lpstr>
      <vt:lpstr>Qgd_Q4</vt:lpstr>
      <vt:lpstr>Qgs_Q1</vt:lpstr>
      <vt:lpstr>Qgs_Q2</vt:lpstr>
      <vt:lpstr>Qgs_Q3</vt:lpstr>
      <vt:lpstr>Qgs_Q4</vt:lpstr>
      <vt:lpstr>Qrr_Q1</vt:lpstr>
      <vt:lpstr>Qrr_Q2</vt:lpstr>
      <vt:lpstr>Qrr_Q3</vt:lpstr>
      <vt:lpstr>Qrr_Q4</vt:lpstr>
      <vt:lpstr>QrrSky_Q2</vt:lpstr>
      <vt:lpstr>QrrSky_Q3</vt:lpstr>
      <vt:lpstr>R_CS</vt:lpstr>
      <vt:lpstr>'IL Stability Calculations'!radconv</vt:lpstr>
      <vt:lpstr>'Stability Calculations'!radconv</vt:lpstr>
      <vt:lpstr>radconv_IL</vt:lpstr>
      <vt:lpstr>Rcea1</vt:lpstr>
      <vt:lpstr>Rcea1_u</vt:lpstr>
      <vt:lpstr>RcIL</vt:lpstr>
      <vt:lpstr>RCinEsr</vt:lpstr>
      <vt:lpstr>RCoutEsr</vt:lpstr>
      <vt:lpstr>Rdcr</vt:lpstr>
      <vt:lpstr>Rdson1</vt:lpstr>
      <vt:lpstr>Rdson2</vt:lpstr>
      <vt:lpstr>Rdson3</vt:lpstr>
      <vt:lpstr>Rdson4</vt:lpstr>
      <vt:lpstr>RdsonBotTc</vt:lpstr>
      <vt:lpstr>RdsonDRB</vt:lpstr>
      <vt:lpstr>RdsonDRB2</vt:lpstr>
      <vt:lpstr>RdsonDRT</vt:lpstr>
      <vt:lpstr>RdsonDRT2</vt:lpstr>
      <vt:lpstr>RdsonTopTc</vt:lpstr>
      <vt:lpstr>Rfadj</vt:lpstr>
      <vt:lpstr>Rfb1_</vt:lpstr>
      <vt:lpstr>Rfb2_</vt:lpstr>
      <vt:lpstr>Rfb2_u</vt:lpstr>
      <vt:lpstr>Rfets</vt:lpstr>
      <vt:lpstr>Rgate1</vt:lpstr>
      <vt:lpstr>Rgate2</vt:lpstr>
      <vt:lpstr>Rgate3</vt:lpstr>
      <vt:lpstr>Rgate4</vt:lpstr>
      <vt:lpstr>Ri</vt:lpstr>
      <vt:lpstr>RiLim</vt:lpstr>
      <vt:lpstr>RISET</vt:lpstr>
      <vt:lpstr>Ro</vt:lpstr>
      <vt:lpstr>RoEA</vt:lpstr>
      <vt:lpstr>RoEA_IL</vt:lpstr>
      <vt:lpstr>Rout</vt:lpstr>
      <vt:lpstr>Rpg</vt:lpstr>
      <vt:lpstr>Rs</vt:lpstr>
      <vt:lpstr>Rs_ideal</vt:lpstr>
      <vt:lpstr>Rsb</vt:lpstr>
      <vt:lpstr>Rshunt</vt:lpstr>
      <vt:lpstr>Rshunt_std</vt:lpstr>
      <vt:lpstr>Rslope</vt:lpstr>
      <vt:lpstr>Rsns_Selected</vt:lpstr>
      <vt:lpstr>RUV1_STD</vt:lpstr>
      <vt:lpstr>RUV2_STD</vt:lpstr>
      <vt:lpstr>Ruvlo1</vt:lpstr>
      <vt:lpstr>Ruvlo2</vt:lpstr>
      <vt:lpstr>Scale_DT</vt:lpstr>
      <vt:lpstr>SCH_NO_RCS</vt:lpstr>
      <vt:lpstr>SCH_RCS_LIM</vt:lpstr>
      <vt:lpstr>SCH_RCS_LIM_NEG</vt:lpstr>
      <vt:lpstr>SCH_RCS_MON</vt:lpstr>
      <vt:lpstr>SCH772_NO_RCS</vt:lpstr>
      <vt:lpstr>SCH772_NO_RCS_NO_CDC</vt:lpstr>
      <vt:lpstr>SCH772_RCS_LIM</vt:lpstr>
      <vt:lpstr>SCH772_RCS_LIM_DAC</vt:lpstr>
      <vt:lpstr>SCH772_RCS_LIM_DAC_NO_CDC</vt:lpstr>
      <vt:lpstr>SCH772_RCS_LIM_DACplus</vt:lpstr>
      <vt:lpstr>SCH772_RCS_LIM_DACplus_NO_CDC</vt:lpstr>
      <vt:lpstr>SCH772_RCS_LIM_NO_CDC</vt:lpstr>
      <vt:lpstr>Se</vt:lpstr>
      <vt:lpstr>Se_ext</vt:lpstr>
      <vt:lpstr>Se_fixed</vt:lpstr>
      <vt:lpstr>Se_proportional</vt:lpstr>
      <vt:lpstr>Sf</vt:lpstr>
      <vt:lpstr>Sn</vt:lpstr>
      <vt:lpstr>t1_Ph_II</vt:lpstr>
      <vt:lpstr>t2_Ph_I</vt:lpstr>
      <vt:lpstr>t3_Ph_III</vt:lpstr>
      <vt:lpstr>Ta</vt:lpstr>
      <vt:lpstr>Tf_boost</vt:lpstr>
      <vt:lpstr>Tf_buck</vt:lpstr>
      <vt:lpstr>ThetaCa</vt:lpstr>
      <vt:lpstr>ThetaJA_Q1</vt:lpstr>
      <vt:lpstr>ThetaJA_Q2</vt:lpstr>
      <vt:lpstr>ThetaJA_Q3</vt:lpstr>
      <vt:lpstr>ThetaJA_Q4</vt:lpstr>
      <vt:lpstr>ThetaJaCtrl</vt:lpstr>
      <vt:lpstr>TL</vt:lpstr>
      <vt:lpstr>Toff_min_buck</vt:lpstr>
      <vt:lpstr>Toff_Vinmax</vt:lpstr>
      <vt:lpstr>Ton_Vinmin</vt:lpstr>
      <vt:lpstr>Tr_boost</vt:lpstr>
      <vt:lpstr>Tr_buck</vt:lpstr>
      <vt:lpstr>Trr_Q1</vt:lpstr>
      <vt:lpstr>Trr_Q2</vt:lpstr>
      <vt:lpstr>Trr_Q3</vt:lpstr>
      <vt:lpstr>Trr_Q4</vt:lpstr>
      <vt:lpstr>Ts</vt:lpstr>
      <vt:lpstr>Tss</vt:lpstr>
      <vt:lpstr>useI2C</vt:lpstr>
      <vt:lpstr>V_ILIM</vt:lpstr>
      <vt:lpstr>V_Ilimit</vt:lpstr>
      <vt:lpstr>V_sc_fixed</vt:lpstr>
      <vt:lpstr>V_sc_proportional</vt:lpstr>
      <vt:lpstr>V_sc_total</vt:lpstr>
      <vt:lpstr>Vdd</vt:lpstr>
      <vt:lpstr>VfdSky_Q2</vt:lpstr>
      <vt:lpstr>VfdSky_Q3</vt:lpstr>
      <vt:lpstr>Vin</vt:lpstr>
      <vt:lpstr>VIN_BB_to_boost</vt:lpstr>
      <vt:lpstr>VIN_BB_to_buck</vt:lpstr>
      <vt:lpstr>VIN_boost_to_BB</vt:lpstr>
      <vt:lpstr>VIN_edgebuckboost</vt:lpstr>
      <vt:lpstr>VIN_max</vt:lpstr>
      <vt:lpstr>VIN_min</vt:lpstr>
      <vt:lpstr>VIN_nom</vt:lpstr>
      <vt:lpstr>Vinripple1</vt:lpstr>
      <vt:lpstr>Vinripple2</vt:lpstr>
      <vt:lpstr>VINuvlo_off</vt:lpstr>
      <vt:lpstr>VINuvlo_on</vt:lpstr>
      <vt:lpstr>Vout</vt:lpstr>
      <vt:lpstr>Vref</vt:lpstr>
      <vt:lpstr>Vripple1</vt:lpstr>
      <vt:lpstr>Vripple2</vt:lpstr>
      <vt:lpstr>Vsd_Q1</vt:lpstr>
      <vt:lpstr>Vsd_Q2</vt:lpstr>
      <vt:lpstr>Vsd_Q3</vt:lpstr>
      <vt:lpstr>Vsd_Q4</vt:lpstr>
      <vt:lpstr>Vsp_Q1</vt:lpstr>
      <vt:lpstr>Vsp_Q2</vt:lpstr>
      <vt:lpstr>Vsp_Q3</vt:lpstr>
      <vt:lpstr>Vsp_Q4</vt:lpstr>
      <vt:lpstr>Vth_Q1</vt:lpstr>
      <vt:lpstr>Vth_Q2</vt:lpstr>
      <vt:lpstr>Vth_Q3</vt:lpstr>
      <vt:lpstr>Vth_Q4</vt:lpstr>
      <vt:lpstr>Vuvlo_hys</vt:lpstr>
      <vt:lpstr>Vuvlo_off</vt:lpstr>
      <vt:lpstr>Vuvlo_on</vt:lpstr>
      <vt:lpstr>With_CDC</vt:lpstr>
      <vt:lpstr>With_RCS</vt:lpstr>
    </vt:vector>
  </TitlesOfParts>
  <Company>Texas Instruments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LM5176 Quickstart Tool</dc:title>
  <dc:creator>Vijay Choudhary</dc:creator>
  <cp:keywords>LM5176, PWM controller, current mode, PCB layout</cp:keywords>
  <cp:lastModifiedBy>Phillip Forche</cp:lastModifiedBy>
  <cp:lastPrinted>2014-12-22T00:10:27Z</cp:lastPrinted>
  <dcterms:created xsi:type="dcterms:W3CDTF">1996-10-14T23:33:28Z</dcterms:created>
  <dcterms:modified xsi:type="dcterms:W3CDTF">2026-09-10T08:53:30Z</dcterms:modified>
</cp:coreProperties>
</file>